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Indepy Construções\Caio Prado - 10.2023\03. Custo\03.6 Custo - Orçamento Executivo\R00\"/>
    </mc:Choice>
  </mc:AlternateContent>
  <xr:revisionPtr revIDLastSave="0" documentId="13_ncr:1_{A03E9BAF-DB29-48EC-AAC6-73996C9C303D}" xr6:coauthVersionLast="47" xr6:coauthVersionMax="47" xr10:uidLastSave="{00000000-0000-0000-0000-000000000000}"/>
  <bookViews>
    <workbookView xWindow="-120" yWindow="-120" windowWidth="29040" windowHeight="15720" tabRatio="781" firstSheet="2" activeTab="5" xr2:uid="{00000000-000D-0000-FFFF-FFFF00000000}"/>
  </bookViews>
  <sheets>
    <sheet name="PROJETOS" sheetId="441" state="hidden" r:id="rId1"/>
    <sheet name="Obra " sheetId="432" r:id="rId2"/>
    <sheet name="EAP Análise" sheetId="458" r:id="rId3"/>
    <sheet name="CPU" sheetId="448" r:id="rId4"/>
    <sheet name="Insumos" sheetId="449" r:id="rId5"/>
    <sheet name="Ger_Executivo" sheetId="436" r:id="rId6"/>
    <sheet name="ARQUITETURA" sheetId="451" r:id="rId7"/>
    <sheet name="IMPERMEABILIZAÇÃO" sheetId="504" r:id="rId8"/>
    <sheet name="Equipamentos Especiais" sheetId="487" r:id="rId9"/>
    <sheet name="LOUÇAS E METAIS" sheetId="456" r:id="rId10"/>
    <sheet name="MOBILIÁRIO" sheetId="455" r:id="rId11"/>
    <sheet name="REVESTIMENTOS" sheetId="505" r:id="rId12"/>
    <sheet name="TOTAL" sheetId="506" r:id="rId13"/>
  </sheets>
  <externalReferences>
    <externalReference r:id="rId14"/>
    <externalReference r:id="rId15"/>
    <externalReference r:id="rId16"/>
    <externalReference r:id="rId17"/>
    <externalReference r:id="rId18"/>
  </externalReferences>
  <definedNames>
    <definedName name="\0" localSheetId="5">#REF!</definedName>
    <definedName name="\0" localSheetId="10">#REF!</definedName>
    <definedName name="\0" localSheetId="1">#REF!</definedName>
    <definedName name="\0" localSheetId="11">#REF!</definedName>
    <definedName name="\0" localSheetId="12">#REF!</definedName>
    <definedName name="\0">#REF!</definedName>
    <definedName name="\1" localSheetId="5">#REF!</definedName>
    <definedName name="\1" localSheetId="10">#REF!</definedName>
    <definedName name="\1" localSheetId="11">#REF!</definedName>
    <definedName name="\1" localSheetId="12">#REF!</definedName>
    <definedName name="\1">#REF!</definedName>
    <definedName name="\a" localSheetId="5">#REF!</definedName>
    <definedName name="\a" localSheetId="10">#REF!</definedName>
    <definedName name="\a" localSheetId="1">#REF!</definedName>
    <definedName name="\a" localSheetId="11">#REF!</definedName>
    <definedName name="\a" localSheetId="12">#REF!</definedName>
    <definedName name="\a">#REF!</definedName>
    <definedName name="\b" localSheetId="5">#REF!</definedName>
    <definedName name="\b" localSheetId="10">#REF!</definedName>
    <definedName name="\b" localSheetId="11">#REF!</definedName>
    <definedName name="\b" localSheetId="12">#REF!</definedName>
    <definedName name="\b">#REF!</definedName>
    <definedName name="\c" localSheetId="5">#REF!</definedName>
    <definedName name="\c" localSheetId="10">#REF!</definedName>
    <definedName name="\c" localSheetId="11">#REF!</definedName>
    <definedName name="\c" localSheetId="12">#REF!</definedName>
    <definedName name="\c">#REF!</definedName>
    <definedName name="\d" localSheetId="5">#REF!</definedName>
    <definedName name="\d" localSheetId="10">#REF!</definedName>
    <definedName name="\d" localSheetId="11">#REF!</definedName>
    <definedName name="\d" localSheetId="12">#REF!</definedName>
    <definedName name="\d">#REF!</definedName>
    <definedName name="\e" localSheetId="5">#REF!</definedName>
    <definedName name="\e" localSheetId="10">#REF!</definedName>
    <definedName name="\e" localSheetId="11">#REF!</definedName>
    <definedName name="\e" localSheetId="12">#REF!</definedName>
    <definedName name="\e">#REF!</definedName>
    <definedName name="\i" localSheetId="5">#REF!</definedName>
    <definedName name="\i" localSheetId="10">#REF!</definedName>
    <definedName name="\i" localSheetId="11">#REF!</definedName>
    <definedName name="\i" localSheetId="12">#REF!</definedName>
    <definedName name="\i">#REF!</definedName>
    <definedName name="\J" localSheetId="5">#REF!</definedName>
    <definedName name="\J" localSheetId="10">#REF!</definedName>
    <definedName name="\J" localSheetId="11">#REF!</definedName>
    <definedName name="\J" localSheetId="12">#REF!</definedName>
    <definedName name="\J">#REF!</definedName>
    <definedName name="\k" localSheetId="5">#REF!</definedName>
    <definedName name="\k" localSheetId="10">#REF!</definedName>
    <definedName name="\k" localSheetId="11">#REF!</definedName>
    <definedName name="\k" localSheetId="12">#REF!</definedName>
    <definedName name="\k">#REF!</definedName>
    <definedName name="\l">#N/A</definedName>
    <definedName name="\m" localSheetId="5">#REF!</definedName>
    <definedName name="\m" localSheetId="10">#REF!</definedName>
    <definedName name="\m" localSheetId="1">#REF!</definedName>
    <definedName name="\m" localSheetId="11">#REF!</definedName>
    <definedName name="\m" localSheetId="12">#REF!</definedName>
    <definedName name="\m">#REF!</definedName>
    <definedName name="\o" localSheetId="5">#REF!</definedName>
    <definedName name="\o" localSheetId="10">#REF!</definedName>
    <definedName name="\o" localSheetId="11">#REF!</definedName>
    <definedName name="\o" localSheetId="12">#REF!</definedName>
    <definedName name="\o">#REF!</definedName>
    <definedName name="\p" localSheetId="5">#REF!</definedName>
    <definedName name="\p" localSheetId="10">#REF!</definedName>
    <definedName name="\p" localSheetId="11">#REF!</definedName>
    <definedName name="\p" localSheetId="12">#REF!</definedName>
    <definedName name="\p">#REF!</definedName>
    <definedName name="\r" localSheetId="5">#REF!</definedName>
    <definedName name="\r" localSheetId="10">#REF!</definedName>
    <definedName name="\r" localSheetId="11">#REF!</definedName>
    <definedName name="\r" localSheetId="12">#REF!</definedName>
    <definedName name="\r">#REF!</definedName>
    <definedName name="\T" localSheetId="5">#REF!</definedName>
    <definedName name="\T" localSheetId="10">#REF!</definedName>
    <definedName name="\T" localSheetId="11">#REF!</definedName>
    <definedName name="\T" localSheetId="12">#REF!</definedName>
    <definedName name="\T">#REF!</definedName>
    <definedName name="\xasd" localSheetId="3" hidden="1">{#N/A,#N/A,FALSE,"Plan1";#N/A,#N/A,FALSE,"Plan2"}</definedName>
    <definedName name="\xasd" localSheetId="5" hidden="1">{#N/A,#N/A,FALSE,"Plan1";#N/A,#N/A,FALSE,"Plan2"}</definedName>
    <definedName name="\xasd" localSheetId="4" hidden="1">{#N/A,#N/A,FALSE,"Plan1";#N/A,#N/A,FALSE,"Plan2"}</definedName>
    <definedName name="\xasd" localSheetId="10" hidden="1">{#N/A,#N/A,FALSE,"Plan1";#N/A,#N/A,FALSE,"Plan2"}</definedName>
    <definedName name="\xasd" localSheetId="1" hidden="1">{#N/A,#N/A,FALSE,"Plan1";#N/A,#N/A,FALSE,"Plan2"}</definedName>
    <definedName name="\xasd" localSheetId="0" hidden="1">{#N/A,#N/A,FALSE,"Plan1";#N/A,#N/A,FALSE,"Plan2"}</definedName>
    <definedName name="\xasd" localSheetId="11" hidden="1">{#N/A,#N/A,FALSE,"Plan1";#N/A,#N/A,FALSE,"Plan2"}</definedName>
    <definedName name="\xasd" localSheetId="12" hidden="1">{#N/A,#N/A,FALSE,"Plan1";#N/A,#N/A,FALSE,"Plan2"}</definedName>
    <definedName name="\xasd" hidden="1">{#N/A,#N/A,FALSE,"Plan1";#N/A,#N/A,FALSE,"Plan2"}</definedName>
    <definedName name="\z" localSheetId="5">#REF!</definedName>
    <definedName name="\z" localSheetId="10">#REF!</definedName>
    <definedName name="\z" localSheetId="11">#REF!</definedName>
    <definedName name="\z" localSheetId="12">#REF!</definedName>
    <definedName name="\z">#REF!</definedName>
    <definedName name="_" localSheetId="8">#REF!</definedName>
    <definedName name="_" localSheetId="9">#REF!</definedName>
    <definedName name="_" localSheetId="10" hidden="1">#REF!</definedName>
    <definedName name="_" localSheetId="1" hidden="1">#REF!</definedName>
    <definedName name="_" localSheetId="0">#REF!</definedName>
    <definedName name="_" localSheetId="11" hidden="1">#REF!</definedName>
    <definedName name="_" localSheetId="12" hidden="1">#REF!</definedName>
    <definedName name="_" hidden="1">#REF!</definedName>
    <definedName name="_\0">#REF!</definedName>
    <definedName name="_\1">#REF!</definedName>
    <definedName name="_\a">#REF!</definedName>
    <definedName name="_\b">#REF!</definedName>
    <definedName name="_\c">#REF!</definedName>
    <definedName name="_\d">#REF!</definedName>
    <definedName name="_\e">#REF!</definedName>
    <definedName name="_\i">#REF!</definedName>
    <definedName name="_\J">#REF!</definedName>
    <definedName name="_\k">#REF!</definedName>
    <definedName name="_\l">#N/A</definedName>
    <definedName name="_\m">#REF!</definedName>
    <definedName name="_\o">#REF!</definedName>
    <definedName name="_\p">#REF!</definedName>
    <definedName name="_\r">#REF!</definedName>
    <definedName name="_\T">#REF!</definedName>
    <definedName name="_\xasd" localSheetId="3" hidden="1">{#N/A,#N/A,FALSE,"Plan1";#N/A,#N/A,FALSE,"Plan2"}</definedName>
    <definedName name="_\xasd" localSheetId="4" hidden="1">{#N/A,#N/A,FALSE,"Plan1";#N/A,#N/A,FALSE,"Plan2"}</definedName>
    <definedName name="_\xasd" localSheetId="10" hidden="1">{#N/A,#N/A,FALSE,"Plan1";#N/A,#N/A,FALSE,"Plan2"}</definedName>
    <definedName name="_\xasd" localSheetId="0" hidden="1">{#N/A,#N/A,FALSE,"Plan1";#N/A,#N/A,FALSE,"Plan2"}</definedName>
    <definedName name="_\xasd" localSheetId="11" hidden="1">{#N/A,#N/A,FALSE,"Plan1";#N/A,#N/A,FALSE,"Plan2"}</definedName>
    <definedName name="_\xasd" localSheetId="12" hidden="1">{#N/A,#N/A,FALSE,"Plan1";#N/A,#N/A,FALSE,"Plan2"}</definedName>
    <definedName name="_\xasd" hidden="1">{#N/A,#N/A,FALSE,"Plan1";#N/A,#N/A,FALSE,"Plan2"}</definedName>
    <definedName name="_\z">#REF!</definedName>
    <definedName name="__" localSheetId="8">#REF!</definedName>
    <definedName name="__" localSheetId="9">#REF!</definedName>
    <definedName name="__" localSheetId="10" hidden="1">#REF!</definedName>
    <definedName name="__" localSheetId="1" hidden="1">#REF!</definedName>
    <definedName name="__" localSheetId="0">#REF!</definedName>
    <definedName name="__" localSheetId="11" hidden="1">#REF!</definedName>
    <definedName name="__" localSheetId="12" hidden="1">#REF!</definedName>
    <definedName name="__" hidden="1">#REF!</definedName>
    <definedName name="__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ACR10" localSheetId="8">#REF!</definedName>
    <definedName name="______ACR10" localSheetId="5">#REF!</definedName>
    <definedName name="______ACR10" localSheetId="9">#REF!</definedName>
    <definedName name="______ACR10" localSheetId="10">#REF!</definedName>
    <definedName name="______ACR10" localSheetId="0">#REF!</definedName>
    <definedName name="______ACR10" localSheetId="11">#REF!</definedName>
    <definedName name="______ACR10" localSheetId="12">#REF!</definedName>
    <definedName name="______ACR10">#REF!</definedName>
    <definedName name="______ACR15" localSheetId="8">#REF!</definedName>
    <definedName name="______ACR15" localSheetId="5">#REF!</definedName>
    <definedName name="______ACR15" localSheetId="9">#REF!</definedName>
    <definedName name="______ACR15" localSheetId="10">#REF!</definedName>
    <definedName name="______ACR15" localSheetId="0">#REF!</definedName>
    <definedName name="______ACR15" localSheetId="11">#REF!</definedName>
    <definedName name="______ACR15" localSheetId="12">#REF!</definedName>
    <definedName name="______ACR15">#REF!</definedName>
    <definedName name="______acr20" localSheetId="8">#REF!</definedName>
    <definedName name="______acr20" localSheetId="5">#REF!</definedName>
    <definedName name="______acr20" localSheetId="9">#REF!</definedName>
    <definedName name="______acr20" localSheetId="10">#REF!</definedName>
    <definedName name="______acr20" localSheetId="0">#REF!</definedName>
    <definedName name="______acr20" localSheetId="11">#REF!</definedName>
    <definedName name="______acr20" localSheetId="12">#REF!</definedName>
    <definedName name="______acr20">#REF!</definedName>
    <definedName name="______acr5" localSheetId="8">#REF!</definedName>
    <definedName name="______acr5" localSheetId="5">#REF!</definedName>
    <definedName name="______acr5" localSheetId="10">#REF!</definedName>
    <definedName name="______acr5" localSheetId="11">#REF!</definedName>
    <definedName name="______acr5" localSheetId="12">#REF!</definedName>
    <definedName name="______acr5">#REF!</definedName>
    <definedName name="______ARQ1" localSheetId="8">#REF!</definedName>
    <definedName name="______ARQ1" localSheetId="5">#REF!</definedName>
    <definedName name="______ARQ1" localSheetId="10">#REF!</definedName>
    <definedName name="______ARQ1" localSheetId="11">#REF!</definedName>
    <definedName name="______ARQ1" localSheetId="12">#REF!</definedName>
    <definedName name="______ARQ1">#REF!</definedName>
    <definedName name="______QT100" localSheetId="8">#REF!</definedName>
    <definedName name="______QT100" localSheetId="5">#REF!</definedName>
    <definedName name="______QT100" localSheetId="10">#REF!</definedName>
    <definedName name="______QT100" localSheetId="11">#REF!</definedName>
    <definedName name="______QT100" localSheetId="12">#REF!</definedName>
    <definedName name="______QT100">#REF!</definedName>
    <definedName name="______QT2" localSheetId="8">#REF!</definedName>
    <definedName name="______QT2" localSheetId="5">#REF!</definedName>
    <definedName name="______QT2" localSheetId="10">#REF!</definedName>
    <definedName name="______QT2" localSheetId="11">#REF!</definedName>
    <definedName name="______QT2" localSheetId="12">#REF!</definedName>
    <definedName name="______QT2">#REF!</definedName>
    <definedName name="______QT3" localSheetId="8">#REF!</definedName>
    <definedName name="______QT3" localSheetId="5">#REF!</definedName>
    <definedName name="______QT3" localSheetId="10">#REF!</definedName>
    <definedName name="______QT3" localSheetId="11">#REF!</definedName>
    <definedName name="______QT3" localSheetId="12">#REF!</definedName>
    <definedName name="______QT3">#REF!</definedName>
    <definedName name="______QT4" localSheetId="8">#REF!</definedName>
    <definedName name="______QT4" localSheetId="5">#REF!</definedName>
    <definedName name="______QT4" localSheetId="10">#REF!</definedName>
    <definedName name="______QT4" localSheetId="11">#REF!</definedName>
    <definedName name="______QT4" localSheetId="12">#REF!</definedName>
    <definedName name="______QT4">#REF!</definedName>
    <definedName name="______QT50" localSheetId="8">#REF!</definedName>
    <definedName name="______QT50" localSheetId="5">#REF!</definedName>
    <definedName name="______QT50" localSheetId="10">#REF!</definedName>
    <definedName name="______QT50" localSheetId="11">#REF!</definedName>
    <definedName name="______QT50" localSheetId="12">#REF!</definedName>
    <definedName name="______QT50">#REF!</definedName>
    <definedName name="______QT75" localSheetId="8">#REF!</definedName>
    <definedName name="______QT75" localSheetId="5">#REF!</definedName>
    <definedName name="______QT75" localSheetId="10">#REF!</definedName>
    <definedName name="______QT75" localSheetId="11">#REF!</definedName>
    <definedName name="______QT75" localSheetId="12">#REF!</definedName>
    <definedName name="______QT75">#REF!</definedName>
    <definedName name="_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ACR10" localSheetId="8">#REF!</definedName>
    <definedName name="_____ACR10" localSheetId="5">#REF!</definedName>
    <definedName name="_____ACR10" localSheetId="9">#REF!</definedName>
    <definedName name="_____ACR10" localSheetId="10">#REF!</definedName>
    <definedName name="_____ACR10" localSheetId="0">#REF!</definedName>
    <definedName name="_____ACR10" localSheetId="11">#REF!</definedName>
    <definedName name="_____ACR10" localSheetId="12">#REF!</definedName>
    <definedName name="_____ACR10">#REF!</definedName>
    <definedName name="_____ACR15" localSheetId="8">#REF!</definedName>
    <definedName name="_____ACR15" localSheetId="5">#REF!</definedName>
    <definedName name="_____ACR15" localSheetId="9">#REF!</definedName>
    <definedName name="_____ACR15" localSheetId="10">#REF!</definedName>
    <definedName name="_____ACR15" localSheetId="0">#REF!</definedName>
    <definedName name="_____ACR15" localSheetId="11">#REF!</definedName>
    <definedName name="_____ACR15" localSheetId="12">#REF!</definedName>
    <definedName name="_____ACR15">#REF!</definedName>
    <definedName name="_____acr20" localSheetId="8">#REF!</definedName>
    <definedName name="_____acr20" localSheetId="5">#REF!</definedName>
    <definedName name="_____acr20" localSheetId="9">#REF!</definedName>
    <definedName name="_____acr20" localSheetId="10">#REF!</definedName>
    <definedName name="_____acr20" localSheetId="0">#REF!</definedName>
    <definedName name="_____acr20" localSheetId="11">#REF!</definedName>
    <definedName name="_____acr20" localSheetId="12">#REF!</definedName>
    <definedName name="_____acr20">#REF!</definedName>
    <definedName name="_____acr5" localSheetId="8">#REF!</definedName>
    <definedName name="_____acr5" localSheetId="5">#REF!</definedName>
    <definedName name="_____acr5" localSheetId="10">#REF!</definedName>
    <definedName name="_____acr5" localSheetId="11">#REF!</definedName>
    <definedName name="_____acr5" localSheetId="12">#REF!</definedName>
    <definedName name="_____acr5">#REF!</definedName>
    <definedName name="_____ARQ1" localSheetId="8">#REF!</definedName>
    <definedName name="_____ARQ1" localSheetId="5">#REF!</definedName>
    <definedName name="_____ARQ1" localSheetId="10">#REF!</definedName>
    <definedName name="_____ARQ1" localSheetId="11">#REF!</definedName>
    <definedName name="_____ARQ1" localSheetId="12">#REF!</definedName>
    <definedName name="_____ARQ1">#REF!</definedName>
    <definedName name="_____key2" localSheetId="8">#REF!</definedName>
    <definedName name="_____key2" localSheetId="1" hidden="1">#REF!</definedName>
    <definedName name="_____key2" hidden="1">#REF!</definedName>
    <definedName name="_____QT100" localSheetId="8">#REF!</definedName>
    <definedName name="_____QT100" localSheetId="5">#REF!</definedName>
    <definedName name="_____QT100" localSheetId="10">#REF!</definedName>
    <definedName name="_____QT100" localSheetId="11">#REF!</definedName>
    <definedName name="_____QT100" localSheetId="12">#REF!</definedName>
    <definedName name="_____QT100">#REF!</definedName>
    <definedName name="_____QT2" localSheetId="8">#REF!</definedName>
    <definedName name="_____QT2" localSheetId="5">#REF!</definedName>
    <definedName name="_____QT2" localSheetId="10">#REF!</definedName>
    <definedName name="_____QT2" localSheetId="11">#REF!</definedName>
    <definedName name="_____QT2" localSheetId="12">#REF!</definedName>
    <definedName name="_____QT2">#REF!</definedName>
    <definedName name="_____QT3" localSheetId="8">#REF!</definedName>
    <definedName name="_____QT3" localSheetId="5">#REF!</definedName>
    <definedName name="_____QT3" localSheetId="10">#REF!</definedName>
    <definedName name="_____QT3" localSheetId="11">#REF!</definedName>
    <definedName name="_____QT3" localSheetId="12">#REF!</definedName>
    <definedName name="_____QT3">#REF!</definedName>
    <definedName name="_____QT4" localSheetId="8">#REF!</definedName>
    <definedName name="_____QT4" localSheetId="5">#REF!</definedName>
    <definedName name="_____QT4" localSheetId="10">#REF!</definedName>
    <definedName name="_____QT4" localSheetId="11">#REF!</definedName>
    <definedName name="_____QT4" localSheetId="12">#REF!</definedName>
    <definedName name="_____QT4">#REF!</definedName>
    <definedName name="_____QT50" localSheetId="8">#REF!</definedName>
    <definedName name="_____QT50" localSheetId="5">#REF!</definedName>
    <definedName name="_____QT50" localSheetId="10">#REF!</definedName>
    <definedName name="_____QT50" localSheetId="11">#REF!</definedName>
    <definedName name="_____QT50" localSheetId="12">#REF!</definedName>
    <definedName name="_____QT50">#REF!</definedName>
    <definedName name="_____QT75" localSheetId="8">#REF!</definedName>
    <definedName name="_____QT75" localSheetId="5">#REF!</definedName>
    <definedName name="_____QT75" localSheetId="10">#REF!</definedName>
    <definedName name="_____QT75" localSheetId="11">#REF!</definedName>
    <definedName name="_____QT75" localSheetId="12">#REF!</definedName>
    <definedName name="_____QT75">#REF!</definedName>
    <definedName name="_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key2" localSheetId="8">#REF!</definedName>
    <definedName name="____key2" localSheetId="5" hidden="1">#REF!</definedName>
    <definedName name="____key2" localSheetId="9">#REF!</definedName>
    <definedName name="____key2" localSheetId="10" hidden="1">#REF!</definedName>
    <definedName name="____key2" localSheetId="1" hidden="1">#REF!</definedName>
    <definedName name="____key2" localSheetId="0">#REF!</definedName>
    <definedName name="____key2" localSheetId="11" hidden="1">#REF!</definedName>
    <definedName name="____key2" localSheetId="12" hidden="1">#REF!</definedName>
    <definedName name="____key2" hidden="1">#REF!</definedName>
    <definedName name="____la29" localSheetId="8">#REF!</definedName>
    <definedName name="____la29" localSheetId="9">#REF!</definedName>
    <definedName name="____la29" localSheetId="10" hidden="1">#REF!</definedName>
    <definedName name="____la29" localSheetId="1" hidden="1">#REF!</definedName>
    <definedName name="____la29" localSheetId="0">#REF!</definedName>
    <definedName name="____la29" localSheetId="11" hidden="1">#REF!</definedName>
    <definedName name="____la29" localSheetId="12" hidden="1">#REF!</definedName>
    <definedName name="____la29" hidden="1">#REF!</definedName>
    <definedName name="____la3" localSheetId="8">#REF!</definedName>
    <definedName name="____la3" localSheetId="9">#REF!</definedName>
    <definedName name="____la3" localSheetId="1" hidden="1">#REF!</definedName>
    <definedName name="____la3" localSheetId="0">#REF!</definedName>
    <definedName name="____la3" hidden="1">#REF!</definedName>
    <definedName name="____la31" localSheetId="8">#REF!</definedName>
    <definedName name="____la31" hidden="1">#REF!</definedName>
    <definedName name="____la32" localSheetId="8">#REF!</definedName>
    <definedName name="____la32" hidden="1">#REF!</definedName>
    <definedName name="____la4" localSheetId="8">#REF!</definedName>
    <definedName name="____la4" hidden="1">#REF!</definedName>
    <definedName name="____la5" localSheetId="8">#REF!</definedName>
    <definedName name="____la5" hidden="1">#REF!</definedName>
    <definedName name="____la6" localSheetId="8">#REF!</definedName>
    <definedName name="____la6" hidden="1">#REF!</definedName>
    <definedName name="____la7" localSheetId="8">#REF!</definedName>
    <definedName name="____la7" hidden="1">#REF!</definedName>
    <definedName name="____la8" localSheetId="8">#REF!</definedName>
    <definedName name="____la8" hidden="1">#REF!</definedName>
    <definedName name="____la9" localSheetId="8">#REF!</definedName>
    <definedName name="____la9" hidden="1">#REF!</definedName>
    <definedName name="____lb1" localSheetId="8">#REF!</definedName>
    <definedName name="____lb1" hidden="1">#REF!</definedName>
    <definedName name="____lb10" localSheetId="8">#REF!</definedName>
    <definedName name="____lb10" hidden="1">#REF!</definedName>
    <definedName name="____lb11" localSheetId="8">#REF!</definedName>
    <definedName name="____lb11" hidden="1">#REF!</definedName>
    <definedName name="____lb12" localSheetId="8">#REF!</definedName>
    <definedName name="____lb12" hidden="1">#REF!</definedName>
    <definedName name="____lb13" localSheetId="8">#REF!</definedName>
    <definedName name="____lb13" hidden="1">#REF!</definedName>
    <definedName name="____lb14" localSheetId="8">#REF!</definedName>
    <definedName name="____lb14" hidden="1">#REF!</definedName>
    <definedName name="____lb15" localSheetId="8">#REF!</definedName>
    <definedName name="____lb15" hidden="1">#REF!</definedName>
    <definedName name="____lb16" localSheetId="8">#REF!</definedName>
    <definedName name="____lb16" hidden="1">#REF!</definedName>
    <definedName name="____lb17" localSheetId="8">#REF!</definedName>
    <definedName name="____lb17" hidden="1">#REF!</definedName>
    <definedName name="____lb18" localSheetId="8">#REF!</definedName>
    <definedName name="____lb18" hidden="1">#REF!</definedName>
    <definedName name="____lb19" localSheetId="8">#REF!</definedName>
    <definedName name="____lb19" hidden="1">#REF!</definedName>
    <definedName name="____lb2" localSheetId="8">#REF!</definedName>
    <definedName name="____lb2" hidden="1">#REF!</definedName>
    <definedName name="____lb20" localSheetId="8">#REF!</definedName>
    <definedName name="____lb20" hidden="1">#REF!</definedName>
    <definedName name="____lb21" localSheetId="8">#REF!</definedName>
    <definedName name="____lb21" hidden="1">#REF!</definedName>
    <definedName name="____lb22" localSheetId="8">#REF!</definedName>
    <definedName name="____lb22" hidden="1">#REF!</definedName>
    <definedName name="____lb23" localSheetId="8">#REF!</definedName>
    <definedName name="____lb23" hidden="1">#REF!</definedName>
    <definedName name="____lb24" localSheetId="8">#REF!</definedName>
    <definedName name="____lb24" hidden="1">#REF!</definedName>
    <definedName name="____lb25" localSheetId="8">#REF!</definedName>
    <definedName name="____lb25" hidden="1">#REF!</definedName>
    <definedName name="____lb27" localSheetId="8">#REF!</definedName>
    <definedName name="____lb27" hidden="1">#REF!</definedName>
    <definedName name="____lb28" localSheetId="8">#REF!</definedName>
    <definedName name="____lb28" hidden="1">#REF!</definedName>
    <definedName name="____lb29" localSheetId="8">#REF!</definedName>
    <definedName name="____lb29" hidden="1">#REF!</definedName>
    <definedName name="____lb3" localSheetId="8">#REF!</definedName>
    <definedName name="____lb3" hidden="1">#REF!</definedName>
    <definedName name="____lb30" localSheetId="8">#REF!</definedName>
    <definedName name="____lb30" hidden="1">#REF!</definedName>
    <definedName name="____lb31" localSheetId="8">#REF!</definedName>
    <definedName name="____lb31" hidden="1">#REF!</definedName>
    <definedName name="____lb32" localSheetId="8">#REF!</definedName>
    <definedName name="____lb32" hidden="1">#REF!</definedName>
    <definedName name="____lb4" localSheetId="8">#REF!</definedName>
    <definedName name="____lb4" hidden="1">#REF!</definedName>
    <definedName name="____lb5" localSheetId="8">#REF!</definedName>
    <definedName name="____lb5" hidden="1">#REF!</definedName>
    <definedName name="____lb6" localSheetId="8">#REF!</definedName>
    <definedName name="____lb6" hidden="1">#REF!</definedName>
    <definedName name="____lb7" localSheetId="8">#REF!</definedName>
    <definedName name="____lb7" hidden="1">#REF!</definedName>
    <definedName name="____lb8" localSheetId="8">#REF!</definedName>
    <definedName name="____lb8" hidden="1">#REF!</definedName>
    <definedName name="____lb9" localSheetId="8">#REF!</definedName>
    <definedName name="____lb9" hidden="1">#REF!</definedName>
    <definedName name="____lbc1" localSheetId="8">#REF!</definedName>
    <definedName name="____lbc1" hidden="1">#REF!</definedName>
    <definedName name="____lbc10" localSheetId="8">#REF!</definedName>
    <definedName name="____lbc10" hidden="1">#REF!</definedName>
    <definedName name="____lbc11" localSheetId="8">#REF!</definedName>
    <definedName name="____lbc11" hidden="1">#REF!</definedName>
    <definedName name="____lbc12" localSheetId="8">#REF!</definedName>
    <definedName name="____lbc12" hidden="1">#REF!</definedName>
    <definedName name="____lbc13" localSheetId="8">#REF!</definedName>
    <definedName name="____lbc13" hidden="1">#REF!</definedName>
    <definedName name="____lbc14" localSheetId="8">#REF!</definedName>
    <definedName name="____lbc14" hidden="1">#REF!</definedName>
    <definedName name="____lbc15" localSheetId="8">#REF!</definedName>
    <definedName name="____lbc15" hidden="1">#REF!</definedName>
    <definedName name="____lbc16" localSheetId="8">#REF!</definedName>
    <definedName name="____lbc16" hidden="1">#REF!</definedName>
    <definedName name="____lbc17" localSheetId="8">#REF!</definedName>
    <definedName name="____lbc17" hidden="1">#REF!</definedName>
    <definedName name="____lbc18" localSheetId="8">#REF!</definedName>
    <definedName name="____lbc18" hidden="1">#REF!</definedName>
    <definedName name="____lbc19" localSheetId="8">#REF!</definedName>
    <definedName name="____lbc19" hidden="1">#REF!</definedName>
    <definedName name="____lbc2" localSheetId="8">#REF!</definedName>
    <definedName name="____lbc2" hidden="1">#REF!</definedName>
    <definedName name="____lbc20" localSheetId="8">#REF!</definedName>
    <definedName name="____lbc20" hidden="1">#REF!</definedName>
    <definedName name="____lbc21" localSheetId="8">#REF!</definedName>
    <definedName name="____lbc21" hidden="1">#REF!</definedName>
    <definedName name="____lbc22" localSheetId="8">#REF!</definedName>
    <definedName name="____lbc22" hidden="1">#REF!</definedName>
    <definedName name="____lbc23" localSheetId="8">#REF!</definedName>
    <definedName name="____lbc23" hidden="1">#REF!</definedName>
    <definedName name="____lbc24" localSheetId="8">#REF!</definedName>
    <definedName name="____lbc24" hidden="1">#REF!</definedName>
    <definedName name="____lbc25" localSheetId="8">#REF!</definedName>
    <definedName name="____lbc25" hidden="1">#REF!</definedName>
    <definedName name="____lbc26" localSheetId="8">#REF!</definedName>
    <definedName name="____lbc26" hidden="1">#REF!</definedName>
    <definedName name="____lbc27" localSheetId="8">#REF!</definedName>
    <definedName name="____lbc27" hidden="1">#REF!</definedName>
    <definedName name="____lbc28" localSheetId="8">#REF!</definedName>
    <definedName name="____lbc28" hidden="1">#REF!</definedName>
    <definedName name="____lbc29" localSheetId="8">#REF!</definedName>
    <definedName name="____lbc29" hidden="1">#REF!</definedName>
    <definedName name="____lbc3" localSheetId="8">#REF!</definedName>
    <definedName name="____lbc3" hidden="1">#REF!</definedName>
    <definedName name="____lbc31" localSheetId="8">#REF!</definedName>
    <definedName name="____lbc31" hidden="1">#REF!</definedName>
    <definedName name="____lbc32" localSheetId="8">#REF!</definedName>
    <definedName name="____lbc32" hidden="1">#REF!</definedName>
    <definedName name="____lbc4" localSheetId="8">#REF!</definedName>
    <definedName name="____lbc4" hidden="1">#REF!</definedName>
    <definedName name="____lbc5" localSheetId="8">#REF!</definedName>
    <definedName name="____lbc5" hidden="1">#REF!</definedName>
    <definedName name="____lbc6" localSheetId="8">#REF!</definedName>
    <definedName name="____lbc6" hidden="1">#REF!</definedName>
    <definedName name="____lbc7" localSheetId="8">#REF!</definedName>
    <definedName name="____lbc7" hidden="1">#REF!</definedName>
    <definedName name="____lbc8" localSheetId="8">#REF!</definedName>
    <definedName name="____lbc8" hidden="1">#REF!</definedName>
    <definedName name="____lbc9" localSheetId="8">#REF!</definedName>
    <definedName name="____lbc9" hidden="1">#REF!</definedName>
    <definedName name="____ld26" localSheetId="8">#REF!</definedName>
    <definedName name="____ld26" hidden="1">#REF!</definedName>
    <definedName name="____ld31" localSheetId="8">#REF!</definedName>
    <definedName name="____ld31" hidden="1">#REF!</definedName>
    <definedName name="____le31" localSheetId="8">#REF!</definedName>
    <definedName name="____le31" hidden="1">#REF!</definedName>
    <definedName name="____lf31" localSheetId="8">#REF!</definedName>
    <definedName name="____lf31" hidden="1">#REF!</definedName>
    <definedName name="____PK2" localSheetId="3" hidden="1">{"'장비'!$A$3:$M$12"}</definedName>
    <definedName name="____PK2" localSheetId="8">{"'장비'!$A$3:$M$12"}</definedName>
    <definedName name="____PK2" localSheetId="5" hidden="1">{"'장비'!$A$3:$M$12"}</definedName>
    <definedName name="____PK2" localSheetId="4" hidden="1">{"'장비'!$A$3:$M$12"}</definedName>
    <definedName name="____PK2" localSheetId="9">{"'장비'!$A$3:$M$12"}</definedName>
    <definedName name="____PK2" localSheetId="10" hidden="1">{"'장비'!$A$3:$M$12"}</definedName>
    <definedName name="____PK2" localSheetId="1" hidden="1">{"'장비'!$A$3:$M$12"}</definedName>
    <definedName name="____PK2" localSheetId="0">{"'장비'!$A$3:$M$12"}</definedName>
    <definedName name="____PK2" localSheetId="11" hidden="1">{"'장비'!$A$3:$M$12"}</definedName>
    <definedName name="____PK2" localSheetId="12" hidden="1">{"'장비'!$A$3:$M$12"}</definedName>
    <definedName name="____PK2" hidden="1">{"'장비'!$A$3:$M$12"}</definedName>
    <definedName name="____PKG3" localSheetId="3" hidden="1">{"'장비'!$A$3:$M$12"}</definedName>
    <definedName name="____PKG3" localSheetId="8">{"'장비'!$A$3:$M$12"}</definedName>
    <definedName name="____PKG3" localSheetId="5" hidden="1">{"'장비'!$A$3:$M$12"}</definedName>
    <definedName name="____PKG3" localSheetId="4" hidden="1">{"'장비'!$A$3:$M$12"}</definedName>
    <definedName name="____PKG3" localSheetId="9">{"'장비'!$A$3:$M$12"}</definedName>
    <definedName name="____PKG3" localSheetId="10" hidden="1">{"'장비'!$A$3:$M$12"}</definedName>
    <definedName name="____PKG3" localSheetId="1" hidden="1">{"'장비'!$A$3:$M$12"}</definedName>
    <definedName name="____PKG3" localSheetId="0">{"'장비'!$A$3:$M$12"}</definedName>
    <definedName name="____PKG3" localSheetId="11" hidden="1">{"'장비'!$A$3:$M$12"}</definedName>
    <definedName name="____PKG3" localSheetId="12" hidden="1">{"'장비'!$A$3:$M$12"}</definedName>
    <definedName name="____PKG3" hidden="1">{"'장비'!$A$3:$M$12"}</definedName>
    <definedName name="____qqq222" localSheetId="3" hidden="1">{"'장비'!$A$3:$M$12"}</definedName>
    <definedName name="____qqq222" localSheetId="8">{"'장비'!$A$3:$M$12"}</definedName>
    <definedName name="____qqq222" localSheetId="5" hidden="1">{"'장비'!$A$3:$M$12"}</definedName>
    <definedName name="____qqq222" localSheetId="4" hidden="1">{"'장비'!$A$3:$M$12"}</definedName>
    <definedName name="____qqq222" localSheetId="9">{"'장비'!$A$3:$M$12"}</definedName>
    <definedName name="____qqq222" localSheetId="10" hidden="1">{"'장비'!$A$3:$M$12"}</definedName>
    <definedName name="____qqq222" localSheetId="1" hidden="1">{"'장비'!$A$3:$M$12"}</definedName>
    <definedName name="____qqq222" localSheetId="0">{"'장비'!$A$3:$M$12"}</definedName>
    <definedName name="____qqq222" localSheetId="11" hidden="1">{"'장비'!$A$3:$M$12"}</definedName>
    <definedName name="____qqq222" localSheetId="12" hidden="1">{"'장비'!$A$3:$M$12"}</definedName>
    <definedName name="____qqq222" hidden="1">{"'장비'!$A$3:$M$12"}</definedName>
    <definedName name="_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x10" localSheetId="8">#REF!</definedName>
    <definedName name="____x10" localSheetId="9">#REF!</definedName>
    <definedName name="____x10" localSheetId="10" hidden="1">#REF!</definedName>
    <definedName name="____x10" localSheetId="0">#REF!</definedName>
    <definedName name="____x10" localSheetId="11" hidden="1">#REF!</definedName>
    <definedName name="____x10" localSheetId="12" hidden="1">#REF!</definedName>
    <definedName name="____x10" hidden="1">#REF!</definedName>
    <definedName name="____x11" localSheetId="8">#REF!</definedName>
    <definedName name="____x11" localSheetId="9">#REF!</definedName>
    <definedName name="____x11" localSheetId="10" hidden="1">#REF!</definedName>
    <definedName name="____x11" localSheetId="0">#REF!</definedName>
    <definedName name="____x11" localSheetId="11" hidden="1">#REF!</definedName>
    <definedName name="____x11" localSheetId="12" hidden="1">#REF!</definedName>
    <definedName name="____x11" hidden="1">#REF!</definedName>
    <definedName name="____x12" localSheetId="8">#REF!</definedName>
    <definedName name="____x12" localSheetId="9">#REF!</definedName>
    <definedName name="____x12" localSheetId="10" hidden="1">#REF!</definedName>
    <definedName name="____x12" localSheetId="0">#REF!</definedName>
    <definedName name="____x12" localSheetId="11" hidden="1">#REF!</definedName>
    <definedName name="____x12" localSheetId="12" hidden="1">#REF!</definedName>
    <definedName name="____x12" hidden="1">#REF!</definedName>
    <definedName name="____x13" localSheetId="8">#REF!</definedName>
    <definedName name="____x13" hidden="1">#REF!</definedName>
    <definedName name="____x14" localSheetId="8">#REF!</definedName>
    <definedName name="____x14" hidden="1">#REF!</definedName>
    <definedName name="____x15" localSheetId="8">#REF!</definedName>
    <definedName name="____x15" hidden="1">#REF!</definedName>
    <definedName name="____x16" localSheetId="8">#REF!</definedName>
    <definedName name="____x16" hidden="1">#REF!</definedName>
    <definedName name="____x17" localSheetId="8">#REF!</definedName>
    <definedName name="____x17" hidden="1">#REF!</definedName>
    <definedName name="____x18" localSheetId="8">#REF!</definedName>
    <definedName name="____x18" hidden="1">#REF!</definedName>
    <definedName name="____x19" localSheetId="8">#REF!</definedName>
    <definedName name="____x19" hidden="1">#REF!</definedName>
    <definedName name="____x20" localSheetId="8">#REF!</definedName>
    <definedName name="____x20" hidden="1">#REF!</definedName>
    <definedName name="____x21" localSheetId="8">#REF!</definedName>
    <definedName name="____x21" hidden="1">#REF!</definedName>
    <definedName name="____x22" localSheetId="8">#REF!</definedName>
    <definedName name="____x22" hidden="1">#REF!</definedName>
    <definedName name="____x23" localSheetId="8">#REF!</definedName>
    <definedName name="____x23" hidden="1">#REF!</definedName>
    <definedName name="____x24" localSheetId="8">#REF!</definedName>
    <definedName name="____x24" hidden="1">#REF!</definedName>
    <definedName name="____x25" localSheetId="8">#REF!</definedName>
    <definedName name="____x25" hidden="1">#REF!</definedName>
    <definedName name="____x28" localSheetId="8">#REF!</definedName>
    <definedName name="____x28" hidden="1">#REF!</definedName>
    <definedName name="____x29" localSheetId="8">#REF!</definedName>
    <definedName name="____x29" hidden="1">#REF!</definedName>
    <definedName name="____x32" localSheetId="8">#REF!</definedName>
    <definedName name="____x32" hidden="1">#REF!</definedName>
    <definedName name="____x4" localSheetId="8">#REF!</definedName>
    <definedName name="____x4" hidden="1">#REF!</definedName>
    <definedName name="____x5" localSheetId="8">#REF!</definedName>
    <definedName name="____x5" hidden="1">#REF!</definedName>
    <definedName name="____x6" localSheetId="8">#REF!</definedName>
    <definedName name="____x6" hidden="1">#REF!</definedName>
    <definedName name="____x7" localSheetId="8">#REF!</definedName>
    <definedName name="____x7" hidden="1">#REF!</definedName>
    <definedName name="____x8" localSheetId="8">#REF!</definedName>
    <definedName name="____x8" hidden="1">#REF!</definedName>
    <definedName name="____x9" localSheetId="8">#REF!</definedName>
    <definedName name="____x9" hidden="1">#REF!</definedName>
    <definedName name="___ACR10" localSheetId="8">#REF!</definedName>
    <definedName name="___ACR10" localSheetId="5">#REF!</definedName>
    <definedName name="___ACR10" localSheetId="10">#REF!</definedName>
    <definedName name="___ACR10" localSheetId="11">#REF!</definedName>
    <definedName name="___ACR10" localSheetId="12">#REF!</definedName>
    <definedName name="___ACR10">#REF!</definedName>
    <definedName name="___ACR15" localSheetId="8">#REF!</definedName>
    <definedName name="___ACR15" localSheetId="5">#REF!</definedName>
    <definedName name="___ACR15" localSheetId="10">#REF!</definedName>
    <definedName name="___ACR15" localSheetId="11">#REF!</definedName>
    <definedName name="___ACR15" localSheetId="12">#REF!</definedName>
    <definedName name="___ACR15">#REF!</definedName>
    <definedName name="___acr20" localSheetId="8">#REF!</definedName>
    <definedName name="___acr20" localSheetId="5">#REF!</definedName>
    <definedName name="___acr20" localSheetId="10">#REF!</definedName>
    <definedName name="___acr20" localSheetId="11">#REF!</definedName>
    <definedName name="___acr20" localSheetId="12">#REF!</definedName>
    <definedName name="___acr20">#REF!</definedName>
    <definedName name="___acr5" localSheetId="8">#REF!</definedName>
    <definedName name="___acr5" localSheetId="5">#REF!</definedName>
    <definedName name="___acr5" localSheetId="10">#REF!</definedName>
    <definedName name="___acr5" localSheetId="11">#REF!</definedName>
    <definedName name="___acr5" localSheetId="12">#REF!</definedName>
    <definedName name="___acr5">#REF!</definedName>
    <definedName name="___ARQ1" localSheetId="8">#REF!</definedName>
    <definedName name="___ARQ1" localSheetId="5">#REF!</definedName>
    <definedName name="___ARQ1" localSheetId="10">#REF!</definedName>
    <definedName name="___ARQ1" localSheetId="11">#REF!</definedName>
    <definedName name="___ARQ1" localSheetId="12">#REF!</definedName>
    <definedName name="___ARQ1">#REF!</definedName>
    <definedName name="_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_key2" localSheetId="8">#REF!</definedName>
    <definedName name="___key2" localSheetId="5" hidden="1">#REF!</definedName>
    <definedName name="___key2" localSheetId="9">#REF!</definedName>
    <definedName name="___key2" localSheetId="10" hidden="1">#REF!</definedName>
    <definedName name="___key2" localSheetId="1" hidden="1">#REF!</definedName>
    <definedName name="___key2" localSheetId="0">#REF!</definedName>
    <definedName name="___key2" localSheetId="11" hidden="1">#REF!</definedName>
    <definedName name="___key2" localSheetId="12" hidden="1">#REF!</definedName>
    <definedName name="___key2" hidden="1">#REF!</definedName>
    <definedName name="___la29" localSheetId="8">#REF!</definedName>
    <definedName name="___la29" localSheetId="9">#REF!</definedName>
    <definedName name="___la29" localSheetId="10" hidden="1">#REF!</definedName>
    <definedName name="___la29" localSheetId="1" hidden="1">#REF!</definedName>
    <definedName name="___la29" localSheetId="0">#REF!</definedName>
    <definedName name="___la29" localSheetId="11" hidden="1">#REF!</definedName>
    <definedName name="___la29" localSheetId="12" hidden="1">#REF!</definedName>
    <definedName name="___la29" hidden="1">#REF!</definedName>
    <definedName name="___la3" localSheetId="8">#REF!</definedName>
    <definedName name="___la3" localSheetId="9">#REF!</definedName>
    <definedName name="___la3" localSheetId="1" hidden="1">#REF!</definedName>
    <definedName name="___la3" localSheetId="0">#REF!</definedName>
    <definedName name="___la3" hidden="1">#REF!</definedName>
    <definedName name="___la31" localSheetId="8">#REF!</definedName>
    <definedName name="___la31" hidden="1">#REF!</definedName>
    <definedName name="___la32" localSheetId="8">#REF!</definedName>
    <definedName name="___la32" hidden="1">#REF!</definedName>
    <definedName name="___la4" localSheetId="8">#REF!</definedName>
    <definedName name="___la4" hidden="1">#REF!</definedName>
    <definedName name="___la5" localSheetId="8">#REF!</definedName>
    <definedName name="___la5" hidden="1">#REF!</definedName>
    <definedName name="___la6" localSheetId="8">#REF!</definedName>
    <definedName name="___la6" hidden="1">#REF!</definedName>
    <definedName name="___la7" localSheetId="8">#REF!</definedName>
    <definedName name="___la7" hidden="1">#REF!</definedName>
    <definedName name="___la8" localSheetId="8">#REF!</definedName>
    <definedName name="___la8" hidden="1">#REF!</definedName>
    <definedName name="___la9" localSheetId="8">#REF!</definedName>
    <definedName name="___la9" hidden="1">#REF!</definedName>
    <definedName name="___lb1" localSheetId="8">#REF!</definedName>
    <definedName name="___lb1" hidden="1">#REF!</definedName>
    <definedName name="___lb10" localSheetId="8">#REF!</definedName>
    <definedName name="___lb10" hidden="1">#REF!</definedName>
    <definedName name="___lb11" localSheetId="8">#REF!</definedName>
    <definedName name="___lb11" hidden="1">#REF!</definedName>
    <definedName name="___lb12" localSheetId="8">#REF!</definedName>
    <definedName name="___lb12" hidden="1">#REF!</definedName>
    <definedName name="___lb13" localSheetId="8">#REF!</definedName>
    <definedName name="___lb13" hidden="1">#REF!</definedName>
    <definedName name="___lb14" localSheetId="8">#REF!</definedName>
    <definedName name="___lb14" hidden="1">#REF!</definedName>
    <definedName name="___lb15" localSheetId="8">#REF!</definedName>
    <definedName name="___lb15" hidden="1">#REF!</definedName>
    <definedName name="___lb16" localSheetId="8">#REF!</definedName>
    <definedName name="___lb16" hidden="1">#REF!</definedName>
    <definedName name="___lb17" localSheetId="8">#REF!</definedName>
    <definedName name="___lb17" hidden="1">#REF!</definedName>
    <definedName name="___lb18" localSheetId="8">#REF!</definedName>
    <definedName name="___lb18" hidden="1">#REF!</definedName>
    <definedName name="___lb19" localSheetId="8">#REF!</definedName>
    <definedName name="___lb19" hidden="1">#REF!</definedName>
    <definedName name="___lb2" localSheetId="8">#REF!</definedName>
    <definedName name="___lb2" hidden="1">#REF!</definedName>
    <definedName name="___lb20" localSheetId="8">#REF!</definedName>
    <definedName name="___lb20" hidden="1">#REF!</definedName>
    <definedName name="___lb21" localSheetId="8">#REF!</definedName>
    <definedName name="___lb21" hidden="1">#REF!</definedName>
    <definedName name="___lb22" localSheetId="8">#REF!</definedName>
    <definedName name="___lb22" hidden="1">#REF!</definedName>
    <definedName name="___lb23" localSheetId="8">#REF!</definedName>
    <definedName name="___lb23" hidden="1">#REF!</definedName>
    <definedName name="___lb24" localSheetId="8">#REF!</definedName>
    <definedName name="___lb24" hidden="1">#REF!</definedName>
    <definedName name="___lb25" localSheetId="8">#REF!</definedName>
    <definedName name="___lb25" hidden="1">#REF!</definedName>
    <definedName name="___lb27" localSheetId="8">#REF!</definedName>
    <definedName name="___lb27" hidden="1">#REF!</definedName>
    <definedName name="___lb28" localSheetId="8">#REF!</definedName>
    <definedName name="___lb28" hidden="1">#REF!</definedName>
    <definedName name="___lb29" localSheetId="8">#REF!</definedName>
    <definedName name="___lb29" hidden="1">#REF!</definedName>
    <definedName name="___lb3" localSheetId="8">#REF!</definedName>
    <definedName name="___lb3" hidden="1">#REF!</definedName>
    <definedName name="___lb30" localSheetId="8">#REF!</definedName>
    <definedName name="___lb30" hidden="1">#REF!</definedName>
    <definedName name="___lb31" localSheetId="8">#REF!</definedName>
    <definedName name="___lb31" hidden="1">#REF!</definedName>
    <definedName name="___lb32" localSheetId="8">#REF!</definedName>
    <definedName name="___lb32" hidden="1">#REF!</definedName>
    <definedName name="___lb4" localSheetId="8">#REF!</definedName>
    <definedName name="___lb4" hidden="1">#REF!</definedName>
    <definedName name="___lb5" localSheetId="8">#REF!</definedName>
    <definedName name="___lb5" hidden="1">#REF!</definedName>
    <definedName name="___lb6" localSheetId="8">#REF!</definedName>
    <definedName name="___lb6" hidden="1">#REF!</definedName>
    <definedName name="___lb7" localSheetId="8">#REF!</definedName>
    <definedName name="___lb7" hidden="1">#REF!</definedName>
    <definedName name="___lb8" localSheetId="8">#REF!</definedName>
    <definedName name="___lb8" hidden="1">#REF!</definedName>
    <definedName name="___lb9" localSheetId="8">#REF!</definedName>
    <definedName name="___lb9" hidden="1">#REF!</definedName>
    <definedName name="___lbc1" localSheetId="8">#REF!</definedName>
    <definedName name="___lbc1" hidden="1">#REF!</definedName>
    <definedName name="___lbc10" localSheetId="8">#REF!</definedName>
    <definedName name="___lbc10" hidden="1">#REF!</definedName>
    <definedName name="___lbc11" localSheetId="8">#REF!</definedName>
    <definedName name="___lbc11" hidden="1">#REF!</definedName>
    <definedName name="___lbc12" localSheetId="8">#REF!</definedName>
    <definedName name="___lbc12" hidden="1">#REF!</definedName>
    <definedName name="___lbc13" localSheetId="8">#REF!</definedName>
    <definedName name="___lbc13" hidden="1">#REF!</definedName>
    <definedName name="___lbc14" localSheetId="8">#REF!</definedName>
    <definedName name="___lbc14" hidden="1">#REF!</definedName>
    <definedName name="___lbc15" localSheetId="8">#REF!</definedName>
    <definedName name="___lbc15" hidden="1">#REF!</definedName>
    <definedName name="___lbc16" localSheetId="8">#REF!</definedName>
    <definedName name="___lbc16" hidden="1">#REF!</definedName>
    <definedName name="___lbc17" localSheetId="8">#REF!</definedName>
    <definedName name="___lbc17" hidden="1">#REF!</definedName>
    <definedName name="___lbc18" localSheetId="8">#REF!</definedName>
    <definedName name="___lbc18" hidden="1">#REF!</definedName>
    <definedName name="___lbc19" localSheetId="8">#REF!</definedName>
    <definedName name="___lbc19" hidden="1">#REF!</definedName>
    <definedName name="___lbc2" localSheetId="8">#REF!</definedName>
    <definedName name="___lbc2" hidden="1">#REF!</definedName>
    <definedName name="___lbc20" localSheetId="8">#REF!</definedName>
    <definedName name="___lbc20" hidden="1">#REF!</definedName>
    <definedName name="___lbc21" localSheetId="8">#REF!</definedName>
    <definedName name="___lbc21" hidden="1">#REF!</definedName>
    <definedName name="___lbc22" localSheetId="8">#REF!</definedName>
    <definedName name="___lbc22" hidden="1">#REF!</definedName>
    <definedName name="___lbc23" localSheetId="8">#REF!</definedName>
    <definedName name="___lbc23" hidden="1">#REF!</definedName>
    <definedName name="___lbc24" localSheetId="8">#REF!</definedName>
    <definedName name="___lbc24" hidden="1">#REF!</definedName>
    <definedName name="___lbc25" localSheetId="8">#REF!</definedName>
    <definedName name="___lbc25" hidden="1">#REF!</definedName>
    <definedName name="___lbc26" localSheetId="8">#REF!</definedName>
    <definedName name="___lbc26" hidden="1">#REF!</definedName>
    <definedName name="___lbc27" localSheetId="8">#REF!</definedName>
    <definedName name="___lbc27" hidden="1">#REF!</definedName>
    <definedName name="___lbc28" localSheetId="8">#REF!</definedName>
    <definedName name="___lbc28" hidden="1">#REF!</definedName>
    <definedName name="___lbc29" localSheetId="8">#REF!</definedName>
    <definedName name="___lbc29" hidden="1">#REF!</definedName>
    <definedName name="___lbc3" localSheetId="8">#REF!</definedName>
    <definedName name="___lbc3" hidden="1">#REF!</definedName>
    <definedName name="___lbc31" localSheetId="8">#REF!</definedName>
    <definedName name="___lbc31" hidden="1">#REF!</definedName>
    <definedName name="___lbc32" localSheetId="8">#REF!</definedName>
    <definedName name="___lbc32" hidden="1">#REF!</definedName>
    <definedName name="___lbc4" localSheetId="8">#REF!</definedName>
    <definedName name="___lbc4" hidden="1">#REF!</definedName>
    <definedName name="___lbc5" localSheetId="8">#REF!</definedName>
    <definedName name="___lbc5" hidden="1">#REF!</definedName>
    <definedName name="___lbc6" localSheetId="8">#REF!</definedName>
    <definedName name="___lbc6" hidden="1">#REF!</definedName>
    <definedName name="___lbc7" localSheetId="8">#REF!</definedName>
    <definedName name="___lbc7" hidden="1">#REF!</definedName>
    <definedName name="___lbc8" localSheetId="8">#REF!</definedName>
    <definedName name="___lbc8" hidden="1">#REF!</definedName>
    <definedName name="___lbc9" localSheetId="8">#REF!</definedName>
    <definedName name="___lbc9" hidden="1">#REF!</definedName>
    <definedName name="___ld26" localSheetId="8">#REF!</definedName>
    <definedName name="___ld26" hidden="1">#REF!</definedName>
    <definedName name="___ld31" localSheetId="8">#REF!</definedName>
    <definedName name="___ld31" hidden="1">#REF!</definedName>
    <definedName name="___le31" localSheetId="8">#REF!</definedName>
    <definedName name="___le31" hidden="1">#REF!</definedName>
    <definedName name="___lf31" localSheetId="8">#REF!</definedName>
    <definedName name="___lf31" hidden="1">#REF!</definedName>
    <definedName name="___PK2" localSheetId="3" hidden="1">{"'장비'!$A$3:$M$12"}</definedName>
    <definedName name="___PK2" localSheetId="8">{"'장비'!$A$3:$M$12"}</definedName>
    <definedName name="___PK2" localSheetId="5" hidden="1">{"'장비'!$A$3:$M$12"}</definedName>
    <definedName name="___PK2" localSheetId="4" hidden="1">{"'장비'!$A$3:$M$12"}</definedName>
    <definedName name="___PK2" localSheetId="9">{"'장비'!$A$3:$M$12"}</definedName>
    <definedName name="___PK2" localSheetId="10" hidden="1">{"'장비'!$A$3:$M$12"}</definedName>
    <definedName name="___PK2" localSheetId="1" hidden="1">{"'장비'!$A$3:$M$12"}</definedName>
    <definedName name="___PK2" localSheetId="0">{"'장비'!$A$3:$M$12"}</definedName>
    <definedName name="___PK2" localSheetId="11" hidden="1">{"'장비'!$A$3:$M$12"}</definedName>
    <definedName name="___PK2" localSheetId="12" hidden="1">{"'장비'!$A$3:$M$12"}</definedName>
    <definedName name="___PK2" hidden="1">{"'장비'!$A$3:$M$12"}</definedName>
    <definedName name="___PKG3" localSheetId="3" hidden="1">{"'장비'!$A$3:$M$12"}</definedName>
    <definedName name="___PKG3" localSheetId="8">{"'장비'!$A$3:$M$12"}</definedName>
    <definedName name="___PKG3" localSheetId="5" hidden="1">{"'장비'!$A$3:$M$12"}</definedName>
    <definedName name="___PKG3" localSheetId="4" hidden="1">{"'장비'!$A$3:$M$12"}</definedName>
    <definedName name="___PKG3" localSheetId="9">{"'장비'!$A$3:$M$12"}</definedName>
    <definedName name="___PKG3" localSheetId="10" hidden="1">{"'장비'!$A$3:$M$12"}</definedName>
    <definedName name="___PKG3" localSheetId="1" hidden="1">{"'장비'!$A$3:$M$12"}</definedName>
    <definedName name="___PKG3" localSheetId="0">{"'장비'!$A$3:$M$12"}</definedName>
    <definedName name="___PKG3" localSheetId="11" hidden="1">{"'장비'!$A$3:$M$12"}</definedName>
    <definedName name="___PKG3" localSheetId="12" hidden="1">{"'장비'!$A$3:$M$12"}</definedName>
    <definedName name="___PKG3" hidden="1">{"'장비'!$A$3:$M$12"}</definedName>
    <definedName name="___qqq222" localSheetId="3" hidden="1">{"'장비'!$A$3:$M$12"}</definedName>
    <definedName name="___qqq222" localSheetId="8">{"'장비'!$A$3:$M$12"}</definedName>
    <definedName name="___qqq222" localSheetId="5" hidden="1">{"'장비'!$A$3:$M$12"}</definedName>
    <definedName name="___qqq222" localSheetId="4" hidden="1">{"'장비'!$A$3:$M$12"}</definedName>
    <definedName name="___qqq222" localSheetId="9">{"'장비'!$A$3:$M$12"}</definedName>
    <definedName name="___qqq222" localSheetId="10" hidden="1">{"'장비'!$A$3:$M$12"}</definedName>
    <definedName name="___qqq222" localSheetId="1" hidden="1">{"'장비'!$A$3:$M$12"}</definedName>
    <definedName name="___qqq222" localSheetId="0">{"'장비'!$A$3:$M$12"}</definedName>
    <definedName name="___qqq222" localSheetId="11" hidden="1">{"'장비'!$A$3:$M$12"}</definedName>
    <definedName name="___qqq222" localSheetId="12" hidden="1">{"'장비'!$A$3:$M$12"}</definedName>
    <definedName name="___qqq222" hidden="1">{"'장비'!$A$3:$M$12"}</definedName>
    <definedName name="___QT100" localSheetId="8">#REF!</definedName>
    <definedName name="___QT100" localSheetId="5">#REF!</definedName>
    <definedName name="___QT100" localSheetId="10">#REF!</definedName>
    <definedName name="___QT100" localSheetId="11">#REF!</definedName>
    <definedName name="___QT100" localSheetId="12">#REF!</definedName>
    <definedName name="___QT100">#REF!</definedName>
    <definedName name="___QT2" localSheetId="8">#REF!</definedName>
    <definedName name="___QT2" localSheetId="5">#REF!</definedName>
    <definedName name="___QT2" localSheetId="10">#REF!</definedName>
    <definedName name="___QT2" localSheetId="11">#REF!</definedName>
    <definedName name="___QT2" localSheetId="12">#REF!</definedName>
    <definedName name="___QT2">#REF!</definedName>
    <definedName name="___QT3" localSheetId="8">#REF!</definedName>
    <definedName name="___QT3" localSheetId="5">#REF!</definedName>
    <definedName name="___QT3" localSheetId="10">#REF!</definedName>
    <definedName name="___QT3" localSheetId="11">#REF!</definedName>
    <definedName name="___QT3" localSheetId="12">#REF!</definedName>
    <definedName name="___QT3">#REF!</definedName>
    <definedName name="___QT4" localSheetId="8">#REF!</definedName>
    <definedName name="___QT4" localSheetId="5">#REF!</definedName>
    <definedName name="___QT4" localSheetId="10">#REF!</definedName>
    <definedName name="___QT4" localSheetId="11">#REF!</definedName>
    <definedName name="___QT4" localSheetId="12">#REF!</definedName>
    <definedName name="___QT4">#REF!</definedName>
    <definedName name="___QT50" localSheetId="8">#REF!</definedName>
    <definedName name="___QT50" localSheetId="5">#REF!</definedName>
    <definedName name="___QT50" localSheetId="10">#REF!</definedName>
    <definedName name="___QT50" localSheetId="11">#REF!</definedName>
    <definedName name="___QT50" localSheetId="12">#REF!</definedName>
    <definedName name="___QT50">#REF!</definedName>
    <definedName name="___QT75" localSheetId="8">#REF!</definedName>
    <definedName name="___QT75" localSheetId="5">#REF!</definedName>
    <definedName name="___QT75" localSheetId="10">#REF!</definedName>
    <definedName name="___QT75" localSheetId="11">#REF!</definedName>
    <definedName name="___QT75" localSheetId="12">#REF!</definedName>
    <definedName name="___QT75">#REF!</definedName>
    <definedName name="_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x10" localSheetId="8">#REF!</definedName>
    <definedName name="___x10" localSheetId="9">#REF!</definedName>
    <definedName name="___x10" localSheetId="10" hidden="1">#REF!</definedName>
    <definedName name="___x10" localSheetId="0">#REF!</definedName>
    <definedName name="___x10" localSheetId="11" hidden="1">#REF!</definedName>
    <definedName name="___x10" localSheetId="12" hidden="1">#REF!</definedName>
    <definedName name="___x10" hidden="1">#REF!</definedName>
    <definedName name="___x11" localSheetId="8">#REF!</definedName>
    <definedName name="___x11" localSheetId="9">#REF!</definedName>
    <definedName name="___x11" localSheetId="10" hidden="1">#REF!</definedName>
    <definedName name="___x11" localSheetId="0">#REF!</definedName>
    <definedName name="___x11" localSheetId="11" hidden="1">#REF!</definedName>
    <definedName name="___x11" localSheetId="12" hidden="1">#REF!</definedName>
    <definedName name="___x11" hidden="1">#REF!</definedName>
    <definedName name="___x12" localSheetId="8">#REF!</definedName>
    <definedName name="___x12" localSheetId="9">#REF!</definedName>
    <definedName name="___x12" localSheetId="10" hidden="1">#REF!</definedName>
    <definedName name="___x12" localSheetId="0">#REF!</definedName>
    <definedName name="___x12" localSheetId="11" hidden="1">#REF!</definedName>
    <definedName name="___x12" localSheetId="12" hidden="1">#REF!</definedName>
    <definedName name="___x12" hidden="1">#REF!</definedName>
    <definedName name="___x13" localSheetId="8">#REF!</definedName>
    <definedName name="___x13" hidden="1">#REF!</definedName>
    <definedName name="___x14" localSheetId="8">#REF!</definedName>
    <definedName name="___x14" hidden="1">#REF!</definedName>
    <definedName name="___x15" localSheetId="8">#REF!</definedName>
    <definedName name="___x15" hidden="1">#REF!</definedName>
    <definedName name="___x16" localSheetId="8">#REF!</definedName>
    <definedName name="___x16" hidden="1">#REF!</definedName>
    <definedName name="___x17" localSheetId="8">#REF!</definedName>
    <definedName name="___x17" hidden="1">#REF!</definedName>
    <definedName name="___x18" localSheetId="8">#REF!</definedName>
    <definedName name="___x18" hidden="1">#REF!</definedName>
    <definedName name="___x19" localSheetId="8">#REF!</definedName>
    <definedName name="___x19" hidden="1">#REF!</definedName>
    <definedName name="___x20" localSheetId="8">#REF!</definedName>
    <definedName name="___x20" hidden="1">#REF!</definedName>
    <definedName name="___x21" localSheetId="8">#REF!</definedName>
    <definedName name="___x21" hidden="1">#REF!</definedName>
    <definedName name="___x22" localSheetId="8">#REF!</definedName>
    <definedName name="___x22" hidden="1">#REF!</definedName>
    <definedName name="___x23" localSheetId="8">#REF!</definedName>
    <definedName name="___x23" hidden="1">#REF!</definedName>
    <definedName name="___x24" localSheetId="8">#REF!</definedName>
    <definedName name="___x24" hidden="1">#REF!</definedName>
    <definedName name="___x25" localSheetId="8">#REF!</definedName>
    <definedName name="___x25" hidden="1">#REF!</definedName>
    <definedName name="___x28" localSheetId="8">#REF!</definedName>
    <definedName name="___x28" hidden="1">#REF!</definedName>
    <definedName name="___x29" localSheetId="8">#REF!</definedName>
    <definedName name="___x29" hidden="1">#REF!</definedName>
    <definedName name="___x32" localSheetId="8">#REF!</definedName>
    <definedName name="___x32" hidden="1">#REF!</definedName>
    <definedName name="___x4" localSheetId="8">#REF!</definedName>
    <definedName name="___x4" hidden="1">#REF!</definedName>
    <definedName name="___x5" localSheetId="8">#REF!</definedName>
    <definedName name="___x5" hidden="1">#REF!</definedName>
    <definedName name="___x6" localSheetId="8">#REF!</definedName>
    <definedName name="___x6" hidden="1">#REF!</definedName>
    <definedName name="___x7" localSheetId="8">#REF!</definedName>
    <definedName name="___x7" hidden="1">#REF!</definedName>
    <definedName name="___x8" localSheetId="8">#REF!</definedName>
    <definedName name="___x8" hidden="1">#REF!</definedName>
    <definedName name="___x9" localSheetId="8">#REF!</definedName>
    <definedName name="___x9" hidden="1">#REF!</definedName>
    <definedName name="__123Graph_A" localSheetId="8">#REF!</definedName>
    <definedName name="__123Graph_A" hidden="1">#REF!</definedName>
    <definedName name="__123Graph_AChart1" localSheetId="8">#REF!</definedName>
    <definedName name="__123Graph_AChart1" localSheetId="5" hidden="1">#REF!</definedName>
    <definedName name="__123Graph_AChart1" localSheetId="10" hidden="1">#REF!</definedName>
    <definedName name="__123Graph_AChart1" localSheetId="1" hidden="1">#REF!</definedName>
    <definedName name="__123Graph_AChart1" localSheetId="11" hidden="1">#REF!</definedName>
    <definedName name="__123Graph_AChart1" localSheetId="12" hidden="1">#REF!</definedName>
    <definedName name="__123Graph_AChart1" hidden="1">#REF!</definedName>
    <definedName name="__123Graph_ACurrent" localSheetId="8">#REF!</definedName>
    <definedName name="__123Graph_ACurrent" hidden="1">#REF!</definedName>
    <definedName name="__123Graph_ACUSTO" localSheetId="8">#REF!</definedName>
    <definedName name="__123Graph_ACUSTO" hidden="1">#REF!</definedName>
    <definedName name="__123Graph_AFAT" localSheetId="8">#REF!</definedName>
    <definedName name="__123Graph_AFAT" hidden="1">#REF!</definedName>
    <definedName name="__123Graph_AGRA1" localSheetId="8">#REF!</definedName>
    <definedName name="__123Graph_AGRA1" localSheetId="5" hidden="1">#REF!</definedName>
    <definedName name="__123Graph_AGRA1" localSheetId="10" hidden="1">#REF!</definedName>
    <definedName name="__123Graph_AGRA1" localSheetId="1" hidden="1">#REF!</definedName>
    <definedName name="__123Graph_AGRA1" localSheetId="11" hidden="1">#REF!</definedName>
    <definedName name="__123Graph_AGRA1" localSheetId="12" hidden="1">#REF!</definedName>
    <definedName name="__123Graph_AGRA1" hidden="1">#REF!</definedName>
    <definedName name="__123Graph_ARES" localSheetId="8">#REF!</definedName>
    <definedName name="__123Graph_ARES" localSheetId="5" hidden="1">#REF!</definedName>
    <definedName name="__123Graph_ARES" localSheetId="10" hidden="1">#REF!</definedName>
    <definedName name="__123Graph_ARES" localSheetId="1" hidden="1">#REF!</definedName>
    <definedName name="__123Graph_ARES" localSheetId="11" hidden="1">#REF!</definedName>
    <definedName name="__123Graph_ARES" localSheetId="12" hidden="1">#REF!</definedName>
    <definedName name="__123Graph_ARES" hidden="1">#REF!</definedName>
    <definedName name="__123Graph_B" localSheetId="8">#REF!</definedName>
    <definedName name="__123Graph_B" localSheetId="5" hidden="1">#REF!</definedName>
    <definedName name="__123Graph_B" localSheetId="10" hidden="1">#REF!</definedName>
    <definedName name="__123Graph_B" localSheetId="1" hidden="1">#REF!</definedName>
    <definedName name="__123Graph_B" localSheetId="11" hidden="1">#REF!</definedName>
    <definedName name="__123Graph_B" localSheetId="12" hidden="1">#REF!</definedName>
    <definedName name="__123Graph_B" hidden="1">#REF!</definedName>
    <definedName name="__123Graph_BChart1" localSheetId="8">#REF!</definedName>
    <definedName name="__123Graph_BChart1" localSheetId="5" hidden="1">#REF!</definedName>
    <definedName name="__123Graph_BChart1" localSheetId="10" hidden="1">#REF!</definedName>
    <definedName name="__123Graph_BChart1" localSheetId="1" hidden="1">#REF!</definedName>
    <definedName name="__123Graph_BChart1" localSheetId="11" hidden="1">#REF!</definedName>
    <definedName name="__123Graph_BChart1" localSheetId="12" hidden="1">#REF!</definedName>
    <definedName name="__123Graph_BChart1" hidden="1">#REF!</definedName>
    <definedName name="__123Graph_BCurrent" localSheetId="8">#REF!</definedName>
    <definedName name="__123Graph_BCurrent" hidden="1">#REF!</definedName>
    <definedName name="__123Graph_BCUSTO" localSheetId="8">#REF!</definedName>
    <definedName name="__123Graph_BCUSTO" hidden="1">#REF!</definedName>
    <definedName name="__123Graph_BFAT" localSheetId="8">#REF!</definedName>
    <definedName name="__123Graph_BFAT" hidden="1">#REF!</definedName>
    <definedName name="__123Graph_BPERFORMANCE" localSheetId="8">#REF!</definedName>
    <definedName name="__123Graph_BPERFORMANCE" hidden="1">#REF!</definedName>
    <definedName name="__123Graph_BRES" localSheetId="8">#REF!</definedName>
    <definedName name="__123Graph_BRES" hidden="1">#REF!</definedName>
    <definedName name="__123Graph_C" localSheetId="8">#REF!</definedName>
    <definedName name="__123Graph_C" localSheetId="5" hidden="1">#REF!</definedName>
    <definedName name="__123Graph_C" localSheetId="10" hidden="1">#REF!</definedName>
    <definedName name="__123Graph_C" localSheetId="1" hidden="1">#REF!</definedName>
    <definedName name="__123Graph_C" localSheetId="11" hidden="1">#REF!</definedName>
    <definedName name="__123Graph_C" localSheetId="12" hidden="1">#REF!</definedName>
    <definedName name="__123Graph_C" hidden="1">#REF!</definedName>
    <definedName name="__123Graph_D" localSheetId="8">#REF!</definedName>
    <definedName name="__123Graph_D" localSheetId="5" hidden="1">#REF!</definedName>
    <definedName name="__123Graph_D" localSheetId="10" hidden="1">#REF!</definedName>
    <definedName name="__123Graph_D" localSheetId="1" hidden="1">#REF!</definedName>
    <definedName name="__123Graph_D" localSheetId="11" hidden="1">#REF!</definedName>
    <definedName name="__123Graph_D" localSheetId="12" hidden="1">#REF!</definedName>
    <definedName name="__123Graph_D" hidden="1">#REF!</definedName>
    <definedName name="__123Graph_E" localSheetId="8">#REF!</definedName>
    <definedName name="__123Graph_E" hidden="1">#REF!</definedName>
    <definedName name="__123Graph_F" localSheetId="8">#REF!</definedName>
    <definedName name="__123Graph_F" hidden="1">#REF!</definedName>
    <definedName name="__123Graph_LBL_A" localSheetId="8">#REF!</definedName>
    <definedName name="__123Graph_LBL_A" hidden="1">#REF!</definedName>
    <definedName name="__123Graph_LBL_B" localSheetId="8">#REF!</definedName>
    <definedName name="__123Graph_LBL_B" hidden="1">#REF!</definedName>
    <definedName name="__123Graph_X" localSheetId="8">#REF!</definedName>
    <definedName name="__123Graph_X" localSheetId="5" hidden="1">#REF!</definedName>
    <definedName name="__123Graph_X" localSheetId="10" hidden="1">#REF!</definedName>
    <definedName name="__123Graph_X" localSheetId="1" hidden="1">#REF!</definedName>
    <definedName name="__123Graph_X" localSheetId="11" hidden="1">#REF!</definedName>
    <definedName name="__123Graph_X" localSheetId="12" hidden="1">#REF!</definedName>
    <definedName name="__123Graph_X" hidden="1">#REF!</definedName>
    <definedName name="__123Graph_XChart1" localSheetId="8">#REF!</definedName>
    <definedName name="__123Graph_XChart1" localSheetId="5" hidden="1">#REF!</definedName>
    <definedName name="__123Graph_XChart1" localSheetId="10" hidden="1">#REF!</definedName>
    <definedName name="__123Graph_XChart1" localSheetId="1" hidden="1">#REF!</definedName>
    <definedName name="__123Graph_XChart1" localSheetId="11" hidden="1">#REF!</definedName>
    <definedName name="__123Graph_XChart1" localSheetId="12" hidden="1">#REF!</definedName>
    <definedName name="__123Graph_XChart1" hidden="1">#REF!</definedName>
    <definedName name="__123Graph_XCurrent" localSheetId="8">#REF!</definedName>
    <definedName name="__123Graph_XCurrent" hidden="1">#REF!</definedName>
    <definedName name="__123Graph_XCUSTO" localSheetId="8">#REF!</definedName>
    <definedName name="__123Graph_XCUSTO" hidden="1">#REF!</definedName>
    <definedName name="__123Graph_XFAT" localSheetId="8">#REF!</definedName>
    <definedName name="__123Graph_XFAT" hidden="1">#REF!</definedName>
    <definedName name="__123Graph_XGRA1" localSheetId="8">#REF!</definedName>
    <definedName name="__123Graph_XGRA1" localSheetId="5" hidden="1">#REF!</definedName>
    <definedName name="__123Graph_XGRA1" localSheetId="10" hidden="1">#REF!</definedName>
    <definedName name="__123Graph_XGRA1" localSheetId="1" hidden="1">#REF!</definedName>
    <definedName name="__123Graph_XGRA1" localSheetId="11" hidden="1">#REF!</definedName>
    <definedName name="__123Graph_XGRA1" localSheetId="12" hidden="1">#REF!</definedName>
    <definedName name="__123Graph_XGRA1" hidden="1">#REF!</definedName>
    <definedName name="__123Graph_XRES" localSheetId="8">#REF!</definedName>
    <definedName name="__123Graph_XRES" localSheetId="5" hidden="1">#REF!</definedName>
    <definedName name="__123Graph_XRES" localSheetId="10" hidden="1">#REF!</definedName>
    <definedName name="__123Graph_XRES" localSheetId="1" hidden="1">#REF!</definedName>
    <definedName name="__123Graph_XRES" localSheetId="11" hidden="1">#REF!</definedName>
    <definedName name="__123Graph_XRES" localSheetId="12" hidden="1">#REF!</definedName>
    <definedName name="__123Graph_XRES" hidden="1">#REF!</definedName>
    <definedName name="__ACR10" localSheetId="8">#REF!</definedName>
    <definedName name="__ACR10" localSheetId="5">#REF!</definedName>
    <definedName name="__ACR10" localSheetId="10">#REF!</definedName>
    <definedName name="__ACR10" localSheetId="11">#REF!</definedName>
    <definedName name="__ACR10" localSheetId="12">#REF!</definedName>
    <definedName name="__ACR10">#REF!</definedName>
    <definedName name="__ACR15" localSheetId="8">#REF!</definedName>
    <definedName name="__ACR15" localSheetId="5">#REF!</definedName>
    <definedName name="__ACR15" localSheetId="10">#REF!</definedName>
    <definedName name="__ACR15" localSheetId="11">#REF!</definedName>
    <definedName name="__ACR15" localSheetId="12">#REF!</definedName>
    <definedName name="__ACR15">#REF!</definedName>
    <definedName name="__acr20" localSheetId="8">#REF!</definedName>
    <definedName name="__acr20" localSheetId="5">#REF!</definedName>
    <definedName name="__acr20" localSheetId="10">#REF!</definedName>
    <definedName name="__acr20" localSheetId="11">#REF!</definedName>
    <definedName name="__acr20" localSheetId="12">#REF!</definedName>
    <definedName name="__acr20">#REF!</definedName>
    <definedName name="__acr5" localSheetId="8">#REF!</definedName>
    <definedName name="__acr5" localSheetId="5">#REF!</definedName>
    <definedName name="__acr5" localSheetId="10">#REF!</definedName>
    <definedName name="__acr5" localSheetId="11">#REF!</definedName>
    <definedName name="__acr5" localSheetId="12">#REF!</definedName>
    <definedName name="__acr5">#REF!</definedName>
    <definedName name="__ARQ1" localSheetId="8">#REF!</definedName>
    <definedName name="__ARQ1" localSheetId="5">#REF!</definedName>
    <definedName name="__ARQ1" localSheetId="10">#REF!</definedName>
    <definedName name="__ARQ1" localSheetId="11">#REF!</definedName>
    <definedName name="__ARQ1" localSheetId="12">#REF!</definedName>
    <definedName name="__ARQ1">#REF!</definedName>
    <definedName name="__Axe3" localSheetId="8">#REF!</definedName>
    <definedName name="__Axe3" localSheetId="5">#REF!</definedName>
    <definedName name="__Axe3" localSheetId="10">#REF!</definedName>
    <definedName name="__Axe3" localSheetId="11">#REF!</definedName>
    <definedName name="__Axe3" localSheetId="12">#REF!</definedName>
    <definedName name="__Axe3">#REF!</definedName>
    <definedName name="__Axe4" localSheetId="8">#REF!</definedName>
    <definedName name="__Axe4" localSheetId="5">#REF!</definedName>
    <definedName name="__Axe4" localSheetId="10">#REF!</definedName>
    <definedName name="__Axe4" localSheetId="11">#REF!</definedName>
    <definedName name="__Axe4" localSheetId="12">#REF!</definedName>
    <definedName name="__Axe4">#REF!</definedName>
    <definedName name="_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_htm2" localSheetId="8">#REF!</definedName>
    <definedName name="__htm2" localSheetId="5">#REF!</definedName>
    <definedName name="__htm2" localSheetId="9">#REF!</definedName>
    <definedName name="__htm2" localSheetId="10">#REF!</definedName>
    <definedName name="__htm2" localSheetId="0">#REF!</definedName>
    <definedName name="__htm2" localSheetId="11">#REF!</definedName>
    <definedName name="__htm2" localSheetId="12">#REF!</definedName>
    <definedName name="__htm2">#REF!</definedName>
    <definedName name="__htn2" localSheetId="8">#REF!</definedName>
    <definedName name="__htn2" localSheetId="5">#REF!</definedName>
    <definedName name="__htn2" localSheetId="9">#REF!</definedName>
    <definedName name="__htn2" localSheetId="10">#REF!</definedName>
    <definedName name="__htn2" localSheetId="0">#REF!</definedName>
    <definedName name="__htn2" localSheetId="11">#REF!</definedName>
    <definedName name="__htn2" localSheetId="12">#REF!</definedName>
    <definedName name="__htn2">#REF!</definedName>
    <definedName name="__iss2" localSheetId="8">#REF!</definedName>
    <definedName name="__iss2" localSheetId="5">#REF!</definedName>
    <definedName name="__iss2" localSheetId="9">#REF!</definedName>
    <definedName name="__iss2" localSheetId="10">#REF!</definedName>
    <definedName name="__iss2" localSheetId="0">#REF!</definedName>
    <definedName name="__iss2" localSheetId="11">#REF!</definedName>
    <definedName name="__iss2" localSheetId="12">#REF!</definedName>
    <definedName name="__iss2">#REF!</definedName>
    <definedName name="__key2" localSheetId="8">#REF!</definedName>
    <definedName name="__key2" localSheetId="1" hidden="1">#REF!</definedName>
    <definedName name="__key2" hidden="1">#REF!</definedName>
    <definedName name="__la29" localSheetId="8">#REF!</definedName>
    <definedName name="__la29" localSheetId="1" hidden="1">#REF!</definedName>
    <definedName name="__la29" hidden="1">#REF!</definedName>
    <definedName name="__la3" localSheetId="8">#REF!</definedName>
    <definedName name="__la3" localSheetId="1" hidden="1">#REF!</definedName>
    <definedName name="__la3" hidden="1">#REF!</definedName>
    <definedName name="__la31" localSheetId="8">#REF!</definedName>
    <definedName name="__la31" hidden="1">#REF!</definedName>
    <definedName name="__la32" localSheetId="8">#REF!</definedName>
    <definedName name="__la32" hidden="1">#REF!</definedName>
    <definedName name="__la4" localSheetId="8">#REF!</definedName>
    <definedName name="__la4" hidden="1">#REF!</definedName>
    <definedName name="__la5" localSheetId="8">#REF!</definedName>
    <definedName name="__la5" hidden="1">#REF!</definedName>
    <definedName name="__la6" localSheetId="8">#REF!</definedName>
    <definedName name="__la6" hidden="1">#REF!</definedName>
    <definedName name="__la7" localSheetId="8">#REF!</definedName>
    <definedName name="__la7" hidden="1">#REF!</definedName>
    <definedName name="__la8" localSheetId="8">#REF!</definedName>
    <definedName name="__la8" hidden="1">#REF!</definedName>
    <definedName name="__la9" localSheetId="8">#REF!</definedName>
    <definedName name="__la9" hidden="1">#REF!</definedName>
    <definedName name="__lb1" localSheetId="8">#REF!</definedName>
    <definedName name="__lb1" hidden="1">#REF!</definedName>
    <definedName name="__lb10" localSheetId="8">#REF!</definedName>
    <definedName name="__lb10" hidden="1">#REF!</definedName>
    <definedName name="__lb11" localSheetId="8">#REF!</definedName>
    <definedName name="__lb11" hidden="1">#REF!</definedName>
    <definedName name="__lb12" localSheetId="8">#REF!</definedName>
    <definedName name="__lb12" hidden="1">#REF!</definedName>
    <definedName name="__lb13" localSheetId="8">#REF!</definedName>
    <definedName name="__lb13" hidden="1">#REF!</definedName>
    <definedName name="__lb14" localSheetId="8">#REF!</definedName>
    <definedName name="__lb14" hidden="1">#REF!</definedName>
    <definedName name="__lb15" localSheetId="8">#REF!</definedName>
    <definedName name="__lb15" hidden="1">#REF!</definedName>
    <definedName name="__lb16" localSheetId="8">#REF!</definedName>
    <definedName name="__lb16" hidden="1">#REF!</definedName>
    <definedName name="__lb17" localSheetId="8">#REF!</definedName>
    <definedName name="__lb17" hidden="1">#REF!</definedName>
    <definedName name="__lb18" localSheetId="8">#REF!</definedName>
    <definedName name="__lb18" hidden="1">#REF!</definedName>
    <definedName name="__lb19" localSheetId="8">#REF!</definedName>
    <definedName name="__lb19" hidden="1">#REF!</definedName>
    <definedName name="__lb2" localSheetId="8">#REF!</definedName>
    <definedName name="__lb2" hidden="1">#REF!</definedName>
    <definedName name="__lb20" localSheetId="8">#REF!</definedName>
    <definedName name="__lb20" hidden="1">#REF!</definedName>
    <definedName name="__lb21" localSheetId="8">#REF!</definedName>
    <definedName name="__lb21" hidden="1">#REF!</definedName>
    <definedName name="__lb22" localSheetId="8">#REF!</definedName>
    <definedName name="__lb22" hidden="1">#REF!</definedName>
    <definedName name="__lb23" localSheetId="8">#REF!</definedName>
    <definedName name="__lb23" hidden="1">#REF!</definedName>
    <definedName name="__lb24" localSheetId="8">#REF!</definedName>
    <definedName name="__lb24" hidden="1">#REF!</definedName>
    <definedName name="__lb25" localSheetId="8">#REF!</definedName>
    <definedName name="__lb25" hidden="1">#REF!</definedName>
    <definedName name="__lb27" localSheetId="8">#REF!</definedName>
    <definedName name="__lb27" hidden="1">#REF!</definedName>
    <definedName name="__lb28" localSheetId="8">#REF!</definedName>
    <definedName name="__lb28" hidden="1">#REF!</definedName>
    <definedName name="__lb29" localSheetId="8">#REF!</definedName>
    <definedName name="__lb29" hidden="1">#REF!</definedName>
    <definedName name="__lb3" localSheetId="8">#REF!</definedName>
    <definedName name="__lb3" hidden="1">#REF!</definedName>
    <definedName name="__lb30" localSheetId="8">#REF!</definedName>
    <definedName name="__lb30" hidden="1">#REF!</definedName>
    <definedName name="__lb31" localSheetId="8">#REF!</definedName>
    <definedName name="__lb31" hidden="1">#REF!</definedName>
    <definedName name="__lb32" localSheetId="8">#REF!</definedName>
    <definedName name="__lb32" hidden="1">#REF!</definedName>
    <definedName name="__lb4" localSheetId="8">#REF!</definedName>
    <definedName name="__lb4" hidden="1">#REF!</definedName>
    <definedName name="__lb5" localSheetId="8">#REF!</definedName>
    <definedName name="__lb5" hidden="1">#REF!</definedName>
    <definedName name="__lb6" localSheetId="8">#REF!</definedName>
    <definedName name="__lb6" hidden="1">#REF!</definedName>
    <definedName name="__lb7" localSheetId="8">#REF!</definedName>
    <definedName name="__lb7" hidden="1">#REF!</definedName>
    <definedName name="__lb8" localSheetId="8">#REF!</definedName>
    <definedName name="__lb8" hidden="1">#REF!</definedName>
    <definedName name="__lb9" localSheetId="8">#REF!</definedName>
    <definedName name="__lb9" hidden="1">#REF!</definedName>
    <definedName name="__lbc1" localSheetId="8">#REF!</definedName>
    <definedName name="__lbc1" hidden="1">#REF!</definedName>
    <definedName name="__lbc10" localSheetId="8">#REF!</definedName>
    <definedName name="__lbc10" hidden="1">#REF!</definedName>
    <definedName name="__lbc11" localSheetId="8">#REF!</definedName>
    <definedName name="__lbc11" hidden="1">#REF!</definedName>
    <definedName name="__lbc12" localSheetId="8">#REF!</definedName>
    <definedName name="__lbc12" hidden="1">#REF!</definedName>
    <definedName name="__lbc13" localSheetId="8">#REF!</definedName>
    <definedName name="__lbc13" hidden="1">#REF!</definedName>
    <definedName name="__lbc14" localSheetId="8">#REF!</definedName>
    <definedName name="__lbc14" hidden="1">#REF!</definedName>
    <definedName name="__lbc15" localSheetId="8">#REF!</definedName>
    <definedName name="__lbc15" hidden="1">#REF!</definedName>
    <definedName name="__lbc16" localSheetId="8">#REF!</definedName>
    <definedName name="__lbc16" hidden="1">#REF!</definedName>
    <definedName name="__lbc17" localSheetId="8">#REF!</definedName>
    <definedName name="__lbc17" hidden="1">#REF!</definedName>
    <definedName name="__lbc18" localSheetId="8">#REF!</definedName>
    <definedName name="__lbc18" hidden="1">#REF!</definedName>
    <definedName name="__lbc19" localSheetId="8">#REF!</definedName>
    <definedName name="__lbc19" hidden="1">#REF!</definedName>
    <definedName name="__lbc2" localSheetId="8">#REF!</definedName>
    <definedName name="__lbc2" hidden="1">#REF!</definedName>
    <definedName name="__lbc20" localSheetId="8">#REF!</definedName>
    <definedName name="__lbc20" hidden="1">#REF!</definedName>
    <definedName name="__lbc21" localSheetId="8">#REF!</definedName>
    <definedName name="__lbc21" hidden="1">#REF!</definedName>
    <definedName name="__lbc22" localSheetId="8">#REF!</definedName>
    <definedName name="__lbc22" hidden="1">#REF!</definedName>
    <definedName name="__lbc23" localSheetId="8">#REF!</definedName>
    <definedName name="__lbc23" hidden="1">#REF!</definedName>
    <definedName name="__lbc24" localSheetId="8">#REF!</definedName>
    <definedName name="__lbc24" hidden="1">#REF!</definedName>
    <definedName name="__lbc25" localSheetId="8">#REF!</definedName>
    <definedName name="__lbc25" hidden="1">#REF!</definedName>
    <definedName name="__lbc26" localSheetId="8">#REF!</definedName>
    <definedName name="__lbc26" hidden="1">#REF!</definedName>
    <definedName name="__lbc27" localSheetId="8">#REF!</definedName>
    <definedName name="__lbc27" hidden="1">#REF!</definedName>
    <definedName name="__lbc28" localSheetId="8">#REF!</definedName>
    <definedName name="__lbc28" hidden="1">#REF!</definedName>
    <definedName name="__lbc29" localSheetId="8">#REF!</definedName>
    <definedName name="__lbc29" hidden="1">#REF!</definedName>
    <definedName name="__lbc3" localSheetId="8">#REF!</definedName>
    <definedName name="__lbc3" hidden="1">#REF!</definedName>
    <definedName name="__lbc31" localSheetId="8">#REF!</definedName>
    <definedName name="__lbc31" hidden="1">#REF!</definedName>
    <definedName name="__lbc32" localSheetId="8">#REF!</definedName>
    <definedName name="__lbc32" hidden="1">#REF!</definedName>
    <definedName name="__lbc4" localSheetId="8">#REF!</definedName>
    <definedName name="__lbc4" hidden="1">#REF!</definedName>
    <definedName name="__lbc5" localSheetId="8">#REF!</definedName>
    <definedName name="__lbc5" hidden="1">#REF!</definedName>
    <definedName name="__lbc6" localSheetId="8">#REF!</definedName>
    <definedName name="__lbc6" hidden="1">#REF!</definedName>
    <definedName name="__lbc7" localSheetId="8">#REF!</definedName>
    <definedName name="__lbc7" hidden="1">#REF!</definedName>
    <definedName name="__lbc8" localSheetId="8">#REF!</definedName>
    <definedName name="__lbc8" hidden="1">#REF!</definedName>
    <definedName name="__lbc9" localSheetId="8">#REF!</definedName>
    <definedName name="__lbc9" hidden="1">#REF!</definedName>
    <definedName name="__ld26" localSheetId="8">#REF!</definedName>
    <definedName name="__ld26" hidden="1">#REF!</definedName>
    <definedName name="__ld31" localSheetId="8">#REF!</definedName>
    <definedName name="__ld31" hidden="1">#REF!</definedName>
    <definedName name="__le31" localSheetId="8">#REF!</definedName>
    <definedName name="__le31" hidden="1">#REF!</definedName>
    <definedName name="__lf31" localSheetId="8">#REF!</definedName>
    <definedName name="__lf31" hidden="1">#REF!</definedName>
    <definedName name="__PK2" localSheetId="3" hidden="1">{"'장비'!$A$3:$M$12"}</definedName>
    <definedName name="__PK2" localSheetId="8">{"'장비'!$A$3:$M$12"}</definedName>
    <definedName name="__PK2" localSheetId="5" hidden="1">{"'장비'!$A$3:$M$12"}</definedName>
    <definedName name="__PK2" localSheetId="4" hidden="1">{"'장비'!$A$3:$M$12"}</definedName>
    <definedName name="__PK2" localSheetId="9">{"'장비'!$A$3:$M$12"}</definedName>
    <definedName name="__PK2" localSheetId="10" hidden="1">{"'장비'!$A$3:$M$12"}</definedName>
    <definedName name="__PK2" localSheetId="1" hidden="1">{"'장비'!$A$3:$M$12"}</definedName>
    <definedName name="__PK2" localSheetId="0">{"'장비'!$A$3:$M$12"}</definedName>
    <definedName name="__PK2" localSheetId="11" hidden="1">{"'장비'!$A$3:$M$12"}</definedName>
    <definedName name="__PK2" localSheetId="12" hidden="1">{"'장비'!$A$3:$M$12"}</definedName>
    <definedName name="__PK2" hidden="1">{"'장비'!$A$3:$M$12"}</definedName>
    <definedName name="__PKG3" localSheetId="3" hidden="1">{"'장비'!$A$3:$M$12"}</definedName>
    <definedName name="__PKG3" localSheetId="8">{"'장비'!$A$3:$M$12"}</definedName>
    <definedName name="__PKG3" localSheetId="5" hidden="1">{"'장비'!$A$3:$M$12"}</definedName>
    <definedName name="__PKG3" localSheetId="4" hidden="1">{"'장비'!$A$3:$M$12"}</definedName>
    <definedName name="__PKG3" localSheetId="9">{"'장비'!$A$3:$M$12"}</definedName>
    <definedName name="__PKG3" localSheetId="10" hidden="1">{"'장비'!$A$3:$M$12"}</definedName>
    <definedName name="__PKG3" localSheetId="1" hidden="1">{"'장비'!$A$3:$M$12"}</definedName>
    <definedName name="__PKG3" localSheetId="0">{"'장비'!$A$3:$M$12"}</definedName>
    <definedName name="__PKG3" localSheetId="11" hidden="1">{"'장비'!$A$3:$M$12"}</definedName>
    <definedName name="__PKG3" localSheetId="12" hidden="1">{"'장비'!$A$3:$M$12"}</definedName>
    <definedName name="__PKG3" hidden="1">{"'장비'!$A$3:$M$12"}</definedName>
    <definedName name="__qqq222" localSheetId="3" hidden="1">{"'장비'!$A$3:$M$12"}</definedName>
    <definedName name="__qqq222" localSheetId="8">{"'장비'!$A$3:$M$12"}</definedName>
    <definedName name="__qqq222" localSheetId="5" hidden="1">{"'장비'!$A$3:$M$12"}</definedName>
    <definedName name="__qqq222" localSheetId="4" hidden="1">{"'장비'!$A$3:$M$12"}</definedName>
    <definedName name="__qqq222" localSheetId="9">{"'장비'!$A$3:$M$12"}</definedName>
    <definedName name="__qqq222" localSheetId="10" hidden="1">{"'장비'!$A$3:$M$12"}</definedName>
    <definedName name="__qqq222" localSheetId="1" hidden="1">{"'장비'!$A$3:$M$12"}</definedName>
    <definedName name="__qqq222" localSheetId="0">{"'장비'!$A$3:$M$12"}</definedName>
    <definedName name="__qqq222" localSheetId="11" hidden="1">{"'장비'!$A$3:$M$12"}</definedName>
    <definedName name="__qqq222" localSheetId="12" hidden="1">{"'장비'!$A$3:$M$12"}</definedName>
    <definedName name="__qqq222" hidden="1">{"'장비'!$A$3:$M$12"}</definedName>
    <definedName name="__QT100" localSheetId="8">#REF!</definedName>
    <definedName name="__QT100" localSheetId="5">#REF!</definedName>
    <definedName name="__QT100" localSheetId="10">#REF!</definedName>
    <definedName name="__QT100" localSheetId="11">#REF!</definedName>
    <definedName name="__QT100" localSheetId="12">#REF!</definedName>
    <definedName name="__QT100">#REF!</definedName>
    <definedName name="__QT2" localSheetId="8">#REF!</definedName>
    <definedName name="__QT2" localSheetId="5">#REF!</definedName>
    <definedName name="__QT2" localSheetId="10">#REF!</definedName>
    <definedName name="__QT2" localSheetId="11">#REF!</definedName>
    <definedName name="__QT2" localSheetId="12">#REF!</definedName>
    <definedName name="__QT2">#REF!</definedName>
    <definedName name="__QT3" localSheetId="8">#REF!</definedName>
    <definedName name="__QT3" localSheetId="5">#REF!</definedName>
    <definedName name="__QT3" localSheetId="10">#REF!</definedName>
    <definedName name="__QT3" localSheetId="11">#REF!</definedName>
    <definedName name="__QT3" localSheetId="12">#REF!</definedName>
    <definedName name="__QT3">#REF!</definedName>
    <definedName name="__QT4" localSheetId="8">#REF!</definedName>
    <definedName name="__QT4" localSheetId="5">#REF!</definedName>
    <definedName name="__QT4" localSheetId="10">#REF!</definedName>
    <definedName name="__QT4" localSheetId="11">#REF!</definedName>
    <definedName name="__QT4" localSheetId="12">#REF!</definedName>
    <definedName name="__QT4">#REF!</definedName>
    <definedName name="__QT50" localSheetId="8">#REF!</definedName>
    <definedName name="__QT50" localSheetId="5">#REF!</definedName>
    <definedName name="__QT50" localSheetId="10">#REF!</definedName>
    <definedName name="__QT50" localSheetId="11">#REF!</definedName>
    <definedName name="__QT50" localSheetId="12">#REF!</definedName>
    <definedName name="__QT50">#REF!</definedName>
    <definedName name="__QT75" localSheetId="8">#REF!</definedName>
    <definedName name="__QT75" localSheetId="5">#REF!</definedName>
    <definedName name="__QT75" localSheetId="10">#REF!</definedName>
    <definedName name="__QT75" localSheetId="11">#REF!</definedName>
    <definedName name="__QT75" localSheetId="12">#REF!</definedName>
    <definedName name="__QT75">#REF!</definedName>
    <definedName name="_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x10" localSheetId="8">#REF!</definedName>
    <definedName name="__x10" localSheetId="9">#REF!</definedName>
    <definedName name="__x10" localSheetId="10" hidden="1">#REF!</definedName>
    <definedName name="__x10" localSheetId="0">#REF!</definedName>
    <definedName name="__x10" localSheetId="11" hidden="1">#REF!</definedName>
    <definedName name="__x10" localSheetId="12" hidden="1">#REF!</definedName>
    <definedName name="__x10" hidden="1">#REF!</definedName>
    <definedName name="__x11" localSheetId="8">#REF!</definedName>
    <definedName name="__x11" localSheetId="9">#REF!</definedName>
    <definedName name="__x11" localSheetId="10" hidden="1">#REF!</definedName>
    <definedName name="__x11" localSheetId="0">#REF!</definedName>
    <definedName name="__x11" localSheetId="11" hidden="1">#REF!</definedName>
    <definedName name="__x11" localSheetId="12" hidden="1">#REF!</definedName>
    <definedName name="__x11" hidden="1">#REF!</definedName>
    <definedName name="__x12" localSheetId="8">#REF!</definedName>
    <definedName name="__x12" localSheetId="9">#REF!</definedName>
    <definedName name="__x12" localSheetId="10" hidden="1">#REF!</definedName>
    <definedName name="__x12" localSheetId="0">#REF!</definedName>
    <definedName name="__x12" localSheetId="11" hidden="1">#REF!</definedName>
    <definedName name="__x12" localSheetId="12" hidden="1">#REF!</definedName>
    <definedName name="__x12" hidden="1">#REF!</definedName>
    <definedName name="__x13" localSheetId="8">#REF!</definedName>
    <definedName name="__x13" hidden="1">#REF!</definedName>
    <definedName name="__x14" localSheetId="8">#REF!</definedName>
    <definedName name="__x14" hidden="1">#REF!</definedName>
    <definedName name="__x15" localSheetId="8">#REF!</definedName>
    <definedName name="__x15" hidden="1">#REF!</definedName>
    <definedName name="__x16" localSheetId="8">#REF!</definedName>
    <definedName name="__x16" hidden="1">#REF!</definedName>
    <definedName name="__x17" localSheetId="8">#REF!</definedName>
    <definedName name="__x17" hidden="1">#REF!</definedName>
    <definedName name="__x18" localSheetId="8">#REF!</definedName>
    <definedName name="__x18" hidden="1">#REF!</definedName>
    <definedName name="__x19" localSheetId="8">#REF!</definedName>
    <definedName name="__x19" hidden="1">#REF!</definedName>
    <definedName name="__x20" localSheetId="8">#REF!</definedName>
    <definedName name="__x20" hidden="1">#REF!</definedName>
    <definedName name="__x21" localSheetId="8">#REF!</definedName>
    <definedName name="__x21" hidden="1">#REF!</definedName>
    <definedName name="__x22" localSheetId="8">#REF!</definedName>
    <definedName name="__x22" hidden="1">#REF!</definedName>
    <definedName name="__x23" localSheetId="8">#REF!</definedName>
    <definedName name="__x23" hidden="1">#REF!</definedName>
    <definedName name="__x24" localSheetId="8">#REF!</definedName>
    <definedName name="__x24" hidden="1">#REF!</definedName>
    <definedName name="__x25" localSheetId="8">#REF!</definedName>
    <definedName name="__x25" hidden="1">#REF!</definedName>
    <definedName name="__x28" localSheetId="8">#REF!</definedName>
    <definedName name="__x28" hidden="1">#REF!</definedName>
    <definedName name="__x29" localSheetId="8">#REF!</definedName>
    <definedName name="__x29" hidden="1">#REF!</definedName>
    <definedName name="__x32" localSheetId="8">#REF!</definedName>
    <definedName name="__x32" hidden="1">#REF!</definedName>
    <definedName name="__x4" localSheetId="8">#REF!</definedName>
    <definedName name="__x4" hidden="1">#REF!</definedName>
    <definedName name="__x5" localSheetId="8">#REF!</definedName>
    <definedName name="__x5" hidden="1">#REF!</definedName>
    <definedName name="__x6" localSheetId="8">#REF!</definedName>
    <definedName name="__x6" hidden="1">#REF!</definedName>
    <definedName name="__x7" localSheetId="8">#REF!</definedName>
    <definedName name="__x7" hidden="1">#REF!</definedName>
    <definedName name="__x8" localSheetId="8">#REF!</definedName>
    <definedName name="__x8" hidden="1">#REF!</definedName>
    <definedName name="__x9" localSheetId="8">#REF!</definedName>
    <definedName name="__x9" hidden="1">#REF!</definedName>
    <definedName name="_0.CURVA_OBRA" localSheetId="8">#REF!</definedName>
    <definedName name="_0.CURVA_OBRA" localSheetId="5">#REF!</definedName>
    <definedName name="_0.CURVA_OBRA" localSheetId="10">#REF!</definedName>
    <definedName name="_0.CURVA_OBRA" localSheetId="11">#REF!</definedName>
    <definedName name="_0.CURVA_OBRA" localSheetId="12">#REF!</definedName>
    <definedName name="_0.CURVA_OBRA">#REF!</definedName>
    <definedName name="_00.VAR._GASTO" localSheetId="8">#REF!</definedName>
    <definedName name="_00.VAR._GASTO" localSheetId="5">#REF!</definedName>
    <definedName name="_00.VAR._GASTO" localSheetId="10">#REF!</definedName>
    <definedName name="_00.VAR._GASTO" localSheetId="11">#REF!</definedName>
    <definedName name="_00.VAR._GASTO" localSheetId="12">#REF!</definedName>
    <definedName name="_00.VAR._GASTO">#REF!</definedName>
    <definedName name="_000.CURVA_FINA" localSheetId="8">#REF!</definedName>
    <definedName name="_000.CURVA_FINA" localSheetId="5">#REF!</definedName>
    <definedName name="_000.CURVA_FINA" localSheetId="10">#REF!</definedName>
    <definedName name="_000.CURVA_FINA" localSheetId="11">#REF!</definedName>
    <definedName name="_000.CURVA_FINA" localSheetId="12">#REF!</definedName>
    <definedName name="_000.CURVA_FINA">#REF!</definedName>
    <definedName name="_1" localSheetId="8">#REF!</definedName>
    <definedName name="_1" localSheetId="5">#REF!</definedName>
    <definedName name="_1" localSheetId="10">#REF!</definedName>
    <definedName name="_1" localSheetId="11">#REF!</definedName>
    <definedName name="_1" localSheetId="12">#REF!</definedName>
    <definedName name="_1">#REF!</definedName>
    <definedName name="_1__123Graph_ACHART_1" localSheetId="8">#REF!</definedName>
    <definedName name="_1__123Graph_ACHART_1" localSheetId="5" hidden="1">#REF!</definedName>
    <definedName name="_1__123Graph_ACHART_1" localSheetId="10" hidden="1">#REF!</definedName>
    <definedName name="_1__123Graph_ACHART_1" localSheetId="1" hidden="1">#REF!</definedName>
    <definedName name="_1__123Graph_ACHART_1" localSheetId="11" hidden="1">#REF!</definedName>
    <definedName name="_1__123Graph_ACHART_1" localSheetId="12" hidden="1">#REF!</definedName>
    <definedName name="_1__123Graph_ACHART_1" hidden="1">#REF!</definedName>
    <definedName name="_10__123Graph_CCHART_1" localSheetId="8">#REF!</definedName>
    <definedName name="_10__123Graph_CCHART_1" localSheetId="5" hidden="1">#REF!</definedName>
    <definedName name="_10__123Graph_CCHART_1" localSheetId="10" hidden="1">#REF!</definedName>
    <definedName name="_10__123Graph_CCHART_1" localSheetId="1" hidden="1">#REF!</definedName>
    <definedName name="_10__123Graph_CCHART_1" localSheetId="11" hidden="1">#REF!</definedName>
    <definedName name="_10__123Graph_CCHART_1" localSheetId="12" hidden="1">#REF!</definedName>
    <definedName name="_10__123Graph_CCHART_1" hidden="1">#REF!</definedName>
    <definedName name="_11.SERV.TECNIC" localSheetId="8">#REF!</definedName>
    <definedName name="_11.SERV.TECNIC" localSheetId="5">#REF!</definedName>
    <definedName name="_11.SERV.TECNIC" localSheetId="10">#REF!</definedName>
    <definedName name="_11.SERV.TECNIC" localSheetId="11">#REF!</definedName>
    <definedName name="_11.SERV.TECNIC" localSheetId="12">#REF!</definedName>
    <definedName name="_11.SERV.TECNIC">#REF!</definedName>
    <definedName name="_11__123Graph_DCHART_1" localSheetId="8">#REF!</definedName>
    <definedName name="_11__123Graph_DCHART_1" localSheetId="5" hidden="1">#REF!</definedName>
    <definedName name="_11__123Graph_DCHART_1" localSheetId="10" hidden="1">#REF!</definedName>
    <definedName name="_11__123Graph_DCHART_1" localSheetId="1" hidden="1">#REF!</definedName>
    <definedName name="_11__123Graph_DCHART_1" localSheetId="11" hidden="1">#REF!</definedName>
    <definedName name="_11__123Graph_DCHART_1" localSheetId="12" hidden="1">#REF!</definedName>
    <definedName name="_11__123Graph_DCHART_1" hidden="1">#REF!</definedName>
    <definedName name="_12.GAST_GERAIS" localSheetId="8">#REF!</definedName>
    <definedName name="_12.GAST_GERAIS" localSheetId="5">#REF!</definedName>
    <definedName name="_12.GAST_GERAIS" localSheetId="10">#REF!</definedName>
    <definedName name="_12.GAST_GERAIS" localSheetId="11">#REF!</definedName>
    <definedName name="_12.GAST_GERAIS" localSheetId="12">#REF!</definedName>
    <definedName name="_12.GAST_GERAIS">#REF!</definedName>
    <definedName name="_12__123Graph_XChart_1A" localSheetId="8">#REF!</definedName>
    <definedName name="_12__123Graph_XChart_1A" hidden="1">#REF!</definedName>
    <definedName name="_13.P._PERMAN." localSheetId="8">#REF!</definedName>
    <definedName name="_13.P._PERMAN." localSheetId="5">#REF!</definedName>
    <definedName name="_13.P._PERMAN." localSheetId="10">#REF!</definedName>
    <definedName name="_13.P._PERMAN." localSheetId="11">#REF!</definedName>
    <definedName name="_13.P._PERMAN." localSheetId="12">#REF!</definedName>
    <definedName name="_13.P._PERMAN.">#REF!</definedName>
    <definedName name="_15.IMPL._CANT" localSheetId="8">#REF!</definedName>
    <definedName name="_15.IMPL._CANT" localSheetId="5">#REF!</definedName>
    <definedName name="_15.IMPL._CANT" localSheetId="10">#REF!</definedName>
    <definedName name="_15.IMPL._CANT" localSheetId="11">#REF!</definedName>
    <definedName name="_15.IMPL._CANT" localSheetId="12">#REF!</definedName>
    <definedName name="_15.IMPL._CANT">#REF!</definedName>
    <definedName name="_16.EQUIPAM." localSheetId="8">#REF!</definedName>
    <definedName name="_16.EQUIPAM." localSheetId="5">#REF!</definedName>
    <definedName name="_16.EQUIPAM." localSheetId="10">#REF!</definedName>
    <definedName name="_16.EQUIPAM." localSheetId="11">#REF!</definedName>
    <definedName name="_16.EQUIPAM." localSheetId="12">#REF!</definedName>
    <definedName name="_16.EQUIPAM.">#REF!</definedName>
    <definedName name="_17.OPER._CANT." localSheetId="8">#REF!</definedName>
    <definedName name="_17.OPER._CANT." localSheetId="5">#REF!</definedName>
    <definedName name="_17.OPER._CANT." localSheetId="10">#REF!</definedName>
    <definedName name="_17.OPER._CANT." localSheetId="11">#REF!</definedName>
    <definedName name="_17.OPER._CANT." localSheetId="12">#REF!</definedName>
    <definedName name="_17.OPER._CANT.">#REF!</definedName>
    <definedName name="_19.TRANC_LIMP." localSheetId="8">#REF!</definedName>
    <definedName name="_19.TRANC_LIMP." localSheetId="5">#REF!</definedName>
    <definedName name="_19.TRANC_LIMP." localSheetId="10">#REF!</definedName>
    <definedName name="_19.TRANC_LIMP." localSheetId="11">#REF!</definedName>
    <definedName name="_19.TRANC_LIMP." localSheetId="12">#REF!</definedName>
    <definedName name="_19.TRANC_LIMP.">#REF!</definedName>
    <definedName name="_1Dist_Val" localSheetId="8">#REF!</definedName>
    <definedName name="_1Dist_Val" hidden="1">#REF!</definedName>
    <definedName name="_2" localSheetId="8">#REF!</definedName>
    <definedName name="_2" localSheetId="5">#REF!</definedName>
    <definedName name="_2" localSheetId="10">#REF!</definedName>
    <definedName name="_2" localSheetId="11">#REF!</definedName>
    <definedName name="_2" localSheetId="12">#REF!</definedName>
    <definedName name="_2">#REF!</definedName>
    <definedName name="_2__123Graph_BCHART_1" localSheetId="8">#REF!</definedName>
    <definedName name="_2__123Graph_BCHART_1" localSheetId="5" hidden="1">#REF!</definedName>
    <definedName name="_2__123Graph_BCHART_1" localSheetId="10" hidden="1">#REF!</definedName>
    <definedName name="_2__123Graph_BCHART_1" localSheetId="1" hidden="1">#REF!</definedName>
    <definedName name="_2__123Graph_BCHART_1" localSheetId="11" hidden="1">#REF!</definedName>
    <definedName name="_2__123Graph_BCHART_1" localSheetId="12" hidden="1">#REF!</definedName>
    <definedName name="_2__123Graph_BCHART_1" hidden="1">#REF!</definedName>
    <definedName name="_25.PREP.TERREN" localSheetId="8">#REF!</definedName>
    <definedName name="_25.PREP.TERREN" localSheetId="5">#REF!</definedName>
    <definedName name="_25.PREP.TERREN" localSheetId="10">#REF!</definedName>
    <definedName name="_25.PREP.TERREN" localSheetId="11">#REF!</definedName>
    <definedName name="_25.PREP.TERREN" localSheetId="12">#REF!</definedName>
    <definedName name="_25.PREP.TERREN">#REF!</definedName>
    <definedName name="_27.FUND._ESCOR" localSheetId="8">#REF!</definedName>
    <definedName name="_27.FUND._ESCOR" localSheetId="5">#REF!</definedName>
    <definedName name="_27.FUND._ESCOR" localSheetId="10">#REF!</definedName>
    <definedName name="_27.FUND._ESCOR" localSheetId="11">#REF!</definedName>
    <definedName name="_27.FUND._ESCOR" localSheetId="12">#REF!</definedName>
    <definedName name="_27.FUND._ESCOR">#REF!</definedName>
    <definedName name="_2F" localSheetId="8">#REF!</definedName>
    <definedName name="_2F" hidden="1">#REF!</definedName>
    <definedName name="_3__123Graph_XCHART_1" localSheetId="8">#REF!</definedName>
    <definedName name="_3__123Graph_XCHART_1" localSheetId="5" hidden="1">#REF!</definedName>
    <definedName name="_3__123Graph_XCHART_1" localSheetId="10" hidden="1">#REF!</definedName>
    <definedName name="_3__123Graph_XCHART_1" localSheetId="1" hidden="1">#REF!</definedName>
    <definedName name="_3__123Graph_XCHART_1" localSheetId="11" hidden="1">#REF!</definedName>
    <definedName name="_3__123Graph_XCHART_1" localSheetId="12" hidden="1">#REF!</definedName>
    <definedName name="_3__123Graph_XCHART_1" hidden="1">#REF!</definedName>
    <definedName name="_31_32_33.C_A" localSheetId="8">#REF!</definedName>
    <definedName name="_31_32_33.C_A" localSheetId="5">#REF!</definedName>
    <definedName name="_31_32_33.C_A" localSheetId="10">#REF!</definedName>
    <definedName name="_31_32_33.C_A" localSheetId="11">#REF!</definedName>
    <definedName name="_31_32_33.C_A" localSheetId="12">#REF!</definedName>
    <definedName name="_31_32_33.C_A">#REF!</definedName>
    <definedName name="_41.ALVENARIA" localSheetId="8">#REF!</definedName>
    <definedName name="_41.ALVENARIA" localSheetId="5">#REF!</definedName>
    <definedName name="_41.ALVENARIA" localSheetId="10">#REF!</definedName>
    <definedName name="_41.ALVENARIA" localSheetId="11">#REF!</definedName>
    <definedName name="_41.ALVENARIA" localSheetId="12">#REF!</definedName>
    <definedName name="_41.ALVENARIA">#REF!</definedName>
    <definedName name="_47.IMP._ISOLA." localSheetId="8">#REF!</definedName>
    <definedName name="_47.IMP._ISOLA." localSheetId="5">#REF!</definedName>
    <definedName name="_47.IMP._ISOLA." localSheetId="10">#REF!</definedName>
    <definedName name="_47.IMP._ISOLA." localSheetId="11">#REF!</definedName>
    <definedName name="_47.IMP._ISOLA." localSheetId="12">#REF!</definedName>
    <definedName name="_47.IMP._ISOLA.">#REF!</definedName>
    <definedName name="_5__123Graph_ACHART_1" localSheetId="8">#REF!</definedName>
    <definedName name="_5__123Graph_ACHART_1" localSheetId="5" hidden="1">#REF!</definedName>
    <definedName name="_5__123Graph_ACHART_1" localSheetId="10" hidden="1">#REF!</definedName>
    <definedName name="_5__123Graph_ACHART_1" localSheetId="1" hidden="1">#REF!</definedName>
    <definedName name="_5__123Graph_ACHART_1" localSheetId="11" hidden="1">#REF!</definedName>
    <definedName name="_5__123Graph_ACHART_1" localSheetId="12" hidden="1">#REF!</definedName>
    <definedName name="_5__123Graph_ACHART_1" hidden="1">#REF!</definedName>
    <definedName name="_51.REV.ARGAMAS" localSheetId="8">#REF!</definedName>
    <definedName name="_51.REV.ARGAMAS" localSheetId="5">#REF!</definedName>
    <definedName name="_51.REV.ARGAMAS" localSheetId="10">#REF!</definedName>
    <definedName name="_51.REV.ARGAMAS" localSheetId="11">#REF!</definedName>
    <definedName name="_51.REV.ARGAMAS" localSheetId="12">#REF!</definedName>
    <definedName name="_51.REV.ARGAMAS">#REF!</definedName>
    <definedName name="_52.REV.CERAM.I" localSheetId="8">#REF!</definedName>
    <definedName name="_52.REV.CERAM.I" localSheetId="5">#REF!</definedName>
    <definedName name="_52.REV.CERAM.I" localSheetId="10">#REF!</definedName>
    <definedName name="_52.REV.CERAM.I" localSheetId="11">#REF!</definedName>
    <definedName name="_52.REV.CERAM.I" localSheetId="12">#REF!</definedName>
    <definedName name="_52.REV.CERAM.I">#REF!</definedName>
    <definedName name="_53.REV.CERAM.E" localSheetId="8">#REF!</definedName>
    <definedName name="_53.REV.CERAM.E" localSheetId="5">#REF!</definedName>
    <definedName name="_53.REV.CERAM.E" localSheetId="10">#REF!</definedName>
    <definedName name="_53.REV.CERAM.E" localSheetId="11">#REF!</definedName>
    <definedName name="_53.REV.CERAM.E" localSheetId="12">#REF!</definedName>
    <definedName name="_53.REV.CERAM.E">#REF!</definedName>
    <definedName name="_54.TACOS_E_ASS" localSheetId="8">#REF!</definedName>
    <definedName name="_54.TACOS_E_ASS" localSheetId="5">#REF!</definedName>
    <definedName name="_54.TACOS_E_ASS" localSheetId="10">#REF!</definedName>
    <definedName name="_54.TACOS_E_ASS" localSheetId="11">#REF!</definedName>
    <definedName name="_54.TACOS_E_ASS" localSheetId="12">#REF!</definedName>
    <definedName name="_54.TACOS_E_ASS">#REF!</definedName>
    <definedName name="_55.MARM._E_GRA" localSheetId="8">#REF!</definedName>
    <definedName name="_55.MARM._E_GRA" localSheetId="5">#REF!</definedName>
    <definedName name="_55.MARM._E_GRA" localSheetId="10">#REF!</definedName>
    <definedName name="_55.MARM._E_GRA" localSheetId="11">#REF!</definedName>
    <definedName name="_55.MARM._E_GRA" localSheetId="12">#REF!</definedName>
    <definedName name="_55.MARM._E_GRA">#REF!</definedName>
    <definedName name="_56.MARMORITE" localSheetId="8">#REF!</definedName>
    <definedName name="_56.MARMORITE" localSheetId="5">#REF!</definedName>
    <definedName name="_56.MARMORITE" localSheetId="10">#REF!</definedName>
    <definedName name="_56.MARMORITE" localSheetId="11">#REF!</definedName>
    <definedName name="_56.MARMORITE" localSheetId="12">#REF!</definedName>
    <definedName name="_56.MARMORITE">#REF!</definedName>
    <definedName name="_59.OUTRS_REVES" localSheetId="8">#REF!</definedName>
    <definedName name="_59.OUTRS_REVES" localSheetId="5">#REF!</definedName>
    <definedName name="_59.OUTRS_REVES" localSheetId="10">#REF!</definedName>
    <definedName name="_59.OUTRS_REVES" localSheetId="11">#REF!</definedName>
    <definedName name="_59.OUTRS_REVES" localSheetId="12">#REF!</definedName>
    <definedName name="_59.OUTRS_REVES">#REF!</definedName>
    <definedName name="_6__123Graph_AChart_1A" localSheetId="8">#REF!</definedName>
    <definedName name="_6__123Graph_AChart_1A" hidden="1">#REF!</definedName>
    <definedName name="_61.ESQUAD._MAD" localSheetId="8">#REF!</definedName>
    <definedName name="_61.ESQUAD._MAD" localSheetId="5">#REF!</definedName>
    <definedName name="_61.ESQUAD._MAD" localSheetId="10">#REF!</definedName>
    <definedName name="_61.ESQUAD._MAD" localSheetId="11">#REF!</definedName>
    <definedName name="_61.ESQUAD._MAD" localSheetId="12">#REF!</definedName>
    <definedName name="_61.ESQUAD._MAD">#REF!</definedName>
    <definedName name="_63.ESQUAD._ALU" localSheetId="8">#REF!</definedName>
    <definedName name="_63.ESQUAD._ALU" localSheetId="5">#REF!</definedName>
    <definedName name="_63.ESQUAD._ALU" localSheetId="10">#REF!</definedName>
    <definedName name="_63.ESQUAD._ALU" localSheetId="11">#REF!</definedName>
    <definedName name="_63.ESQUAD._ALU" localSheetId="12">#REF!</definedName>
    <definedName name="_63.ESQUAD._ALU">#REF!</definedName>
    <definedName name="_65.ESQUAD._FER" localSheetId="8">#REF!</definedName>
    <definedName name="_65.ESQUAD._FER" localSheetId="5">#REF!</definedName>
    <definedName name="_65.ESQUAD._FER" localSheetId="10">#REF!</definedName>
    <definedName name="_65.ESQUAD._FER" localSheetId="11">#REF!</definedName>
    <definedName name="_65.ESQUAD._FER" localSheetId="12">#REF!</definedName>
    <definedName name="_65.ESQUAD._FER">#REF!</definedName>
    <definedName name="_67.VIDROS" localSheetId="8">#REF!</definedName>
    <definedName name="_67.VIDROS" localSheetId="5">#REF!</definedName>
    <definedName name="_67.VIDROS" localSheetId="10">#REF!</definedName>
    <definedName name="_67.VIDROS" localSheetId="11">#REF!</definedName>
    <definedName name="_67.VIDROS" localSheetId="12">#REF!</definedName>
    <definedName name="_67.VIDROS">#REF!</definedName>
    <definedName name="_7__123Graph_ACHART_2" localSheetId="8">#REF!</definedName>
    <definedName name="_7__123Graph_ACHART_2" localSheetId="5" hidden="1">#REF!</definedName>
    <definedName name="_7__123Graph_ACHART_2" localSheetId="10" hidden="1">#REF!</definedName>
    <definedName name="_7__123Graph_ACHART_2" localSheetId="1" hidden="1">#REF!</definedName>
    <definedName name="_7__123Graph_ACHART_2" localSheetId="11" hidden="1">#REF!</definedName>
    <definedName name="_7__123Graph_ACHART_2" localSheetId="12" hidden="1">#REF!</definedName>
    <definedName name="_7__123Graph_ACHART_2" hidden="1">#REF!</definedName>
    <definedName name="_71_73.I.ELET_H" localSheetId="8">#REF!</definedName>
    <definedName name="_71_73.I.ELET_H" localSheetId="5">#REF!</definedName>
    <definedName name="_71_73.I.ELET_H" localSheetId="10">#REF!</definedName>
    <definedName name="_71_73.I.ELET_H" localSheetId="11">#REF!</definedName>
    <definedName name="_71_73.I.ELET_H" localSheetId="12">#REF!</definedName>
    <definedName name="_71_73.I.ELET_H">#REF!</definedName>
    <definedName name="_77.OUTRAS_INST." localSheetId="8">#REF!</definedName>
    <definedName name="_77.OUTRAS_INST." localSheetId="5">#REF!</definedName>
    <definedName name="_77.OUTRAS_INST." localSheetId="10">#REF!</definedName>
    <definedName name="_77.OUTRAS_INST." localSheetId="11">#REF!</definedName>
    <definedName name="_77.OUTRAS_INST." localSheetId="12">#REF!</definedName>
    <definedName name="_77.OUTRAS_INST.">#REF!</definedName>
    <definedName name="_78.ELEVADORES" localSheetId="8">#REF!</definedName>
    <definedName name="_78.ELEVADORES" localSheetId="5">#REF!</definedName>
    <definedName name="_78.ELEVADORES" localSheetId="10">#REF!</definedName>
    <definedName name="_78.ELEVADORES" localSheetId="11">#REF!</definedName>
    <definedName name="_78.ELEVADORES" localSheetId="12">#REF!</definedName>
    <definedName name="_78.ELEVADORES">#REF!</definedName>
    <definedName name="_8__123Graph_BChart_1A" localSheetId="8">#REF!</definedName>
    <definedName name="_8__123Graph_BChart_1A" hidden="1">#REF!</definedName>
    <definedName name="_81.APAR._SANIT" localSheetId="8">#REF!</definedName>
    <definedName name="_81.APAR._SANIT" localSheetId="5">#REF!</definedName>
    <definedName name="_81.APAR._SANIT" localSheetId="10">#REF!</definedName>
    <definedName name="_81.APAR._SANIT" localSheetId="11">#REF!</definedName>
    <definedName name="_81.APAR._SANIT" localSheetId="12">#REF!</definedName>
    <definedName name="_81.APAR._SANIT">#REF!</definedName>
    <definedName name="_83_85.PINT_LIM" localSheetId="8">#REF!</definedName>
    <definedName name="_83_85.PINT_LIM" localSheetId="5">#REF!</definedName>
    <definedName name="_83_85.PINT_LIM" localSheetId="10">#REF!</definedName>
    <definedName name="_83_85.PINT_LIM" localSheetId="11">#REF!</definedName>
    <definedName name="_83_85.PINT_LIM" localSheetId="12">#REF!</definedName>
    <definedName name="_83_85.PINT_LIM">#REF!</definedName>
    <definedName name="_9__123Graph_BCHART_2" localSheetId="8">#REF!</definedName>
    <definedName name="_9__123Graph_BCHART_2" localSheetId="5" hidden="1">#REF!</definedName>
    <definedName name="_9__123Graph_BCHART_2" localSheetId="10" hidden="1">#REF!</definedName>
    <definedName name="_9__123Graph_BCHART_2" localSheetId="1" hidden="1">#REF!</definedName>
    <definedName name="_9__123Graph_BCHART_2" localSheetId="11" hidden="1">#REF!</definedName>
    <definedName name="_9__123Graph_BCHART_2" localSheetId="12" hidden="1">#REF!</definedName>
    <definedName name="_9__123Graph_BCHART_2" hidden="1">#REF!</definedName>
    <definedName name="_ACR10" localSheetId="8">#REF!</definedName>
    <definedName name="_ACR10" localSheetId="5">#REF!</definedName>
    <definedName name="_ACR10" localSheetId="10">#REF!</definedName>
    <definedName name="_ACR10" localSheetId="11">#REF!</definedName>
    <definedName name="_ACR10" localSheetId="12">#REF!</definedName>
    <definedName name="_ACR10">#REF!</definedName>
    <definedName name="_ACR15" localSheetId="8">#REF!</definedName>
    <definedName name="_ACR15" localSheetId="5">#REF!</definedName>
    <definedName name="_ACR15" localSheetId="10">#REF!</definedName>
    <definedName name="_ACR15" localSheetId="11">#REF!</definedName>
    <definedName name="_ACR15" localSheetId="12">#REF!</definedName>
    <definedName name="_ACR15">#REF!</definedName>
    <definedName name="_acr20" localSheetId="8">#REF!</definedName>
    <definedName name="_acr20" localSheetId="5">#REF!</definedName>
    <definedName name="_acr20" localSheetId="10">#REF!</definedName>
    <definedName name="_acr20" localSheetId="11">#REF!</definedName>
    <definedName name="_acr20" localSheetId="12">#REF!</definedName>
    <definedName name="_acr20">#REF!</definedName>
    <definedName name="_acr5" localSheetId="8">#REF!</definedName>
    <definedName name="_acr5" localSheetId="5">#REF!</definedName>
    <definedName name="_acr5" localSheetId="10">#REF!</definedName>
    <definedName name="_acr5" localSheetId="11">#REF!</definedName>
    <definedName name="_acr5" localSheetId="12">#REF!</definedName>
    <definedName name="_acr5">#REF!</definedName>
    <definedName name="_akhnsdkjsdb" localSheetId="8">#REF!</definedName>
    <definedName name="_akhnsdkjsdb" localSheetId="5">#REF!</definedName>
    <definedName name="_akhnsdkjsdb" localSheetId="10">#REF!</definedName>
    <definedName name="_akhnsdkjsdb" localSheetId="11">#REF!</definedName>
    <definedName name="_akhnsdkjsdb" localSheetId="12">#REF!</definedName>
    <definedName name="_akhnsdkjsdb">#REF!</definedName>
    <definedName name="_AMO_UniqueIdentifier" hidden="1">"'54256040-62ff-475a-9348-dbdfce08df30'"</definedName>
    <definedName name="_ARQ1" localSheetId="8">#REF!</definedName>
    <definedName name="_ARQ1" localSheetId="5">#REF!</definedName>
    <definedName name="_ARQ1" localSheetId="9">#REF!</definedName>
    <definedName name="_ARQ1" localSheetId="10">#REF!</definedName>
    <definedName name="_ARQ1" localSheetId="0">#REF!</definedName>
    <definedName name="_ARQ1" localSheetId="11">#REF!</definedName>
    <definedName name="_ARQ1" localSheetId="12">#REF!</definedName>
    <definedName name="_ARQ1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e3" localSheetId="8">#REF!</definedName>
    <definedName name="_Axe3" localSheetId="5">#REF!</definedName>
    <definedName name="_Axe3" localSheetId="10">#REF!</definedName>
    <definedName name="_Axe3" localSheetId="11">#REF!</definedName>
    <definedName name="_Axe3" localSheetId="12">#REF!</definedName>
    <definedName name="_Axe3">#REF!</definedName>
    <definedName name="_Axe4" localSheetId="8">#REF!</definedName>
    <definedName name="_Axe4" localSheetId="5">#REF!</definedName>
    <definedName name="_Axe4" localSheetId="10">#REF!</definedName>
    <definedName name="_Axe4" localSheetId="11">#REF!</definedName>
    <definedName name="_Axe4" localSheetId="12">#REF!</definedName>
    <definedName name="_Axe4">#REF!</definedName>
    <definedName name="_Builtin13" localSheetId="8">#REF!</definedName>
    <definedName name="_Builtin13" localSheetId="5" hidden="1">#REF!</definedName>
    <definedName name="_Builtin13" localSheetId="10" hidden="1">#REF!</definedName>
    <definedName name="_Builtin13" localSheetId="1" hidden="1">#REF!</definedName>
    <definedName name="_Builtin13" localSheetId="11" hidden="1">#REF!</definedName>
    <definedName name="_Builtin13" localSheetId="12" hidden="1">#REF!</definedName>
    <definedName name="_Builtin13" hidden="1">#REF!</definedName>
    <definedName name="_CAB1" localSheetId="8">#REF!</definedName>
    <definedName name="_CAB1" localSheetId="5">#REF!</definedName>
    <definedName name="_CAB1" localSheetId="10">#REF!</definedName>
    <definedName name="_CAB1" localSheetId="11">#REF!</definedName>
    <definedName name="_CAB1" localSheetId="12">#REF!</definedName>
    <definedName name="_CAB1">#REF!</definedName>
    <definedName name="_CAB2" localSheetId="8">#REF!</definedName>
    <definedName name="_CAB2" localSheetId="5">#REF!</definedName>
    <definedName name="_CAB2" localSheetId="10">#REF!</definedName>
    <definedName name="_CAB2" localSheetId="11">#REF!</definedName>
    <definedName name="_CAB2" localSheetId="12">#REF!</definedName>
    <definedName name="_CAB2">#REF!</definedName>
    <definedName name="_CO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CO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Dist_Bin" localSheetId="8">#REF!</definedName>
    <definedName name="_Dist_Bin" localSheetId="5" hidden="1">#REF!</definedName>
    <definedName name="_Dist_Bin" localSheetId="9">#REF!</definedName>
    <definedName name="_Dist_Bin" localSheetId="10" hidden="1">#REF!</definedName>
    <definedName name="_Dist_Bin" localSheetId="1" hidden="1">#REF!</definedName>
    <definedName name="_Dist_Bin" localSheetId="0">#REF!</definedName>
    <definedName name="_Dist_Bin" localSheetId="11" hidden="1">#REF!</definedName>
    <definedName name="_Dist_Bin" localSheetId="12" hidden="1">#REF!</definedName>
    <definedName name="_Dist_Bin" hidden="1">#REF!</definedName>
    <definedName name="_Dist_Values" localSheetId="8">#REF!</definedName>
    <definedName name="_Dist_Values" localSheetId="5" hidden="1">#REF!</definedName>
    <definedName name="_Dist_Values" localSheetId="9">#REF!</definedName>
    <definedName name="_Dist_Values" localSheetId="10" hidden="1">#REF!</definedName>
    <definedName name="_Dist_Values" localSheetId="1" hidden="1">#REF!</definedName>
    <definedName name="_Dist_Values" localSheetId="0">#REF!</definedName>
    <definedName name="_Dist_Values" localSheetId="11" hidden="1">#REF!</definedName>
    <definedName name="_Dist_Values" localSheetId="12" hidden="1">#REF!</definedName>
    <definedName name="_Dist_Values" hidden="1">#REF!</definedName>
    <definedName name="_ECS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ECS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_Fill" localSheetId="8">#REF!</definedName>
    <definedName name="_Fill" localSheetId="9">#REF!</definedName>
    <definedName name="_Fill" localSheetId="10" hidden="1">#REF!</definedName>
    <definedName name="_Fill" localSheetId="1" hidden="1">#REF!</definedName>
    <definedName name="_Fill" localSheetId="0">#REF!</definedName>
    <definedName name="_Fill" localSheetId="11" hidden="1">#REF!</definedName>
    <definedName name="_Fill" localSheetId="12" hidden="1">#REF!</definedName>
    <definedName name="_Fill" hidden="1">#REF!</definedName>
    <definedName name="_fill1" localSheetId="8">#REF!</definedName>
    <definedName name="_fill1" localSheetId="9">#REF!</definedName>
    <definedName name="_fill1" localSheetId="10" hidden="1">#REF!</definedName>
    <definedName name="_fill1" localSheetId="1" hidden="1">#REF!</definedName>
    <definedName name="_fill1" localSheetId="0">#REF!</definedName>
    <definedName name="_fill1" localSheetId="11" hidden="1">#REF!</definedName>
    <definedName name="_fill1" localSheetId="12" hidden="1">#REF!</definedName>
    <definedName name="_fill1" hidden="1">#REF!</definedName>
    <definedName name="_FilterDatabase" localSheetId="10" hidden="1">MOBILIÁRIO!#REF!</definedName>
    <definedName name="_FilterDatabase" localSheetId="11" hidden="1">REVESTIMENTOS!#REF!</definedName>
    <definedName name="_FilterDatabase" localSheetId="12" hidden="1">TOTAL!#REF!</definedName>
    <definedName name="_FiltrarBancoDados2" localSheetId="8">#REF!</definedName>
    <definedName name="_FiltrarBancoDados2" localSheetId="9">#REF!</definedName>
    <definedName name="_FiltrarBancoDados2" localSheetId="10" hidden="1">#REF!</definedName>
    <definedName name="_FiltrarBancoDados2" localSheetId="0">#REF!</definedName>
    <definedName name="_FiltrarBancoDados2" localSheetId="11" hidden="1">#REF!</definedName>
    <definedName name="_FiltrarBancoDados2" localSheetId="12" hidden="1">#REF!</definedName>
    <definedName name="_FiltrarBancoDados2" hidden="1">#REF!</definedName>
    <definedName name="_xlnm._FilterDatabase" localSheetId="3" hidden="1">CPU!$B$1:$I$3085</definedName>
    <definedName name="_xlnm._FilterDatabase" localSheetId="5" hidden="1">Ger_Executivo!$G$7:$P$451</definedName>
    <definedName name="_xlnm._FilterDatabase" localSheetId="7" hidden="1">IMPERMEABILIZAÇÃO!$A$10:$Z$147</definedName>
    <definedName name="_xlnm._FilterDatabase" localSheetId="4" hidden="1">Insumos!$A$1:$G$764</definedName>
    <definedName name="_xlnm._FilterDatabase" localSheetId="9" hidden="1">'LOUÇAS E METAIS'!$C$6:$F$52</definedName>
    <definedName name="_xlnm._FilterDatabase" localSheetId="10" hidden="1">MOBILIÁRIO!$B$27:$H$422</definedName>
    <definedName name="_xlnm._FilterDatabase" localSheetId="1" hidden="1">#REF!</definedName>
    <definedName name="_xlnm._FilterDatabase" localSheetId="11" hidden="1">REVESTIMENTOS!$B$27:$H$155</definedName>
    <definedName name="_xlnm._FilterDatabase" hidden="1">#REF!</definedName>
    <definedName name="_htm2" localSheetId="8">#REF!</definedName>
    <definedName name="_htm2" localSheetId="5">#REF!</definedName>
    <definedName name="_htm2" localSheetId="9">#REF!</definedName>
    <definedName name="_htm2" localSheetId="10">#REF!</definedName>
    <definedName name="_htm2" localSheetId="0">#REF!</definedName>
    <definedName name="_htm2" localSheetId="11">#REF!</definedName>
    <definedName name="_htm2" localSheetId="12">#REF!</definedName>
    <definedName name="_htm2">#REF!</definedName>
    <definedName name="_htn2" localSheetId="8">#REF!</definedName>
    <definedName name="_htn2" localSheetId="5">#REF!</definedName>
    <definedName name="_htn2" localSheetId="9">#REF!</definedName>
    <definedName name="_htn2" localSheetId="10">#REF!</definedName>
    <definedName name="_htn2" localSheetId="0">#REF!</definedName>
    <definedName name="_htn2" localSheetId="11">#REF!</definedName>
    <definedName name="_htn2" localSheetId="12">#REF!</definedName>
    <definedName name="_htn2">#REF!</definedName>
    <definedName name="_IA0542" localSheetId="3" hidden="1">{#N/A,#N/A,FALSE,"Plan1";#N/A,#N/A,FALSE,"Plan2"}</definedName>
    <definedName name="_IA0542" localSheetId="8">{#N/A,#N/A,FALSE,"Plan1";#N/A,#N/A,FALSE,"Plan2"}</definedName>
    <definedName name="_IA0542" localSheetId="5" hidden="1">{#N/A,#N/A,FALSE,"Plan1";#N/A,#N/A,FALSE,"Plan2"}</definedName>
    <definedName name="_IA0542" localSheetId="4" hidden="1">{#N/A,#N/A,FALSE,"Plan1";#N/A,#N/A,FALSE,"Plan2"}</definedName>
    <definedName name="_IA0542" localSheetId="9">{#N/A,#N/A,FALSE,"Plan1";#N/A,#N/A,FALSE,"Plan2"}</definedName>
    <definedName name="_IA0542" localSheetId="10" hidden="1">{#N/A,#N/A,FALSE,"Plan1";#N/A,#N/A,FALSE,"Plan2"}</definedName>
    <definedName name="_IA0542" localSheetId="1" hidden="1">{#N/A,#N/A,FALSE,"Plan1";#N/A,#N/A,FALSE,"Plan2"}</definedName>
    <definedName name="_IA0542" localSheetId="0">{#N/A,#N/A,FALSE,"Plan1";#N/A,#N/A,FALSE,"Plan2"}</definedName>
    <definedName name="_IA0542" localSheetId="11" hidden="1">{#N/A,#N/A,FALSE,"Plan1";#N/A,#N/A,FALSE,"Plan2"}</definedName>
    <definedName name="_IA0542" localSheetId="12" hidden="1">{#N/A,#N/A,FALSE,"Plan1";#N/A,#N/A,FALSE,"Plan2"}</definedName>
    <definedName name="_IA0542" hidden="1">{#N/A,#N/A,FALSE,"Plan1";#N/A,#N/A,FALSE,"Plan2"}</definedName>
    <definedName name="_iss2" localSheetId="8">#REF!</definedName>
    <definedName name="_iss2" localSheetId="5">#REF!</definedName>
    <definedName name="_iss2" localSheetId="9">#REF!</definedName>
    <definedName name="_iss2" localSheetId="10">#REF!</definedName>
    <definedName name="_iss2" localSheetId="0">#REF!</definedName>
    <definedName name="_iss2" localSheetId="11">#REF!</definedName>
    <definedName name="_iss2" localSheetId="12">#REF!</definedName>
    <definedName name="_iss2">#REF!</definedName>
    <definedName name="_IV65617" localSheetId="8">#REF!</definedName>
    <definedName name="_IV65617" localSheetId="5">#REF!</definedName>
    <definedName name="_IV65617" localSheetId="9">#REF!</definedName>
    <definedName name="_IV65617" localSheetId="10">#REF!</definedName>
    <definedName name="_IV65617" localSheetId="0">#REF!</definedName>
    <definedName name="_IV65617" localSheetId="11">#REF!</definedName>
    <definedName name="_IV65617" localSheetId="12">#REF!</definedName>
    <definedName name="_IV65617">#REF!</definedName>
    <definedName name="_IV65999" localSheetId="8">#REF!</definedName>
    <definedName name="_IV65999" localSheetId="5">#REF!</definedName>
    <definedName name="_IV65999" localSheetId="9">#REF!</definedName>
    <definedName name="_IV65999" localSheetId="10">#REF!</definedName>
    <definedName name="_IV65999" localSheetId="0">#REF!</definedName>
    <definedName name="_IV65999" localSheetId="11">#REF!</definedName>
    <definedName name="_IV65999" localSheetId="12">#REF!</definedName>
    <definedName name="_IV65999">#REF!</definedName>
    <definedName name="_IV66000" localSheetId="8">#REF!</definedName>
    <definedName name="_IV66000" localSheetId="5">#REF!</definedName>
    <definedName name="_IV66000" localSheetId="10">#REF!</definedName>
    <definedName name="_IV66000" localSheetId="11">#REF!</definedName>
    <definedName name="_IV66000" localSheetId="12">#REF!</definedName>
    <definedName name="_IV66000">#REF!</definedName>
    <definedName name="_IV67021" localSheetId="8">#REF!</definedName>
    <definedName name="_IV67021" localSheetId="5">#REF!</definedName>
    <definedName name="_IV67021" localSheetId="10">#REF!</definedName>
    <definedName name="_IV67021" localSheetId="11">#REF!</definedName>
    <definedName name="_IV67021" localSheetId="12">#REF!</definedName>
    <definedName name="_IV67021">#REF!</definedName>
    <definedName name="_IV67022" localSheetId="8">#REF!</definedName>
    <definedName name="_IV67022" localSheetId="5">#REF!</definedName>
    <definedName name="_IV67022" localSheetId="10">#REF!</definedName>
    <definedName name="_IV67022" localSheetId="11">#REF!</definedName>
    <definedName name="_IV67022" localSheetId="12">#REF!</definedName>
    <definedName name="_IV67022">#REF!</definedName>
    <definedName name="_Key1" localSheetId="8">#REF!</definedName>
    <definedName name="_Key1" localSheetId="5" hidden="1">#REF!</definedName>
    <definedName name="_Key1" localSheetId="10" hidden="1">#REF!</definedName>
    <definedName name="_Key1" localSheetId="1" hidden="1">#REF!</definedName>
    <definedName name="_Key1" localSheetId="11" hidden="1">#REF!</definedName>
    <definedName name="_Key1" localSheetId="12" hidden="1">#REF!</definedName>
    <definedName name="_Key1" hidden="1">#REF!</definedName>
    <definedName name="_Key2" localSheetId="8">#REF!</definedName>
    <definedName name="_Key2" localSheetId="1" hidden="1">#REF!</definedName>
    <definedName name="_Key2" hidden="1">#REF!</definedName>
    <definedName name="_KEY3" localSheetId="8">#REF!</definedName>
    <definedName name="_KEY3" hidden="1">#REF!</definedName>
    <definedName name="_key4" localSheetId="8">#REF!</definedName>
    <definedName name="_key4" hidden="1">#REF!</definedName>
    <definedName name="_l" localSheetId="8">#REF!</definedName>
    <definedName name="_l" localSheetId="5">#REF!</definedName>
    <definedName name="_l" localSheetId="10">#REF!</definedName>
    <definedName name="_l" localSheetId="11">#REF!</definedName>
    <definedName name="_l" localSheetId="12">#REF!</definedName>
    <definedName name="_l">#REF!</definedName>
    <definedName name="_la29" localSheetId="8">#REF!</definedName>
    <definedName name="_la29" localSheetId="5" hidden="1">#REF!</definedName>
    <definedName name="_la29" localSheetId="10" hidden="1">#REF!</definedName>
    <definedName name="_la29" localSheetId="1" hidden="1">#REF!</definedName>
    <definedName name="_la29" localSheetId="11" hidden="1">#REF!</definedName>
    <definedName name="_la29" localSheetId="12" hidden="1">#REF!</definedName>
    <definedName name="_la29" hidden="1">#REF!</definedName>
    <definedName name="_la3" localSheetId="8">#REF!</definedName>
    <definedName name="_la3" localSheetId="5" hidden="1">#REF!</definedName>
    <definedName name="_la3" localSheetId="10" hidden="1">#REF!</definedName>
    <definedName name="_la3" localSheetId="1" hidden="1">#REF!</definedName>
    <definedName name="_la3" localSheetId="11" hidden="1">#REF!</definedName>
    <definedName name="_la3" localSheetId="12" hidden="1">#REF!</definedName>
    <definedName name="_la3" hidden="1">#REF!</definedName>
    <definedName name="_la31" localSheetId="8">#REF!</definedName>
    <definedName name="_la31" hidden="1">#REF!</definedName>
    <definedName name="_la32" localSheetId="8">#REF!</definedName>
    <definedName name="_la32" hidden="1">#REF!</definedName>
    <definedName name="_la4" localSheetId="8">#REF!</definedName>
    <definedName name="_la4" hidden="1">#REF!</definedName>
    <definedName name="_la5" localSheetId="8">#REF!</definedName>
    <definedName name="_la5" hidden="1">#REF!</definedName>
    <definedName name="_la6" localSheetId="8">#REF!</definedName>
    <definedName name="_la6" hidden="1">#REF!</definedName>
    <definedName name="_la7" localSheetId="8">#REF!</definedName>
    <definedName name="_la7" hidden="1">#REF!</definedName>
    <definedName name="_la8" localSheetId="8">#REF!</definedName>
    <definedName name="_la8" hidden="1">#REF!</definedName>
    <definedName name="_la9" localSheetId="8">#REF!</definedName>
    <definedName name="_la9" hidden="1">#REF!</definedName>
    <definedName name="_lb1" localSheetId="8">#REF!</definedName>
    <definedName name="_lb1" hidden="1">#REF!</definedName>
    <definedName name="_lb10" localSheetId="8">#REF!</definedName>
    <definedName name="_lb10" hidden="1">#REF!</definedName>
    <definedName name="_lb11" localSheetId="8">#REF!</definedName>
    <definedName name="_lb11" hidden="1">#REF!</definedName>
    <definedName name="_lb12" localSheetId="8">#REF!</definedName>
    <definedName name="_lb12" hidden="1">#REF!</definedName>
    <definedName name="_lb13" localSheetId="8">#REF!</definedName>
    <definedName name="_lb13" hidden="1">#REF!</definedName>
    <definedName name="_lb14" localSheetId="8">#REF!</definedName>
    <definedName name="_lb14" hidden="1">#REF!</definedName>
    <definedName name="_lb15" localSheetId="8">#REF!</definedName>
    <definedName name="_lb15" hidden="1">#REF!</definedName>
    <definedName name="_lb16" localSheetId="8">#REF!</definedName>
    <definedName name="_lb16" hidden="1">#REF!</definedName>
    <definedName name="_lb17" localSheetId="8">#REF!</definedName>
    <definedName name="_lb17" hidden="1">#REF!</definedName>
    <definedName name="_lb18" localSheetId="8">#REF!</definedName>
    <definedName name="_lb18" hidden="1">#REF!</definedName>
    <definedName name="_lb19" localSheetId="8">#REF!</definedName>
    <definedName name="_lb19" hidden="1">#REF!</definedName>
    <definedName name="_lb2" localSheetId="8">#REF!</definedName>
    <definedName name="_lb2" hidden="1">#REF!</definedName>
    <definedName name="_lb20" localSheetId="8">#REF!</definedName>
    <definedName name="_lb20" hidden="1">#REF!</definedName>
    <definedName name="_lb21" localSheetId="8">#REF!</definedName>
    <definedName name="_lb21" hidden="1">#REF!</definedName>
    <definedName name="_lb22" localSheetId="8">#REF!</definedName>
    <definedName name="_lb22" hidden="1">#REF!</definedName>
    <definedName name="_lb23" localSheetId="8">#REF!</definedName>
    <definedName name="_lb23" hidden="1">#REF!</definedName>
    <definedName name="_lb24" localSheetId="8">#REF!</definedName>
    <definedName name="_lb24" hidden="1">#REF!</definedName>
    <definedName name="_lb25" localSheetId="8">#REF!</definedName>
    <definedName name="_lb25" hidden="1">#REF!</definedName>
    <definedName name="_lb27" localSheetId="8">#REF!</definedName>
    <definedName name="_lb27" hidden="1">#REF!</definedName>
    <definedName name="_lb28" localSheetId="8">#REF!</definedName>
    <definedName name="_lb28" hidden="1">#REF!</definedName>
    <definedName name="_lb29" localSheetId="8">#REF!</definedName>
    <definedName name="_lb29" hidden="1">#REF!</definedName>
    <definedName name="_lb3" localSheetId="8">#REF!</definedName>
    <definedName name="_lb3" hidden="1">#REF!</definedName>
    <definedName name="_lb30" localSheetId="8">#REF!</definedName>
    <definedName name="_lb30" hidden="1">#REF!</definedName>
    <definedName name="_lb31" localSheetId="8">#REF!</definedName>
    <definedName name="_lb31" hidden="1">#REF!</definedName>
    <definedName name="_lb32" localSheetId="8">#REF!</definedName>
    <definedName name="_lb32" hidden="1">#REF!</definedName>
    <definedName name="_lb4" localSheetId="8">#REF!</definedName>
    <definedName name="_lb4" hidden="1">#REF!</definedName>
    <definedName name="_lb5" localSheetId="8">#REF!</definedName>
    <definedName name="_lb5" hidden="1">#REF!</definedName>
    <definedName name="_lb6" localSheetId="8">#REF!</definedName>
    <definedName name="_lb6" hidden="1">#REF!</definedName>
    <definedName name="_lb7" localSheetId="8">#REF!</definedName>
    <definedName name="_lb7" hidden="1">#REF!</definedName>
    <definedName name="_lb8" localSheetId="8">#REF!</definedName>
    <definedName name="_lb8" hidden="1">#REF!</definedName>
    <definedName name="_lb9" localSheetId="8">#REF!</definedName>
    <definedName name="_lb9" hidden="1">#REF!</definedName>
    <definedName name="_lbc1" localSheetId="8">#REF!</definedName>
    <definedName name="_lbc1" hidden="1">#REF!</definedName>
    <definedName name="_lbc10" localSheetId="8">#REF!</definedName>
    <definedName name="_lbc10" hidden="1">#REF!</definedName>
    <definedName name="_lbc11" localSheetId="8">#REF!</definedName>
    <definedName name="_lbc11" hidden="1">#REF!</definedName>
    <definedName name="_lbc12" localSheetId="8">#REF!</definedName>
    <definedName name="_lbc12" hidden="1">#REF!</definedName>
    <definedName name="_lbc13" localSheetId="8">#REF!</definedName>
    <definedName name="_lbc13" hidden="1">#REF!</definedName>
    <definedName name="_lbc14" localSheetId="8">#REF!</definedName>
    <definedName name="_lbc14" hidden="1">#REF!</definedName>
    <definedName name="_lbc15" localSheetId="8">#REF!</definedName>
    <definedName name="_lbc15" hidden="1">#REF!</definedName>
    <definedName name="_lbc16" localSheetId="8">#REF!</definedName>
    <definedName name="_lbc16" hidden="1">#REF!</definedName>
    <definedName name="_lbc17" localSheetId="8">#REF!</definedName>
    <definedName name="_lbc17" hidden="1">#REF!</definedName>
    <definedName name="_lbc18" localSheetId="8">#REF!</definedName>
    <definedName name="_lbc18" hidden="1">#REF!</definedName>
    <definedName name="_lbc19" localSheetId="8">#REF!</definedName>
    <definedName name="_lbc19" hidden="1">#REF!</definedName>
    <definedName name="_lbc2" localSheetId="8">#REF!</definedName>
    <definedName name="_lbc2" hidden="1">#REF!</definedName>
    <definedName name="_lbc20" localSheetId="8">#REF!</definedName>
    <definedName name="_lbc20" hidden="1">#REF!</definedName>
    <definedName name="_lbc21" localSheetId="8">#REF!</definedName>
    <definedName name="_lbc21" hidden="1">#REF!</definedName>
    <definedName name="_lbc22" localSheetId="8">#REF!</definedName>
    <definedName name="_lbc22" hidden="1">#REF!</definedName>
    <definedName name="_lbc23" localSheetId="8">#REF!</definedName>
    <definedName name="_lbc23" hidden="1">#REF!</definedName>
    <definedName name="_lbc24" localSheetId="8">#REF!</definedName>
    <definedName name="_lbc24" hidden="1">#REF!</definedName>
    <definedName name="_lbc25" localSheetId="8">#REF!</definedName>
    <definedName name="_lbc25" hidden="1">#REF!</definedName>
    <definedName name="_lbc26" localSheetId="8">#REF!</definedName>
    <definedName name="_lbc26" hidden="1">#REF!</definedName>
    <definedName name="_lbc27" localSheetId="8">#REF!</definedName>
    <definedName name="_lbc27" hidden="1">#REF!</definedName>
    <definedName name="_lbc28" localSheetId="8">#REF!</definedName>
    <definedName name="_lbc28" hidden="1">#REF!</definedName>
    <definedName name="_lbc29" localSheetId="8">#REF!</definedName>
    <definedName name="_lbc29" hidden="1">#REF!</definedName>
    <definedName name="_lbc3" localSheetId="8">#REF!</definedName>
    <definedName name="_lbc3" hidden="1">#REF!</definedName>
    <definedName name="_lbc31" localSheetId="8">#REF!</definedName>
    <definedName name="_lbc31" hidden="1">#REF!</definedName>
    <definedName name="_lbc32" localSheetId="8">#REF!</definedName>
    <definedName name="_lbc32" hidden="1">#REF!</definedName>
    <definedName name="_lbc4" localSheetId="8">#REF!</definedName>
    <definedName name="_lbc4" hidden="1">#REF!</definedName>
    <definedName name="_lbc5" localSheetId="8">#REF!</definedName>
    <definedName name="_lbc5" hidden="1">#REF!</definedName>
    <definedName name="_lbc6" localSheetId="8">#REF!</definedName>
    <definedName name="_lbc6" hidden="1">#REF!</definedName>
    <definedName name="_lbc7" localSheetId="8">#REF!</definedName>
    <definedName name="_lbc7" hidden="1">#REF!</definedName>
    <definedName name="_lbc8" localSheetId="8">#REF!</definedName>
    <definedName name="_lbc8" hidden="1">#REF!</definedName>
    <definedName name="_lbc9" localSheetId="8">#REF!</definedName>
    <definedName name="_lbc9" hidden="1">#REF!</definedName>
    <definedName name="_ld26" localSheetId="8">#REF!</definedName>
    <definedName name="_ld26" hidden="1">#REF!</definedName>
    <definedName name="_ld31" localSheetId="8">#REF!</definedName>
    <definedName name="_ld31" hidden="1">#REF!</definedName>
    <definedName name="_le31" localSheetId="8">#REF!</definedName>
    <definedName name="_le31" hidden="1">#REF!</definedName>
    <definedName name="_lf31" localSheetId="8">#REF!</definedName>
    <definedName name="_lf31" hidden="1">#REF!</definedName>
    <definedName name="_MatInverse_In" localSheetId="8">#REF!</definedName>
    <definedName name="_MatInverse_In" hidden="1">#REF!</definedName>
    <definedName name="_MatMult_A" localSheetId="8">#REF!</definedName>
    <definedName name="_MatMult_A" localSheetId="5" hidden="1">#REF!</definedName>
    <definedName name="_MatMult_A" localSheetId="10" hidden="1">#REF!</definedName>
    <definedName name="_MatMult_A" localSheetId="1" hidden="1">#REF!</definedName>
    <definedName name="_MatMult_A" localSheetId="11" hidden="1">#REF!</definedName>
    <definedName name="_MatMult_A" localSheetId="12" hidden="1">#REF!</definedName>
    <definedName name="_MatMult_A" hidden="1">#REF!</definedName>
    <definedName name="_MatMult_AxB" localSheetId="8">#REF!</definedName>
    <definedName name="_MatMult_AxB" hidden="1">#REF!</definedName>
    <definedName name="_MatMult_B" localSheetId="8">#REF!</definedName>
    <definedName name="_MatMult_B" hidden="1">#REF!</definedName>
    <definedName name="_new11" localSheetId="3" hidden="1">{#N/A,#N/A,FALSE,"Global by BU";#N/A,#N/A,FALSE,"U.S. by BU";#N/A,#N/A,FALSE,"Canada by BU";#N/A,#N/A,FALSE,"Europe by BU";#N/A,#N/A,FALSE,"Asia by BU";#N/A,#N/A,FALSE,"Cala by BU"}</definedName>
    <definedName name="_new11" localSheetId="8">{#N/A,#N/A,FALSE,"Global by BU";#N/A,#N/A,FALSE,"U.S. by BU";#N/A,#N/A,FALSE,"Canada by BU";#N/A,#N/A,FALSE,"Europe by BU";#N/A,#N/A,FALSE,"Asia by BU";#N/A,#N/A,FALSE,"Cala by BU"}</definedName>
    <definedName name="_new11" localSheetId="5" hidden="1">{#N/A,#N/A,FALSE,"Global by BU";#N/A,#N/A,FALSE,"U.S. by BU";#N/A,#N/A,FALSE,"Canada by BU";#N/A,#N/A,FALSE,"Europe by BU";#N/A,#N/A,FALSE,"Asia by BU";#N/A,#N/A,FALSE,"Cala by BU"}</definedName>
    <definedName name="_new11" localSheetId="4" hidden="1">{#N/A,#N/A,FALSE,"Global by BU";#N/A,#N/A,FALSE,"U.S. by BU";#N/A,#N/A,FALSE,"Canada by BU";#N/A,#N/A,FALSE,"Europe by BU";#N/A,#N/A,FALSE,"Asia by BU";#N/A,#N/A,FALSE,"Cala by BU"}</definedName>
    <definedName name="_new11" localSheetId="9">{#N/A,#N/A,FALSE,"Global by BU";#N/A,#N/A,FALSE,"U.S. by BU";#N/A,#N/A,FALSE,"Canada by BU";#N/A,#N/A,FALSE,"Europe by BU";#N/A,#N/A,FALSE,"Asia by BU";#N/A,#N/A,FALSE,"Cala by BU"}</definedName>
    <definedName name="_new11" localSheetId="10" hidden="1">{#N/A,#N/A,FALSE,"Global by BU";#N/A,#N/A,FALSE,"U.S. by BU";#N/A,#N/A,FALSE,"Canada by BU";#N/A,#N/A,FALSE,"Europe by BU";#N/A,#N/A,FALSE,"Asia by BU";#N/A,#N/A,FALSE,"Cala by BU"}</definedName>
    <definedName name="_new11" localSheetId="1" hidden="1">{#N/A,#N/A,FALSE,"Global by BU";#N/A,#N/A,FALSE,"U.S. by BU";#N/A,#N/A,FALSE,"Canada by BU";#N/A,#N/A,FALSE,"Europe by BU";#N/A,#N/A,FALSE,"Asia by BU";#N/A,#N/A,FALSE,"Cala by BU"}</definedName>
    <definedName name="_new11" localSheetId="0">{#N/A,#N/A,FALSE,"Global by BU";#N/A,#N/A,FALSE,"U.S. by BU";#N/A,#N/A,FALSE,"Canada by BU";#N/A,#N/A,FALSE,"Europe by BU";#N/A,#N/A,FALSE,"Asia by BU";#N/A,#N/A,FALSE,"Cala by BU"}</definedName>
    <definedName name="_new11" localSheetId="11" hidden="1">{#N/A,#N/A,FALSE,"Global by BU";#N/A,#N/A,FALSE,"U.S. by BU";#N/A,#N/A,FALSE,"Canada by BU";#N/A,#N/A,FALSE,"Europe by BU";#N/A,#N/A,FALSE,"Asia by BU";#N/A,#N/A,FALSE,"Cala by BU"}</definedName>
    <definedName name="_new11" localSheetId="12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Order1" hidden="1">0</definedName>
    <definedName name="_Order2" localSheetId="3" hidden="1">0</definedName>
    <definedName name="_Order2" localSheetId="5" hidden="1">255</definedName>
    <definedName name="_Order2" localSheetId="4" hidden="1">0</definedName>
    <definedName name="_Order2" localSheetId="10" hidden="1">0</definedName>
    <definedName name="_Order2" localSheetId="1" hidden="1">255</definedName>
    <definedName name="_Order2" localSheetId="11" hidden="1">0</definedName>
    <definedName name="_Order2" localSheetId="12" hidden="1">0</definedName>
    <definedName name="_Order2" hidden="1">255</definedName>
    <definedName name="_Parse_Out" localSheetId="8">#REF!</definedName>
    <definedName name="_Parse_Out" localSheetId="9">#REF!</definedName>
    <definedName name="_Parse_Out" localSheetId="10" hidden="1">#REF!</definedName>
    <definedName name="_Parse_Out" localSheetId="1" hidden="1">#REF!</definedName>
    <definedName name="_Parse_Out" localSheetId="0">#REF!</definedName>
    <definedName name="_Parse_Out" localSheetId="11" hidden="1">#REF!</definedName>
    <definedName name="_Parse_Out" localSheetId="12" hidden="1">#REF!</definedName>
    <definedName name="_Parse_Out" hidden="1">#REF!</definedName>
    <definedName name="_PAV01" localSheetId="8">#REF!</definedName>
    <definedName name="_PAV01" localSheetId="5">#REF!</definedName>
    <definedName name="_PAV01" localSheetId="9">#REF!</definedName>
    <definedName name="_PAV01" localSheetId="10">#REF!</definedName>
    <definedName name="_PAV01" localSheetId="0">#REF!</definedName>
    <definedName name="_PAV01" localSheetId="11">#REF!</definedName>
    <definedName name="_PAV01" localSheetId="12">#REF!</definedName>
    <definedName name="_PAV01">#REF!</definedName>
    <definedName name="_PAV02" localSheetId="8">#REF!</definedName>
    <definedName name="_PAV02" localSheetId="5">#REF!</definedName>
    <definedName name="_PAV02" localSheetId="9">#REF!</definedName>
    <definedName name="_PAV02" localSheetId="10">#REF!</definedName>
    <definedName name="_PAV02" localSheetId="0">#REF!</definedName>
    <definedName name="_PAV02" localSheetId="11">#REF!</definedName>
    <definedName name="_PAV02" localSheetId="12">#REF!</definedName>
    <definedName name="_PAV02">#REF!</definedName>
    <definedName name="_PAV03" localSheetId="8">#REF!</definedName>
    <definedName name="_PAV03" localSheetId="5">#REF!</definedName>
    <definedName name="_PAV03" localSheetId="10">#REF!</definedName>
    <definedName name="_PAV03" localSheetId="11">#REF!</definedName>
    <definedName name="_PAV03" localSheetId="12">#REF!</definedName>
    <definedName name="_PAV03">#REF!</definedName>
    <definedName name="_PAV04" localSheetId="8">#REF!</definedName>
    <definedName name="_PAV04" localSheetId="5">#REF!</definedName>
    <definedName name="_PAV04" localSheetId="10">#REF!</definedName>
    <definedName name="_PAV04" localSheetId="11">#REF!</definedName>
    <definedName name="_PAV04" localSheetId="12">#REF!</definedName>
    <definedName name="_PAV04">#REF!</definedName>
    <definedName name="_PAV05" localSheetId="8">#REF!</definedName>
    <definedName name="_PAV05" localSheetId="5">#REF!</definedName>
    <definedName name="_PAV05" localSheetId="10">#REF!</definedName>
    <definedName name="_PAV05" localSheetId="11">#REF!</definedName>
    <definedName name="_PAV05" localSheetId="12">#REF!</definedName>
    <definedName name="_PAV05">#REF!</definedName>
    <definedName name="_PAV06" localSheetId="8">#REF!</definedName>
    <definedName name="_PAV06" localSheetId="5">#REF!</definedName>
    <definedName name="_PAV06" localSheetId="10">#REF!</definedName>
    <definedName name="_PAV06" localSheetId="11">#REF!</definedName>
    <definedName name="_PAV06" localSheetId="12">#REF!</definedName>
    <definedName name="_PAV06">#REF!</definedName>
    <definedName name="_PAV07" localSheetId="8">#REF!</definedName>
    <definedName name="_PAV07" localSheetId="5">#REF!</definedName>
    <definedName name="_PAV07" localSheetId="10">#REF!</definedName>
    <definedName name="_PAV07" localSheetId="11">#REF!</definedName>
    <definedName name="_PAV07" localSheetId="12">#REF!</definedName>
    <definedName name="_PAV07">#REF!</definedName>
    <definedName name="_PAV08" localSheetId="8">#REF!</definedName>
    <definedName name="_PAV08" localSheetId="5">#REF!</definedName>
    <definedName name="_PAV08" localSheetId="10">#REF!</definedName>
    <definedName name="_PAV08" localSheetId="11">#REF!</definedName>
    <definedName name="_PAV08" localSheetId="12">#REF!</definedName>
    <definedName name="_PAV08">#REF!</definedName>
    <definedName name="_PAV09" localSheetId="8">#REF!</definedName>
    <definedName name="_PAV09" localSheetId="5">#REF!</definedName>
    <definedName name="_PAV09" localSheetId="10">#REF!</definedName>
    <definedName name="_PAV09" localSheetId="11">#REF!</definedName>
    <definedName name="_PAV09" localSheetId="12">#REF!</definedName>
    <definedName name="_PAV09">#REF!</definedName>
    <definedName name="_PAV10" localSheetId="8">#REF!</definedName>
    <definedName name="_PAV10" localSheetId="5">#REF!</definedName>
    <definedName name="_PAV10" localSheetId="10">#REF!</definedName>
    <definedName name="_PAV10" localSheetId="11">#REF!</definedName>
    <definedName name="_PAV10" localSheetId="12">#REF!</definedName>
    <definedName name="_PAV10">#REF!</definedName>
    <definedName name="_PAV11" localSheetId="8">#REF!</definedName>
    <definedName name="_PAV11" localSheetId="5">#REF!</definedName>
    <definedName name="_PAV11" localSheetId="10">#REF!</definedName>
    <definedName name="_PAV11" localSheetId="11">#REF!</definedName>
    <definedName name="_PAV11" localSheetId="12">#REF!</definedName>
    <definedName name="_PAV11">#REF!</definedName>
    <definedName name="_PK2" localSheetId="3" hidden="1">{"'장비'!$A$3:$M$12"}</definedName>
    <definedName name="_PK2" localSheetId="8">{"'장비'!$A$3:$M$12"}</definedName>
    <definedName name="_PK2" localSheetId="5" hidden="1">{"'장비'!$A$3:$M$12"}</definedName>
    <definedName name="_PK2" localSheetId="4" hidden="1">{"'장비'!$A$3:$M$12"}</definedName>
    <definedName name="_PK2" localSheetId="9">{"'장비'!$A$3:$M$12"}</definedName>
    <definedName name="_PK2" localSheetId="10" hidden="1">{"'장비'!$A$3:$M$12"}</definedName>
    <definedName name="_PK2" localSheetId="1" hidden="1">{"'장비'!$A$3:$M$12"}</definedName>
    <definedName name="_PK2" localSheetId="0">{"'장비'!$A$3:$M$12"}</definedName>
    <definedName name="_PK2" localSheetId="11" hidden="1">{"'장비'!$A$3:$M$12"}</definedName>
    <definedName name="_PK2" localSheetId="12" hidden="1">{"'장비'!$A$3:$M$12"}</definedName>
    <definedName name="_PK2" hidden="1">{"'장비'!$A$3:$M$12"}</definedName>
    <definedName name="_PKG3" localSheetId="3" hidden="1">{"'장비'!$A$3:$M$12"}</definedName>
    <definedName name="_PKG3" localSheetId="8">{"'장비'!$A$3:$M$12"}</definedName>
    <definedName name="_PKG3" localSheetId="5" hidden="1">{"'장비'!$A$3:$M$12"}</definedName>
    <definedName name="_PKG3" localSheetId="4" hidden="1">{"'장비'!$A$3:$M$12"}</definedName>
    <definedName name="_PKG3" localSheetId="9">{"'장비'!$A$3:$M$12"}</definedName>
    <definedName name="_PKG3" localSheetId="10" hidden="1">{"'장비'!$A$3:$M$12"}</definedName>
    <definedName name="_PKG3" localSheetId="1" hidden="1">{"'장비'!$A$3:$M$12"}</definedName>
    <definedName name="_PKG3" localSheetId="0">{"'장비'!$A$3:$M$12"}</definedName>
    <definedName name="_PKG3" localSheetId="11" hidden="1">{"'장비'!$A$3:$M$12"}</definedName>
    <definedName name="_PKG3" localSheetId="12" hidden="1">{"'장비'!$A$3:$M$12"}</definedName>
    <definedName name="_PKG3" hidden="1">{"'장비'!$A$3:$M$12"}</definedName>
    <definedName name="_qqq222" localSheetId="3" hidden="1">{"'장비'!$A$3:$M$12"}</definedName>
    <definedName name="_qqq222" localSheetId="8">{"'장비'!$A$3:$M$12"}</definedName>
    <definedName name="_qqq222" localSheetId="5" hidden="1">{"'장비'!$A$3:$M$12"}</definedName>
    <definedName name="_qqq222" localSheetId="4" hidden="1">{"'장비'!$A$3:$M$12"}</definedName>
    <definedName name="_qqq222" localSheetId="9">{"'장비'!$A$3:$M$12"}</definedName>
    <definedName name="_qqq222" localSheetId="10" hidden="1">{"'장비'!$A$3:$M$12"}</definedName>
    <definedName name="_qqq222" localSheetId="1" hidden="1">{"'장비'!$A$3:$M$12"}</definedName>
    <definedName name="_qqq222" localSheetId="0">{"'장비'!$A$3:$M$12"}</definedName>
    <definedName name="_qqq222" localSheetId="11" hidden="1">{"'장비'!$A$3:$M$12"}</definedName>
    <definedName name="_qqq222" localSheetId="12" hidden="1">{"'장비'!$A$3:$M$12"}</definedName>
    <definedName name="_qqq222" hidden="1">{"'장비'!$A$3:$M$12"}</definedName>
    <definedName name="_QT100" localSheetId="8">#REF!</definedName>
    <definedName name="_QT100" localSheetId="5">#REF!</definedName>
    <definedName name="_QT100" localSheetId="10">#REF!</definedName>
    <definedName name="_QT100" localSheetId="11">#REF!</definedName>
    <definedName name="_QT100" localSheetId="12">#REF!</definedName>
    <definedName name="_QT100">#REF!</definedName>
    <definedName name="_QT2" localSheetId="8">#REF!</definedName>
    <definedName name="_QT2" localSheetId="5">#REF!</definedName>
    <definedName name="_QT2" localSheetId="10">#REF!</definedName>
    <definedName name="_QT2" localSheetId="11">#REF!</definedName>
    <definedName name="_QT2" localSheetId="12">#REF!</definedName>
    <definedName name="_QT2">#REF!</definedName>
    <definedName name="_QT3" localSheetId="8">#REF!</definedName>
    <definedName name="_QT3" localSheetId="5">#REF!</definedName>
    <definedName name="_QT3" localSheetId="10">#REF!</definedName>
    <definedName name="_QT3" localSheetId="11">#REF!</definedName>
    <definedName name="_QT3" localSheetId="12">#REF!</definedName>
    <definedName name="_QT3">#REF!</definedName>
    <definedName name="_QT4" localSheetId="8">#REF!</definedName>
    <definedName name="_QT4" localSheetId="5">#REF!</definedName>
    <definedName name="_QT4" localSheetId="10">#REF!</definedName>
    <definedName name="_QT4" localSheetId="11">#REF!</definedName>
    <definedName name="_QT4" localSheetId="12">#REF!</definedName>
    <definedName name="_QT4">#REF!</definedName>
    <definedName name="_QT50" localSheetId="8">#REF!</definedName>
    <definedName name="_QT50" localSheetId="5">#REF!</definedName>
    <definedName name="_QT50" localSheetId="10">#REF!</definedName>
    <definedName name="_QT50" localSheetId="11">#REF!</definedName>
    <definedName name="_QT50" localSheetId="12">#REF!</definedName>
    <definedName name="_QT50">#REF!</definedName>
    <definedName name="_QT75" localSheetId="8">#REF!</definedName>
    <definedName name="_QT75" localSheetId="5">#REF!</definedName>
    <definedName name="_QT75" localSheetId="10">#REF!</definedName>
    <definedName name="_QT75" localSheetId="11">#REF!</definedName>
    <definedName name="_QT75" localSheetId="12">#REF!</definedName>
    <definedName name="_QT75">#REF!</definedName>
    <definedName name="_r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Regression_Int" hidden="1">1</definedName>
    <definedName name="_Regression_Out" localSheetId="8">#REF!</definedName>
    <definedName name="_Regression_Out" localSheetId="5" hidden="1">#REF!</definedName>
    <definedName name="_Regression_Out" localSheetId="9">#REF!</definedName>
    <definedName name="_Regression_Out" localSheetId="10" hidden="1">#REF!</definedName>
    <definedName name="_Regression_Out" localSheetId="1" hidden="1">#REF!</definedName>
    <definedName name="_Regression_Out" localSheetId="0">#REF!</definedName>
    <definedName name="_Regression_Out" localSheetId="11" hidden="1">#REF!</definedName>
    <definedName name="_Regression_Out" localSheetId="12" hidden="1">#REF!</definedName>
    <definedName name="_Regression_Out" hidden="1">#REF!</definedName>
    <definedName name="_Regression_X" localSheetId="8">#REF!</definedName>
    <definedName name="_Regression_X" localSheetId="9">#REF!</definedName>
    <definedName name="_Regression_X" localSheetId="10" hidden="1">#REF!</definedName>
    <definedName name="_Regression_X" localSheetId="1" hidden="1">#REF!</definedName>
    <definedName name="_Regression_X" localSheetId="0">#REF!</definedName>
    <definedName name="_Regression_X" localSheetId="11" hidden="1">#REF!</definedName>
    <definedName name="_Regression_X" localSheetId="12" hidden="1">#REF!</definedName>
    <definedName name="_Regression_X" hidden="1">#REF!</definedName>
    <definedName name="_Regression_Y" localSheetId="8">#REF!</definedName>
    <definedName name="_Regression_Y" localSheetId="9">#REF!</definedName>
    <definedName name="_Regression_Y" localSheetId="1" hidden="1">#REF!</definedName>
    <definedName name="_Regression_Y" localSheetId="0">#REF!</definedName>
    <definedName name="_Regression_Y" hidden="1">#REF!</definedName>
    <definedName name="_sfe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fe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_Sort" localSheetId="8">#REF!</definedName>
    <definedName name="_Sort" localSheetId="5" hidden="1">#REF!</definedName>
    <definedName name="_Sort" localSheetId="9">#REF!</definedName>
    <definedName name="_Sort" localSheetId="10" hidden="1">#REF!</definedName>
    <definedName name="_Sort" localSheetId="1" hidden="1">#REF!</definedName>
    <definedName name="_Sort" localSheetId="0">#REF!</definedName>
    <definedName name="_Sort" localSheetId="11" hidden="1">#REF!</definedName>
    <definedName name="_Sort" localSheetId="12" hidden="1">#REF!</definedName>
    <definedName name="_Sort" hidden="1">#REF!</definedName>
    <definedName name="_T" localSheetId="8">#REF!</definedName>
    <definedName name="_T" localSheetId="5">#REF!</definedName>
    <definedName name="_T" localSheetId="9">#REF!</definedName>
    <definedName name="_T" localSheetId="10">#REF!</definedName>
    <definedName name="_T" localSheetId="0">#REF!</definedName>
    <definedName name="_T" localSheetId="11">#REF!</definedName>
    <definedName name="_T" localSheetId="12">#REF!</definedName>
    <definedName name="_T">#REF!</definedName>
    <definedName name="_Table1_In1" localSheetId="8">#REF!</definedName>
    <definedName name="_Table1_In1" localSheetId="9">#REF!</definedName>
    <definedName name="_Table1_In1" localSheetId="1" hidden="1">#REF!</definedName>
    <definedName name="_Table1_In1" localSheetId="0">#REF!</definedName>
    <definedName name="_Table1_In1" hidden="1">#REF!</definedName>
    <definedName name="_Table1_Out" localSheetId="8">#REF!</definedName>
    <definedName name="_Table1_Out" hidden="1">#REF!</definedName>
    <definedName name="_wer3" localSheetId="3" hidden="1">{#N/A,#N/A,FALSE,"Plan1";#N/A,#N/A,FALSE,"Plan2"}</definedName>
    <definedName name="_wer3" localSheetId="8">{#N/A,#N/A,FALSE,"Plan1";#N/A,#N/A,FALSE,"Plan2"}</definedName>
    <definedName name="_wer3" localSheetId="5" hidden="1">{#N/A,#N/A,FALSE,"Plan1";#N/A,#N/A,FALSE,"Plan2"}</definedName>
    <definedName name="_wer3" localSheetId="4" hidden="1">{#N/A,#N/A,FALSE,"Plan1";#N/A,#N/A,FALSE,"Plan2"}</definedName>
    <definedName name="_wer3" localSheetId="9">{#N/A,#N/A,FALSE,"Plan1";#N/A,#N/A,FALSE,"Plan2"}</definedName>
    <definedName name="_wer3" localSheetId="10" hidden="1">{#N/A,#N/A,FALSE,"Plan1";#N/A,#N/A,FALSE,"Plan2"}</definedName>
    <definedName name="_wer3" localSheetId="1" hidden="1">{#N/A,#N/A,FALSE,"Plan1";#N/A,#N/A,FALSE,"Plan2"}</definedName>
    <definedName name="_wer3" localSheetId="0">{#N/A,#N/A,FALSE,"Plan1";#N/A,#N/A,FALSE,"Plan2"}</definedName>
    <definedName name="_wer3" localSheetId="11" hidden="1">{#N/A,#N/A,FALSE,"Plan1";#N/A,#N/A,FALSE,"Plan2"}</definedName>
    <definedName name="_wer3" localSheetId="12" hidden="1">{#N/A,#N/A,FALSE,"Plan1";#N/A,#N/A,FALSE,"Plan2"}</definedName>
    <definedName name="_wer3" hidden="1">{#N/A,#N/A,FALSE,"Plan1";#N/A,#N/A,FALSE,"Plan2"}</definedName>
    <definedName name="_wrn.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x10" localSheetId="8">#REF!</definedName>
    <definedName name="_x10" localSheetId="5" hidden="1">#REF!</definedName>
    <definedName name="_x10" localSheetId="9">#REF!</definedName>
    <definedName name="_x10" localSheetId="10" hidden="1">#REF!</definedName>
    <definedName name="_x10" localSheetId="1" hidden="1">#REF!</definedName>
    <definedName name="_x10" localSheetId="0">#REF!</definedName>
    <definedName name="_x10" localSheetId="11" hidden="1">#REF!</definedName>
    <definedName name="_x10" localSheetId="12" hidden="1">#REF!</definedName>
    <definedName name="_x10" hidden="1">#REF!</definedName>
    <definedName name="_x11" localSheetId="8">#REF!</definedName>
    <definedName name="_x11" localSheetId="5" hidden="1">#REF!</definedName>
    <definedName name="_x11" localSheetId="9">#REF!</definedName>
    <definedName name="_x11" localSheetId="10" hidden="1">#REF!</definedName>
    <definedName name="_x11" localSheetId="1" hidden="1">#REF!</definedName>
    <definedName name="_x11" localSheetId="0">#REF!</definedName>
    <definedName name="_x11" localSheetId="11" hidden="1">#REF!</definedName>
    <definedName name="_x11" localSheetId="12" hidden="1">#REF!</definedName>
    <definedName name="_x11" hidden="1">#REF!</definedName>
    <definedName name="_x12" localSheetId="8">#REF!</definedName>
    <definedName name="_x12" localSheetId="5" hidden="1">#REF!</definedName>
    <definedName name="_x12" localSheetId="9">#REF!</definedName>
    <definedName name="_x12" localSheetId="10" hidden="1">#REF!</definedName>
    <definedName name="_x12" localSheetId="1" hidden="1">#REF!</definedName>
    <definedName name="_x12" localSheetId="0">#REF!</definedName>
    <definedName name="_x12" localSheetId="11" hidden="1">#REF!</definedName>
    <definedName name="_x12" localSheetId="12" hidden="1">#REF!</definedName>
    <definedName name="_x12" hidden="1">#REF!</definedName>
    <definedName name="_x13" localSheetId="8">#REF!</definedName>
    <definedName name="_x13" hidden="1">#REF!</definedName>
    <definedName name="_x14" localSheetId="8">#REF!</definedName>
    <definedName name="_x14" hidden="1">#REF!</definedName>
    <definedName name="_x15" localSheetId="8">#REF!</definedName>
    <definedName name="_x15" hidden="1">#REF!</definedName>
    <definedName name="_x16" localSheetId="8">#REF!</definedName>
    <definedName name="_x16" hidden="1">#REF!</definedName>
    <definedName name="_x17" localSheetId="8">#REF!</definedName>
    <definedName name="_x17" hidden="1">#REF!</definedName>
    <definedName name="_x18" localSheetId="8">#REF!</definedName>
    <definedName name="_x18" hidden="1">#REF!</definedName>
    <definedName name="_x19" localSheetId="8">#REF!</definedName>
    <definedName name="_x19" hidden="1">#REF!</definedName>
    <definedName name="_x20" localSheetId="8">#REF!</definedName>
    <definedName name="_x20" hidden="1">#REF!</definedName>
    <definedName name="_x21" localSheetId="8">#REF!</definedName>
    <definedName name="_x21" hidden="1">#REF!</definedName>
    <definedName name="_x22" localSheetId="8">#REF!</definedName>
    <definedName name="_x22" hidden="1">#REF!</definedName>
    <definedName name="_x23" localSheetId="8">#REF!</definedName>
    <definedName name="_x23" hidden="1">#REF!</definedName>
    <definedName name="_x24" localSheetId="8">#REF!</definedName>
    <definedName name="_x24" hidden="1">#REF!</definedName>
    <definedName name="_x25" localSheetId="8">#REF!</definedName>
    <definedName name="_x25" hidden="1">#REF!</definedName>
    <definedName name="_x28" localSheetId="8">#REF!</definedName>
    <definedName name="_x28" hidden="1">#REF!</definedName>
    <definedName name="_x29" localSheetId="8">#REF!</definedName>
    <definedName name="_x29" hidden="1">#REF!</definedName>
    <definedName name="_x32" localSheetId="8">#REF!</definedName>
    <definedName name="_x32" hidden="1">#REF!</definedName>
    <definedName name="_x4" localSheetId="8">#REF!</definedName>
    <definedName name="_x4" hidden="1">#REF!</definedName>
    <definedName name="_x5" localSheetId="8">#REF!</definedName>
    <definedName name="_x5" hidden="1">#REF!</definedName>
    <definedName name="_x6" localSheetId="8">#REF!</definedName>
    <definedName name="_x6" hidden="1">#REF!</definedName>
    <definedName name="_x7" localSheetId="8">#REF!</definedName>
    <definedName name="_x7" hidden="1">#REF!</definedName>
    <definedName name="_x8" localSheetId="8">#REF!</definedName>
    <definedName name="_x8" hidden="1">#REF!</definedName>
    <definedName name="_x9" localSheetId="8">#REF!</definedName>
    <definedName name="_x9" hidden="1">#REF!</definedName>
    <definedName name="_xlcn.WorksheetConnection_2018_03ResumoRGOObrasRJ.xlsbTabela1" localSheetId="8">#REF!</definedName>
    <definedName name="_xlcn.WorksheetConnection_2018_03ResumoRGOObrasRJ.xlsbTabela1" localSheetId="5" hidden="1">#REF!</definedName>
    <definedName name="_xlcn.WorksheetConnection_2018_03ResumoRGOObrasRJ.xlsbTabela1" localSheetId="10" hidden="1">#REF!</definedName>
    <definedName name="_xlcn.WorksheetConnection_2018_03ResumoRGOObrasRJ.xlsbTabela1" localSheetId="1" hidden="1">#REF!</definedName>
    <definedName name="_xlcn.WorksheetConnection_2018_03ResumoRGOObrasRJ.xlsbTabela1" localSheetId="11" hidden="1">#REF!</definedName>
    <definedName name="_xlcn.WorksheetConnection_2018_03ResumoRGOObrasRJ.xlsbTabela1" localSheetId="12" hidden="1">#REF!</definedName>
    <definedName name="_xlcn.WorksheetConnection_2018_03ResumoRGOObrasRJ.xlsbTabela1" hidden="1">#REF!</definedName>
    <definedName name="_xlcn.WorksheetConnection_ProjetocontrolefisicoefinanceiroRJ.xlsxTabela31" localSheetId="8">#REF!</definedName>
    <definedName name="_xlcn.WorksheetConnection_ProjetocontrolefisicoefinanceiroRJ.xlsxTabela31" localSheetId="5" hidden="1">#REF!</definedName>
    <definedName name="_xlcn.WorksheetConnection_ProjetocontrolefisicoefinanceiroRJ.xlsxTabela31" localSheetId="10" hidden="1">#REF!</definedName>
    <definedName name="_xlcn.WorksheetConnection_ProjetocontrolefisicoefinanceiroRJ.xlsxTabela31" localSheetId="1" hidden="1">#REF!</definedName>
    <definedName name="_xlcn.WorksheetConnection_ProjetocontrolefisicoefinanceiroRJ.xlsxTabela31" localSheetId="11" hidden="1">#REF!</definedName>
    <definedName name="_xlcn.WorksheetConnection_ProjetocontrolefisicoefinanceiroRJ.xlsxTabela31" localSheetId="12" hidden="1">#REF!</definedName>
    <definedName name="_xlcn.WorksheetConnection_ProjetocontrolefisicoefinanceiroRJ.xlsxTabela31" hidden="1">#REF!</definedName>
    <definedName name="´cAE°eE¹" localSheetId="5" hidden="1">#REF!</definedName>
    <definedName name="´cAE°eE¹" localSheetId="10" hidden="1">#REF!</definedName>
    <definedName name="´cAE°eE¹" localSheetId="1" hidden="1">#REF!</definedName>
    <definedName name="´cAE°eE¹" localSheetId="11" hidden="1">#REF!</definedName>
    <definedName name="´cAE°eE¹" localSheetId="12" hidden="1">#REF!</definedName>
    <definedName name="´cAE°eE¹" hidden="1">#REF!</definedName>
    <definedName name="￠￥cAE¡ÆeEⓒo" hidden="1">#REF!</definedName>
    <definedName name="a" localSheetId="8">#REF!</definedName>
    <definedName name="a" localSheetId="5">#REF!</definedName>
    <definedName name="a" localSheetId="10" hidden="1">#REF!</definedName>
    <definedName name="a" localSheetId="1" hidden="1">#REF!</definedName>
    <definedName name="a" localSheetId="11" hidden="1">#REF!</definedName>
    <definedName name="a" localSheetId="12" hidden="1">#REF!</definedName>
    <definedName name="a">#REF!</definedName>
    <definedName name="a\sgt" localSheetId="3" hidden="1">{#N/A,#N/A,FALSE,"Plan1";#N/A,#N/A,FALSE,"Plan2"}</definedName>
    <definedName name="a\sgt" localSheetId="5" hidden="1">{#N/A,#N/A,FALSE,"Plan1";#N/A,#N/A,FALSE,"Plan2"}</definedName>
    <definedName name="a\sgt" localSheetId="4" hidden="1">{#N/A,#N/A,FALSE,"Plan1";#N/A,#N/A,FALSE,"Plan2"}</definedName>
    <definedName name="a\sgt" localSheetId="10" hidden="1">{#N/A,#N/A,FALSE,"Plan1";#N/A,#N/A,FALSE,"Plan2"}</definedName>
    <definedName name="a\sgt" localSheetId="1" hidden="1">{#N/A,#N/A,FALSE,"Plan1";#N/A,#N/A,FALSE,"Plan2"}</definedName>
    <definedName name="a\sgt" localSheetId="0" hidden="1">{#N/A,#N/A,FALSE,"Plan1";#N/A,#N/A,FALSE,"Plan2"}</definedName>
    <definedName name="a\sgt" localSheetId="11" hidden="1">{#N/A,#N/A,FALSE,"Plan1";#N/A,#N/A,FALSE,"Plan2"}</definedName>
    <definedName name="a\sgt" localSheetId="12" hidden="1">{#N/A,#N/A,FALSE,"Plan1";#N/A,#N/A,FALSE,"Plan2"}</definedName>
    <definedName name="a\sgt" hidden="1">{#N/A,#N/A,FALSE,"Plan1";#N/A,#N/A,FALSE,"Plan2"}</definedName>
    <definedName name="aa" localSheetId="8">#REF!</definedName>
    <definedName name="aa" localSheetId="5">#REF!</definedName>
    <definedName name="aa" localSheetId="10">#REF!</definedName>
    <definedName name="aa" localSheetId="1">#REF!</definedName>
    <definedName name="aa" localSheetId="11">#REF!</definedName>
    <definedName name="aa" localSheetId="12">#REF!</definedName>
    <definedName name="aa">#REF!</definedName>
    <definedName name="aaa" localSheetId="8">#REF!</definedName>
    <definedName name="aaa" localSheetId="5">#REF!</definedName>
    <definedName name="aaa" localSheetId="10">#REF!</definedName>
    <definedName name="aaa" localSheetId="11">#REF!</definedName>
    <definedName name="aaa" localSheetId="12">#REF!</definedName>
    <definedName name="aaa">#REF!</definedName>
    <definedName name="aaaa" localSheetId="3">'[1]M.O.'!#REF!</definedName>
    <definedName name="AAAA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4">'[1]M.O.'!#REF!</definedName>
    <definedName name="AAAA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0">'[1]M.O.'!#REF!</definedName>
    <definedName name="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" localSheetId="11">'[1]M.O.'!#REF!</definedName>
    <definedName name="aaaa" localSheetId="12">'[1]M.O.'!#REF!</definedName>
    <definedName name="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aaaaa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aaadc" localSheetId="8">#REF!</definedName>
    <definedName name="aaaadc" localSheetId="5">#REF!</definedName>
    <definedName name="aaaadc" localSheetId="9">#REF!</definedName>
    <definedName name="aaaadc" localSheetId="10">#REF!</definedName>
    <definedName name="aaaadc" localSheetId="0">#REF!</definedName>
    <definedName name="aaaadc" localSheetId="11">#REF!</definedName>
    <definedName name="aaaadc" localSheetId="12">#REF!</definedName>
    <definedName name="aaaadc">#REF!</definedName>
    <definedName name="aaacccc" localSheetId="3" hidden="1">{#N/A,#N/A,FALSE,"Plan1";#N/A,#N/A,FALSE,"Plan2"}</definedName>
    <definedName name="aaacccc" localSheetId="8">{#N/A,#N/A,FALSE,"Plan1";#N/A,#N/A,FALSE,"Plan2"}</definedName>
    <definedName name="aaacccc" localSheetId="5" hidden="1">{#N/A,#N/A,FALSE,"Plan1";#N/A,#N/A,FALSE,"Plan2"}</definedName>
    <definedName name="aaacccc" localSheetId="4" hidden="1">{#N/A,#N/A,FALSE,"Plan1";#N/A,#N/A,FALSE,"Plan2"}</definedName>
    <definedName name="aaacccc" localSheetId="9">{#N/A,#N/A,FALSE,"Plan1";#N/A,#N/A,FALSE,"Plan2"}</definedName>
    <definedName name="aaacccc" localSheetId="10" hidden="1">{#N/A,#N/A,FALSE,"Plan1";#N/A,#N/A,FALSE,"Plan2"}</definedName>
    <definedName name="aaacccc" localSheetId="1" hidden="1">{#N/A,#N/A,FALSE,"Plan1";#N/A,#N/A,FALSE,"Plan2"}</definedName>
    <definedName name="aaacccc" localSheetId="0">{#N/A,#N/A,FALSE,"Plan1";#N/A,#N/A,FALSE,"Plan2"}</definedName>
    <definedName name="aaacccc" localSheetId="11" hidden="1">{#N/A,#N/A,FALSE,"Plan1";#N/A,#N/A,FALSE,"Plan2"}</definedName>
    <definedName name="aaacccc" localSheetId="12" hidden="1">{#N/A,#N/A,FALSE,"Plan1";#N/A,#N/A,FALSE,"Plan2"}</definedName>
    <definedName name="aaacccc" hidden="1">{#N/A,#N/A,FALSE,"Plan1";#N/A,#N/A,FALSE,"Plan2"}</definedName>
    <definedName name="aaas" localSheetId="8">#REF!</definedName>
    <definedName name="aaas" localSheetId="5">#REF!</definedName>
    <definedName name="aaas" localSheetId="9">#REF!</definedName>
    <definedName name="aaas" localSheetId="10">#REF!</definedName>
    <definedName name="aaas" localSheetId="0">#REF!</definedName>
    <definedName name="aaas" localSheetId="11">#REF!</definedName>
    <definedName name="aaas" localSheetId="12">#REF!</definedName>
    <definedName name="aaas">#REF!</definedName>
    <definedName name="AB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5">#REF!</definedName>
    <definedName name="AB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9">#REF!</definedName>
    <definedName name="AB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0">#REF!</definedName>
    <definedName name="AB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">#REF!</definedName>
    <definedName name="Abat_ISS" localSheetId="8">#REF!</definedName>
    <definedName name="Abat_ISS" localSheetId="5">#REF!</definedName>
    <definedName name="Abat_ISS" localSheetId="9">#REF!</definedName>
    <definedName name="Abat_ISS" localSheetId="10">#REF!</definedName>
    <definedName name="Abat_ISS" localSheetId="0">#REF!</definedName>
    <definedName name="Abat_ISS" localSheetId="11">#REF!</definedName>
    <definedName name="Abat_ISS" localSheetId="12">#REF!</definedName>
    <definedName name="Abat_ISS">#REF!</definedName>
    <definedName name="ab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BCD" localSheetId="8">#REF!</definedName>
    <definedName name="ABCD" localSheetId="9">#REF!</definedName>
    <definedName name="ABCD" localSheetId="10" hidden="1">#REF!</definedName>
    <definedName name="ABCD" localSheetId="1" hidden="1">#REF!</definedName>
    <definedName name="ABCD" localSheetId="0">#REF!</definedName>
    <definedName name="ABCD" localSheetId="11" hidden="1">#REF!</definedName>
    <definedName name="ABCD" localSheetId="12" hidden="1">#REF!</definedName>
    <definedName name="ABCD" hidden="1">#REF!</definedName>
    <definedName name="abebqt" localSheetId="8">#REF!</definedName>
    <definedName name="abebqt" localSheetId="5">#REF!</definedName>
    <definedName name="abebqt" localSheetId="9">#REF!</definedName>
    <definedName name="abebqt" localSheetId="10">#REF!</definedName>
    <definedName name="abebqt" localSheetId="0">#REF!</definedName>
    <definedName name="abebqt" localSheetId="11">#REF!</definedName>
    <definedName name="abebqt" localSheetId="12">#REF!</definedName>
    <definedName name="abebqt">#REF!</definedName>
    <definedName name="abr17RJ" localSheetId="8">#REF!</definedName>
    <definedName name="abr17RJ" localSheetId="5">#REF!</definedName>
    <definedName name="abr17RJ" localSheetId="9">#REF!</definedName>
    <definedName name="abr17RJ" localSheetId="10">#REF!</definedName>
    <definedName name="abr17RJ" localSheetId="0">#REF!</definedName>
    <definedName name="abr17RJ" localSheetId="11">#REF!</definedName>
    <definedName name="abr17RJ" localSheetId="12">#REF!</definedName>
    <definedName name="abr17RJ">#REF!</definedName>
    <definedName name="ABRIL" localSheetId="8">#REF!</definedName>
    <definedName name="ABRIL" localSheetId="5">#REF!</definedName>
    <definedName name="ABRIL" localSheetId="10">#REF!</definedName>
    <definedName name="ABRIL" localSheetId="11">#REF!</definedName>
    <definedName name="ABRIL" localSheetId="12">#REF!</definedName>
    <definedName name="ABRIL">#REF!</definedName>
    <definedName name="ABRIL2001" localSheetId="8">#REF!</definedName>
    <definedName name="ABRIL2001" localSheetId="5">#REF!</definedName>
    <definedName name="ABRIL2001" localSheetId="10">#REF!</definedName>
    <definedName name="ABRIL2001" localSheetId="11">#REF!</definedName>
    <definedName name="ABRIL2001" localSheetId="12">#REF!</definedName>
    <definedName name="ABRIL2001">#REF!</definedName>
    <definedName name="ac" localSheetId="8">#REF!</definedName>
    <definedName name="ac" localSheetId="1" hidden="1">#REF!</definedName>
    <definedName name="ac" hidden="1">#REF!</definedName>
    <definedName name="Acabam." localSheetId="8">#REF!</definedName>
    <definedName name="Acabam." localSheetId="5">#REF!</definedName>
    <definedName name="Acabam." localSheetId="10">#REF!</definedName>
    <definedName name="Acabam." localSheetId="11">#REF!</definedName>
    <definedName name="Acabam." localSheetId="12">#REF!</definedName>
    <definedName name="Acabam.">#REF!</definedName>
    <definedName name="ACADUC" localSheetId="8">#REF!</definedName>
    <definedName name="ACADUC" localSheetId="5">#REF!</definedName>
    <definedName name="ACADUC" localSheetId="10">#REF!</definedName>
    <definedName name="ACADUC" localSheetId="11">#REF!</definedName>
    <definedName name="ACADUC" localSheetId="12">#REF!</definedName>
    <definedName name="ACADUC">#REF!</definedName>
    <definedName name="ACBEB" localSheetId="8">#REF!</definedName>
    <definedName name="ACBEB" localSheetId="5">#REF!</definedName>
    <definedName name="ACBEB" localSheetId="10">#REF!</definedName>
    <definedName name="ACBEB" localSheetId="11">#REF!</definedName>
    <definedName name="ACBEB" localSheetId="12">#REF!</definedName>
    <definedName name="ACBEB">#REF!</definedName>
    <definedName name="ACBOMB" localSheetId="8">#REF!</definedName>
    <definedName name="ACBOMB" localSheetId="5">#REF!</definedName>
    <definedName name="ACBOMB" localSheetId="10">#REF!</definedName>
    <definedName name="ACBOMB" localSheetId="11">#REF!</definedName>
    <definedName name="ACBOMB" localSheetId="12">#REF!</definedName>
    <definedName name="ACBOMB">#REF!</definedName>
    <definedName name="AccessDatabase" hidden="1">"C:\posec\DATABASE\vlv_list\vlvlist1.mdb"</definedName>
    <definedName name="ACCHAF" localSheetId="8">#REF!</definedName>
    <definedName name="ACCHAF" localSheetId="5">#REF!</definedName>
    <definedName name="ACCHAF" localSheetId="9">#REF!</definedName>
    <definedName name="ACCHAF" localSheetId="10">#REF!</definedName>
    <definedName name="ACCHAF" localSheetId="0">#REF!</definedName>
    <definedName name="ACCHAF" localSheetId="11">#REF!</definedName>
    <definedName name="ACCHAF" localSheetId="12">#REF!</definedName>
    <definedName name="ACCHAF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db" localSheetId="8">#REF!</definedName>
    <definedName name="acdb" localSheetId="5" hidden="1">#REF!</definedName>
    <definedName name="acdb" localSheetId="9">#REF!</definedName>
    <definedName name="acdb" localSheetId="10" hidden="1">#REF!</definedName>
    <definedName name="acdb" localSheetId="1" hidden="1">#REF!</definedName>
    <definedName name="acdb" localSheetId="0">#REF!</definedName>
    <definedName name="acdb" localSheetId="11" hidden="1">#REF!</definedName>
    <definedName name="acdb" localSheetId="12" hidden="1">#REF!</definedName>
    <definedName name="acdb" hidden="1">#REF!</definedName>
    <definedName name="ACDER" localSheetId="8">#REF!</definedName>
    <definedName name="ACDER" localSheetId="5">#REF!</definedName>
    <definedName name="ACDER" localSheetId="9">#REF!</definedName>
    <definedName name="ACDER" localSheetId="10">#REF!</definedName>
    <definedName name="ACDER" localSheetId="0">#REF!</definedName>
    <definedName name="ACDER" localSheetId="11">#REF!</definedName>
    <definedName name="ACDER" localSheetId="12">#REF!</definedName>
    <definedName name="ACDER">#REF!</definedName>
    <definedName name="ACDIV" localSheetId="8">#REF!</definedName>
    <definedName name="ACDIV" localSheetId="5">#REF!</definedName>
    <definedName name="ACDIV" localSheetId="9">#REF!</definedName>
    <definedName name="ACDIV" localSheetId="10">#REF!</definedName>
    <definedName name="ACDIV" localSheetId="0">#REF!</definedName>
    <definedName name="ACDIV" localSheetId="11">#REF!</definedName>
    <definedName name="ACDIV" localSheetId="12">#REF!</definedName>
    <definedName name="ACDIV">#REF!</definedName>
    <definedName name="ACDS" localSheetId="8">#REF!</definedName>
    <definedName name="ACDS" localSheetId="1" hidden="1">#REF!</definedName>
    <definedName name="ACDS" hidden="1">#REF!</definedName>
    <definedName name="ACEQP" localSheetId="8">#REF!</definedName>
    <definedName name="ACEQP" localSheetId="5">#REF!</definedName>
    <definedName name="ACEQP" localSheetId="10">#REF!</definedName>
    <definedName name="ACEQP" localSheetId="11">#REF!</definedName>
    <definedName name="ACEQP" localSheetId="12">#REF!</definedName>
    <definedName name="ACEQP">#REF!</definedName>
    <definedName name="ACHAFQT" localSheetId="8">#REF!</definedName>
    <definedName name="ACHAFQT" localSheetId="5">#REF!</definedName>
    <definedName name="ACHAFQT" localSheetId="10">#REF!</definedName>
    <definedName name="ACHAFQT" localSheetId="11">#REF!</definedName>
    <definedName name="ACHAFQT" localSheetId="12">#REF!</definedName>
    <definedName name="ACHAFQT">#REF!</definedName>
    <definedName name="achar18" localSheetId="8">#REF!</definedName>
    <definedName name="achar18" localSheetId="1" hidden="1">#REF!</definedName>
    <definedName name="achar18" hidden="1">#REF!</definedName>
    <definedName name="achar19" localSheetId="8">#REF!</definedName>
    <definedName name="achar19" hidden="1">#REF!</definedName>
    <definedName name="achart1" localSheetId="8">#REF!</definedName>
    <definedName name="achart1" hidden="1">#REF!</definedName>
    <definedName name="achart10" localSheetId="8">#REF!</definedName>
    <definedName name="achart10" hidden="1">#REF!</definedName>
    <definedName name="achart11" localSheetId="8">#REF!</definedName>
    <definedName name="achart11" hidden="1">#REF!</definedName>
    <definedName name="achart12" localSheetId="8">#REF!</definedName>
    <definedName name="achart12" hidden="1">#REF!</definedName>
    <definedName name="achart13" localSheetId="8">#REF!</definedName>
    <definedName name="achart13" hidden="1">#REF!</definedName>
    <definedName name="achart14" localSheetId="8">#REF!</definedName>
    <definedName name="achart14" hidden="1">#REF!</definedName>
    <definedName name="achart15" localSheetId="8">#REF!</definedName>
    <definedName name="achart15" hidden="1">#REF!</definedName>
    <definedName name="achart16" localSheetId="8">#REF!</definedName>
    <definedName name="achart16" hidden="1">#REF!</definedName>
    <definedName name="achart17" localSheetId="8">#REF!</definedName>
    <definedName name="achart17" hidden="1">#REF!</definedName>
    <definedName name="achart2" localSheetId="8">#REF!</definedName>
    <definedName name="achart2" hidden="1">#REF!</definedName>
    <definedName name="achart20" localSheetId="8">#REF!</definedName>
    <definedName name="achart20" hidden="1">#REF!</definedName>
    <definedName name="achart21" localSheetId="8">#REF!</definedName>
    <definedName name="achart21" hidden="1">#REF!</definedName>
    <definedName name="achart22" localSheetId="8">#REF!</definedName>
    <definedName name="achart22" hidden="1">#REF!</definedName>
    <definedName name="achart23" localSheetId="8">#REF!</definedName>
    <definedName name="achart23" hidden="1">#REF!</definedName>
    <definedName name="achart24" localSheetId="8">#REF!</definedName>
    <definedName name="achart24" hidden="1">#REF!</definedName>
    <definedName name="achart25" localSheetId="8">#REF!</definedName>
    <definedName name="achart25" hidden="1">#REF!</definedName>
    <definedName name="achart26" localSheetId="8">#REF!</definedName>
    <definedName name="achart26" hidden="1">#REF!</definedName>
    <definedName name="achart27" localSheetId="8">#REF!</definedName>
    <definedName name="achart27" hidden="1">#REF!</definedName>
    <definedName name="achart28" localSheetId="8">#REF!</definedName>
    <definedName name="achart28" hidden="1">#REF!</definedName>
    <definedName name="achart29" localSheetId="8">#REF!</definedName>
    <definedName name="achart29" hidden="1">#REF!</definedName>
    <definedName name="achart3" localSheetId="8">#REF!</definedName>
    <definedName name="achart3" hidden="1">#REF!</definedName>
    <definedName name="achart30" localSheetId="8">#REF!</definedName>
    <definedName name="achart30" hidden="1">#REF!</definedName>
    <definedName name="achart31" localSheetId="8">#REF!</definedName>
    <definedName name="achart31" hidden="1">#REF!</definedName>
    <definedName name="achart32" localSheetId="8">#REF!</definedName>
    <definedName name="achart32" hidden="1">#REF!</definedName>
    <definedName name="achart4" localSheetId="8">#REF!</definedName>
    <definedName name="achart4" hidden="1">#REF!</definedName>
    <definedName name="achart5" localSheetId="8">#REF!</definedName>
    <definedName name="achart5" hidden="1">#REF!</definedName>
    <definedName name="achart6" localSheetId="8">#REF!</definedName>
    <definedName name="achart6" hidden="1">#REF!</definedName>
    <definedName name="achart7" localSheetId="8">#REF!</definedName>
    <definedName name="achart7" hidden="1">#REF!</definedName>
    <definedName name="achart8" localSheetId="8">#REF!</definedName>
    <definedName name="achart8" hidden="1">#REF!</definedName>
    <definedName name="achart9" localSheetId="8">#REF!</definedName>
    <definedName name="achart9" hidden="1">#REF!</definedName>
    <definedName name="ACMUR" localSheetId="8">#REF!</definedName>
    <definedName name="ACMUR" localSheetId="5">#REF!</definedName>
    <definedName name="ACMUR" localSheetId="10">#REF!</definedName>
    <definedName name="ACMUR" localSheetId="11">#REF!</definedName>
    <definedName name="ACMUR" localSheetId="12">#REF!</definedName>
    <definedName name="ACMUR">#REF!</definedName>
    <definedName name="açoeeer" localSheetId="3" hidden="1">{#N/A,#N/A,FALSE,"Plan1";#N/A,#N/A,FALSE,"Plan2"}</definedName>
    <definedName name="açoeeer" localSheetId="8">{#N/A,#N/A,FALSE,"Plan1";#N/A,#N/A,FALSE,"Plan2"}</definedName>
    <definedName name="açoeeer" localSheetId="5" hidden="1">{#N/A,#N/A,FALSE,"Plan1";#N/A,#N/A,FALSE,"Plan2"}</definedName>
    <definedName name="açoeeer" localSheetId="4" hidden="1">{#N/A,#N/A,FALSE,"Plan1";#N/A,#N/A,FALSE,"Plan2"}</definedName>
    <definedName name="açoeeer" localSheetId="9">{#N/A,#N/A,FALSE,"Plan1";#N/A,#N/A,FALSE,"Plan2"}</definedName>
    <definedName name="açoeeer" localSheetId="10" hidden="1">{#N/A,#N/A,FALSE,"Plan1";#N/A,#N/A,FALSE,"Plan2"}</definedName>
    <definedName name="açoeeer" localSheetId="1" hidden="1">{#N/A,#N/A,FALSE,"Plan1";#N/A,#N/A,FALSE,"Plan2"}</definedName>
    <definedName name="açoeeer" localSheetId="0">{#N/A,#N/A,FALSE,"Plan1";#N/A,#N/A,FALSE,"Plan2"}</definedName>
    <definedName name="açoeeer" localSheetId="11" hidden="1">{#N/A,#N/A,FALSE,"Plan1";#N/A,#N/A,FALSE,"Plan2"}</definedName>
    <definedName name="açoeeer" localSheetId="12" hidden="1">{#N/A,#N/A,FALSE,"Plan1";#N/A,#N/A,FALSE,"Plan2"}</definedName>
    <definedName name="açoeeer" hidden="1">{#N/A,#N/A,FALSE,"Plan1";#N/A,#N/A,FALSE,"Plan2"}</definedName>
    <definedName name="ACOMP" localSheetId="8">#REF!</definedName>
    <definedName name="ACOMP" localSheetId="5">#REF!</definedName>
    <definedName name="ACOMP" localSheetId="9">#REF!</definedName>
    <definedName name="ACOMP" localSheetId="10">#REF!</definedName>
    <definedName name="ACOMP" localSheetId="0">#REF!</definedName>
    <definedName name="ACOMP" localSheetId="11">#REF!</definedName>
    <definedName name="ACOMP" localSheetId="12">#REF!</definedName>
    <definedName name="ACOMP">#REF!</definedName>
    <definedName name="ACONT2" localSheetId="8">#REF!</definedName>
    <definedName name="ACONT2" localSheetId="5">#REF!</definedName>
    <definedName name="ACONT2" localSheetId="9">#REF!</definedName>
    <definedName name="ACONT2" localSheetId="10">#REF!</definedName>
    <definedName name="ACONT2" localSheetId="0">#REF!</definedName>
    <definedName name="ACONT2" localSheetId="11">#REF!</definedName>
    <definedName name="ACONT2" localSheetId="12">#REF!</definedName>
    <definedName name="ACONT2">#REF!</definedName>
    <definedName name="ACPIPA" localSheetId="8">#REF!</definedName>
    <definedName name="ACPIPA" localSheetId="5">#REF!</definedName>
    <definedName name="ACPIPA" localSheetId="9">#REF!</definedName>
    <definedName name="ACPIPA" localSheetId="10">#REF!</definedName>
    <definedName name="ACPIPA" localSheetId="0">#REF!</definedName>
    <definedName name="ACPIPA" localSheetId="11">#REF!</definedName>
    <definedName name="ACPIPA" localSheetId="12">#REF!</definedName>
    <definedName name="ACPIPA">#REF!</definedName>
    <definedName name="ACTRANSP" localSheetId="8">#REF!</definedName>
    <definedName name="ACTRANSP" localSheetId="5">#REF!</definedName>
    <definedName name="ACTRANSP" localSheetId="10">#REF!</definedName>
    <definedName name="ACTRANSP" localSheetId="11">#REF!</definedName>
    <definedName name="ACTRANSP" localSheetId="12">#REF!</definedName>
    <definedName name="ACTRANSP">#REF!</definedName>
    <definedName name="ACwvu.Características." localSheetId="8">#REF!</definedName>
    <definedName name="ACwvu.Características." localSheetId="1" hidden="1">#REF!</definedName>
    <definedName name="ACwvu.Características." hidden="1">#REF!</definedName>
    <definedName name="ACwvu.Ciclos." localSheetId="8">#REF!</definedName>
    <definedName name="ACwvu.Ciclos." localSheetId="1" hidden="1">#REF!</definedName>
    <definedName name="ACwvu.Ciclos." hidden="1">#REF!</definedName>
    <definedName name="ACwvu.Custos." localSheetId="8">#REF!</definedName>
    <definedName name="ACwvu.Custos." localSheetId="1" hidden="1">#REF!</definedName>
    <definedName name="ACwvu.Custos." hidden="1">#REF!</definedName>
    <definedName name="ACwvu.PLANILHA2." localSheetId="8">#REF!</definedName>
    <definedName name="ACwvu.PLANILHA2." localSheetId="5" hidden="1">#REF!</definedName>
    <definedName name="ACwvu.PLANILHA2." localSheetId="10" hidden="1">#REF!</definedName>
    <definedName name="ACwvu.PLANILHA2." localSheetId="1" hidden="1">#REF!</definedName>
    <definedName name="ACwvu.PLANILHA2." localSheetId="11" hidden="1">#REF!</definedName>
    <definedName name="ACwvu.PLANILHA2." localSheetId="12" hidden="1">#REF!</definedName>
    <definedName name="ACwvu.PLANILHA2." hidden="1">#REF!</definedName>
    <definedName name="ACwvu.Recursos." localSheetId="8">#REF!</definedName>
    <definedName name="ACwvu.Recursos." hidden="1">#REF!</definedName>
    <definedName name="ad" localSheetId="3" hidden="1">{#N/A,#N/A,FALSE,"Plan1";#N/A,#N/A,FALSE,"Plan2"}</definedName>
    <definedName name="ad" localSheetId="8">{#N/A,#N/A,FALSE,"Plan1";#N/A,#N/A,FALSE,"Plan2"}</definedName>
    <definedName name="ad" localSheetId="5" hidden="1">{#N/A,#N/A,FALSE,"Plan1";#N/A,#N/A,FALSE,"Plan2"}</definedName>
    <definedName name="ad" localSheetId="4" hidden="1">{#N/A,#N/A,FALSE,"Plan1";#N/A,#N/A,FALSE,"Plan2"}</definedName>
    <definedName name="ad" localSheetId="9">{#N/A,#N/A,FALSE,"Plan1";#N/A,#N/A,FALSE,"Plan2"}</definedName>
    <definedName name="ad" localSheetId="10" hidden="1">{#N/A,#N/A,FALSE,"Plan1";#N/A,#N/A,FALSE,"Plan2"}</definedName>
    <definedName name="ad" localSheetId="1" hidden="1">{#N/A,#N/A,FALSE,"Plan1";#N/A,#N/A,FALSE,"Plan2"}</definedName>
    <definedName name="ad" localSheetId="0">{#N/A,#N/A,FALSE,"Plan1";#N/A,#N/A,FALSE,"Plan2"}</definedName>
    <definedName name="ad" localSheetId="11" hidden="1">{#N/A,#N/A,FALSE,"Plan1";#N/A,#N/A,FALSE,"Plan2"}</definedName>
    <definedName name="ad" localSheetId="12" hidden="1">{#N/A,#N/A,FALSE,"Plan1";#N/A,#N/A,FALSE,"Plan2"}</definedName>
    <definedName name="ad" hidden="1">{#N/A,#N/A,FALSE,"Plan1";#N/A,#N/A,FALSE,"Plan2"}</definedName>
    <definedName name="adads" localSheetId="3" hidden="1">{#N/A,#N/A,FALSE,"Plan1";#N/A,#N/A,FALSE,"Plan2"}</definedName>
    <definedName name="adads" localSheetId="8">{#N/A,#N/A,FALSE,"Plan1";#N/A,#N/A,FALSE,"Plan2"}</definedName>
    <definedName name="adads" localSheetId="5" hidden="1">{#N/A,#N/A,FALSE,"Plan1";#N/A,#N/A,FALSE,"Plan2"}</definedName>
    <definedName name="adads" localSheetId="4" hidden="1">{#N/A,#N/A,FALSE,"Plan1";#N/A,#N/A,FALSE,"Plan2"}</definedName>
    <definedName name="adads" localSheetId="9">{#N/A,#N/A,FALSE,"Plan1";#N/A,#N/A,FALSE,"Plan2"}</definedName>
    <definedName name="adads" localSheetId="10" hidden="1">{#N/A,#N/A,FALSE,"Plan1";#N/A,#N/A,FALSE,"Plan2"}</definedName>
    <definedName name="adads" localSheetId="1" hidden="1">{#N/A,#N/A,FALSE,"Plan1";#N/A,#N/A,FALSE,"Plan2"}</definedName>
    <definedName name="adads" localSheetId="0">{#N/A,#N/A,FALSE,"Plan1";#N/A,#N/A,FALSE,"Plan2"}</definedName>
    <definedName name="adads" localSheetId="11" hidden="1">{#N/A,#N/A,FALSE,"Plan1";#N/A,#N/A,FALSE,"Plan2"}</definedName>
    <definedName name="adads" localSheetId="12" hidden="1">{#N/A,#N/A,FALSE,"Plan1";#N/A,#N/A,FALSE,"Plan2"}</definedName>
    <definedName name="adads" hidden="1">{#N/A,#N/A,FALSE,"Plan1";#N/A,#N/A,FALSE,"Plan2"}</definedName>
    <definedName name="adads2" localSheetId="3" hidden="1">{#N/A,#N/A,FALSE,"Plan1";#N/A,#N/A,FALSE,"Plan2"}</definedName>
    <definedName name="adads2" localSheetId="8">{#N/A,#N/A,FALSE,"Plan1";#N/A,#N/A,FALSE,"Plan2"}</definedName>
    <definedName name="adads2" localSheetId="5" hidden="1">{#N/A,#N/A,FALSE,"Plan1";#N/A,#N/A,FALSE,"Plan2"}</definedName>
    <definedName name="adads2" localSheetId="4" hidden="1">{#N/A,#N/A,FALSE,"Plan1";#N/A,#N/A,FALSE,"Plan2"}</definedName>
    <definedName name="adads2" localSheetId="9">{#N/A,#N/A,FALSE,"Plan1";#N/A,#N/A,FALSE,"Plan2"}</definedName>
    <definedName name="adads2" localSheetId="10" hidden="1">{#N/A,#N/A,FALSE,"Plan1";#N/A,#N/A,FALSE,"Plan2"}</definedName>
    <definedName name="adads2" localSheetId="1" hidden="1">{#N/A,#N/A,FALSE,"Plan1";#N/A,#N/A,FALSE,"Plan2"}</definedName>
    <definedName name="adads2" localSheetId="0">{#N/A,#N/A,FALSE,"Plan1";#N/A,#N/A,FALSE,"Plan2"}</definedName>
    <definedName name="adads2" localSheetId="11" hidden="1">{#N/A,#N/A,FALSE,"Plan1";#N/A,#N/A,FALSE,"Plan2"}</definedName>
    <definedName name="adads2" localSheetId="12" hidden="1">{#N/A,#N/A,FALSE,"Plan1";#N/A,#N/A,FALSE,"Plan2"}</definedName>
    <definedName name="adads2" hidden="1">{#N/A,#N/A,FALSE,"Plan1";#N/A,#N/A,FALSE,"Plan2"}</definedName>
    <definedName name="adced" localSheetId="3" hidden="1">{#N/A,#N/A,FALSE,"Plan1";#N/A,#N/A,FALSE,"Plan2"}</definedName>
    <definedName name="adced" localSheetId="8">{#N/A,#N/A,FALSE,"Plan1";#N/A,#N/A,FALSE,"Plan2"}</definedName>
    <definedName name="adced" localSheetId="5" hidden="1">{#N/A,#N/A,FALSE,"Plan1";#N/A,#N/A,FALSE,"Plan2"}</definedName>
    <definedName name="adced" localSheetId="4" hidden="1">{#N/A,#N/A,FALSE,"Plan1";#N/A,#N/A,FALSE,"Plan2"}</definedName>
    <definedName name="adced" localSheetId="9">{#N/A,#N/A,FALSE,"Plan1";#N/A,#N/A,FALSE,"Plan2"}</definedName>
    <definedName name="adced" localSheetId="10" hidden="1">{#N/A,#N/A,FALSE,"Plan1";#N/A,#N/A,FALSE,"Plan2"}</definedName>
    <definedName name="adced" localSheetId="1" hidden="1">{#N/A,#N/A,FALSE,"Plan1";#N/A,#N/A,FALSE,"Plan2"}</definedName>
    <definedName name="adced" localSheetId="0">{#N/A,#N/A,FALSE,"Plan1";#N/A,#N/A,FALSE,"Plan2"}</definedName>
    <definedName name="adced" localSheetId="11" hidden="1">{#N/A,#N/A,FALSE,"Plan1";#N/A,#N/A,FALSE,"Plan2"}</definedName>
    <definedName name="adced" localSheetId="12" hidden="1">{#N/A,#N/A,FALSE,"Plan1";#N/A,#N/A,FALSE,"Plan2"}</definedName>
    <definedName name="adced" hidden="1">{#N/A,#N/A,FALSE,"Plan1";#N/A,#N/A,FALSE,"Plan2"}</definedName>
    <definedName name="adced2" localSheetId="3" hidden="1">{#N/A,#N/A,FALSE,"Plan1";#N/A,#N/A,FALSE,"Plan2"}</definedName>
    <definedName name="adced2" localSheetId="8">{#N/A,#N/A,FALSE,"Plan1";#N/A,#N/A,FALSE,"Plan2"}</definedName>
    <definedName name="adced2" localSheetId="5" hidden="1">{#N/A,#N/A,FALSE,"Plan1";#N/A,#N/A,FALSE,"Plan2"}</definedName>
    <definedName name="adced2" localSheetId="4" hidden="1">{#N/A,#N/A,FALSE,"Plan1";#N/A,#N/A,FALSE,"Plan2"}</definedName>
    <definedName name="adced2" localSheetId="9">{#N/A,#N/A,FALSE,"Plan1";#N/A,#N/A,FALSE,"Plan2"}</definedName>
    <definedName name="adced2" localSheetId="10" hidden="1">{#N/A,#N/A,FALSE,"Plan1";#N/A,#N/A,FALSE,"Plan2"}</definedName>
    <definedName name="adced2" localSheetId="1" hidden="1">{#N/A,#N/A,FALSE,"Plan1";#N/A,#N/A,FALSE,"Plan2"}</definedName>
    <definedName name="adced2" localSheetId="0">{#N/A,#N/A,FALSE,"Plan1";#N/A,#N/A,FALSE,"Plan2"}</definedName>
    <definedName name="adced2" localSheetId="11" hidden="1">{#N/A,#N/A,FALSE,"Plan1";#N/A,#N/A,FALSE,"Plan2"}</definedName>
    <definedName name="adced2" localSheetId="12" hidden="1">{#N/A,#N/A,FALSE,"Plan1";#N/A,#N/A,FALSE,"Plan2"}</definedName>
    <definedName name="adced2" hidden="1">{#N/A,#N/A,FALSE,"Plan1";#N/A,#N/A,FALSE,"Plan2"}</definedName>
    <definedName name="ader" localSheetId="3" hidden="1">{#N/A,#N/A,FALSE,"Plan1";#N/A,#N/A,FALSE,"Plan2"}</definedName>
    <definedName name="ader" localSheetId="8">{#N/A,#N/A,FALSE,"Plan1";#N/A,#N/A,FALSE,"Plan2"}</definedName>
    <definedName name="ader" localSheetId="5" hidden="1">{#N/A,#N/A,FALSE,"Plan1";#N/A,#N/A,FALSE,"Plan2"}</definedName>
    <definedName name="ader" localSheetId="4" hidden="1">{#N/A,#N/A,FALSE,"Plan1";#N/A,#N/A,FALSE,"Plan2"}</definedName>
    <definedName name="ader" localSheetId="9">{#N/A,#N/A,FALSE,"Plan1";#N/A,#N/A,FALSE,"Plan2"}</definedName>
    <definedName name="ader" localSheetId="10" hidden="1">{#N/A,#N/A,FALSE,"Plan1";#N/A,#N/A,FALSE,"Plan2"}</definedName>
    <definedName name="ader" localSheetId="1" hidden="1">{#N/A,#N/A,FALSE,"Plan1";#N/A,#N/A,FALSE,"Plan2"}</definedName>
    <definedName name="ader" localSheetId="0">{#N/A,#N/A,FALSE,"Plan1";#N/A,#N/A,FALSE,"Plan2"}</definedName>
    <definedName name="ader" localSheetId="11" hidden="1">{#N/A,#N/A,FALSE,"Plan1";#N/A,#N/A,FALSE,"Plan2"}</definedName>
    <definedName name="ader" localSheetId="12" hidden="1">{#N/A,#N/A,FALSE,"Plan1";#N/A,#N/A,FALSE,"Plan2"}</definedName>
    <definedName name="ader" hidden="1">{#N/A,#N/A,FALSE,"Plan1";#N/A,#N/A,FALSE,"Plan2"}</definedName>
    <definedName name="ader2" localSheetId="3" hidden="1">{#N/A,#N/A,FALSE,"Plan1";#N/A,#N/A,FALSE,"Plan2"}</definedName>
    <definedName name="ader2" localSheetId="8">{#N/A,#N/A,FALSE,"Plan1";#N/A,#N/A,FALSE,"Plan2"}</definedName>
    <definedName name="ader2" localSheetId="5" hidden="1">{#N/A,#N/A,FALSE,"Plan1";#N/A,#N/A,FALSE,"Plan2"}</definedName>
    <definedName name="ader2" localSheetId="4" hidden="1">{#N/A,#N/A,FALSE,"Plan1";#N/A,#N/A,FALSE,"Plan2"}</definedName>
    <definedName name="ader2" localSheetId="9">{#N/A,#N/A,FALSE,"Plan1";#N/A,#N/A,FALSE,"Plan2"}</definedName>
    <definedName name="ader2" localSheetId="10" hidden="1">{#N/A,#N/A,FALSE,"Plan1";#N/A,#N/A,FALSE,"Plan2"}</definedName>
    <definedName name="ader2" localSheetId="1" hidden="1">{#N/A,#N/A,FALSE,"Plan1";#N/A,#N/A,FALSE,"Plan2"}</definedName>
    <definedName name="ader2" localSheetId="0">{#N/A,#N/A,FALSE,"Plan1";#N/A,#N/A,FALSE,"Plan2"}</definedName>
    <definedName name="ader2" localSheetId="11" hidden="1">{#N/A,#N/A,FALSE,"Plan1";#N/A,#N/A,FALSE,"Plan2"}</definedName>
    <definedName name="ader2" localSheetId="12" hidden="1">{#N/A,#N/A,FALSE,"Plan1";#N/A,#N/A,FALSE,"Plan2"}</definedName>
    <definedName name="ader2" hidden="1">{#N/A,#N/A,FALSE,"Plan1";#N/A,#N/A,FALSE,"Plan2"}</definedName>
    <definedName name="adesr" localSheetId="3" hidden="1">{#N/A,#N/A,FALSE,"Plan1";#N/A,#N/A,FALSE,"Plan2"}</definedName>
    <definedName name="adesr" localSheetId="8">{#N/A,#N/A,FALSE,"Plan1";#N/A,#N/A,FALSE,"Plan2"}</definedName>
    <definedName name="adesr" localSheetId="5" hidden="1">{#N/A,#N/A,FALSE,"Plan1";#N/A,#N/A,FALSE,"Plan2"}</definedName>
    <definedName name="adesr" localSheetId="4" hidden="1">{#N/A,#N/A,FALSE,"Plan1";#N/A,#N/A,FALSE,"Plan2"}</definedName>
    <definedName name="adesr" localSheetId="9">{#N/A,#N/A,FALSE,"Plan1";#N/A,#N/A,FALSE,"Plan2"}</definedName>
    <definedName name="adesr" localSheetId="10" hidden="1">{#N/A,#N/A,FALSE,"Plan1";#N/A,#N/A,FALSE,"Plan2"}</definedName>
    <definedName name="adesr" localSheetId="1" hidden="1">{#N/A,#N/A,FALSE,"Plan1";#N/A,#N/A,FALSE,"Plan2"}</definedName>
    <definedName name="adesr" localSheetId="0">{#N/A,#N/A,FALSE,"Plan1";#N/A,#N/A,FALSE,"Plan2"}</definedName>
    <definedName name="adesr" localSheetId="11" hidden="1">{#N/A,#N/A,FALSE,"Plan1";#N/A,#N/A,FALSE,"Plan2"}</definedName>
    <definedName name="adesr" localSheetId="12" hidden="1">{#N/A,#N/A,FALSE,"Plan1";#N/A,#N/A,FALSE,"Plan2"}</definedName>
    <definedName name="adesr" hidden="1">{#N/A,#N/A,FALSE,"Plan1";#N/A,#N/A,FALSE,"Plan2"}</definedName>
    <definedName name="adew" hidden="1">"3ORZTPXRHBU97C8AJ5UM8CAVA"</definedName>
    <definedName name="adewr" localSheetId="3" hidden="1">{#N/A,#N/A,FALSE,"Plan1";#N/A,#N/A,FALSE,"Plan2"}</definedName>
    <definedName name="adewr" localSheetId="8">{#N/A,#N/A,FALSE,"Plan1";#N/A,#N/A,FALSE,"Plan2"}</definedName>
    <definedName name="adewr" localSheetId="5" hidden="1">{#N/A,#N/A,FALSE,"Plan1";#N/A,#N/A,FALSE,"Plan2"}</definedName>
    <definedName name="adewr" localSheetId="4" hidden="1">{#N/A,#N/A,FALSE,"Plan1";#N/A,#N/A,FALSE,"Plan2"}</definedName>
    <definedName name="adewr" localSheetId="9">{#N/A,#N/A,FALSE,"Plan1";#N/A,#N/A,FALSE,"Plan2"}</definedName>
    <definedName name="adewr" localSheetId="10" hidden="1">{#N/A,#N/A,FALSE,"Plan1";#N/A,#N/A,FALSE,"Plan2"}</definedName>
    <definedName name="adewr" localSheetId="1" hidden="1">{#N/A,#N/A,FALSE,"Plan1";#N/A,#N/A,FALSE,"Plan2"}</definedName>
    <definedName name="adewr" localSheetId="0">{#N/A,#N/A,FALSE,"Plan1";#N/A,#N/A,FALSE,"Plan2"}</definedName>
    <definedName name="adewr" localSheetId="11" hidden="1">{#N/A,#N/A,FALSE,"Plan1";#N/A,#N/A,FALSE,"Plan2"}</definedName>
    <definedName name="adewr" localSheetId="12" hidden="1">{#N/A,#N/A,FALSE,"Plan1";#N/A,#N/A,FALSE,"Plan2"}</definedName>
    <definedName name="adewr" hidden="1">{#N/A,#N/A,FALSE,"Plan1";#N/A,#N/A,FALSE,"Plan2"}</definedName>
    <definedName name="adf" localSheetId="3" hidden="1">{#N/A,#N/A,FALSE,"Plan1";#N/A,#N/A,FALSE,"Plan2"}</definedName>
    <definedName name="adf" localSheetId="8">{#N/A,#N/A,FALSE,"Plan1";#N/A,#N/A,FALSE,"Plan2"}</definedName>
    <definedName name="adf" localSheetId="5" hidden="1">{#N/A,#N/A,FALSE,"Plan1";#N/A,#N/A,FALSE,"Plan2"}</definedName>
    <definedName name="adf" localSheetId="4" hidden="1">{#N/A,#N/A,FALSE,"Plan1";#N/A,#N/A,FALSE,"Plan2"}</definedName>
    <definedName name="adf" localSheetId="9">{#N/A,#N/A,FALSE,"Plan1";#N/A,#N/A,FALSE,"Plan2"}</definedName>
    <definedName name="adf" localSheetId="10" hidden="1">{#N/A,#N/A,FALSE,"Plan1";#N/A,#N/A,FALSE,"Plan2"}</definedName>
    <definedName name="adf" localSheetId="1" hidden="1">{#N/A,#N/A,FALSE,"Plan1";#N/A,#N/A,FALSE,"Plan2"}</definedName>
    <definedName name="adf" localSheetId="0">{#N/A,#N/A,FALSE,"Plan1";#N/A,#N/A,FALSE,"Plan2"}</definedName>
    <definedName name="adf" localSheetId="11" hidden="1">{#N/A,#N/A,FALSE,"Plan1";#N/A,#N/A,FALSE,"Plan2"}</definedName>
    <definedName name="adf" localSheetId="12" hidden="1">{#N/A,#N/A,FALSE,"Plan1";#N/A,#N/A,FALSE,"Plan2"}</definedName>
    <definedName name="adf" hidden="1">{#N/A,#N/A,FALSE,"Plan1";#N/A,#N/A,FALSE,"Plan2"}</definedName>
    <definedName name="ADITIVO_BRUTO" localSheetId="8">#REF!</definedName>
    <definedName name="ADITIVO_BRUTO" localSheetId="5">#REF!</definedName>
    <definedName name="ADITIVO_BRUTO" localSheetId="9">#REF!</definedName>
    <definedName name="ADITIVO_BRUTO" localSheetId="10">#REF!</definedName>
    <definedName name="ADITIVO_BRUTO" localSheetId="0">#REF!</definedName>
    <definedName name="ADITIVO_BRUTO" localSheetId="11">#REF!</definedName>
    <definedName name="ADITIVO_BRUTO" localSheetId="12">#REF!</definedName>
    <definedName name="ADITIVO_BRUTO">#REF!</definedName>
    <definedName name="ADITIVO_LIQUIDO" localSheetId="8">#REF!</definedName>
    <definedName name="ADITIVO_LIQUIDO" localSheetId="5">#REF!</definedName>
    <definedName name="ADITIVO_LIQUIDO" localSheetId="9">#REF!</definedName>
    <definedName name="ADITIVO_LIQUIDO" localSheetId="10">#REF!</definedName>
    <definedName name="ADITIVO_LIQUIDO" localSheetId="0">#REF!</definedName>
    <definedName name="ADITIVO_LIQUIDO" localSheetId="11">#REF!</definedName>
    <definedName name="ADITIVO_LIQUIDO" localSheetId="12">#REF!</definedName>
    <definedName name="ADITIVO_LIQUIDO">#REF!</definedName>
    <definedName name="ADM.EXTERNA" localSheetId="8">#REF!</definedName>
    <definedName name="ADM.EXTERNA" localSheetId="5">#REF!</definedName>
    <definedName name="ADM.EXTERNA" localSheetId="9">#REF!</definedName>
    <definedName name="ADM.EXTERNA" localSheetId="10">#REF!</definedName>
    <definedName name="ADM.EXTERNA" localSheetId="0">#REF!</definedName>
    <definedName name="ADM.EXTERNA" localSheetId="11">#REF!</definedName>
    <definedName name="ADM.EXTERNA" localSheetId="12">#REF!</definedName>
    <definedName name="ADM.EXTERNA">#REF!</definedName>
    <definedName name="adsfr" localSheetId="3" hidden="1">{#N/A,#N/A,FALSE,"Plan1";#N/A,#N/A,FALSE,"Plan2"}</definedName>
    <definedName name="adsfr" localSheetId="8">{#N/A,#N/A,FALSE,"Plan1";#N/A,#N/A,FALSE,"Plan2"}</definedName>
    <definedName name="adsfr" localSheetId="5" hidden="1">{#N/A,#N/A,FALSE,"Plan1";#N/A,#N/A,FALSE,"Plan2"}</definedName>
    <definedName name="adsfr" localSheetId="4" hidden="1">{#N/A,#N/A,FALSE,"Plan1";#N/A,#N/A,FALSE,"Plan2"}</definedName>
    <definedName name="adsfr" localSheetId="9">{#N/A,#N/A,FALSE,"Plan1";#N/A,#N/A,FALSE,"Plan2"}</definedName>
    <definedName name="adsfr" localSheetId="10" hidden="1">{#N/A,#N/A,FALSE,"Plan1";#N/A,#N/A,FALSE,"Plan2"}</definedName>
    <definedName name="adsfr" localSheetId="1" hidden="1">{#N/A,#N/A,FALSE,"Plan1";#N/A,#N/A,FALSE,"Plan2"}</definedName>
    <definedName name="adsfr" localSheetId="0">{#N/A,#N/A,FALSE,"Plan1";#N/A,#N/A,FALSE,"Plan2"}</definedName>
    <definedName name="adsfr" localSheetId="11" hidden="1">{#N/A,#N/A,FALSE,"Plan1";#N/A,#N/A,FALSE,"Plan2"}</definedName>
    <definedName name="adsfr" localSheetId="12" hidden="1">{#N/A,#N/A,FALSE,"Plan1";#N/A,#N/A,FALSE,"Plan2"}</definedName>
    <definedName name="adsfr" hidden="1">{#N/A,#N/A,FALSE,"Plan1";#N/A,#N/A,FALSE,"Plan2"}</definedName>
    <definedName name="adssrgtg" localSheetId="3" hidden="1">{#N/A,#N/A,FALSE,"Plan1";#N/A,#N/A,FALSE,"Plan2"}</definedName>
    <definedName name="adssrgtg" localSheetId="8">{#N/A,#N/A,FALSE,"Plan1";#N/A,#N/A,FALSE,"Plan2"}</definedName>
    <definedName name="adssrgtg" localSheetId="5" hidden="1">{#N/A,#N/A,FALSE,"Plan1";#N/A,#N/A,FALSE,"Plan2"}</definedName>
    <definedName name="adssrgtg" localSheetId="4" hidden="1">{#N/A,#N/A,FALSE,"Plan1";#N/A,#N/A,FALSE,"Plan2"}</definedName>
    <definedName name="adssrgtg" localSheetId="9">{#N/A,#N/A,FALSE,"Plan1";#N/A,#N/A,FALSE,"Plan2"}</definedName>
    <definedName name="adssrgtg" localSheetId="10" hidden="1">{#N/A,#N/A,FALSE,"Plan1";#N/A,#N/A,FALSE,"Plan2"}</definedName>
    <definedName name="adssrgtg" localSheetId="1" hidden="1">{#N/A,#N/A,FALSE,"Plan1";#N/A,#N/A,FALSE,"Plan2"}</definedName>
    <definedName name="adssrgtg" localSheetId="0">{#N/A,#N/A,FALSE,"Plan1";#N/A,#N/A,FALSE,"Plan2"}</definedName>
    <definedName name="adssrgtg" localSheetId="11" hidden="1">{#N/A,#N/A,FALSE,"Plan1";#N/A,#N/A,FALSE,"Plan2"}</definedName>
    <definedName name="adssrgtg" localSheetId="12" hidden="1">{#N/A,#N/A,FALSE,"Plan1";#N/A,#N/A,FALSE,"Plan2"}</definedName>
    <definedName name="adssrgtg" hidden="1">{#N/A,#N/A,FALSE,"Plan1";#N/A,#N/A,FALSE,"Plan2"}</definedName>
    <definedName name="adtsetrr6t" localSheetId="3" hidden="1">{#N/A,#N/A,FALSE,"Plan1";#N/A,#N/A,FALSE,"Plan2"}</definedName>
    <definedName name="adtsetrr6t" localSheetId="8">{#N/A,#N/A,FALSE,"Plan1";#N/A,#N/A,FALSE,"Plan2"}</definedName>
    <definedName name="adtsetrr6t" localSheetId="5" hidden="1">{#N/A,#N/A,FALSE,"Plan1";#N/A,#N/A,FALSE,"Plan2"}</definedName>
    <definedName name="adtsetrr6t" localSheetId="4" hidden="1">{#N/A,#N/A,FALSE,"Plan1";#N/A,#N/A,FALSE,"Plan2"}</definedName>
    <definedName name="adtsetrr6t" localSheetId="9">{#N/A,#N/A,FALSE,"Plan1";#N/A,#N/A,FALSE,"Plan2"}</definedName>
    <definedName name="adtsetrr6t" localSheetId="10" hidden="1">{#N/A,#N/A,FALSE,"Plan1";#N/A,#N/A,FALSE,"Plan2"}</definedName>
    <definedName name="adtsetrr6t" localSheetId="1" hidden="1">{#N/A,#N/A,FALSE,"Plan1";#N/A,#N/A,FALSE,"Plan2"}</definedName>
    <definedName name="adtsetrr6t" localSheetId="0">{#N/A,#N/A,FALSE,"Plan1";#N/A,#N/A,FALSE,"Plan2"}</definedName>
    <definedName name="adtsetrr6t" localSheetId="11" hidden="1">{#N/A,#N/A,FALSE,"Plan1";#N/A,#N/A,FALSE,"Plan2"}</definedName>
    <definedName name="adtsetrr6t" localSheetId="12" hidden="1">{#N/A,#N/A,FALSE,"Plan1";#N/A,#N/A,FALSE,"Plan2"}</definedName>
    <definedName name="adtsetrr6t" hidden="1">{#N/A,#N/A,FALSE,"Plan1";#N/A,#N/A,FALSE,"Plan2"}</definedName>
    <definedName name="ADUCQT" localSheetId="8">#REF!</definedName>
    <definedName name="ADUCQT" localSheetId="5">#REF!</definedName>
    <definedName name="ADUCQT" localSheetId="9">#REF!</definedName>
    <definedName name="ADUCQT" localSheetId="10">#REF!</definedName>
    <definedName name="ADUCQT" localSheetId="0">#REF!</definedName>
    <definedName name="ADUCQT" localSheetId="11">#REF!</definedName>
    <definedName name="ADUCQT" localSheetId="12">#REF!</definedName>
    <definedName name="ADUCQT">#REF!</definedName>
    <definedName name="adwr" localSheetId="3" hidden="1">{#N/A,#N/A,FALSE,"Plan1";#N/A,#N/A,FALSE,"Plan2"}</definedName>
    <definedName name="adwr" localSheetId="8">{#N/A,#N/A,FALSE,"Plan1";#N/A,#N/A,FALSE,"Plan2"}</definedName>
    <definedName name="adwr" localSheetId="5" hidden="1">{#N/A,#N/A,FALSE,"Plan1";#N/A,#N/A,FALSE,"Plan2"}</definedName>
    <definedName name="adwr" localSheetId="4" hidden="1">{#N/A,#N/A,FALSE,"Plan1";#N/A,#N/A,FALSE,"Plan2"}</definedName>
    <definedName name="adwr" localSheetId="9">{#N/A,#N/A,FALSE,"Plan1";#N/A,#N/A,FALSE,"Plan2"}</definedName>
    <definedName name="adwr" localSheetId="10" hidden="1">{#N/A,#N/A,FALSE,"Plan1";#N/A,#N/A,FALSE,"Plan2"}</definedName>
    <definedName name="adwr" localSheetId="1" hidden="1">{#N/A,#N/A,FALSE,"Plan1";#N/A,#N/A,FALSE,"Plan2"}</definedName>
    <definedName name="adwr" localSheetId="0">{#N/A,#N/A,FALSE,"Plan1";#N/A,#N/A,FALSE,"Plan2"}</definedName>
    <definedName name="adwr" localSheetId="11" hidden="1">{#N/A,#N/A,FALSE,"Plan1";#N/A,#N/A,FALSE,"Plan2"}</definedName>
    <definedName name="adwr" localSheetId="12" hidden="1">{#N/A,#N/A,FALSE,"Plan1";#N/A,#N/A,FALSE,"Plan2"}</definedName>
    <definedName name="adwr" hidden="1">{#N/A,#N/A,FALSE,"Plan1";#N/A,#N/A,FALSE,"Plan2"}</definedName>
    <definedName name="aeiresft" localSheetId="3" hidden="1">{#N/A,#N/A,FALSE,"Plan1";#N/A,#N/A,FALSE,"Plan2"}</definedName>
    <definedName name="aeiresft" localSheetId="8">{#N/A,#N/A,FALSE,"Plan1";#N/A,#N/A,FALSE,"Plan2"}</definedName>
    <definedName name="aeiresft" localSheetId="5" hidden="1">{#N/A,#N/A,FALSE,"Plan1";#N/A,#N/A,FALSE,"Plan2"}</definedName>
    <definedName name="aeiresft" localSheetId="4" hidden="1">{#N/A,#N/A,FALSE,"Plan1";#N/A,#N/A,FALSE,"Plan2"}</definedName>
    <definedName name="aeiresft" localSheetId="9">{#N/A,#N/A,FALSE,"Plan1";#N/A,#N/A,FALSE,"Plan2"}</definedName>
    <definedName name="aeiresft" localSheetId="10" hidden="1">{#N/A,#N/A,FALSE,"Plan1";#N/A,#N/A,FALSE,"Plan2"}</definedName>
    <definedName name="aeiresft" localSheetId="1" hidden="1">{#N/A,#N/A,FALSE,"Plan1";#N/A,#N/A,FALSE,"Plan2"}</definedName>
    <definedName name="aeiresft" localSheetId="0">{#N/A,#N/A,FALSE,"Plan1";#N/A,#N/A,FALSE,"Plan2"}</definedName>
    <definedName name="aeiresft" localSheetId="11" hidden="1">{#N/A,#N/A,FALSE,"Plan1";#N/A,#N/A,FALSE,"Plan2"}</definedName>
    <definedName name="aeiresft" localSheetId="12" hidden="1">{#N/A,#N/A,FALSE,"Plan1";#N/A,#N/A,FALSE,"Plan2"}</definedName>
    <definedName name="aeiresft" hidden="1">{#N/A,#N/A,FALSE,"Plan1";#N/A,#N/A,FALSE,"Plan2"}</definedName>
    <definedName name="aEL3QE" localSheetId="3" hidden="1">{#N/A,#N/A,FALSE,"Plan1";#N/A,#N/A,FALSE,"Plan2"}</definedName>
    <definedName name="aEL3QE" localSheetId="8">{#N/A,#N/A,FALSE,"Plan1";#N/A,#N/A,FALSE,"Plan2"}</definedName>
    <definedName name="aEL3QE" localSheetId="5" hidden="1">{#N/A,#N/A,FALSE,"Plan1";#N/A,#N/A,FALSE,"Plan2"}</definedName>
    <definedName name="aEL3QE" localSheetId="4" hidden="1">{#N/A,#N/A,FALSE,"Plan1";#N/A,#N/A,FALSE,"Plan2"}</definedName>
    <definedName name="aEL3QE" localSheetId="9">{#N/A,#N/A,FALSE,"Plan1";#N/A,#N/A,FALSE,"Plan2"}</definedName>
    <definedName name="aEL3QE" localSheetId="10" hidden="1">{#N/A,#N/A,FALSE,"Plan1";#N/A,#N/A,FALSE,"Plan2"}</definedName>
    <definedName name="aEL3QE" localSheetId="1" hidden="1">{#N/A,#N/A,FALSE,"Plan1";#N/A,#N/A,FALSE,"Plan2"}</definedName>
    <definedName name="aEL3QE" localSheetId="0">{#N/A,#N/A,FALSE,"Plan1";#N/A,#N/A,FALSE,"Plan2"}</definedName>
    <definedName name="aEL3QE" localSheetId="11" hidden="1">{#N/A,#N/A,FALSE,"Plan1";#N/A,#N/A,FALSE,"Plan2"}</definedName>
    <definedName name="aEL3QE" localSheetId="12" hidden="1">{#N/A,#N/A,FALSE,"Plan1";#N/A,#N/A,FALSE,"Plan2"}</definedName>
    <definedName name="aEL3QE" hidden="1">{#N/A,#N/A,FALSE,"Plan1";#N/A,#N/A,FALSE,"Plan2"}</definedName>
    <definedName name="afeasfre" localSheetId="3" hidden="1">{#N/A,#N/A,FALSE,"Plan1";#N/A,#N/A,FALSE,"Plan2"}</definedName>
    <definedName name="afeasfre" localSheetId="8">{#N/A,#N/A,FALSE,"Plan1";#N/A,#N/A,FALSE,"Plan2"}</definedName>
    <definedName name="afeasfre" localSheetId="5" hidden="1">{#N/A,#N/A,FALSE,"Plan1";#N/A,#N/A,FALSE,"Plan2"}</definedName>
    <definedName name="afeasfre" localSheetId="4" hidden="1">{#N/A,#N/A,FALSE,"Plan1";#N/A,#N/A,FALSE,"Plan2"}</definedName>
    <definedName name="afeasfre" localSheetId="9">{#N/A,#N/A,FALSE,"Plan1";#N/A,#N/A,FALSE,"Plan2"}</definedName>
    <definedName name="afeasfre" localSheetId="10" hidden="1">{#N/A,#N/A,FALSE,"Plan1";#N/A,#N/A,FALSE,"Plan2"}</definedName>
    <definedName name="afeasfre" localSheetId="1" hidden="1">{#N/A,#N/A,FALSE,"Plan1";#N/A,#N/A,FALSE,"Plan2"}</definedName>
    <definedName name="afeasfre" localSheetId="0">{#N/A,#N/A,FALSE,"Plan1";#N/A,#N/A,FALSE,"Plan2"}</definedName>
    <definedName name="afeasfre" localSheetId="11" hidden="1">{#N/A,#N/A,FALSE,"Plan1";#N/A,#N/A,FALSE,"Plan2"}</definedName>
    <definedName name="afeasfre" localSheetId="12" hidden="1">{#N/A,#N/A,FALSE,"Plan1";#N/A,#N/A,FALSE,"Plan2"}</definedName>
    <definedName name="afeasfre" hidden="1">{#N/A,#N/A,FALSE,"Plan1";#N/A,#N/A,FALSE,"Plan2"}</definedName>
    <definedName name="agdsf" localSheetId="8">#REF!</definedName>
    <definedName name="agdsf" localSheetId="5" hidden="1">#REF!</definedName>
    <definedName name="agdsf" localSheetId="9">#REF!</definedName>
    <definedName name="agdsf" localSheetId="10" hidden="1">#REF!</definedName>
    <definedName name="agdsf" localSheetId="1" hidden="1">#REF!</definedName>
    <definedName name="agdsf" localSheetId="0">#REF!</definedName>
    <definedName name="agdsf" localSheetId="11" hidden="1">#REF!</definedName>
    <definedName name="agdsf" localSheetId="12" hidden="1">#REF!</definedName>
    <definedName name="agdsf" hidden="1">#REF!</definedName>
    <definedName name="ago17RJ" localSheetId="8">#REF!</definedName>
    <definedName name="ago17RJ" localSheetId="5">#REF!</definedName>
    <definedName name="ago17RJ" localSheetId="9">#REF!</definedName>
    <definedName name="ago17RJ" localSheetId="10">#REF!</definedName>
    <definedName name="ago17RJ" localSheetId="0">#REF!</definedName>
    <definedName name="ago17RJ" localSheetId="11">#REF!</definedName>
    <definedName name="ago17RJ" localSheetId="12">#REF!</definedName>
    <definedName name="ago17RJ">#REF!</definedName>
    <definedName name="AGOSTO" localSheetId="8">#REF!</definedName>
    <definedName name="AGOSTO" localSheetId="5">#REF!</definedName>
    <definedName name="AGOSTO" localSheetId="9">#REF!</definedName>
    <definedName name="AGOSTO" localSheetId="10">#REF!</definedName>
    <definedName name="AGOSTO" localSheetId="0">#REF!</definedName>
    <definedName name="AGOSTO" localSheetId="11">#REF!</definedName>
    <definedName name="AGOSTO" localSheetId="12">#REF!</definedName>
    <definedName name="AGOSTO">#REF!</definedName>
    <definedName name="agu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u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H" localSheetId="3" hidden="1">{#N/A,#N/A,FALSE,"CCTV"}</definedName>
    <definedName name="AH" localSheetId="8">{#N/A,#N/A,FALSE,"CCTV"}</definedName>
    <definedName name="AH" localSheetId="5" hidden="1">{#N/A,#N/A,FALSE,"CCTV"}</definedName>
    <definedName name="AH" localSheetId="4" hidden="1">{#N/A,#N/A,FALSE,"CCTV"}</definedName>
    <definedName name="AH" localSheetId="9">{#N/A,#N/A,FALSE,"CCTV"}</definedName>
    <definedName name="AH" localSheetId="10" hidden="1">{#N/A,#N/A,FALSE,"CCTV"}</definedName>
    <definedName name="AH" localSheetId="1" hidden="1">{#N/A,#N/A,FALSE,"CCTV"}</definedName>
    <definedName name="AH" localSheetId="0">{#N/A,#N/A,FALSE,"CCTV"}</definedName>
    <definedName name="AH" localSheetId="11" hidden="1">{#N/A,#N/A,FALSE,"CCTV"}</definedName>
    <definedName name="AH" localSheetId="12" hidden="1">{#N/A,#N/A,FALSE,"CCTV"}</definedName>
    <definedName name="AH" hidden="1">{#N/A,#N/A,FALSE,"CCTV"}</definedName>
    <definedName name="AITEM" localSheetId="8">#REF!</definedName>
    <definedName name="AITEM" localSheetId="5">#REF!</definedName>
    <definedName name="AITEM" localSheetId="9">#REF!</definedName>
    <definedName name="AITEM" localSheetId="10">#REF!</definedName>
    <definedName name="AITEM" localSheetId="0">#REF!</definedName>
    <definedName name="AITEM" localSheetId="11">#REF!</definedName>
    <definedName name="AITEM" localSheetId="12">#REF!</definedName>
    <definedName name="AITEM">#REF!</definedName>
    <definedName name="Ajudante_Geral" localSheetId="8">#REF!</definedName>
    <definedName name="Ajudante_Geral" localSheetId="5">#REF!</definedName>
    <definedName name="Ajudante_Geral" localSheetId="9">#REF!</definedName>
    <definedName name="Ajudante_Geral" localSheetId="10">#REF!</definedName>
    <definedName name="Ajudante_Geral" localSheetId="0">#REF!</definedName>
    <definedName name="Ajudante_Geral" localSheetId="11">#REF!</definedName>
    <definedName name="Ajudante_Geral" localSheetId="12">#REF!</definedName>
    <definedName name="Ajudante_Geral">#REF!</definedName>
    <definedName name="ajudante_mes" localSheetId="8">#REF!</definedName>
    <definedName name="ajudante_mes" localSheetId="5">#REF!</definedName>
    <definedName name="ajudante_mes" localSheetId="9">#REF!</definedName>
    <definedName name="ajudante_mes" localSheetId="10">#REF!</definedName>
    <definedName name="ajudante_mes" localSheetId="0">#REF!</definedName>
    <definedName name="ajudante_mes" localSheetId="11">#REF!</definedName>
    <definedName name="ajudante_mes" localSheetId="12">#REF!</definedName>
    <definedName name="ajudante_mes">#REF!</definedName>
    <definedName name="AL" localSheetId="8">#REF!</definedName>
    <definedName name="AL" localSheetId="5">#REF!</definedName>
    <definedName name="AL" localSheetId="10">#REF!</definedName>
    <definedName name="AL" localSheetId="11">#REF!</definedName>
    <definedName name="AL" localSheetId="12">#REF!</definedName>
    <definedName name="AL">#REF!</definedName>
    <definedName name="ALTADUC" localSheetId="8">#REF!</definedName>
    <definedName name="ALTADUC" localSheetId="5">#REF!</definedName>
    <definedName name="ALTADUC" localSheetId="10">#REF!</definedName>
    <definedName name="ALTADUC" localSheetId="11">#REF!</definedName>
    <definedName name="ALTADUC" localSheetId="12">#REF!</definedName>
    <definedName name="ALTADUC">#REF!</definedName>
    <definedName name="ALTBOMB" localSheetId="8">#REF!</definedName>
    <definedName name="ALTBOMB" localSheetId="5">#REF!</definedName>
    <definedName name="ALTBOMB" localSheetId="10">#REF!</definedName>
    <definedName name="ALTBOMB" localSheetId="11">#REF!</definedName>
    <definedName name="ALTBOMB" localSheetId="12">#REF!</definedName>
    <definedName name="ALTBOMB">#REF!</definedName>
    <definedName name="ALTCAP" localSheetId="8">#REF!</definedName>
    <definedName name="ALTCAP" localSheetId="5">#REF!</definedName>
    <definedName name="ALTCAP" localSheetId="10">#REF!</definedName>
    <definedName name="ALTCAP" localSheetId="11">#REF!</definedName>
    <definedName name="ALTCAP" localSheetId="12">#REF!</definedName>
    <definedName name="ALTCAP">#REF!</definedName>
    <definedName name="ALTDER" localSheetId="8">#REF!</definedName>
    <definedName name="ALTDER" localSheetId="5">#REF!</definedName>
    <definedName name="ALTDER" localSheetId="10">#REF!</definedName>
    <definedName name="ALTDER" localSheetId="11">#REF!</definedName>
    <definedName name="ALTDER" localSheetId="12">#REF!</definedName>
    <definedName name="ALTDER">#REF!</definedName>
    <definedName name="ALTEQUIP" localSheetId="8">#REF!</definedName>
    <definedName name="ALTEQUIP" localSheetId="5">#REF!</definedName>
    <definedName name="ALTEQUIP" localSheetId="10">#REF!</definedName>
    <definedName name="ALTEQUIP" localSheetId="11">#REF!</definedName>
    <definedName name="ALTEQUIP" localSheetId="12">#REF!</definedName>
    <definedName name="ALTEQUIP">#REF!</definedName>
    <definedName name="ALTIEQP" localSheetId="8">#REF!</definedName>
    <definedName name="ALTIEQP" localSheetId="5">#REF!</definedName>
    <definedName name="ALTIEQP" localSheetId="10">#REF!</definedName>
    <definedName name="ALTIEQP" localSheetId="11">#REF!</definedName>
    <definedName name="ALTIEQP" localSheetId="12">#REF!</definedName>
    <definedName name="ALTIEQP">#REF!</definedName>
    <definedName name="ALTMUR" localSheetId="8">#REF!</definedName>
    <definedName name="ALTMUR" localSheetId="5">#REF!</definedName>
    <definedName name="ALTMUR" localSheetId="10">#REF!</definedName>
    <definedName name="ALTMUR" localSheetId="11">#REF!</definedName>
    <definedName name="ALTMUR" localSheetId="12">#REF!</definedName>
    <definedName name="ALTMUR">#REF!</definedName>
    <definedName name="ALTRES10" localSheetId="8">#REF!</definedName>
    <definedName name="ALTRES10" localSheetId="5">#REF!</definedName>
    <definedName name="ALTRES10" localSheetId="10">#REF!</definedName>
    <definedName name="ALTRES10" localSheetId="11">#REF!</definedName>
    <definedName name="ALTRES10" localSheetId="12">#REF!</definedName>
    <definedName name="ALTRES10">#REF!</definedName>
    <definedName name="ALTRES15" localSheetId="8">#REF!</definedName>
    <definedName name="ALTRES15" localSheetId="5">#REF!</definedName>
    <definedName name="ALTRES15" localSheetId="10">#REF!</definedName>
    <definedName name="ALTRES15" localSheetId="11">#REF!</definedName>
    <definedName name="ALTRES15" localSheetId="12">#REF!</definedName>
    <definedName name="ALTRES15">#REF!</definedName>
    <definedName name="ALTRES20" localSheetId="8">#REF!</definedName>
    <definedName name="ALTRES20" localSheetId="5">#REF!</definedName>
    <definedName name="ALTRES20" localSheetId="10">#REF!</definedName>
    <definedName name="ALTRES20" localSheetId="11">#REF!</definedName>
    <definedName name="ALTRES20" localSheetId="12">#REF!</definedName>
    <definedName name="ALTRES20">#REF!</definedName>
    <definedName name="ALTTRANS" localSheetId="8">#REF!</definedName>
    <definedName name="ALTTRANS" localSheetId="5">#REF!</definedName>
    <definedName name="ALTTRANS" localSheetId="10">#REF!</definedName>
    <definedName name="ALTTRANS" localSheetId="11">#REF!</definedName>
    <definedName name="ALTTRANS" localSheetId="12">#REF!</definedName>
    <definedName name="ALTTRANS">#REF!</definedName>
    <definedName name="ALUMÍNIO_2" localSheetId="8">#REF!</definedName>
    <definedName name="ALUMÍNIO_2" localSheetId="5">#REF!</definedName>
    <definedName name="ALUMÍNIO_2" localSheetId="10">#REF!</definedName>
    <definedName name="ALUMÍNIO_2" localSheetId="11">#REF!</definedName>
    <definedName name="ALUMÍNIO_2" localSheetId="12">#REF!</definedName>
    <definedName name="ALUMÍNIO_2">#REF!</definedName>
    <definedName name="angelo" localSheetId="8">[2]Geral!#REF!</definedName>
    <definedName name="angelo" localSheetId="5">[2]Geral!#REF!</definedName>
    <definedName name="angelo" localSheetId="10">[2]Geral!#REF!</definedName>
    <definedName name="angelo" localSheetId="1">[2]Geral!#REF!</definedName>
    <definedName name="angelo" localSheetId="11">[2]Geral!#REF!</definedName>
    <definedName name="angelo" localSheetId="12">[2]Geral!#REF!</definedName>
    <definedName name="angelo">[2]Geral!#REF!</definedName>
    <definedName name="anscount" localSheetId="3" hidden="1">1</definedName>
    <definedName name="anscount" localSheetId="5" hidden="1">3</definedName>
    <definedName name="anscount" localSheetId="4" hidden="1">1</definedName>
    <definedName name="anscount" localSheetId="10" hidden="1">1</definedName>
    <definedName name="anscount" localSheetId="1" hidden="1">3</definedName>
    <definedName name="anscount" localSheetId="11" hidden="1">1</definedName>
    <definedName name="anscount" localSheetId="12" hidden="1">1</definedName>
    <definedName name="anscount" hidden="1">3</definedName>
    <definedName name="AQE" localSheetId="3" hidden="1">{"'장비'!$A$3:$M$12"}</definedName>
    <definedName name="AQE" localSheetId="8">{"'장비'!$A$3:$M$12"}</definedName>
    <definedName name="AQE" localSheetId="5" hidden="1">{"'장비'!$A$3:$M$12"}</definedName>
    <definedName name="AQE" localSheetId="4" hidden="1">{"'장비'!$A$3:$M$12"}</definedName>
    <definedName name="AQE" localSheetId="9">{"'장비'!$A$3:$M$12"}</definedName>
    <definedName name="AQE" localSheetId="10" hidden="1">{"'장비'!$A$3:$M$12"}</definedName>
    <definedName name="AQE" localSheetId="1" hidden="1">{"'장비'!$A$3:$M$12"}</definedName>
    <definedName name="AQE" localSheetId="0">{"'장비'!$A$3:$M$12"}</definedName>
    <definedName name="AQE" localSheetId="11" hidden="1">{"'장비'!$A$3:$M$12"}</definedName>
    <definedName name="AQE" localSheetId="12" hidden="1">{"'장비'!$A$3:$M$12"}</definedName>
    <definedName name="AQE" hidden="1">{"'장비'!$A$3:$M$12"}</definedName>
    <definedName name="AQTEMP1" localSheetId="8">#REF!</definedName>
    <definedName name="AQTEMP1" localSheetId="5">#REF!</definedName>
    <definedName name="AQTEMP1" localSheetId="10">#REF!</definedName>
    <definedName name="AQTEMP1" localSheetId="11">#REF!</definedName>
    <definedName name="AQTEMP1" localSheetId="12">#REF!</definedName>
    <definedName name="AQTEMP1">#REF!</definedName>
    <definedName name="AQTEMP2" localSheetId="8">#REF!</definedName>
    <definedName name="AQTEMP2" localSheetId="5">#REF!</definedName>
    <definedName name="AQTEMP2" localSheetId="10">#REF!</definedName>
    <definedName name="AQTEMP2" localSheetId="11">#REF!</definedName>
    <definedName name="AQTEMP2" localSheetId="12">#REF!</definedName>
    <definedName name="AQTEMP2">#REF!</definedName>
    <definedName name="ArComprimido" localSheetId="3" hidden="1">{"'Estimativa de Lançamento-JAN'!$A$1:$AI$85"}</definedName>
    <definedName name="ArComprimido" localSheetId="8">{"'Estimativa de Lançamento-JAN'!$A$1:$AI$85"}</definedName>
    <definedName name="ArComprimido" localSheetId="5" hidden="1">{"'Estimativa de Lançamento-JAN'!$A$1:$AI$85"}</definedName>
    <definedName name="ArComprimido" localSheetId="4" hidden="1">{"'Estimativa de Lançamento-JAN'!$A$1:$AI$85"}</definedName>
    <definedName name="ArComprimido" localSheetId="9">{"'Estimativa de Lançamento-JAN'!$A$1:$AI$85"}</definedName>
    <definedName name="ArComprimido" localSheetId="10" hidden="1">{"'Estimativa de Lançamento-JAN'!$A$1:$AI$85"}</definedName>
    <definedName name="ArComprimido" localSheetId="1" hidden="1">{"'Estimativa de Lançamento-JAN'!$A$1:$AI$85"}</definedName>
    <definedName name="ArComprimido" localSheetId="0">{"'Estimativa de Lançamento-JAN'!$A$1:$AI$85"}</definedName>
    <definedName name="ArComprimido" localSheetId="11" hidden="1">{"'Estimativa de Lançamento-JAN'!$A$1:$AI$85"}</definedName>
    <definedName name="ArComprimido" localSheetId="12" hidden="1">{"'Estimativa de Lançamento-JAN'!$A$1:$AI$85"}</definedName>
    <definedName name="ArComprimido" hidden="1">{"'Estimativa de Lançamento-JAN'!$A$1:$AI$85"}</definedName>
    <definedName name="area" localSheetId="3">#REF!</definedName>
    <definedName name="area" localSheetId="8">{#N/A,#N/A,FALSE,"Plan1";#N/A,#N/A,FALSE,"Plan2"}</definedName>
    <definedName name="area" localSheetId="5" hidden="1">{#N/A,#N/A,FALSE,"Plan1";#N/A,#N/A,FALSE,"Plan2"}</definedName>
    <definedName name="area" localSheetId="4">#REF!</definedName>
    <definedName name="area" localSheetId="9">{#N/A,#N/A,FALSE,"Plan1";#N/A,#N/A,FALSE,"Plan2"}</definedName>
    <definedName name="area" localSheetId="10">#REF!</definedName>
    <definedName name="area" localSheetId="1" hidden="1">{#N/A,#N/A,FALSE,"Plan1";#N/A,#N/A,FALSE,"Plan2"}</definedName>
    <definedName name="area" localSheetId="0">{#N/A,#N/A,FALSE,"Plan1";#N/A,#N/A,FALSE,"Plan2"}</definedName>
    <definedName name="area" localSheetId="11">#REF!</definedName>
    <definedName name="area" localSheetId="12">#REF!</definedName>
    <definedName name="area" hidden="1">{#N/A,#N/A,FALSE,"Plan1";#N/A,#N/A,FALSE,"Plan2"}</definedName>
    <definedName name="área" localSheetId="8">#REF!</definedName>
    <definedName name="área" localSheetId="5">#REF!</definedName>
    <definedName name="área" localSheetId="9">#REF!</definedName>
    <definedName name="área" localSheetId="10">#REF!</definedName>
    <definedName name="área" localSheetId="0">#REF!</definedName>
    <definedName name="área" localSheetId="11">#REF!</definedName>
    <definedName name="área" localSheetId="12">#REF!</definedName>
    <definedName name="área">#REF!</definedName>
    <definedName name="Área_Construída" localSheetId="8">#REF!</definedName>
    <definedName name="Área_Construída" localSheetId="5">#REF!</definedName>
    <definedName name="Área_Construída" localSheetId="9">#REF!</definedName>
    <definedName name="Área_Construída" localSheetId="10">#REF!</definedName>
    <definedName name="Área_Construída" localSheetId="1">#REF!</definedName>
    <definedName name="Área_Construída" localSheetId="0">#REF!</definedName>
    <definedName name="Área_Construída" localSheetId="11">#REF!</definedName>
    <definedName name="Área_Construída" localSheetId="12">#REF!</definedName>
    <definedName name="Área_Construída">#REF!</definedName>
    <definedName name="_xlnm.Print_Area" localSheetId="5">#REF!</definedName>
    <definedName name="_xlnm.Print_Area" localSheetId="10">MOBILIÁRIO!$A$1:$O$424</definedName>
    <definedName name="_xlnm.Print_Area" localSheetId="1">'Obra '!$A$1:$K$127</definedName>
    <definedName name="_xlnm.Print_Area" localSheetId="11">REVESTIMENTOS!$A$1:$O$157</definedName>
    <definedName name="_xlnm.Print_Area" localSheetId="12">TOTAL!$A$1:$J$56</definedName>
    <definedName name="_xlnm.Print_Area">#REF!</definedName>
    <definedName name="Área_impressão_IM" localSheetId="8">#REF!</definedName>
    <definedName name="Área_impressão_IM" localSheetId="5">#REF!</definedName>
    <definedName name="Área_impressão_IM" localSheetId="9">#REF!</definedName>
    <definedName name="Área_impressão_IM" localSheetId="10">#REF!</definedName>
    <definedName name="Área_impressão_IM" localSheetId="0">#REF!</definedName>
    <definedName name="Área_impressão_IM" localSheetId="11">#REF!</definedName>
    <definedName name="Área_impressão_IM" localSheetId="12">#REF!</definedName>
    <definedName name="Área_impressão_IM">#REF!</definedName>
    <definedName name="Área_Privativa" localSheetId="8">#REF!</definedName>
    <definedName name="Área_Privativa" localSheetId="5">#REF!</definedName>
    <definedName name="Área_Privativa" localSheetId="10">#REF!</definedName>
    <definedName name="Área_Privativa" localSheetId="1">#REF!</definedName>
    <definedName name="Área_Privativa" localSheetId="11">#REF!</definedName>
    <definedName name="Área_Privativa" localSheetId="12">#REF!</definedName>
    <definedName name="Área_Privativa">#REF!</definedName>
    <definedName name="Área_Terreno" localSheetId="8">#REF!</definedName>
    <definedName name="Área_Terreno" localSheetId="5">#REF!</definedName>
    <definedName name="Área_Terreno" localSheetId="10">#REF!</definedName>
    <definedName name="Área_Terreno" localSheetId="1">#REF!</definedName>
    <definedName name="Área_Terreno" localSheetId="11">#REF!</definedName>
    <definedName name="Área_Terreno" localSheetId="12">#REF!</definedName>
    <definedName name="Área_Terreno">#REF!</definedName>
    <definedName name="area1" localSheetId="8">#REF!</definedName>
    <definedName name="area1" localSheetId="5">#REF!</definedName>
    <definedName name="area1" localSheetId="10">#REF!</definedName>
    <definedName name="area1" localSheetId="11">#REF!</definedName>
    <definedName name="area1" localSheetId="12">#REF!</definedName>
    <definedName name="area1">#REF!</definedName>
    <definedName name="Areaimpresso" localSheetId="8">#REF!</definedName>
    <definedName name="Areaimpresso" localSheetId="5">#REF!</definedName>
    <definedName name="Areaimpresso" localSheetId="10">#REF!</definedName>
    <definedName name="Areaimpresso" localSheetId="1">#REF!</definedName>
    <definedName name="Areaimpresso" localSheetId="11">#REF!</definedName>
    <definedName name="Areaimpresso" localSheetId="12">#REF!</definedName>
    <definedName name="Areaimpresso">#REF!</definedName>
    <definedName name="ARM" localSheetId="8">#REF!</definedName>
    <definedName name="ARM" localSheetId="5">#REF!</definedName>
    <definedName name="ARM" localSheetId="10">#REF!</definedName>
    <definedName name="ARM" localSheetId="11">#REF!</definedName>
    <definedName name="ARM" localSheetId="12">#REF!</definedName>
    <definedName name="ARM">#REF!</definedName>
    <definedName name="ARMABLOCOS" localSheetId="8">#REF!</definedName>
    <definedName name="ARMABLOCOS" localSheetId="5">#REF!</definedName>
    <definedName name="ARMABLOCOS" localSheetId="10">#REF!</definedName>
    <definedName name="ARMABLOCOS" localSheetId="11">#REF!</definedName>
    <definedName name="ARMABLOCOS" localSheetId="12">#REF!</definedName>
    <definedName name="ARMABLOCOS">#REF!</definedName>
    <definedName name="ARMAÇÃO" localSheetId="8">#REF!</definedName>
    <definedName name="ARMAÇÃO" localSheetId="5">#REF!</definedName>
    <definedName name="ARMAÇÃO" localSheetId="10">#REF!</definedName>
    <definedName name="ARMAÇÃO" localSheetId="11">#REF!</definedName>
    <definedName name="ARMAÇÃO" localSheetId="12">#REF!</definedName>
    <definedName name="ARMAÇÃO">#REF!</definedName>
    <definedName name="ARQ" localSheetId="8">#REF!</definedName>
    <definedName name="ARQ" localSheetId="5">#REF!</definedName>
    <definedName name="ARQ" localSheetId="10">#REF!</definedName>
    <definedName name="ARQ" localSheetId="11">#REF!</definedName>
    <definedName name="ARQ" localSheetId="12">#REF!</definedName>
    <definedName name="ARQ">#REF!</definedName>
    <definedName name="ARQERR" localSheetId="8">#REF!</definedName>
    <definedName name="ARQERR" localSheetId="5">#REF!</definedName>
    <definedName name="ARQERR" localSheetId="10">#REF!</definedName>
    <definedName name="ARQERR" localSheetId="11">#REF!</definedName>
    <definedName name="ARQERR" localSheetId="12">#REF!</definedName>
    <definedName name="ARQERR">#REF!</definedName>
    <definedName name="ARQPLAN" localSheetId="8">#REF!</definedName>
    <definedName name="ARQPLAN" localSheetId="5">#REF!</definedName>
    <definedName name="ARQPLAN" localSheetId="10">#REF!</definedName>
    <definedName name="ARQPLAN" localSheetId="11">#REF!</definedName>
    <definedName name="ARQPLAN" localSheetId="12">#REF!</definedName>
    <definedName name="ARQPLAN">#REF!</definedName>
    <definedName name="ARQT" localSheetId="8">#REF!</definedName>
    <definedName name="ARQT" localSheetId="5">#REF!</definedName>
    <definedName name="ARQT" localSheetId="10">#REF!</definedName>
    <definedName name="ARQT" localSheetId="11">#REF!</definedName>
    <definedName name="ARQT" localSheetId="12">#REF!</definedName>
    <definedName name="ARQT">#REF!</definedName>
    <definedName name="ARQTEMP" localSheetId="8">#REF!</definedName>
    <definedName name="ARQTEMP" localSheetId="5">#REF!</definedName>
    <definedName name="ARQTEMP" localSheetId="10">#REF!</definedName>
    <definedName name="ARQTEMP" localSheetId="11">#REF!</definedName>
    <definedName name="ARQTEMP" localSheetId="12">#REF!</definedName>
    <definedName name="ARQTEMP">#REF!</definedName>
    <definedName name="ARQTXT" localSheetId="8">#REF!</definedName>
    <definedName name="ARQTXT" localSheetId="5">#REF!</definedName>
    <definedName name="ARQTXT" localSheetId="10">#REF!</definedName>
    <definedName name="ARQTXT" localSheetId="11">#REF!</definedName>
    <definedName name="ARQTXT" localSheetId="12">#REF!</definedName>
    <definedName name="ARQTXT">#REF!</definedName>
    <definedName name="ARTEMP" localSheetId="8">#REF!</definedName>
    <definedName name="ARTEMP" localSheetId="5">#REF!</definedName>
    <definedName name="ARTEMP" localSheetId="10">#REF!</definedName>
    <definedName name="ARTEMP" localSheetId="11">#REF!</definedName>
    <definedName name="ARTEMP" localSheetId="12">#REF!</definedName>
    <definedName name="ARTEMP">#REF!</definedName>
    <definedName name="AS" localSheetId="8">#REF!</definedName>
    <definedName name="AS" localSheetId="5">#REF!</definedName>
    <definedName name="AS" localSheetId="10">#REF!</definedName>
    <definedName name="AS" localSheetId="11">#REF!</definedName>
    <definedName name="AS" localSheetId="12">#REF!</definedName>
    <definedName name="AS">#REF!</definedName>
    <definedName name="AS2DocOpenMode" hidden="1">"AS2DocumentBrowse"</definedName>
    <definedName name="asawe3" localSheetId="3" hidden="1">{#N/A,#N/A,FALSE,"Plan1";#N/A,#N/A,FALSE,"Plan2"}</definedName>
    <definedName name="asawe3" localSheetId="8">{#N/A,#N/A,FALSE,"Plan1";#N/A,#N/A,FALSE,"Plan2"}</definedName>
    <definedName name="asawe3" localSheetId="5" hidden="1">{#N/A,#N/A,FALSE,"Plan1";#N/A,#N/A,FALSE,"Plan2"}</definedName>
    <definedName name="asawe3" localSheetId="4" hidden="1">{#N/A,#N/A,FALSE,"Plan1";#N/A,#N/A,FALSE,"Plan2"}</definedName>
    <definedName name="asawe3" localSheetId="9">{#N/A,#N/A,FALSE,"Plan1";#N/A,#N/A,FALSE,"Plan2"}</definedName>
    <definedName name="asawe3" localSheetId="10" hidden="1">{#N/A,#N/A,FALSE,"Plan1";#N/A,#N/A,FALSE,"Plan2"}</definedName>
    <definedName name="asawe3" localSheetId="1" hidden="1">{#N/A,#N/A,FALSE,"Plan1";#N/A,#N/A,FALSE,"Plan2"}</definedName>
    <definedName name="asawe3" localSheetId="0">{#N/A,#N/A,FALSE,"Plan1";#N/A,#N/A,FALSE,"Plan2"}</definedName>
    <definedName name="asawe3" localSheetId="11" hidden="1">{#N/A,#N/A,FALSE,"Plan1";#N/A,#N/A,FALSE,"Plan2"}</definedName>
    <definedName name="asawe3" localSheetId="12" hidden="1">{#N/A,#N/A,FALSE,"Plan1";#N/A,#N/A,FALSE,"Plan2"}</definedName>
    <definedName name="asawe3" hidden="1">{#N/A,#N/A,FALSE,"Plan1";#N/A,#N/A,FALSE,"Plan2"}</definedName>
    <definedName name="as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5" hidden="1">17</definedName>
    <definedName name="as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1" hidden="1">17</definedName>
    <definedName name="as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" hidden="1">17</definedName>
    <definedName name="ASDA" localSheetId="3" hidden="1">{#N/A,#N/A,FALSE,"Plan1";#N/A,#N/A,FALSE,"Plan2"}</definedName>
    <definedName name="ASDA" localSheetId="8">{#N/A,#N/A,FALSE,"Plan1";#N/A,#N/A,FALSE,"Plan2"}</definedName>
    <definedName name="ASDA" localSheetId="5" hidden="1">{#N/A,#N/A,FALSE,"Plan1";#N/A,#N/A,FALSE,"Plan2"}</definedName>
    <definedName name="ASDA" localSheetId="4" hidden="1">{#N/A,#N/A,FALSE,"Plan1";#N/A,#N/A,FALSE,"Plan2"}</definedName>
    <definedName name="ASDA" localSheetId="9">{#N/A,#N/A,FALSE,"Plan1";#N/A,#N/A,FALSE,"Plan2"}</definedName>
    <definedName name="ASDA" localSheetId="10" hidden="1">{#N/A,#N/A,FALSE,"Plan1";#N/A,#N/A,FALSE,"Plan2"}</definedName>
    <definedName name="ASDA" localSheetId="1" hidden="1">{#N/A,#N/A,FALSE,"Plan1";#N/A,#N/A,FALSE,"Plan2"}</definedName>
    <definedName name="ASDA" localSheetId="0">{#N/A,#N/A,FALSE,"Plan1";#N/A,#N/A,FALSE,"Plan2"}</definedName>
    <definedName name="ASDA" localSheetId="11" hidden="1">{#N/A,#N/A,FALSE,"Plan1";#N/A,#N/A,FALSE,"Plan2"}</definedName>
    <definedName name="ASDA" localSheetId="12" hidden="1">{#N/A,#N/A,FALSE,"Plan1";#N/A,#N/A,FALSE,"Plan2"}</definedName>
    <definedName name="ASDA" hidden="1">{#N/A,#N/A,FALSE,"Plan1";#N/A,#N/A,FALSE,"Plan2"}</definedName>
    <definedName name="asdade" localSheetId="3" hidden="1">{#N/A,#N/A,FALSE,"Plan1";#N/A,#N/A,FALSE,"Plan2"}</definedName>
    <definedName name="asdade" localSheetId="8">{#N/A,#N/A,FALSE,"Plan1";#N/A,#N/A,FALSE,"Plan2"}</definedName>
    <definedName name="asdade" localSheetId="5" hidden="1">{#N/A,#N/A,FALSE,"Plan1";#N/A,#N/A,FALSE,"Plan2"}</definedName>
    <definedName name="asdade" localSheetId="4" hidden="1">{#N/A,#N/A,FALSE,"Plan1";#N/A,#N/A,FALSE,"Plan2"}</definedName>
    <definedName name="asdade" localSheetId="9">{#N/A,#N/A,FALSE,"Plan1";#N/A,#N/A,FALSE,"Plan2"}</definedName>
    <definedName name="asdade" localSheetId="10" hidden="1">{#N/A,#N/A,FALSE,"Plan1";#N/A,#N/A,FALSE,"Plan2"}</definedName>
    <definedName name="asdade" localSheetId="1" hidden="1">{#N/A,#N/A,FALSE,"Plan1";#N/A,#N/A,FALSE,"Plan2"}</definedName>
    <definedName name="asdade" localSheetId="0">{#N/A,#N/A,FALSE,"Plan1";#N/A,#N/A,FALSE,"Plan2"}</definedName>
    <definedName name="asdade" localSheetId="11" hidden="1">{#N/A,#N/A,FALSE,"Plan1";#N/A,#N/A,FALSE,"Plan2"}</definedName>
    <definedName name="asdade" localSheetId="12" hidden="1">{#N/A,#N/A,FALSE,"Plan1";#N/A,#N/A,FALSE,"Plan2"}</definedName>
    <definedName name="asdade" hidden="1">{#N/A,#N/A,FALSE,"Plan1";#N/A,#N/A,FALSE,"Plan2"}</definedName>
    <definedName name="asdas" localSheetId="3" hidden="1">{#N/A,#N/A,FALSE,"Plan1";#N/A,#N/A,FALSE,"Plan2"}</definedName>
    <definedName name="asdas" localSheetId="8">{#N/A,#N/A,FALSE,"Plan1";#N/A,#N/A,FALSE,"Plan2"}</definedName>
    <definedName name="asdas" localSheetId="5" hidden="1">{#N/A,#N/A,FALSE,"Plan1";#N/A,#N/A,FALSE,"Plan2"}</definedName>
    <definedName name="asdas" localSheetId="4" hidden="1">{#N/A,#N/A,FALSE,"Plan1";#N/A,#N/A,FALSE,"Plan2"}</definedName>
    <definedName name="asdas" localSheetId="9">{#N/A,#N/A,FALSE,"Plan1";#N/A,#N/A,FALSE,"Plan2"}</definedName>
    <definedName name="asdas" localSheetId="10" hidden="1">{#N/A,#N/A,FALSE,"Plan1";#N/A,#N/A,FALSE,"Plan2"}</definedName>
    <definedName name="asdas" localSheetId="1" hidden="1">{#N/A,#N/A,FALSE,"Plan1";#N/A,#N/A,FALSE,"Plan2"}</definedName>
    <definedName name="asdas" localSheetId="0">{#N/A,#N/A,FALSE,"Plan1";#N/A,#N/A,FALSE,"Plan2"}</definedName>
    <definedName name="asdas" localSheetId="11" hidden="1">{#N/A,#N/A,FALSE,"Plan1";#N/A,#N/A,FALSE,"Plan2"}</definedName>
    <definedName name="asdas" localSheetId="12" hidden="1">{#N/A,#N/A,FALSE,"Plan1";#N/A,#N/A,FALSE,"Plan2"}</definedName>
    <definedName name="asdas" hidden="1">{#N/A,#N/A,FALSE,"Plan1";#N/A,#N/A,FALSE,"Plan2"}</definedName>
    <definedName name="asdawed" localSheetId="3" hidden="1">{#N/A,#N/A,FALSE,"Plan1";#N/A,#N/A,FALSE,"Plan2"}</definedName>
    <definedName name="asdawed" localSheetId="8">{#N/A,#N/A,FALSE,"Plan1";#N/A,#N/A,FALSE,"Plan2"}</definedName>
    <definedName name="asdawed" localSheetId="5" hidden="1">{#N/A,#N/A,FALSE,"Plan1";#N/A,#N/A,FALSE,"Plan2"}</definedName>
    <definedName name="asdawed" localSheetId="4" hidden="1">{#N/A,#N/A,FALSE,"Plan1";#N/A,#N/A,FALSE,"Plan2"}</definedName>
    <definedName name="asdawed" localSheetId="9">{#N/A,#N/A,FALSE,"Plan1";#N/A,#N/A,FALSE,"Plan2"}</definedName>
    <definedName name="asdawed" localSheetId="10" hidden="1">{#N/A,#N/A,FALSE,"Plan1";#N/A,#N/A,FALSE,"Plan2"}</definedName>
    <definedName name="asdawed" localSheetId="1" hidden="1">{#N/A,#N/A,FALSE,"Plan1";#N/A,#N/A,FALSE,"Plan2"}</definedName>
    <definedName name="asdawed" localSheetId="0">{#N/A,#N/A,FALSE,"Plan1";#N/A,#N/A,FALSE,"Plan2"}</definedName>
    <definedName name="asdawed" localSheetId="11" hidden="1">{#N/A,#N/A,FALSE,"Plan1";#N/A,#N/A,FALSE,"Plan2"}</definedName>
    <definedName name="asdawed" localSheetId="12" hidden="1">{#N/A,#N/A,FALSE,"Plan1";#N/A,#N/A,FALSE,"Plan2"}</definedName>
    <definedName name="asdawed" hidden="1">{#N/A,#N/A,FALSE,"Plan1";#N/A,#N/A,FALSE,"Plan2"}</definedName>
    <definedName name="ASDER" localSheetId="3" hidden="1">{#N/A,#N/A,FALSE,"Plan1";#N/A,#N/A,FALSE,"Plan2"}</definedName>
    <definedName name="ASDER" localSheetId="8">{#N/A,#N/A,FALSE,"Plan1";#N/A,#N/A,FALSE,"Plan2"}</definedName>
    <definedName name="ASDER" localSheetId="5" hidden="1">{#N/A,#N/A,FALSE,"Plan1";#N/A,#N/A,FALSE,"Plan2"}</definedName>
    <definedName name="ASDER" localSheetId="4" hidden="1">{#N/A,#N/A,FALSE,"Plan1";#N/A,#N/A,FALSE,"Plan2"}</definedName>
    <definedName name="ASDER" localSheetId="9">{#N/A,#N/A,FALSE,"Plan1";#N/A,#N/A,FALSE,"Plan2"}</definedName>
    <definedName name="ASDER" localSheetId="10" hidden="1">{#N/A,#N/A,FALSE,"Plan1";#N/A,#N/A,FALSE,"Plan2"}</definedName>
    <definedName name="ASDER" localSheetId="1" hidden="1">{#N/A,#N/A,FALSE,"Plan1";#N/A,#N/A,FALSE,"Plan2"}</definedName>
    <definedName name="ASDER" localSheetId="0">{#N/A,#N/A,FALSE,"Plan1";#N/A,#N/A,FALSE,"Plan2"}</definedName>
    <definedName name="ASDER" localSheetId="11" hidden="1">{#N/A,#N/A,FALSE,"Plan1";#N/A,#N/A,FALSE,"Plan2"}</definedName>
    <definedName name="ASDER" localSheetId="12" hidden="1">{#N/A,#N/A,FALSE,"Plan1";#N/A,#N/A,FALSE,"Plan2"}</definedName>
    <definedName name="ASDER" hidden="1">{#N/A,#N/A,FALSE,"Plan1";#N/A,#N/A,FALSE,"Plan2"}</definedName>
    <definedName name="asderr" localSheetId="3" hidden="1">{#N/A,#N/A,FALSE,"Plan1";#N/A,#N/A,FALSE,"Plan2"}</definedName>
    <definedName name="asderr" localSheetId="8">{#N/A,#N/A,FALSE,"Plan1";#N/A,#N/A,FALSE,"Plan2"}</definedName>
    <definedName name="asderr" localSheetId="5" hidden="1">{#N/A,#N/A,FALSE,"Plan1";#N/A,#N/A,FALSE,"Plan2"}</definedName>
    <definedName name="asderr" localSheetId="4" hidden="1">{#N/A,#N/A,FALSE,"Plan1";#N/A,#N/A,FALSE,"Plan2"}</definedName>
    <definedName name="asderr" localSheetId="9">{#N/A,#N/A,FALSE,"Plan1";#N/A,#N/A,FALSE,"Plan2"}</definedName>
    <definedName name="asderr" localSheetId="10" hidden="1">{#N/A,#N/A,FALSE,"Plan1";#N/A,#N/A,FALSE,"Plan2"}</definedName>
    <definedName name="asderr" localSheetId="1" hidden="1">{#N/A,#N/A,FALSE,"Plan1";#N/A,#N/A,FALSE,"Plan2"}</definedName>
    <definedName name="asderr" localSheetId="0">{#N/A,#N/A,FALSE,"Plan1";#N/A,#N/A,FALSE,"Plan2"}</definedName>
    <definedName name="asderr" localSheetId="11" hidden="1">{#N/A,#N/A,FALSE,"Plan1";#N/A,#N/A,FALSE,"Plan2"}</definedName>
    <definedName name="asderr" localSheetId="12" hidden="1">{#N/A,#N/A,FALSE,"Plan1";#N/A,#N/A,FALSE,"Plan2"}</definedName>
    <definedName name="asderr" hidden="1">{#N/A,#N/A,FALSE,"Plan1";#N/A,#N/A,FALSE,"Plan2"}</definedName>
    <definedName name="asdesre" localSheetId="3" hidden="1">{#N/A,#N/A,FALSE,"Plan1";#N/A,#N/A,FALSE,"Plan2"}</definedName>
    <definedName name="asdesre" localSheetId="8">{#N/A,#N/A,FALSE,"Plan1";#N/A,#N/A,FALSE,"Plan2"}</definedName>
    <definedName name="asdesre" localSheetId="5" hidden="1">{#N/A,#N/A,FALSE,"Plan1";#N/A,#N/A,FALSE,"Plan2"}</definedName>
    <definedName name="asdesre" localSheetId="4" hidden="1">{#N/A,#N/A,FALSE,"Plan1";#N/A,#N/A,FALSE,"Plan2"}</definedName>
    <definedName name="asdesre" localSheetId="9">{#N/A,#N/A,FALSE,"Plan1";#N/A,#N/A,FALSE,"Plan2"}</definedName>
    <definedName name="asdesre" localSheetId="10" hidden="1">{#N/A,#N/A,FALSE,"Plan1";#N/A,#N/A,FALSE,"Plan2"}</definedName>
    <definedName name="asdesre" localSheetId="1" hidden="1">{#N/A,#N/A,FALSE,"Plan1";#N/A,#N/A,FALSE,"Plan2"}</definedName>
    <definedName name="asdesre" localSheetId="0">{#N/A,#N/A,FALSE,"Plan1";#N/A,#N/A,FALSE,"Plan2"}</definedName>
    <definedName name="asdesre" localSheetId="11" hidden="1">{#N/A,#N/A,FALSE,"Plan1";#N/A,#N/A,FALSE,"Plan2"}</definedName>
    <definedName name="asdesre" localSheetId="12" hidden="1">{#N/A,#N/A,FALSE,"Plan1";#N/A,#N/A,FALSE,"Plan2"}</definedName>
    <definedName name="asdesre" hidden="1">{#N/A,#N/A,FALSE,"Plan1";#N/A,#N/A,FALSE,"Plan2"}</definedName>
    <definedName name="asdewr" localSheetId="3" hidden="1">{#N/A,#N/A,FALSE,"Plan1";#N/A,#N/A,FALSE,"Plan2"}</definedName>
    <definedName name="asdewr" localSheetId="8">{#N/A,#N/A,FALSE,"Plan1";#N/A,#N/A,FALSE,"Plan2"}</definedName>
    <definedName name="asdewr" localSheetId="5" hidden="1">{#N/A,#N/A,FALSE,"Plan1";#N/A,#N/A,FALSE,"Plan2"}</definedName>
    <definedName name="asdewr" localSheetId="4" hidden="1">{#N/A,#N/A,FALSE,"Plan1";#N/A,#N/A,FALSE,"Plan2"}</definedName>
    <definedName name="asdewr" localSheetId="9">{#N/A,#N/A,FALSE,"Plan1";#N/A,#N/A,FALSE,"Plan2"}</definedName>
    <definedName name="asdewr" localSheetId="10" hidden="1">{#N/A,#N/A,FALSE,"Plan1";#N/A,#N/A,FALSE,"Plan2"}</definedName>
    <definedName name="asdewr" localSheetId="1" hidden="1">{#N/A,#N/A,FALSE,"Plan1";#N/A,#N/A,FALSE,"Plan2"}</definedName>
    <definedName name="asdewr" localSheetId="0">{#N/A,#N/A,FALSE,"Plan1";#N/A,#N/A,FALSE,"Plan2"}</definedName>
    <definedName name="asdewr" localSheetId="11" hidden="1">{#N/A,#N/A,FALSE,"Plan1";#N/A,#N/A,FALSE,"Plan2"}</definedName>
    <definedName name="asdewr" localSheetId="12" hidden="1">{#N/A,#N/A,FALSE,"Plan1";#N/A,#N/A,FALSE,"Plan2"}</definedName>
    <definedName name="asdewr" hidden="1">{#N/A,#N/A,FALSE,"Plan1";#N/A,#N/A,FALSE,"Plan2"}</definedName>
    <definedName name="ASDFASDFA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ASDFAD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asdfrr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rr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fs" localSheetId="3" hidden="1">{#N/A,#N/A,FALSE,"Plan1";#N/A,#N/A,FALSE,"Plan2"}</definedName>
    <definedName name="asdfs" localSheetId="8">{#N/A,#N/A,FALSE,"Plan1";#N/A,#N/A,FALSE,"Plan2"}</definedName>
    <definedName name="asdfs" localSheetId="5" hidden="1">{#N/A,#N/A,FALSE,"Plan1";#N/A,#N/A,FALSE,"Plan2"}</definedName>
    <definedName name="asdfs" localSheetId="4" hidden="1">{#N/A,#N/A,FALSE,"Plan1";#N/A,#N/A,FALSE,"Plan2"}</definedName>
    <definedName name="asdfs" localSheetId="9">{#N/A,#N/A,FALSE,"Plan1";#N/A,#N/A,FALSE,"Plan2"}</definedName>
    <definedName name="asdfs" localSheetId="10" hidden="1">{#N/A,#N/A,FALSE,"Plan1";#N/A,#N/A,FALSE,"Plan2"}</definedName>
    <definedName name="asdfs" localSheetId="1" hidden="1">{#N/A,#N/A,FALSE,"Plan1";#N/A,#N/A,FALSE,"Plan2"}</definedName>
    <definedName name="asdfs" localSheetId="0">{#N/A,#N/A,FALSE,"Plan1";#N/A,#N/A,FALSE,"Plan2"}</definedName>
    <definedName name="asdfs" localSheetId="11" hidden="1">{#N/A,#N/A,FALSE,"Plan1";#N/A,#N/A,FALSE,"Plan2"}</definedName>
    <definedName name="asdfs" localSheetId="12" hidden="1">{#N/A,#N/A,FALSE,"Plan1";#N/A,#N/A,FALSE,"Plan2"}</definedName>
    <definedName name="asdfs" hidden="1">{#N/A,#N/A,FALSE,"Plan1";#N/A,#N/A,FALSE,"Plan2"}</definedName>
    <definedName name="asdg" localSheetId="3" hidden="1">{#N/A,#N/A,FALSE,"Plan1";#N/A,#N/A,FALSE,"Plan2"}</definedName>
    <definedName name="asdg" localSheetId="8">{#N/A,#N/A,FALSE,"Plan1";#N/A,#N/A,FALSE,"Plan2"}</definedName>
    <definedName name="asdg" localSheetId="5" hidden="1">{#N/A,#N/A,FALSE,"Plan1";#N/A,#N/A,FALSE,"Plan2"}</definedName>
    <definedName name="asdg" localSheetId="4" hidden="1">{#N/A,#N/A,FALSE,"Plan1";#N/A,#N/A,FALSE,"Plan2"}</definedName>
    <definedName name="asdg" localSheetId="9">{#N/A,#N/A,FALSE,"Plan1";#N/A,#N/A,FALSE,"Plan2"}</definedName>
    <definedName name="asdg" localSheetId="10" hidden="1">{#N/A,#N/A,FALSE,"Plan1";#N/A,#N/A,FALSE,"Plan2"}</definedName>
    <definedName name="asdg" localSheetId="1" hidden="1">{#N/A,#N/A,FALSE,"Plan1";#N/A,#N/A,FALSE,"Plan2"}</definedName>
    <definedName name="asdg" localSheetId="0">{#N/A,#N/A,FALSE,"Plan1";#N/A,#N/A,FALSE,"Plan2"}</definedName>
    <definedName name="asdg" localSheetId="11" hidden="1">{#N/A,#N/A,FALSE,"Plan1";#N/A,#N/A,FALSE,"Plan2"}</definedName>
    <definedName name="asdg" localSheetId="12" hidden="1">{#N/A,#N/A,FALSE,"Plan1";#N/A,#N/A,FALSE,"Plan2"}</definedName>
    <definedName name="asdg" hidden="1">{#N/A,#N/A,FALSE,"Plan1";#N/A,#N/A,FALSE,"Plan2"}</definedName>
    <definedName name="asdjksej" localSheetId="8">#REF!</definedName>
    <definedName name="asdjksej" localSheetId="5" hidden="1">#REF!</definedName>
    <definedName name="asdjksej" localSheetId="9">#REF!</definedName>
    <definedName name="asdjksej" localSheetId="10" hidden="1">#REF!</definedName>
    <definedName name="asdjksej" localSheetId="1" hidden="1">#REF!</definedName>
    <definedName name="asdjksej" localSheetId="0">#REF!</definedName>
    <definedName name="asdjksej" localSheetId="11" hidden="1">#REF!</definedName>
    <definedName name="asdjksej" localSheetId="12" hidden="1">#REF!</definedName>
    <definedName name="asdjksej" hidden="1">#REF!</definedName>
    <definedName name="as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asdlas" localSheetId="3" hidden="1">{#N/A,#N/A,FALSE,"Plan1";#N/A,#N/A,FALSE,"Plan2"}</definedName>
    <definedName name="asdlas" localSheetId="8">{#N/A,#N/A,FALSE,"Plan1";#N/A,#N/A,FALSE,"Plan2"}</definedName>
    <definedName name="asdlas" localSheetId="5" hidden="1">{#N/A,#N/A,FALSE,"Plan1";#N/A,#N/A,FALSE,"Plan2"}</definedName>
    <definedName name="asdlas" localSheetId="4" hidden="1">{#N/A,#N/A,FALSE,"Plan1";#N/A,#N/A,FALSE,"Plan2"}</definedName>
    <definedName name="asdlas" localSheetId="9">{#N/A,#N/A,FALSE,"Plan1";#N/A,#N/A,FALSE,"Plan2"}</definedName>
    <definedName name="asdlas" localSheetId="10" hidden="1">{#N/A,#N/A,FALSE,"Plan1";#N/A,#N/A,FALSE,"Plan2"}</definedName>
    <definedName name="asdlas" localSheetId="1" hidden="1">{#N/A,#N/A,FALSE,"Plan1";#N/A,#N/A,FALSE,"Plan2"}</definedName>
    <definedName name="asdlas" localSheetId="0">{#N/A,#N/A,FALSE,"Plan1";#N/A,#N/A,FALSE,"Plan2"}</definedName>
    <definedName name="asdlas" localSheetId="11" hidden="1">{#N/A,#N/A,FALSE,"Plan1";#N/A,#N/A,FALSE,"Plan2"}</definedName>
    <definedName name="asdlas" localSheetId="12" hidden="1">{#N/A,#N/A,FALSE,"Plan1";#N/A,#N/A,FALSE,"Plan2"}</definedName>
    <definedName name="asdlas" hidden="1">{#N/A,#N/A,FALSE,"Plan1";#N/A,#N/A,FALSE,"Plan2"}</definedName>
    <definedName name="asdqwe" localSheetId="3" hidden="1">{#N/A,#N/A,FALSE,"Plan1";#N/A,#N/A,FALSE,"Plan2"}</definedName>
    <definedName name="asdqwe" localSheetId="8">{#N/A,#N/A,FALSE,"Plan1";#N/A,#N/A,FALSE,"Plan2"}</definedName>
    <definedName name="asdqwe" localSheetId="5" hidden="1">{#N/A,#N/A,FALSE,"Plan1";#N/A,#N/A,FALSE,"Plan2"}</definedName>
    <definedName name="asdqwe" localSheetId="4" hidden="1">{#N/A,#N/A,FALSE,"Plan1";#N/A,#N/A,FALSE,"Plan2"}</definedName>
    <definedName name="asdqwe" localSheetId="9">{#N/A,#N/A,FALSE,"Plan1";#N/A,#N/A,FALSE,"Plan2"}</definedName>
    <definedName name="asdqwe" localSheetId="10" hidden="1">{#N/A,#N/A,FALSE,"Plan1";#N/A,#N/A,FALSE,"Plan2"}</definedName>
    <definedName name="asdqwe" localSheetId="1" hidden="1">{#N/A,#N/A,FALSE,"Plan1";#N/A,#N/A,FALSE,"Plan2"}</definedName>
    <definedName name="asdqwe" localSheetId="0">{#N/A,#N/A,FALSE,"Plan1";#N/A,#N/A,FALSE,"Plan2"}</definedName>
    <definedName name="asdqwe" localSheetId="11" hidden="1">{#N/A,#N/A,FALSE,"Plan1";#N/A,#N/A,FALSE,"Plan2"}</definedName>
    <definedName name="asdqwe" localSheetId="12" hidden="1">{#N/A,#N/A,FALSE,"Plan1";#N/A,#N/A,FALSE,"Plan2"}</definedName>
    <definedName name="asdqwe" hidden="1">{#N/A,#N/A,FALSE,"Plan1";#N/A,#N/A,FALSE,"Plan2"}</definedName>
    <definedName name="asdsa" localSheetId="3" hidden="1">{#N/A,#N/A,FALSE,"Plan1";#N/A,#N/A,FALSE,"Plan2"}</definedName>
    <definedName name="asdsa" localSheetId="8">{#N/A,#N/A,FALSE,"Plan1";#N/A,#N/A,FALSE,"Plan2"}</definedName>
    <definedName name="asdsa" localSheetId="5" hidden="1">{#N/A,#N/A,FALSE,"Plan1";#N/A,#N/A,FALSE,"Plan2"}</definedName>
    <definedName name="asdsa" localSheetId="4" hidden="1">{#N/A,#N/A,FALSE,"Plan1";#N/A,#N/A,FALSE,"Plan2"}</definedName>
    <definedName name="asdsa" localSheetId="9">{#N/A,#N/A,FALSE,"Plan1";#N/A,#N/A,FALSE,"Plan2"}</definedName>
    <definedName name="asdsa" localSheetId="10" hidden="1">{#N/A,#N/A,FALSE,"Plan1";#N/A,#N/A,FALSE,"Plan2"}</definedName>
    <definedName name="asdsa" localSheetId="1" hidden="1">{#N/A,#N/A,FALSE,"Plan1";#N/A,#N/A,FALSE,"Plan2"}</definedName>
    <definedName name="asdsa" localSheetId="0">{#N/A,#N/A,FALSE,"Plan1";#N/A,#N/A,FALSE,"Plan2"}</definedName>
    <definedName name="asdsa" localSheetId="11" hidden="1">{#N/A,#N/A,FALSE,"Plan1";#N/A,#N/A,FALSE,"Plan2"}</definedName>
    <definedName name="asdsa" localSheetId="12" hidden="1">{#N/A,#N/A,FALSE,"Plan1";#N/A,#N/A,FALSE,"Plan2"}</definedName>
    <definedName name="asdsa" hidden="1">{#N/A,#N/A,FALSE,"Plan1";#N/A,#N/A,FALSE,"Plan2"}</definedName>
    <definedName name="asdser" localSheetId="3" hidden="1">{#N/A,#N/A,FALSE,"Plan1";#N/A,#N/A,FALSE,"Plan2"}</definedName>
    <definedName name="asdser" localSheetId="8">{#N/A,#N/A,FALSE,"Plan1";#N/A,#N/A,FALSE,"Plan2"}</definedName>
    <definedName name="asdser" localSheetId="5" hidden="1">{#N/A,#N/A,FALSE,"Plan1";#N/A,#N/A,FALSE,"Plan2"}</definedName>
    <definedName name="asdser" localSheetId="4" hidden="1">{#N/A,#N/A,FALSE,"Plan1";#N/A,#N/A,FALSE,"Plan2"}</definedName>
    <definedName name="asdser" localSheetId="9">{#N/A,#N/A,FALSE,"Plan1";#N/A,#N/A,FALSE,"Plan2"}</definedName>
    <definedName name="asdser" localSheetId="10" hidden="1">{#N/A,#N/A,FALSE,"Plan1";#N/A,#N/A,FALSE,"Plan2"}</definedName>
    <definedName name="asdser" localSheetId="1" hidden="1">{#N/A,#N/A,FALSE,"Plan1";#N/A,#N/A,FALSE,"Plan2"}</definedName>
    <definedName name="asdser" localSheetId="0">{#N/A,#N/A,FALSE,"Plan1";#N/A,#N/A,FALSE,"Plan2"}</definedName>
    <definedName name="asdser" localSheetId="11" hidden="1">{#N/A,#N/A,FALSE,"Plan1";#N/A,#N/A,FALSE,"Plan2"}</definedName>
    <definedName name="asdser" localSheetId="12" hidden="1">{#N/A,#N/A,FALSE,"Plan1";#N/A,#N/A,FALSE,"Plan2"}</definedName>
    <definedName name="asdser" hidden="1">{#N/A,#N/A,FALSE,"Plan1";#N/A,#N/A,FALSE,"Plan2"}</definedName>
    <definedName name="asdwef" localSheetId="3" hidden="1">{#N/A,#N/A,FALSE,"Plan1";#N/A,#N/A,FALSE,"Plan2"}</definedName>
    <definedName name="asdwef" localSheetId="8">{#N/A,#N/A,FALSE,"Plan1";#N/A,#N/A,FALSE,"Plan2"}</definedName>
    <definedName name="asdwef" localSheetId="5" hidden="1">{#N/A,#N/A,FALSE,"Plan1";#N/A,#N/A,FALSE,"Plan2"}</definedName>
    <definedName name="asdwef" localSheetId="4" hidden="1">{#N/A,#N/A,FALSE,"Plan1";#N/A,#N/A,FALSE,"Plan2"}</definedName>
    <definedName name="asdwef" localSheetId="9">{#N/A,#N/A,FALSE,"Plan1";#N/A,#N/A,FALSE,"Plan2"}</definedName>
    <definedName name="asdwef" localSheetId="10" hidden="1">{#N/A,#N/A,FALSE,"Plan1";#N/A,#N/A,FALSE,"Plan2"}</definedName>
    <definedName name="asdwef" localSheetId="1" hidden="1">{#N/A,#N/A,FALSE,"Plan1";#N/A,#N/A,FALSE,"Plan2"}</definedName>
    <definedName name="asdwef" localSheetId="0">{#N/A,#N/A,FALSE,"Plan1";#N/A,#N/A,FALSE,"Plan2"}</definedName>
    <definedName name="asdwef" localSheetId="11" hidden="1">{#N/A,#N/A,FALSE,"Plan1";#N/A,#N/A,FALSE,"Plan2"}</definedName>
    <definedName name="asdwef" localSheetId="12" hidden="1">{#N/A,#N/A,FALSE,"Plan1";#N/A,#N/A,FALSE,"Plan2"}</definedName>
    <definedName name="asdwef" hidden="1">{#N/A,#N/A,FALSE,"Plan1";#N/A,#N/A,FALSE,"Plan2"}</definedName>
    <definedName name="aseiuw" localSheetId="8">#REF!</definedName>
    <definedName name="aseiuw" localSheetId="5" hidden="1">#REF!</definedName>
    <definedName name="aseiuw" localSheetId="9">#REF!</definedName>
    <definedName name="aseiuw" localSheetId="10" hidden="1">#REF!</definedName>
    <definedName name="aseiuw" localSheetId="1" hidden="1">#REF!</definedName>
    <definedName name="aseiuw" localSheetId="0">#REF!</definedName>
    <definedName name="aseiuw" localSheetId="11" hidden="1">#REF!</definedName>
    <definedName name="aseiuw" localSheetId="12" hidden="1">#REF!</definedName>
    <definedName name="aseiuw" hidden="1">#REF!</definedName>
    <definedName name="ASET" localSheetId="3" hidden="1">{#N/A,#N/A,FALSE,"Plan1";#N/A,#N/A,FALSE,"Plan2"}</definedName>
    <definedName name="ASET" localSheetId="8">{#N/A,#N/A,FALSE,"Plan1";#N/A,#N/A,FALSE,"Plan2"}</definedName>
    <definedName name="ASET" localSheetId="5" hidden="1">{#N/A,#N/A,FALSE,"Plan1";#N/A,#N/A,FALSE,"Plan2"}</definedName>
    <definedName name="ASET" localSheetId="4" hidden="1">{#N/A,#N/A,FALSE,"Plan1";#N/A,#N/A,FALSE,"Plan2"}</definedName>
    <definedName name="ASET" localSheetId="9">{#N/A,#N/A,FALSE,"Plan1";#N/A,#N/A,FALSE,"Plan2"}</definedName>
    <definedName name="ASET" localSheetId="10" hidden="1">{#N/A,#N/A,FALSE,"Plan1";#N/A,#N/A,FALSE,"Plan2"}</definedName>
    <definedName name="ASET" localSheetId="1" hidden="1">{#N/A,#N/A,FALSE,"Plan1";#N/A,#N/A,FALSE,"Plan2"}</definedName>
    <definedName name="ASET" localSheetId="0">{#N/A,#N/A,FALSE,"Plan1";#N/A,#N/A,FALSE,"Plan2"}</definedName>
    <definedName name="ASET" localSheetId="11" hidden="1">{#N/A,#N/A,FALSE,"Plan1";#N/A,#N/A,FALSE,"Plan2"}</definedName>
    <definedName name="ASET" localSheetId="12" hidden="1">{#N/A,#N/A,FALSE,"Plan1";#N/A,#N/A,FALSE,"Plan2"}</definedName>
    <definedName name="ASET" hidden="1">{#N/A,#N/A,FALSE,"Plan1";#N/A,#N/A,FALSE,"Plan2"}</definedName>
    <definedName name="asfDSF" localSheetId="3" hidden="1">{#N/A,#N/A,FALSE,"Plan1";#N/A,#N/A,FALSE,"Plan2"}</definedName>
    <definedName name="asfDSF" localSheetId="8">{#N/A,#N/A,FALSE,"Plan1";#N/A,#N/A,FALSE,"Plan2"}</definedName>
    <definedName name="asfDSF" localSheetId="5" hidden="1">{#N/A,#N/A,FALSE,"Plan1";#N/A,#N/A,FALSE,"Plan2"}</definedName>
    <definedName name="asfDSF" localSheetId="4" hidden="1">{#N/A,#N/A,FALSE,"Plan1";#N/A,#N/A,FALSE,"Plan2"}</definedName>
    <definedName name="asfDSF" localSheetId="9">{#N/A,#N/A,FALSE,"Plan1";#N/A,#N/A,FALSE,"Plan2"}</definedName>
    <definedName name="asfDSF" localSheetId="10" hidden="1">{#N/A,#N/A,FALSE,"Plan1";#N/A,#N/A,FALSE,"Plan2"}</definedName>
    <definedName name="asfDSF" localSheetId="1" hidden="1">{#N/A,#N/A,FALSE,"Plan1";#N/A,#N/A,FALSE,"Plan2"}</definedName>
    <definedName name="asfDSF" localSheetId="0">{#N/A,#N/A,FALSE,"Plan1";#N/A,#N/A,FALSE,"Plan2"}</definedName>
    <definedName name="asfDSF" localSheetId="11" hidden="1">{#N/A,#N/A,FALSE,"Plan1";#N/A,#N/A,FALSE,"Plan2"}</definedName>
    <definedName name="asfDSF" localSheetId="12" hidden="1">{#N/A,#N/A,FALSE,"Plan1";#N/A,#N/A,FALSE,"Plan2"}</definedName>
    <definedName name="asfDSF" hidden="1">{#N/A,#N/A,FALSE,"Plan1";#N/A,#N/A,FALSE,"Plan2"}</definedName>
    <definedName name="ASFERTE" localSheetId="3" hidden="1">{#N/A,#N/A,FALSE,"Plan1";#N/A,#N/A,FALSE,"Plan2"}</definedName>
    <definedName name="ASFERTE" localSheetId="8">{#N/A,#N/A,FALSE,"Plan1";#N/A,#N/A,FALSE,"Plan2"}</definedName>
    <definedName name="ASFERTE" localSheetId="5" hidden="1">{#N/A,#N/A,FALSE,"Plan1";#N/A,#N/A,FALSE,"Plan2"}</definedName>
    <definedName name="ASFERTE" localSheetId="4" hidden="1">{#N/A,#N/A,FALSE,"Plan1";#N/A,#N/A,FALSE,"Plan2"}</definedName>
    <definedName name="ASFERTE" localSheetId="9">{#N/A,#N/A,FALSE,"Plan1";#N/A,#N/A,FALSE,"Plan2"}</definedName>
    <definedName name="ASFERTE" localSheetId="10" hidden="1">{#N/A,#N/A,FALSE,"Plan1";#N/A,#N/A,FALSE,"Plan2"}</definedName>
    <definedName name="ASFERTE" localSheetId="1" hidden="1">{#N/A,#N/A,FALSE,"Plan1";#N/A,#N/A,FALSE,"Plan2"}</definedName>
    <definedName name="ASFERTE" localSheetId="0">{#N/A,#N/A,FALSE,"Plan1";#N/A,#N/A,FALSE,"Plan2"}</definedName>
    <definedName name="ASFERTE" localSheetId="11" hidden="1">{#N/A,#N/A,FALSE,"Plan1";#N/A,#N/A,FALSE,"Plan2"}</definedName>
    <definedName name="ASFERTE" localSheetId="12" hidden="1">{#N/A,#N/A,FALSE,"Plan1";#N/A,#N/A,FALSE,"Plan2"}</definedName>
    <definedName name="ASFERTE" hidden="1">{#N/A,#N/A,FALSE,"Plan1";#N/A,#N/A,FALSE,"Plan2"}</definedName>
    <definedName name="asfl" localSheetId="3" hidden="1">{#N/A,#N/A,FALSE,"Plan1";#N/A,#N/A,FALSE,"Plan2"}</definedName>
    <definedName name="asfl" localSheetId="8">{#N/A,#N/A,FALSE,"Plan1";#N/A,#N/A,FALSE,"Plan2"}</definedName>
    <definedName name="asfl" localSheetId="5" hidden="1">{#N/A,#N/A,FALSE,"Plan1";#N/A,#N/A,FALSE,"Plan2"}</definedName>
    <definedName name="asfl" localSheetId="4" hidden="1">{#N/A,#N/A,FALSE,"Plan1";#N/A,#N/A,FALSE,"Plan2"}</definedName>
    <definedName name="asfl" localSheetId="9">{#N/A,#N/A,FALSE,"Plan1";#N/A,#N/A,FALSE,"Plan2"}</definedName>
    <definedName name="asfl" localSheetId="10" hidden="1">{#N/A,#N/A,FALSE,"Plan1";#N/A,#N/A,FALSE,"Plan2"}</definedName>
    <definedName name="asfl" localSheetId="1" hidden="1">{#N/A,#N/A,FALSE,"Plan1";#N/A,#N/A,FALSE,"Plan2"}</definedName>
    <definedName name="asfl" localSheetId="0">{#N/A,#N/A,FALSE,"Plan1";#N/A,#N/A,FALSE,"Plan2"}</definedName>
    <definedName name="asfl" localSheetId="11" hidden="1">{#N/A,#N/A,FALSE,"Plan1";#N/A,#N/A,FALSE,"Plan2"}</definedName>
    <definedName name="asfl" localSheetId="12" hidden="1">{#N/A,#N/A,FALSE,"Plan1";#N/A,#N/A,FALSE,"Plan2"}</definedName>
    <definedName name="asfl" hidden="1">{#N/A,#N/A,FALSE,"Plan1";#N/A,#N/A,FALSE,"Plan2"}</definedName>
    <definedName name="asfsz" localSheetId="3" hidden="1">{#N/A,#N/A,FALSE,"Plan1";#N/A,#N/A,FALSE,"Plan2"}</definedName>
    <definedName name="asfsz" localSheetId="8">{#N/A,#N/A,FALSE,"Plan1";#N/A,#N/A,FALSE,"Plan2"}</definedName>
    <definedName name="asfsz" localSheetId="5" hidden="1">{#N/A,#N/A,FALSE,"Plan1";#N/A,#N/A,FALSE,"Plan2"}</definedName>
    <definedName name="asfsz" localSheetId="4" hidden="1">{#N/A,#N/A,FALSE,"Plan1";#N/A,#N/A,FALSE,"Plan2"}</definedName>
    <definedName name="asfsz" localSheetId="9">{#N/A,#N/A,FALSE,"Plan1";#N/A,#N/A,FALSE,"Plan2"}</definedName>
    <definedName name="asfsz" localSheetId="10" hidden="1">{#N/A,#N/A,FALSE,"Plan1";#N/A,#N/A,FALSE,"Plan2"}</definedName>
    <definedName name="asfsz" localSheetId="1" hidden="1">{#N/A,#N/A,FALSE,"Plan1";#N/A,#N/A,FALSE,"Plan2"}</definedName>
    <definedName name="asfsz" localSheetId="0">{#N/A,#N/A,FALSE,"Plan1";#N/A,#N/A,FALSE,"Plan2"}</definedName>
    <definedName name="asfsz" localSheetId="11" hidden="1">{#N/A,#N/A,FALSE,"Plan1";#N/A,#N/A,FALSE,"Plan2"}</definedName>
    <definedName name="asfsz" localSheetId="12" hidden="1">{#N/A,#N/A,FALSE,"Plan1";#N/A,#N/A,FALSE,"Plan2"}</definedName>
    <definedName name="asfsz" hidden="1">{#N/A,#N/A,FALSE,"Plan1";#N/A,#N/A,FALSE,"Plan2"}</definedName>
    <definedName name="askserf" localSheetId="3" hidden="1">{#N/A,#N/A,FALSE,"Plan1";#N/A,#N/A,FALSE,"Plan2"}</definedName>
    <definedName name="askserf" localSheetId="8">{#N/A,#N/A,FALSE,"Plan1";#N/A,#N/A,FALSE,"Plan2"}</definedName>
    <definedName name="askserf" localSheetId="5" hidden="1">{#N/A,#N/A,FALSE,"Plan1";#N/A,#N/A,FALSE,"Plan2"}</definedName>
    <definedName name="askserf" localSheetId="4" hidden="1">{#N/A,#N/A,FALSE,"Plan1";#N/A,#N/A,FALSE,"Plan2"}</definedName>
    <definedName name="askserf" localSheetId="9">{#N/A,#N/A,FALSE,"Plan1";#N/A,#N/A,FALSE,"Plan2"}</definedName>
    <definedName name="askserf" localSheetId="10" hidden="1">{#N/A,#N/A,FALSE,"Plan1";#N/A,#N/A,FALSE,"Plan2"}</definedName>
    <definedName name="askserf" localSheetId="1" hidden="1">{#N/A,#N/A,FALSE,"Plan1";#N/A,#N/A,FALSE,"Plan2"}</definedName>
    <definedName name="askserf" localSheetId="0">{#N/A,#N/A,FALSE,"Plan1";#N/A,#N/A,FALSE,"Plan2"}</definedName>
    <definedName name="askserf" localSheetId="11" hidden="1">{#N/A,#N/A,FALSE,"Plan1";#N/A,#N/A,FALSE,"Plan2"}</definedName>
    <definedName name="askserf" localSheetId="12" hidden="1">{#N/A,#N/A,FALSE,"Plan1";#N/A,#N/A,FALSE,"Plan2"}</definedName>
    <definedName name="askserf" hidden="1">{#N/A,#N/A,FALSE,"Plan1";#N/A,#N/A,FALSE,"Plan2"}</definedName>
    <definedName name="ASSFSDF" localSheetId="3" hidden="1">{#N/A,#N/A,FALSE,"Plan1";#N/A,#N/A,FALSE,"Plan2"}</definedName>
    <definedName name="ASSFSDF" localSheetId="8">{#N/A,#N/A,FALSE,"Plan1";#N/A,#N/A,FALSE,"Plan2"}</definedName>
    <definedName name="ASSFSDF" localSheetId="5" hidden="1">{#N/A,#N/A,FALSE,"Plan1";#N/A,#N/A,FALSE,"Plan2"}</definedName>
    <definedName name="ASSFSDF" localSheetId="4" hidden="1">{#N/A,#N/A,FALSE,"Plan1";#N/A,#N/A,FALSE,"Plan2"}</definedName>
    <definedName name="ASSFSDF" localSheetId="9">{#N/A,#N/A,FALSE,"Plan1";#N/A,#N/A,FALSE,"Plan2"}</definedName>
    <definedName name="ASSFSDF" localSheetId="10" hidden="1">{#N/A,#N/A,FALSE,"Plan1";#N/A,#N/A,FALSE,"Plan2"}</definedName>
    <definedName name="ASSFSDF" localSheetId="1" hidden="1">{#N/A,#N/A,FALSE,"Plan1";#N/A,#N/A,FALSE,"Plan2"}</definedName>
    <definedName name="ASSFSDF" localSheetId="0">{#N/A,#N/A,FALSE,"Plan1";#N/A,#N/A,FALSE,"Plan2"}</definedName>
    <definedName name="ASSFSDF" localSheetId="11" hidden="1">{#N/A,#N/A,FALSE,"Plan1";#N/A,#N/A,FALSE,"Plan2"}</definedName>
    <definedName name="ASSFSDF" localSheetId="12" hidden="1">{#N/A,#N/A,FALSE,"Plan1";#N/A,#N/A,FALSE,"Plan2"}</definedName>
    <definedName name="ASSFSDF" hidden="1">{#N/A,#N/A,FALSE,"Plan1";#N/A,#N/A,FALSE,"Plan2"}</definedName>
    <definedName name="asw" localSheetId="3" hidden="1">{#N/A,#N/A,FALSE,"Plan1";#N/A,#N/A,FALSE,"Plan2"}</definedName>
    <definedName name="asw" localSheetId="8">{#N/A,#N/A,FALSE,"Plan1";#N/A,#N/A,FALSE,"Plan2"}</definedName>
    <definedName name="asw" localSheetId="5" hidden="1">{#N/A,#N/A,FALSE,"Plan1";#N/A,#N/A,FALSE,"Plan2"}</definedName>
    <definedName name="asw" localSheetId="4" hidden="1">{#N/A,#N/A,FALSE,"Plan1";#N/A,#N/A,FALSE,"Plan2"}</definedName>
    <definedName name="asw" localSheetId="9">{#N/A,#N/A,FALSE,"Plan1";#N/A,#N/A,FALSE,"Plan2"}</definedName>
    <definedName name="asw" localSheetId="10" hidden="1">{#N/A,#N/A,FALSE,"Plan1";#N/A,#N/A,FALSE,"Plan2"}</definedName>
    <definedName name="asw" localSheetId="1" hidden="1">{#N/A,#N/A,FALSE,"Plan1";#N/A,#N/A,FALSE,"Plan2"}</definedName>
    <definedName name="asw" localSheetId="0">{#N/A,#N/A,FALSE,"Plan1";#N/A,#N/A,FALSE,"Plan2"}</definedName>
    <definedName name="asw" localSheetId="11" hidden="1">{#N/A,#N/A,FALSE,"Plan1";#N/A,#N/A,FALSE,"Plan2"}</definedName>
    <definedName name="asw" localSheetId="12" hidden="1">{#N/A,#N/A,FALSE,"Plan1";#N/A,#N/A,FALSE,"Plan2"}</definedName>
    <definedName name="asw" hidden="1">{#N/A,#N/A,FALSE,"Plan1";#N/A,#N/A,FALSE,"Plan2"}</definedName>
    <definedName name="Até_Chaves" localSheetId="8">#REF!</definedName>
    <definedName name="Até_Chaves" localSheetId="5">#REF!</definedName>
    <definedName name="Até_Chaves" localSheetId="9">#REF!</definedName>
    <definedName name="Até_Chaves" localSheetId="10">#REF!</definedName>
    <definedName name="Até_Chaves" localSheetId="0">#REF!</definedName>
    <definedName name="Até_Chaves" localSheetId="11">#REF!</definedName>
    <definedName name="Até_Chaves" localSheetId="12">#REF!</definedName>
    <definedName name="Até_Chaves">#REF!</definedName>
    <definedName name="ATIVOS" localSheetId="3" hidden="1">{#N/A,#N/A,FALSE,"F-01"}</definedName>
    <definedName name="ATIVOS" localSheetId="8">{#N/A,#N/A,FALSE,"F-01"}</definedName>
    <definedName name="ATIVOS" localSheetId="5" hidden="1">{#N/A,#N/A,FALSE,"F-01"}</definedName>
    <definedName name="ATIVOS" localSheetId="4" hidden="1">{#N/A,#N/A,FALSE,"F-01"}</definedName>
    <definedName name="ATIVOS" localSheetId="9">{#N/A,#N/A,FALSE,"F-01"}</definedName>
    <definedName name="ATIVOS" localSheetId="10" hidden="1">{#N/A,#N/A,FALSE,"F-01"}</definedName>
    <definedName name="ATIVOS" localSheetId="1" hidden="1">{#N/A,#N/A,FALSE,"F-01"}</definedName>
    <definedName name="ATIVOS" localSheetId="0">{#N/A,#N/A,FALSE,"F-01"}</definedName>
    <definedName name="ATIVOS" localSheetId="11" hidden="1">{#N/A,#N/A,FALSE,"F-01"}</definedName>
    <definedName name="ATIVOS" localSheetId="12" hidden="1">{#N/A,#N/A,FALSE,"F-01"}</definedName>
    <definedName name="ATIVOS" hidden="1">{#N/A,#N/A,FALSE,"F-01"}</definedName>
    <definedName name="Ato" localSheetId="8">#REF!</definedName>
    <definedName name="Ato" localSheetId="5">#REF!</definedName>
    <definedName name="Ato" localSheetId="9">#REF!</definedName>
    <definedName name="Ato" localSheetId="10">#REF!</definedName>
    <definedName name="Ato" localSheetId="0">#REF!</definedName>
    <definedName name="Ato" localSheetId="11">#REF!</definedName>
    <definedName name="Ato" localSheetId="12">#REF!</definedName>
    <definedName name="Ato">#REF!</definedName>
    <definedName name="ATUAL" localSheetId="8">#REF!</definedName>
    <definedName name="ATUAL" localSheetId="5">#REF!</definedName>
    <definedName name="ATUAL" localSheetId="9">#REF!</definedName>
    <definedName name="ATUAL" localSheetId="10">#REF!</definedName>
    <definedName name="ATUAL" localSheetId="0">#REF!</definedName>
    <definedName name="ATUAL" localSheetId="11">#REF!</definedName>
    <definedName name="ATUAL" localSheetId="12">#REF!</definedName>
    <definedName name="ATUAL">#REF!</definedName>
    <definedName name="aux" localSheetId="8">#REF!</definedName>
    <definedName name="aux" localSheetId="5">#REF!</definedName>
    <definedName name="aux" localSheetId="9">#REF!</definedName>
    <definedName name="aux" localSheetId="10">#REF!</definedName>
    <definedName name="aux" localSheetId="1">#REF!</definedName>
    <definedName name="aux" localSheetId="0">#REF!</definedName>
    <definedName name="aux" localSheetId="11">#REF!</definedName>
    <definedName name="aux" localSheetId="12">#REF!</definedName>
    <definedName name="aux">#REF!</definedName>
    <definedName name="AUXILIO" localSheetId="8">#REF!</definedName>
    <definedName name="AUXILIO" localSheetId="5">#REF!</definedName>
    <definedName name="AUXILIO" localSheetId="10">#REF!</definedName>
    <definedName name="AUXILIO" localSheetId="11">#REF!</definedName>
    <definedName name="AUXILIO" localSheetId="12">#REF!</definedName>
    <definedName name="AUXILIO">#REF!</definedName>
    <definedName name="avulsos" localSheetId="8">#REF!</definedName>
    <definedName name="avulsos" localSheetId="5">#REF!</definedName>
    <definedName name="avulsos" localSheetId="10">#REF!</definedName>
    <definedName name="avulsos" localSheetId="11">#REF!</definedName>
    <definedName name="avulsos" localSheetId="12">#REF!</definedName>
    <definedName name="avulsos">#REF!</definedName>
    <definedName name="awdjw" localSheetId="3" hidden="1">{#N/A,#N/A,FALSE,"Plan1";#N/A,#N/A,FALSE,"Plan2"}</definedName>
    <definedName name="awdjw" localSheetId="8">{#N/A,#N/A,FALSE,"Plan1";#N/A,#N/A,FALSE,"Plan2"}</definedName>
    <definedName name="awdjw" localSheetId="5" hidden="1">{#N/A,#N/A,FALSE,"Plan1";#N/A,#N/A,FALSE,"Plan2"}</definedName>
    <definedName name="awdjw" localSheetId="4" hidden="1">{#N/A,#N/A,FALSE,"Plan1";#N/A,#N/A,FALSE,"Plan2"}</definedName>
    <definedName name="awdjw" localSheetId="9">{#N/A,#N/A,FALSE,"Plan1";#N/A,#N/A,FALSE,"Plan2"}</definedName>
    <definedName name="awdjw" localSheetId="10" hidden="1">{#N/A,#N/A,FALSE,"Plan1";#N/A,#N/A,FALSE,"Plan2"}</definedName>
    <definedName name="awdjw" localSheetId="1" hidden="1">{#N/A,#N/A,FALSE,"Plan1";#N/A,#N/A,FALSE,"Plan2"}</definedName>
    <definedName name="awdjw" localSheetId="0">{#N/A,#N/A,FALSE,"Plan1";#N/A,#N/A,FALSE,"Plan2"}</definedName>
    <definedName name="awdjw" localSheetId="11" hidden="1">{#N/A,#N/A,FALSE,"Plan1";#N/A,#N/A,FALSE,"Plan2"}</definedName>
    <definedName name="awdjw" localSheetId="12" hidden="1">{#N/A,#N/A,FALSE,"Plan1";#N/A,#N/A,FALSE,"Plan2"}</definedName>
    <definedName name="awdjw" hidden="1">{#N/A,#N/A,FALSE,"Plan1";#N/A,#N/A,FALSE,"Plan2"}</definedName>
    <definedName name="aweqw4" localSheetId="3" hidden="1">{#N/A,#N/A,FALSE,"Plan1";#N/A,#N/A,FALSE,"Plan2"}</definedName>
    <definedName name="aweqw4" localSheetId="8">{#N/A,#N/A,FALSE,"Plan1";#N/A,#N/A,FALSE,"Plan2"}</definedName>
    <definedName name="aweqw4" localSheetId="5" hidden="1">{#N/A,#N/A,FALSE,"Plan1";#N/A,#N/A,FALSE,"Plan2"}</definedName>
    <definedName name="aweqw4" localSheetId="4" hidden="1">{#N/A,#N/A,FALSE,"Plan1";#N/A,#N/A,FALSE,"Plan2"}</definedName>
    <definedName name="aweqw4" localSheetId="9">{#N/A,#N/A,FALSE,"Plan1";#N/A,#N/A,FALSE,"Plan2"}</definedName>
    <definedName name="aweqw4" localSheetId="10" hidden="1">{#N/A,#N/A,FALSE,"Plan1";#N/A,#N/A,FALSE,"Plan2"}</definedName>
    <definedName name="aweqw4" localSheetId="1" hidden="1">{#N/A,#N/A,FALSE,"Plan1";#N/A,#N/A,FALSE,"Plan2"}</definedName>
    <definedName name="aweqw4" localSheetId="0">{#N/A,#N/A,FALSE,"Plan1";#N/A,#N/A,FALSE,"Plan2"}</definedName>
    <definedName name="aweqw4" localSheetId="11" hidden="1">{#N/A,#N/A,FALSE,"Plan1";#N/A,#N/A,FALSE,"Plan2"}</definedName>
    <definedName name="aweqw4" localSheetId="12" hidden="1">{#N/A,#N/A,FALSE,"Plan1";#N/A,#N/A,FALSE,"Plan2"}</definedName>
    <definedName name="aweqw4" hidden="1">{#N/A,#N/A,FALSE,"Plan1";#N/A,#N/A,FALSE,"Plan2"}</definedName>
    <definedName name="awssdwaer" localSheetId="3" hidden="1">{#N/A,#N/A,FALSE,"Plan1";#N/A,#N/A,FALSE,"Plan2"}</definedName>
    <definedName name="awssdwaer" localSheetId="8">{#N/A,#N/A,FALSE,"Plan1";#N/A,#N/A,FALSE,"Plan2"}</definedName>
    <definedName name="awssdwaer" localSheetId="5" hidden="1">{#N/A,#N/A,FALSE,"Plan1";#N/A,#N/A,FALSE,"Plan2"}</definedName>
    <definedName name="awssdwaer" localSheetId="4" hidden="1">{#N/A,#N/A,FALSE,"Plan1";#N/A,#N/A,FALSE,"Plan2"}</definedName>
    <definedName name="awssdwaer" localSheetId="9">{#N/A,#N/A,FALSE,"Plan1";#N/A,#N/A,FALSE,"Plan2"}</definedName>
    <definedName name="awssdwaer" localSheetId="10" hidden="1">{#N/A,#N/A,FALSE,"Plan1";#N/A,#N/A,FALSE,"Plan2"}</definedName>
    <definedName name="awssdwaer" localSheetId="1" hidden="1">{#N/A,#N/A,FALSE,"Plan1";#N/A,#N/A,FALSE,"Plan2"}</definedName>
    <definedName name="awssdwaer" localSheetId="0">{#N/A,#N/A,FALSE,"Plan1";#N/A,#N/A,FALSE,"Plan2"}</definedName>
    <definedName name="awssdwaer" localSheetId="11" hidden="1">{#N/A,#N/A,FALSE,"Plan1";#N/A,#N/A,FALSE,"Plan2"}</definedName>
    <definedName name="awssdwaer" localSheetId="12" hidden="1">{#N/A,#N/A,FALSE,"Plan1";#N/A,#N/A,FALSE,"Plan2"}</definedName>
    <definedName name="awssdwaer" hidden="1">{#N/A,#N/A,FALSE,"Plan1";#N/A,#N/A,FALSE,"Plan2"}</definedName>
    <definedName name="AZ" localSheetId="8">#REF!</definedName>
    <definedName name="AZ" localSheetId="5" hidden="1">#REF!</definedName>
    <definedName name="AZ" localSheetId="9">#REF!</definedName>
    <definedName name="AZ" localSheetId="10" hidden="1">#REF!</definedName>
    <definedName name="AZ" localSheetId="1" hidden="1">#REF!</definedName>
    <definedName name="AZ" localSheetId="0">#REF!</definedName>
    <definedName name="AZ" localSheetId="11" hidden="1">#REF!</definedName>
    <definedName name="AZ" localSheetId="12" hidden="1">#REF!</definedName>
    <definedName name="AZ" hidden="1">#REF!</definedName>
    <definedName name="b" localSheetId="3" hidden="1">{#N/A,#N/A,FALSE,"Plan1";#N/A,#N/A,FALSE,"Plan2"}</definedName>
    <definedName name="b" localSheetId="8">{#N/A,#N/A,FALSE,"Plan1";#N/A,#N/A,FALSE,"Plan2"}</definedName>
    <definedName name="B" localSheetId="5">#REF!</definedName>
    <definedName name="b" localSheetId="4" hidden="1">{#N/A,#N/A,FALSE,"Plan1";#N/A,#N/A,FALSE,"Plan2"}</definedName>
    <definedName name="b" localSheetId="10" hidden="1">{#N/A,#N/A,FALSE,"Plan1";#N/A,#N/A,FALSE,"Plan2"}</definedName>
    <definedName name="b" localSheetId="1" hidden="1">{#N/A,#N/A,FALSE,"Plan1";#N/A,#N/A,FALSE,"Plan2"}</definedName>
    <definedName name="B" localSheetId="0">#REF!</definedName>
    <definedName name="b" localSheetId="11" hidden="1">{#N/A,#N/A,FALSE,"Plan1";#N/A,#N/A,FALSE,"Plan2"}</definedName>
    <definedName name="b" localSheetId="12" hidden="1">{#N/A,#N/A,FALSE,"Plan1";#N/A,#N/A,FALSE,"Plan2"}</definedName>
    <definedName name="B">#REF!</definedName>
    <definedName name="BA" localSheetId="8">#REF!</definedName>
    <definedName name="BA" localSheetId="5">#REF!</definedName>
    <definedName name="BA" localSheetId="9">#REF!</definedName>
    <definedName name="BA" localSheetId="10">#REF!</definedName>
    <definedName name="BA" localSheetId="0">#REF!</definedName>
    <definedName name="BA" localSheetId="11">#REF!</definedName>
    <definedName name="BA" localSheetId="12">#REF!</definedName>
    <definedName name="BA">#REF!</definedName>
    <definedName name="balão1">"AutoForma 17"</definedName>
    <definedName name="BANCO" localSheetId="8">#REF!</definedName>
    <definedName name="BANCO" localSheetId="5">#REF!</definedName>
    <definedName name="BANCO" localSheetId="9">#REF!</definedName>
    <definedName name="BANCO" localSheetId="10">#REF!</definedName>
    <definedName name="BANCO" localSheetId="0">#REF!</definedName>
    <definedName name="BANCO" localSheetId="11">#REF!</definedName>
    <definedName name="BANCO" localSheetId="12">#REF!</definedName>
    <definedName name="BANCO">#REF!</definedName>
    <definedName name="Banco_dados_IM" localSheetId="8">#REF!</definedName>
    <definedName name="Banco_dados_IM" localSheetId="5">#REF!</definedName>
    <definedName name="Banco_dados_IM" localSheetId="9">#REF!</definedName>
    <definedName name="Banco_dados_IM" localSheetId="10">#REF!</definedName>
    <definedName name="Banco_dados_IM" localSheetId="0">#REF!</definedName>
    <definedName name="Banco_dados_IM" localSheetId="11">#REF!</definedName>
    <definedName name="Banco_dados_IM" localSheetId="12">#REF!</definedName>
    <definedName name="Banco_dados_IM">#REF!</definedName>
    <definedName name="_xlnm.Database" localSheetId="5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>#REF!</definedName>
    <definedName name="BANCO1" localSheetId="8">#REF!</definedName>
    <definedName name="BANCO1" localSheetId="5">#REF!</definedName>
    <definedName name="BANCO1" localSheetId="9">#REF!</definedName>
    <definedName name="BANCO1" localSheetId="10">#REF!</definedName>
    <definedName name="BANCO1" localSheetId="0">#REF!</definedName>
    <definedName name="BANCO1" localSheetId="11">#REF!</definedName>
    <definedName name="BANCO1" localSheetId="12">#REF!</definedName>
    <definedName name="BANCO1">#REF!</definedName>
    <definedName name="BANCO2" localSheetId="8">#REF!</definedName>
    <definedName name="BANCO2" localSheetId="5">#REF!</definedName>
    <definedName name="BANCO2" localSheetId="10">#REF!</definedName>
    <definedName name="BANCO2" localSheetId="11">#REF!</definedName>
    <definedName name="BANCO2" localSheetId="12">#REF!</definedName>
    <definedName name="BANCO2">#REF!</definedName>
    <definedName name="BANCO3" localSheetId="8">#REF!</definedName>
    <definedName name="BANCO3" localSheetId="5">#REF!</definedName>
    <definedName name="BANCO3" localSheetId="10">#REF!</definedName>
    <definedName name="BANCO3" localSheetId="11">#REF!</definedName>
    <definedName name="BANCO3" localSheetId="12">#REF!</definedName>
    <definedName name="BANCO3">#REF!</definedName>
    <definedName name="BANCO4" localSheetId="8">#REF!</definedName>
    <definedName name="BANCO4" localSheetId="5">#REF!</definedName>
    <definedName name="BANCO4" localSheetId="10">#REF!</definedName>
    <definedName name="BANCO4" localSheetId="11">#REF!</definedName>
    <definedName name="BANCO4" localSheetId="12">#REF!</definedName>
    <definedName name="BANCO4">#REF!</definedName>
    <definedName name="BASE" localSheetId="8">OFFSET(#REF!,0,0,COUNTA(#REF!)+1,5)</definedName>
    <definedName name="BASE" localSheetId="5">OFFSET(#REF!,0,0,COUNTA(#REF!)+1,5)</definedName>
    <definedName name="BASE" localSheetId="9">OFFSET(#REF!,0,0,COUNTA(#REF!)+1,5)</definedName>
    <definedName name="BASE" localSheetId="10">OFFSET(#REF!,0,0,COUNTA(#REF!)+1,5)</definedName>
    <definedName name="BASE" localSheetId="0">OFFSET(#REF!,0,0,COUNTA(#REF!)+1,5)</definedName>
    <definedName name="BASE" localSheetId="11">OFFSET(#REF!,0,0,COUNTA(#REF!)+1,5)</definedName>
    <definedName name="BASE" localSheetId="12">OFFSET(#REF!,0,0,COUNTA(#REF!)+1,5)</definedName>
    <definedName name="BASE">OFFSET(#REF!,0,0,COUNTA(#REF!)+1,5)</definedName>
    <definedName name="BASE_DE_DADOS_FLUXO_DE_CAIXA" localSheetId="8">OFFSET(#REF!,0,0,COUNTA(#REF!),COUNTA(#REF!))</definedName>
    <definedName name="BASE_DE_DADOS_FLUXO_DE_CAIXA" localSheetId="5">OFFSET(#REF!,0,0,COUNTA(#REF!),COUNTA(#REF!))</definedName>
    <definedName name="BASE_DE_DADOS_FLUXO_DE_CAIXA" localSheetId="10">OFFSET(#REF!,0,0,COUNTA(#REF!),COUNTA(#REF!))</definedName>
    <definedName name="BASE_DE_DADOS_FLUXO_DE_CAIXA" localSheetId="11">OFFSET(#REF!,0,0,COUNTA(#REF!),COUNTA(#REF!))</definedName>
    <definedName name="BASE_DE_DADOS_FLUXO_DE_CAIXA" localSheetId="12">OFFSET(#REF!,0,0,COUNTA(#REF!),COUNTA(#REF!))</definedName>
    <definedName name="BASE_DE_DADOS_FLUXO_DE_CAIXA">OFFSET(#REF!,0,0,COUNTA(#REF!),COUNTA(#REF!))</definedName>
    <definedName name="BASE_FL_CX_3S" localSheetId="8">OFFSET(#REF!,0,0,COUNTA(#REF!),COUNTA(#REF!))</definedName>
    <definedName name="BASE_FL_CX_3S" localSheetId="5">OFFSET(#REF!,0,0,COUNTA(#REF!),COUNTA(#REF!))</definedName>
    <definedName name="BASE_FL_CX_3S" localSheetId="10">OFFSET(#REF!,0,0,COUNTA(#REF!),COUNTA(#REF!))</definedName>
    <definedName name="BASE_FL_CX_3S" localSheetId="11">OFFSET(#REF!,0,0,COUNTA(#REF!),COUNTA(#REF!))</definedName>
    <definedName name="BASE_FL_CX_3S" localSheetId="12">OFFSET(#REF!,0,0,COUNTA(#REF!),COUNTA(#REF!))</definedName>
    <definedName name="BASE_FL_CX_3S">OFFSET(#REF!,0,0,COUNTA(#REF!),COUNTA(#REF!))</definedName>
    <definedName name="BASE_FLUXO_CAIXA_2017" localSheetId="8">OFFSET(#REF!,0,0,COUNTA(#REF!),COUNTA(#REF!))</definedName>
    <definedName name="BASE_FLUXO_CAIXA_2017" localSheetId="5">OFFSET(#REF!,0,0,COUNTA(#REF!),COUNTA(#REF!))</definedName>
    <definedName name="BASE_FLUXO_CAIXA_2017" localSheetId="10">OFFSET(#REF!,0,0,COUNTA(#REF!),COUNTA(#REF!))</definedName>
    <definedName name="BASE_FLUXO_CAIXA_2017" localSheetId="11">OFFSET(#REF!,0,0,COUNTA(#REF!),COUNTA(#REF!))</definedName>
    <definedName name="BASE_FLUXO_CAIXA_2017" localSheetId="12">OFFSET(#REF!,0,0,COUNTA(#REF!),COUNTA(#REF!))</definedName>
    <definedName name="BASE_FLUXO_CAIXA_2017">OFFSET(#REF!,0,0,COUNTA(#REF!),COUNTA(#REF!))</definedName>
    <definedName name="bb" localSheetId="8">#REF!</definedName>
    <definedName name="bb" localSheetId="5">#REF!</definedName>
    <definedName name="bb" localSheetId="9">#REF!</definedName>
    <definedName name="bb" localSheetId="10">#REF!</definedName>
    <definedName name="bb" localSheetId="0">#REF!</definedName>
    <definedName name="bb" localSheetId="11">#REF!</definedName>
    <definedName name="bb" localSheetId="12">#REF!</definedName>
    <definedName name="bb">#REF!</definedName>
    <definedName name="bbb" localSheetId="8">#REF!</definedName>
    <definedName name="bbb" localSheetId="5">#REF!</definedName>
    <definedName name="bbb" localSheetId="9">#REF!</definedName>
    <definedName name="bbb" localSheetId="10">#REF!</definedName>
    <definedName name="bbb" localSheetId="0">#REF!</definedName>
    <definedName name="bbb" localSheetId="11">#REF!</definedName>
    <definedName name="bbb" localSheetId="12">#REF!</definedName>
    <definedName name="bbb">#REF!</definedName>
    <definedName name="bbbbbbbbbbbbbbb" localSheetId="3" hidden="1">{"'Edit'!$A$1:$V$2277"}</definedName>
    <definedName name="bbbbbbbbbbbbbbb" localSheetId="8">{"'Edit'!$A$1:$V$2277"}</definedName>
    <definedName name="bbbbbbbbbbbbbbb" localSheetId="5" hidden="1">{"'Edit'!$A$1:$V$2277"}</definedName>
    <definedName name="bbbbbbbbbbbbbbb" localSheetId="4" hidden="1">{"'Edit'!$A$1:$V$2277"}</definedName>
    <definedName name="bbbbbbbbbbbbbbb" localSheetId="9">{"'Edit'!$A$1:$V$2277"}</definedName>
    <definedName name="bbbbbbbbbbbbbbb" localSheetId="10" hidden="1">{"'Edit'!$A$1:$V$2277"}</definedName>
    <definedName name="bbbbbbbbbbbbbbb" localSheetId="1" hidden="1">{"'Edit'!$A$1:$V$2277"}</definedName>
    <definedName name="bbbbbbbbbbbbbbb" localSheetId="0">{"'Edit'!$A$1:$V$2277"}</definedName>
    <definedName name="bbbbbbbbbbbbbbb" localSheetId="11" hidden="1">{"'Edit'!$A$1:$V$2277"}</definedName>
    <definedName name="bbbbbbbbbbbbbbb" localSheetId="12" hidden="1">{"'Edit'!$A$1:$V$2277"}</definedName>
    <definedName name="bbbbbbbbbbbbbbb" hidden="1">{"'Edit'!$A$1:$V$2277"}</definedName>
    <definedName name="bchar10" localSheetId="8">#REF!</definedName>
    <definedName name="bchar10" hidden="1">#REF!</definedName>
    <definedName name="bchart1" localSheetId="8">#REF!</definedName>
    <definedName name="bchart1" hidden="1">#REF!</definedName>
    <definedName name="bchart11" localSheetId="8">#REF!</definedName>
    <definedName name="bchart11" hidden="1">#REF!</definedName>
    <definedName name="bchart12" localSheetId="8">#REF!</definedName>
    <definedName name="bchart12" hidden="1">#REF!</definedName>
    <definedName name="bchart13" localSheetId="8">#REF!</definedName>
    <definedName name="bchart13" hidden="1">#REF!</definedName>
    <definedName name="bchart14" localSheetId="8">#REF!</definedName>
    <definedName name="bchart14" hidden="1">#REF!</definedName>
    <definedName name="bchart15" localSheetId="8">#REF!</definedName>
    <definedName name="bchart15" hidden="1">#REF!</definedName>
    <definedName name="bchart16" localSheetId="8">#REF!</definedName>
    <definedName name="bchart16" hidden="1">#REF!</definedName>
    <definedName name="bchart17" localSheetId="8">#REF!</definedName>
    <definedName name="bchart17" hidden="1">#REF!</definedName>
    <definedName name="bchart18" localSheetId="8">#REF!</definedName>
    <definedName name="bchart18" hidden="1">#REF!</definedName>
    <definedName name="bchart19" localSheetId="8">#REF!</definedName>
    <definedName name="bchart19" hidden="1">#REF!</definedName>
    <definedName name="bchart2" localSheetId="8">#REF!</definedName>
    <definedName name="bchart2" hidden="1">#REF!</definedName>
    <definedName name="bchart20" localSheetId="8">#REF!</definedName>
    <definedName name="bchart20" hidden="1">#REF!</definedName>
    <definedName name="bchart21" localSheetId="8">#REF!</definedName>
    <definedName name="bchart21" hidden="1">#REF!</definedName>
    <definedName name="bchart22" localSheetId="8">#REF!</definedName>
    <definedName name="bchart22" hidden="1">#REF!</definedName>
    <definedName name="bchart23" localSheetId="8">#REF!</definedName>
    <definedName name="bchart23" hidden="1">#REF!</definedName>
    <definedName name="bchart24" localSheetId="8">#REF!</definedName>
    <definedName name="bchart24" hidden="1">#REF!</definedName>
    <definedName name="bchart25" localSheetId="8">#REF!</definedName>
    <definedName name="bchart25" hidden="1">#REF!</definedName>
    <definedName name="bchart26" localSheetId="8">#REF!</definedName>
    <definedName name="bchart26" hidden="1">#REF!</definedName>
    <definedName name="bchart27" localSheetId="8">#REF!</definedName>
    <definedName name="bchart27" hidden="1">#REF!</definedName>
    <definedName name="bchart28" localSheetId="8">#REF!</definedName>
    <definedName name="bchart28" hidden="1">#REF!</definedName>
    <definedName name="bchart29" localSheetId="8">#REF!</definedName>
    <definedName name="bchart29" hidden="1">#REF!</definedName>
    <definedName name="bchart3" localSheetId="8">#REF!</definedName>
    <definedName name="bchart3" hidden="1">#REF!</definedName>
    <definedName name="bchart30" localSheetId="8">#REF!</definedName>
    <definedName name="bchart30" hidden="1">#REF!</definedName>
    <definedName name="bchart31" localSheetId="8">#REF!</definedName>
    <definedName name="bchart31" hidden="1">#REF!</definedName>
    <definedName name="bchart32" localSheetId="8">#REF!</definedName>
    <definedName name="bchart32" hidden="1">#REF!</definedName>
    <definedName name="bchart4" localSheetId="8">#REF!</definedName>
    <definedName name="bchart4" hidden="1">#REF!</definedName>
    <definedName name="bchart5" localSheetId="8">#REF!</definedName>
    <definedName name="bchart5" hidden="1">#REF!</definedName>
    <definedName name="bchart6" localSheetId="8">#REF!</definedName>
    <definedName name="bchart6" hidden="1">#REF!</definedName>
    <definedName name="bchart7" localSheetId="8">#REF!</definedName>
    <definedName name="bchart7" hidden="1">#REF!</definedName>
    <definedName name="bchart8" localSheetId="8">#REF!</definedName>
    <definedName name="bchart8" hidden="1">#REF!</definedName>
    <definedName name="bchart9" localSheetId="8">#REF!</definedName>
    <definedName name="bchart9" hidden="1">#REF!</definedName>
    <definedName name="BD" localSheetId="8">#REF!</definedName>
    <definedName name="BD" localSheetId="5">#REF!</definedName>
    <definedName name="BD" localSheetId="10">#REF!</definedName>
    <definedName name="BD" localSheetId="11">#REF!</definedName>
    <definedName name="BD" localSheetId="12">#REF!</definedName>
    <definedName name="BD">#REF!</definedName>
    <definedName name="BDA" localSheetId="8">#REF!</definedName>
    <definedName name="BDA" localSheetId="5">#REF!</definedName>
    <definedName name="BDA" localSheetId="10">#REF!</definedName>
    <definedName name="BDA" localSheetId="1">#REF!</definedName>
    <definedName name="BDA" localSheetId="11">#REF!</definedName>
    <definedName name="BDA" localSheetId="12">#REF!</definedName>
    <definedName name="BDA">#REF!</definedName>
    <definedName name="bdfjghf" localSheetId="3" hidden="1">{#N/A,#N/A,FALSE,"Plan1";#N/A,#N/A,FALSE,"Plan2"}</definedName>
    <definedName name="bdfjghf" localSheetId="8">{#N/A,#N/A,FALSE,"Plan1";#N/A,#N/A,FALSE,"Plan2"}</definedName>
    <definedName name="bdfjghf" localSheetId="5" hidden="1">{#N/A,#N/A,FALSE,"Plan1";#N/A,#N/A,FALSE,"Plan2"}</definedName>
    <definedName name="bdfjghf" localSheetId="4" hidden="1">{#N/A,#N/A,FALSE,"Plan1";#N/A,#N/A,FALSE,"Plan2"}</definedName>
    <definedName name="bdfjghf" localSheetId="9">{#N/A,#N/A,FALSE,"Plan1";#N/A,#N/A,FALSE,"Plan2"}</definedName>
    <definedName name="bdfjghf" localSheetId="10" hidden="1">{#N/A,#N/A,FALSE,"Plan1";#N/A,#N/A,FALSE,"Plan2"}</definedName>
    <definedName name="bdfjghf" localSheetId="1" hidden="1">{#N/A,#N/A,FALSE,"Plan1";#N/A,#N/A,FALSE,"Plan2"}</definedName>
    <definedName name="bdfjghf" localSheetId="0">{#N/A,#N/A,FALSE,"Plan1";#N/A,#N/A,FALSE,"Plan2"}</definedName>
    <definedName name="bdfjghf" localSheetId="11" hidden="1">{#N/A,#N/A,FALSE,"Plan1";#N/A,#N/A,FALSE,"Plan2"}</definedName>
    <definedName name="bdfjghf" localSheetId="12" hidden="1">{#N/A,#N/A,FALSE,"Plan1";#N/A,#N/A,FALSE,"Plan2"}</definedName>
    <definedName name="bdfjghf" hidden="1">{#N/A,#N/A,FALSE,"Plan1";#N/A,#N/A,FALSE,"Plan2"}</definedName>
    <definedName name="BDI" localSheetId="8">#REF!</definedName>
    <definedName name="BDI" localSheetId="5">#REF!</definedName>
    <definedName name="BDI" localSheetId="9">#REF!</definedName>
    <definedName name="BDI" localSheetId="10">#REF!</definedName>
    <definedName name="BDI" localSheetId="1">#REF!</definedName>
    <definedName name="BDI" localSheetId="0">#REF!</definedName>
    <definedName name="BDI" localSheetId="11">#REF!</definedName>
    <definedName name="BDI" localSheetId="12">#REF!</definedName>
    <definedName name="BDI">#REF!</definedName>
    <definedName name="bdzbfbdr" localSheetId="3" hidden="1">{#N/A,#N/A,FALSE,"Plan1";#N/A,#N/A,FALSE,"Plan2"}</definedName>
    <definedName name="bdzbfbdr" localSheetId="8">{#N/A,#N/A,FALSE,"Plan1";#N/A,#N/A,FALSE,"Plan2"}</definedName>
    <definedName name="bdzbfbdr" localSheetId="5" hidden="1">{#N/A,#N/A,FALSE,"Plan1";#N/A,#N/A,FALSE,"Plan2"}</definedName>
    <definedName name="bdzbfbdr" localSheetId="4" hidden="1">{#N/A,#N/A,FALSE,"Plan1";#N/A,#N/A,FALSE,"Plan2"}</definedName>
    <definedName name="bdzbfbdr" localSheetId="9">{#N/A,#N/A,FALSE,"Plan1";#N/A,#N/A,FALSE,"Plan2"}</definedName>
    <definedName name="bdzbfbdr" localSheetId="10" hidden="1">{#N/A,#N/A,FALSE,"Plan1";#N/A,#N/A,FALSE,"Plan2"}</definedName>
    <definedName name="bdzbfbdr" localSheetId="1" hidden="1">{#N/A,#N/A,FALSE,"Plan1";#N/A,#N/A,FALSE,"Plan2"}</definedName>
    <definedName name="bdzbfbdr" localSheetId="0">{#N/A,#N/A,FALSE,"Plan1";#N/A,#N/A,FALSE,"Plan2"}</definedName>
    <definedName name="bdzbfbdr" localSheetId="11" hidden="1">{#N/A,#N/A,FALSE,"Plan1";#N/A,#N/A,FALSE,"Plan2"}</definedName>
    <definedName name="bdzbfbdr" localSheetId="12" hidden="1">{#N/A,#N/A,FALSE,"Plan1";#N/A,#N/A,FALSE,"Plan2"}</definedName>
    <definedName name="bdzbfbdr" hidden="1">{#N/A,#N/A,FALSE,"Plan1";#N/A,#N/A,FALSE,"Plan2"}</definedName>
    <definedName name="be" localSheetId="8">#REF!</definedName>
    <definedName name="be" localSheetId="5">#REF!</definedName>
    <definedName name="be" localSheetId="9">#REF!</definedName>
    <definedName name="be" localSheetId="10">#REF!</definedName>
    <definedName name="be" localSheetId="0">#REF!</definedName>
    <definedName name="be" localSheetId="11">#REF!</definedName>
    <definedName name="be" localSheetId="12">#REF!</definedName>
    <definedName name="be">#REF!</definedName>
    <definedName name="bebqt" localSheetId="8">#REF!</definedName>
    <definedName name="bebqt" localSheetId="5">#REF!</definedName>
    <definedName name="bebqt" localSheetId="9">#REF!</definedName>
    <definedName name="bebqt" localSheetId="10">#REF!</definedName>
    <definedName name="bebqt" localSheetId="0">#REF!</definedName>
    <definedName name="bebqt" localSheetId="11">#REF!</definedName>
    <definedName name="bebqt" localSheetId="12">#REF!</definedName>
    <definedName name="bebqt">#REF!</definedName>
    <definedName name="bela_cdi" localSheetId="8">#REF!</definedName>
    <definedName name="bela_cdi" localSheetId="5">#REF!</definedName>
    <definedName name="bela_cdi" localSheetId="9">#REF!</definedName>
    <definedName name="bela_cdi" localSheetId="10">#REF!</definedName>
    <definedName name="bela_cdi" localSheetId="0">#REF!</definedName>
    <definedName name="bela_cdi" localSheetId="11">#REF!</definedName>
    <definedName name="bela_cdi" localSheetId="12">#REF!</definedName>
    <definedName name="bela_cdi">#REF!</definedName>
    <definedName name="bela_hist" localSheetId="8">#REF!</definedName>
    <definedName name="bela_hist" localSheetId="5">#REF!</definedName>
    <definedName name="bela_hist" localSheetId="10">#REF!</definedName>
    <definedName name="bela_hist" localSheetId="11">#REF!</definedName>
    <definedName name="bela_hist" localSheetId="12">#REF!</definedName>
    <definedName name="bela_hist">#REF!</definedName>
    <definedName name="bela_uss" localSheetId="8">#REF!</definedName>
    <definedName name="bela_uss" localSheetId="5">#REF!</definedName>
    <definedName name="bela_uss" localSheetId="10">#REF!</definedName>
    <definedName name="bela_uss" localSheetId="11">#REF!</definedName>
    <definedName name="bela_uss" localSheetId="12">#REF!</definedName>
    <definedName name="bela_uss">#REF!</definedName>
    <definedName name="bg" localSheetId="8">#REF!</definedName>
    <definedName name="bg" localSheetId="1" hidden="1">#REF!</definedName>
    <definedName name="bg" hidden="1">#REF!</definedName>
    <definedName name="BGG" localSheetId="3" hidden="1">{#N/A,#N/A,FALSE,"Plan1";#N/A,#N/A,FALSE,"Plan2"}</definedName>
    <definedName name="BGG" localSheetId="8">{#N/A,#N/A,FALSE,"Plan1";#N/A,#N/A,FALSE,"Plan2"}</definedName>
    <definedName name="BGG" localSheetId="5" hidden="1">{#N/A,#N/A,FALSE,"Plan1";#N/A,#N/A,FALSE,"Plan2"}</definedName>
    <definedName name="BGG" localSheetId="4" hidden="1">{#N/A,#N/A,FALSE,"Plan1";#N/A,#N/A,FALSE,"Plan2"}</definedName>
    <definedName name="BGG" localSheetId="9">{#N/A,#N/A,FALSE,"Plan1";#N/A,#N/A,FALSE,"Plan2"}</definedName>
    <definedName name="BGG" localSheetId="10" hidden="1">{#N/A,#N/A,FALSE,"Plan1";#N/A,#N/A,FALSE,"Plan2"}</definedName>
    <definedName name="BGG" localSheetId="1" hidden="1">{#N/A,#N/A,FALSE,"Plan1";#N/A,#N/A,FALSE,"Plan2"}</definedName>
    <definedName name="BGG" localSheetId="0">{#N/A,#N/A,FALSE,"Plan1";#N/A,#N/A,FALSE,"Plan2"}</definedName>
    <definedName name="BGG" localSheetId="11" hidden="1">{#N/A,#N/A,FALSE,"Plan1";#N/A,#N/A,FALSE,"Plan2"}</definedName>
    <definedName name="BGG" localSheetId="12" hidden="1">{#N/A,#N/A,FALSE,"Plan1";#N/A,#N/A,FALSE,"Plan2"}</definedName>
    <definedName name="BGG" hidden="1">{#N/A,#N/A,FALSE,"Plan1";#N/A,#N/A,FALSE,"Plan2"}</definedName>
    <definedName name="bhjgfhfh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hjgfhfh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G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BJSDKHFE" localSheetId="3" hidden="1">{#N/A,#N/A,FALSE,"Plan1";#N/A,#N/A,FALSE,"Plan2"}</definedName>
    <definedName name="BJSDKHFE" localSheetId="8">{#N/A,#N/A,FALSE,"Plan1";#N/A,#N/A,FALSE,"Plan2"}</definedName>
    <definedName name="BJSDKHFE" localSheetId="5" hidden="1">{#N/A,#N/A,FALSE,"Plan1";#N/A,#N/A,FALSE,"Plan2"}</definedName>
    <definedName name="BJSDKHFE" localSheetId="4" hidden="1">{#N/A,#N/A,FALSE,"Plan1";#N/A,#N/A,FALSE,"Plan2"}</definedName>
    <definedName name="BJSDKHFE" localSheetId="9">{#N/A,#N/A,FALSE,"Plan1";#N/A,#N/A,FALSE,"Plan2"}</definedName>
    <definedName name="BJSDKHFE" localSheetId="10" hidden="1">{#N/A,#N/A,FALSE,"Plan1";#N/A,#N/A,FALSE,"Plan2"}</definedName>
    <definedName name="BJSDKHFE" localSheetId="1" hidden="1">{#N/A,#N/A,FALSE,"Plan1";#N/A,#N/A,FALSE,"Plan2"}</definedName>
    <definedName name="BJSDKHFE" localSheetId="0">{#N/A,#N/A,FALSE,"Plan1";#N/A,#N/A,FALSE,"Plan2"}</definedName>
    <definedName name="BJSDKHFE" localSheetId="11" hidden="1">{#N/A,#N/A,FALSE,"Plan1";#N/A,#N/A,FALSE,"Plan2"}</definedName>
    <definedName name="BJSDKHFE" localSheetId="12" hidden="1">{#N/A,#N/A,FALSE,"Plan1";#N/A,#N/A,FALSE,"Plan2"}</definedName>
    <definedName name="BJSDKHFE" hidden="1">{#N/A,#N/A,FALSE,"Plan1";#N/A,#N/A,FALSE,"Plan2"}</definedName>
    <definedName name="bloco" localSheetId="8">#REF!</definedName>
    <definedName name="bloco" localSheetId="5">#REF!</definedName>
    <definedName name="bloco" localSheetId="9">#REF!</definedName>
    <definedName name="bloco" localSheetId="10">#REF!</definedName>
    <definedName name="bloco" localSheetId="0">#REF!</definedName>
    <definedName name="bloco" localSheetId="11">#REF!</definedName>
    <definedName name="bloco" localSheetId="12">#REF!</definedName>
    <definedName name="bloco">#REF!</definedName>
    <definedName name="BLPH1" localSheetId="8">#REF!</definedName>
    <definedName name="BLPH1" localSheetId="5" hidden="1">#REF!</definedName>
    <definedName name="BLPH1" localSheetId="9">#REF!</definedName>
    <definedName name="BLPH1" localSheetId="10" hidden="1">#REF!</definedName>
    <definedName name="BLPH1" localSheetId="1" hidden="1">#REF!</definedName>
    <definedName name="BLPH1" localSheetId="0">#REF!</definedName>
    <definedName name="BLPH1" localSheetId="11" hidden="1">#REF!</definedName>
    <definedName name="BLPH1" localSheetId="12" hidden="1">#REF!</definedName>
    <definedName name="BLPH1" hidden="1">#REF!</definedName>
    <definedName name="BLPH100" localSheetId="8">#REF!</definedName>
    <definedName name="BLPH100" localSheetId="5" hidden="1">#REF!</definedName>
    <definedName name="BLPH100" localSheetId="9">#REF!</definedName>
    <definedName name="BLPH100" localSheetId="10" hidden="1">#REF!</definedName>
    <definedName name="BLPH100" localSheetId="1" hidden="1">#REF!</definedName>
    <definedName name="BLPH100" localSheetId="0">#REF!</definedName>
    <definedName name="BLPH100" localSheetId="11" hidden="1">#REF!</definedName>
    <definedName name="BLPH100" localSheetId="12" hidden="1">#REF!</definedName>
    <definedName name="BLPH100" hidden="1">#REF!</definedName>
    <definedName name="BLPH101" localSheetId="8">#REF!</definedName>
    <definedName name="BLPH101" localSheetId="5" hidden="1">#REF!</definedName>
    <definedName name="BLPH101" localSheetId="10" hidden="1">#REF!</definedName>
    <definedName name="BLPH101" localSheetId="1" hidden="1">#REF!</definedName>
    <definedName name="BLPH101" localSheetId="11" hidden="1">#REF!</definedName>
    <definedName name="BLPH101" localSheetId="12" hidden="1">#REF!</definedName>
    <definedName name="BLPH101" hidden="1">#REF!</definedName>
    <definedName name="BLPH102" localSheetId="8">#REF!</definedName>
    <definedName name="BLPH102" localSheetId="5" hidden="1">#REF!</definedName>
    <definedName name="BLPH102" localSheetId="10" hidden="1">#REF!</definedName>
    <definedName name="BLPH102" localSheetId="1" hidden="1">#REF!</definedName>
    <definedName name="BLPH102" localSheetId="11" hidden="1">#REF!</definedName>
    <definedName name="BLPH102" localSheetId="12" hidden="1">#REF!</definedName>
    <definedName name="BLPH102" hidden="1">#REF!</definedName>
    <definedName name="BLPH103" localSheetId="8">#REF!</definedName>
    <definedName name="BLPH103" localSheetId="5" hidden="1">#REF!</definedName>
    <definedName name="BLPH103" localSheetId="10" hidden="1">#REF!</definedName>
    <definedName name="BLPH103" localSheetId="1" hidden="1">#REF!</definedName>
    <definedName name="BLPH103" localSheetId="11" hidden="1">#REF!</definedName>
    <definedName name="BLPH103" localSheetId="12" hidden="1">#REF!</definedName>
    <definedName name="BLPH103" hidden="1">#REF!</definedName>
    <definedName name="BLPH104" localSheetId="8">#REF!</definedName>
    <definedName name="BLPH104" localSheetId="5" hidden="1">#REF!</definedName>
    <definedName name="BLPH104" localSheetId="10" hidden="1">#REF!</definedName>
    <definedName name="BLPH104" localSheetId="1" hidden="1">#REF!</definedName>
    <definedName name="BLPH104" localSheetId="11" hidden="1">#REF!</definedName>
    <definedName name="BLPH104" localSheetId="12" hidden="1">#REF!</definedName>
    <definedName name="BLPH104" hidden="1">#REF!</definedName>
    <definedName name="BLPH107" localSheetId="8">#REF!</definedName>
    <definedName name="BLPH107" hidden="1">#REF!</definedName>
    <definedName name="BLPH2" localSheetId="8">#REF!</definedName>
    <definedName name="BLPH2" hidden="1">#REF!</definedName>
    <definedName name="BLPH3" localSheetId="8">#REF!</definedName>
    <definedName name="BLPH3" hidden="1">#REF!</definedName>
    <definedName name="BLPH4" localSheetId="8">#REF!</definedName>
    <definedName name="BLPH4" hidden="1">#REF!</definedName>
    <definedName name="BLPH5" localSheetId="8">#REF!</definedName>
    <definedName name="BLPH5" hidden="1">#REF!</definedName>
    <definedName name="BLPH6" localSheetId="8">#REF!</definedName>
    <definedName name="BLPH6" hidden="1">#REF!</definedName>
    <definedName name="BLPH7" localSheetId="8">#REF!</definedName>
    <definedName name="BLPH7" hidden="1">#REF!</definedName>
    <definedName name="BLPH8" localSheetId="8">#REF!</definedName>
    <definedName name="BLPH8" hidden="1">#REF!</definedName>
    <definedName name="BLPH96" localSheetId="8">#REF!</definedName>
    <definedName name="BLPH96" localSheetId="5" hidden="1">#REF!</definedName>
    <definedName name="BLPH96" localSheetId="10" hidden="1">#REF!</definedName>
    <definedName name="BLPH96" localSheetId="1" hidden="1">#REF!</definedName>
    <definedName name="BLPH96" localSheetId="11" hidden="1">#REF!</definedName>
    <definedName name="BLPH96" localSheetId="12" hidden="1">#REF!</definedName>
    <definedName name="BLPH96" hidden="1">#REF!</definedName>
    <definedName name="BLPH97" localSheetId="8">#REF!</definedName>
    <definedName name="BLPH97" localSheetId="5" hidden="1">#REF!</definedName>
    <definedName name="BLPH97" localSheetId="10" hidden="1">#REF!</definedName>
    <definedName name="BLPH97" localSheetId="1" hidden="1">#REF!</definedName>
    <definedName name="BLPH97" localSheetId="11" hidden="1">#REF!</definedName>
    <definedName name="BLPH97" localSheetId="12" hidden="1">#REF!</definedName>
    <definedName name="BLPH97" hidden="1">#REF!</definedName>
    <definedName name="BLPH98" localSheetId="8">#REF!</definedName>
    <definedName name="BLPH98" localSheetId="5" hidden="1">#REF!</definedName>
    <definedName name="BLPH98" localSheetId="10" hidden="1">#REF!</definedName>
    <definedName name="BLPH98" localSheetId="1" hidden="1">#REF!</definedName>
    <definedName name="BLPH98" localSheetId="11" hidden="1">#REF!</definedName>
    <definedName name="BLPH98" localSheetId="12" hidden="1">#REF!</definedName>
    <definedName name="BLPH98" hidden="1">#REF!</definedName>
    <definedName name="BLPH99" localSheetId="8">#REF!</definedName>
    <definedName name="BLPH99" localSheetId="5" hidden="1">#REF!</definedName>
    <definedName name="BLPH99" localSheetId="10" hidden="1">#REF!</definedName>
    <definedName name="BLPH99" localSheetId="1" hidden="1">#REF!</definedName>
    <definedName name="BLPH99" localSheetId="11" hidden="1">#REF!</definedName>
    <definedName name="BLPH99" localSheetId="12" hidden="1">#REF!</definedName>
    <definedName name="BLPH99" hidden="1">#REF!</definedName>
    <definedName name="bmdgghrtfde" localSheetId="3" hidden="1">{#N/A,#N/A,FALSE,"Plan1";#N/A,#N/A,FALSE,"Plan2"}</definedName>
    <definedName name="bmdgghrtfde" localSheetId="8">{#N/A,#N/A,FALSE,"Plan1";#N/A,#N/A,FALSE,"Plan2"}</definedName>
    <definedName name="bmdgghrtfde" localSheetId="5" hidden="1">{#N/A,#N/A,FALSE,"Plan1";#N/A,#N/A,FALSE,"Plan2"}</definedName>
    <definedName name="bmdgghrtfde" localSheetId="4" hidden="1">{#N/A,#N/A,FALSE,"Plan1";#N/A,#N/A,FALSE,"Plan2"}</definedName>
    <definedName name="bmdgghrtfde" localSheetId="9">{#N/A,#N/A,FALSE,"Plan1";#N/A,#N/A,FALSE,"Plan2"}</definedName>
    <definedName name="bmdgghrtfde" localSheetId="10" hidden="1">{#N/A,#N/A,FALSE,"Plan1";#N/A,#N/A,FALSE,"Plan2"}</definedName>
    <definedName name="bmdgghrtfde" localSheetId="1" hidden="1">{#N/A,#N/A,FALSE,"Plan1";#N/A,#N/A,FALSE,"Plan2"}</definedName>
    <definedName name="bmdgghrtfde" localSheetId="0">{#N/A,#N/A,FALSE,"Plan1";#N/A,#N/A,FALSE,"Plan2"}</definedName>
    <definedName name="bmdgghrtfde" localSheetId="11" hidden="1">{#N/A,#N/A,FALSE,"Plan1";#N/A,#N/A,FALSE,"Plan2"}</definedName>
    <definedName name="bmdgghrtfde" localSheetId="12" hidden="1">{#N/A,#N/A,FALSE,"Plan1";#N/A,#N/A,FALSE,"Plan2"}</definedName>
    <definedName name="bmdgghrtfde" hidden="1">{#N/A,#N/A,FALSE,"Plan1";#N/A,#N/A,FALSE,"Plan2"}</definedName>
    <definedName name="bnkjhjhdfxgt" localSheetId="3" hidden="1">{#N/A,#N/A,FALSE,"Plan1";#N/A,#N/A,FALSE,"Plan2"}</definedName>
    <definedName name="bnkjhjhdfxgt" localSheetId="8">{#N/A,#N/A,FALSE,"Plan1";#N/A,#N/A,FALSE,"Plan2"}</definedName>
    <definedName name="bnkjhjhdfxgt" localSheetId="5" hidden="1">{#N/A,#N/A,FALSE,"Plan1";#N/A,#N/A,FALSE,"Plan2"}</definedName>
    <definedName name="bnkjhjhdfxgt" localSheetId="4" hidden="1">{#N/A,#N/A,FALSE,"Plan1";#N/A,#N/A,FALSE,"Plan2"}</definedName>
    <definedName name="bnkjhjhdfxgt" localSheetId="9">{#N/A,#N/A,FALSE,"Plan1";#N/A,#N/A,FALSE,"Plan2"}</definedName>
    <definedName name="bnkjhjhdfxgt" localSheetId="10" hidden="1">{#N/A,#N/A,FALSE,"Plan1";#N/A,#N/A,FALSE,"Plan2"}</definedName>
    <definedName name="bnkjhjhdfxgt" localSheetId="1" hidden="1">{#N/A,#N/A,FALSE,"Plan1";#N/A,#N/A,FALSE,"Plan2"}</definedName>
    <definedName name="bnkjhjhdfxgt" localSheetId="0">{#N/A,#N/A,FALSE,"Plan1";#N/A,#N/A,FALSE,"Plan2"}</definedName>
    <definedName name="bnkjhjhdfxgt" localSheetId="11" hidden="1">{#N/A,#N/A,FALSE,"Plan1";#N/A,#N/A,FALSE,"Plan2"}</definedName>
    <definedName name="bnkjhjhdfxgt" localSheetId="12" hidden="1">{#N/A,#N/A,FALSE,"Plan1";#N/A,#N/A,FALSE,"Plan2"}</definedName>
    <definedName name="bnkjhjhdfxgt" hidden="1">{#N/A,#N/A,FALSE,"Plan1";#N/A,#N/A,FALSE,"Plan2"}</definedName>
    <definedName name="BORBA2" localSheetId="8">#REF!</definedName>
    <definedName name="BORBA2" localSheetId="5">#REF!</definedName>
    <definedName name="BORBA2" localSheetId="9">#REF!</definedName>
    <definedName name="BORBA2" localSheetId="10">#REF!</definedName>
    <definedName name="BORBA2" localSheetId="0">#REF!</definedName>
    <definedName name="BORBA2" localSheetId="11">#REF!</definedName>
    <definedName name="BORBA2" localSheetId="12">#REF!</definedName>
    <definedName name="BORBA2">#REF!</definedName>
    <definedName name="BORDA1" localSheetId="8">#REF!</definedName>
    <definedName name="BORDA1" localSheetId="9">#REF!</definedName>
    <definedName name="BORDA1" localSheetId="0">#REF!</definedName>
    <definedName name="BORDA1">#N/A</definedName>
    <definedName name="BuiltIn_Print_Area" localSheetId="8">#REF!</definedName>
    <definedName name="BuiltIn_Print_Area" localSheetId="5">#REF!</definedName>
    <definedName name="BuiltIn_Print_Area" localSheetId="9">#REF!</definedName>
    <definedName name="BuiltIn_Print_Area" localSheetId="10">#REF!</definedName>
    <definedName name="BuiltIn_Print_Area" localSheetId="0">#REF!</definedName>
    <definedName name="BuiltIn_Print_Area" localSheetId="11">#REF!</definedName>
    <definedName name="BuiltIn_Print_Area" localSheetId="12">#REF!</definedName>
    <definedName name="BuiltIn_Print_Area">#REF!</definedName>
    <definedName name="BuiltIn_Print_Area___0" localSheetId="8">#REF!</definedName>
    <definedName name="BuiltIn_Print_Area___0" localSheetId="5">#REF!</definedName>
    <definedName name="BuiltIn_Print_Area___0" localSheetId="10">#REF!</definedName>
    <definedName name="BuiltIn_Print_Area___0" localSheetId="11">#REF!</definedName>
    <definedName name="BuiltIn_Print_Area___0" localSheetId="12">#REF!</definedName>
    <definedName name="BuiltIn_Print_Area___0">#REF!</definedName>
    <definedName name="BuiltIn_Print_Titles" localSheetId="8">#REF!</definedName>
    <definedName name="BuiltIn_Print_Titles" localSheetId="5">#REF!</definedName>
    <definedName name="BuiltIn_Print_Titles" localSheetId="10">#REF!</definedName>
    <definedName name="BuiltIn_Print_Titles" localSheetId="11">#REF!</definedName>
    <definedName name="BuiltIn_Print_Titles" localSheetId="12">#REF!</definedName>
    <definedName name="BuiltIn_Print_Titles">#REF!</definedName>
    <definedName name="BuiltIn_Print_Titles___0" localSheetId="8">#REF!</definedName>
    <definedName name="BuiltIn_Print_Titles___0" localSheetId="5">#REF!</definedName>
    <definedName name="BuiltIn_Print_Titles___0" localSheetId="10">#REF!</definedName>
    <definedName name="BuiltIn_Print_Titles___0" localSheetId="11">#REF!</definedName>
    <definedName name="BuiltIn_Print_Titles___0" localSheetId="12">#REF!</definedName>
    <definedName name="BuiltIn_Print_Titles___0">#REF!</definedName>
    <definedName name="BV" localSheetId="8">#REF!</definedName>
    <definedName name="BV" localSheetId="1" hidden="1">#REF!</definedName>
    <definedName name="BV" hidden="1">#REF!</definedName>
    <definedName name="bxnzfmkzxbhdf" localSheetId="3" hidden="1">{#N/A,#N/A,FALSE,"Plan1";#N/A,#N/A,FALSE,"Plan2"}</definedName>
    <definedName name="bxnzfmkzxbhdf" localSheetId="8">{#N/A,#N/A,FALSE,"Plan1";#N/A,#N/A,FALSE,"Plan2"}</definedName>
    <definedName name="bxnzfmkzxbhdf" localSheetId="5" hidden="1">{#N/A,#N/A,FALSE,"Plan1";#N/A,#N/A,FALSE,"Plan2"}</definedName>
    <definedName name="bxnzfmkzxbhdf" localSheetId="4" hidden="1">{#N/A,#N/A,FALSE,"Plan1";#N/A,#N/A,FALSE,"Plan2"}</definedName>
    <definedName name="bxnzfmkzxbhdf" localSheetId="9">{#N/A,#N/A,FALSE,"Plan1";#N/A,#N/A,FALSE,"Plan2"}</definedName>
    <definedName name="bxnzfmkzxbhdf" localSheetId="10" hidden="1">{#N/A,#N/A,FALSE,"Plan1";#N/A,#N/A,FALSE,"Plan2"}</definedName>
    <definedName name="bxnzfmkzxbhdf" localSheetId="1" hidden="1">{#N/A,#N/A,FALSE,"Plan1";#N/A,#N/A,FALSE,"Plan2"}</definedName>
    <definedName name="bxnzfmkzxbhdf" localSheetId="0">{#N/A,#N/A,FALSE,"Plan1";#N/A,#N/A,FALSE,"Plan2"}</definedName>
    <definedName name="bxnzfmkzxbhdf" localSheetId="11" hidden="1">{#N/A,#N/A,FALSE,"Plan1";#N/A,#N/A,FALSE,"Plan2"}</definedName>
    <definedName name="bxnzfmkzxbhdf" localSheetId="12" hidden="1">{#N/A,#N/A,FALSE,"Plan1";#N/A,#N/A,FALSE,"Plan2"}</definedName>
    <definedName name="bxnzfmkzxbhdf" hidden="1">{#N/A,#N/A,FALSE,"Plan1";#N/A,#N/A,FALSE,"Plan2"}</definedName>
    <definedName name="ca" localSheetId="8">#REF!</definedName>
    <definedName name="ca" localSheetId="5">#REF!</definedName>
    <definedName name="ca" localSheetId="9">#REF!</definedName>
    <definedName name="ca" localSheetId="10">#REF!</definedName>
    <definedName name="ca" localSheetId="1">#REF!</definedName>
    <definedName name="ca" localSheetId="0">#REF!</definedName>
    <definedName name="ca" localSheetId="11">#REF!</definedName>
    <definedName name="ca" localSheetId="12">#REF!</definedName>
    <definedName name="ca">#REF!</definedName>
    <definedName name="CAB" localSheetId="8">#REF!</definedName>
    <definedName name="CAB" localSheetId="9">#REF!</definedName>
    <definedName name="CAB" localSheetId="0">#REF!</definedName>
    <definedName name="CAB">#N/A</definedName>
    <definedName name="CAFS">"Carlos Antonio Fernandes da Silva"</definedName>
    <definedName name="CAGR" localSheetId="8">#REF!</definedName>
    <definedName name="CAGR" localSheetId="5">#REF!</definedName>
    <definedName name="CAGR" localSheetId="9">#REF!</definedName>
    <definedName name="CAGR" localSheetId="10">#REF!</definedName>
    <definedName name="CAGR" localSheetId="0">#REF!</definedName>
    <definedName name="CAGR" localSheetId="11">#REF!</definedName>
    <definedName name="CAGR" localSheetId="12">#REF!</definedName>
    <definedName name="CAGR">#REF!</definedName>
    <definedName name="caixa" localSheetId="8">#REF!</definedName>
    <definedName name="caixa" localSheetId="5">#REF!</definedName>
    <definedName name="caixa" localSheetId="9">#REF!</definedName>
    <definedName name="caixa" localSheetId="10">#REF!</definedName>
    <definedName name="caixa" localSheetId="0">#REF!</definedName>
    <definedName name="caixa" localSheetId="11">#REF!</definedName>
    <definedName name="caixa" localSheetId="12">#REF!</definedName>
    <definedName name="caixa">#REF!</definedName>
    <definedName name="caix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mbio" localSheetId="8">#REF!</definedName>
    <definedName name="Cambio" localSheetId="5">#REF!</definedName>
    <definedName name="Cambio" localSheetId="9">#REF!</definedName>
    <definedName name="Cambio" localSheetId="10">#REF!</definedName>
    <definedName name="Cambio" localSheetId="0">#REF!</definedName>
    <definedName name="Cambio" localSheetId="11">#REF!</definedName>
    <definedName name="Cambio" localSheetId="12">#REF!</definedName>
    <definedName name="Cambio">#REF!</definedName>
    <definedName name="CAMP" localSheetId="8">#REF!</definedName>
    <definedName name="CAMP" localSheetId="5">#REF!</definedName>
    <definedName name="CAMP" localSheetId="9">#REF!</definedName>
    <definedName name="CAMP" localSheetId="10">#REF!</definedName>
    <definedName name="CAMP" localSheetId="0">#REF!</definedName>
    <definedName name="CAMP" localSheetId="11">#REF!</definedName>
    <definedName name="CAMP" localSheetId="12">#REF!</definedName>
    <definedName name="CAMP">#REF!</definedName>
    <definedName name="CAMPOS" localSheetId="8">#REF!</definedName>
    <definedName name="CAMPOS" localSheetId="5">#REF!</definedName>
    <definedName name="CAMPOS" localSheetId="9">#REF!</definedName>
    <definedName name="CAMPOS" localSheetId="10">#REF!</definedName>
    <definedName name="CAMPOS" localSheetId="0">#REF!</definedName>
    <definedName name="CAMPOS" localSheetId="11">#REF!</definedName>
    <definedName name="CAMPOS" localSheetId="12">#REF!</definedName>
    <definedName name="CAMPOS">#REF!</definedName>
    <definedName name="çaos\ewapo" localSheetId="3" hidden="1">{#N/A,#N/A,FALSE,"Plan1";#N/A,#N/A,FALSE,"Plan2"}</definedName>
    <definedName name="çaos\ewapo" localSheetId="5" hidden="1">{#N/A,#N/A,FALSE,"Plan1";#N/A,#N/A,FALSE,"Plan2"}</definedName>
    <definedName name="çaos\ewapo" localSheetId="4" hidden="1">{#N/A,#N/A,FALSE,"Plan1";#N/A,#N/A,FALSE,"Plan2"}</definedName>
    <definedName name="çaos\ewapo" localSheetId="10" hidden="1">{#N/A,#N/A,FALSE,"Plan1";#N/A,#N/A,FALSE,"Plan2"}</definedName>
    <definedName name="çaos\ewapo" localSheetId="1" hidden="1">{#N/A,#N/A,FALSE,"Plan1";#N/A,#N/A,FALSE,"Plan2"}</definedName>
    <definedName name="çaos\ewapo" localSheetId="0" hidden="1">{#N/A,#N/A,FALSE,"Plan1";#N/A,#N/A,FALSE,"Plan2"}</definedName>
    <definedName name="çaos\ewapo" localSheetId="11" hidden="1">{#N/A,#N/A,FALSE,"Plan1";#N/A,#N/A,FALSE,"Plan2"}</definedName>
    <definedName name="çaos\ewapo" localSheetId="12" hidden="1">{#N/A,#N/A,FALSE,"Plan1";#N/A,#N/A,FALSE,"Plan2"}</definedName>
    <definedName name="çaos\ewapo" hidden="1">{#N/A,#N/A,FALSE,"Plan1";#N/A,#N/A,FALSE,"Plan2"}</definedName>
    <definedName name="Capa" localSheetId="8">#REF!</definedName>
    <definedName name="Capa" localSheetId="5">#REF!</definedName>
    <definedName name="Capa" localSheetId="10">#REF!</definedName>
    <definedName name="Capa" localSheetId="1">#REF!</definedName>
    <definedName name="Capa" localSheetId="11">#REF!</definedName>
    <definedName name="Capa" localSheetId="12">#REF!</definedName>
    <definedName name="Capa">#REF!</definedName>
    <definedName name="CAPA2" localSheetId="8">#REF!</definedName>
    <definedName name="CAPA2" localSheetId="5">#REF!</definedName>
    <definedName name="CAPA2" localSheetId="10">#REF!</definedName>
    <definedName name="CAPA2" localSheetId="11">#REF!</definedName>
    <definedName name="CAPA2" localSheetId="12">#REF!</definedName>
    <definedName name="CAPA2">#REF!</definedName>
    <definedName name="CAPA55" localSheetId="8">#REF!</definedName>
    <definedName name="CAPA55" localSheetId="5">#REF!</definedName>
    <definedName name="CAPA55" localSheetId="10">#REF!</definedName>
    <definedName name="CAPA55" localSheetId="11">#REF!</definedName>
    <definedName name="CAPA55" localSheetId="12">#REF!</definedName>
    <definedName name="CAPA55">#REF!</definedName>
    <definedName name="CAPA55A" localSheetId="8">#REF!</definedName>
    <definedName name="CAPA55A" localSheetId="5">#REF!</definedName>
    <definedName name="CAPA55A" localSheetId="10">#REF!</definedName>
    <definedName name="CAPA55A" localSheetId="11">#REF!</definedName>
    <definedName name="CAPA55A" localSheetId="12">#REF!</definedName>
    <definedName name="CAPA55A">#REF!</definedName>
    <definedName name="CAPELA" localSheetId="8">#REF!</definedName>
    <definedName name="CAPELA" localSheetId="5">#REF!</definedName>
    <definedName name="CAPELA" localSheetId="10">#REF!</definedName>
    <definedName name="CAPELA" localSheetId="11">#REF!</definedName>
    <definedName name="CAPELA" localSheetId="12">#REF!</definedName>
    <definedName name="CAPELA">#REF!</definedName>
    <definedName name="CARLA" localSheetId="8">#REF!</definedName>
    <definedName name="CARLA" hidden="1">#REF!</definedName>
    <definedName name="CARLOS1" localSheetId="8">#REF!</definedName>
    <definedName name="CARLOS1" localSheetId="5">#REF!</definedName>
    <definedName name="CARLOS1" localSheetId="10">#REF!</definedName>
    <definedName name="CARLOS1" localSheetId="11">#REF!</definedName>
    <definedName name="CARLOS1" localSheetId="12">#REF!</definedName>
    <definedName name="CARLOS1">#REF!</definedName>
    <definedName name="CARTÃO4" localSheetId="8">#REF!</definedName>
    <definedName name="CARTÃO4" localSheetId="5">#REF!</definedName>
    <definedName name="CARTÃO4" localSheetId="10">#REF!</definedName>
    <definedName name="CARTÃO4" localSheetId="11">#REF!</definedName>
    <definedName name="CARTÃO4" localSheetId="12">#REF!</definedName>
    <definedName name="CARTÃO4">#REF!</definedName>
    <definedName name="CAT6_IP" localSheetId="3" hidden="1">{#N/A,#N/A,FALSE,"F-01"}</definedName>
    <definedName name="CAT6_IP" localSheetId="8">{#N/A,#N/A,FALSE,"F-01"}</definedName>
    <definedName name="CAT6_IP" localSheetId="5" hidden="1">{#N/A,#N/A,FALSE,"F-01"}</definedName>
    <definedName name="CAT6_IP" localSheetId="4" hidden="1">{#N/A,#N/A,FALSE,"F-01"}</definedName>
    <definedName name="CAT6_IP" localSheetId="9">{#N/A,#N/A,FALSE,"F-01"}</definedName>
    <definedName name="CAT6_IP" localSheetId="10" hidden="1">{#N/A,#N/A,FALSE,"F-01"}</definedName>
    <definedName name="CAT6_IP" localSheetId="1" hidden="1">{#N/A,#N/A,FALSE,"F-01"}</definedName>
    <definedName name="CAT6_IP" localSheetId="0">{#N/A,#N/A,FALSE,"F-01"}</definedName>
    <definedName name="CAT6_IP" localSheetId="11" hidden="1">{#N/A,#N/A,FALSE,"F-01"}</definedName>
    <definedName name="CAT6_IP" localSheetId="12" hidden="1">{#N/A,#N/A,FALSE,"F-01"}</definedName>
    <definedName name="CAT6_IP" hidden="1">{#N/A,#N/A,FALSE,"F-01"}</definedName>
    <definedName name="categori45" localSheetId="8">#REF!</definedName>
    <definedName name="categori45" localSheetId="5">#REF!</definedName>
    <definedName name="categori45" localSheetId="9">#REF!</definedName>
    <definedName name="categori45" localSheetId="10">#REF!</definedName>
    <definedName name="categori45" localSheetId="0">#REF!</definedName>
    <definedName name="categori45" localSheetId="11">#REF!</definedName>
    <definedName name="categori45" localSheetId="12">#REF!</definedName>
    <definedName name="categori45">#REF!</definedName>
    <definedName name="CATEGORIA1" localSheetId="8">#REF!</definedName>
    <definedName name="CATEGORIA1" localSheetId="5">#REF!</definedName>
    <definedName name="CATEGORIA1" localSheetId="9">#REF!</definedName>
    <definedName name="CATEGORIA1" localSheetId="10">#REF!</definedName>
    <definedName name="CATEGORIA1" localSheetId="0">#REF!</definedName>
    <definedName name="CATEGORIA1" localSheetId="11">#REF!</definedName>
    <definedName name="CATEGORIA1" localSheetId="12">#REF!</definedName>
    <definedName name="CATEGORIA1">#REF!</definedName>
    <definedName name="CATEGORIA10" localSheetId="8">#REF!</definedName>
    <definedName name="CATEGORIA10" localSheetId="5">#REF!</definedName>
    <definedName name="CATEGORIA10" localSheetId="9">#REF!</definedName>
    <definedName name="CATEGORIA10" localSheetId="10">#REF!</definedName>
    <definedName name="CATEGORIA10" localSheetId="0">#REF!</definedName>
    <definedName name="CATEGORIA10" localSheetId="11">#REF!</definedName>
    <definedName name="CATEGORIA10" localSheetId="12">#REF!</definedName>
    <definedName name="CATEGORIA10">#REF!</definedName>
    <definedName name="CATEGORIA11" localSheetId="8">#REF!</definedName>
    <definedName name="CATEGORIA11" localSheetId="5">#REF!</definedName>
    <definedName name="CATEGORIA11" localSheetId="10">#REF!</definedName>
    <definedName name="CATEGORIA11" localSheetId="11">#REF!</definedName>
    <definedName name="CATEGORIA11" localSheetId="12">#REF!</definedName>
    <definedName name="CATEGORIA11">#REF!</definedName>
    <definedName name="CATEGORIA12" localSheetId="8">#REF!</definedName>
    <definedName name="CATEGORIA12" localSheetId="5">#REF!</definedName>
    <definedName name="CATEGORIA12" localSheetId="10">#REF!</definedName>
    <definedName name="CATEGORIA12" localSheetId="11">#REF!</definedName>
    <definedName name="CATEGORIA12" localSheetId="12">#REF!</definedName>
    <definedName name="CATEGORIA12">#REF!</definedName>
    <definedName name="CATEGORIA13" localSheetId="8">#REF!</definedName>
    <definedName name="CATEGORIA13" localSheetId="5">#REF!</definedName>
    <definedName name="CATEGORIA13" localSheetId="10">#REF!</definedName>
    <definedName name="CATEGORIA13" localSheetId="11">#REF!</definedName>
    <definedName name="CATEGORIA13" localSheetId="12">#REF!</definedName>
    <definedName name="CATEGORIA13">#REF!</definedName>
    <definedName name="CATEGORIA14" localSheetId="8">#REF!</definedName>
    <definedName name="CATEGORIA14" localSheetId="5">#REF!</definedName>
    <definedName name="CATEGORIA14" localSheetId="10">#REF!</definedName>
    <definedName name="CATEGORIA14" localSheetId="11">#REF!</definedName>
    <definedName name="CATEGORIA14" localSheetId="12">#REF!</definedName>
    <definedName name="CATEGORIA14">#REF!</definedName>
    <definedName name="CATEGORIA15" localSheetId="8">#REF!</definedName>
    <definedName name="CATEGORIA15" localSheetId="5">#REF!</definedName>
    <definedName name="CATEGORIA15" localSheetId="10">#REF!</definedName>
    <definedName name="CATEGORIA15" localSheetId="11">#REF!</definedName>
    <definedName name="CATEGORIA15" localSheetId="12">#REF!</definedName>
    <definedName name="CATEGORIA15">#REF!</definedName>
    <definedName name="CATEGORIA16" localSheetId="8">#REF!</definedName>
    <definedName name="CATEGORIA16" localSheetId="5">#REF!</definedName>
    <definedName name="CATEGORIA16" localSheetId="10">#REF!</definedName>
    <definedName name="CATEGORIA16" localSheetId="11">#REF!</definedName>
    <definedName name="CATEGORIA16" localSheetId="12">#REF!</definedName>
    <definedName name="CATEGORIA16">#REF!</definedName>
    <definedName name="CATEGORIA17" localSheetId="8">#REF!</definedName>
    <definedName name="CATEGORIA17" localSheetId="5">#REF!</definedName>
    <definedName name="CATEGORIA17" localSheetId="10">#REF!</definedName>
    <definedName name="CATEGORIA17" localSheetId="11">#REF!</definedName>
    <definedName name="CATEGORIA17" localSheetId="12">#REF!</definedName>
    <definedName name="CATEGORIA17">#REF!</definedName>
    <definedName name="CATEGORIA18" localSheetId="8">#REF!</definedName>
    <definedName name="CATEGORIA18" localSheetId="5">#REF!</definedName>
    <definedName name="CATEGORIA18" localSheetId="10">#REF!</definedName>
    <definedName name="CATEGORIA18" localSheetId="11">#REF!</definedName>
    <definedName name="CATEGORIA18" localSheetId="12">#REF!</definedName>
    <definedName name="CATEGORIA18">#REF!</definedName>
    <definedName name="CATEGORIA19" localSheetId="8">#REF!</definedName>
    <definedName name="CATEGORIA19" localSheetId="5">#REF!</definedName>
    <definedName name="CATEGORIA19" localSheetId="10">#REF!</definedName>
    <definedName name="CATEGORIA19" localSheetId="11">#REF!</definedName>
    <definedName name="CATEGORIA19" localSheetId="12">#REF!</definedName>
    <definedName name="CATEGORIA19">#REF!</definedName>
    <definedName name="CATEGORIA2" localSheetId="8">#REF!</definedName>
    <definedName name="CATEGORIA2" localSheetId="5">#REF!</definedName>
    <definedName name="CATEGORIA2" localSheetId="10">#REF!</definedName>
    <definedName name="CATEGORIA2" localSheetId="11">#REF!</definedName>
    <definedName name="CATEGORIA2" localSheetId="12">#REF!</definedName>
    <definedName name="CATEGORIA2">#REF!</definedName>
    <definedName name="CATEGORIA20" localSheetId="8">#REF!</definedName>
    <definedName name="CATEGORIA20" localSheetId="5">#REF!</definedName>
    <definedName name="CATEGORIA20" localSheetId="10">#REF!</definedName>
    <definedName name="CATEGORIA20" localSheetId="11">#REF!</definedName>
    <definedName name="CATEGORIA20" localSheetId="12">#REF!</definedName>
    <definedName name="CATEGORIA20">#REF!</definedName>
    <definedName name="CATEGORIA21" localSheetId="8">#REF!</definedName>
    <definedName name="CATEGORIA21" localSheetId="5">#REF!</definedName>
    <definedName name="CATEGORIA21" localSheetId="10">#REF!</definedName>
    <definedName name="CATEGORIA21" localSheetId="11">#REF!</definedName>
    <definedName name="CATEGORIA21" localSheetId="12">#REF!</definedName>
    <definedName name="CATEGORIA21">#REF!</definedName>
    <definedName name="CATEGORIA22" localSheetId="8">#REF!</definedName>
    <definedName name="CATEGORIA22" localSheetId="5">#REF!</definedName>
    <definedName name="CATEGORIA22" localSheetId="10">#REF!</definedName>
    <definedName name="CATEGORIA22" localSheetId="11">#REF!</definedName>
    <definedName name="CATEGORIA22" localSheetId="12">#REF!</definedName>
    <definedName name="CATEGORIA22">#REF!</definedName>
    <definedName name="CATEGORIA3" localSheetId="8">#REF!</definedName>
    <definedName name="CATEGORIA3" localSheetId="5">#REF!</definedName>
    <definedName name="CATEGORIA3" localSheetId="10">#REF!</definedName>
    <definedName name="CATEGORIA3" localSheetId="11">#REF!</definedName>
    <definedName name="CATEGORIA3" localSheetId="12">#REF!</definedName>
    <definedName name="CATEGORIA3">#REF!</definedName>
    <definedName name="CATEGORIA4" localSheetId="8">#REF!</definedName>
    <definedName name="CATEGORIA4" localSheetId="5">#REF!</definedName>
    <definedName name="CATEGORIA4" localSheetId="10">#REF!</definedName>
    <definedName name="CATEGORIA4" localSheetId="11">#REF!</definedName>
    <definedName name="CATEGORIA4" localSheetId="12">#REF!</definedName>
    <definedName name="CATEGORIA4">#REF!</definedName>
    <definedName name="CATEGORIA5" localSheetId="8">#REF!</definedName>
    <definedName name="CATEGORIA5" localSheetId="5">#REF!</definedName>
    <definedName name="CATEGORIA5" localSheetId="10">#REF!</definedName>
    <definedName name="CATEGORIA5" localSheetId="11">#REF!</definedName>
    <definedName name="CATEGORIA5" localSheetId="12">#REF!</definedName>
    <definedName name="CATEGORIA5">#REF!</definedName>
    <definedName name="CATEGORIA6" localSheetId="8">#REF!</definedName>
    <definedName name="CATEGORIA6" localSheetId="5">#REF!</definedName>
    <definedName name="CATEGORIA6" localSheetId="10">#REF!</definedName>
    <definedName name="CATEGORIA6" localSheetId="11">#REF!</definedName>
    <definedName name="CATEGORIA6" localSheetId="12">#REF!</definedName>
    <definedName name="CATEGORIA6">#REF!</definedName>
    <definedName name="CATEGORIA7" localSheetId="8">#REF!</definedName>
    <definedName name="CATEGORIA7" localSheetId="5">#REF!</definedName>
    <definedName name="CATEGORIA7" localSheetId="10">#REF!</definedName>
    <definedName name="CATEGORIA7" localSheetId="11">#REF!</definedName>
    <definedName name="CATEGORIA7" localSheetId="12">#REF!</definedName>
    <definedName name="CATEGORIA7">#REF!</definedName>
    <definedName name="CATEGORIA8" localSheetId="8">#REF!</definedName>
    <definedName name="CATEGORIA8" localSheetId="5">#REF!</definedName>
    <definedName name="CATEGORIA8" localSheetId="10">#REF!</definedName>
    <definedName name="CATEGORIA8" localSheetId="11">#REF!</definedName>
    <definedName name="CATEGORIA8" localSheetId="12">#REF!</definedName>
    <definedName name="CATEGORIA8">#REF!</definedName>
    <definedName name="CATEGORIA9" localSheetId="8">#REF!</definedName>
    <definedName name="CATEGORIA9" localSheetId="5">#REF!</definedName>
    <definedName name="CATEGORIA9" localSheetId="10">#REF!</definedName>
    <definedName name="CATEGORIA9" localSheetId="11">#REF!</definedName>
    <definedName name="CATEGORIA9" localSheetId="12">#REF!</definedName>
    <definedName name="CATEGORIA9">#REF!</definedName>
    <definedName name="CATORZE" localSheetId="8">#REF!</definedName>
    <definedName name="CATORZE" localSheetId="5">#REF!</definedName>
    <definedName name="CATORZE" localSheetId="10">#REF!</definedName>
    <definedName name="CATORZE" localSheetId="11">#REF!</definedName>
    <definedName name="CATORZE" localSheetId="12">#REF!</definedName>
    <definedName name="CATORZE">#REF!</definedName>
    <definedName name="CAUX2" localSheetId="8">OFFSET(#REF!,0,0,COUNTA(#REF!)+1,1)</definedName>
    <definedName name="CAUX2" localSheetId="5">OFFSET(#REF!,0,0,COUNTA(#REF!)+1,1)</definedName>
    <definedName name="CAUX2" localSheetId="9">OFFSET(#REF!,0,0,COUNTA(#REF!)+1,1)</definedName>
    <definedName name="CAUX2" localSheetId="10">OFFSET(#REF!,0,0,COUNTA(#REF!)+1,1)</definedName>
    <definedName name="CAUX2" localSheetId="0">OFFSET(#REF!,0,0,COUNTA(#REF!)+1,1)</definedName>
    <definedName name="CAUX2" localSheetId="11">OFFSET(#REF!,0,0,COUNTA(#REF!)+1,1)</definedName>
    <definedName name="CAUX2" localSheetId="12">OFFSET(#REF!,0,0,COUNTA(#REF!)+1,1)</definedName>
    <definedName name="CAUX2">OFFSET(#REF!,0,0,COUNTA(#REF!)+1,1)</definedName>
    <definedName name="CAUX3" localSheetId="8">OFFSET(#REF!,0,0,COUNTA(#REF!)+1,1)</definedName>
    <definedName name="CAUX3" localSheetId="5">OFFSET(#REF!,0,0,COUNTA(#REF!)+1,1)</definedName>
    <definedName name="CAUX3" localSheetId="10">OFFSET(#REF!,0,0,COUNTA(#REF!)+1,1)</definedName>
    <definedName name="CAUX3" localSheetId="11">OFFSET(#REF!,0,0,COUNTA(#REF!)+1,1)</definedName>
    <definedName name="CAUX3" localSheetId="12">OFFSET(#REF!,0,0,COUNTA(#REF!)+1,1)</definedName>
    <definedName name="CAUX3">OFFSET(#REF!,0,0,COUNTA(#REF!)+1,1)</definedName>
    <definedName name="CCC" localSheetId="8">#REF!</definedName>
    <definedName name="CCC" localSheetId="5">#REF!</definedName>
    <definedName name="CCC" localSheetId="9">#REF!</definedName>
    <definedName name="CCC" localSheetId="10">#REF!</definedName>
    <definedName name="CCC" localSheetId="0">#REF!</definedName>
    <definedName name="CCC" localSheetId="11">#REF!</definedName>
    <definedName name="CCC" localSheetId="12">#REF!</definedName>
    <definedName name="CCC">#REF!</definedName>
    <definedName name="ççç" localSheetId="3" hidden="1">{#N/A,#N/A,FALSE,"Plan1";#N/A,#N/A,FALSE,"Plan2"}</definedName>
    <definedName name="ççç" localSheetId="8">{#N/A,#N/A,FALSE,"Plan1";#N/A,#N/A,FALSE,"Plan2"}</definedName>
    <definedName name="ççç" localSheetId="5" hidden="1">{#N/A,#N/A,FALSE,"Plan1";#N/A,#N/A,FALSE,"Plan2"}</definedName>
    <definedName name="ççç" localSheetId="4" hidden="1">{#N/A,#N/A,FALSE,"Plan1";#N/A,#N/A,FALSE,"Plan2"}</definedName>
    <definedName name="ççç" localSheetId="9">{#N/A,#N/A,FALSE,"Plan1";#N/A,#N/A,FALSE,"Plan2"}</definedName>
    <definedName name="ççç" localSheetId="10" hidden="1">{#N/A,#N/A,FALSE,"Plan1";#N/A,#N/A,FALSE,"Plan2"}</definedName>
    <definedName name="ççç" localSheetId="1" hidden="1">{#N/A,#N/A,FALSE,"Plan1";#N/A,#N/A,FALSE,"Plan2"}</definedName>
    <definedName name="ççç" localSheetId="0">{#N/A,#N/A,FALSE,"Plan1";#N/A,#N/A,FALSE,"Plan2"}</definedName>
    <definedName name="ççç" localSheetId="11" hidden="1">{#N/A,#N/A,FALSE,"Plan1";#N/A,#N/A,FALSE,"Plan2"}</definedName>
    <definedName name="ççç" localSheetId="12" hidden="1">{#N/A,#N/A,FALSE,"Plan1";#N/A,#N/A,FALSE,"Plan2"}</definedName>
    <definedName name="ççç" hidden="1">{#N/A,#N/A,FALSE,"Plan1";#N/A,#N/A,FALSE,"Plan2"}</definedName>
    <definedName name="cccc" localSheetId="3" hidden="1">{#N/A,#N/A,FALSE,"Plan1";#N/A,#N/A,FALSE,"Plan2"}</definedName>
    <definedName name="cccc" localSheetId="8">{#N/A,#N/A,FALSE,"Plan1";#N/A,#N/A,FALSE,"Plan2"}</definedName>
    <definedName name="cccc" localSheetId="5" hidden="1">{#N/A,#N/A,FALSE,"Plan1";#N/A,#N/A,FALSE,"Plan2"}</definedName>
    <definedName name="cccc" localSheetId="4" hidden="1">{#N/A,#N/A,FALSE,"Plan1";#N/A,#N/A,FALSE,"Plan2"}</definedName>
    <definedName name="cccc" localSheetId="9">{#N/A,#N/A,FALSE,"Plan1";#N/A,#N/A,FALSE,"Plan2"}</definedName>
    <definedName name="cccc" localSheetId="10" hidden="1">{#N/A,#N/A,FALSE,"Plan1";#N/A,#N/A,FALSE,"Plan2"}</definedName>
    <definedName name="cccc" localSheetId="1" hidden="1">{#N/A,#N/A,FALSE,"Plan1";#N/A,#N/A,FALSE,"Plan2"}</definedName>
    <definedName name="cccc" localSheetId="0">{#N/A,#N/A,FALSE,"Plan1";#N/A,#N/A,FALSE,"Plan2"}</definedName>
    <definedName name="cccc" localSheetId="11" hidden="1">{#N/A,#N/A,FALSE,"Plan1";#N/A,#N/A,FALSE,"Plan2"}</definedName>
    <definedName name="cccc" localSheetId="12" hidden="1">{#N/A,#N/A,FALSE,"Plan1";#N/A,#N/A,FALSE,"Plan2"}</definedName>
    <definedName name="cccc" hidden="1">{#N/A,#N/A,FALSE,"Plan1";#N/A,#N/A,FALSE,"Plan2"}</definedName>
    <definedName name="ççççççç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çççççç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ccccccccccccccc" localSheetId="3" hidden="1">{"HW",#N/A,FALSE,"1998"}</definedName>
    <definedName name="cccccccccccccccc" localSheetId="8">{"HW",#N/A,FALSE,"1998"}</definedName>
    <definedName name="cccccccccccccccc" localSheetId="5" hidden="1">{"HW",#N/A,FALSE,"1998"}</definedName>
    <definedName name="cccccccccccccccc" localSheetId="4" hidden="1">{"HW",#N/A,FALSE,"1998"}</definedName>
    <definedName name="cccccccccccccccc" localSheetId="9">{"HW",#N/A,FALSE,"1998"}</definedName>
    <definedName name="cccccccccccccccc" localSheetId="10" hidden="1">{"HW",#N/A,FALSE,"1998"}</definedName>
    <definedName name="cccccccccccccccc" localSheetId="1" hidden="1">{"HW",#N/A,FALSE,"1998"}</definedName>
    <definedName name="cccccccccccccccc" localSheetId="0">{"HW",#N/A,FALSE,"1998"}</definedName>
    <definedName name="cccccccccccccccc" localSheetId="11" hidden="1">{"HW",#N/A,FALSE,"1998"}</definedName>
    <definedName name="cccccccccccccccc" localSheetId="12" hidden="1">{"HW",#N/A,FALSE,"1998"}</definedName>
    <definedName name="cccccccccccccccc" hidden="1">{"HW",#N/A,FALSE,"1998"}</definedName>
    <definedName name="cchart1" localSheetId="8">#REF!</definedName>
    <definedName name="cchart1" localSheetId="5" hidden="1">#REF!</definedName>
    <definedName name="cchart1" localSheetId="9">#REF!</definedName>
    <definedName name="cchart1" localSheetId="10" hidden="1">#REF!</definedName>
    <definedName name="cchart1" localSheetId="1" hidden="1">#REF!</definedName>
    <definedName name="cchart1" localSheetId="0">#REF!</definedName>
    <definedName name="cchart1" localSheetId="11" hidden="1">#REF!</definedName>
    <definedName name="cchart1" localSheetId="12" hidden="1">#REF!</definedName>
    <definedName name="cchart1" hidden="1">#REF!</definedName>
    <definedName name="cchart10" localSheetId="8">#REF!</definedName>
    <definedName name="cchart10" localSheetId="5" hidden="1">#REF!</definedName>
    <definedName name="cchart10" localSheetId="9">#REF!</definedName>
    <definedName name="cchart10" localSheetId="10" hidden="1">#REF!</definedName>
    <definedName name="cchart10" localSheetId="1" hidden="1">#REF!</definedName>
    <definedName name="cchart10" localSheetId="0">#REF!</definedName>
    <definedName name="cchart10" localSheetId="11" hidden="1">#REF!</definedName>
    <definedName name="cchart10" localSheetId="12" hidden="1">#REF!</definedName>
    <definedName name="cchart10" hidden="1">#REF!</definedName>
    <definedName name="cchart11" localSheetId="8">#REF!</definedName>
    <definedName name="cchart11" localSheetId="5" hidden="1">#REF!</definedName>
    <definedName name="cchart11" localSheetId="9">#REF!</definedName>
    <definedName name="cchart11" localSheetId="10" hidden="1">#REF!</definedName>
    <definedName name="cchart11" localSheetId="1" hidden="1">#REF!</definedName>
    <definedName name="cchart11" localSheetId="0">#REF!</definedName>
    <definedName name="cchart11" localSheetId="11" hidden="1">#REF!</definedName>
    <definedName name="cchart11" localSheetId="12" hidden="1">#REF!</definedName>
    <definedName name="cchart11" hidden="1">#REF!</definedName>
    <definedName name="cchart12" localSheetId="8">#REF!</definedName>
    <definedName name="cchart12" hidden="1">#REF!</definedName>
    <definedName name="cchart13" localSheetId="8">#REF!</definedName>
    <definedName name="cchart13" hidden="1">#REF!</definedName>
    <definedName name="cchart14" localSheetId="8">#REF!</definedName>
    <definedName name="cchart14" hidden="1">#REF!</definedName>
    <definedName name="cchart15" localSheetId="8">#REF!</definedName>
    <definedName name="cchart15" hidden="1">#REF!</definedName>
    <definedName name="cchart16" localSheetId="8">#REF!</definedName>
    <definedName name="cchart16" hidden="1">#REF!</definedName>
    <definedName name="cchart17" localSheetId="8">#REF!</definedName>
    <definedName name="cchart17" hidden="1">#REF!</definedName>
    <definedName name="cchart18" localSheetId="8">#REF!</definedName>
    <definedName name="cchart18" hidden="1">#REF!</definedName>
    <definedName name="cchart19" localSheetId="8">#REF!</definedName>
    <definedName name="cchart19" hidden="1">#REF!</definedName>
    <definedName name="cchart2" localSheetId="8">#REF!</definedName>
    <definedName name="cchart2" hidden="1">#REF!</definedName>
    <definedName name="cchart20" localSheetId="8">#REF!</definedName>
    <definedName name="cchart20" hidden="1">#REF!</definedName>
    <definedName name="cchart21" localSheetId="8">#REF!</definedName>
    <definedName name="cchart21" hidden="1">#REF!</definedName>
    <definedName name="cchart22" localSheetId="8">#REF!</definedName>
    <definedName name="cchart22" hidden="1">#REF!</definedName>
    <definedName name="cchart23" localSheetId="8">#REF!</definedName>
    <definedName name="cchart23" hidden="1">#REF!</definedName>
    <definedName name="cchart24" localSheetId="8">#REF!</definedName>
    <definedName name="cchart24" hidden="1">#REF!</definedName>
    <definedName name="cchart25" localSheetId="8">#REF!</definedName>
    <definedName name="cchart25" hidden="1">#REF!</definedName>
    <definedName name="cchart26" localSheetId="8">#REF!</definedName>
    <definedName name="cchart26" hidden="1">#REF!</definedName>
    <definedName name="cchart27" localSheetId="8">#REF!</definedName>
    <definedName name="cchart27" hidden="1">#REF!</definedName>
    <definedName name="cchart28" localSheetId="8">#REF!</definedName>
    <definedName name="cchart28" hidden="1">#REF!</definedName>
    <definedName name="cchart29" localSheetId="8">#REF!</definedName>
    <definedName name="cchart29" hidden="1">#REF!</definedName>
    <definedName name="cchart3" localSheetId="8">#REF!</definedName>
    <definedName name="cchart3" hidden="1">#REF!</definedName>
    <definedName name="cchart31" localSheetId="8">#REF!</definedName>
    <definedName name="cchart31" hidden="1">#REF!</definedName>
    <definedName name="cchart32" localSheetId="8">#REF!</definedName>
    <definedName name="cchart32" hidden="1">#REF!</definedName>
    <definedName name="cchart4" localSheetId="8">#REF!</definedName>
    <definedName name="cchart4" hidden="1">#REF!</definedName>
    <definedName name="cchart5" localSheetId="8">#REF!</definedName>
    <definedName name="cchart5" hidden="1">#REF!</definedName>
    <definedName name="cchart6" localSheetId="8">#REF!</definedName>
    <definedName name="cchart6" hidden="1">#REF!</definedName>
    <definedName name="cchart7" localSheetId="8">#REF!</definedName>
    <definedName name="cchart7" hidden="1">#REF!</definedName>
    <definedName name="cchart8" localSheetId="8">#REF!</definedName>
    <definedName name="cchart8" hidden="1">#REF!</definedName>
    <definedName name="cchart9" localSheetId="8">#REF!</definedName>
    <definedName name="cchart9" hidden="1">#REF!</definedName>
    <definedName name="çcklfj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cklfj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D" localSheetId="8">#REF!</definedName>
    <definedName name="CD" localSheetId="5">#REF!</definedName>
    <definedName name="CD" localSheetId="9">#REF!</definedName>
    <definedName name="CD" localSheetId="10">#REF!</definedName>
    <definedName name="CD" localSheetId="0">#REF!</definedName>
    <definedName name="CD" localSheetId="11">#REF!</definedName>
    <definedName name="CD" localSheetId="12">#REF!</definedName>
    <definedName name="CD">#REF!</definedName>
    <definedName name="çdfmerf" localSheetId="3" hidden="1">{#N/A,#N/A,FALSE,"Plan1";#N/A,#N/A,FALSE,"Plan2"}</definedName>
    <definedName name="çdfmerf" localSheetId="8">{#N/A,#N/A,FALSE,"Plan1";#N/A,#N/A,FALSE,"Plan2"}</definedName>
    <definedName name="çdfmerf" localSheetId="5" hidden="1">{#N/A,#N/A,FALSE,"Plan1";#N/A,#N/A,FALSE,"Plan2"}</definedName>
    <definedName name="çdfmerf" localSheetId="4" hidden="1">{#N/A,#N/A,FALSE,"Plan1";#N/A,#N/A,FALSE,"Plan2"}</definedName>
    <definedName name="çdfmerf" localSheetId="9">{#N/A,#N/A,FALSE,"Plan1";#N/A,#N/A,FALSE,"Plan2"}</definedName>
    <definedName name="çdfmerf" localSheetId="10" hidden="1">{#N/A,#N/A,FALSE,"Plan1";#N/A,#N/A,FALSE,"Plan2"}</definedName>
    <definedName name="çdfmerf" localSheetId="1" hidden="1">{#N/A,#N/A,FALSE,"Plan1";#N/A,#N/A,FALSE,"Plan2"}</definedName>
    <definedName name="çdfmerf" localSheetId="0">{#N/A,#N/A,FALSE,"Plan1";#N/A,#N/A,FALSE,"Plan2"}</definedName>
    <definedName name="çdfmerf" localSheetId="11" hidden="1">{#N/A,#N/A,FALSE,"Plan1";#N/A,#N/A,FALSE,"Plan2"}</definedName>
    <definedName name="çdfmerf" localSheetId="12" hidden="1">{#N/A,#N/A,FALSE,"Plan1";#N/A,#N/A,FALSE,"Plan2"}</definedName>
    <definedName name="çdfmerf" hidden="1">{#N/A,#N/A,FALSE,"Plan1";#N/A,#N/A,FALSE,"Plan2"}</definedName>
    <definedName name="CDSGHE" localSheetId="3" hidden="1">{#N/A,#N/A,FALSE,"Plan1";#N/A,#N/A,FALSE,"Plan2"}</definedName>
    <definedName name="CDSGHE" localSheetId="8">{#N/A,#N/A,FALSE,"Plan1";#N/A,#N/A,FALSE,"Plan2"}</definedName>
    <definedName name="CDSGHE" localSheetId="5" hidden="1">{#N/A,#N/A,FALSE,"Plan1";#N/A,#N/A,FALSE,"Plan2"}</definedName>
    <definedName name="CDSGHE" localSheetId="4" hidden="1">{#N/A,#N/A,FALSE,"Plan1";#N/A,#N/A,FALSE,"Plan2"}</definedName>
    <definedName name="CDSGHE" localSheetId="9">{#N/A,#N/A,FALSE,"Plan1";#N/A,#N/A,FALSE,"Plan2"}</definedName>
    <definedName name="CDSGHE" localSheetId="10" hidden="1">{#N/A,#N/A,FALSE,"Plan1";#N/A,#N/A,FALSE,"Plan2"}</definedName>
    <definedName name="CDSGHE" localSheetId="1" hidden="1">{#N/A,#N/A,FALSE,"Plan1";#N/A,#N/A,FALSE,"Plan2"}</definedName>
    <definedName name="CDSGHE" localSheetId="0">{#N/A,#N/A,FALSE,"Plan1";#N/A,#N/A,FALSE,"Plan2"}</definedName>
    <definedName name="CDSGHE" localSheetId="11" hidden="1">{#N/A,#N/A,FALSE,"Plan1";#N/A,#N/A,FALSE,"Plan2"}</definedName>
    <definedName name="CDSGHE" localSheetId="12" hidden="1">{#N/A,#N/A,FALSE,"Plan1";#N/A,#N/A,FALSE,"Plan2"}</definedName>
    <definedName name="CDSGHE" hidden="1">{#N/A,#N/A,FALSE,"Plan1";#N/A,#N/A,FALSE,"Plan2"}</definedName>
    <definedName name="cdvthd" localSheetId="8">#REF!</definedName>
    <definedName name="cdvthd" localSheetId="5">#REF!</definedName>
    <definedName name="cdvthd" localSheetId="9">#REF!</definedName>
    <definedName name="cdvthd" localSheetId="10">#REF!</definedName>
    <definedName name="cdvthd" localSheetId="0">#REF!</definedName>
    <definedName name="cdvthd" localSheetId="11">#REF!</definedName>
    <definedName name="cdvthd" localSheetId="12">#REF!</definedName>
    <definedName name="cdvthd">#REF!</definedName>
    <definedName name="Cel_Constr" localSheetId="8">#REF!</definedName>
    <definedName name="Cel_Constr" localSheetId="5">#REF!</definedName>
    <definedName name="Cel_Constr" localSheetId="9">#REF!</definedName>
    <definedName name="Cel_Constr" localSheetId="10">#REF!</definedName>
    <definedName name="Cel_Constr" localSheetId="0">#REF!</definedName>
    <definedName name="Cel_Constr" localSheetId="11">#REF!</definedName>
    <definedName name="Cel_Constr" localSheetId="12">#REF!</definedName>
    <definedName name="Cel_Constr">#REF!</definedName>
    <definedName name="CestaExcel" localSheetId="8">#REF!</definedName>
    <definedName name="CestaExcel" localSheetId="5">#REF!</definedName>
    <definedName name="CestaExcel" localSheetId="9">#REF!</definedName>
    <definedName name="CestaExcel" localSheetId="10">#REF!</definedName>
    <definedName name="CestaExcel" localSheetId="0">#REF!</definedName>
    <definedName name="CestaExcel" localSheetId="11">#REF!</definedName>
    <definedName name="CestaExcel" localSheetId="12">#REF!</definedName>
    <definedName name="CestaExcel">#REF!</definedName>
    <definedName name="CevaG" localSheetId="8">#REF!</definedName>
    <definedName name="CevaG" localSheetId="5">#REF!</definedName>
    <definedName name="CevaG" localSheetId="10">#REF!</definedName>
    <definedName name="CevaG" localSheetId="11">#REF!</definedName>
    <definedName name="CevaG" localSheetId="12">#REF!</definedName>
    <definedName name="CevaG">#REF!</definedName>
    <definedName name="CevaGS" localSheetId="8">#REF!</definedName>
    <definedName name="CevaGS" localSheetId="5">#REF!</definedName>
    <definedName name="CevaGS" localSheetId="10">#REF!</definedName>
    <definedName name="CevaGS" localSheetId="11">#REF!</definedName>
    <definedName name="CevaGS" localSheetId="12">#REF!</definedName>
    <definedName name="CevaGS">#REF!</definedName>
    <definedName name="çfhjglkjhkljy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hjglkjhkljy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flçf" localSheetId="3" hidden="1">{#N/A,#N/A,FALSE,"Plan1";#N/A,#N/A,FALSE,"Plan2"}</definedName>
    <definedName name="çflçf" localSheetId="8">{#N/A,#N/A,FALSE,"Plan1";#N/A,#N/A,FALSE,"Plan2"}</definedName>
    <definedName name="çflçf" localSheetId="5" hidden="1">{#N/A,#N/A,FALSE,"Plan1";#N/A,#N/A,FALSE,"Plan2"}</definedName>
    <definedName name="çflçf" localSheetId="4" hidden="1">{#N/A,#N/A,FALSE,"Plan1";#N/A,#N/A,FALSE,"Plan2"}</definedName>
    <definedName name="çflçf" localSheetId="9">{#N/A,#N/A,FALSE,"Plan1";#N/A,#N/A,FALSE,"Plan2"}</definedName>
    <definedName name="çflçf" localSheetId="10" hidden="1">{#N/A,#N/A,FALSE,"Plan1";#N/A,#N/A,FALSE,"Plan2"}</definedName>
    <definedName name="çflçf" localSheetId="1" hidden="1">{#N/A,#N/A,FALSE,"Plan1";#N/A,#N/A,FALSE,"Plan2"}</definedName>
    <definedName name="çflçf" localSheetId="0">{#N/A,#N/A,FALSE,"Plan1";#N/A,#N/A,FALSE,"Plan2"}</definedName>
    <definedName name="çflçf" localSheetId="11" hidden="1">{#N/A,#N/A,FALSE,"Plan1";#N/A,#N/A,FALSE,"Plan2"}</definedName>
    <definedName name="çflçf" localSheetId="12" hidden="1">{#N/A,#N/A,FALSE,"Plan1";#N/A,#N/A,FALSE,"Plan2"}</definedName>
    <definedName name="çflçf" hidden="1">{#N/A,#N/A,FALSE,"Plan1";#N/A,#N/A,FALSE,"Plan2"}</definedName>
    <definedName name="CHAFQT" localSheetId="8">#REF!</definedName>
    <definedName name="CHAFQT" localSheetId="5">#REF!</definedName>
    <definedName name="CHAFQT" localSheetId="9">#REF!</definedName>
    <definedName name="CHAFQT" localSheetId="10">#REF!</definedName>
    <definedName name="CHAFQT" localSheetId="0">#REF!</definedName>
    <definedName name="CHAFQT" localSheetId="11">#REF!</definedName>
    <definedName name="CHAFQT" localSheetId="12">#REF!</definedName>
    <definedName name="CHAFQT">#REF!</definedName>
    <definedName name="Chaves" localSheetId="8">#REF!</definedName>
    <definedName name="Chaves" localSheetId="5">#REF!</definedName>
    <definedName name="Chaves" localSheetId="9">#REF!</definedName>
    <definedName name="Chaves" localSheetId="10">#REF!</definedName>
    <definedName name="Chaves" localSheetId="0">#REF!</definedName>
    <definedName name="Chaves" localSheetId="11">#REF!</definedName>
    <definedName name="Chaves" localSheetId="12">#REF!</definedName>
    <definedName name="Chaves">#REF!</definedName>
    <definedName name="chfch" localSheetId="3" hidden="1">{#N/A,#N/A,FALSE,"Plan1";#N/A,#N/A,FALSE,"Plan2"}</definedName>
    <definedName name="chfch" localSheetId="8">{#N/A,#N/A,FALSE,"Plan1";#N/A,#N/A,FALSE,"Plan2"}</definedName>
    <definedName name="chfch" localSheetId="5" hidden="1">{#N/A,#N/A,FALSE,"Plan1";#N/A,#N/A,FALSE,"Plan2"}</definedName>
    <definedName name="chfch" localSheetId="4" hidden="1">{#N/A,#N/A,FALSE,"Plan1";#N/A,#N/A,FALSE,"Plan2"}</definedName>
    <definedName name="chfch" localSheetId="9">{#N/A,#N/A,FALSE,"Plan1";#N/A,#N/A,FALSE,"Plan2"}</definedName>
    <definedName name="chfch" localSheetId="10" hidden="1">{#N/A,#N/A,FALSE,"Plan1";#N/A,#N/A,FALSE,"Plan2"}</definedName>
    <definedName name="chfch" localSheetId="1" hidden="1">{#N/A,#N/A,FALSE,"Plan1";#N/A,#N/A,FALSE,"Plan2"}</definedName>
    <definedName name="chfch" localSheetId="0">{#N/A,#N/A,FALSE,"Plan1";#N/A,#N/A,FALSE,"Plan2"}</definedName>
    <definedName name="chfch" localSheetId="11" hidden="1">{#N/A,#N/A,FALSE,"Plan1";#N/A,#N/A,FALSE,"Plan2"}</definedName>
    <definedName name="chfch" localSheetId="12" hidden="1">{#N/A,#N/A,FALSE,"Plan1";#N/A,#N/A,FALSE,"Plan2"}</definedName>
    <definedName name="chfch" hidden="1">{#N/A,#N/A,FALSE,"Plan1";#N/A,#N/A,FALSE,"Plan2"}</definedName>
    <definedName name="CI" localSheetId="8">#REF!</definedName>
    <definedName name="CI" localSheetId="5">#REF!</definedName>
    <definedName name="CI" localSheetId="9">#REF!</definedName>
    <definedName name="CI" localSheetId="10">#REF!</definedName>
    <definedName name="CI" localSheetId="0">#REF!</definedName>
    <definedName name="CI" localSheetId="11">#REF!</definedName>
    <definedName name="CI" localSheetId="12">#REF!</definedName>
    <definedName name="CI">#REF!</definedName>
    <definedName name="cidades" localSheetId="8">#REF!</definedName>
    <definedName name="cidades" localSheetId="5">#REF!</definedName>
    <definedName name="cidades" localSheetId="9">#REF!</definedName>
    <definedName name="cidades" localSheetId="10">#REF!</definedName>
    <definedName name="cidades" localSheetId="0">#REF!</definedName>
    <definedName name="cidades" localSheetId="11">#REF!</definedName>
    <definedName name="cidades" localSheetId="12">#REF!</definedName>
    <definedName name="cidades">#REF!</definedName>
    <definedName name="CIFIXA" localSheetId="8">#REF!</definedName>
    <definedName name="CIFIXA" localSheetId="5">#REF!</definedName>
    <definedName name="CIFIXA" localSheetId="9">#REF!</definedName>
    <definedName name="CIFIXA" localSheetId="10">#REF!</definedName>
    <definedName name="CIFIXA" localSheetId="0">#REF!</definedName>
    <definedName name="CIFIXA" localSheetId="11">#REF!</definedName>
    <definedName name="CIFIXA" localSheetId="12">#REF!</definedName>
    <definedName name="CIFIXA">#REF!</definedName>
    <definedName name="CINCO" localSheetId="8">#REF!</definedName>
    <definedName name="CINCO" localSheetId="5">#REF!</definedName>
    <definedName name="CINCO" localSheetId="10">#REF!</definedName>
    <definedName name="CINCO" localSheetId="11">#REF!</definedName>
    <definedName name="CINCO" localSheetId="12">#REF!</definedName>
    <definedName name="CINCO">#REF!</definedName>
    <definedName name="CITOTAL" localSheetId="8">#REF!</definedName>
    <definedName name="CITOTAL" localSheetId="5">#REF!</definedName>
    <definedName name="CITOTAL" localSheetId="10">#REF!</definedName>
    <definedName name="CITOTAL" localSheetId="11">#REF!</definedName>
    <definedName name="CITOTAL" localSheetId="12">#REF!</definedName>
    <definedName name="CITOTAL">#REF!</definedName>
    <definedName name="CIVAR" localSheetId="8">#REF!</definedName>
    <definedName name="CIVAR" localSheetId="5">#REF!</definedName>
    <definedName name="CIVAR" localSheetId="10">#REF!</definedName>
    <definedName name="CIVAR" localSheetId="11">#REF!</definedName>
    <definedName name="CIVAR" localSheetId="12">#REF!</definedName>
    <definedName name="CIVAR">#REF!</definedName>
    <definedName name="ÇJKRÇLFS" localSheetId="3" hidden="1">{"Econ Consolidado",#N/A,FALSE,"Econ Consol";"Fluxo de Caixa",#N/A,FALSE,"Fluxo Caixa";"Investimentos",#N/A,FALSE,"Investimentos"}</definedName>
    <definedName name="ÇJKRÇLFS" localSheetId="8">{"Econ Consolidado",#N/A,FALSE,"Econ Consol";"Fluxo de Caixa",#N/A,FALSE,"Fluxo Caixa";"Investimentos",#N/A,FALSE,"Investimentos"}</definedName>
    <definedName name="ÇJKRÇLFS" localSheetId="5" hidden="1">{"Econ Consolidado",#N/A,FALSE,"Econ Consol";"Fluxo de Caixa",#N/A,FALSE,"Fluxo Caixa";"Investimentos",#N/A,FALSE,"Investimentos"}</definedName>
    <definedName name="ÇJKRÇLFS" localSheetId="4" hidden="1">{"Econ Consolidado",#N/A,FALSE,"Econ Consol";"Fluxo de Caixa",#N/A,FALSE,"Fluxo Caixa";"Investimentos",#N/A,FALSE,"Investimentos"}</definedName>
    <definedName name="ÇJKRÇLFS" localSheetId="9">{"Econ Consolidado",#N/A,FALSE,"Econ Consol";"Fluxo de Caixa",#N/A,FALSE,"Fluxo Caixa";"Investimentos",#N/A,FALSE,"Investimentos"}</definedName>
    <definedName name="ÇJKRÇLFS" localSheetId="10" hidden="1">{"Econ Consolidado",#N/A,FALSE,"Econ Consol";"Fluxo de Caixa",#N/A,FALSE,"Fluxo Caixa";"Investimentos",#N/A,FALSE,"Investimentos"}</definedName>
    <definedName name="ÇJKRÇLFS" localSheetId="1" hidden="1">{"Econ Consolidado",#N/A,FALSE,"Econ Consol";"Fluxo de Caixa",#N/A,FALSE,"Fluxo Caixa";"Investimentos",#N/A,FALSE,"Investimentos"}</definedName>
    <definedName name="ÇJKRÇLFS" localSheetId="0">{"Econ Consolidado",#N/A,FALSE,"Econ Consol";"Fluxo de Caixa",#N/A,FALSE,"Fluxo Caixa";"Investimentos",#N/A,FALSE,"Investimentos"}</definedName>
    <definedName name="ÇJKRÇLFS" localSheetId="11" hidden="1">{"Econ Consolidado",#N/A,FALSE,"Econ Consol";"Fluxo de Caixa",#N/A,FALSE,"Fluxo Caixa";"Investimentos",#N/A,FALSE,"Investimentos"}</definedName>
    <definedName name="ÇJKRÇLFS" localSheetId="12" hidden="1">{"Econ Consolidado",#N/A,FALSE,"Econ Consol";"Fluxo de Caixa",#N/A,FALSE,"Fluxo Caixa";"Investimentos",#N/A,FALSE,"Investimentos"}</definedName>
    <definedName name="ÇJKRÇLFS" hidden="1">{"Econ Consolidado",#N/A,FALSE,"Econ Consol";"Fluxo de Caixa",#N/A,FALSE,"Fluxo Caixa";"Investimentos",#N/A,FALSE,"Investimentos"}</definedName>
    <definedName name="ÇJsrejtçe" localSheetId="3" hidden="1">{#N/A,#N/A,FALSE,"Plan1";#N/A,#N/A,FALSE,"Plan2"}</definedName>
    <definedName name="ÇJsrejtçe" localSheetId="8">{#N/A,#N/A,FALSE,"Plan1";#N/A,#N/A,FALSE,"Plan2"}</definedName>
    <definedName name="ÇJsrejtçe" localSheetId="5" hidden="1">{#N/A,#N/A,FALSE,"Plan1";#N/A,#N/A,FALSE,"Plan2"}</definedName>
    <definedName name="ÇJsrejtçe" localSheetId="4" hidden="1">{#N/A,#N/A,FALSE,"Plan1";#N/A,#N/A,FALSE,"Plan2"}</definedName>
    <definedName name="ÇJsrejtçe" localSheetId="9">{#N/A,#N/A,FALSE,"Plan1";#N/A,#N/A,FALSE,"Plan2"}</definedName>
    <definedName name="ÇJsrejtçe" localSheetId="10" hidden="1">{#N/A,#N/A,FALSE,"Plan1";#N/A,#N/A,FALSE,"Plan2"}</definedName>
    <definedName name="ÇJsrejtçe" localSheetId="1" hidden="1">{#N/A,#N/A,FALSE,"Plan1";#N/A,#N/A,FALSE,"Plan2"}</definedName>
    <definedName name="ÇJsrejtçe" localSheetId="0">{#N/A,#N/A,FALSE,"Plan1";#N/A,#N/A,FALSE,"Plan2"}</definedName>
    <definedName name="ÇJsrejtçe" localSheetId="11" hidden="1">{#N/A,#N/A,FALSE,"Plan1";#N/A,#N/A,FALSE,"Plan2"}</definedName>
    <definedName name="ÇJsrejtçe" localSheetId="12" hidden="1">{#N/A,#N/A,FALSE,"Plan1";#N/A,#N/A,FALSE,"Plan2"}</definedName>
    <definedName name="ÇJsrejtçe" hidden="1">{#N/A,#N/A,FALSE,"Plan1";#N/A,#N/A,FALSE,"Plan2"}</definedName>
    <definedName name="çkaçekow" localSheetId="3" hidden="1">{#N/A,#N/A,FALSE,"Plan1";#N/A,#N/A,FALSE,"Plan2"}</definedName>
    <definedName name="çkaçekow" localSheetId="8">{#N/A,#N/A,FALSE,"Plan1";#N/A,#N/A,FALSE,"Plan2"}</definedName>
    <definedName name="çkaçekow" localSheetId="5" hidden="1">{#N/A,#N/A,FALSE,"Plan1";#N/A,#N/A,FALSE,"Plan2"}</definedName>
    <definedName name="çkaçekow" localSheetId="4" hidden="1">{#N/A,#N/A,FALSE,"Plan1";#N/A,#N/A,FALSE,"Plan2"}</definedName>
    <definedName name="çkaçekow" localSheetId="9">{#N/A,#N/A,FALSE,"Plan1";#N/A,#N/A,FALSE,"Plan2"}</definedName>
    <definedName name="çkaçekow" localSheetId="10" hidden="1">{#N/A,#N/A,FALSE,"Plan1";#N/A,#N/A,FALSE,"Plan2"}</definedName>
    <definedName name="çkaçekow" localSheetId="1" hidden="1">{#N/A,#N/A,FALSE,"Plan1";#N/A,#N/A,FALSE,"Plan2"}</definedName>
    <definedName name="çkaçekow" localSheetId="0">{#N/A,#N/A,FALSE,"Plan1";#N/A,#N/A,FALSE,"Plan2"}</definedName>
    <definedName name="çkaçekow" localSheetId="11" hidden="1">{#N/A,#N/A,FALSE,"Plan1";#N/A,#N/A,FALSE,"Plan2"}</definedName>
    <definedName name="çkaçekow" localSheetId="12" hidden="1">{#N/A,#N/A,FALSE,"Plan1";#N/A,#N/A,FALSE,"Plan2"}</definedName>
    <definedName name="çkaçekow" hidden="1">{#N/A,#N/A,FALSE,"Plan1";#N/A,#N/A,FALSE,"Plan2"}</definedName>
    <definedName name="ÇKSDOEKR" localSheetId="3" hidden="1">{#N/A,#N/A,FALSE,"Plan1";#N/A,#N/A,FALSE,"Plan2"}</definedName>
    <definedName name="ÇKSDOEKR" localSheetId="8">{#N/A,#N/A,FALSE,"Plan1";#N/A,#N/A,FALSE,"Plan2"}</definedName>
    <definedName name="ÇKSDOEKR" localSheetId="5" hidden="1">{#N/A,#N/A,FALSE,"Plan1";#N/A,#N/A,FALSE,"Plan2"}</definedName>
    <definedName name="ÇKSDOEKR" localSheetId="4" hidden="1">{#N/A,#N/A,FALSE,"Plan1";#N/A,#N/A,FALSE,"Plan2"}</definedName>
    <definedName name="ÇKSDOEKR" localSheetId="9">{#N/A,#N/A,FALSE,"Plan1";#N/A,#N/A,FALSE,"Plan2"}</definedName>
    <definedName name="ÇKSDOEKR" localSheetId="10" hidden="1">{#N/A,#N/A,FALSE,"Plan1";#N/A,#N/A,FALSE,"Plan2"}</definedName>
    <definedName name="ÇKSDOEKR" localSheetId="1" hidden="1">{#N/A,#N/A,FALSE,"Plan1";#N/A,#N/A,FALSE,"Plan2"}</definedName>
    <definedName name="ÇKSDOEKR" localSheetId="0">{#N/A,#N/A,FALSE,"Plan1";#N/A,#N/A,FALSE,"Plan2"}</definedName>
    <definedName name="ÇKSDOEKR" localSheetId="11" hidden="1">{#N/A,#N/A,FALSE,"Plan1";#N/A,#N/A,FALSE,"Plan2"}</definedName>
    <definedName name="ÇKSDOEKR" localSheetId="12" hidden="1">{#N/A,#N/A,FALSE,"Plan1";#N/A,#N/A,FALSE,"Plan2"}</definedName>
    <definedName name="ÇKSDOEKR" hidden="1">{#N/A,#N/A,FALSE,"Plan1";#N/A,#N/A,FALSE,"Plan2"}</definedName>
    <definedName name="çl" localSheetId="3" hidden="1">{#N/A,#N/A,FALSE,"Plan1";#N/A,#N/A,FALSE,"Plan2"}</definedName>
    <definedName name="çl" localSheetId="8">{#N/A,#N/A,FALSE,"Plan1";#N/A,#N/A,FALSE,"Plan2"}</definedName>
    <definedName name="çl" localSheetId="5" hidden="1">{#N/A,#N/A,FALSE,"Plan1";#N/A,#N/A,FALSE,"Plan2"}</definedName>
    <definedName name="çl" localSheetId="4" hidden="1">{#N/A,#N/A,FALSE,"Plan1";#N/A,#N/A,FALSE,"Plan2"}</definedName>
    <definedName name="çl" localSheetId="9">{#N/A,#N/A,FALSE,"Plan1";#N/A,#N/A,FALSE,"Plan2"}</definedName>
    <definedName name="çl" localSheetId="10" hidden="1">{#N/A,#N/A,FALSE,"Plan1";#N/A,#N/A,FALSE,"Plan2"}</definedName>
    <definedName name="çl" localSheetId="1" hidden="1">{#N/A,#N/A,FALSE,"Plan1";#N/A,#N/A,FALSE,"Plan2"}</definedName>
    <definedName name="çl" localSheetId="0">{#N/A,#N/A,FALSE,"Plan1";#N/A,#N/A,FALSE,"Plan2"}</definedName>
    <definedName name="çl" localSheetId="11" hidden="1">{#N/A,#N/A,FALSE,"Plan1";#N/A,#N/A,FALSE,"Plan2"}</definedName>
    <definedName name="çl" localSheetId="12" hidden="1">{#N/A,#N/A,FALSE,"Plan1";#N/A,#N/A,FALSE,"Plan2"}</definedName>
    <definedName name="çl" hidden="1">{#N/A,#N/A,FALSE,"Plan1";#N/A,#N/A,FALSE,"Plan2"}</definedName>
    <definedName name="çlassde" localSheetId="3" hidden="1">{#N/A,#N/A,FALSE,"Plan1";#N/A,#N/A,FALSE,"Plan2"}</definedName>
    <definedName name="çlassde" localSheetId="8">{#N/A,#N/A,FALSE,"Plan1";#N/A,#N/A,FALSE,"Plan2"}</definedName>
    <definedName name="çlassde" localSheetId="5" hidden="1">{#N/A,#N/A,FALSE,"Plan1";#N/A,#N/A,FALSE,"Plan2"}</definedName>
    <definedName name="çlassde" localSheetId="4" hidden="1">{#N/A,#N/A,FALSE,"Plan1";#N/A,#N/A,FALSE,"Plan2"}</definedName>
    <definedName name="çlassde" localSheetId="9">{#N/A,#N/A,FALSE,"Plan1";#N/A,#N/A,FALSE,"Plan2"}</definedName>
    <definedName name="çlassde" localSheetId="10" hidden="1">{#N/A,#N/A,FALSE,"Plan1";#N/A,#N/A,FALSE,"Plan2"}</definedName>
    <definedName name="çlassde" localSheetId="1" hidden="1">{#N/A,#N/A,FALSE,"Plan1";#N/A,#N/A,FALSE,"Plan2"}</definedName>
    <definedName name="çlassde" localSheetId="0">{#N/A,#N/A,FALSE,"Plan1";#N/A,#N/A,FALSE,"Plan2"}</definedName>
    <definedName name="çlassde" localSheetId="11" hidden="1">{#N/A,#N/A,FALSE,"Plan1";#N/A,#N/A,FALSE,"Plan2"}</definedName>
    <definedName name="çlassde" localSheetId="12" hidden="1">{#N/A,#N/A,FALSE,"Plan1";#N/A,#N/A,FALSE,"Plan2"}</definedName>
    <definedName name="çlassde" hidden="1">{#N/A,#N/A,FALSE,"Plan1";#N/A,#N/A,FALSE,"Plan2"}</definedName>
    <definedName name="Classificação" localSheetId="8">#REF!</definedName>
    <definedName name="Classificação" localSheetId="5">#REF!</definedName>
    <definedName name="Classificação" localSheetId="9">#REF!</definedName>
    <definedName name="Classificação" localSheetId="10">#REF!</definedName>
    <definedName name="Classificação" localSheetId="0">#REF!</definedName>
    <definedName name="Classificação" localSheetId="11">#REF!</definedName>
    <definedName name="Classificação" localSheetId="12">#REF!</definedName>
    <definedName name="Classificação">#REF!</definedName>
    <definedName name="çlçlç" localSheetId="3" hidden="1">{#N/A,#N/A,FALSE,"Plan1";#N/A,#N/A,FALSE,"Plan2"}</definedName>
    <definedName name="çlçlç" localSheetId="8">{#N/A,#N/A,FALSE,"Plan1";#N/A,#N/A,FALSE,"Plan2"}</definedName>
    <definedName name="çlçlç" localSheetId="5" hidden="1">{#N/A,#N/A,FALSE,"Plan1";#N/A,#N/A,FALSE,"Plan2"}</definedName>
    <definedName name="çlçlç" localSheetId="4" hidden="1">{#N/A,#N/A,FALSE,"Plan1";#N/A,#N/A,FALSE,"Plan2"}</definedName>
    <definedName name="çlçlç" localSheetId="9">{#N/A,#N/A,FALSE,"Plan1";#N/A,#N/A,FALSE,"Plan2"}</definedName>
    <definedName name="çlçlç" localSheetId="10" hidden="1">{#N/A,#N/A,FALSE,"Plan1";#N/A,#N/A,FALSE,"Plan2"}</definedName>
    <definedName name="çlçlç" localSheetId="1" hidden="1">{#N/A,#N/A,FALSE,"Plan1";#N/A,#N/A,FALSE,"Plan2"}</definedName>
    <definedName name="çlçlç" localSheetId="0">{#N/A,#N/A,FALSE,"Plan1";#N/A,#N/A,FALSE,"Plan2"}</definedName>
    <definedName name="çlçlç" localSheetId="11" hidden="1">{#N/A,#N/A,FALSE,"Plan1";#N/A,#N/A,FALSE,"Plan2"}</definedName>
    <definedName name="çlçlç" localSheetId="12" hidden="1">{#N/A,#N/A,FALSE,"Plan1";#N/A,#N/A,FALSE,"Plan2"}</definedName>
    <definedName name="çlçlç" hidden="1">{#N/A,#N/A,FALSE,"Plan1";#N/A,#N/A,FALSE,"Plan2"}</definedName>
    <definedName name="çld" localSheetId="3" hidden="1">{#N/A,#N/A,FALSE,"Plan1";#N/A,#N/A,FALSE,"Plan2"}</definedName>
    <definedName name="çld" localSheetId="8">{#N/A,#N/A,FALSE,"Plan1";#N/A,#N/A,FALSE,"Plan2"}</definedName>
    <definedName name="çld" localSheetId="5" hidden="1">{#N/A,#N/A,FALSE,"Plan1";#N/A,#N/A,FALSE,"Plan2"}</definedName>
    <definedName name="çld" localSheetId="4" hidden="1">{#N/A,#N/A,FALSE,"Plan1";#N/A,#N/A,FALSE,"Plan2"}</definedName>
    <definedName name="çld" localSheetId="9">{#N/A,#N/A,FALSE,"Plan1";#N/A,#N/A,FALSE,"Plan2"}</definedName>
    <definedName name="çld" localSheetId="10" hidden="1">{#N/A,#N/A,FALSE,"Plan1";#N/A,#N/A,FALSE,"Plan2"}</definedName>
    <definedName name="çld" localSheetId="1" hidden="1">{#N/A,#N/A,FALSE,"Plan1";#N/A,#N/A,FALSE,"Plan2"}</definedName>
    <definedName name="çld" localSheetId="0">{#N/A,#N/A,FALSE,"Plan1";#N/A,#N/A,FALSE,"Plan2"}</definedName>
    <definedName name="çld" localSheetId="11" hidden="1">{#N/A,#N/A,FALSE,"Plan1";#N/A,#N/A,FALSE,"Plan2"}</definedName>
    <definedName name="çld" localSheetId="12" hidden="1">{#N/A,#N/A,FALSE,"Plan1";#N/A,#N/A,FALSE,"Plan2"}</definedName>
    <definedName name="çld" hidden="1">{#N/A,#N/A,FALSE,"Plan1";#N/A,#N/A,FALSE,"Plan2"}</definedName>
    <definedName name="çlererr" localSheetId="3" hidden="1">{#N/A,#N/A,FALSE,"Plan1";#N/A,#N/A,FALSE,"Plan2"}</definedName>
    <definedName name="çlererr" localSheetId="8">{#N/A,#N/A,FALSE,"Plan1";#N/A,#N/A,FALSE,"Plan2"}</definedName>
    <definedName name="çlererr" localSheetId="5" hidden="1">{#N/A,#N/A,FALSE,"Plan1";#N/A,#N/A,FALSE,"Plan2"}</definedName>
    <definedName name="çlererr" localSheetId="4" hidden="1">{#N/A,#N/A,FALSE,"Plan1";#N/A,#N/A,FALSE,"Plan2"}</definedName>
    <definedName name="çlererr" localSheetId="9">{#N/A,#N/A,FALSE,"Plan1";#N/A,#N/A,FALSE,"Plan2"}</definedName>
    <definedName name="çlererr" localSheetId="10" hidden="1">{#N/A,#N/A,FALSE,"Plan1";#N/A,#N/A,FALSE,"Plan2"}</definedName>
    <definedName name="çlererr" localSheetId="1" hidden="1">{#N/A,#N/A,FALSE,"Plan1";#N/A,#N/A,FALSE,"Plan2"}</definedName>
    <definedName name="çlererr" localSheetId="0">{#N/A,#N/A,FALSE,"Plan1";#N/A,#N/A,FALSE,"Plan2"}</definedName>
    <definedName name="çlererr" localSheetId="11" hidden="1">{#N/A,#N/A,FALSE,"Plan1";#N/A,#N/A,FALSE,"Plan2"}</definedName>
    <definedName name="çlererr" localSheetId="12" hidden="1">{#N/A,#N/A,FALSE,"Plan1";#N/A,#N/A,FALSE,"Plan2"}</definedName>
    <definedName name="çlererr" hidden="1">{#N/A,#N/A,FALSE,"Plan1";#N/A,#N/A,FALSE,"Plan2"}</definedName>
    <definedName name="çlertert" localSheetId="3" hidden="1">{#N/A,#N/A,FALSE,"Plan1";#N/A,#N/A,FALSE,"Plan2"}</definedName>
    <definedName name="çlertert" localSheetId="8">{#N/A,#N/A,FALSE,"Plan1";#N/A,#N/A,FALSE,"Plan2"}</definedName>
    <definedName name="çlertert" localSheetId="5" hidden="1">{#N/A,#N/A,FALSE,"Plan1";#N/A,#N/A,FALSE,"Plan2"}</definedName>
    <definedName name="çlertert" localSheetId="4" hidden="1">{#N/A,#N/A,FALSE,"Plan1";#N/A,#N/A,FALSE,"Plan2"}</definedName>
    <definedName name="çlertert" localSheetId="9">{#N/A,#N/A,FALSE,"Plan1";#N/A,#N/A,FALSE,"Plan2"}</definedName>
    <definedName name="çlertert" localSheetId="10" hidden="1">{#N/A,#N/A,FALSE,"Plan1";#N/A,#N/A,FALSE,"Plan2"}</definedName>
    <definedName name="çlertert" localSheetId="1" hidden="1">{#N/A,#N/A,FALSE,"Plan1";#N/A,#N/A,FALSE,"Plan2"}</definedName>
    <definedName name="çlertert" localSheetId="0">{#N/A,#N/A,FALSE,"Plan1";#N/A,#N/A,FALSE,"Plan2"}</definedName>
    <definedName name="çlertert" localSheetId="11" hidden="1">{#N/A,#N/A,FALSE,"Plan1";#N/A,#N/A,FALSE,"Plan2"}</definedName>
    <definedName name="çlertert" localSheetId="12" hidden="1">{#N/A,#N/A,FALSE,"Plan1";#N/A,#N/A,FALSE,"Plan2"}</definedName>
    <definedName name="çlertert" hidden="1">{#N/A,#N/A,FALSE,"Plan1";#N/A,#N/A,FALSE,"Plan2"}</definedName>
    <definedName name="çlkdflçkrlr" localSheetId="8">#REF!</definedName>
    <definedName name="çlkdflçkrlr" localSheetId="5" hidden="1">#REF!</definedName>
    <definedName name="çlkdflçkrlr" localSheetId="9">#REF!</definedName>
    <definedName name="çlkdflçkrlr" localSheetId="10" hidden="1">#REF!</definedName>
    <definedName name="çlkdflçkrlr" localSheetId="1" hidden="1">#REF!</definedName>
    <definedName name="çlkdflçkrlr" localSheetId="0">#REF!</definedName>
    <definedName name="çlkdflçkrlr" localSheetId="11" hidden="1">#REF!</definedName>
    <definedName name="çlkdflçkrlr" localSheetId="12" hidden="1">#REF!</definedName>
    <definedName name="çlkdflçkrlr" hidden="1">#REF!</definedName>
    <definedName name="çll" localSheetId="3" hidden="1">{#N/A,#N/A,FALSE,"Plan1";#N/A,#N/A,FALSE,"Plan2"}</definedName>
    <definedName name="çll" localSheetId="8">{#N/A,#N/A,FALSE,"Plan1";#N/A,#N/A,FALSE,"Plan2"}</definedName>
    <definedName name="çll" localSheetId="5" hidden="1">{#N/A,#N/A,FALSE,"Plan1";#N/A,#N/A,FALSE,"Plan2"}</definedName>
    <definedName name="çll" localSheetId="4" hidden="1">{#N/A,#N/A,FALSE,"Plan1";#N/A,#N/A,FALSE,"Plan2"}</definedName>
    <definedName name="çll" localSheetId="9">{#N/A,#N/A,FALSE,"Plan1";#N/A,#N/A,FALSE,"Plan2"}</definedName>
    <definedName name="çll" localSheetId="10" hidden="1">{#N/A,#N/A,FALSE,"Plan1";#N/A,#N/A,FALSE,"Plan2"}</definedName>
    <definedName name="çll" localSheetId="1" hidden="1">{#N/A,#N/A,FALSE,"Plan1";#N/A,#N/A,FALSE,"Plan2"}</definedName>
    <definedName name="çll" localSheetId="0">{#N/A,#N/A,FALSE,"Plan1";#N/A,#N/A,FALSE,"Plan2"}</definedName>
    <definedName name="çll" localSheetId="11" hidden="1">{#N/A,#N/A,FALSE,"Plan1";#N/A,#N/A,FALSE,"Plan2"}</definedName>
    <definedName name="çll" localSheetId="12" hidden="1">{#N/A,#N/A,FALSE,"Plan1";#N/A,#N/A,FALSE,"Plan2"}</definedName>
    <definedName name="çll" hidden="1">{#N/A,#N/A,FALSE,"Plan1";#N/A,#N/A,FALSE,"Plan2"}</definedName>
    <definedName name="C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OBRANÇA" localSheetId="8">#REF!</definedName>
    <definedName name="COBRANÇA" localSheetId="5">#REF!</definedName>
    <definedName name="COBRANÇA" localSheetId="9">#REF!</definedName>
    <definedName name="COBRANÇA" localSheetId="10">#REF!</definedName>
    <definedName name="COBRANÇA" localSheetId="0">#REF!</definedName>
    <definedName name="COBRANÇA" localSheetId="11">#REF!</definedName>
    <definedName name="COBRANÇA" localSheetId="12">#REF!</definedName>
    <definedName name="COBRANÇA">#REF!</definedName>
    <definedName name="Cod_Esquadrias" localSheetId="8">#REF!</definedName>
    <definedName name="Cod_Esquadrias" localSheetId="5">#REF!</definedName>
    <definedName name="Cod_Esquadrias" localSheetId="9">#REF!</definedName>
    <definedName name="Cod_Esquadrias" localSheetId="10">#REF!</definedName>
    <definedName name="Cod_Esquadrias" localSheetId="0">#REF!</definedName>
    <definedName name="Cod_Esquadrias" localSheetId="11">#REF!</definedName>
    <definedName name="Cod_Esquadrias" localSheetId="12">#REF!</definedName>
    <definedName name="Cod_Esquadrias">#REF!</definedName>
    <definedName name="CÓDG" localSheetId="8">OFFSET(#REF!,0,0,COUNTA(#REF!),1)</definedName>
    <definedName name="CÓDG" localSheetId="5">OFFSET(#REF!,0,0,COUNTA(#REF!),1)</definedName>
    <definedName name="CÓDG" localSheetId="9">OFFSET(#REF!,0,0,COUNTA(#REF!),1)</definedName>
    <definedName name="CÓDG" localSheetId="10">OFFSET(#REF!,0,0,COUNTA(#REF!),1)</definedName>
    <definedName name="CÓDG" localSheetId="0">OFFSET(#REF!,0,0,COUNTA(#REF!),1)</definedName>
    <definedName name="CÓDG" localSheetId="11">OFFSET(#REF!,0,0,COUNTA(#REF!),1)</definedName>
    <definedName name="CÓDG" localSheetId="12">OFFSET(#REF!,0,0,COUNTA(#REF!),1)</definedName>
    <definedName name="CÓDG">OFFSET(#REF!,0,0,COUNTA(#REF!),1)</definedName>
    <definedName name="codigo2" localSheetId="8">#REF!</definedName>
    <definedName name="codigo2" localSheetId="5">#REF!</definedName>
    <definedName name="codigo2" localSheetId="9">#REF!</definedName>
    <definedName name="codigo2" localSheetId="10">#REF!</definedName>
    <definedName name="codigo2" localSheetId="0">#REF!</definedName>
    <definedName name="codigo2" localSheetId="11">#REF!</definedName>
    <definedName name="codigo2" localSheetId="12">#REF!</definedName>
    <definedName name="codigo2">#REF!</definedName>
    <definedName name="codigo3" localSheetId="8">#REF!</definedName>
    <definedName name="codigo3" localSheetId="5">#REF!</definedName>
    <definedName name="codigo3" localSheetId="9">#REF!</definedName>
    <definedName name="codigo3" localSheetId="10">#REF!</definedName>
    <definedName name="codigo3" localSheetId="0">#REF!</definedName>
    <definedName name="codigo3" localSheetId="11">#REF!</definedName>
    <definedName name="codigo3" localSheetId="12">#REF!</definedName>
    <definedName name="codigo3">#REF!</definedName>
    <definedName name="CÓDT" localSheetId="8">OFFSET(#REF!,0,0,COUNTA(#REF!)+1,1)</definedName>
    <definedName name="CÓDT" localSheetId="5">OFFSET(#REF!,0,0,COUNTA(#REF!)+1,1)</definedName>
    <definedName name="CÓDT" localSheetId="9">OFFSET(#REF!,0,0,COUNTA(#REF!)+1,1)</definedName>
    <definedName name="CÓDT" localSheetId="10">OFFSET(#REF!,0,0,COUNTA(#REF!)+1,1)</definedName>
    <definedName name="CÓDT" localSheetId="0">OFFSET(#REF!,0,0,COUNTA(#REF!)+1,1)</definedName>
    <definedName name="CÓDT" localSheetId="11">OFFSET(#REF!,0,0,COUNTA(#REF!)+1,1)</definedName>
    <definedName name="CÓDT" localSheetId="12">OFFSET(#REF!,0,0,COUNTA(#REF!)+1,1)</definedName>
    <definedName name="CÓDT">OFFSET(#REF!,0,0,COUNTA(#REF!)+1,1)</definedName>
    <definedName name="COFINS" localSheetId="8">#REF!</definedName>
    <definedName name="COFINS" localSheetId="5">#REF!</definedName>
    <definedName name="COFINS" localSheetId="9">#REF!</definedName>
    <definedName name="COFINS" localSheetId="10">#REF!</definedName>
    <definedName name="COFINS" localSheetId="0">#REF!</definedName>
    <definedName name="COFINS" localSheetId="11">#REF!</definedName>
    <definedName name="COFINS" localSheetId="12">#REF!</definedName>
    <definedName name="COFINS">#REF!</definedName>
    <definedName name="cofins2" localSheetId="8">#REF!</definedName>
    <definedName name="cofins2" localSheetId="5">#REF!</definedName>
    <definedName name="cofins2" localSheetId="9">#REF!</definedName>
    <definedName name="cofins2" localSheetId="10">#REF!</definedName>
    <definedName name="cofins2" localSheetId="0">#REF!</definedName>
    <definedName name="cofins2" localSheetId="11">#REF!</definedName>
    <definedName name="cofins2" localSheetId="12">#REF!</definedName>
    <definedName name="cofins2">#REF!</definedName>
    <definedName name="COGS" localSheetId="8">#REF!</definedName>
    <definedName name="COGS" localSheetId="5">#REF!</definedName>
    <definedName name="COGS" localSheetId="9">#REF!</definedName>
    <definedName name="COGS" localSheetId="10">#REF!</definedName>
    <definedName name="COGS" localSheetId="0">#REF!</definedName>
    <definedName name="COGS" localSheetId="11">#REF!</definedName>
    <definedName name="COGS" localSheetId="12">#REF!</definedName>
    <definedName name="COGS">#REF!</definedName>
    <definedName name="COLSUB" localSheetId="8">#REF!</definedName>
    <definedName name="COLSUB" localSheetId="5">#REF!</definedName>
    <definedName name="COLSUB" localSheetId="10">#REF!</definedName>
    <definedName name="COLSUB" localSheetId="11">#REF!</definedName>
    <definedName name="COLSUB" localSheetId="12">#REF!</definedName>
    <definedName name="COLSUB">#REF!</definedName>
    <definedName name="COMISSOES" localSheetId="8">#REF!</definedName>
    <definedName name="COMISSOES" localSheetId="5">#REF!</definedName>
    <definedName name="COMISSOES" localSheetId="10">#REF!</definedName>
    <definedName name="COMISSOES" localSheetId="11">#REF!</definedName>
    <definedName name="COMISSOES" localSheetId="12">#REF!</definedName>
    <definedName name="COMISSOES">#REF!</definedName>
    <definedName name="COMPOSICAO" localSheetId="8">#REF!</definedName>
    <definedName name="COMPOSICAO" localSheetId="5">#REF!</definedName>
    <definedName name="COMPOSICAO" localSheetId="10">#REF!</definedName>
    <definedName name="COMPOSICAO" localSheetId="11">#REF!</definedName>
    <definedName name="COMPOSICAO" localSheetId="12">#REF!</definedName>
    <definedName name="COMPOSICAO">#REF!</definedName>
    <definedName name="composição" localSheetId="8">#REF!</definedName>
    <definedName name="composição" localSheetId="5">#REF!</definedName>
    <definedName name="composição" localSheetId="10">#REF!</definedName>
    <definedName name="composição" localSheetId="11">#REF!</definedName>
    <definedName name="composição" localSheetId="12">#REF!</definedName>
    <definedName name="composição">#REF!</definedName>
    <definedName name="COMPR" localSheetId="8">#REF!</definedName>
    <definedName name="COMPR" localSheetId="5">#REF!</definedName>
    <definedName name="COMPR" localSheetId="10">#REF!</definedName>
    <definedName name="COMPR" localSheetId="11">#REF!</definedName>
    <definedName name="COMPR" localSheetId="12">#REF!</definedName>
    <definedName name="COMPR">#REF!</definedName>
    <definedName name="COMPRIMENTO" localSheetId="8">#REF!</definedName>
    <definedName name="COMPRIMENTO" localSheetId="5">#REF!</definedName>
    <definedName name="COMPRIMENTO" localSheetId="10">#REF!</definedName>
    <definedName name="COMPRIMENTO" localSheetId="11">#REF!</definedName>
    <definedName name="COMPRIMENTO" localSheetId="12">#REF!</definedName>
    <definedName name="COMPRIMENTO">#REF!</definedName>
    <definedName name="COMPROMETIDO" localSheetId="8">#REF!</definedName>
    <definedName name="COMPROMETIDO" localSheetId="5">#REF!</definedName>
    <definedName name="COMPROMETIDO" localSheetId="10">#REF!</definedName>
    <definedName name="COMPROMETIDO" localSheetId="11">#REF!</definedName>
    <definedName name="COMPROMETIDO" localSheetId="12">#REF!</definedName>
    <definedName name="COMPROMETIDO">#REF!</definedName>
    <definedName name="CONFIRMAR" localSheetId="3" hidden="1">{#N/A,#N/A,TRUE,"Quinzena 01 à 15-04-98 "}</definedName>
    <definedName name="CONFIRMAR" localSheetId="8">{#N/A,#N/A,TRUE,"Quinzena 01 à 15-04-98 "}</definedName>
    <definedName name="CONFIRMAR" localSheetId="5" hidden="1">{#N/A,#N/A,TRUE,"Quinzena 01 à 15-04-98 "}</definedName>
    <definedName name="CONFIRMAR" localSheetId="4" hidden="1">{#N/A,#N/A,TRUE,"Quinzena 01 à 15-04-98 "}</definedName>
    <definedName name="CONFIRMAR" localSheetId="9">{#N/A,#N/A,TRUE,"Quinzena 01 à 15-04-98 "}</definedName>
    <definedName name="CONFIRMAR" localSheetId="10" hidden="1">{#N/A,#N/A,TRUE,"Quinzena 01 à 15-04-98 "}</definedName>
    <definedName name="CONFIRMAR" localSheetId="1" hidden="1">{#N/A,#N/A,TRUE,"Quinzena 01 à 15-04-98 "}</definedName>
    <definedName name="CONFIRMAR" localSheetId="0">{#N/A,#N/A,TRUE,"Quinzena 01 à 15-04-98 "}</definedName>
    <definedName name="CONFIRMAR" localSheetId="11" hidden="1">{#N/A,#N/A,TRUE,"Quinzena 01 à 15-04-98 "}</definedName>
    <definedName name="CONFIRMAR" localSheetId="12" hidden="1">{#N/A,#N/A,TRUE,"Quinzena 01 à 15-04-98 "}</definedName>
    <definedName name="CONFIRMAR" hidden="1">{#N/A,#N/A,TRUE,"Quinzena 01 à 15-04-98 "}</definedName>
    <definedName name="cont" localSheetId="3" hidden="1">{#N/A,#N/A,FALSE,"Plan1";#N/A,#N/A,FALSE,"Plan2"}</definedName>
    <definedName name="cont" localSheetId="8">{#N/A,#N/A,FALSE,"Plan1";#N/A,#N/A,FALSE,"Plan2"}</definedName>
    <definedName name="cont" localSheetId="5" hidden="1">{#N/A,#N/A,FALSE,"Plan1";#N/A,#N/A,FALSE,"Plan2"}</definedName>
    <definedName name="cont" localSheetId="4" hidden="1">{#N/A,#N/A,FALSE,"Plan1";#N/A,#N/A,FALSE,"Plan2"}</definedName>
    <definedName name="cont" localSheetId="9">{#N/A,#N/A,FALSE,"Plan1";#N/A,#N/A,FALSE,"Plan2"}</definedName>
    <definedName name="cont" localSheetId="10" hidden="1">{#N/A,#N/A,FALSE,"Plan1";#N/A,#N/A,FALSE,"Plan2"}</definedName>
    <definedName name="cont" localSheetId="1" hidden="1">{#N/A,#N/A,FALSE,"Plan1";#N/A,#N/A,FALSE,"Plan2"}</definedName>
    <definedName name="cont" localSheetId="0">{#N/A,#N/A,FALSE,"Plan1";#N/A,#N/A,FALSE,"Plan2"}</definedName>
    <definedName name="cont" localSheetId="11" hidden="1">{#N/A,#N/A,FALSE,"Plan1";#N/A,#N/A,FALSE,"Plan2"}</definedName>
    <definedName name="cont" localSheetId="12" hidden="1">{#N/A,#N/A,FALSE,"Plan1";#N/A,#N/A,FALSE,"Plan2"}</definedName>
    <definedName name="cont" hidden="1">{#N/A,#N/A,FALSE,"Plan1";#N/A,#N/A,FALSE,"Plan2"}</definedName>
    <definedName name="CONT1" localSheetId="8">#REF!</definedName>
    <definedName name="CONT1" localSheetId="5">#REF!</definedName>
    <definedName name="CONT1" localSheetId="9">#REF!</definedName>
    <definedName name="CONT1" localSheetId="10">#REF!</definedName>
    <definedName name="CONT1" localSheetId="0">#REF!</definedName>
    <definedName name="CONT1" localSheetId="11">#REF!</definedName>
    <definedName name="CONT1" localSheetId="12">#REF!</definedName>
    <definedName name="CONT1">#REF!</definedName>
    <definedName name="CONT2" localSheetId="8">#REF!</definedName>
    <definedName name="CONT2" localSheetId="5">#REF!</definedName>
    <definedName name="CONT2" localSheetId="9">#REF!</definedName>
    <definedName name="CONT2" localSheetId="10">#REF!</definedName>
    <definedName name="CONT2" localSheetId="0">#REF!</definedName>
    <definedName name="CONT2" localSheetId="11">#REF!</definedName>
    <definedName name="CONT2" localSheetId="12">#REF!</definedName>
    <definedName name="CONT2">#REF!</definedName>
    <definedName name="CONT3" localSheetId="8">#REF!</definedName>
    <definedName name="CONT3" localSheetId="5">#REF!</definedName>
    <definedName name="CONT3" localSheetId="9">#REF!</definedName>
    <definedName name="CONT3" localSheetId="10">#REF!</definedName>
    <definedName name="CONT3" localSheetId="0">#REF!</definedName>
    <definedName name="CONT3" localSheetId="11">#REF!</definedName>
    <definedName name="CONT3" localSheetId="12">#REF!</definedName>
    <definedName name="CONT3">#REF!</definedName>
    <definedName name="CONTAIT" localSheetId="8">#REF!</definedName>
    <definedName name="CONTAIT" localSheetId="5">#REF!</definedName>
    <definedName name="CONTAIT" localSheetId="10">#REF!</definedName>
    <definedName name="CONTAIT" localSheetId="11">#REF!</definedName>
    <definedName name="CONTAIT" localSheetId="12">#REF!</definedName>
    <definedName name="CONTAIT">#REF!</definedName>
    <definedName name="CONTREC" localSheetId="8">#REF!</definedName>
    <definedName name="CONTREC" localSheetId="5">#REF!</definedName>
    <definedName name="CONTREC" localSheetId="10">#REF!</definedName>
    <definedName name="CONTREC" localSheetId="11">#REF!</definedName>
    <definedName name="CONTREC" localSheetId="12">#REF!</definedName>
    <definedName name="CONTREC">#REF!</definedName>
    <definedName name="CONTRES" localSheetId="8">#REF!</definedName>
    <definedName name="CONTRES" localSheetId="5">#REF!</definedName>
    <definedName name="CONTRES" localSheetId="10">#REF!</definedName>
    <definedName name="CONTRES" localSheetId="11">#REF!</definedName>
    <definedName name="CONTRES" localSheetId="12">#REF!</definedName>
    <definedName name="CONTRES">#REF!</definedName>
    <definedName name="CONTROLE" localSheetId="8">#REF!</definedName>
    <definedName name="CONTROLE" localSheetId="5">#REF!</definedName>
    <definedName name="CONTROLE" localSheetId="10">#REF!</definedName>
    <definedName name="CONTROLE" localSheetId="11">#REF!</definedName>
    <definedName name="CONTROLE" localSheetId="12">#REF!</definedName>
    <definedName name="CONTROLE">#REF!</definedName>
    <definedName name="Controle_Tecnologico" localSheetId="8">{#N/A,#N/A,FALSE,"Plan1";#N/A,#N/A,FALSE,"Plan2"}</definedName>
    <definedName name="Controle_Tecnologico" hidden="1">{#N/A,#N/A,FALSE,"Plan1";#N/A,#N/A,FALSE,"Plan2"}</definedName>
    <definedName name="Controle_tecnologico1" localSheetId="8">#REF!</definedName>
    <definedName name="Controle_tecnologico1" hidden="1">#REF!</definedName>
    <definedName name="CONVERSÃO" localSheetId="8">#REF!</definedName>
    <definedName name="CONVERSÃO" localSheetId="5">#REF!</definedName>
    <definedName name="CONVERSÃO" localSheetId="10">#REF!</definedName>
    <definedName name="CONVERSÃO" localSheetId="11">#REF!</definedName>
    <definedName name="CONVERSÃO" localSheetId="12">#REF!</definedName>
    <definedName name="CONVERSÃO">#REF!</definedName>
    <definedName name="cpmf" localSheetId="8">#REF!</definedName>
    <definedName name="cpmf" localSheetId="5">#REF!</definedName>
    <definedName name="cpmf" localSheetId="10">#REF!</definedName>
    <definedName name="cpmf" localSheetId="11">#REF!</definedName>
    <definedName name="cpmf" localSheetId="12">#REF!</definedName>
    <definedName name="cpmf">#REF!</definedName>
    <definedName name="Credor_Rel_Sienge" localSheetId="8">#REF!</definedName>
    <definedName name="Credor_Rel_Sienge" localSheetId="5">#REF!</definedName>
    <definedName name="Credor_Rel_Sienge" localSheetId="10">#REF!</definedName>
    <definedName name="Credor_Rel_Sienge" localSheetId="11">#REF!</definedName>
    <definedName name="Credor_Rel_Sienge" localSheetId="12">#REF!</definedName>
    <definedName name="Credor_Rel_Sienge">#REF!</definedName>
    <definedName name="_xlnm.Criteria" localSheetId="5">#REF!</definedName>
    <definedName name="_xlnm.Criteria" localSheetId="10">#REF!</definedName>
    <definedName name="_xlnm.Criteria" localSheetId="11">#REF!</definedName>
    <definedName name="_xlnm.Criteria" localSheetId="12">#REF!</definedName>
    <definedName name="_xlnm.Criteria">#REF!</definedName>
    <definedName name="CRONG" localSheetId="8">#REF!</definedName>
    <definedName name="CRONG" localSheetId="5">#REF!</definedName>
    <definedName name="CRONG" localSheetId="10">#REF!</definedName>
    <definedName name="CRONG" localSheetId="11">#REF!</definedName>
    <definedName name="CRONG" localSheetId="12">#REF!</definedName>
    <definedName name="CRONG">#REF!</definedName>
    <definedName name="cronograma" localSheetId="8">#REF!</definedName>
    <definedName name="cronograma" localSheetId="5">#REF!</definedName>
    <definedName name="cronograma" localSheetId="10">#REF!</definedName>
    <definedName name="cronograma" localSheetId="1">#REF!</definedName>
    <definedName name="cronograma" localSheetId="11">#REF!</definedName>
    <definedName name="cronograma" localSheetId="12">#REF!</definedName>
    <definedName name="cronograma">#REF!</definedName>
    <definedName name="CRONOGRAMA_FÍSICO_FINANCEIRO" localSheetId="8">#REF!</definedName>
    <definedName name="CRONOGRAMA_FÍSICO_FINANCEIRO" localSheetId="5">#REF!</definedName>
    <definedName name="CRONOGRAMA_FÍSICO_FINANCEIRO" localSheetId="10">#REF!</definedName>
    <definedName name="CRONOGRAMA_FÍSICO_FINANCEIRO" localSheetId="11">#REF!</definedName>
    <definedName name="CRONOGRAMA_FÍSICO_FINANCEIRO" localSheetId="12">#REF!</definedName>
    <definedName name="CRONOGRAMA_FÍSICO_FINANCEIRO">#REF!</definedName>
    <definedName name="CS" localSheetId="8">#REF!</definedName>
    <definedName name="CS" localSheetId="5">#REF!</definedName>
    <definedName name="CS" localSheetId="10">#REF!</definedName>
    <definedName name="CS" localSheetId="11">#REF!</definedName>
    <definedName name="CS" localSheetId="12">#REF!</definedName>
    <definedName name="CS">#REF!</definedName>
    <definedName name="cs_diferida" localSheetId="8">#REF!</definedName>
    <definedName name="cs_diferida" localSheetId="5">#REF!</definedName>
    <definedName name="cs_diferida" localSheetId="10">#REF!</definedName>
    <definedName name="cs_diferida" localSheetId="11">#REF!</definedName>
    <definedName name="cs_diferida" localSheetId="12">#REF!</definedName>
    <definedName name="cs_diferida">#REF!</definedName>
    <definedName name="ÇSAÇDFW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AÇDFW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dkfçdrkt" localSheetId="8">#REF!</definedName>
    <definedName name="çsdkfçdrkt" localSheetId="5" hidden="1">#REF!</definedName>
    <definedName name="çsdkfçdrkt" localSheetId="9">#REF!</definedName>
    <definedName name="çsdkfçdrkt" localSheetId="10" hidden="1">#REF!</definedName>
    <definedName name="çsdkfçdrkt" localSheetId="1" hidden="1">#REF!</definedName>
    <definedName name="çsdkfçdrkt" localSheetId="0">#REF!</definedName>
    <definedName name="çsdkfçdrkt" localSheetId="11" hidden="1">#REF!</definedName>
    <definedName name="çsdkfçdrkt" localSheetId="12" hidden="1">#REF!</definedName>
    <definedName name="çsdkfçdrkt" hidden="1">#REF!</definedName>
    <definedName name="C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C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ÇSLÇDLFKD" localSheetId="3" hidden="1">{#N/A,#N/A,FALSE,"Plan1";#N/A,#N/A,FALSE,"Plan2"}</definedName>
    <definedName name="ÇSLÇDLFKD" localSheetId="8">{#N/A,#N/A,FALSE,"Plan1";#N/A,#N/A,FALSE,"Plan2"}</definedName>
    <definedName name="ÇSLÇDLFKD" localSheetId="5" hidden="1">{#N/A,#N/A,FALSE,"Plan1";#N/A,#N/A,FALSE,"Plan2"}</definedName>
    <definedName name="ÇSLÇDLFKD" localSheetId="4" hidden="1">{#N/A,#N/A,FALSE,"Plan1";#N/A,#N/A,FALSE,"Plan2"}</definedName>
    <definedName name="ÇSLÇDLFKD" localSheetId="9">{#N/A,#N/A,FALSE,"Plan1";#N/A,#N/A,FALSE,"Plan2"}</definedName>
    <definedName name="ÇSLÇDLFKD" localSheetId="10" hidden="1">{#N/A,#N/A,FALSE,"Plan1";#N/A,#N/A,FALSE,"Plan2"}</definedName>
    <definedName name="ÇSLÇDLFKD" localSheetId="1" hidden="1">{#N/A,#N/A,FALSE,"Plan1";#N/A,#N/A,FALSE,"Plan2"}</definedName>
    <definedName name="ÇSLÇDLFKD" localSheetId="0">{#N/A,#N/A,FALSE,"Plan1";#N/A,#N/A,FALSE,"Plan2"}</definedName>
    <definedName name="ÇSLÇDLFKD" localSheetId="11" hidden="1">{#N/A,#N/A,FALSE,"Plan1";#N/A,#N/A,FALSE,"Plan2"}</definedName>
    <definedName name="ÇSLÇDLFKD" localSheetId="12" hidden="1">{#N/A,#N/A,FALSE,"Plan1";#N/A,#N/A,FALSE,"Plan2"}</definedName>
    <definedName name="ÇSLÇDLFKD" hidden="1">{#N/A,#N/A,FALSE,"Plan1";#N/A,#N/A,FALSE,"Plan2"}</definedName>
    <definedName name="CT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UST_DIR_IND" localSheetId="8">#REF!</definedName>
    <definedName name="CUST_DIR_IND" localSheetId="5">#REF!</definedName>
    <definedName name="CUST_DIR_IND" localSheetId="9">#REF!</definedName>
    <definedName name="CUST_DIR_IND" localSheetId="10">#REF!</definedName>
    <definedName name="CUST_DIR_IND" localSheetId="0">#REF!</definedName>
    <definedName name="CUST_DIR_IND" localSheetId="11">#REF!</definedName>
    <definedName name="CUST_DIR_IND" localSheetId="12">#REF!</definedName>
    <definedName name="CUST_DIR_IND">#REF!</definedName>
    <definedName name="CUSTINDIRETO" localSheetId="8">#REF!</definedName>
    <definedName name="CUSTINDIRETO" localSheetId="5">#REF!</definedName>
    <definedName name="CUSTINDIRETO" localSheetId="9">#REF!</definedName>
    <definedName name="CUSTINDIRETO" localSheetId="10">#REF!</definedName>
    <definedName name="CUSTINDIRETO" localSheetId="0">#REF!</definedName>
    <definedName name="CUSTINDIRETO" localSheetId="11">#REF!</definedName>
    <definedName name="CUSTINDIRETO" localSheetId="12">#REF!</definedName>
    <definedName name="CUSTINDIRETO">#REF!</definedName>
    <definedName name="CUSTO_DIR_IND" localSheetId="8">#REF!</definedName>
    <definedName name="CUSTO_DIR_IND" localSheetId="5">#REF!</definedName>
    <definedName name="CUSTO_DIR_IND" localSheetId="9">#REF!</definedName>
    <definedName name="CUSTO_DIR_IND" localSheetId="10">#REF!</definedName>
    <definedName name="CUSTO_DIR_IND" localSheetId="0">#REF!</definedName>
    <definedName name="CUSTO_DIR_IND" localSheetId="11">#REF!</definedName>
    <definedName name="CUSTO_DIR_IND" localSheetId="12">#REF!</definedName>
    <definedName name="CUSTO_DIR_IND">#REF!</definedName>
    <definedName name="Custo_Direto_de_Obras_Civis_e_Instalações_..........................................." localSheetId="8">#REF!</definedName>
    <definedName name="Custo_Direto_de_Obras_Civis_e_Instalações_..........................................." localSheetId="5">#REF!</definedName>
    <definedName name="Custo_Direto_de_Obras_Civis_e_Instalações_..........................................." localSheetId="10">#REF!</definedName>
    <definedName name="Custo_Direto_de_Obras_Civis_e_Instalações_..........................................." localSheetId="11">#REF!</definedName>
    <definedName name="Custo_Direto_de_Obras_Civis_e_Instalações_..........................................." localSheetId="12">#REF!</definedName>
    <definedName name="Custo_Direto_de_Obras_Civis_e_Instalações_...........................................">#REF!</definedName>
    <definedName name="Custo_Direto_em_geral" localSheetId="8">#REF!</definedName>
    <definedName name="Custo_Direto_em_geral" localSheetId="5">#REF!</definedName>
    <definedName name="Custo_Direto_em_geral" localSheetId="10">#REF!</definedName>
    <definedName name="Custo_Direto_em_geral" localSheetId="11">#REF!</definedName>
    <definedName name="Custo_Direto_em_geral" localSheetId="12">#REF!</definedName>
    <definedName name="Custo_Direto_em_geral">#REF!</definedName>
    <definedName name="custo_financing" localSheetId="8">#REF!</definedName>
    <definedName name="custo_financing" localSheetId="5">#REF!</definedName>
    <definedName name="custo_financing" localSheetId="10">#REF!</definedName>
    <definedName name="custo_financing" localSheetId="11">#REF!</definedName>
    <definedName name="custo_financing" localSheetId="12">#REF!</definedName>
    <definedName name="custo_financing">#REF!</definedName>
    <definedName name="CUSTO_OUTROS" localSheetId="8">#REF!</definedName>
    <definedName name="CUSTO_OUTROS" localSheetId="5">#REF!</definedName>
    <definedName name="CUSTO_OUTROS" localSheetId="10">#REF!</definedName>
    <definedName name="CUSTO_OUTROS" localSheetId="11">#REF!</definedName>
    <definedName name="CUSTO_OUTROS" localSheetId="12">#REF!</definedName>
    <definedName name="CUSTO_OUTROS">#REF!</definedName>
    <definedName name="Custo_Outros1" localSheetId="8">#REF!</definedName>
    <definedName name="Custo_Outros1" localSheetId="5">#REF!</definedName>
    <definedName name="Custo_Outros1" localSheetId="10">#REF!</definedName>
    <definedName name="Custo_Outros1" localSheetId="11">#REF!</definedName>
    <definedName name="Custo_Outros1" localSheetId="12">#REF!</definedName>
    <definedName name="Custo_Outros1">#REF!</definedName>
    <definedName name="CUSTODIRETO" localSheetId="8">#REF!</definedName>
    <definedName name="CUSTODIRETO" localSheetId="5">#REF!</definedName>
    <definedName name="CUSTODIRETO" localSheetId="10">#REF!</definedName>
    <definedName name="CUSTODIRETO" localSheetId="11">#REF!</definedName>
    <definedName name="CUSTODIRETO" localSheetId="12">#REF!</definedName>
    <definedName name="CUSTODIRETO">#REF!</definedName>
    <definedName name="CUSTODIRETO_R" localSheetId="8">#REF!</definedName>
    <definedName name="CUSTODIRETO_R" localSheetId="5">#REF!</definedName>
    <definedName name="CUSTODIRETO_R" localSheetId="10">#REF!</definedName>
    <definedName name="CUSTODIRETO_R" localSheetId="11">#REF!</definedName>
    <definedName name="CUSTODIRETO_R" localSheetId="12">#REF!</definedName>
    <definedName name="CUSTODIRETO_R">#REF!</definedName>
    <definedName name="CUSTODIRETO_U" localSheetId="8">#REF!</definedName>
    <definedName name="CUSTODIRETO_U" localSheetId="5">#REF!</definedName>
    <definedName name="CUSTODIRETO_U" localSheetId="10">#REF!</definedName>
    <definedName name="CUSTODIRETO_U" localSheetId="11">#REF!</definedName>
    <definedName name="CUSTODIRETO_U" localSheetId="12">#REF!</definedName>
    <definedName name="CUSTODIRETO_U">#REF!</definedName>
    <definedName name="CUSTODIRETO1" localSheetId="8">#REF!</definedName>
    <definedName name="CUSTODIRETO1" localSheetId="5">#REF!</definedName>
    <definedName name="CUSTODIRETO1" localSheetId="10">#REF!</definedName>
    <definedName name="CUSTODIRETO1" localSheetId="11">#REF!</definedName>
    <definedName name="CUSTODIRETO1" localSheetId="12">#REF!</definedName>
    <definedName name="CUSTODIRETO1">#REF!</definedName>
    <definedName name="CUSTOFIN" localSheetId="8">#REF!</definedName>
    <definedName name="CUSTOFIN" localSheetId="5">#REF!</definedName>
    <definedName name="CUSTOFIN" localSheetId="10">#REF!</definedName>
    <definedName name="CUSTOFIN" localSheetId="11">#REF!</definedName>
    <definedName name="CUSTOFIN" localSheetId="12">#REF!</definedName>
    <definedName name="CUSTOFIN">#REF!</definedName>
    <definedName name="D" localSheetId="8">#REF!</definedName>
    <definedName name="D" localSheetId="5">#REF!</definedName>
    <definedName name="D" localSheetId="10">#REF!</definedName>
    <definedName name="D" localSheetId="1">#REF!</definedName>
    <definedName name="D" localSheetId="11">#REF!</definedName>
    <definedName name="D" localSheetId="12">#REF!</definedName>
    <definedName name="D">#REF!</definedName>
    <definedName name="da" localSheetId="8">#REF!</definedName>
    <definedName name="da" localSheetId="5">#REF!</definedName>
    <definedName name="da" localSheetId="10">#REF!</definedName>
    <definedName name="da" localSheetId="11">#REF!</definedName>
    <definedName name="da" localSheetId="12">#REF!</definedName>
    <definedName name="da">#REF!</definedName>
    <definedName name="dalm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lm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sfrt" localSheetId="3" hidden="1">{#N/A,#N/A,FALSE,"Plan1";#N/A,#N/A,FALSE,"Plan2"}</definedName>
    <definedName name="dasfrt" localSheetId="8">{#N/A,#N/A,FALSE,"Plan1";#N/A,#N/A,FALSE,"Plan2"}</definedName>
    <definedName name="dasfrt" localSheetId="5" hidden="1">{#N/A,#N/A,FALSE,"Plan1";#N/A,#N/A,FALSE,"Plan2"}</definedName>
    <definedName name="dasfrt" localSheetId="4" hidden="1">{#N/A,#N/A,FALSE,"Plan1";#N/A,#N/A,FALSE,"Plan2"}</definedName>
    <definedName name="dasfrt" localSheetId="9">{#N/A,#N/A,FALSE,"Plan1";#N/A,#N/A,FALSE,"Plan2"}</definedName>
    <definedName name="dasfrt" localSheetId="10" hidden="1">{#N/A,#N/A,FALSE,"Plan1";#N/A,#N/A,FALSE,"Plan2"}</definedName>
    <definedName name="dasfrt" localSheetId="1" hidden="1">{#N/A,#N/A,FALSE,"Plan1";#N/A,#N/A,FALSE,"Plan2"}</definedName>
    <definedName name="dasfrt" localSheetId="0">{#N/A,#N/A,FALSE,"Plan1";#N/A,#N/A,FALSE,"Plan2"}</definedName>
    <definedName name="dasfrt" localSheetId="11" hidden="1">{#N/A,#N/A,FALSE,"Plan1";#N/A,#N/A,FALSE,"Plan2"}</definedName>
    <definedName name="dasfrt" localSheetId="12" hidden="1">{#N/A,#N/A,FALSE,"Plan1";#N/A,#N/A,FALSE,"Plan2"}</definedName>
    <definedName name="dasfrt" hidden="1">{#N/A,#N/A,FALSE,"Plan1";#N/A,#N/A,FALSE,"Plan2"}</definedName>
    <definedName name="DATA" localSheetId="8">#REF!</definedName>
    <definedName name="DATA" localSheetId="5">#REF!</definedName>
    <definedName name="DATA" localSheetId="9">#REF!</definedName>
    <definedName name="DATA" localSheetId="10">#REF!</definedName>
    <definedName name="DATA" localSheetId="0">#REF!</definedName>
    <definedName name="DATA" localSheetId="11">#REF!</definedName>
    <definedName name="DATA" localSheetId="12">#REF!</definedName>
    <definedName name="DATA">#REF!</definedName>
    <definedName name="Data_base" localSheetId="8">#REF!</definedName>
    <definedName name="Data_base" localSheetId="5">#REF!</definedName>
    <definedName name="Data_base" localSheetId="9">#REF!</definedName>
    <definedName name="Data_base" localSheetId="10">#REF!</definedName>
    <definedName name="Data_base" localSheetId="0">#REF!</definedName>
    <definedName name="Data_base" localSheetId="11">#REF!</definedName>
    <definedName name="Data_base" localSheetId="12">#REF!</definedName>
    <definedName name="Data_base">#REF!</definedName>
    <definedName name="data_base_VL" localSheetId="8">#REF!</definedName>
    <definedName name="data_base_VL" localSheetId="5">#REF!</definedName>
    <definedName name="data_base_VL" localSheetId="9">#REF!</definedName>
    <definedName name="data_base_VL" localSheetId="10">#REF!</definedName>
    <definedName name="data_base_VL" localSheetId="0">#REF!</definedName>
    <definedName name="data_base_VL" localSheetId="11">#REF!</definedName>
    <definedName name="data_base_VL" localSheetId="12">#REF!</definedName>
    <definedName name="data_base_VL">#REF!</definedName>
    <definedName name="DATA_COTAÇÃO" localSheetId="8">#REF!</definedName>
    <definedName name="DATA_COTAÇÃO" localSheetId="5">#REF!</definedName>
    <definedName name="DATA_COTAÇÃO" localSheetId="10">#REF!</definedName>
    <definedName name="DATA_COTAÇÃO" localSheetId="11">#REF!</definedName>
    <definedName name="DATA_COTAÇÃO" localSheetId="12">#REF!</definedName>
    <definedName name="DATA_COTAÇÃO">#REF!</definedName>
    <definedName name="DATA_ENTREGA" localSheetId="8">#REF!</definedName>
    <definedName name="DATA_ENTREGA" localSheetId="5">#REF!</definedName>
    <definedName name="DATA_ENTREGA" localSheetId="10">#REF!</definedName>
    <definedName name="DATA_ENTREGA" localSheetId="11">#REF!</definedName>
    <definedName name="DATA_ENTREGA" localSheetId="12">#REF!</definedName>
    <definedName name="DATA_ENTREGA">#REF!</definedName>
    <definedName name="DATA_FECHA" localSheetId="8">#REF!</definedName>
    <definedName name="DATA_FECHA" localSheetId="5">#REF!</definedName>
    <definedName name="DATA_FECHA" localSheetId="10">#REF!</definedName>
    <definedName name="DATA_FECHA" localSheetId="11">#REF!</definedName>
    <definedName name="DATA_FECHA" localSheetId="12">#REF!</definedName>
    <definedName name="DATA_FECHA">#REF!</definedName>
    <definedName name="Data_Inicio" localSheetId="8">#REF!</definedName>
    <definedName name="Data_Inicio" localSheetId="5">#REF!</definedName>
    <definedName name="Data_Inicio" localSheetId="10">#REF!</definedName>
    <definedName name="Data_Inicio" localSheetId="11">#REF!</definedName>
    <definedName name="Data_Inicio" localSheetId="12">#REF!</definedName>
    <definedName name="Data_Inicio">#REF!</definedName>
    <definedName name="Data_Lançado_Sienge" localSheetId="8">#REF!</definedName>
    <definedName name="Data_Lançado_Sienge" localSheetId="5">#REF!</definedName>
    <definedName name="Data_Lançado_Sienge" localSheetId="10">#REF!</definedName>
    <definedName name="Data_Lançado_Sienge" localSheetId="11">#REF!</definedName>
    <definedName name="Data_Lançado_Sienge" localSheetId="12">#REF!</definedName>
    <definedName name="Data_Lançado_Sienge">#REF!</definedName>
    <definedName name="Data_Pagamento_Sienge" localSheetId="8">#REF!</definedName>
    <definedName name="Data_Pagamento_Sienge" localSheetId="5">#REF!</definedName>
    <definedName name="Data_Pagamento_Sienge" localSheetId="10">#REF!</definedName>
    <definedName name="Data_Pagamento_Sienge" localSheetId="11">#REF!</definedName>
    <definedName name="Data_Pagamento_Sienge" localSheetId="12">#REF!</definedName>
    <definedName name="Data_Pagamento_Sienge">#REF!</definedName>
    <definedName name="Data_Previsão_Medição_Fin_Medição" localSheetId="8">#REF!</definedName>
    <definedName name="Data_Previsão_Medição_Fin_Medição" localSheetId="5">#REF!</definedName>
    <definedName name="Data_Previsão_Medição_Fin_Medição" localSheetId="10">#REF!</definedName>
    <definedName name="Data_Previsão_Medição_Fin_Medição" localSheetId="11">#REF!</definedName>
    <definedName name="Data_Previsão_Medição_Fin_Medição" localSheetId="12">#REF!</definedName>
    <definedName name="Data_Previsão_Medição_Fin_Medição">#REF!</definedName>
    <definedName name="Data_Tendência_Recebimento_Fin_Medições" localSheetId="8">#REF!</definedName>
    <definedName name="Data_Tendência_Recebimento_Fin_Medições" localSheetId="5">#REF!</definedName>
    <definedName name="Data_Tendência_Recebimento_Fin_Medições" localSheetId="10">#REF!</definedName>
    <definedName name="Data_Tendência_Recebimento_Fin_Medições" localSheetId="11">#REF!</definedName>
    <definedName name="Data_Tendência_Recebimento_Fin_Medições" localSheetId="12">#REF!</definedName>
    <definedName name="Data_Tendência_Recebimento_Fin_Medições">#REF!</definedName>
    <definedName name="DATA1" localSheetId="8">#REF!</definedName>
    <definedName name="DATA1" localSheetId="5">#REF!</definedName>
    <definedName name="DATA1" localSheetId="10">#REF!</definedName>
    <definedName name="DATA1" localSheetId="11">#REF!</definedName>
    <definedName name="DATA1" localSheetId="12">#REF!</definedName>
    <definedName name="DATA1">#REF!</definedName>
    <definedName name="DATA3" localSheetId="8">#REF!</definedName>
    <definedName name="DATA3" localSheetId="5">#REF!</definedName>
    <definedName name="DATA3" localSheetId="10">#REF!</definedName>
    <definedName name="DATA3" localSheetId="11">#REF!</definedName>
    <definedName name="DATA3" localSheetId="12">#REF!</definedName>
    <definedName name="DATA3">#REF!</definedName>
    <definedName name="DATA4" localSheetId="8">#REF!</definedName>
    <definedName name="DATA4" localSheetId="5">#REF!</definedName>
    <definedName name="DATA4" localSheetId="10">#REF!</definedName>
    <definedName name="DATA4" localSheetId="11">#REF!</definedName>
    <definedName name="DATA4" localSheetId="12">#REF!</definedName>
    <definedName name="DATA4">#REF!</definedName>
    <definedName name="DATA6" localSheetId="8">#REF!</definedName>
    <definedName name="DATA6" localSheetId="5">#REF!</definedName>
    <definedName name="DATA6" localSheetId="10">#REF!</definedName>
    <definedName name="DATA6" localSheetId="11">#REF!</definedName>
    <definedName name="DATA6" localSheetId="12">#REF!</definedName>
    <definedName name="DATA6">#REF!</definedName>
    <definedName name="Database">#REF!</definedName>
    <definedName name="DataChaves_MAP" localSheetId="8">#REF!</definedName>
    <definedName name="DataChaves_MAP" localSheetId="5">#REF!</definedName>
    <definedName name="DataChaves_MAP" localSheetId="10">#REF!</definedName>
    <definedName name="DataChaves_MAP" localSheetId="11">#REF!</definedName>
    <definedName name="DataChaves_MAP" localSheetId="12">#REF!</definedName>
    <definedName name="DataChaves_MAP">#REF!</definedName>
    <definedName name="DatasOut13AteDez20" localSheetId="8">#REF!</definedName>
    <definedName name="DatasOut13AteDez20" localSheetId="5">#REF!</definedName>
    <definedName name="DatasOut13AteDez20" localSheetId="10">#REF!</definedName>
    <definedName name="DatasOut13AteDez20" localSheetId="11">#REF!</definedName>
    <definedName name="DatasOut13AteDez20" localSheetId="12">#REF!</definedName>
    <definedName name="DatasOut13AteDez20">#REF!</definedName>
    <definedName name="DÇDL" localSheetId="3" hidden="1">{#N/A,#N/A,FALSE,"Plan1";#N/A,#N/A,FALSE,"Plan2"}</definedName>
    <definedName name="DÇDL" localSheetId="8">{#N/A,#N/A,FALSE,"Plan1";#N/A,#N/A,FALSE,"Plan2"}</definedName>
    <definedName name="DÇDL" localSheetId="5" hidden="1">{#N/A,#N/A,FALSE,"Plan1";#N/A,#N/A,FALSE,"Plan2"}</definedName>
    <definedName name="DÇDL" localSheetId="4" hidden="1">{#N/A,#N/A,FALSE,"Plan1";#N/A,#N/A,FALSE,"Plan2"}</definedName>
    <definedName name="DÇDL" localSheetId="9">{#N/A,#N/A,FALSE,"Plan1";#N/A,#N/A,FALSE,"Plan2"}</definedName>
    <definedName name="DÇDL" localSheetId="10" hidden="1">{#N/A,#N/A,FALSE,"Plan1";#N/A,#N/A,FALSE,"Plan2"}</definedName>
    <definedName name="DÇDL" localSheetId="1" hidden="1">{#N/A,#N/A,FALSE,"Plan1";#N/A,#N/A,FALSE,"Plan2"}</definedName>
    <definedName name="DÇDL" localSheetId="0">{#N/A,#N/A,FALSE,"Plan1";#N/A,#N/A,FALSE,"Plan2"}</definedName>
    <definedName name="DÇDL" localSheetId="11" hidden="1">{#N/A,#N/A,FALSE,"Plan1";#N/A,#N/A,FALSE,"Plan2"}</definedName>
    <definedName name="DÇDL" localSheetId="12" hidden="1">{#N/A,#N/A,FALSE,"Plan1";#N/A,#N/A,FALSE,"Plan2"}</definedName>
    <definedName name="DÇDL" hidden="1">{#N/A,#N/A,FALSE,"Plan1";#N/A,#N/A,FALSE,"Plan2"}</definedName>
    <definedName name="dchart26" localSheetId="8">#REF!</definedName>
    <definedName name="dchart26" localSheetId="5" hidden="1">#REF!</definedName>
    <definedName name="dchart26" localSheetId="9">#REF!</definedName>
    <definedName name="dchart26" localSheetId="10" hidden="1">#REF!</definedName>
    <definedName name="dchart26" localSheetId="1" hidden="1">#REF!</definedName>
    <definedName name="dchart26" localSheetId="0">#REF!</definedName>
    <definedName name="dchart26" localSheetId="11" hidden="1">#REF!</definedName>
    <definedName name="dchart26" localSheetId="12" hidden="1">#REF!</definedName>
    <definedName name="dchart26" hidden="1">#REF!</definedName>
    <definedName name="dchart31" localSheetId="8">#REF!</definedName>
    <definedName name="dchart31" localSheetId="5" hidden="1">#REF!</definedName>
    <definedName name="dchart31" localSheetId="9">#REF!</definedName>
    <definedName name="dchart31" localSheetId="10" hidden="1">#REF!</definedName>
    <definedName name="dchart31" localSheetId="1" hidden="1">#REF!</definedName>
    <definedName name="dchart31" localSheetId="0">#REF!</definedName>
    <definedName name="dchart31" localSheetId="11" hidden="1">#REF!</definedName>
    <definedName name="dchart31" localSheetId="12" hidden="1">#REF!</definedName>
    <definedName name="dchart31" hidden="1">#REF!</definedName>
    <definedName name="dcnsfgdjkgb" localSheetId="3" hidden="1">{#N/A,#N/A,FALSE,"Plan1";#N/A,#N/A,FALSE,"Plan2"}</definedName>
    <definedName name="dcnsfgdjkgb" localSheetId="8">{#N/A,#N/A,FALSE,"Plan1";#N/A,#N/A,FALSE,"Plan2"}</definedName>
    <definedName name="dcnsfgdjkgb" localSheetId="5" hidden="1">{#N/A,#N/A,FALSE,"Plan1";#N/A,#N/A,FALSE,"Plan2"}</definedName>
    <definedName name="dcnsfgdjkgb" localSheetId="4" hidden="1">{#N/A,#N/A,FALSE,"Plan1";#N/A,#N/A,FALSE,"Plan2"}</definedName>
    <definedName name="dcnsfgdjkgb" localSheetId="9">{#N/A,#N/A,FALSE,"Plan1";#N/A,#N/A,FALSE,"Plan2"}</definedName>
    <definedName name="dcnsfgdjkgb" localSheetId="10" hidden="1">{#N/A,#N/A,FALSE,"Plan1";#N/A,#N/A,FALSE,"Plan2"}</definedName>
    <definedName name="dcnsfgdjkgb" localSheetId="1" hidden="1">{#N/A,#N/A,FALSE,"Plan1";#N/A,#N/A,FALSE,"Plan2"}</definedName>
    <definedName name="dcnsfgdjkgb" localSheetId="0">{#N/A,#N/A,FALSE,"Plan1";#N/A,#N/A,FALSE,"Plan2"}</definedName>
    <definedName name="dcnsfgdjkgb" localSheetId="11" hidden="1">{#N/A,#N/A,FALSE,"Plan1";#N/A,#N/A,FALSE,"Plan2"}</definedName>
    <definedName name="dcnsfgdjkgb" localSheetId="12" hidden="1">{#N/A,#N/A,FALSE,"Plan1";#N/A,#N/A,FALSE,"Plan2"}</definedName>
    <definedName name="dcnsfgdjkgb" hidden="1">{#N/A,#N/A,FALSE,"Plan1";#N/A,#N/A,FALSE,"Plan2"}</definedName>
    <definedName name="DÇWK" localSheetId="3" hidden="1">{#N/A,#N/A,FALSE,"Plan1";#N/A,#N/A,FALSE,"Plan2"}</definedName>
    <definedName name="DÇWK" localSheetId="8">{#N/A,#N/A,FALSE,"Plan1";#N/A,#N/A,FALSE,"Plan2"}</definedName>
    <definedName name="DÇWK" localSheetId="5" hidden="1">{#N/A,#N/A,FALSE,"Plan1";#N/A,#N/A,FALSE,"Plan2"}</definedName>
    <definedName name="DÇWK" localSheetId="4" hidden="1">{#N/A,#N/A,FALSE,"Plan1";#N/A,#N/A,FALSE,"Plan2"}</definedName>
    <definedName name="DÇWK" localSheetId="9">{#N/A,#N/A,FALSE,"Plan1";#N/A,#N/A,FALSE,"Plan2"}</definedName>
    <definedName name="DÇWK" localSheetId="10" hidden="1">{#N/A,#N/A,FALSE,"Plan1";#N/A,#N/A,FALSE,"Plan2"}</definedName>
    <definedName name="DÇWK" localSheetId="1" hidden="1">{#N/A,#N/A,FALSE,"Plan1";#N/A,#N/A,FALSE,"Plan2"}</definedName>
    <definedName name="DÇWK" localSheetId="0">{#N/A,#N/A,FALSE,"Plan1";#N/A,#N/A,FALSE,"Plan2"}</definedName>
    <definedName name="DÇWK" localSheetId="11" hidden="1">{#N/A,#N/A,FALSE,"Plan1";#N/A,#N/A,FALSE,"Plan2"}</definedName>
    <definedName name="DÇWK" localSheetId="12" hidden="1">{#N/A,#N/A,FALSE,"Plan1";#N/A,#N/A,FALSE,"Plan2"}</definedName>
    <definedName name="DÇWK" hidden="1">{#N/A,#N/A,FALSE,"Plan1";#N/A,#N/A,FALSE,"Plan2"}</definedName>
    <definedName name="D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dd" localSheetId="3" hidden="1">{"'장비'!$A$3:$M$12"}</definedName>
    <definedName name="ddd" localSheetId="8">{"'장비'!$A$3:$M$12"}</definedName>
    <definedName name="DDD" localSheetId="5">#REF!</definedName>
    <definedName name="ddd" localSheetId="4" hidden="1">{"'장비'!$A$3:$M$12"}</definedName>
    <definedName name="DDD" localSheetId="9">#REF!</definedName>
    <definedName name="ddd" localSheetId="10" hidden="1">{"'장비'!$A$3:$M$12"}</definedName>
    <definedName name="ddd" localSheetId="1" hidden="1">{"'장비'!$A$3:$M$12"}</definedName>
    <definedName name="DDD" localSheetId="0">#REF!</definedName>
    <definedName name="ddd" localSheetId="11" hidden="1">{"'장비'!$A$3:$M$12"}</definedName>
    <definedName name="ddd" localSheetId="12" hidden="1">{"'장비'!$A$3:$M$12"}</definedName>
    <definedName name="DDD">#REF!</definedName>
    <definedName name="ddddd" localSheetId="3" hidden="1">{#N/A,#N/A,FALSE,"Plan1";#N/A,#N/A,FALSE,"Plan2"}</definedName>
    <definedName name="ddddd" localSheetId="8">{#N/A,#N/A,FALSE,"Plan1";#N/A,#N/A,FALSE,"Plan2"}</definedName>
    <definedName name="ddddd" localSheetId="5" hidden="1">{#N/A,#N/A,FALSE,"Plan1";#N/A,#N/A,FALSE,"Plan2"}</definedName>
    <definedName name="ddddd" localSheetId="4" hidden="1">{#N/A,#N/A,FALSE,"Plan1";#N/A,#N/A,FALSE,"Plan2"}</definedName>
    <definedName name="ddddd" localSheetId="9">{#N/A,#N/A,FALSE,"Plan1";#N/A,#N/A,FALSE,"Plan2"}</definedName>
    <definedName name="ddddd" localSheetId="10" hidden="1">{#N/A,#N/A,FALSE,"Plan1";#N/A,#N/A,FALSE,"Plan2"}</definedName>
    <definedName name="ddddd" localSheetId="1" hidden="1">{#N/A,#N/A,FALSE,"Plan1";#N/A,#N/A,FALSE,"Plan2"}</definedName>
    <definedName name="ddddd" localSheetId="0">{#N/A,#N/A,FALSE,"Plan1";#N/A,#N/A,FALSE,"Plan2"}</definedName>
    <definedName name="ddddd" localSheetId="11" hidden="1">{#N/A,#N/A,FALSE,"Plan1";#N/A,#N/A,FALSE,"Plan2"}</definedName>
    <definedName name="ddddd" localSheetId="12" hidden="1">{#N/A,#N/A,FALSE,"Plan1";#N/A,#N/A,FALSE,"Plan2"}</definedName>
    <definedName name="ddddd" hidden="1">{#N/A,#N/A,FALSE,"Plan1";#N/A,#N/A,FALSE,"Plan2"}</definedName>
    <definedName name="ddddddddddd" localSheetId="8">#REF!</definedName>
    <definedName name="ddddddddddd" localSheetId="5">#REF!</definedName>
    <definedName name="ddddddddddd" localSheetId="9">#REF!</definedName>
    <definedName name="ddddddddddd" localSheetId="10">#REF!</definedName>
    <definedName name="ddddddddddd" localSheetId="0">#REF!</definedName>
    <definedName name="ddddddddddd" localSheetId="11">#REF!</definedName>
    <definedName name="ddddddddddd" localSheetId="12">#REF!</definedName>
    <definedName name="ddddddddddd">#REF!</definedName>
    <definedName name="dddddddddddddddddddddddddd" localSheetId="8">#REF!</definedName>
    <definedName name="dddddddddddddddddddddddddd" localSheetId="5">#REF!</definedName>
    <definedName name="dddddddddddddddddddddddddd" localSheetId="9">#REF!</definedName>
    <definedName name="dddddddddddddddddddddddddd" localSheetId="10">#REF!</definedName>
    <definedName name="dddddddddddddddddddddddddd" localSheetId="0">#REF!</definedName>
    <definedName name="dddddddddddddddddddddddddd" localSheetId="11">#REF!</definedName>
    <definedName name="dddddddddddddddddddddddddd" localSheetId="12">#REF!</definedName>
    <definedName name="dddddddddddddddddddddddddd">#REF!</definedName>
    <definedName name="dddddddddddddppppppppp" localSheetId="8">#REF!</definedName>
    <definedName name="dddddddddddddppppppppp" localSheetId="5">#REF!</definedName>
    <definedName name="dddddddddddddppppppppp" localSheetId="9">#REF!</definedName>
    <definedName name="dddddddddddddppppppppp" localSheetId="10">#REF!</definedName>
    <definedName name="dddddddddddddppppppppp" localSheetId="0">#REF!</definedName>
    <definedName name="dddddddddddddppppppppp" localSheetId="11">#REF!</definedName>
    <definedName name="dddddddddddddppppppppp" localSheetId="12">#REF!</definedName>
    <definedName name="dddddddddddddppppppppp">#REF!</definedName>
    <definedName name="dde" localSheetId="3" hidden="1">{#N/A,#N/A,FALSE,"Plan1";#N/A,#N/A,FALSE,"Plan2"}</definedName>
    <definedName name="dde" localSheetId="8">{#N/A,#N/A,FALSE,"Plan1";#N/A,#N/A,FALSE,"Plan2"}</definedName>
    <definedName name="dde" localSheetId="5" hidden="1">{#N/A,#N/A,FALSE,"Plan1";#N/A,#N/A,FALSE,"Plan2"}</definedName>
    <definedName name="dde" localSheetId="4" hidden="1">{#N/A,#N/A,FALSE,"Plan1";#N/A,#N/A,FALSE,"Plan2"}</definedName>
    <definedName name="dde" localSheetId="9">{#N/A,#N/A,FALSE,"Plan1";#N/A,#N/A,FALSE,"Plan2"}</definedName>
    <definedName name="dde" localSheetId="10" hidden="1">{#N/A,#N/A,FALSE,"Plan1";#N/A,#N/A,FALSE,"Plan2"}</definedName>
    <definedName name="dde" localSheetId="1" hidden="1">{#N/A,#N/A,FALSE,"Plan1";#N/A,#N/A,FALSE,"Plan2"}</definedName>
    <definedName name="dde" localSheetId="0">{#N/A,#N/A,FALSE,"Plan1";#N/A,#N/A,FALSE,"Plan2"}</definedName>
    <definedName name="dde" localSheetId="11" hidden="1">{#N/A,#N/A,FALSE,"Plan1";#N/A,#N/A,FALSE,"Plan2"}</definedName>
    <definedName name="dde" localSheetId="12" hidden="1">{#N/A,#N/A,FALSE,"Plan1";#N/A,#N/A,FALSE,"Plan2"}</definedName>
    <definedName name="dde" hidden="1">{#N/A,#N/A,FALSE,"Plan1";#N/A,#N/A,FALSE,"Plan2"}</definedName>
    <definedName name="ddfs" localSheetId="8">#REF!</definedName>
    <definedName name="ddfs" localSheetId="5" hidden="1">#REF!</definedName>
    <definedName name="ddfs" localSheetId="9">#REF!</definedName>
    <definedName name="ddfs" localSheetId="10" hidden="1">#REF!</definedName>
    <definedName name="ddfs" localSheetId="1" hidden="1">#REF!</definedName>
    <definedName name="ddfs" localSheetId="0">#REF!</definedName>
    <definedName name="ddfs" localSheetId="11" hidden="1">#REF!</definedName>
    <definedName name="ddfs" localSheetId="12" hidden="1">#REF!</definedName>
    <definedName name="ddfs" hidden="1">#REF!</definedName>
    <definedName name="ddgfdvgd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fdvgd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DGSFG" localSheetId="3" hidden="1">{#N/A,#N/A,FALSE,"Plan1";#N/A,#N/A,FALSE,"Plan2"}</definedName>
    <definedName name="DDGSFG" localSheetId="8">{#N/A,#N/A,FALSE,"Plan1";#N/A,#N/A,FALSE,"Plan2"}</definedName>
    <definedName name="DDGSFG" localSheetId="5" hidden="1">{#N/A,#N/A,FALSE,"Plan1";#N/A,#N/A,FALSE,"Plan2"}</definedName>
    <definedName name="DDGSFG" localSheetId="4" hidden="1">{#N/A,#N/A,FALSE,"Plan1";#N/A,#N/A,FALSE,"Plan2"}</definedName>
    <definedName name="DDGSFG" localSheetId="9">{#N/A,#N/A,FALSE,"Plan1";#N/A,#N/A,FALSE,"Plan2"}</definedName>
    <definedName name="DDGSFG" localSheetId="10" hidden="1">{#N/A,#N/A,FALSE,"Plan1";#N/A,#N/A,FALSE,"Plan2"}</definedName>
    <definedName name="DDGSFG" localSheetId="1" hidden="1">{#N/A,#N/A,FALSE,"Plan1";#N/A,#N/A,FALSE,"Plan2"}</definedName>
    <definedName name="DDGSFG" localSheetId="0">{#N/A,#N/A,FALSE,"Plan1";#N/A,#N/A,FALSE,"Plan2"}</definedName>
    <definedName name="DDGSFG" localSheetId="11" hidden="1">{#N/A,#N/A,FALSE,"Plan1";#N/A,#N/A,FALSE,"Plan2"}</definedName>
    <definedName name="DDGSFG" localSheetId="12" hidden="1">{#N/A,#N/A,FALSE,"Plan1";#N/A,#N/A,FALSE,"Plan2"}</definedName>
    <definedName name="DDGSFG" hidden="1">{#N/A,#N/A,FALSE,"Plan1";#N/A,#N/A,FALSE,"Plan2"}</definedName>
    <definedName name="dede" localSheetId="3" hidden="1">{#N/A,#N/A,FALSE,"Plan1";#N/A,#N/A,FALSE,"Plan2"}</definedName>
    <definedName name="dede" localSheetId="8">{#N/A,#N/A,FALSE,"Plan1";#N/A,#N/A,FALSE,"Plan2"}</definedName>
    <definedName name="dede" localSheetId="5" hidden="1">{#N/A,#N/A,FALSE,"Plan1";#N/A,#N/A,FALSE,"Plan2"}</definedName>
    <definedName name="dede" localSheetId="4" hidden="1">{#N/A,#N/A,FALSE,"Plan1";#N/A,#N/A,FALSE,"Plan2"}</definedName>
    <definedName name="dede" localSheetId="9">{#N/A,#N/A,FALSE,"Plan1";#N/A,#N/A,FALSE,"Plan2"}</definedName>
    <definedName name="dede" localSheetId="10" hidden="1">{#N/A,#N/A,FALSE,"Plan1";#N/A,#N/A,FALSE,"Plan2"}</definedName>
    <definedName name="dede" localSheetId="1" hidden="1">{#N/A,#N/A,FALSE,"Plan1";#N/A,#N/A,FALSE,"Plan2"}</definedName>
    <definedName name="dede" localSheetId="0">{#N/A,#N/A,FALSE,"Plan1";#N/A,#N/A,FALSE,"Plan2"}</definedName>
    <definedName name="dede" localSheetId="11" hidden="1">{#N/A,#N/A,FALSE,"Plan1";#N/A,#N/A,FALSE,"Plan2"}</definedName>
    <definedName name="dede" localSheetId="12" hidden="1">{#N/A,#N/A,FALSE,"Plan1";#N/A,#N/A,FALSE,"Plan2"}</definedName>
    <definedName name="dede" hidden="1">{#N/A,#N/A,FALSE,"Plan1";#N/A,#N/A,FALSE,"Plan2"}</definedName>
    <definedName name="defasagem" localSheetId="8">OFFSET(INDEX(#REF!,MATCH(#REF!,#REF!,0)),1,0,COUNTA(#REF!)-1)</definedName>
    <definedName name="defasagem" localSheetId="5">OFFSET(INDEX(#REF!,MATCH(#REF!,#REF!,0)),1,0,COUNTA(#REF!)-1)</definedName>
    <definedName name="defasagem" localSheetId="9">OFFSET(INDEX(#REF!,MATCH(#REF!,#REF!,0)),1,0,COUNTA(#REF!)-1)</definedName>
    <definedName name="defasagem" localSheetId="10">OFFSET(INDEX(#REF!,MATCH(#REF!,#REF!,0)),1,0,COUNTA(#REF!)-1)</definedName>
    <definedName name="defasagem" localSheetId="0">OFFSET(INDEX(#REF!,MATCH(#REF!,#REF!,0)),1,0,COUNTA(#REF!)-1)</definedName>
    <definedName name="defasagem" localSheetId="11">OFFSET(INDEX(#REF!,MATCH(#REF!,#REF!,0)),1,0,COUNTA(#REF!)-1)</definedName>
    <definedName name="defasagem" localSheetId="12">OFFSET(INDEX(#REF!,MATCH(#REF!,#REF!,0)),1,0,COUNTA(#REF!)-1)</definedName>
    <definedName name="defasagem">OFFSET(INDEX(#REF!,MATCH(#REF!,#REF!,0)),1,0,COUNTA(#REF!)-1)</definedName>
    <definedName name="depara" localSheetId="8">#REF!</definedName>
    <definedName name="depara" localSheetId="5">#REF!</definedName>
    <definedName name="depara" localSheetId="9">#REF!</definedName>
    <definedName name="depara" localSheetId="10">#REF!</definedName>
    <definedName name="depara" localSheetId="0">#REF!</definedName>
    <definedName name="depara" localSheetId="11">#REF!</definedName>
    <definedName name="depara" localSheetId="12">#REF!</definedName>
    <definedName name="depara">#REF!</definedName>
    <definedName name="DERIVQT" localSheetId="8">#REF!</definedName>
    <definedName name="DERIVQT" localSheetId="5">#REF!</definedName>
    <definedName name="DERIVQT" localSheetId="9">#REF!</definedName>
    <definedName name="DERIVQT" localSheetId="10">#REF!</definedName>
    <definedName name="DERIVQT" localSheetId="0">#REF!</definedName>
    <definedName name="DERIVQT" localSheetId="11">#REF!</definedName>
    <definedName name="DERIVQT" localSheetId="12">#REF!</definedName>
    <definedName name="DERIVQT">#REF!</definedName>
    <definedName name="des" localSheetId="3" hidden="1">{#N/A,#N/A,FALSE,"Plan1";#N/A,#N/A,FALSE,"Plan2"}</definedName>
    <definedName name="des" localSheetId="8">{#N/A,#N/A,FALSE,"Plan1";#N/A,#N/A,FALSE,"Plan2"}</definedName>
    <definedName name="des" localSheetId="5" hidden="1">{#N/A,#N/A,FALSE,"Plan1";#N/A,#N/A,FALSE,"Plan2"}</definedName>
    <definedName name="des" localSheetId="4" hidden="1">{#N/A,#N/A,FALSE,"Plan1";#N/A,#N/A,FALSE,"Plan2"}</definedName>
    <definedName name="des" localSheetId="9">{#N/A,#N/A,FALSE,"Plan1";#N/A,#N/A,FALSE,"Plan2"}</definedName>
    <definedName name="des" localSheetId="10" hidden="1">{#N/A,#N/A,FALSE,"Plan1";#N/A,#N/A,FALSE,"Plan2"}</definedName>
    <definedName name="des" localSheetId="1" hidden="1">{#N/A,#N/A,FALSE,"Plan1";#N/A,#N/A,FALSE,"Plan2"}</definedName>
    <definedName name="des" localSheetId="0">{#N/A,#N/A,FALSE,"Plan1";#N/A,#N/A,FALSE,"Plan2"}</definedName>
    <definedName name="des" localSheetId="11" hidden="1">{#N/A,#N/A,FALSE,"Plan1";#N/A,#N/A,FALSE,"Plan2"}</definedName>
    <definedName name="des" localSheetId="12" hidden="1">{#N/A,#N/A,FALSE,"Plan1";#N/A,#N/A,FALSE,"Plan2"}</definedName>
    <definedName name="des" hidden="1">{#N/A,#N/A,FALSE,"Plan1";#N/A,#N/A,FALSE,"Plan2"}</definedName>
    <definedName name="desc" localSheetId="3" hidden="1">{#N/A,#N/A,FALSE,"Plan1";#N/A,#N/A,FALSE,"Plan2"}</definedName>
    <definedName name="desc" localSheetId="8">{#N/A,#N/A,FALSE,"Plan1";#N/A,#N/A,FALSE,"Plan2"}</definedName>
    <definedName name="desc" localSheetId="5" hidden="1">{#N/A,#N/A,FALSE,"Plan1";#N/A,#N/A,FALSE,"Plan2"}</definedName>
    <definedName name="desc" localSheetId="4" hidden="1">{#N/A,#N/A,FALSE,"Plan1";#N/A,#N/A,FALSE,"Plan2"}</definedName>
    <definedName name="desc" localSheetId="9">{#N/A,#N/A,FALSE,"Plan1";#N/A,#N/A,FALSE,"Plan2"}</definedName>
    <definedName name="desc" localSheetId="10" hidden="1">{#N/A,#N/A,FALSE,"Plan1";#N/A,#N/A,FALSE,"Plan2"}</definedName>
    <definedName name="desc" localSheetId="1" hidden="1">{#N/A,#N/A,FALSE,"Plan1";#N/A,#N/A,FALSE,"Plan2"}</definedName>
    <definedName name="desc" localSheetId="0">{#N/A,#N/A,FALSE,"Plan1";#N/A,#N/A,FALSE,"Plan2"}</definedName>
    <definedName name="desc" localSheetId="11" hidden="1">{#N/A,#N/A,FALSE,"Plan1";#N/A,#N/A,FALSE,"Plan2"}</definedName>
    <definedName name="desc" localSheetId="12" hidden="1">{#N/A,#N/A,FALSE,"Plan1";#N/A,#N/A,FALSE,"Plan2"}</definedName>
    <definedName name="desc" hidden="1">{#N/A,#N/A,FALSE,"Plan1";#N/A,#N/A,FALSE,"Plan2"}</definedName>
    <definedName name="DESCONTO" localSheetId="8">#REF!</definedName>
    <definedName name="DESCONTO" localSheetId="5">#REF!</definedName>
    <definedName name="DESCONTO" localSheetId="9">#REF!</definedName>
    <definedName name="DESCONTO" localSheetId="10">#REF!</definedName>
    <definedName name="DESCONTO" localSheetId="0">#REF!</definedName>
    <definedName name="DESCONTO" localSheetId="11">#REF!</definedName>
    <definedName name="DESCONTO" localSheetId="12">#REF!</definedName>
    <definedName name="DESCONTO">#REF!</definedName>
    <definedName name="DESCRIÇÃO_OBRA" localSheetId="8">#REF!</definedName>
    <definedName name="DESCRIÇÃO_OBRA" localSheetId="5">#REF!</definedName>
    <definedName name="DESCRIÇÃO_OBRA" localSheetId="9">#REF!</definedName>
    <definedName name="DESCRIÇÃO_OBRA" localSheetId="10">#REF!</definedName>
    <definedName name="DESCRIÇÃO_OBRA" localSheetId="0">#REF!</definedName>
    <definedName name="DESCRIÇÃO_OBRA" localSheetId="11">#REF!</definedName>
    <definedName name="DESCRIÇÃO_OBRA" localSheetId="12">#REF!</definedName>
    <definedName name="DESCRIÇÃO_OBRA">#REF!</definedName>
    <definedName name="DespFatur" localSheetId="8">#REF!</definedName>
    <definedName name="DespFatur" localSheetId="5">#REF!</definedName>
    <definedName name="DespFatur" localSheetId="9">#REF!</definedName>
    <definedName name="DespFatur" localSheetId="10">#REF!</definedName>
    <definedName name="DespFatur" localSheetId="0">#REF!</definedName>
    <definedName name="DespFatur" localSheetId="11">#REF!</definedName>
    <definedName name="DespFatur" localSheetId="12">#REF!</definedName>
    <definedName name="DespFatur">#REF!</definedName>
    <definedName name="DEZ" localSheetId="8">#REF!</definedName>
    <definedName name="DEZ" localSheetId="5">#REF!</definedName>
    <definedName name="DEZ" localSheetId="10">#REF!</definedName>
    <definedName name="DEZ" localSheetId="11">#REF!</definedName>
    <definedName name="DEZ" localSheetId="12">#REF!</definedName>
    <definedName name="DEZ">#REF!</definedName>
    <definedName name="dez17RJ" localSheetId="8">#REF!</definedName>
    <definedName name="dez17RJ" localSheetId="5">#REF!</definedName>
    <definedName name="dez17RJ" localSheetId="10">#REF!</definedName>
    <definedName name="dez17RJ" localSheetId="11">#REF!</definedName>
    <definedName name="dez17RJ" localSheetId="12">#REF!</definedName>
    <definedName name="dez17RJ">#REF!</definedName>
    <definedName name="DEZEMBRO" localSheetId="8">#REF!</definedName>
    <definedName name="DEZEMBRO" localSheetId="5">#REF!</definedName>
    <definedName name="DEZEMBRO" localSheetId="10">#REF!</definedName>
    <definedName name="DEZEMBRO" localSheetId="11">#REF!</definedName>
    <definedName name="DEZEMBRO" localSheetId="12">#REF!</definedName>
    <definedName name="DEZEMBRO">#REF!</definedName>
    <definedName name="DEZENOVE" localSheetId="8">#REF!</definedName>
    <definedName name="DEZENOVE" localSheetId="5">#REF!</definedName>
    <definedName name="DEZENOVE" localSheetId="10">#REF!</definedName>
    <definedName name="DEZENOVE" localSheetId="11">#REF!</definedName>
    <definedName name="DEZENOVE" localSheetId="12">#REF!</definedName>
    <definedName name="DEZENOVE">#REF!</definedName>
    <definedName name="DEZESSEIS" localSheetId="8">#REF!</definedName>
    <definedName name="DEZESSEIS" localSheetId="5">#REF!</definedName>
    <definedName name="DEZESSEIS" localSheetId="10">#REF!</definedName>
    <definedName name="DEZESSEIS" localSheetId="11">#REF!</definedName>
    <definedName name="DEZESSEIS" localSheetId="12">#REF!</definedName>
    <definedName name="DEZESSEIS">#REF!</definedName>
    <definedName name="DEZESSETE" localSheetId="8">#REF!</definedName>
    <definedName name="DEZESSETE" localSheetId="5">#REF!</definedName>
    <definedName name="DEZESSETE" localSheetId="10">#REF!</definedName>
    <definedName name="DEZESSETE" localSheetId="11">#REF!</definedName>
    <definedName name="DEZESSETE" localSheetId="12">#REF!</definedName>
    <definedName name="DEZESSETE">#REF!</definedName>
    <definedName name="DEZOITO" localSheetId="8">#REF!</definedName>
    <definedName name="DEZOITO" localSheetId="5">#REF!</definedName>
    <definedName name="DEZOITO" localSheetId="10">#REF!</definedName>
    <definedName name="DEZOITO" localSheetId="11">#REF!</definedName>
    <definedName name="DEZOITO" localSheetId="12">#REF!</definedName>
    <definedName name="DEZOITO">#REF!</definedName>
    <definedName name="d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" localSheetId="3" hidden="1">{#N/A,#N/A,FALSE,"명세표"}</definedName>
    <definedName name="DFD" localSheetId="8">{#N/A,#N/A,FALSE,"명세표"}</definedName>
    <definedName name="DFD" localSheetId="5" hidden="1">{#N/A,#N/A,FALSE,"명세표"}</definedName>
    <definedName name="DFD" localSheetId="4" hidden="1">{#N/A,#N/A,FALSE,"명세표"}</definedName>
    <definedName name="DFD" localSheetId="9">{#N/A,#N/A,FALSE,"명세표"}</definedName>
    <definedName name="DFD" localSheetId="10" hidden="1">{#N/A,#N/A,FALSE,"명세표"}</definedName>
    <definedName name="DFD" localSheetId="1" hidden="1">{#N/A,#N/A,FALSE,"명세표"}</definedName>
    <definedName name="DFD" localSheetId="0">{#N/A,#N/A,FALSE,"명세표"}</definedName>
    <definedName name="DFD" localSheetId="11" hidden="1">{#N/A,#N/A,FALSE,"명세표"}</definedName>
    <definedName name="DFD" localSheetId="12" hidden="1">{#N/A,#N/A,FALSE,"명세표"}</definedName>
    <definedName name="DFD" hidden="1">{#N/A,#N/A,FALSE,"명세표"}</definedName>
    <definedName name="dfdft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ft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djgfdfgdf" localSheetId="3" hidden="1">{#N/A,#N/A,FALSE,"Plan1";#N/A,#N/A,FALSE,"Plan2"}</definedName>
    <definedName name="dfdjgfdfgdf" localSheetId="8">{#N/A,#N/A,FALSE,"Plan1";#N/A,#N/A,FALSE,"Plan2"}</definedName>
    <definedName name="dfdjgfdfgdf" localSheetId="5" hidden="1">{#N/A,#N/A,FALSE,"Plan1";#N/A,#N/A,FALSE,"Plan2"}</definedName>
    <definedName name="dfdjgfdfgdf" localSheetId="4" hidden="1">{#N/A,#N/A,FALSE,"Plan1";#N/A,#N/A,FALSE,"Plan2"}</definedName>
    <definedName name="dfdjgfdfgdf" localSheetId="9">{#N/A,#N/A,FALSE,"Plan1";#N/A,#N/A,FALSE,"Plan2"}</definedName>
    <definedName name="dfdjgfdfgdf" localSheetId="10" hidden="1">{#N/A,#N/A,FALSE,"Plan1";#N/A,#N/A,FALSE,"Plan2"}</definedName>
    <definedName name="dfdjgfdfgdf" localSheetId="1" hidden="1">{#N/A,#N/A,FALSE,"Plan1";#N/A,#N/A,FALSE,"Plan2"}</definedName>
    <definedName name="dfdjgfdfgdf" localSheetId="0">{#N/A,#N/A,FALSE,"Plan1";#N/A,#N/A,FALSE,"Plan2"}</definedName>
    <definedName name="dfdjgfdfgdf" localSheetId="11" hidden="1">{#N/A,#N/A,FALSE,"Plan1";#N/A,#N/A,FALSE,"Plan2"}</definedName>
    <definedName name="dfdjgfdfgdf" localSheetId="12" hidden="1">{#N/A,#N/A,FALSE,"Plan1";#N/A,#N/A,FALSE,"Plan2"}</definedName>
    <definedName name="dfdjgfdfgdf" hidden="1">{#N/A,#N/A,FALSE,"Plan1";#N/A,#N/A,FALSE,"Plan2"}</definedName>
    <definedName name="dfdrtrr" localSheetId="3" hidden="1">{#N/A,#N/A,FALSE,"Plan1";#N/A,#N/A,FALSE,"Plan2"}</definedName>
    <definedName name="dfdrtrr" localSheetId="8">{#N/A,#N/A,FALSE,"Plan1";#N/A,#N/A,FALSE,"Plan2"}</definedName>
    <definedName name="dfdrtrr" localSheetId="5" hidden="1">{#N/A,#N/A,FALSE,"Plan1";#N/A,#N/A,FALSE,"Plan2"}</definedName>
    <definedName name="dfdrtrr" localSheetId="4" hidden="1">{#N/A,#N/A,FALSE,"Plan1";#N/A,#N/A,FALSE,"Plan2"}</definedName>
    <definedName name="dfdrtrr" localSheetId="9">{#N/A,#N/A,FALSE,"Plan1";#N/A,#N/A,FALSE,"Plan2"}</definedName>
    <definedName name="dfdrtrr" localSheetId="10" hidden="1">{#N/A,#N/A,FALSE,"Plan1";#N/A,#N/A,FALSE,"Plan2"}</definedName>
    <definedName name="dfdrtrr" localSheetId="1" hidden="1">{#N/A,#N/A,FALSE,"Plan1";#N/A,#N/A,FALSE,"Plan2"}</definedName>
    <definedName name="dfdrtrr" localSheetId="0">{#N/A,#N/A,FALSE,"Plan1";#N/A,#N/A,FALSE,"Plan2"}</definedName>
    <definedName name="dfdrtrr" localSheetId="11" hidden="1">{#N/A,#N/A,FALSE,"Plan1";#N/A,#N/A,FALSE,"Plan2"}</definedName>
    <definedName name="dfdrtrr" localSheetId="12" hidden="1">{#N/A,#N/A,FALSE,"Plan1";#N/A,#N/A,FALSE,"Plan2"}</definedName>
    <definedName name="dfdrtrr" hidden="1">{#N/A,#N/A,FALSE,"Plan1";#N/A,#N/A,FALSE,"Plan2"}</definedName>
    <definedName name="DFDSG" localSheetId="3" hidden="1">{#N/A,#N/A,FALSE,"Plan1";#N/A,#N/A,FALSE,"Plan2"}</definedName>
    <definedName name="DFDSG" localSheetId="8">{#N/A,#N/A,FALSE,"Plan1";#N/A,#N/A,FALSE,"Plan2"}</definedName>
    <definedName name="DFDSG" localSheetId="5" hidden="1">{#N/A,#N/A,FALSE,"Plan1";#N/A,#N/A,FALSE,"Plan2"}</definedName>
    <definedName name="DFDSG" localSheetId="4" hidden="1">{#N/A,#N/A,FALSE,"Plan1";#N/A,#N/A,FALSE,"Plan2"}</definedName>
    <definedName name="DFDSG" localSheetId="9">{#N/A,#N/A,FALSE,"Plan1";#N/A,#N/A,FALSE,"Plan2"}</definedName>
    <definedName name="DFDSG" localSheetId="10" hidden="1">{#N/A,#N/A,FALSE,"Plan1";#N/A,#N/A,FALSE,"Plan2"}</definedName>
    <definedName name="DFDSG" localSheetId="1" hidden="1">{#N/A,#N/A,FALSE,"Plan1";#N/A,#N/A,FALSE,"Plan2"}</definedName>
    <definedName name="DFDSG" localSheetId="0">{#N/A,#N/A,FALSE,"Plan1";#N/A,#N/A,FALSE,"Plan2"}</definedName>
    <definedName name="DFDSG" localSheetId="11" hidden="1">{#N/A,#N/A,FALSE,"Plan1";#N/A,#N/A,FALSE,"Plan2"}</definedName>
    <definedName name="DFDSG" localSheetId="12" hidden="1">{#N/A,#N/A,FALSE,"Plan1";#N/A,#N/A,FALSE,"Plan2"}</definedName>
    <definedName name="DFDSG" hidden="1">{#N/A,#N/A,FALSE,"Plan1";#N/A,#N/A,FALSE,"Plan2"}</definedName>
    <definedName name="dfer" localSheetId="3" hidden="1">{#N/A,#N/A,FALSE,"Plan1";#N/A,#N/A,FALSE,"Plan2"}</definedName>
    <definedName name="dfer" localSheetId="8">{#N/A,#N/A,FALSE,"Plan1";#N/A,#N/A,FALSE,"Plan2"}</definedName>
    <definedName name="dfer" localSheetId="5" hidden="1">{#N/A,#N/A,FALSE,"Plan1";#N/A,#N/A,FALSE,"Plan2"}</definedName>
    <definedName name="dfer" localSheetId="4" hidden="1">{#N/A,#N/A,FALSE,"Plan1";#N/A,#N/A,FALSE,"Plan2"}</definedName>
    <definedName name="dfer" localSheetId="9">{#N/A,#N/A,FALSE,"Plan1";#N/A,#N/A,FALSE,"Plan2"}</definedName>
    <definedName name="dfer" localSheetId="10" hidden="1">{#N/A,#N/A,FALSE,"Plan1";#N/A,#N/A,FALSE,"Plan2"}</definedName>
    <definedName name="dfer" localSheetId="1" hidden="1">{#N/A,#N/A,FALSE,"Plan1";#N/A,#N/A,FALSE,"Plan2"}</definedName>
    <definedName name="dfer" localSheetId="0">{#N/A,#N/A,FALSE,"Plan1";#N/A,#N/A,FALSE,"Plan2"}</definedName>
    <definedName name="dfer" localSheetId="11" hidden="1">{#N/A,#N/A,FALSE,"Plan1";#N/A,#N/A,FALSE,"Plan2"}</definedName>
    <definedName name="dfer" localSheetId="12" hidden="1">{#N/A,#N/A,FALSE,"Plan1";#N/A,#N/A,FALSE,"Plan2"}</definedName>
    <definedName name="dfer" hidden="1">{#N/A,#N/A,FALSE,"Plan1";#N/A,#N/A,FALSE,"Plan2"}</definedName>
    <definedName name="dffbty" localSheetId="3" hidden="1">{#N/A,#N/A,FALSE,"Plan1";#N/A,#N/A,FALSE,"Plan2"}</definedName>
    <definedName name="dffbty" localSheetId="8">{#N/A,#N/A,FALSE,"Plan1";#N/A,#N/A,FALSE,"Plan2"}</definedName>
    <definedName name="dffbty" localSheetId="5" hidden="1">{#N/A,#N/A,FALSE,"Plan1";#N/A,#N/A,FALSE,"Plan2"}</definedName>
    <definedName name="dffbty" localSheetId="4" hidden="1">{#N/A,#N/A,FALSE,"Plan1";#N/A,#N/A,FALSE,"Plan2"}</definedName>
    <definedName name="dffbty" localSheetId="9">{#N/A,#N/A,FALSE,"Plan1";#N/A,#N/A,FALSE,"Plan2"}</definedName>
    <definedName name="dffbty" localSheetId="10" hidden="1">{#N/A,#N/A,FALSE,"Plan1";#N/A,#N/A,FALSE,"Plan2"}</definedName>
    <definedName name="dffbty" localSheetId="1" hidden="1">{#N/A,#N/A,FALSE,"Plan1";#N/A,#N/A,FALSE,"Plan2"}</definedName>
    <definedName name="dffbty" localSheetId="0">{#N/A,#N/A,FALSE,"Plan1";#N/A,#N/A,FALSE,"Plan2"}</definedName>
    <definedName name="dffbty" localSheetId="11" hidden="1">{#N/A,#N/A,FALSE,"Plan1";#N/A,#N/A,FALSE,"Plan2"}</definedName>
    <definedName name="dffbty" localSheetId="12" hidden="1">{#N/A,#N/A,FALSE,"Plan1";#N/A,#N/A,FALSE,"Plan2"}</definedName>
    <definedName name="dffbty" hidden="1">{#N/A,#N/A,FALSE,"Plan1";#N/A,#N/A,FALSE,"Plan2"}</definedName>
    <definedName name="dffg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g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fhg" localSheetId="3" hidden="1">{#N/A,#N/A,FALSE,"Plan1";#N/A,#N/A,FALSE,"Plan2"}</definedName>
    <definedName name="dffhg" localSheetId="8">{#N/A,#N/A,FALSE,"Plan1";#N/A,#N/A,FALSE,"Plan2"}</definedName>
    <definedName name="dffhg" localSheetId="5" hidden="1">{#N/A,#N/A,FALSE,"Plan1";#N/A,#N/A,FALSE,"Plan2"}</definedName>
    <definedName name="dffhg" localSheetId="4" hidden="1">{#N/A,#N/A,FALSE,"Plan1";#N/A,#N/A,FALSE,"Plan2"}</definedName>
    <definedName name="dffhg" localSheetId="9">{#N/A,#N/A,FALSE,"Plan1";#N/A,#N/A,FALSE,"Plan2"}</definedName>
    <definedName name="dffhg" localSheetId="10" hidden="1">{#N/A,#N/A,FALSE,"Plan1";#N/A,#N/A,FALSE,"Plan2"}</definedName>
    <definedName name="dffhg" localSheetId="1" hidden="1">{#N/A,#N/A,FALSE,"Plan1";#N/A,#N/A,FALSE,"Plan2"}</definedName>
    <definedName name="dffhg" localSheetId="0">{#N/A,#N/A,FALSE,"Plan1";#N/A,#N/A,FALSE,"Plan2"}</definedName>
    <definedName name="dffhg" localSheetId="11" hidden="1">{#N/A,#N/A,FALSE,"Plan1";#N/A,#N/A,FALSE,"Plan2"}</definedName>
    <definedName name="dffhg" localSheetId="12" hidden="1">{#N/A,#N/A,FALSE,"Plan1";#N/A,#N/A,FALSE,"Plan2"}</definedName>
    <definedName name="dffhg" hidden="1">{#N/A,#N/A,FALSE,"Plan1";#N/A,#N/A,FALSE,"Plan2"}</definedName>
    <definedName name="dfg" localSheetId="3" hidden="1">{#N/A,#N/A,FALSE,"Plan1";#N/A,#N/A,FALSE,"Plan2"}</definedName>
    <definedName name="dfg" localSheetId="8">{#N/A,#N/A,FALSE,"Plan1";#N/A,#N/A,FALSE,"Plan2"}</definedName>
    <definedName name="dfg" localSheetId="5" hidden="1">{#N/A,#N/A,FALSE,"Plan1";#N/A,#N/A,FALSE,"Plan2"}</definedName>
    <definedName name="dfg" localSheetId="4" hidden="1">{#N/A,#N/A,FALSE,"Plan1";#N/A,#N/A,FALSE,"Plan2"}</definedName>
    <definedName name="dfg" localSheetId="9">{#N/A,#N/A,FALSE,"Plan1";#N/A,#N/A,FALSE,"Plan2"}</definedName>
    <definedName name="dfg" localSheetId="10" hidden="1">{#N/A,#N/A,FALSE,"Plan1";#N/A,#N/A,FALSE,"Plan2"}</definedName>
    <definedName name="dfg" localSheetId="1" hidden="1">{#N/A,#N/A,FALSE,"Plan1";#N/A,#N/A,FALSE,"Plan2"}</definedName>
    <definedName name="dfg" localSheetId="0">{#N/A,#N/A,FALSE,"Plan1";#N/A,#N/A,FALSE,"Plan2"}</definedName>
    <definedName name="dfg" localSheetId="11" hidden="1">{#N/A,#N/A,FALSE,"Plan1";#N/A,#N/A,FALSE,"Plan2"}</definedName>
    <definedName name="dfg" localSheetId="12" hidden="1">{#N/A,#N/A,FALSE,"Plan1";#N/A,#N/A,FALSE,"Plan2"}</definedName>
    <definedName name="dfg" hidden="1">{#N/A,#N/A,FALSE,"Plan1";#N/A,#N/A,FALSE,"Plan2"}</definedName>
    <definedName name="dfgdf" localSheetId="3" hidden="1">{#N/A,#N/A,FALSE,"Plan1";#N/A,#N/A,FALSE,"Plan2"}</definedName>
    <definedName name="dfgdf" localSheetId="8">{#N/A,#N/A,FALSE,"Plan1";#N/A,#N/A,FALSE,"Plan2"}</definedName>
    <definedName name="dfgdf" localSheetId="5" hidden="1">{#N/A,#N/A,FALSE,"Plan1";#N/A,#N/A,FALSE,"Plan2"}</definedName>
    <definedName name="dfgdf" localSheetId="4" hidden="1">{#N/A,#N/A,FALSE,"Plan1";#N/A,#N/A,FALSE,"Plan2"}</definedName>
    <definedName name="dfgdf" localSheetId="9">{#N/A,#N/A,FALSE,"Plan1";#N/A,#N/A,FALSE,"Plan2"}</definedName>
    <definedName name="dfgdf" localSheetId="10" hidden="1">{#N/A,#N/A,FALSE,"Plan1";#N/A,#N/A,FALSE,"Plan2"}</definedName>
    <definedName name="dfgdf" localSheetId="1" hidden="1">{#N/A,#N/A,FALSE,"Plan1";#N/A,#N/A,FALSE,"Plan2"}</definedName>
    <definedName name="dfgdf" localSheetId="0">{#N/A,#N/A,FALSE,"Plan1";#N/A,#N/A,FALSE,"Plan2"}</definedName>
    <definedName name="dfgdf" localSheetId="11" hidden="1">{#N/A,#N/A,FALSE,"Plan1";#N/A,#N/A,FALSE,"Plan2"}</definedName>
    <definedName name="dfgdf" localSheetId="12" hidden="1">{#N/A,#N/A,FALSE,"Plan1";#N/A,#N/A,FALSE,"Plan2"}</definedName>
    <definedName name="dfgdf" hidden="1">{#N/A,#N/A,FALSE,"Plan1";#N/A,#N/A,FALSE,"Plan2"}</definedName>
    <definedName name="dfgdytygr" localSheetId="3" hidden="1">{#N/A,#N/A,FALSE,"Plan1";#N/A,#N/A,FALSE,"Plan2"}</definedName>
    <definedName name="dfgdytygr" localSheetId="8">{#N/A,#N/A,FALSE,"Plan1";#N/A,#N/A,FALSE,"Plan2"}</definedName>
    <definedName name="dfgdytygr" localSheetId="5" hidden="1">{#N/A,#N/A,FALSE,"Plan1";#N/A,#N/A,FALSE,"Plan2"}</definedName>
    <definedName name="dfgdytygr" localSheetId="4" hidden="1">{#N/A,#N/A,FALSE,"Plan1";#N/A,#N/A,FALSE,"Plan2"}</definedName>
    <definedName name="dfgdytygr" localSheetId="9">{#N/A,#N/A,FALSE,"Plan1";#N/A,#N/A,FALSE,"Plan2"}</definedName>
    <definedName name="dfgdytygr" localSheetId="10" hidden="1">{#N/A,#N/A,FALSE,"Plan1";#N/A,#N/A,FALSE,"Plan2"}</definedName>
    <definedName name="dfgdytygr" localSheetId="1" hidden="1">{#N/A,#N/A,FALSE,"Plan1";#N/A,#N/A,FALSE,"Plan2"}</definedName>
    <definedName name="dfgdytygr" localSheetId="0">{#N/A,#N/A,FALSE,"Plan1";#N/A,#N/A,FALSE,"Plan2"}</definedName>
    <definedName name="dfgdytygr" localSheetId="11" hidden="1">{#N/A,#N/A,FALSE,"Plan1";#N/A,#N/A,FALSE,"Plan2"}</definedName>
    <definedName name="dfgdytygr" localSheetId="12" hidden="1">{#N/A,#N/A,FALSE,"Plan1";#N/A,#N/A,FALSE,"Plan2"}</definedName>
    <definedName name="dfgdytygr" hidden="1">{#N/A,#N/A,FALSE,"Plan1";#N/A,#N/A,FALSE,"Plan2"}</definedName>
    <definedName name="dfgftrrdt5" localSheetId="3" hidden="1">{#N/A,#N/A,FALSE,"Plan1";#N/A,#N/A,FALSE,"Plan2"}</definedName>
    <definedName name="dfgftrrdt5" localSheetId="8">{#N/A,#N/A,FALSE,"Plan1";#N/A,#N/A,FALSE,"Plan2"}</definedName>
    <definedName name="dfgftrrdt5" localSheetId="5" hidden="1">{#N/A,#N/A,FALSE,"Plan1";#N/A,#N/A,FALSE,"Plan2"}</definedName>
    <definedName name="dfgftrrdt5" localSheetId="4" hidden="1">{#N/A,#N/A,FALSE,"Plan1";#N/A,#N/A,FALSE,"Plan2"}</definedName>
    <definedName name="dfgftrrdt5" localSheetId="9">{#N/A,#N/A,FALSE,"Plan1";#N/A,#N/A,FALSE,"Plan2"}</definedName>
    <definedName name="dfgftrrdt5" localSheetId="10" hidden="1">{#N/A,#N/A,FALSE,"Plan1";#N/A,#N/A,FALSE,"Plan2"}</definedName>
    <definedName name="dfgftrrdt5" localSheetId="1" hidden="1">{#N/A,#N/A,FALSE,"Plan1";#N/A,#N/A,FALSE,"Plan2"}</definedName>
    <definedName name="dfgftrrdt5" localSheetId="0">{#N/A,#N/A,FALSE,"Plan1";#N/A,#N/A,FALSE,"Plan2"}</definedName>
    <definedName name="dfgftrrdt5" localSheetId="11" hidden="1">{#N/A,#N/A,FALSE,"Plan1";#N/A,#N/A,FALSE,"Plan2"}</definedName>
    <definedName name="dfgftrrdt5" localSheetId="12" hidden="1">{#N/A,#N/A,FALSE,"Plan1";#N/A,#N/A,FALSE,"Plan2"}</definedName>
    <definedName name="dfgftrrdt5" hidden="1">{#N/A,#N/A,FALSE,"Plan1";#N/A,#N/A,FALSE,"Plan2"}</definedName>
    <definedName name="dfgh" localSheetId="8">#REF!</definedName>
    <definedName name="dfgh" localSheetId="5">#REF!</definedName>
    <definedName name="dfgh" localSheetId="9">#REF!</definedName>
    <definedName name="dfgh" localSheetId="10">#REF!</definedName>
    <definedName name="dfgh" localSheetId="0">#REF!</definedName>
    <definedName name="dfgh" localSheetId="11">#REF!</definedName>
    <definedName name="dfgh" localSheetId="12">#REF!</definedName>
    <definedName name="dfgh">#REF!</definedName>
    <definedName name="dfghjfhsg" localSheetId="3" hidden="1">{#N/A,#N/A,FALSE,"Plan1";#N/A,#N/A,FALSE,"Plan2"}</definedName>
    <definedName name="dfghjfhsg" localSheetId="8">{#N/A,#N/A,FALSE,"Plan1";#N/A,#N/A,FALSE,"Plan2"}</definedName>
    <definedName name="dfghjfhsg" localSheetId="5" hidden="1">{#N/A,#N/A,FALSE,"Plan1";#N/A,#N/A,FALSE,"Plan2"}</definedName>
    <definedName name="dfghjfhsg" localSheetId="4" hidden="1">{#N/A,#N/A,FALSE,"Plan1";#N/A,#N/A,FALSE,"Plan2"}</definedName>
    <definedName name="dfghjfhsg" localSheetId="9">{#N/A,#N/A,FALSE,"Plan1";#N/A,#N/A,FALSE,"Plan2"}</definedName>
    <definedName name="dfghjfhsg" localSheetId="10" hidden="1">{#N/A,#N/A,FALSE,"Plan1";#N/A,#N/A,FALSE,"Plan2"}</definedName>
    <definedName name="dfghjfhsg" localSheetId="1" hidden="1">{#N/A,#N/A,FALSE,"Plan1";#N/A,#N/A,FALSE,"Plan2"}</definedName>
    <definedName name="dfghjfhsg" localSheetId="0">{#N/A,#N/A,FALSE,"Plan1";#N/A,#N/A,FALSE,"Plan2"}</definedName>
    <definedName name="dfghjfhsg" localSheetId="11" hidden="1">{#N/A,#N/A,FALSE,"Plan1";#N/A,#N/A,FALSE,"Plan2"}</definedName>
    <definedName name="dfghjfhsg" localSheetId="12" hidden="1">{#N/A,#N/A,FALSE,"Plan1";#N/A,#N/A,FALSE,"Plan2"}</definedName>
    <definedName name="dfghjfhsg" hidden="1">{#N/A,#N/A,FALSE,"Plan1";#N/A,#N/A,FALSE,"Plan2"}</definedName>
    <definedName name="dfgj" localSheetId="3" hidden="1">{#N/A,#N/A,FALSE,"Plan1";#N/A,#N/A,FALSE,"Plan2"}</definedName>
    <definedName name="dfgj" localSheetId="8">{#N/A,#N/A,FALSE,"Plan1";#N/A,#N/A,FALSE,"Plan2"}</definedName>
    <definedName name="dfgj" localSheetId="5" hidden="1">{#N/A,#N/A,FALSE,"Plan1";#N/A,#N/A,FALSE,"Plan2"}</definedName>
    <definedName name="dfgj" localSheetId="4" hidden="1">{#N/A,#N/A,FALSE,"Plan1";#N/A,#N/A,FALSE,"Plan2"}</definedName>
    <definedName name="dfgj" localSheetId="9">{#N/A,#N/A,FALSE,"Plan1";#N/A,#N/A,FALSE,"Plan2"}</definedName>
    <definedName name="dfgj" localSheetId="10" hidden="1">{#N/A,#N/A,FALSE,"Plan1";#N/A,#N/A,FALSE,"Plan2"}</definedName>
    <definedName name="dfgj" localSheetId="1" hidden="1">{#N/A,#N/A,FALSE,"Plan1";#N/A,#N/A,FALSE,"Plan2"}</definedName>
    <definedName name="dfgj" localSheetId="0">{#N/A,#N/A,FALSE,"Plan1";#N/A,#N/A,FALSE,"Plan2"}</definedName>
    <definedName name="dfgj" localSheetId="11" hidden="1">{#N/A,#N/A,FALSE,"Plan1";#N/A,#N/A,FALSE,"Plan2"}</definedName>
    <definedName name="dfgj" localSheetId="12" hidden="1">{#N/A,#N/A,FALSE,"Plan1";#N/A,#N/A,FALSE,"Plan2"}</definedName>
    <definedName name="dfgj" hidden="1">{#N/A,#N/A,FALSE,"Plan1";#N/A,#N/A,FALSE,"Plan2"}</definedName>
    <definedName name="dfgjfttyd" localSheetId="3" hidden="1">{#N/A,#N/A,FALSE,"Plan1";#N/A,#N/A,FALSE,"Plan2"}</definedName>
    <definedName name="dfgjfttyd" localSheetId="8">{#N/A,#N/A,FALSE,"Plan1";#N/A,#N/A,FALSE,"Plan2"}</definedName>
    <definedName name="dfgjfttyd" localSheetId="5" hidden="1">{#N/A,#N/A,FALSE,"Plan1";#N/A,#N/A,FALSE,"Plan2"}</definedName>
    <definedName name="dfgjfttyd" localSheetId="4" hidden="1">{#N/A,#N/A,FALSE,"Plan1";#N/A,#N/A,FALSE,"Plan2"}</definedName>
    <definedName name="dfgjfttyd" localSheetId="9">{#N/A,#N/A,FALSE,"Plan1";#N/A,#N/A,FALSE,"Plan2"}</definedName>
    <definedName name="dfgjfttyd" localSheetId="10" hidden="1">{#N/A,#N/A,FALSE,"Plan1";#N/A,#N/A,FALSE,"Plan2"}</definedName>
    <definedName name="dfgjfttyd" localSheetId="1" hidden="1">{#N/A,#N/A,FALSE,"Plan1";#N/A,#N/A,FALSE,"Plan2"}</definedName>
    <definedName name="dfgjfttyd" localSheetId="0">{#N/A,#N/A,FALSE,"Plan1";#N/A,#N/A,FALSE,"Plan2"}</definedName>
    <definedName name="dfgjfttyd" localSheetId="11" hidden="1">{#N/A,#N/A,FALSE,"Plan1";#N/A,#N/A,FALSE,"Plan2"}</definedName>
    <definedName name="dfgjfttyd" localSheetId="12" hidden="1">{#N/A,#N/A,FALSE,"Plan1";#N/A,#N/A,FALSE,"Plan2"}</definedName>
    <definedName name="dfgjfttyd" hidden="1">{#N/A,#N/A,FALSE,"Plan1";#N/A,#N/A,FALSE,"Plan2"}</definedName>
    <definedName name="dfgjjtdrtg" localSheetId="3" hidden="1">{#N/A,#N/A,FALSE,"Plan1";#N/A,#N/A,FALSE,"Plan2"}</definedName>
    <definedName name="dfgjjtdrtg" localSheetId="8">{#N/A,#N/A,FALSE,"Plan1";#N/A,#N/A,FALSE,"Plan2"}</definedName>
    <definedName name="dfgjjtdrtg" localSheetId="5" hidden="1">{#N/A,#N/A,FALSE,"Plan1";#N/A,#N/A,FALSE,"Plan2"}</definedName>
    <definedName name="dfgjjtdrtg" localSheetId="4" hidden="1">{#N/A,#N/A,FALSE,"Plan1";#N/A,#N/A,FALSE,"Plan2"}</definedName>
    <definedName name="dfgjjtdrtg" localSheetId="9">{#N/A,#N/A,FALSE,"Plan1";#N/A,#N/A,FALSE,"Plan2"}</definedName>
    <definedName name="dfgjjtdrtg" localSheetId="10" hidden="1">{#N/A,#N/A,FALSE,"Plan1";#N/A,#N/A,FALSE,"Plan2"}</definedName>
    <definedName name="dfgjjtdrtg" localSheetId="1" hidden="1">{#N/A,#N/A,FALSE,"Plan1";#N/A,#N/A,FALSE,"Plan2"}</definedName>
    <definedName name="dfgjjtdrtg" localSheetId="0">{#N/A,#N/A,FALSE,"Plan1";#N/A,#N/A,FALSE,"Plan2"}</definedName>
    <definedName name="dfgjjtdrtg" localSheetId="11" hidden="1">{#N/A,#N/A,FALSE,"Plan1";#N/A,#N/A,FALSE,"Plan2"}</definedName>
    <definedName name="dfgjjtdrtg" localSheetId="12" hidden="1">{#N/A,#N/A,FALSE,"Plan1";#N/A,#N/A,FALSE,"Plan2"}</definedName>
    <definedName name="dfgjjtdrtg" hidden="1">{#N/A,#N/A,FALSE,"Plan1";#N/A,#N/A,FALSE,"Plan2"}</definedName>
    <definedName name="dfgt" localSheetId="3" hidden="1">{#N/A,#N/A,FALSE,"Plan1";#N/A,#N/A,FALSE,"Plan2"}</definedName>
    <definedName name="dfgt" localSheetId="8">{#N/A,#N/A,FALSE,"Plan1";#N/A,#N/A,FALSE,"Plan2"}</definedName>
    <definedName name="dfgt" localSheetId="5" hidden="1">{#N/A,#N/A,FALSE,"Plan1";#N/A,#N/A,FALSE,"Plan2"}</definedName>
    <definedName name="dfgt" localSheetId="4" hidden="1">{#N/A,#N/A,FALSE,"Plan1";#N/A,#N/A,FALSE,"Plan2"}</definedName>
    <definedName name="dfgt" localSheetId="9">{#N/A,#N/A,FALSE,"Plan1";#N/A,#N/A,FALSE,"Plan2"}</definedName>
    <definedName name="dfgt" localSheetId="10" hidden="1">{#N/A,#N/A,FALSE,"Plan1";#N/A,#N/A,FALSE,"Plan2"}</definedName>
    <definedName name="dfgt" localSheetId="1" hidden="1">{#N/A,#N/A,FALSE,"Plan1";#N/A,#N/A,FALSE,"Plan2"}</definedName>
    <definedName name="dfgt" localSheetId="0">{#N/A,#N/A,FALSE,"Plan1";#N/A,#N/A,FALSE,"Plan2"}</definedName>
    <definedName name="dfgt" localSheetId="11" hidden="1">{#N/A,#N/A,FALSE,"Plan1";#N/A,#N/A,FALSE,"Plan2"}</definedName>
    <definedName name="dfgt" localSheetId="12" hidden="1">{#N/A,#N/A,FALSE,"Plan1";#N/A,#N/A,FALSE,"Plan2"}</definedName>
    <definedName name="dfgt" hidden="1">{#N/A,#N/A,FALSE,"Plan1";#N/A,#N/A,FALSE,"Plan2"}</definedName>
    <definedName name="dfgtrkjhk" localSheetId="3" hidden="1">{#N/A,#N/A,FALSE,"Plan1";#N/A,#N/A,FALSE,"Plan2"}</definedName>
    <definedName name="dfgtrkjhk" localSheetId="8">{#N/A,#N/A,FALSE,"Plan1";#N/A,#N/A,FALSE,"Plan2"}</definedName>
    <definedName name="dfgtrkjhk" localSheetId="5" hidden="1">{#N/A,#N/A,FALSE,"Plan1";#N/A,#N/A,FALSE,"Plan2"}</definedName>
    <definedName name="dfgtrkjhk" localSheetId="4" hidden="1">{#N/A,#N/A,FALSE,"Plan1";#N/A,#N/A,FALSE,"Plan2"}</definedName>
    <definedName name="dfgtrkjhk" localSheetId="9">{#N/A,#N/A,FALSE,"Plan1";#N/A,#N/A,FALSE,"Plan2"}</definedName>
    <definedName name="dfgtrkjhk" localSheetId="10" hidden="1">{#N/A,#N/A,FALSE,"Plan1";#N/A,#N/A,FALSE,"Plan2"}</definedName>
    <definedName name="dfgtrkjhk" localSheetId="1" hidden="1">{#N/A,#N/A,FALSE,"Plan1";#N/A,#N/A,FALSE,"Plan2"}</definedName>
    <definedName name="dfgtrkjhk" localSheetId="0">{#N/A,#N/A,FALSE,"Plan1";#N/A,#N/A,FALSE,"Plan2"}</definedName>
    <definedName name="dfgtrkjhk" localSheetId="11" hidden="1">{#N/A,#N/A,FALSE,"Plan1";#N/A,#N/A,FALSE,"Plan2"}</definedName>
    <definedName name="dfgtrkjhk" localSheetId="12" hidden="1">{#N/A,#N/A,FALSE,"Plan1";#N/A,#N/A,FALSE,"Plan2"}</definedName>
    <definedName name="dfgtrkjhk" hidden="1">{#N/A,#N/A,FALSE,"Plan1";#N/A,#N/A,FALSE,"Plan2"}</definedName>
    <definedName name="dfgty" localSheetId="3" hidden="1">{#N/A,#N/A,FALSE,"Plan1";#N/A,#N/A,FALSE,"Plan2"}</definedName>
    <definedName name="dfgty" localSheetId="8">{#N/A,#N/A,FALSE,"Plan1";#N/A,#N/A,FALSE,"Plan2"}</definedName>
    <definedName name="dfgty" localSheetId="5" hidden="1">{#N/A,#N/A,FALSE,"Plan1";#N/A,#N/A,FALSE,"Plan2"}</definedName>
    <definedName name="dfgty" localSheetId="4" hidden="1">{#N/A,#N/A,FALSE,"Plan1";#N/A,#N/A,FALSE,"Plan2"}</definedName>
    <definedName name="dfgty" localSheetId="9">{#N/A,#N/A,FALSE,"Plan1";#N/A,#N/A,FALSE,"Plan2"}</definedName>
    <definedName name="dfgty" localSheetId="10" hidden="1">{#N/A,#N/A,FALSE,"Plan1";#N/A,#N/A,FALSE,"Plan2"}</definedName>
    <definedName name="dfgty" localSheetId="1" hidden="1">{#N/A,#N/A,FALSE,"Plan1";#N/A,#N/A,FALSE,"Plan2"}</definedName>
    <definedName name="dfgty" localSheetId="0">{#N/A,#N/A,FALSE,"Plan1";#N/A,#N/A,FALSE,"Plan2"}</definedName>
    <definedName name="dfgty" localSheetId="11" hidden="1">{#N/A,#N/A,FALSE,"Plan1";#N/A,#N/A,FALSE,"Plan2"}</definedName>
    <definedName name="dfgty" localSheetId="12" hidden="1">{#N/A,#N/A,FALSE,"Plan1";#N/A,#N/A,FALSE,"Plan2"}</definedName>
    <definedName name="dfgty" hidden="1">{#N/A,#N/A,FALSE,"Plan1";#N/A,#N/A,FALSE,"Plan2"}</definedName>
    <definedName name="dfhdgfdgf" localSheetId="3" hidden="1">{#N/A,#N/A,FALSE,"Plan1";#N/A,#N/A,FALSE,"Plan2"}</definedName>
    <definedName name="dfhdgfdgf" localSheetId="8">{#N/A,#N/A,FALSE,"Plan1";#N/A,#N/A,FALSE,"Plan2"}</definedName>
    <definedName name="dfhdgfdgf" localSheetId="5" hidden="1">{#N/A,#N/A,FALSE,"Plan1";#N/A,#N/A,FALSE,"Plan2"}</definedName>
    <definedName name="dfhdgfdgf" localSheetId="4" hidden="1">{#N/A,#N/A,FALSE,"Plan1";#N/A,#N/A,FALSE,"Plan2"}</definedName>
    <definedName name="dfhdgfdgf" localSheetId="9">{#N/A,#N/A,FALSE,"Plan1";#N/A,#N/A,FALSE,"Plan2"}</definedName>
    <definedName name="dfhdgfdgf" localSheetId="10" hidden="1">{#N/A,#N/A,FALSE,"Plan1";#N/A,#N/A,FALSE,"Plan2"}</definedName>
    <definedName name="dfhdgfdgf" localSheetId="1" hidden="1">{#N/A,#N/A,FALSE,"Plan1";#N/A,#N/A,FALSE,"Plan2"}</definedName>
    <definedName name="dfhdgfdgf" localSheetId="0">{#N/A,#N/A,FALSE,"Plan1";#N/A,#N/A,FALSE,"Plan2"}</definedName>
    <definedName name="dfhdgfdgf" localSheetId="11" hidden="1">{#N/A,#N/A,FALSE,"Plan1";#N/A,#N/A,FALSE,"Plan2"}</definedName>
    <definedName name="dfhdgfdgf" localSheetId="12" hidden="1">{#N/A,#N/A,FALSE,"Plan1";#N/A,#N/A,FALSE,"Plan2"}</definedName>
    <definedName name="dfhdgfdgf" hidden="1">{#N/A,#N/A,FALSE,"Plan1";#N/A,#N/A,FALSE,"Plan2"}</definedName>
    <definedName name="DFHDJGJFHJGF" localSheetId="3" hidden="1">{#N/A,#N/A,FALSE,"Plan1";#N/A,#N/A,FALSE,"Plan2"}</definedName>
    <definedName name="DFHDJGJFHJGF" localSheetId="8">{#N/A,#N/A,FALSE,"Plan1";#N/A,#N/A,FALSE,"Plan2"}</definedName>
    <definedName name="DFHDJGJFHJGF" localSheetId="5" hidden="1">{#N/A,#N/A,FALSE,"Plan1";#N/A,#N/A,FALSE,"Plan2"}</definedName>
    <definedName name="DFHDJGJFHJGF" localSheetId="4" hidden="1">{#N/A,#N/A,FALSE,"Plan1";#N/A,#N/A,FALSE,"Plan2"}</definedName>
    <definedName name="DFHDJGJFHJGF" localSheetId="9">{#N/A,#N/A,FALSE,"Plan1";#N/A,#N/A,FALSE,"Plan2"}</definedName>
    <definedName name="DFHDJGJFHJGF" localSheetId="10" hidden="1">{#N/A,#N/A,FALSE,"Plan1";#N/A,#N/A,FALSE,"Plan2"}</definedName>
    <definedName name="DFHDJGJFHJGF" localSheetId="1" hidden="1">{#N/A,#N/A,FALSE,"Plan1";#N/A,#N/A,FALSE,"Plan2"}</definedName>
    <definedName name="DFHDJGJFHJGF" localSheetId="0">{#N/A,#N/A,FALSE,"Plan1";#N/A,#N/A,FALSE,"Plan2"}</definedName>
    <definedName name="DFHDJGJFHJGF" localSheetId="11" hidden="1">{#N/A,#N/A,FALSE,"Plan1";#N/A,#N/A,FALSE,"Plan2"}</definedName>
    <definedName name="DFHDJGJFHJGF" localSheetId="12" hidden="1">{#N/A,#N/A,FALSE,"Plan1";#N/A,#N/A,FALSE,"Plan2"}</definedName>
    <definedName name="DFHDJGJFHJGF" hidden="1">{#N/A,#N/A,FALSE,"Plan1";#N/A,#N/A,FALSE,"Plan2"}</definedName>
    <definedName name="dfhdyg" localSheetId="3" hidden="1">{#N/A,#N/A,FALSE,"Plan1";#N/A,#N/A,FALSE,"Plan2"}</definedName>
    <definedName name="dfhdyg" localSheetId="8">{#N/A,#N/A,FALSE,"Plan1";#N/A,#N/A,FALSE,"Plan2"}</definedName>
    <definedName name="dfhdyg" localSheetId="5" hidden="1">{#N/A,#N/A,FALSE,"Plan1";#N/A,#N/A,FALSE,"Plan2"}</definedName>
    <definedName name="dfhdyg" localSheetId="4" hidden="1">{#N/A,#N/A,FALSE,"Plan1";#N/A,#N/A,FALSE,"Plan2"}</definedName>
    <definedName name="dfhdyg" localSheetId="9">{#N/A,#N/A,FALSE,"Plan1";#N/A,#N/A,FALSE,"Plan2"}</definedName>
    <definedName name="dfhdyg" localSheetId="10" hidden="1">{#N/A,#N/A,FALSE,"Plan1";#N/A,#N/A,FALSE,"Plan2"}</definedName>
    <definedName name="dfhdyg" localSheetId="1" hidden="1">{#N/A,#N/A,FALSE,"Plan1";#N/A,#N/A,FALSE,"Plan2"}</definedName>
    <definedName name="dfhdyg" localSheetId="0">{#N/A,#N/A,FALSE,"Plan1";#N/A,#N/A,FALSE,"Plan2"}</definedName>
    <definedName name="dfhdyg" localSheetId="11" hidden="1">{#N/A,#N/A,FALSE,"Plan1";#N/A,#N/A,FALSE,"Plan2"}</definedName>
    <definedName name="dfhdyg" localSheetId="12" hidden="1">{#N/A,#N/A,FALSE,"Plan1";#N/A,#N/A,FALSE,"Plan2"}</definedName>
    <definedName name="dfhdyg" hidden="1">{#N/A,#N/A,FALSE,"Plan1";#N/A,#N/A,FALSE,"Plan2"}</definedName>
    <definedName name="DFHGDHUR" localSheetId="3" hidden="1">{#N/A,#N/A,FALSE,"Plan1";#N/A,#N/A,FALSE,"Plan2"}</definedName>
    <definedName name="DFHGDHUR" localSheetId="8">{#N/A,#N/A,FALSE,"Plan1";#N/A,#N/A,FALSE,"Plan2"}</definedName>
    <definedName name="DFHGDHUR" localSheetId="5" hidden="1">{#N/A,#N/A,FALSE,"Plan1";#N/A,#N/A,FALSE,"Plan2"}</definedName>
    <definedName name="DFHGDHUR" localSheetId="4" hidden="1">{#N/A,#N/A,FALSE,"Plan1";#N/A,#N/A,FALSE,"Plan2"}</definedName>
    <definedName name="DFHGDHUR" localSheetId="9">{#N/A,#N/A,FALSE,"Plan1";#N/A,#N/A,FALSE,"Plan2"}</definedName>
    <definedName name="DFHGDHUR" localSheetId="10" hidden="1">{#N/A,#N/A,FALSE,"Plan1";#N/A,#N/A,FALSE,"Plan2"}</definedName>
    <definedName name="DFHGDHUR" localSheetId="1" hidden="1">{#N/A,#N/A,FALSE,"Plan1";#N/A,#N/A,FALSE,"Plan2"}</definedName>
    <definedName name="DFHGDHUR" localSheetId="0">{#N/A,#N/A,FALSE,"Plan1";#N/A,#N/A,FALSE,"Plan2"}</definedName>
    <definedName name="DFHGDHUR" localSheetId="11" hidden="1">{#N/A,#N/A,FALSE,"Plan1";#N/A,#N/A,FALSE,"Plan2"}</definedName>
    <definedName name="DFHGDHUR" localSheetId="12" hidden="1">{#N/A,#N/A,FALSE,"Plan1";#N/A,#N/A,FALSE,"Plan2"}</definedName>
    <definedName name="DFHGDHUR" hidden="1">{#N/A,#N/A,FALSE,"Plan1";#N/A,#N/A,FALSE,"Plan2"}</definedName>
    <definedName name="dfhgjfgdhfjdrf" localSheetId="3" hidden="1">{#N/A,#N/A,FALSE,"Plan1";#N/A,#N/A,FALSE,"Plan2"}</definedName>
    <definedName name="dfhgjfgdhfjdrf" localSheetId="8">{#N/A,#N/A,FALSE,"Plan1";#N/A,#N/A,FALSE,"Plan2"}</definedName>
    <definedName name="dfhgjfgdhfjdrf" localSheetId="5" hidden="1">{#N/A,#N/A,FALSE,"Plan1";#N/A,#N/A,FALSE,"Plan2"}</definedName>
    <definedName name="dfhgjfgdhfjdrf" localSheetId="4" hidden="1">{#N/A,#N/A,FALSE,"Plan1";#N/A,#N/A,FALSE,"Plan2"}</definedName>
    <definedName name="dfhgjfgdhfjdrf" localSheetId="9">{#N/A,#N/A,FALSE,"Plan1";#N/A,#N/A,FALSE,"Plan2"}</definedName>
    <definedName name="dfhgjfgdhfjdrf" localSheetId="10" hidden="1">{#N/A,#N/A,FALSE,"Plan1";#N/A,#N/A,FALSE,"Plan2"}</definedName>
    <definedName name="dfhgjfgdhfjdrf" localSheetId="1" hidden="1">{#N/A,#N/A,FALSE,"Plan1";#N/A,#N/A,FALSE,"Plan2"}</definedName>
    <definedName name="dfhgjfgdhfjdrf" localSheetId="0">{#N/A,#N/A,FALSE,"Plan1";#N/A,#N/A,FALSE,"Plan2"}</definedName>
    <definedName name="dfhgjfgdhfjdrf" localSheetId="11" hidden="1">{#N/A,#N/A,FALSE,"Plan1";#N/A,#N/A,FALSE,"Plan2"}</definedName>
    <definedName name="dfhgjfgdhfjdrf" localSheetId="12" hidden="1">{#N/A,#N/A,FALSE,"Plan1";#N/A,#N/A,FALSE,"Plan2"}</definedName>
    <definedName name="dfhgjfgdhfjdrf" hidden="1">{#N/A,#N/A,FALSE,"Plan1";#N/A,#N/A,FALSE,"Plan2"}</definedName>
    <definedName name="dfhgkhfut" localSheetId="3" hidden="1">{#N/A,#N/A,FALSE,"Plan1";#N/A,#N/A,FALSE,"Plan2"}</definedName>
    <definedName name="dfhgkhfut" localSheetId="8">{#N/A,#N/A,FALSE,"Plan1";#N/A,#N/A,FALSE,"Plan2"}</definedName>
    <definedName name="dfhgkhfut" localSheetId="5" hidden="1">{#N/A,#N/A,FALSE,"Plan1";#N/A,#N/A,FALSE,"Plan2"}</definedName>
    <definedName name="dfhgkhfut" localSheetId="4" hidden="1">{#N/A,#N/A,FALSE,"Plan1";#N/A,#N/A,FALSE,"Plan2"}</definedName>
    <definedName name="dfhgkhfut" localSheetId="9">{#N/A,#N/A,FALSE,"Plan1";#N/A,#N/A,FALSE,"Plan2"}</definedName>
    <definedName name="dfhgkhfut" localSheetId="10" hidden="1">{#N/A,#N/A,FALSE,"Plan1";#N/A,#N/A,FALSE,"Plan2"}</definedName>
    <definedName name="dfhgkhfut" localSheetId="1" hidden="1">{#N/A,#N/A,FALSE,"Plan1";#N/A,#N/A,FALSE,"Plan2"}</definedName>
    <definedName name="dfhgkhfut" localSheetId="0">{#N/A,#N/A,FALSE,"Plan1";#N/A,#N/A,FALSE,"Plan2"}</definedName>
    <definedName name="dfhgkhfut" localSheetId="11" hidden="1">{#N/A,#N/A,FALSE,"Plan1";#N/A,#N/A,FALSE,"Plan2"}</definedName>
    <definedName name="dfhgkhfut" localSheetId="12" hidden="1">{#N/A,#N/A,FALSE,"Plan1";#N/A,#N/A,FALSE,"Plan2"}</definedName>
    <definedName name="dfhgkhfut" hidden="1">{#N/A,#N/A,FALSE,"Plan1";#N/A,#N/A,FALSE,"Plan2"}</definedName>
    <definedName name="dfhgkjdhkjghjd" localSheetId="8">#REF!</definedName>
    <definedName name="dfhgkjdhkjghjd" localSheetId="5" hidden="1">#REF!</definedName>
    <definedName name="dfhgkjdhkjghjd" localSheetId="9">#REF!</definedName>
    <definedName name="dfhgkjdhkjghjd" localSheetId="10" hidden="1">#REF!</definedName>
    <definedName name="dfhgkjdhkjghjd" localSheetId="1" hidden="1">#REF!</definedName>
    <definedName name="dfhgkjdhkjghjd" localSheetId="0">#REF!</definedName>
    <definedName name="dfhgkjdhkjghjd" localSheetId="11" hidden="1">#REF!</definedName>
    <definedName name="dfhgkjdhkjghjd" localSheetId="12" hidden="1">#REF!</definedName>
    <definedName name="dfhgkjdhkjghjd" hidden="1">#REF!</definedName>
    <definedName name="dfhguitrhfg" localSheetId="3" hidden="1">{#N/A,#N/A,FALSE,"Plan1";#N/A,#N/A,FALSE,"Plan2"}</definedName>
    <definedName name="dfhguitrhfg" localSheetId="8">{#N/A,#N/A,FALSE,"Plan1";#N/A,#N/A,FALSE,"Plan2"}</definedName>
    <definedName name="dfhguitrhfg" localSheetId="5" hidden="1">{#N/A,#N/A,FALSE,"Plan1";#N/A,#N/A,FALSE,"Plan2"}</definedName>
    <definedName name="dfhguitrhfg" localSheetId="4" hidden="1">{#N/A,#N/A,FALSE,"Plan1";#N/A,#N/A,FALSE,"Plan2"}</definedName>
    <definedName name="dfhguitrhfg" localSheetId="9">{#N/A,#N/A,FALSE,"Plan1";#N/A,#N/A,FALSE,"Plan2"}</definedName>
    <definedName name="dfhguitrhfg" localSheetId="10" hidden="1">{#N/A,#N/A,FALSE,"Plan1";#N/A,#N/A,FALSE,"Plan2"}</definedName>
    <definedName name="dfhguitrhfg" localSheetId="1" hidden="1">{#N/A,#N/A,FALSE,"Plan1";#N/A,#N/A,FALSE,"Plan2"}</definedName>
    <definedName name="dfhguitrhfg" localSheetId="0">{#N/A,#N/A,FALSE,"Plan1";#N/A,#N/A,FALSE,"Plan2"}</definedName>
    <definedName name="dfhguitrhfg" localSheetId="11" hidden="1">{#N/A,#N/A,FALSE,"Plan1";#N/A,#N/A,FALSE,"Plan2"}</definedName>
    <definedName name="dfhguitrhfg" localSheetId="12" hidden="1">{#N/A,#N/A,FALSE,"Plan1";#N/A,#N/A,FALSE,"Plan2"}</definedName>
    <definedName name="dfhguitrhfg" hidden="1">{#N/A,#N/A,FALSE,"Plan1";#N/A,#N/A,FALSE,"Plan2"}</definedName>
    <definedName name="DFHKHDGKJHDKS" localSheetId="3" hidden="1">{#N/A,#N/A,FALSE,"Plan1";#N/A,#N/A,FALSE,"Plan2"}</definedName>
    <definedName name="DFHKHDGKJHDKS" localSheetId="8">{#N/A,#N/A,FALSE,"Plan1";#N/A,#N/A,FALSE,"Plan2"}</definedName>
    <definedName name="DFHKHDGKJHDKS" localSheetId="5" hidden="1">{#N/A,#N/A,FALSE,"Plan1";#N/A,#N/A,FALSE,"Plan2"}</definedName>
    <definedName name="DFHKHDGKJHDKS" localSheetId="4" hidden="1">{#N/A,#N/A,FALSE,"Plan1";#N/A,#N/A,FALSE,"Plan2"}</definedName>
    <definedName name="DFHKHDGKJHDKS" localSheetId="9">{#N/A,#N/A,FALSE,"Plan1";#N/A,#N/A,FALSE,"Plan2"}</definedName>
    <definedName name="DFHKHDGKJHDKS" localSheetId="10" hidden="1">{#N/A,#N/A,FALSE,"Plan1";#N/A,#N/A,FALSE,"Plan2"}</definedName>
    <definedName name="DFHKHDGKJHDKS" localSheetId="1" hidden="1">{#N/A,#N/A,FALSE,"Plan1";#N/A,#N/A,FALSE,"Plan2"}</definedName>
    <definedName name="DFHKHDGKJHDKS" localSheetId="0">{#N/A,#N/A,FALSE,"Plan1";#N/A,#N/A,FALSE,"Plan2"}</definedName>
    <definedName name="DFHKHDGKJHDKS" localSheetId="11" hidden="1">{#N/A,#N/A,FALSE,"Plan1";#N/A,#N/A,FALSE,"Plan2"}</definedName>
    <definedName name="DFHKHDGKJHDKS" localSheetId="12" hidden="1">{#N/A,#N/A,FALSE,"Plan1";#N/A,#N/A,FALSE,"Plan2"}</definedName>
    <definedName name="DFHKHDGKJHDKS" hidden="1">{#N/A,#N/A,FALSE,"Plan1";#N/A,#N/A,FALSE,"Plan2"}</definedName>
    <definedName name="dfijvnqienvvnjv" localSheetId="8">#REF!</definedName>
    <definedName name="dfijvnqienvvnjv" localSheetId="5">#REF!</definedName>
    <definedName name="dfijvnqienvvnjv" localSheetId="9">#REF!</definedName>
    <definedName name="dfijvnqienvvnjv" localSheetId="10">#REF!</definedName>
    <definedName name="dfijvnqienvvnjv" localSheetId="0">#REF!</definedName>
    <definedName name="dfijvnqienvvnjv" localSheetId="11">#REF!</definedName>
    <definedName name="dfijvnqienvvnjv" localSheetId="12">#REF!</definedName>
    <definedName name="dfijvnqienvvnjv">#REF!</definedName>
    <definedName name="dfjgjfhykj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gjfhykj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jkgtdftr" localSheetId="3" hidden="1">{#N/A,#N/A,FALSE,"Plan1";#N/A,#N/A,FALSE,"Plan2"}</definedName>
    <definedName name="dfjkgtdftr" localSheetId="8">{#N/A,#N/A,FALSE,"Plan1";#N/A,#N/A,FALSE,"Plan2"}</definedName>
    <definedName name="dfjkgtdftr" localSheetId="5" hidden="1">{#N/A,#N/A,FALSE,"Plan1";#N/A,#N/A,FALSE,"Plan2"}</definedName>
    <definedName name="dfjkgtdftr" localSheetId="4" hidden="1">{#N/A,#N/A,FALSE,"Plan1";#N/A,#N/A,FALSE,"Plan2"}</definedName>
    <definedName name="dfjkgtdftr" localSheetId="9">{#N/A,#N/A,FALSE,"Plan1";#N/A,#N/A,FALSE,"Plan2"}</definedName>
    <definedName name="dfjkgtdftr" localSheetId="10" hidden="1">{#N/A,#N/A,FALSE,"Plan1";#N/A,#N/A,FALSE,"Plan2"}</definedName>
    <definedName name="dfjkgtdftr" localSheetId="1" hidden="1">{#N/A,#N/A,FALSE,"Plan1";#N/A,#N/A,FALSE,"Plan2"}</definedName>
    <definedName name="dfjkgtdftr" localSheetId="0">{#N/A,#N/A,FALSE,"Plan1";#N/A,#N/A,FALSE,"Plan2"}</definedName>
    <definedName name="dfjkgtdftr" localSheetId="11" hidden="1">{#N/A,#N/A,FALSE,"Plan1";#N/A,#N/A,FALSE,"Plan2"}</definedName>
    <definedName name="dfjkgtdftr" localSheetId="12" hidden="1">{#N/A,#N/A,FALSE,"Plan1";#N/A,#N/A,FALSE,"Plan2"}</definedName>
    <definedName name="dfjkgtdftr" hidden="1">{#N/A,#N/A,FALSE,"Plan1";#N/A,#N/A,FALSE,"Plan2"}</definedName>
    <definedName name="dfkhg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hg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knfhkdrj" localSheetId="3" hidden="1">{#N/A,#N/A,FALSE,"Plan1";#N/A,#N/A,FALSE,"Plan2"}</definedName>
    <definedName name="dfknfhkdrj" localSheetId="8">{#N/A,#N/A,FALSE,"Plan1";#N/A,#N/A,FALSE,"Plan2"}</definedName>
    <definedName name="dfknfhkdrj" localSheetId="5" hidden="1">{#N/A,#N/A,FALSE,"Plan1";#N/A,#N/A,FALSE,"Plan2"}</definedName>
    <definedName name="dfknfhkdrj" localSheetId="4" hidden="1">{#N/A,#N/A,FALSE,"Plan1";#N/A,#N/A,FALSE,"Plan2"}</definedName>
    <definedName name="dfknfhkdrj" localSheetId="9">{#N/A,#N/A,FALSE,"Plan1";#N/A,#N/A,FALSE,"Plan2"}</definedName>
    <definedName name="dfknfhkdrj" localSheetId="10" hidden="1">{#N/A,#N/A,FALSE,"Plan1";#N/A,#N/A,FALSE,"Plan2"}</definedName>
    <definedName name="dfknfhkdrj" localSheetId="1" hidden="1">{#N/A,#N/A,FALSE,"Plan1";#N/A,#N/A,FALSE,"Plan2"}</definedName>
    <definedName name="dfknfhkdrj" localSheetId="0">{#N/A,#N/A,FALSE,"Plan1";#N/A,#N/A,FALSE,"Plan2"}</definedName>
    <definedName name="dfknfhkdrj" localSheetId="11" hidden="1">{#N/A,#N/A,FALSE,"Plan1";#N/A,#N/A,FALSE,"Plan2"}</definedName>
    <definedName name="dfknfhkdrj" localSheetId="12" hidden="1">{#N/A,#N/A,FALSE,"Plan1";#N/A,#N/A,FALSE,"Plan2"}</definedName>
    <definedName name="dfknfhkdrj" hidden="1">{#N/A,#N/A,FALSE,"Plan1";#N/A,#N/A,FALSE,"Plan2"}</definedName>
    <definedName name="dfnert" localSheetId="3" hidden="1">{#N/A,#N/A,FALSE,"Plan1";#N/A,#N/A,FALSE,"Plan2"}</definedName>
    <definedName name="dfnert" localSheetId="8">{#N/A,#N/A,FALSE,"Plan1";#N/A,#N/A,FALSE,"Plan2"}</definedName>
    <definedName name="dfnert" localSheetId="5" hidden="1">{#N/A,#N/A,FALSE,"Plan1";#N/A,#N/A,FALSE,"Plan2"}</definedName>
    <definedName name="dfnert" localSheetId="4" hidden="1">{#N/A,#N/A,FALSE,"Plan1";#N/A,#N/A,FALSE,"Plan2"}</definedName>
    <definedName name="dfnert" localSheetId="9">{#N/A,#N/A,FALSE,"Plan1";#N/A,#N/A,FALSE,"Plan2"}</definedName>
    <definedName name="dfnert" localSheetId="10" hidden="1">{#N/A,#N/A,FALSE,"Plan1";#N/A,#N/A,FALSE,"Plan2"}</definedName>
    <definedName name="dfnert" localSheetId="1" hidden="1">{#N/A,#N/A,FALSE,"Plan1";#N/A,#N/A,FALSE,"Plan2"}</definedName>
    <definedName name="dfnert" localSheetId="0">{#N/A,#N/A,FALSE,"Plan1";#N/A,#N/A,FALSE,"Plan2"}</definedName>
    <definedName name="dfnert" localSheetId="11" hidden="1">{#N/A,#N/A,FALSE,"Plan1";#N/A,#N/A,FALSE,"Plan2"}</definedName>
    <definedName name="dfnert" localSheetId="12" hidden="1">{#N/A,#N/A,FALSE,"Plan1";#N/A,#N/A,FALSE,"Plan2"}</definedName>
    <definedName name="dfnert" hidden="1">{#N/A,#N/A,FALSE,"Plan1";#N/A,#N/A,FALSE,"Plan2"}</definedName>
    <definedName name="dfrt" localSheetId="3" hidden="1">{#N/A,#N/A,FALSE,"Plan1";#N/A,#N/A,FALSE,"Plan2"}</definedName>
    <definedName name="dfrt" localSheetId="8">{#N/A,#N/A,FALSE,"Plan1";#N/A,#N/A,FALSE,"Plan2"}</definedName>
    <definedName name="dfrt" localSheetId="5" hidden="1">{#N/A,#N/A,FALSE,"Plan1";#N/A,#N/A,FALSE,"Plan2"}</definedName>
    <definedName name="dfrt" localSheetId="4" hidden="1">{#N/A,#N/A,FALSE,"Plan1";#N/A,#N/A,FALSE,"Plan2"}</definedName>
    <definedName name="dfrt" localSheetId="9">{#N/A,#N/A,FALSE,"Plan1";#N/A,#N/A,FALSE,"Plan2"}</definedName>
    <definedName name="dfrt" localSheetId="10" hidden="1">{#N/A,#N/A,FALSE,"Plan1";#N/A,#N/A,FALSE,"Plan2"}</definedName>
    <definedName name="dfrt" localSheetId="1" hidden="1">{#N/A,#N/A,FALSE,"Plan1";#N/A,#N/A,FALSE,"Plan2"}</definedName>
    <definedName name="dfrt" localSheetId="0">{#N/A,#N/A,FALSE,"Plan1";#N/A,#N/A,FALSE,"Plan2"}</definedName>
    <definedName name="dfrt" localSheetId="11" hidden="1">{#N/A,#N/A,FALSE,"Plan1";#N/A,#N/A,FALSE,"Plan2"}</definedName>
    <definedName name="dfrt" localSheetId="12" hidden="1">{#N/A,#N/A,FALSE,"Plan1";#N/A,#N/A,FALSE,"Plan2"}</definedName>
    <definedName name="dfrt" hidden="1">{#N/A,#N/A,FALSE,"Plan1";#N/A,#N/A,FALSE,"Plan2"}</definedName>
    <definedName name="dfsdr5tt" localSheetId="3" hidden="1">{#N/A,#N/A,FALSE,"Plan1";#N/A,#N/A,FALSE,"Plan2"}</definedName>
    <definedName name="dfsdr5tt" localSheetId="8">{#N/A,#N/A,FALSE,"Plan1";#N/A,#N/A,FALSE,"Plan2"}</definedName>
    <definedName name="dfsdr5tt" localSheetId="5" hidden="1">{#N/A,#N/A,FALSE,"Plan1";#N/A,#N/A,FALSE,"Plan2"}</definedName>
    <definedName name="dfsdr5tt" localSheetId="4" hidden="1">{#N/A,#N/A,FALSE,"Plan1";#N/A,#N/A,FALSE,"Plan2"}</definedName>
    <definedName name="dfsdr5tt" localSheetId="9">{#N/A,#N/A,FALSE,"Plan1";#N/A,#N/A,FALSE,"Plan2"}</definedName>
    <definedName name="dfsdr5tt" localSheetId="10" hidden="1">{#N/A,#N/A,FALSE,"Plan1";#N/A,#N/A,FALSE,"Plan2"}</definedName>
    <definedName name="dfsdr5tt" localSheetId="1" hidden="1">{#N/A,#N/A,FALSE,"Plan1";#N/A,#N/A,FALSE,"Plan2"}</definedName>
    <definedName name="dfsdr5tt" localSheetId="0">{#N/A,#N/A,FALSE,"Plan1";#N/A,#N/A,FALSE,"Plan2"}</definedName>
    <definedName name="dfsdr5tt" localSheetId="11" hidden="1">{#N/A,#N/A,FALSE,"Plan1";#N/A,#N/A,FALSE,"Plan2"}</definedName>
    <definedName name="dfsdr5tt" localSheetId="12" hidden="1">{#N/A,#N/A,FALSE,"Plan1";#N/A,#N/A,FALSE,"Plan2"}</definedName>
    <definedName name="dfsdr5tt" hidden="1">{#N/A,#N/A,FALSE,"Plan1";#N/A,#N/A,FALSE,"Plan2"}</definedName>
    <definedName name="dfsds" localSheetId="8">#REF!</definedName>
    <definedName name="dfsds" localSheetId="5" hidden="1">#REF!</definedName>
    <definedName name="dfsds" localSheetId="9">#REF!</definedName>
    <definedName name="dfsds" localSheetId="10" hidden="1">#REF!</definedName>
    <definedName name="dfsds" localSheetId="1" hidden="1">#REF!</definedName>
    <definedName name="dfsds" localSheetId="0">#REF!</definedName>
    <definedName name="dfsds" localSheetId="11" hidden="1">#REF!</definedName>
    <definedName name="dfsds" localSheetId="12" hidden="1">#REF!</definedName>
    <definedName name="dfsds" hidden="1">#REF!</definedName>
    <definedName name="dfsd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fsdtr" localSheetId="3" hidden="1">{#N/A,#N/A,FALSE,"Plan1";#N/A,#N/A,FALSE,"Plan2"}</definedName>
    <definedName name="dfsdtr" localSheetId="8">{#N/A,#N/A,FALSE,"Plan1";#N/A,#N/A,FALSE,"Plan2"}</definedName>
    <definedName name="dfsdtr" localSheetId="5" hidden="1">{#N/A,#N/A,FALSE,"Plan1";#N/A,#N/A,FALSE,"Plan2"}</definedName>
    <definedName name="dfsdtr" localSheetId="4" hidden="1">{#N/A,#N/A,FALSE,"Plan1";#N/A,#N/A,FALSE,"Plan2"}</definedName>
    <definedName name="dfsdtr" localSheetId="9">{#N/A,#N/A,FALSE,"Plan1";#N/A,#N/A,FALSE,"Plan2"}</definedName>
    <definedName name="dfsdtr" localSheetId="10" hidden="1">{#N/A,#N/A,FALSE,"Plan1";#N/A,#N/A,FALSE,"Plan2"}</definedName>
    <definedName name="dfsdtr" localSheetId="1" hidden="1">{#N/A,#N/A,FALSE,"Plan1";#N/A,#N/A,FALSE,"Plan2"}</definedName>
    <definedName name="dfsdtr" localSheetId="0">{#N/A,#N/A,FALSE,"Plan1";#N/A,#N/A,FALSE,"Plan2"}</definedName>
    <definedName name="dfsdtr" localSheetId="11" hidden="1">{#N/A,#N/A,FALSE,"Plan1";#N/A,#N/A,FALSE,"Plan2"}</definedName>
    <definedName name="dfsdtr" localSheetId="12" hidden="1">{#N/A,#N/A,FALSE,"Plan1";#N/A,#N/A,FALSE,"Plan2"}</definedName>
    <definedName name="dfsdtr" hidden="1">{#N/A,#N/A,FALSE,"Plan1";#N/A,#N/A,FALSE,"Plan2"}</definedName>
    <definedName name="dfsf" localSheetId="3" hidden="1">{#N/A,#N/A,FALSE,"Plan1";#N/A,#N/A,FALSE,"Plan2"}</definedName>
    <definedName name="dfsf" localSheetId="8">{#N/A,#N/A,FALSE,"Plan1";#N/A,#N/A,FALSE,"Plan2"}</definedName>
    <definedName name="dfsf" localSheetId="5" hidden="1">{#N/A,#N/A,FALSE,"Plan1";#N/A,#N/A,FALSE,"Plan2"}</definedName>
    <definedName name="dfsf" localSheetId="4" hidden="1">{#N/A,#N/A,FALSE,"Plan1";#N/A,#N/A,FALSE,"Plan2"}</definedName>
    <definedName name="dfsf" localSheetId="9">{#N/A,#N/A,FALSE,"Plan1";#N/A,#N/A,FALSE,"Plan2"}</definedName>
    <definedName name="dfsf" localSheetId="10" hidden="1">{#N/A,#N/A,FALSE,"Plan1";#N/A,#N/A,FALSE,"Plan2"}</definedName>
    <definedName name="dfsf" localSheetId="1" hidden="1">{#N/A,#N/A,FALSE,"Plan1";#N/A,#N/A,FALSE,"Plan2"}</definedName>
    <definedName name="dfsf" localSheetId="0">{#N/A,#N/A,FALSE,"Plan1";#N/A,#N/A,FALSE,"Plan2"}</definedName>
    <definedName name="dfsf" localSheetId="11" hidden="1">{#N/A,#N/A,FALSE,"Plan1";#N/A,#N/A,FALSE,"Plan2"}</definedName>
    <definedName name="dfsf" localSheetId="12" hidden="1">{#N/A,#N/A,FALSE,"Plan1";#N/A,#N/A,FALSE,"Plan2"}</definedName>
    <definedName name="dfsf" hidden="1">{#N/A,#N/A,FALSE,"Plan1";#N/A,#N/A,FALSE,"Plan2"}</definedName>
    <definedName name="DFT" localSheetId="3" hidden="1">{#N/A,#N/A,FALSE,"Plan1";#N/A,#N/A,FALSE,"Plan2"}</definedName>
    <definedName name="DFT" localSheetId="8">{#N/A,#N/A,FALSE,"Plan1";#N/A,#N/A,FALSE,"Plan2"}</definedName>
    <definedName name="DFT" localSheetId="5" hidden="1">{#N/A,#N/A,FALSE,"Plan1";#N/A,#N/A,FALSE,"Plan2"}</definedName>
    <definedName name="DFT" localSheetId="4" hidden="1">{#N/A,#N/A,FALSE,"Plan1";#N/A,#N/A,FALSE,"Plan2"}</definedName>
    <definedName name="DFT" localSheetId="9">{#N/A,#N/A,FALSE,"Plan1";#N/A,#N/A,FALSE,"Plan2"}</definedName>
    <definedName name="DFT" localSheetId="10" hidden="1">{#N/A,#N/A,FALSE,"Plan1";#N/A,#N/A,FALSE,"Plan2"}</definedName>
    <definedName name="DFT" localSheetId="1" hidden="1">{#N/A,#N/A,FALSE,"Plan1";#N/A,#N/A,FALSE,"Plan2"}</definedName>
    <definedName name="DFT" localSheetId="0">{#N/A,#N/A,FALSE,"Plan1";#N/A,#N/A,FALSE,"Plan2"}</definedName>
    <definedName name="DFT" localSheetId="11" hidden="1">{#N/A,#N/A,FALSE,"Plan1";#N/A,#N/A,FALSE,"Plan2"}</definedName>
    <definedName name="DFT" localSheetId="12" hidden="1">{#N/A,#N/A,FALSE,"Plan1";#N/A,#N/A,FALSE,"Plan2"}</definedName>
    <definedName name="DFT" hidden="1">{#N/A,#N/A,FALSE,"Plan1";#N/A,#N/A,FALSE,"Plan2"}</definedName>
    <definedName name="DFTRTTY" localSheetId="3" hidden="1">{#N/A,#N/A,FALSE,"Plan1";#N/A,#N/A,FALSE,"Plan2"}</definedName>
    <definedName name="DFTRTTY" localSheetId="8">{#N/A,#N/A,FALSE,"Plan1";#N/A,#N/A,FALSE,"Plan2"}</definedName>
    <definedName name="DFTRTTY" localSheetId="5" hidden="1">{#N/A,#N/A,FALSE,"Plan1";#N/A,#N/A,FALSE,"Plan2"}</definedName>
    <definedName name="DFTRTTY" localSheetId="4" hidden="1">{#N/A,#N/A,FALSE,"Plan1";#N/A,#N/A,FALSE,"Plan2"}</definedName>
    <definedName name="DFTRTTY" localSheetId="9">{#N/A,#N/A,FALSE,"Plan1";#N/A,#N/A,FALSE,"Plan2"}</definedName>
    <definedName name="DFTRTTY" localSheetId="10" hidden="1">{#N/A,#N/A,FALSE,"Plan1";#N/A,#N/A,FALSE,"Plan2"}</definedName>
    <definedName name="DFTRTTY" localSheetId="1" hidden="1">{#N/A,#N/A,FALSE,"Plan1";#N/A,#N/A,FALSE,"Plan2"}</definedName>
    <definedName name="DFTRTTY" localSheetId="0">{#N/A,#N/A,FALSE,"Plan1";#N/A,#N/A,FALSE,"Plan2"}</definedName>
    <definedName name="DFTRTTY" localSheetId="11" hidden="1">{#N/A,#N/A,FALSE,"Plan1";#N/A,#N/A,FALSE,"Plan2"}</definedName>
    <definedName name="DFTRTTY" localSheetId="12" hidden="1">{#N/A,#N/A,FALSE,"Plan1";#N/A,#N/A,FALSE,"Plan2"}</definedName>
    <definedName name="DFTRTTY" hidden="1">{#N/A,#N/A,FALSE,"Plan1";#N/A,#N/A,FALSE,"Plan2"}</definedName>
    <definedName name="dfurghifdjyhits" localSheetId="3" hidden="1">{#N/A,#N/A,FALSE,"Plan1";#N/A,#N/A,FALSE,"Plan2"}</definedName>
    <definedName name="dfurghifdjyhits" localSheetId="8">{#N/A,#N/A,FALSE,"Plan1";#N/A,#N/A,FALSE,"Plan2"}</definedName>
    <definedName name="dfurghifdjyhits" localSheetId="5" hidden="1">{#N/A,#N/A,FALSE,"Plan1";#N/A,#N/A,FALSE,"Plan2"}</definedName>
    <definedName name="dfurghifdjyhits" localSheetId="4" hidden="1">{#N/A,#N/A,FALSE,"Plan1";#N/A,#N/A,FALSE,"Plan2"}</definedName>
    <definedName name="dfurghifdjyhits" localSheetId="9">{#N/A,#N/A,FALSE,"Plan1";#N/A,#N/A,FALSE,"Plan2"}</definedName>
    <definedName name="dfurghifdjyhits" localSheetId="10" hidden="1">{#N/A,#N/A,FALSE,"Plan1";#N/A,#N/A,FALSE,"Plan2"}</definedName>
    <definedName name="dfurghifdjyhits" localSheetId="1" hidden="1">{#N/A,#N/A,FALSE,"Plan1";#N/A,#N/A,FALSE,"Plan2"}</definedName>
    <definedName name="dfurghifdjyhits" localSheetId="0">{#N/A,#N/A,FALSE,"Plan1";#N/A,#N/A,FALSE,"Plan2"}</definedName>
    <definedName name="dfurghifdjyhits" localSheetId="11" hidden="1">{#N/A,#N/A,FALSE,"Plan1";#N/A,#N/A,FALSE,"Plan2"}</definedName>
    <definedName name="dfurghifdjyhits" localSheetId="12" hidden="1">{#N/A,#N/A,FALSE,"Plan1";#N/A,#N/A,FALSE,"Plan2"}</definedName>
    <definedName name="dfurghifdjyhits" hidden="1">{#N/A,#N/A,FALSE,"Plan1";#N/A,#N/A,FALSE,"Plan2"}</definedName>
    <definedName name="dfxgdrged" localSheetId="3" hidden="1">{#N/A,#N/A,FALSE,"Plan1";#N/A,#N/A,FALSE,"Plan2"}</definedName>
    <definedName name="dfxgdrged" localSheetId="8">{#N/A,#N/A,FALSE,"Plan1";#N/A,#N/A,FALSE,"Plan2"}</definedName>
    <definedName name="dfxgdrged" localSheetId="5" hidden="1">{#N/A,#N/A,FALSE,"Plan1";#N/A,#N/A,FALSE,"Plan2"}</definedName>
    <definedName name="dfxgdrged" localSheetId="4" hidden="1">{#N/A,#N/A,FALSE,"Plan1";#N/A,#N/A,FALSE,"Plan2"}</definedName>
    <definedName name="dfxgdrged" localSheetId="9">{#N/A,#N/A,FALSE,"Plan1";#N/A,#N/A,FALSE,"Plan2"}</definedName>
    <definedName name="dfxgdrged" localSheetId="10" hidden="1">{#N/A,#N/A,FALSE,"Plan1";#N/A,#N/A,FALSE,"Plan2"}</definedName>
    <definedName name="dfxgdrged" localSheetId="1" hidden="1">{#N/A,#N/A,FALSE,"Plan1";#N/A,#N/A,FALSE,"Plan2"}</definedName>
    <definedName name="dfxgdrged" localSheetId="0">{#N/A,#N/A,FALSE,"Plan1";#N/A,#N/A,FALSE,"Plan2"}</definedName>
    <definedName name="dfxgdrged" localSheetId="11" hidden="1">{#N/A,#N/A,FALSE,"Plan1";#N/A,#N/A,FALSE,"Plan2"}</definedName>
    <definedName name="dfxgdrged" localSheetId="12" hidden="1">{#N/A,#N/A,FALSE,"Plan1";#N/A,#N/A,FALSE,"Plan2"}</definedName>
    <definedName name="dfxgdrged" hidden="1">{#N/A,#N/A,FALSE,"Plan1";#N/A,#N/A,FALSE,"Plan2"}</definedName>
    <definedName name="dgfrtyt" localSheetId="3" hidden="1">{#N/A,#N/A,FALSE,"Plan1";#N/A,#N/A,FALSE,"Plan2"}</definedName>
    <definedName name="dgfrtyt" localSheetId="8">{#N/A,#N/A,FALSE,"Plan1";#N/A,#N/A,FALSE,"Plan2"}</definedName>
    <definedName name="dgfrtyt" localSheetId="5" hidden="1">{#N/A,#N/A,FALSE,"Plan1";#N/A,#N/A,FALSE,"Plan2"}</definedName>
    <definedName name="dgfrtyt" localSheetId="4" hidden="1">{#N/A,#N/A,FALSE,"Plan1";#N/A,#N/A,FALSE,"Plan2"}</definedName>
    <definedName name="dgfrtyt" localSheetId="9">{#N/A,#N/A,FALSE,"Plan1";#N/A,#N/A,FALSE,"Plan2"}</definedName>
    <definedName name="dgfrtyt" localSheetId="10" hidden="1">{#N/A,#N/A,FALSE,"Plan1";#N/A,#N/A,FALSE,"Plan2"}</definedName>
    <definedName name="dgfrtyt" localSheetId="1" hidden="1">{#N/A,#N/A,FALSE,"Plan1";#N/A,#N/A,FALSE,"Plan2"}</definedName>
    <definedName name="dgfrtyt" localSheetId="0">{#N/A,#N/A,FALSE,"Plan1";#N/A,#N/A,FALSE,"Plan2"}</definedName>
    <definedName name="dgfrtyt" localSheetId="11" hidden="1">{#N/A,#N/A,FALSE,"Plan1";#N/A,#N/A,FALSE,"Plan2"}</definedName>
    <definedName name="dgfrtyt" localSheetId="12" hidden="1">{#N/A,#N/A,FALSE,"Plan1";#N/A,#N/A,FALSE,"Plan2"}</definedName>
    <definedName name="dgfrtyt" hidden="1">{#N/A,#N/A,FALSE,"Plan1";#N/A,#N/A,FALSE,"Plan2"}</definedName>
    <definedName name="dggfdg" localSheetId="3" hidden="1">{#N/A,#N/A,FALSE,"Plan1";#N/A,#N/A,FALSE,"Plan2"}</definedName>
    <definedName name="dggfdg" localSheetId="8">{#N/A,#N/A,FALSE,"Plan1";#N/A,#N/A,FALSE,"Plan2"}</definedName>
    <definedName name="dggfdg" localSheetId="5" hidden="1">{#N/A,#N/A,FALSE,"Plan1";#N/A,#N/A,FALSE,"Plan2"}</definedName>
    <definedName name="dggfdg" localSheetId="4" hidden="1">{#N/A,#N/A,FALSE,"Plan1";#N/A,#N/A,FALSE,"Plan2"}</definedName>
    <definedName name="dggfdg" localSheetId="9">{#N/A,#N/A,FALSE,"Plan1";#N/A,#N/A,FALSE,"Plan2"}</definedName>
    <definedName name="dggfdg" localSheetId="10" hidden="1">{#N/A,#N/A,FALSE,"Plan1";#N/A,#N/A,FALSE,"Plan2"}</definedName>
    <definedName name="dggfdg" localSheetId="1" hidden="1">{#N/A,#N/A,FALSE,"Plan1";#N/A,#N/A,FALSE,"Plan2"}</definedName>
    <definedName name="dggfdg" localSheetId="0">{#N/A,#N/A,FALSE,"Plan1";#N/A,#N/A,FALSE,"Plan2"}</definedName>
    <definedName name="dggfdg" localSheetId="11" hidden="1">{#N/A,#N/A,FALSE,"Plan1";#N/A,#N/A,FALSE,"Plan2"}</definedName>
    <definedName name="dggfdg" localSheetId="12" hidden="1">{#N/A,#N/A,FALSE,"Plan1";#N/A,#N/A,FALSE,"Plan2"}</definedName>
    <definedName name="dggfdg" hidden="1">{#N/A,#N/A,FALSE,"Plan1";#N/A,#N/A,FALSE,"Plan2"}</definedName>
    <definedName name="dgldfhgkljslh" localSheetId="3" hidden="1">{#N/A,#N/A,FALSE,"Plan1";#N/A,#N/A,FALSE,"Plan2"}</definedName>
    <definedName name="dgldfhgkljslh" localSheetId="8">{#N/A,#N/A,FALSE,"Plan1";#N/A,#N/A,FALSE,"Plan2"}</definedName>
    <definedName name="dgldfhgkljslh" localSheetId="5" hidden="1">{#N/A,#N/A,FALSE,"Plan1";#N/A,#N/A,FALSE,"Plan2"}</definedName>
    <definedName name="dgldfhgkljslh" localSheetId="4" hidden="1">{#N/A,#N/A,FALSE,"Plan1";#N/A,#N/A,FALSE,"Plan2"}</definedName>
    <definedName name="dgldfhgkljslh" localSheetId="9">{#N/A,#N/A,FALSE,"Plan1";#N/A,#N/A,FALSE,"Plan2"}</definedName>
    <definedName name="dgldfhgkljslh" localSheetId="10" hidden="1">{#N/A,#N/A,FALSE,"Plan1";#N/A,#N/A,FALSE,"Plan2"}</definedName>
    <definedName name="dgldfhgkljslh" localSheetId="1" hidden="1">{#N/A,#N/A,FALSE,"Plan1";#N/A,#N/A,FALSE,"Plan2"}</definedName>
    <definedName name="dgldfhgkljslh" localSheetId="0">{#N/A,#N/A,FALSE,"Plan1";#N/A,#N/A,FALSE,"Plan2"}</definedName>
    <definedName name="dgldfhgkljslh" localSheetId="11" hidden="1">{#N/A,#N/A,FALSE,"Plan1";#N/A,#N/A,FALSE,"Plan2"}</definedName>
    <definedName name="dgldfhgkljslh" localSheetId="12" hidden="1">{#N/A,#N/A,FALSE,"Plan1";#N/A,#N/A,FALSE,"Plan2"}</definedName>
    <definedName name="dgldfhgkljslh" hidden="1">{#N/A,#N/A,FALSE,"Plan1";#N/A,#N/A,FALSE,"Plan2"}</definedName>
    <definedName name="dhfgdhrehrwe" localSheetId="3" hidden="1">{#N/A,#N/A,FALSE,"Plan1";#N/A,#N/A,FALSE,"Plan2"}</definedName>
    <definedName name="dhfgdhrehrwe" localSheetId="8">{#N/A,#N/A,FALSE,"Plan1";#N/A,#N/A,FALSE,"Plan2"}</definedName>
    <definedName name="dhfgdhrehrwe" localSheetId="5" hidden="1">{#N/A,#N/A,FALSE,"Plan1";#N/A,#N/A,FALSE,"Plan2"}</definedName>
    <definedName name="dhfgdhrehrwe" localSheetId="4" hidden="1">{#N/A,#N/A,FALSE,"Plan1";#N/A,#N/A,FALSE,"Plan2"}</definedName>
    <definedName name="dhfgdhrehrwe" localSheetId="9">{#N/A,#N/A,FALSE,"Plan1";#N/A,#N/A,FALSE,"Plan2"}</definedName>
    <definedName name="dhfgdhrehrwe" localSheetId="10" hidden="1">{#N/A,#N/A,FALSE,"Plan1";#N/A,#N/A,FALSE,"Plan2"}</definedName>
    <definedName name="dhfgdhrehrwe" localSheetId="1" hidden="1">{#N/A,#N/A,FALSE,"Plan1";#N/A,#N/A,FALSE,"Plan2"}</definedName>
    <definedName name="dhfgdhrehrwe" localSheetId="0">{#N/A,#N/A,FALSE,"Plan1";#N/A,#N/A,FALSE,"Plan2"}</definedName>
    <definedName name="dhfgdhrehrwe" localSheetId="11" hidden="1">{#N/A,#N/A,FALSE,"Plan1";#N/A,#N/A,FALSE,"Plan2"}</definedName>
    <definedName name="dhfgdhrehrwe" localSheetId="12" hidden="1">{#N/A,#N/A,FALSE,"Plan1";#N/A,#N/A,FALSE,"Plan2"}</definedName>
    <definedName name="dhfgdhrehrwe" hidden="1">{#N/A,#N/A,FALSE,"Plan1";#N/A,#N/A,FALSE,"Plan2"}</definedName>
    <definedName name="dhgfdgrfgdfgd" localSheetId="3" hidden="1">{#N/A,#N/A,FALSE,"Plan1";#N/A,#N/A,FALSE,"Plan2"}</definedName>
    <definedName name="dhgfdgrfgdfgd" localSheetId="8">{#N/A,#N/A,FALSE,"Plan1";#N/A,#N/A,FALSE,"Plan2"}</definedName>
    <definedName name="dhgfdgrfgdfgd" localSheetId="5" hidden="1">{#N/A,#N/A,FALSE,"Plan1";#N/A,#N/A,FALSE,"Plan2"}</definedName>
    <definedName name="dhgfdgrfgdfgd" localSheetId="4" hidden="1">{#N/A,#N/A,FALSE,"Plan1";#N/A,#N/A,FALSE,"Plan2"}</definedName>
    <definedName name="dhgfdgrfgdfgd" localSheetId="9">{#N/A,#N/A,FALSE,"Plan1";#N/A,#N/A,FALSE,"Plan2"}</definedName>
    <definedName name="dhgfdgrfgdfgd" localSheetId="10" hidden="1">{#N/A,#N/A,FALSE,"Plan1";#N/A,#N/A,FALSE,"Plan2"}</definedName>
    <definedName name="dhgfdgrfgdfgd" localSheetId="1" hidden="1">{#N/A,#N/A,FALSE,"Plan1";#N/A,#N/A,FALSE,"Plan2"}</definedName>
    <definedName name="dhgfdgrfgdfgd" localSheetId="0">{#N/A,#N/A,FALSE,"Plan1";#N/A,#N/A,FALSE,"Plan2"}</definedName>
    <definedName name="dhgfdgrfgdfgd" localSheetId="11" hidden="1">{#N/A,#N/A,FALSE,"Plan1";#N/A,#N/A,FALSE,"Plan2"}</definedName>
    <definedName name="dhgfdgrfgdfgd" localSheetId="12" hidden="1">{#N/A,#N/A,FALSE,"Plan1";#N/A,#N/A,FALSE,"Plan2"}</definedName>
    <definedName name="dhgfdgrfgdfgd" hidden="1">{#N/A,#N/A,FALSE,"Plan1";#N/A,#N/A,FALSE,"Plan2"}</definedName>
    <definedName name="dhkjfhdhfjdh" localSheetId="3" hidden="1">{#N/A,#N/A,FALSE,"Plan1";#N/A,#N/A,FALSE,"Plan2"}</definedName>
    <definedName name="dhkjfhdhfjdh" localSheetId="8">{#N/A,#N/A,FALSE,"Plan1";#N/A,#N/A,FALSE,"Plan2"}</definedName>
    <definedName name="dhkjfhdhfjdh" localSheetId="5" hidden="1">{#N/A,#N/A,FALSE,"Plan1";#N/A,#N/A,FALSE,"Plan2"}</definedName>
    <definedName name="dhkjfhdhfjdh" localSheetId="4" hidden="1">{#N/A,#N/A,FALSE,"Plan1";#N/A,#N/A,FALSE,"Plan2"}</definedName>
    <definedName name="dhkjfhdhfjdh" localSheetId="9">{#N/A,#N/A,FALSE,"Plan1";#N/A,#N/A,FALSE,"Plan2"}</definedName>
    <definedName name="dhkjfhdhfjdh" localSheetId="10" hidden="1">{#N/A,#N/A,FALSE,"Plan1";#N/A,#N/A,FALSE,"Plan2"}</definedName>
    <definedName name="dhkjfhdhfjdh" localSheetId="1" hidden="1">{#N/A,#N/A,FALSE,"Plan1";#N/A,#N/A,FALSE,"Plan2"}</definedName>
    <definedName name="dhkjfhdhfjdh" localSheetId="0">{#N/A,#N/A,FALSE,"Plan1";#N/A,#N/A,FALSE,"Plan2"}</definedName>
    <definedName name="dhkjfhdhfjdh" localSheetId="11" hidden="1">{#N/A,#N/A,FALSE,"Plan1";#N/A,#N/A,FALSE,"Plan2"}</definedName>
    <definedName name="dhkjfhdhfjdh" localSheetId="12" hidden="1">{#N/A,#N/A,FALSE,"Plan1";#N/A,#N/A,FALSE,"Plan2"}</definedName>
    <definedName name="dhkjfhdhfjdh" hidden="1">{#N/A,#N/A,FALSE,"Plan1";#N/A,#N/A,FALSE,"Plan2"}</definedName>
    <definedName name="DHTJRT" localSheetId="3" hidden="1">{#N/A,#N/A,FALSE,"Plan1";#N/A,#N/A,FALSE,"Plan2"}</definedName>
    <definedName name="DHTJRT" localSheetId="8">{#N/A,#N/A,FALSE,"Plan1";#N/A,#N/A,FALSE,"Plan2"}</definedName>
    <definedName name="DHTJRT" localSheetId="5" hidden="1">{#N/A,#N/A,FALSE,"Plan1";#N/A,#N/A,FALSE,"Plan2"}</definedName>
    <definedName name="DHTJRT" localSheetId="4" hidden="1">{#N/A,#N/A,FALSE,"Plan1";#N/A,#N/A,FALSE,"Plan2"}</definedName>
    <definedName name="DHTJRT" localSheetId="9">{#N/A,#N/A,FALSE,"Plan1";#N/A,#N/A,FALSE,"Plan2"}</definedName>
    <definedName name="DHTJRT" localSheetId="10" hidden="1">{#N/A,#N/A,FALSE,"Plan1";#N/A,#N/A,FALSE,"Plan2"}</definedName>
    <definedName name="DHTJRT" localSheetId="1" hidden="1">{#N/A,#N/A,FALSE,"Plan1";#N/A,#N/A,FALSE,"Plan2"}</definedName>
    <definedName name="DHTJRT" localSheetId="0">{#N/A,#N/A,FALSE,"Plan1";#N/A,#N/A,FALSE,"Plan2"}</definedName>
    <definedName name="DHTJRT" localSheetId="11" hidden="1">{#N/A,#N/A,FALSE,"Plan1";#N/A,#N/A,FALSE,"Plan2"}</definedName>
    <definedName name="DHTJRT" localSheetId="12" hidden="1">{#N/A,#N/A,FALSE,"Plan1";#N/A,#N/A,FALSE,"Plan2"}</definedName>
    <definedName name="DHTJRT" hidden="1">{#N/A,#N/A,FALSE,"Plan1";#N/A,#N/A,FALSE,"Plan2"}</definedName>
    <definedName name="DI" localSheetId="8">#REF!</definedName>
    <definedName name="DI" localSheetId="5">#REF!</definedName>
    <definedName name="DI" localSheetId="9">#REF!</definedName>
    <definedName name="DI" localSheetId="10">#REF!</definedName>
    <definedName name="DI" localSheetId="0">#REF!</definedName>
    <definedName name="DI" localSheetId="11">#REF!</definedName>
    <definedName name="DI" localSheetId="12">#REF!</definedName>
    <definedName name="DI">#REF!</definedName>
    <definedName name="dia3estac" localSheetId="8">#REF!</definedName>
    <definedName name="dia3estac" localSheetId="5">#REF!</definedName>
    <definedName name="dia3estac" localSheetId="9">#REF!</definedName>
    <definedName name="dia3estac" localSheetId="10">#REF!</definedName>
    <definedName name="dia3estac" localSheetId="0">#REF!</definedName>
    <definedName name="dia3estac" localSheetId="11">#REF!</definedName>
    <definedName name="dia3estac" localSheetId="12">#REF!</definedName>
    <definedName name="dia3estac">#REF!</definedName>
    <definedName name="diaestaca" localSheetId="8">#REF!</definedName>
    <definedName name="diaestaca" localSheetId="5">#REF!</definedName>
    <definedName name="diaestaca" localSheetId="9">#REF!</definedName>
    <definedName name="diaestaca" localSheetId="10">#REF!</definedName>
    <definedName name="diaestaca" localSheetId="0">#REF!</definedName>
    <definedName name="diaestaca" localSheetId="11">#REF!</definedName>
    <definedName name="diaestaca" localSheetId="12">#REF!</definedName>
    <definedName name="diaestaca">#REF!</definedName>
    <definedName name="diambase" localSheetId="8">#REF!</definedName>
    <definedName name="diambase" localSheetId="5">#REF!</definedName>
    <definedName name="diambase" localSheetId="10">#REF!</definedName>
    <definedName name="diambase" localSheetId="11">#REF!</definedName>
    <definedName name="diambase" localSheetId="12">#REF!</definedName>
    <definedName name="diambase">#REF!</definedName>
    <definedName name="DIFQT" localSheetId="8">#REF!</definedName>
    <definedName name="DIFQT" localSheetId="5">#REF!</definedName>
    <definedName name="DIFQT" localSheetId="10">#REF!</definedName>
    <definedName name="DIFQT" localSheetId="11">#REF!</definedName>
    <definedName name="DIFQT" localSheetId="12">#REF!</definedName>
    <definedName name="DIFQT">#REF!</definedName>
    <definedName name="dijghdhks" localSheetId="3" hidden="1">{#N/A,#N/A,FALSE,"Plan1";#N/A,#N/A,FALSE,"Plan2"}</definedName>
    <definedName name="dijghdhks" localSheetId="8">{#N/A,#N/A,FALSE,"Plan1";#N/A,#N/A,FALSE,"Plan2"}</definedName>
    <definedName name="dijghdhks" localSheetId="5" hidden="1">{#N/A,#N/A,FALSE,"Plan1";#N/A,#N/A,FALSE,"Plan2"}</definedName>
    <definedName name="dijghdhks" localSheetId="4" hidden="1">{#N/A,#N/A,FALSE,"Plan1";#N/A,#N/A,FALSE,"Plan2"}</definedName>
    <definedName name="dijghdhks" localSheetId="9">{#N/A,#N/A,FALSE,"Plan1";#N/A,#N/A,FALSE,"Plan2"}</definedName>
    <definedName name="dijghdhks" localSheetId="10" hidden="1">{#N/A,#N/A,FALSE,"Plan1";#N/A,#N/A,FALSE,"Plan2"}</definedName>
    <definedName name="dijghdhks" localSheetId="1" hidden="1">{#N/A,#N/A,FALSE,"Plan1";#N/A,#N/A,FALSE,"Plan2"}</definedName>
    <definedName name="dijghdhks" localSheetId="0">{#N/A,#N/A,FALSE,"Plan1";#N/A,#N/A,FALSE,"Plan2"}</definedName>
    <definedName name="dijghdhks" localSheetId="11" hidden="1">{#N/A,#N/A,FALSE,"Plan1";#N/A,#N/A,FALSE,"Plan2"}</definedName>
    <definedName name="dijghdhks" localSheetId="12" hidden="1">{#N/A,#N/A,FALSE,"Plan1";#N/A,#N/A,FALSE,"Plan2"}</definedName>
    <definedName name="dijghdhks" hidden="1">{#N/A,#N/A,FALSE,"Plan1";#N/A,#N/A,FALSE,"Plan2"}</definedName>
    <definedName name="DIMENSÕES" localSheetId="8">#REF!</definedName>
    <definedName name="DIMENSÕES" localSheetId="5">#REF!</definedName>
    <definedName name="DIMENSÕES" localSheetId="9">#REF!</definedName>
    <definedName name="DIMENSÕES" localSheetId="10">#REF!</definedName>
    <definedName name="DIMENSÕES" localSheetId="0">#REF!</definedName>
    <definedName name="DIMENSÕES" localSheetId="11">#REF!</definedName>
    <definedName name="DIMENSÕES" localSheetId="12">#REF!</definedName>
    <definedName name="DIMENSÕES">#REF!</definedName>
    <definedName name="DIR_OPER" localSheetId="8">#REF!</definedName>
    <definedName name="DIR_OPER" localSheetId="5">#REF!</definedName>
    <definedName name="DIR_OPER" localSheetId="9">#REF!</definedName>
    <definedName name="DIR_OPER" localSheetId="10">#REF!</definedName>
    <definedName name="DIR_OPER" localSheetId="0">#REF!</definedName>
    <definedName name="DIR_OPER" localSheetId="11">#REF!</definedName>
    <definedName name="DIR_OPER" localSheetId="12">#REF!</definedName>
    <definedName name="DIR_OPER">#REF!</definedName>
    <definedName name="DIR_TECNICO" localSheetId="8">#REF!</definedName>
    <definedName name="DIR_TECNICO" localSheetId="5">#REF!</definedName>
    <definedName name="DIR_TECNICO" localSheetId="9">#REF!</definedName>
    <definedName name="DIR_TECNICO" localSheetId="10">#REF!</definedName>
    <definedName name="DIR_TECNICO" localSheetId="0">#REF!</definedName>
    <definedName name="DIR_TECNICO" localSheetId="11">#REF!</definedName>
    <definedName name="DIR_TECNICO" localSheetId="12">#REF!</definedName>
    <definedName name="DIR_TECNICO">#REF!</definedName>
    <definedName name="direto" localSheetId="8">#REF!</definedName>
    <definedName name="direto" localSheetId="5">#REF!</definedName>
    <definedName name="direto" localSheetId="10">#REF!</definedName>
    <definedName name="direto" localSheetId="1">#REF!</definedName>
    <definedName name="direto" localSheetId="11">#REF!</definedName>
    <definedName name="direto" localSheetId="12">#REF!</definedName>
    <definedName name="direto">#REF!</definedName>
    <definedName name="DIRETORIA" localSheetId="8">#REF!</definedName>
    <definedName name="DIRETORIA" localSheetId="5">#REF!</definedName>
    <definedName name="DIRETORIA" localSheetId="10">#REF!</definedName>
    <definedName name="DIRETORIA" localSheetId="11">#REF!</definedName>
    <definedName name="DIRETORIA" localSheetId="12">#REF!</definedName>
    <definedName name="DIRETORIA">#REF!</definedName>
    <definedName name="diretorias" localSheetId="8">#REF!</definedName>
    <definedName name="diretorias" localSheetId="5">#REF!</definedName>
    <definedName name="diretorias" localSheetId="10">#REF!</definedName>
    <definedName name="diretorias" localSheetId="11">#REF!</definedName>
    <definedName name="diretorias" localSheetId="12">#REF!</definedName>
    <definedName name="diretorias">#REF!</definedName>
    <definedName name="Discrim" localSheetId="8">#REF!</definedName>
    <definedName name="Discrim" localSheetId="5">#REF!</definedName>
    <definedName name="Discrim" localSheetId="10">#REF!</definedName>
    <definedName name="Discrim" localSheetId="11">#REF!</definedName>
    <definedName name="Discrim" localSheetId="12">#REF!</definedName>
    <definedName name="Discrim">#REF!</definedName>
    <definedName name="DISCRIMINAÇÃO" localSheetId="8">#REF!</definedName>
    <definedName name="DISCRIMINAÇÃO" localSheetId="5">#REF!</definedName>
    <definedName name="DISCRIMINAÇÃO" localSheetId="10">#REF!</definedName>
    <definedName name="DISCRIMINAÇÃO" localSheetId="11">#REF!</definedName>
    <definedName name="DISCRIMINAÇÃO" localSheetId="12">#REF!</definedName>
    <definedName name="DISCRIMINAÇÃO">#REF!</definedName>
    <definedName name="Discriminação_Controladoria" localSheetId="8">#REF!</definedName>
    <definedName name="Discriminação_Controladoria" localSheetId="5">#REF!</definedName>
    <definedName name="Discriminação_Controladoria" localSheetId="10">#REF!</definedName>
    <definedName name="Discriminação_Controladoria" localSheetId="11">#REF!</definedName>
    <definedName name="Discriminação_Controladoria" localSheetId="12">#REF!</definedName>
    <definedName name="Discriminação_Controladoria">#REF!</definedName>
    <definedName name="DistCidade" localSheetId="8">#REF!</definedName>
    <definedName name="DistCidade" localSheetId="5">#REF!</definedName>
    <definedName name="DistCidade" localSheetId="10">#REF!</definedName>
    <definedName name="DistCidade" localSheetId="11">#REF!</definedName>
    <definedName name="DistCidade" localSheetId="12">#REF!</definedName>
    <definedName name="DistCidade">#REF!</definedName>
    <definedName name="distratos" localSheetId="8">#REF!</definedName>
    <definedName name="distratos" localSheetId="5">#REF!</definedName>
    <definedName name="distratos" localSheetId="10">#REF!</definedName>
    <definedName name="distratos" localSheetId="11">#REF!</definedName>
    <definedName name="distratos" localSheetId="12">#REF!</definedName>
    <definedName name="distratos">#REF!</definedName>
    <definedName name="div" localSheetId="8">#REF!</definedName>
    <definedName name="div" localSheetId="5">#REF!</definedName>
    <definedName name="div" localSheetId="10">#REF!</definedName>
    <definedName name="div" localSheetId="11">#REF!</definedName>
    <definedName name="div" localSheetId="12">#REF!</definedName>
    <definedName name="div">#REF!</definedName>
    <definedName name="djasdrjas" localSheetId="3" hidden="1">{#N/A,#N/A,FALSE,"Plan1";#N/A,#N/A,FALSE,"Plan2"}</definedName>
    <definedName name="djasdrjas" localSheetId="8">{#N/A,#N/A,FALSE,"Plan1";#N/A,#N/A,FALSE,"Plan2"}</definedName>
    <definedName name="djasdrjas" localSheetId="5" hidden="1">{#N/A,#N/A,FALSE,"Plan1";#N/A,#N/A,FALSE,"Plan2"}</definedName>
    <definedName name="djasdrjas" localSheetId="4" hidden="1">{#N/A,#N/A,FALSE,"Plan1";#N/A,#N/A,FALSE,"Plan2"}</definedName>
    <definedName name="djasdrjas" localSheetId="9">{#N/A,#N/A,FALSE,"Plan1";#N/A,#N/A,FALSE,"Plan2"}</definedName>
    <definedName name="djasdrjas" localSheetId="10" hidden="1">{#N/A,#N/A,FALSE,"Plan1";#N/A,#N/A,FALSE,"Plan2"}</definedName>
    <definedName name="djasdrjas" localSheetId="1" hidden="1">{#N/A,#N/A,FALSE,"Plan1";#N/A,#N/A,FALSE,"Plan2"}</definedName>
    <definedName name="djasdrjas" localSheetId="0">{#N/A,#N/A,FALSE,"Plan1";#N/A,#N/A,FALSE,"Plan2"}</definedName>
    <definedName name="djasdrjas" localSheetId="11" hidden="1">{#N/A,#N/A,FALSE,"Plan1";#N/A,#N/A,FALSE,"Plan2"}</definedName>
    <definedName name="djasdrjas" localSheetId="12" hidden="1">{#N/A,#N/A,FALSE,"Plan1";#N/A,#N/A,FALSE,"Plan2"}</definedName>
    <definedName name="djasdrjas" hidden="1">{#N/A,#N/A,FALSE,"Plan1";#N/A,#N/A,FALSE,"Plan2"}</definedName>
    <definedName name="dj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jfkhjhfgrgdfh" localSheetId="3" hidden="1">{#N/A,#N/A,FALSE,"Plan1";#N/A,#N/A,FALSE,"Plan2"}</definedName>
    <definedName name="djfkhjhfgrgdfh" localSheetId="8">{#N/A,#N/A,FALSE,"Plan1";#N/A,#N/A,FALSE,"Plan2"}</definedName>
    <definedName name="djfkhjhfgrgdfh" localSheetId="5" hidden="1">{#N/A,#N/A,FALSE,"Plan1";#N/A,#N/A,FALSE,"Plan2"}</definedName>
    <definedName name="djfkhjhfgrgdfh" localSheetId="4" hidden="1">{#N/A,#N/A,FALSE,"Plan1";#N/A,#N/A,FALSE,"Plan2"}</definedName>
    <definedName name="djfkhjhfgrgdfh" localSheetId="9">{#N/A,#N/A,FALSE,"Plan1";#N/A,#N/A,FALSE,"Plan2"}</definedName>
    <definedName name="djfkhjhfgrgdfh" localSheetId="10" hidden="1">{#N/A,#N/A,FALSE,"Plan1";#N/A,#N/A,FALSE,"Plan2"}</definedName>
    <definedName name="djfkhjhfgrgdfh" localSheetId="1" hidden="1">{#N/A,#N/A,FALSE,"Plan1";#N/A,#N/A,FALSE,"Plan2"}</definedName>
    <definedName name="djfkhjhfgrgdfh" localSheetId="0">{#N/A,#N/A,FALSE,"Plan1";#N/A,#N/A,FALSE,"Plan2"}</definedName>
    <definedName name="djfkhjhfgrgdfh" localSheetId="11" hidden="1">{#N/A,#N/A,FALSE,"Plan1";#N/A,#N/A,FALSE,"Plan2"}</definedName>
    <definedName name="djfkhjhfgrgdfh" localSheetId="12" hidden="1">{#N/A,#N/A,FALSE,"Plan1";#N/A,#N/A,FALSE,"Plan2"}</definedName>
    <definedName name="djfkhjhfgrgdfh" hidden="1">{#N/A,#N/A,FALSE,"Plan1";#N/A,#N/A,FALSE,"Plan2"}</definedName>
    <definedName name="djfkhsdkjhf" localSheetId="3" hidden="1">{#N/A,#N/A,FALSE,"Plan1";#N/A,#N/A,FALSE,"Plan2"}</definedName>
    <definedName name="djfkhsdkjhf" localSheetId="8">{#N/A,#N/A,FALSE,"Plan1";#N/A,#N/A,FALSE,"Plan2"}</definedName>
    <definedName name="djfkhsdkjhf" localSheetId="5" hidden="1">{#N/A,#N/A,FALSE,"Plan1";#N/A,#N/A,FALSE,"Plan2"}</definedName>
    <definedName name="djfkhsdkjhf" localSheetId="4" hidden="1">{#N/A,#N/A,FALSE,"Plan1";#N/A,#N/A,FALSE,"Plan2"}</definedName>
    <definedName name="djfkhsdkjhf" localSheetId="9">{#N/A,#N/A,FALSE,"Plan1";#N/A,#N/A,FALSE,"Plan2"}</definedName>
    <definedName name="djfkhsdkjhf" localSheetId="10" hidden="1">{#N/A,#N/A,FALSE,"Plan1";#N/A,#N/A,FALSE,"Plan2"}</definedName>
    <definedName name="djfkhsdkjhf" localSheetId="1" hidden="1">{#N/A,#N/A,FALSE,"Plan1";#N/A,#N/A,FALSE,"Plan2"}</definedName>
    <definedName name="djfkhsdkjhf" localSheetId="0">{#N/A,#N/A,FALSE,"Plan1";#N/A,#N/A,FALSE,"Plan2"}</definedName>
    <definedName name="djfkhsdkjhf" localSheetId="11" hidden="1">{#N/A,#N/A,FALSE,"Plan1";#N/A,#N/A,FALSE,"Plan2"}</definedName>
    <definedName name="djfkhsdkjhf" localSheetId="12" hidden="1">{#N/A,#N/A,FALSE,"Plan1";#N/A,#N/A,FALSE,"Plan2"}</definedName>
    <definedName name="djfkhsdkjhf" hidden="1">{#N/A,#N/A,FALSE,"Plan1";#N/A,#N/A,FALSE,"Plan2"}</definedName>
    <definedName name="djfldjsgljslkjtg" localSheetId="3" hidden="1">{#N/A,#N/A,FALSE,"Plan1";#N/A,#N/A,FALSE,"Plan2"}</definedName>
    <definedName name="djfldjsgljslkjtg" localSheetId="8">{#N/A,#N/A,FALSE,"Plan1";#N/A,#N/A,FALSE,"Plan2"}</definedName>
    <definedName name="djfldjsgljslkjtg" localSheetId="5" hidden="1">{#N/A,#N/A,FALSE,"Plan1";#N/A,#N/A,FALSE,"Plan2"}</definedName>
    <definedName name="djfldjsgljslkjtg" localSheetId="4" hidden="1">{#N/A,#N/A,FALSE,"Plan1";#N/A,#N/A,FALSE,"Plan2"}</definedName>
    <definedName name="djfldjsgljslkjtg" localSheetId="9">{#N/A,#N/A,FALSE,"Plan1";#N/A,#N/A,FALSE,"Plan2"}</definedName>
    <definedName name="djfldjsgljslkjtg" localSheetId="10" hidden="1">{#N/A,#N/A,FALSE,"Plan1";#N/A,#N/A,FALSE,"Plan2"}</definedName>
    <definedName name="djfldjsgljslkjtg" localSheetId="1" hidden="1">{#N/A,#N/A,FALSE,"Plan1";#N/A,#N/A,FALSE,"Plan2"}</definedName>
    <definedName name="djfldjsgljslkjtg" localSheetId="0">{#N/A,#N/A,FALSE,"Plan1";#N/A,#N/A,FALSE,"Plan2"}</definedName>
    <definedName name="djfldjsgljslkjtg" localSheetId="11" hidden="1">{#N/A,#N/A,FALSE,"Plan1";#N/A,#N/A,FALSE,"Plan2"}</definedName>
    <definedName name="djfldjsgljslkjtg" localSheetId="12" hidden="1">{#N/A,#N/A,FALSE,"Plan1";#N/A,#N/A,FALSE,"Plan2"}</definedName>
    <definedName name="djfldjsgljslkjtg" hidden="1">{#N/A,#N/A,FALSE,"Plan1";#N/A,#N/A,FALSE,"Plan2"}</definedName>
    <definedName name="djflkdjgdth" localSheetId="3" hidden="1">{#N/A,#N/A,FALSE,"Plan1";#N/A,#N/A,FALSE,"Plan2"}</definedName>
    <definedName name="djflkdjgdth" localSheetId="8">{#N/A,#N/A,FALSE,"Plan1";#N/A,#N/A,FALSE,"Plan2"}</definedName>
    <definedName name="djflkdjgdth" localSheetId="5" hidden="1">{#N/A,#N/A,FALSE,"Plan1";#N/A,#N/A,FALSE,"Plan2"}</definedName>
    <definedName name="djflkdjgdth" localSheetId="4" hidden="1">{#N/A,#N/A,FALSE,"Plan1";#N/A,#N/A,FALSE,"Plan2"}</definedName>
    <definedName name="djflkdjgdth" localSheetId="9">{#N/A,#N/A,FALSE,"Plan1";#N/A,#N/A,FALSE,"Plan2"}</definedName>
    <definedName name="djflkdjgdth" localSheetId="10" hidden="1">{#N/A,#N/A,FALSE,"Plan1";#N/A,#N/A,FALSE,"Plan2"}</definedName>
    <definedName name="djflkdjgdth" localSheetId="1" hidden="1">{#N/A,#N/A,FALSE,"Plan1";#N/A,#N/A,FALSE,"Plan2"}</definedName>
    <definedName name="djflkdjgdth" localSheetId="0">{#N/A,#N/A,FALSE,"Plan1";#N/A,#N/A,FALSE,"Plan2"}</definedName>
    <definedName name="djflkdjgdth" localSheetId="11" hidden="1">{#N/A,#N/A,FALSE,"Plan1";#N/A,#N/A,FALSE,"Plan2"}</definedName>
    <definedName name="djflkdjgdth" localSheetId="12" hidden="1">{#N/A,#N/A,FALSE,"Plan1";#N/A,#N/A,FALSE,"Plan2"}</definedName>
    <definedName name="djflkdjgdth" hidden="1">{#N/A,#N/A,FALSE,"Plan1";#N/A,#N/A,FALSE,"Plan2"}</definedName>
    <definedName name="DJFLKDJGKTJYJT" localSheetId="3" hidden="1">{#N/A,#N/A,FALSE,"Plan1";#N/A,#N/A,FALSE,"Plan2"}</definedName>
    <definedName name="DJFLKDJGKTJYJT" localSheetId="8">{#N/A,#N/A,FALSE,"Plan1";#N/A,#N/A,FALSE,"Plan2"}</definedName>
    <definedName name="DJFLKDJGKTJYJT" localSheetId="5" hidden="1">{#N/A,#N/A,FALSE,"Plan1";#N/A,#N/A,FALSE,"Plan2"}</definedName>
    <definedName name="DJFLKDJGKTJYJT" localSheetId="4" hidden="1">{#N/A,#N/A,FALSE,"Plan1";#N/A,#N/A,FALSE,"Plan2"}</definedName>
    <definedName name="DJFLKDJGKTJYJT" localSheetId="9">{#N/A,#N/A,FALSE,"Plan1";#N/A,#N/A,FALSE,"Plan2"}</definedName>
    <definedName name="DJFLKDJGKTJYJT" localSheetId="10" hidden="1">{#N/A,#N/A,FALSE,"Plan1";#N/A,#N/A,FALSE,"Plan2"}</definedName>
    <definedName name="DJFLKDJGKTJYJT" localSheetId="1" hidden="1">{#N/A,#N/A,FALSE,"Plan1";#N/A,#N/A,FALSE,"Plan2"}</definedName>
    <definedName name="DJFLKDJGKTJYJT" localSheetId="0">{#N/A,#N/A,FALSE,"Plan1";#N/A,#N/A,FALSE,"Plan2"}</definedName>
    <definedName name="DJFLKDJGKTJYJT" localSheetId="11" hidden="1">{#N/A,#N/A,FALSE,"Plan1";#N/A,#N/A,FALSE,"Plan2"}</definedName>
    <definedName name="DJFLKDJGKTJYJT" localSheetId="12" hidden="1">{#N/A,#N/A,FALSE,"Plan1";#N/A,#N/A,FALSE,"Plan2"}</definedName>
    <definedName name="DJFLKDJGKTJYJT" hidden="1">{#N/A,#N/A,FALSE,"Plan1";#N/A,#N/A,FALSE,"Plan2"}</definedName>
    <definedName name="djgkfjgtiyty" localSheetId="3" hidden="1">{#N/A,#N/A,FALSE,"Plan1";#N/A,#N/A,FALSE,"Plan2"}</definedName>
    <definedName name="djgkfjgtiyty" localSheetId="8">{#N/A,#N/A,FALSE,"Plan1";#N/A,#N/A,FALSE,"Plan2"}</definedName>
    <definedName name="djgkfjgtiyty" localSheetId="5" hidden="1">{#N/A,#N/A,FALSE,"Plan1";#N/A,#N/A,FALSE,"Plan2"}</definedName>
    <definedName name="djgkfjgtiyty" localSheetId="4" hidden="1">{#N/A,#N/A,FALSE,"Plan1";#N/A,#N/A,FALSE,"Plan2"}</definedName>
    <definedName name="djgkfjgtiyty" localSheetId="9">{#N/A,#N/A,FALSE,"Plan1";#N/A,#N/A,FALSE,"Plan2"}</definedName>
    <definedName name="djgkfjgtiyty" localSheetId="10" hidden="1">{#N/A,#N/A,FALSE,"Plan1";#N/A,#N/A,FALSE,"Plan2"}</definedName>
    <definedName name="djgkfjgtiyty" localSheetId="1" hidden="1">{#N/A,#N/A,FALSE,"Plan1";#N/A,#N/A,FALSE,"Plan2"}</definedName>
    <definedName name="djgkfjgtiyty" localSheetId="0">{#N/A,#N/A,FALSE,"Plan1";#N/A,#N/A,FALSE,"Plan2"}</definedName>
    <definedName name="djgkfjgtiyty" localSheetId="11" hidden="1">{#N/A,#N/A,FALSE,"Plan1";#N/A,#N/A,FALSE,"Plan2"}</definedName>
    <definedName name="djgkfjgtiyty" localSheetId="12" hidden="1">{#N/A,#N/A,FALSE,"Plan1";#N/A,#N/A,FALSE,"Plan2"}</definedName>
    <definedName name="djgkfjgtiyty" hidden="1">{#N/A,#N/A,FALSE,"Plan1";#N/A,#N/A,FALSE,"Plan2"}</definedName>
    <definedName name="djrkehrjfhng" localSheetId="3" hidden="1">{#N/A,#N/A,FALSE,"Plan1";#N/A,#N/A,FALSE,"Plan2"}</definedName>
    <definedName name="djrkehrjfhng" localSheetId="8">{#N/A,#N/A,FALSE,"Plan1";#N/A,#N/A,FALSE,"Plan2"}</definedName>
    <definedName name="djrkehrjfhng" localSheetId="5" hidden="1">{#N/A,#N/A,FALSE,"Plan1";#N/A,#N/A,FALSE,"Plan2"}</definedName>
    <definedName name="djrkehrjfhng" localSheetId="4" hidden="1">{#N/A,#N/A,FALSE,"Plan1";#N/A,#N/A,FALSE,"Plan2"}</definedName>
    <definedName name="djrkehrjfhng" localSheetId="9">{#N/A,#N/A,FALSE,"Plan1";#N/A,#N/A,FALSE,"Plan2"}</definedName>
    <definedName name="djrkehrjfhng" localSheetId="10" hidden="1">{#N/A,#N/A,FALSE,"Plan1";#N/A,#N/A,FALSE,"Plan2"}</definedName>
    <definedName name="djrkehrjfhng" localSheetId="1" hidden="1">{#N/A,#N/A,FALSE,"Plan1";#N/A,#N/A,FALSE,"Plan2"}</definedName>
    <definedName name="djrkehrjfhng" localSheetId="0">{#N/A,#N/A,FALSE,"Plan1";#N/A,#N/A,FALSE,"Plan2"}</definedName>
    <definedName name="djrkehrjfhng" localSheetId="11" hidden="1">{#N/A,#N/A,FALSE,"Plan1";#N/A,#N/A,FALSE,"Plan2"}</definedName>
    <definedName name="djrkehrjfhng" localSheetId="12" hidden="1">{#N/A,#N/A,FALSE,"Plan1";#N/A,#N/A,FALSE,"Plan2"}</definedName>
    <definedName name="djrkehrjfhng" hidden="1">{#N/A,#N/A,FALSE,"Plan1";#N/A,#N/A,FALSE,"Plan2"}</definedName>
    <definedName name="djswfr" localSheetId="8">#REF!</definedName>
    <definedName name="djswfr" localSheetId="5" hidden="1">#REF!</definedName>
    <definedName name="djswfr" localSheetId="9">#REF!</definedName>
    <definedName name="djswfr" localSheetId="10" hidden="1">#REF!</definedName>
    <definedName name="djswfr" localSheetId="1" hidden="1">#REF!</definedName>
    <definedName name="djswfr" localSheetId="0">#REF!</definedName>
    <definedName name="djswfr" localSheetId="11" hidden="1">#REF!</definedName>
    <definedName name="djswfr" localSheetId="12" hidden="1">#REF!</definedName>
    <definedName name="djswfr" hidden="1">#REF!</definedName>
    <definedName name="djtkjldfr" localSheetId="3" hidden="1">{#N/A,#N/A,FALSE,"Plan1";#N/A,#N/A,FALSE,"Plan2"}</definedName>
    <definedName name="djtkjldfr" localSheetId="8">{#N/A,#N/A,FALSE,"Plan1";#N/A,#N/A,FALSE,"Plan2"}</definedName>
    <definedName name="djtkjldfr" localSheetId="5" hidden="1">{#N/A,#N/A,FALSE,"Plan1";#N/A,#N/A,FALSE,"Plan2"}</definedName>
    <definedName name="djtkjldfr" localSheetId="4" hidden="1">{#N/A,#N/A,FALSE,"Plan1";#N/A,#N/A,FALSE,"Plan2"}</definedName>
    <definedName name="djtkjldfr" localSheetId="9">{#N/A,#N/A,FALSE,"Plan1";#N/A,#N/A,FALSE,"Plan2"}</definedName>
    <definedName name="djtkjldfr" localSheetId="10" hidden="1">{#N/A,#N/A,FALSE,"Plan1";#N/A,#N/A,FALSE,"Plan2"}</definedName>
    <definedName name="djtkjldfr" localSheetId="1" hidden="1">{#N/A,#N/A,FALSE,"Plan1";#N/A,#N/A,FALSE,"Plan2"}</definedName>
    <definedName name="djtkjldfr" localSheetId="0">{#N/A,#N/A,FALSE,"Plan1";#N/A,#N/A,FALSE,"Plan2"}</definedName>
    <definedName name="djtkjldfr" localSheetId="11" hidden="1">{#N/A,#N/A,FALSE,"Plan1";#N/A,#N/A,FALSE,"Plan2"}</definedName>
    <definedName name="djtkjldfr" localSheetId="12" hidden="1">{#N/A,#N/A,FALSE,"Plan1";#N/A,#N/A,FALSE,"Plan2"}</definedName>
    <definedName name="djtkjldfr" hidden="1">{#N/A,#N/A,FALSE,"Plan1";#N/A,#N/A,FALSE,"Plan2"}</definedName>
    <definedName name="DJXDLFGDFG" localSheetId="3" hidden="1">{#N/A,#N/A,FALSE,"Plan1";#N/A,#N/A,FALSE,"Plan2"}</definedName>
    <definedName name="DJXDLFGDFG" localSheetId="8">{#N/A,#N/A,FALSE,"Plan1";#N/A,#N/A,FALSE,"Plan2"}</definedName>
    <definedName name="DJXDLFGDFG" localSheetId="5" hidden="1">{#N/A,#N/A,FALSE,"Plan1";#N/A,#N/A,FALSE,"Plan2"}</definedName>
    <definedName name="DJXDLFGDFG" localSheetId="4" hidden="1">{#N/A,#N/A,FALSE,"Plan1";#N/A,#N/A,FALSE,"Plan2"}</definedName>
    <definedName name="DJXDLFGDFG" localSheetId="9">{#N/A,#N/A,FALSE,"Plan1";#N/A,#N/A,FALSE,"Plan2"}</definedName>
    <definedName name="DJXDLFGDFG" localSheetId="10" hidden="1">{#N/A,#N/A,FALSE,"Plan1";#N/A,#N/A,FALSE,"Plan2"}</definedName>
    <definedName name="DJXDLFGDFG" localSheetId="1" hidden="1">{#N/A,#N/A,FALSE,"Plan1";#N/A,#N/A,FALSE,"Plan2"}</definedName>
    <definedName name="DJXDLFGDFG" localSheetId="0">{#N/A,#N/A,FALSE,"Plan1";#N/A,#N/A,FALSE,"Plan2"}</definedName>
    <definedName name="DJXDLFGDFG" localSheetId="11" hidden="1">{#N/A,#N/A,FALSE,"Plan1";#N/A,#N/A,FALSE,"Plan2"}</definedName>
    <definedName name="DJXDLFGDFG" localSheetId="12" hidden="1">{#N/A,#N/A,FALSE,"Plan1";#N/A,#N/A,FALSE,"Plan2"}</definedName>
    <definedName name="DJXDLFGDFG" hidden="1">{#N/A,#N/A,FALSE,"Plan1";#N/A,#N/A,FALSE,"Plan2"}</definedName>
    <definedName name="dkdkdkdkd" localSheetId="3" hidden="1">{#N/A,#N/A,FALSE,"명세표"}</definedName>
    <definedName name="dkdkdkdkd" localSheetId="8">{#N/A,#N/A,FALSE,"명세표"}</definedName>
    <definedName name="dkdkdkdkd" localSheetId="5" hidden="1">{#N/A,#N/A,FALSE,"명세표"}</definedName>
    <definedName name="dkdkdkdkd" localSheetId="4" hidden="1">{#N/A,#N/A,FALSE,"명세표"}</definedName>
    <definedName name="dkdkdkdkd" localSheetId="9">{#N/A,#N/A,FALSE,"명세표"}</definedName>
    <definedName name="dkdkdkdkd" localSheetId="10" hidden="1">{#N/A,#N/A,FALSE,"명세표"}</definedName>
    <definedName name="dkdkdkdkd" localSheetId="1" hidden="1">{#N/A,#N/A,FALSE,"명세표"}</definedName>
    <definedName name="dkdkdkdkd" localSheetId="0">{#N/A,#N/A,FALSE,"명세표"}</definedName>
    <definedName name="dkdkdkdkd" localSheetId="11" hidden="1">{#N/A,#N/A,FALSE,"명세표"}</definedName>
    <definedName name="dkdkdkdkd" localSheetId="12" hidden="1">{#N/A,#N/A,FALSE,"명세표"}</definedName>
    <definedName name="dkdkdkdkd" hidden="1">{#N/A,#N/A,FALSE,"명세표"}</definedName>
    <definedName name="dkfhskgf" localSheetId="3" hidden="1">{#N/A,#N/A,FALSE,"Plan1";#N/A,#N/A,FALSE,"Plan2"}</definedName>
    <definedName name="dkfhskgf" localSheetId="8">{#N/A,#N/A,FALSE,"Plan1";#N/A,#N/A,FALSE,"Plan2"}</definedName>
    <definedName name="dkfhskgf" localSheetId="5" hidden="1">{#N/A,#N/A,FALSE,"Plan1";#N/A,#N/A,FALSE,"Plan2"}</definedName>
    <definedName name="dkfhskgf" localSheetId="4" hidden="1">{#N/A,#N/A,FALSE,"Plan1";#N/A,#N/A,FALSE,"Plan2"}</definedName>
    <definedName name="dkfhskgf" localSheetId="9">{#N/A,#N/A,FALSE,"Plan1";#N/A,#N/A,FALSE,"Plan2"}</definedName>
    <definedName name="dkfhskgf" localSheetId="10" hidden="1">{#N/A,#N/A,FALSE,"Plan1";#N/A,#N/A,FALSE,"Plan2"}</definedName>
    <definedName name="dkfhskgf" localSheetId="1" hidden="1">{#N/A,#N/A,FALSE,"Plan1";#N/A,#N/A,FALSE,"Plan2"}</definedName>
    <definedName name="dkfhskgf" localSheetId="0">{#N/A,#N/A,FALSE,"Plan1";#N/A,#N/A,FALSE,"Plan2"}</definedName>
    <definedName name="dkfhskgf" localSheetId="11" hidden="1">{#N/A,#N/A,FALSE,"Plan1";#N/A,#N/A,FALSE,"Plan2"}</definedName>
    <definedName name="dkfhskgf" localSheetId="12" hidden="1">{#N/A,#N/A,FALSE,"Plan1";#N/A,#N/A,FALSE,"Plan2"}</definedName>
    <definedName name="dkfhskgf" hidden="1">{#N/A,#N/A,FALSE,"Plan1";#N/A,#N/A,FALSE,"Plan2"}</definedName>
    <definedName name="dkjfk" localSheetId="3" hidden="1">{#N/A,#N/A,FALSE,"Plan1";#N/A,#N/A,FALSE,"Plan2"}</definedName>
    <definedName name="dkjfk" localSheetId="8">{#N/A,#N/A,FALSE,"Plan1";#N/A,#N/A,FALSE,"Plan2"}</definedName>
    <definedName name="dkjfk" localSheetId="5" hidden="1">{#N/A,#N/A,FALSE,"Plan1";#N/A,#N/A,FALSE,"Plan2"}</definedName>
    <definedName name="dkjfk" localSheetId="4" hidden="1">{#N/A,#N/A,FALSE,"Plan1";#N/A,#N/A,FALSE,"Plan2"}</definedName>
    <definedName name="dkjfk" localSheetId="9">{#N/A,#N/A,FALSE,"Plan1";#N/A,#N/A,FALSE,"Plan2"}</definedName>
    <definedName name="dkjfk" localSheetId="10" hidden="1">{#N/A,#N/A,FALSE,"Plan1";#N/A,#N/A,FALSE,"Plan2"}</definedName>
    <definedName name="dkjfk" localSheetId="1" hidden="1">{#N/A,#N/A,FALSE,"Plan1";#N/A,#N/A,FALSE,"Plan2"}</definedName>
    <definedName name="dkjfk" localSheetId="0">{#N/A,#N/A,FALSE,"Plan1";#N/A,#N/A,FALSE,"Plan2"}</definedName>
    <definedName name="dkjfk" localSheetId="11" hidden="1">{#N/A,#N/A,FALSE,"Plan1";#N/A,#N/A,FALSE,"Plan2"}</definedName>
    <definedName name="dkjfk" localSheetId="12" hidden="1">{#N/A,#N/A,FALSE,"Plan1";#N/A,#N/A,FALSE,"Plan2"}</definedName>
    <definedName name="dkjfk" hidden="1">{#N/A,#N/A,FALSE,"Plan1";#N/A,#N/A,FALSE,"Plan2"}</definedName>
    <definedName name="DKLD" localSheetId="3" hidden="1">{#N/A,#N/A,FALSE,"Plan1";#N/A,#N/A,FALSE,"Plan2"}</definedName>
    <definedName name="DKLD" localSheetId="8">{#N/A,#N/A,FALSE,"Plan1";#N/A,#N/A,FALSE,"Plan2"}</definedName>
    <definedName name="DKLD" localSheetId="5" hidden="1">{#N/A,#N/A,FALSE,"Plan1";#N/A,#N/A,FALSE,"Plan2"}</definedName>
    <definedName name="DKLD" localSheetId="4" hidden="1">{#N/A,#N/A,FALSE,"Plan1";#N/A,#N/A,FALSE,"Plan2"}</definedName>
    <definedName name="DKLD" localSheetId="9">{#N/A,#N/A,FALSE,"Plan1";#N/A,#N/A,FALSE,"Plan2"}</definedName>
    <definedName name="DKLD" localSheetId="10" hidden="1">{#N/A,#N/A,FALSE,"Plan1";#N/A,#N/A,FALSE,"Plan2"}</definedName>
    <definedName name="DKLD" localSheetId="1" hidden="1">{#N/A,#N/A,FALSE,"Plan1";#N/A,#N/A,FALSE,"Plan2"}</definedName>
    <definedName name="DKLD" localSheetId="0">{#N/A,#N/A,FALSE,"Plan1";#N/A,#N/A,FALSE,"Plan2"}</definedName>
    <definedName name="DKLD" localSheetId="11" hidden="1">{#N/A,#N/A,FALSE,"Plan1";#N/A,#N/A,FALSE,"Plan2"}</definedName>
    <definedName name="DKLD" localSheetId="12" hidden="1">{#N/A,#N/A,FALSE,"Plan1";#N/A,#N/A,FALSE,"Plan2"}</definedName>
    <definedName name="DKLD" hidden="1">{#N/A,#N/A,FALSE,"Plan1";#N/A,#N/A,FALSE,"Plan2"}</definedName>
    <definedName name="DKLFJDKFD" localSheetId="3" hidden="1">{#N/A,#N/A,FALSE,"Plan1";#N/A,#N/A,FALSE,"Plan2"}</definedName>
    <definedName name="DKLFJDKFD" localSheetId="8">{#N/A,#N/A,FALSE,"Plan1";#N/A,#N/A,FALSE,"Plan2"}</definedName>
    <definedName name="DKLFJDKFD" localSheetId="5" hidden="1">{#N/A,#N/A,FALSE,"Plan1";#N/A,#N/A,FALSE,"Plan2"}</definedName>
    <definedName name="DKLFJDKFD" localSheetId="4" hidden="1">{#N/A,#N/A,FALSE,"Plan1";#N/A,#N/A,FALSE,"Plan2"}</definedName>
    <definedName name="DKLFJDKFD" localSheetId="9">{#N/A,#N/A,FALSE,"Plan1";#N/A,#N/A,FALSE,"Plan2"}</definedName>
    <definedName name="DKLFJDKFD" localSheetId="10" hidden="1">{#N/A,#N/A,FALSE,"Plan1";#N/A,#N/A,FALSE,"Plan2"}</definedName>
    <definedName name="DKLFJDKFD" localSheetId="1" hidden="1">{#N/A,#N/A,FALSE,"Plan1";#N/A,#N/A,FALSE,"Plan2"}</definedName>
    <definedName name="DKLFJDKFD" localSheetId="0">{#N/A,#N/A,FALSE,"Plan1";#N/A,#N/A,FALSE,"Plan2"}</definedName>
    <definedName name="DKLFJDKFD" localSheetId="11" hidden="1">{#N/A,#N/A,FALSE,"Plan1";#N/A,#N/A,FALSE,"Plan2"}</definedName>
    <definedName name="DKLFJDKFD" localSheetId="12" hidden="1">{#N/A,#N/A,FALSE,"Plan1";#N/A,#N/A,FALSE,"Plan2"}</definedName>
    <definedName name="DKLFJDKFD" hidden="1">{#N/A,#N/A,FALSE,"Plan1";#N/A,#N/A,FALSE,"Plan2"}</definedName>
    <definedName name="dklfjgirtgid" localSheetId="3" hidden="1">{#N/A,#N/A,FALSE,"Plan1";#N/A,#N/A,FALSE,"Plan2"}</definedName>
    <definedName name="dklfjgirtgid" localSheetId="8">{#N/A,#N/A,FALSE,"Plan1";#N/A,#N/A,FALSE,"Plan2"}</definedName>
    <definedName name="dklfjgirtgid" localSheetId="5" hidden="1">{#N/A,#N/A,FALSE,"Plan1";#N/A,#N/A,FALSE,"Plan2"}</definedName>
    <definedName name="dklfjgirtgid" localSheetId="4" hidden="1">{#N/A,#N/A,FALSE,"Plan1";#N/A,#N/A,FALSE,"Plan2"}</definedName>
    <definedName name="dklfjgirtgid" localSheetId="9">{#N/A,#N/A,FALSE,"Plan1";#N/A,#N/A,FALSE,"Plan2"}</definedName>
    <definedName name="dklfjgirtgid" localSheetId="10" hidden="1">{#N/A,#N/A,FALSE,"Plan1";#N/A,#N/A,FALSE,"Plan2"}</definedName>
    <definedName name="dklfjgirtgid" localSheetId="1" hidden="1">{#N/A,#N/A,FALSE,"Plan1";#N/A,#N/A,FALSE,"Plan2"}</definedName>
    <definedName name="dklfjgirtgid" localSheetId="0">{#N/A,#N/A,FALSE,"Plan1";#N/A,#N/A,FALSE,"Plan2"}</definedName>
    <definedName name="dklfjgirtgid" localSheetId="11" hidden="1">{#N/A,#N/A,FALSE,"Plan1";#N/A,#N/A,FALSE,"Plan2"}</definedName>
    <definedName name="dklfjgirtgid" localSheetId="12" hidden="1">{#N/A,#N/A,FALSE,"Plan1";#N/A,#N/A,FALSE,"Plan2"}</definedName>
    <definedName name="dklfjgirtgid" hidden="1">{#N/A,#N/A,FALSE,"Plan1";#N/A,#N/A,FALSE,"Plan2"}</definedName>
    <definedName name="dklf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klf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mbfmndbmtrhed" localSheetId="3" hidden="1">{#N/A,#N/A,FALSE,"Plan1";#N/A,#N/A,FALSE,"Plan2"}</definedName>
    <definedName name="dmbfmndbmtrhed" localSheetId="8">{#N/A,#N/A,FALSE,"Plan1";#N/A,#N/A,FALSE,"Plan2"}</definedName>
    <definedName name="dmbfmndbmtrhed" localSheetId="5" hidden="1">{#N/A,#N/A,FALSE,"Plan1";#N/A,#N/A,FALSE,"Plan2"}</definedName>
    <definedName name="dmbfmndbmtrhed" localSheetId="4" hidden="1">{#N/A,#N/A,FALSE,"Plan1";#N/A,#N/A,FALSE,"Plan2"}</definedName>
    <definedName name="dmbfmndbmtrhed" localSheetId="9">{#N/A,#N/A,FALSE,"Plan1";#N/A,#N/A,FALSE,"Plan2"}</definedName>
    <definedName name="dmbfmndbmtrhed" localSheetId="10" hidden="1">{#N/A,#N/A,FALSE,"Plan1";#N/A,#N/A,FALSE,"Plan2"}</definedName>
    <definedName name="dmbfmndbmtrhed" localSheetId="1" hidden="1">{#N/A,#N/A,FALSE,"Plan1";#N/A,#N/A,FALSE,"Plan2"}</definedName>
    <definedName name="dmbfmndbmtrhed" localSheetId="0">{#N/A,#N/A,FALSE,"Plan1";#N/A,#N/A,FALSE,"Plan2"}</definedName>
    <definedName name="dmbfmndbmtrhed" localSheetId="11" hidden="1">{#N/A,#N/A,FALSE,"Plan1";#N/A,#N/A,FALSE,"Plan2"}</definedName>
    <definedName name="dmbfmndbmtrhed" localSheetId="12" hidden="1">{#N/A,#N/A,FALSE,"Plan1";#N/A,#N/A,FALSE,"Plan2"}</definedName>
    <definedName name="dmbfmndbmtrhed" hidden="1">{#N/A,#N/A,FALSE,"Plan1";#N/A,#N/A,FALSE,"Plan2"}</definedName>
    <definedName name="DNFJKDHTKRE" localSheetId="3" hidden="1">{#N/A,#N/A,FALSE,"Plan1";#N/A,#N/A,FALSE,"Plan2"}</definedName>
    <definedName name="DNFJKDHTKRE" localSheetId="8">{#N/A,#N/A,FALSE,"Plan1";#N/A,#N/A,FALSE,"Plan2"}</definedName>
    <definedName name="DNFJKDHTKRE" localSheetId="5" hidden="1">{#N/A,#N/A,FALSE,"Plan1";#N/A,#N/A,FALSE,"Plan2"}</definedName>
    <definedName name="DNFJKDHTKRE" localSheetId="4" hidden="1">{#N/A,#N/A,FALSE,"Plan1";#N/A,#N/A,FALSE,"Plan2"}</definedName>
    <definedName name="DNFJKDHTKRE" localSheetId="9">{#N/A,#N/A,FALSE,"Plan1";#N/A,#N/A,FALSE,"Plan2"}</definedName>
    <definedName name="DNFJKDHTKRE" localSheetId="10" hidden="1">{#N/A,#N/A,FALSE,"Plan1";#N/A,#N/A,FALSE,"Plan2"}</definedName>
    <definedName name="DNFJKDHTKRE" localSheetId="1" hidden="1">{#N/A,#N/A,FALSE,"Plan1";#N/A,#N/A,FALSE,"Plan2"}</definedName>
    <definedName name="DNFJKDHTKRE" localSheetId="0">{#N/A,#N/A,FALSE,"Plan1";#N/A,#N/A,FALSE,"Plan2"}</definedName>
    <definedName name="DNFJKDHTKRE" localSheetId="11" hidden="1">{#N/A,#N/A,FALSE,"Plan1";#N/A,#N/A,FALSE,"Plan2"}</definedName>
    <definedName name="DNFJKDHTKRE" localSheetId="12" hidden="1">{#N/A,#N/A,FALSE,"Plan1";#N/A,#N/A,FALSE,"Plan2"}</definedName>
    <definedName name="DNFJKDHTKRE" hidden="1">{#N/A,#N/A,FALSE,"Plan1";#N/A,#N/A,FALSE,"Plan2"}</definedName>
    <definedName name="d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CUMENT" localSheetId="8">#REF!</definedName>
    <definedName name="DOCUMENT" localSheetId="5">#REF!</definedName>
    <definedName name="DOCUMENT" localSheetId="9">#REF!</definedName>
    <definedName name="DOCUMENT" localSheetId="10">#REF!</definedName>
    <definedName name="DOCUMENT" localSheetId="0">#REF!</definedName>
    <definedName name="DOCUMENT" localSheetId="11">#REF!</definedName>
    <definedName name="DOCUMENT" localSheetId="12">#REF!</definedName>
    <definedName name="DOCUMENT">#REF!</definedName>
    <definedName name="DOIS" localSheetId="8">#REF!</definedName>
    <definedName name="DOIS" localSheetId="5">#REF!</definedName>
    <definedName name="DOIS" localSheetId="9">#REF!</definedName>
    <definedName name="DOIS" localSheetId="10">#REF!</definedName>
    <definedName name="DOIS" localSheetId="0">#REF!</definedName>
    <definedName name="DOIS" localSheetId="11">#REF!</definedName>
    <definedName name="DOIS" localSheetId="12">#REF!</definedName>
    <definedName name="DOIS">#REF!</definedName>
    <definedName name="dolar" localSheetId="8">#REF!</definedName>
    <definedName name="dolar" localSheetId="5">#REF!</definedName>
    <definedName name="dolar" localSheetId="9">#REF!</definedName>
    <definedName name="dolar" localSheetId="10">#REF!</definedName>
    <definedName name="dolar" localSheetId="0">#REF!</definedName>
    <definedName name="dolar" localSheetId="11">#REF!</definedName>
    <definedName name="dolar" localSheetId="12">#REF!</definedName>
    <definedName name="dolar">#REF!</definedName>
    <definedName name="dolar_dez" localSheetId="8">#REF!</definedName>
    <definedName name="dolar_dez" localSheetId="5">#REF!</definedName>
    <definedName name="dolar_dez" localSheetId="10">#REF!</definedName>
    <definedName name="dolar_dez" localSheetId="11">#REF!</definedName>
    <definedName name="dolar_dez" localSheetId="12">#REF!</definedName>
    <definedName name="dolar_dez">#REF!</definedName>
    <definedName name="dolar_nov" localSheetId="8">#REF!</definedName>
    <definedName name="dolar_nov" localSheetId="5">#REF!</definedName>
    <definedName name="dolar_nov" localSheetId="10">#REF!</definedName>
    <definedName name="dolar_nov" localSheetId="11">#REF!</definedName>
    <definedName name="dolar_nov" localSheetId="12">#REF!</definedName>
    <definedName name="dolar_nov">#REF!</definedName>
    <definedName name="dolar_out" localSheetId="8">#REF!</definedName>
    <definedName name="dolar_out" localSheetId="5">#REF!</definedName>
    <definedName name="dolar_out" localSheetId="10">#REF!</definedName>
    <definedName name="dolar_out" localSheetId="11">#REF!</definedName>
    <definedName name="dolar_out" localSheetId="12">#REF!</definedName>
    <definedName name="dolar_out">#REF!</definedName>
    <definedName name="dolar2" localSheetId="8">#REF!</definedName>
    <definedName name="dolar2" localSheetId="5">#REF!</definedName>
    <definedName name="dolar2" localSheetId="10">#REF!</definedName>
    <definedName name="dolar2" localSheetId="11">#REF!</definedName>
    <definedName name="dolar2" localSheetId="12">#REF!</definedName>
    <definedName name="dolar2">#REF!</definedName>
    <definedName name="dolarabr" localSheetId="8">#REF!</definedName>
    <definedName name="dolarabr" localSheetId="5">#REF!</definedName>
    <definedName name="dolarabr" localSheetId="10">#REF!</definedName>
    <definedName name="dolarabr" localSheetId="11">#REF!</definedName>
    <definedName name="dolarabr" localSheetId="12">#REF!</definedName>
    <definedName name="dolarabr">#REF!</definedName>
    <definedName name="dolarabr02" localSheetId="8">#REF!</definedName>
    <definedName name="dolarabr02" localSheetId="5">#REF!</definedName>
    <definedName name="dolarabr02" localSheetId="10">#REF!</definedName>
    <definedName name="dolarabr02" localSheetId="11">#REF!</definedName>
    <definedName name="dolarabr02" localSheetId="12">#REF!</definedName>
    <definedName name="dolarabr02">#REF!</definedName>
    <definedName name="DolarAgo" localSheetId="8">#REF!</definedName>
    <definedName name="DolarAgo" localSheetId="5">#REF!</definedName>
    <definedName name="DolarAgo" localSheetId="10">#REF!</definedName>
    <definedName name="DolarAgo" localSheetId="11">#REF!</definedName>
    <definedName name="DolarAgo" localSheetId="12">#REF!</definedName>
    <definedName name="DolarAgo">#REF!</definedName>
    <definedName name="dolarago02" localSheetId="8">#REF!</definedName>
    <definedName name="dolarago02" localSheetId="5">#REF!</definedName>
    <definedName name="dolarago02" localSheetId="10">#REF!</definedName>
    <definedName name="dolarago02" localSheetId="11">#REF!</definedName>
    <definedName name="dolarago02" localSheetId="12">#REF!</definedName>
    <definedName name="dolarago02">#REF!</definedName>
    <definedName name="dolardez" localSheetId="8">#REF!</definedName>
    <definedName name="dolardez" localSheetId="5">#REF!</definedName>
    <definedName name="dolardez" localSheetId="10">#REF!</definedName>
    <definedName name="dolardez" localSheetId="11">#REF!</definedName>
    <definedName name="dolardez" localSheetId="12">#REF!</definedName>
    <definedName name="dolardez">#REF!</definedName>
    <definedName name="dolarfev" localSheetId="8">#REF!</definedName>
    <definedName name="dolarfev" localSheetId="5">#REF!</definedName>
    <definedName name="dolarfev" localSheetId="10">#REF!</definedName>
    <definedName name="dolarfev" localSheetId="11">#REF!</definedName>
    <definedName name="dolarfev" localSheetId="12">#REF!</definedName>
    <definedName name="dolarfev">#REF!</definedName>
    <definedName name="dolarfev02" localSheetId="8">#REF!</definedName>
    <definedName name="dolarfev02" localSheetId="5">#REF!</definedName>
    <definedName name="dolarfev02" localSheetId="10">#REF!</definedName>
    <definedName name="dolarfev02" localSheetId="11">#REF!</definedName>
    <definedName name="dolarfev02" localSheetId="12">#REF!</definedName>
    <definedName name="dolarfev02">#REF!</definedName>
    <definedName name="dolarfimdez" localSheetId="8">#REF!</definedName>
    <definedName name="dolarfimdez" localSheetId="5">#REF!</definedName>
    <definedName name="dolarfimdez" localSheetId="10">#REF!</definedName>
    <definedName name="dolarfimdez" localSheetId="11">#REF!</definedName>
    <definedName name="dolarfimdez" localSheetId="12">#REF!</definedName>
    <definedName name="dolarfimdez">#REF!</definedName>
    <definedName name="dolarFimJun" localSheetId="8">#REF!</definedName>
    <definedName name="dolarFimJun" localSheetId="5">#REF!</definedName>
    <definedName name="dolarFimJun" localSheetId="10">#REF!</definedName>
    <definedName name="dolarFimJun" localSheetId="11">#REF!</definedName>
    <definedName name="dolarFimJun" localSheetId="12">#REF!</definedName>
    <definedName name="dolarFimJun">#REF!</definedName>
    <definedName name="dolarfindez" localSheetId="8">#REF!</definedName>
    <definedName name="dolarfindez" localSheetId="5">#REF!</definedName>
    <definedName name="dolarfindez" localSheetId="10">#REF!</definedName>
    <definedName name="dolarfindez" localSheetId="11">#REF!</definedName>
    <definedName name="dolarfindez" localSheetId="12">#REF!</definedName>
    <definedName name="dolarfindez">#REF!</definedName>
    <definedName name="dolarfinmar" localSheetId="8">#REF!</definedName>
    <definedName name="dolarfinmar" localSheetId="5">#REF!</definedName>
    <definedName name="dolarfinmar" localSheetId="10">#REF!</definedName>
    <definedName name="dolarfinmar" localSheetId="11">#REF!</definedName>
    <definedName name="dolarfinmar" localSheetId="12">#REF!</definedName>
    <definedName name="dolarfinmar">#REF!</definedName>
    <definedName name="DolarFinSet" localSheetId="8">#REF!</definedName>
    <definedName name="DolarFinSet" localSheetId="5">#REF!</definedName>
    <definedName name="DolarFinSet" localSheetId="10">#REF!</definedName>
    <definedName name="DolarFinSet" localSheetId="11">#REF!</definedName>
    <definedName name="DolarFinSet" localSheetId="12">#REF!</definedName>
    <definedName name="DolarFinSet">#REF!</definedName>
    <definedName name="dolarjan" localSheetId="8">#REF!</definedName>
    <definedName name="dolarjan" localSheetId="5">#REF!</definedName>
    <definedName name="dolarjan" localSheetId="10">#REF!</definedName>
    <definedName name="dolarjan" localSheetId="11">#REF!</definedName>
    <definedName name="dolarjan" localSheetId="12">#REF!</definedName>
    <definedName name="dolarjan">#REF!</definedName>
    <definedName name="dolarjan02" localSheetId="8">#REF!</definedName>
    <definedName name="dolarjan02" localSheetId="5">#REF!</definedName>
    <definedName name="dolarjan02" localSheetId="10">#REF!</definedName>
    <definedName name="dolarjan02" localSheetId="11">#REF!</definedName>
    <definedName name="dolarjan02" localSheetId="12">#REF!</definedName>
    <definedName name="dolarjan02">#REF!</definedName>
    <definedName name="DolarJul" localSheetId="8">#REF!</definedName>
    <definedName name="DolarJul" localSheetId="5">#REF!</definedName>
    <definedName name="DolarJul" localSheetId="10">#REF!</definedName>
    <definedName name="DolarJul" localSheetId="11">#REF!</definedName>
    <definedName name="DolarJul" localSheetId="12">#REF!</definedName>
    <definedName name="DolarJul">#REF!</definedName>
    <definedName name="dolarjul02" localSheetId="8">#REF!</definedName>
    <definedName name="dolarjul02" localSheetId="5">#REF!</definedName>
    <definedName name="dolarjul02" localSheetId="10">#REF!</definedName>
    <definedName name="dolarjul02" localSheetId="11">#REF!</definedName>
    <definedName name="dolarjul02" localSheetId="12">#REF!</definedName>
    <definedName name="dolarjul02">#REF!</definedName>
    <definedName name="dolarjun" localSheetId="8">#REF!</definedName>
    <definedName name="dolarjun" localSheetId="5">#REF!</definedName>
    <definedName name="dolarjun" localSheetId="10">#REF!</definedName>
    <definedName name="dolarjun" localSheetId="11">#REF!</definedName>
    <definedName name="dolarjun" localSheetId="12">#REF!</definedName>
    <definedName name="dolarjun">#REF!</definedName>
    <definedName name="dolarjun02" localSheetId="8">#REF!</definedName>
    <definedName name="dolarjun02" localSheetId="5">#REF!</definedName>
    <definedName name="dolarjun02" localSheetId="10">#REF!</definedName>
    <definedName name="dolarjun02" localSheetId="11">#REF!</definedName>
    <definedName name="dolarjun02" localSheetId="12">#REF!</definedName>
    <definedName name="dolarjun02">#REF!</definedName>
    <definedName name="dolarmai" localSheetId="8">#REF!</definedName>
    <definedName name="dolarmai" localSheetId="5">#REF!</definedName>
    <definedName name="dolarmai" localSheetId="10">#REF!</definedName>
    <definedName name="dolarmai" localSheetId="11">#REF!</definedName>
    <definedName name="dolarmai" localSheetId="12">#REF!</definedName>
    <definedName name="dolarmai">#REF!</definedName>
    <definedName name="dolarmai02" localSheetId="8">#REF!</definedName>
    <definedName name="dolarmai02" localSheetId="5">#REF!</definedName>
    <definedName name="dolarmai02" localSheetId="10">#REF!</definedName>
    <definedName name="dolarmai02" localSheetId="11">#REF!</definedName>
    <definedName name="dolarmai02" localSheetId="12">#REF!</definedName>
    <definedName name="dolarmai02">#REF!</definedName>
    <definedName name="dolarmar" localSheetId="8">#REF!</definedName>
    <definedName name="dolarmar" localSheetId="5">#REF!</definedName>
    <definedName name="dolarmar" localSheetId="10">#REF!</definedName>
    <definedName name="dolarmar" localSheetId="11">#REF!</definedName>
    <definedName name="dolarmar" localSheetId="12">#REF!</definedName>
    <definedName name="dolarmar">#REF!</definedName>
    <definedName name="dolarmar02" localSheetId="8">#REF!</definedName>
    <definedName name="dolarmar02" localSheetId="5">#REF!</definedName>
    <definedName name="dolarmar02" localSheetId="10">#REF!</definedName>
    <definedName name="dolarmar02" localSheetId="11">#REF!</definedName>
    <definedName name="dolarmar02" localSheetId="12">#REF!</definedName>
    <definedName name="dolarmar02">#REF!</definedName>
    <definedName name="dolarnov" localSheetId="8">#REF!</definedName>
    <definedName name="dolarnov" localSheetId="5">#REF!</definedName>
    <definedName name="dolarnov" localSheetId="10">#REF!</definedName>
    <definedName name="dolarnov" localSheetId="11">#REF!</definedName>
    <definedName name="dolarnov" localSheetId="12">#REF!</definedName>
    <definedName name="dolarnov">#REF!</definedName>
    <definedName name="dolarout" localSheetId="8">#REF!</definedName>
    <definedName name="dolarout" localSheetId="5">#REF!</definedName>
    <definedName name="dolarout" localSheetId="10">#REF!</definedName>
    <definedName name="dolarout" localSheetId="11">#REF!</definedName>
    <definedName name="dolarout" localSheetId="12">#REF!</definedName>
    <definedName name="dolarout">#REF!</definedName>
    <definedName name="DolarSet" localSheetId="8">#REF!</definedName>
    <definedName name="DolarSet" localSheetId="5">#REF!</definedName>
    <definedName name="DolarSet" localSheetId="10">#REF!</definedName>
    <definedName name="DolarSet" localSheetId="11">#REF!</definedName>
    <definedName name="DolarSet" localSheetId="12">#REF!</definedName>
    <definedName name="DolarSet">#REF!</definedName>
    <definedName name="dolarset02" localSheetId="8">#REF!</definedName>
    <definedName name="dolarset02" localSheetId="5">#REF!</definedName>
    <definedName name="dolarset02" localSheetId="10">#REF!</definedName>
    <definedName name="dolarset02" localSheetId="11">#REF!</definedName>
    <definedName name="dolarset02" localSheetId="12">#REF!</definedName>
    <definedName name="dolarset02">#REF!</definedName>
    <definedName name="DOZE" localSheetId="8">#REF!</definedName>
    <definedName name="DOZE" localSheetId="5">#REF!</definedName>
    <definedName name="DOZE" localSheetId="10">#REF!</definedName>
    <definedName name="DOZE" localSheetId="11">#REF!</definedName>
    <definedName name="DOZE" localSheetId="12">#REF!</definedName>
    <definedName name="DOZE">#REF!</definedName>
    <definedName name="DRE" localSheetId="8">#REF!</definedName>
    <definedName name="DRE" localSheetId="5">#REF!</definedName>
    <definedName name="DRE" localSheetId="10">#REF!</definedName>
    <definedName name="DRE" localSheetId="1">#REF!</definedName>
    <definedName name="DRE" localSheetId="11">#REF!</definedName>
    <definedName name="DRE" localSheetId="12">#REF!</definedName>
    <definedName name="DRE">#REF!</definedName>
    <definedName name="drewr" localSheetId="3" hidden="1">{#N/A,#N/A,FALSE,"Plan1";#N/A,#N/A,FALSE,"Plan2"}</definedName>
    <definedName name="drewr" localSheetId="8">{#N/A,#N/A,FALSE,"Plan1";#N/A,#N/A,FALSE,"Plan2"}</definedName>
    <definedName name="drewr" localSheetId="5" hidden="1">{#N/A,#N/A,FALSE,"Plan1";#N/A,#N/A,FALSE,"Plan2"}</definedName>
    <definedName name="drewr" localSheetId="4" hidden="1">{#N/A,#N/A,FALSE,"Plan1";#N/A,#N/A,FALSE,"Plan2"}</definedName>
    <definedName name="drewr" localSheetId="9">{#N/A,#N/A,FALSE,"Plan1";#N/A,#N/A,FALSE,"Plan2"}</definedName>
    <definedName name="drewr" localSheetId="10" hidden="1">{#N/A,#N/A,FALSE,"Plan1";#N/A,#N/A,FALSE,"Plan2"}</definedName>
    <definedName name="drewr" localSheetId="1" hidden="1">{#N/A,#N/A,FALSE,"Plan1";#N/A,#N/A,FALSE,"Plan2"}</definedName>
    <definedName name="drewr" localSheetId="0">{#N/A,#N/A,FALSE,"Plan1";#N/A,#N/A,FALSE,"Plan2"}</definedName>
    <definedName name="drewr" localSheetId="11" hidden="1">{#N/A,#N/A,FALSE,"Plan1";#N/A,#N/A,FALSE,"Plan2"}</definedName>
    <definedName name="drewr" localSheetId="12" hidden="1">{#N/A,#N/A,FALSE,"Plan1";#N/A,#N/A,FALSE,"Plan2"}</definedName>
    <definedName name="drewr" hidden="1">{#N/A,#N/A,FALSE,"Plan1";#N/A,#N/A,FALSE,"Plan2"}</definedName>
    <definedName name="DRRJR" localSheetId="3" hidden="1">{#N/A,#N/A,FALSE,"Plan1";#N/A,#N/A,FALSE,"Plan2"}</definedName>
    <definedName name="DRRJR" localSheetId="8">{#N/A,#N/A,FALSE,"Plan1";#N/A,#N/A,FALSE,"Plan2"}</definedName>
    <definedName name="DRRJR" localSheetId="5" hidden="1">{#N/A,#N/A,FALSE,"Plan1";#N/A,#N/A,FALSE,"Plan2"}</definedName>
    <definedName name="DRRJR" localSheetId="4" hidden="1">{#N/A,#N/A,FALSE,"Plan1";#N/A,#N/A,FALSE,"Plan2"}</definedName>
    <definedName name="DRRJR" localSheetId="9">{#N/A,#N/A,FALSE,"Plan1";#N/A,#N/A,FALSE,"Plan2"}</definedName>
    <definedName name="DRRJR" localSheetId="10" hidden="1">{#N/A,#N/A,FALSE,"Plan1";#N/A,#N/A,FALSE,"Plan2"}</definedName>
    <definedName name="DRRJR" localSheetId="1" hidden="1">{#N/A,#N/A,FALSE,"Plan1";#N/A,#N/A,FALSE,"Plan2"}</definedName>
    <definedName name="DRRJR" localSheetId="0">{#N/A,#N/A,FALSE,"Plan1";#N/A,#N/A,FALSE,"Plan2"}</definedName>
    <definedName name="DRRJR" localSheetId="11" hidden="1">{#N/A,#N/A,FALSE,"Plan1";#N/A,#N/A,FALSE,"Plan2"}</definedName>
    <definedName name="DRRJR" localSheetId="12" hidden="1">{#N/A,#N/A,FALSE,"Plan1";#N/A,#N/A,FALSE,"Plan2"}</definedName>
    <definedName name="DRRJR" hidden="1">{#N/A,#N/A,FALSE,"Plan1";#N/A,#N/A,FALSE,"Plan2"}</definedName>
    <definedName name="drtr" localSheetId="8">#REF!</definedName>
    <definedName name="drtr" localSheetId="9">#REF!</definedName>
    <definedName name="drtr" localSheetId="10" hidden="1">#REF!</definedName>
    <definedName name="drtr" localSheetId="1" hidden="1">#REF!</definedName>
    <definedName name="drtr" localSheetId="0">#REF!</definedName>
    <definedName name="drtr" localSheetId="11" hidden="1">#REF!</definedName>
    <definedName name="drtr" localSheetId="12" hidden="1">#REF!</definedName>
    <definedName name="drtr" hidden="1">#REF!</definedName>
    <definedName name="drtrt" localSheetId="3" hidden="1">{"'Estimativa de Lançamento-JAN'!$A$1:$AI$85"}</definedName>
    <definedName name="drtrt" localSheetId="8">{"'Estimativa de Lançamento-JAN'!$A$1:$AI$85"}</definedName>
    <definedName name="drtrt" localSheetId="5" hidden="1">{"'Estimativa de Lançamento-JAN'!$A$1:$AI$85"}</definedName>
    <definedName name="drtrt" localSheetId="4" hidden="1">{"'Estimativa de Lançamento-JAN'!$A$1:$AI$85"}</definedName>
    <definedName name="drtrt" localSheetId="9">{"'Estimativa de Lançamento-JAN'!$A$1:$AI$85"}</definedName>
    <definedName name="drtrt" localSheetId="10" hidden="1">{"'Estimativa de Lançamento-JAN'!$A$1:$AI$85"}</definedName>
    <definedName name="drtrt" localSheetId="1" hidden="1">{"'Estimativa de Lançamento-JAN'!$A$1:$AI$85"}</definedName>
    <definedName name="drtrt" localSheetId="0">{"'Estimativa de Lançamento-JAN'!$A$1:$AI$85"}</definedName>
    <definedName name="drtrt" localSheetId="11" hidden="1">{"'Estimativa de Lançamento-JAN'!$A$1:$AI$85"}</definedName>
    <definedName name="drtrt" localSheetId="12" hidden="1">{"'Estimativa de Lançamento-JAN'!$A$1:$AI$85"}</definedName>
    <definedName name="drtrt" hidden="1">{"'Estimativa de Lançamento-JAN'!$A$1:$AI$85"}</definedName>
    <definedName name="dsdrf" localSheetId="3" hidden="1">{#N/A,#N/A,FALSE,"Plan1";#N/A,#N/A,FALSE,"Plan2"}</definedName>
    <definedName name="dsdrf" localSheetId="8">{#N/A,#N/A,FALSE,"Plan1";#N/A,#N/A,FALSE,"Plan2"}</definedName>
    <definedName name="dsdrf" localSheetId="5" hidden="1">{#N/A,#N/A,FALSE,"Plan1";#N/A,#N/A,FALSE,"Plan2"}</definedName>
    <definedName name="dsdrf" localSheetId="4" hidden="1">{#N/A,#N/A,FALSE,"Plan1";#N/A,#N/A,FALSE,"Plan2"}</definedName>
    <definedName name="dsdrf" localSheetId="9">{#N/A,#N/A,FALSE,"Plan1";#N/A,#N/A,FALSE,"Plan2"}</definedName>
    <definedName name="dsdrf" localSheetId="10" hidden="1">{#N/A,#N/A,FALSE,"Plan1";#N/A,#N/A,FALSE,"Plan2"}</definedName>
    <definedName name="dsdrf" localSheetId="1" hidden="1">{#N/A,#N/A,FALSE,"Plan1";#N/A,#N/A,FALSE,"Plan2"}</definedName>
    <definedName name="dsdrf" localSheetId="0">{#N/A,#N/A,FALSE,"Plan1";#N/A,#N/A,FALSE,"Plan2"}</definedName>
    <definedName name="dsdrf" localSheetId="11" hidden="1">{#N/A,#N/A,FALSE,"Plan1";#N/A,#N/A,FALSE,"Plan2"}</definedName>
    <definedName name="dsdrf" localSheetId="12" hidden="1">{#N/A,#N/A,FALSE,"Plan1";#N/A,#N/A,FALSE,"Plan2"}</definedName>
    <definedName name="dsdrf" hidden="1">{#N/A,#N/A,FALSE,"Plan1";#N/A,#N/A,FALSE,"Plan2"}</definedName>
    <definedName name="dsfdf" localSheetId="3" hidden="1">{#N/A,#N/A,FALSE,"Plan1";#N/A,#N/A,FALSE,"Plan2"}</definedName>
    <definedName name="dsfdf" localSheetId="8">{#N/A,#N/A,FALSE,"Plan1";#N/A,#N/A,FALSE,"Plan2"}</definedName>
    <definedName name="dsfdf" localSheetId="5" hidden="1">{#N/A,#N/A,FALSE,"Plan1";#N/A,#N/A,FALSE,"Plan2"}</definedName>
    <definedName name="dsfdf" localSheetId="4" hidden="1">{#N/A,#N/A,FALSE,"Plan1";#N/A,#N/A,FALSE,"Plan2"}</definedName>
    <definedName name="dsfdf" localSheetId="9">{#N/A,#N/A,FALSE,"Plan1";#N/A,#N/A,FALSE,"Plan2"}</definedName>
    <definedName name="dsfdf" localSheetId="10" hidden="1">{#N/A,#N/A,FALSE,"Plan1";#N/A,#N/A,FALSE,"Plan2"}</definedName>
    <definedName name="dsfdf" localSheetId="1" hidden="1">{#N/A,#N/A,FALSE,"Plan1";#N/A,#N/A,FALSE,"Plan2"}</definedName>
    <definedName name="dsfdf" localSheetId="0">{#N/A,#N/A,FALSE,"Plan1";#N/A,#N/A,FALSE,"Plan2"}</definedName>
    <definedName name="dsfdf" localSheetId="11" hidden="1">{#N/A,#N/A,FALSE,"Plan1";#N/A,#N/A,FALSE,"Plan2"}</definedName>
    <definedName name="dsfdf" localSheetId="12" hidden="1">{#N/A,#N/A,FALSE,"Plan1";#N/A,#N/A,FALSE,"Plan2"}</definedName>
    <definedName name="dsfdf" hidden="1">{#N/A,#N/A,FALSE,"Plan1";#N/A,#N/A,FALSE,"Plan2"}</definedName>
    <definedName name="dsfg" localSheetId="3" hidden="1">{#N/A,#N/A,FALSE,"Plan1";#N/A,#N/A,FALSE,"Plan2"}</definedName>
    <definedName name="dsfg" localSheetId="8">{#N/A,#N/A,FALSE,"Plan1";#N/A,#N/A,FALSE,"Plan2"}</definedName>
    <definedName name="dsfg" localSheetId="5" hidden="1">{#N/A,#N/A,FALSE,"Plan1";#N/A,#N/A,FALSE,"Plan2"}</definedName>
    <definedName name="dsfg" localSheetId="4" hidden="1">{#N/A,#N/A,FALSE,"Plan1";#N/A,#N/A,FALSE,"Plan2"}</definedName>
    <definedName name="dsfg" localSheetId="9">{#N/A,#N/A,FALSE,"Plan1";#N/A,#N/A,FALSE,"Plan2"}</definedName>
    <definedName name="dsfg" localSheetId="10" hidden="1">{#N/A,#N/A,FALSE,"Plan1";#N/A,#N/A,FALSE,"Plan2"}</definedName>
    <definedName name="dsfg" localSheetId="1" hidden="1">{#N/A,#N/A,FALSE,"Plan1";#N/A,#N/A,FALSE,"Plan2"}</definedName>
    <definedName name="dsfg" localSheetId="0">{#N/A,#N/A,FALSE,"Plan1";#N/A,#N/A,FALSE,"Plan2"}</definedName>
    <definedName name="dsfg" localSheetId="11" hidden="1">{#N/A,#N/A,FALSE,"Plan1";#N/A,#N/A,FALSE,"Plan2"}</definedName>
    <definedName name="dsfg" localSheetId="12" hidden="1">{#N/A,#N/A,FALSE,"Plan1";#N/A,#N/A,FALSE,"Plan2"}</definedName>
    <definedName name="dsfg" hidden="1">{#N/A,#N/A,FALSE,"Plan1";#N/A,#N/A,FALSE,"Plan2"}</definedName>
    <definedName name="DSFKDSKH" localSheetId="3" hidden="1">{#N/A,#N/A,FALSE,"Plan1";#N/A,#N/A,FALSE,"Plan2"}</definedName>
    <definedName name="DSFKDSKH" localSheetId="8">{#N/A,#N/A,FALSE,"Plan1";#N/A,#N/A,FALSE,"Plan2"}</definedName>
    <definedName name="DSFKDSKH" localSheetId="5" hidden="1">{#N/A,#N/A,FALSE,"Plan1";#N/A,#N/A,FALSE,"Plan2"}</definedName>
    <definedName name="DSFKDSKH" localSheetId="4" hidden="1">{#N/A,#N/A,FALSE,"Plan1";#N/A,#N/A,FALSE,"Plan2"}</definedName>
    <definedName name="DSFKDSKH" localSheetId="9">{#N/A,#N/A,FALSE,"Plan1";#N/A,#N/A,FALSE,"Plan2"}</definedName>
    <definedName name="DSFKDSKH" localSheetId="10" hidden="1">{#N/A,#N/A,FALSE,"Plan1";#N/A,#N/A,FALSE,"Plan2"}</definedName>
    <definedName name="DSFKDSKH" localSheetId="1" hidden="1">{#N/A,#N/A,FALSE,"Plan1";#N/A,#N/A,FALSE,"Plan2"}</definedName>
    <definedName name="DSFKDSKH" localSheetId="0">{#N/A,#N/A,FALSE,"Plan1";#N/A,#N/A,FALSE,"Plan2"}</definedName>
    <definedName name="DSFKDSKH" localSheetId="11" hidden="1">{#N/A,#N/A,FALSE,"Plan1";#N/A,#N/A,FALSE,"Plan2"}</definedName>
    <definedName name="DSFKDSKH" localSheetId="12" hidden="1">{#N/A,#N/A,FALSE,"Plan1";#N/A,#N/A,FALSE,"Plan2"}</definedName>
    <definedName name="DSFKDSKH" hidden="1">{#N/A,#N/A,FALSE,"Plan1";#N/A,#N/A,FALSE,"Plan2"}</definedName>
    <definedName name="DSF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frtyy" localSheetId="3" hidden="1">{#N/A,#N/A,FALSE,"Plan1";#N/A,#N/A,FALSE,"Plan2"}</definedName>
    <definedName name="dsfrtyy" localSheetId="8">{#N/A,#N/A,FALSE,"Plan1";#N/A,#N/A,FALSE,"Plan2"}</definedName>
    <definedName name="dsfrtyy" localSheetId="5" hidden="1">{#N/A,#N/A,FALSE,"Plan1";#N/A,#N/A,FALSE,"Plan2"}</definedName>
    <definedName name="dsfrtyy" localSheetId="4" hidden="1">{#N/A,#N/A,FALSE,"Plan1";#N/A,#N/A,FALSE,"Plan2"}</definedName>
    <definedName name="dsfrtyy" localSheetId="9">{#N/A,#N/A,FALSE,"Plan1";#N/A,#N/A,FALSE,"Plan2"}</definedName>
    <definedName name="dsfrtyy" localSheetId="10" hidden="1">{#N/A,#N/A,FALSE,"Plan1";#N/A,#N/A,FALSE,"Plan2"}</definedName>
    <definedName name="dsfrtyy" localSheetId="1" hidden="1">{#N/A,#N/A,FALSE,"Plan1";#N/A,#N/A,FALSE,"Plan2"}</definedName>
    <definedName name="dsfrtyy" localSheetId="0">{#N/A,#N/A,FALSE,"Plan1";#N/A,#N/A,FALSE,"Plan2"}</definedName>
    <definedName name="dsfrtyy" localSheetId="11" hidden="1">{#N/A,#N/A,FALSE,"Plan1";#N/A,#N/A,FALSE,"Plan2"}</definedName>
    <definedName name="dsfrtyy" localSheetId="12" hidden="1">{#N/A,#N/A,FALSE,"Plan1";#N/A,#N/A,FALSE,"Plan2"}</definedName>
    <definedName name="dsfrtyy" hidden="1">{#N/A,#N/A,FALSE,"Plan1";#N/A,#N/A,FALSE,"Plan2"}</definedName>
    <definedName name="DSFSAD" localSheetId="3" hidden="1">{#N/A,#N/A,FALSE,"Plan1";#N/A,#N/A,FALSE,"Plan2"}</definedName>
    <definedName name="DSFSAD" localSheetId="8">{#N/A,#N/A,FALSE,"Plan1";#N/A,#N/A,FALSE,"Plan2"}</definedName>
    <definedName name="DSFSAD" localSheetId="5" hidden="1">{#N/A,#N/A,FALSE,"Plan1";#N/A,#N/A,FALSE,"Plan2"}</definedName>
    <definedName name="DSFSAD" localSheetId="4" hidden="1">{#N/A,#N/A,FALSE,"Plan1";#N/A,#N/A,FALSE,"Plan2"}</definedName>
    <definedName name="DSFSAD" localSheetId="9">{#N/A,#N/A,FALSE,"Plan1";#N/A,#N/A,FALSE,"Plan2"}</definedName>
    <definedName name="DSFSAD" localSheetId="10" hidden="1">{#N/A,#N/A,FALSE,"Plan1";#N/A,#N/A,FALSE,"Plan2"}</definedName>
    <definedName name="DSFSAD" localSheetId="1" hidden="1">{#N/A,#N/A,FALSE,"Plan1";#N/A,#N/A,FALSE,"Plan2"}</definedName>
    <definedName name="DSFSAD" localSheetId="0">{#N/A,#N/A,FALSE,"Plan1";#N/A,#N/A,FALSE,"Plan2"}</definedName>
    <definedName name="DSFSAD" localSheetId="11" hidden="1">{#N/A,#N/A,FALSE,"Plan1";#N/A,#N/A,FALSE,"Plan2"}</definedName>
    <definedName name="DSFSAD" localSheetId="12" hidden="1">{#N/A,#N/A,FALSE,"Plan1";#N/A,#N/A,FALSE,"Plan2"}</definedName>
    <definedName name="DSFSAD" hidden="1">{#N/A,#N/A,FALSE,"Plan1";#N/A,#N/A,FALSE,"Plan2"}</definedName>
    <definedName name="dsfsdf" localSheetId="3" hidden="1">{#N/A,#N/A,FALSE,"Plan1";#N/A,#N/A,FALSE,"Plan2"}</definedName>
    <definedName name="dsfsdf" localSheetId="8">{#N/A,#N/A,FALSE,"Plan1";#N/A,#N/A,FALSE,"Plan2"}</definedName>
    <definedName name="dsfsdf" localSheetId="5" hidden="1">{#N/A,#N/A,FALSE,"Plan1";#N/A,#N/A,FALSE,"Plan2"}</definedName>
    <definedName name="dsfsdf" localSheetId="4" hidden="1">{#N/A,#N/A,FALSE,"Plan1";#N/A,#N/A,FALSE,"Plan2"}</definedName>
    <definedName name="dsfsdf" localSheetId="9">{#N/A,#N/A,FALSE,"Plan1";#N/A,#N/A,FALSE,"Plan2"}</definedName>
    <definedName name="dsfsdf" localSheetId="10" hidden="1">{#N/A,#N/A,FALSE,"Plan1";#N/A,#N/A,FALSE,"Plan2"}</definedName>
    <definedName name="dsfsdf" localSheetId="1" hidden="1">{#N/A,#N/A,FALSE,"Plan1";#N/A,#N/A,FALSE,"Plan2"}</definedName>
    <definedName name="dsfsdf" localSheetId="0">{#N/A,#N/A,FALSE,"Plan1";#N/A,#N/A,FALSE,"Plan2"}</definedName>
    <definedName name="dsfsdf" localSheetId="11" hidden="1">{#N/A,#N/A,FALSE,"Plan1";#N/A,#N/A,FALSE,"Plan2"}</definedName>
    <definedName name="dsfsdf" localSheetId="12" hidden="1">{#N/A,#N/A,FALSE,"Plan1";#N/A,#N/A,FALSE,"Plan2"}</definedName>
    <definedName name="dsfsdf" hidden="1">{#N/A,#N/A,FALSE,"Plan1";#N/A,#N/A,FALSE,"Plan2"}</definedName>
    <definedName name="dsfsdgfb" localSheetId="3" hidden="1">{#N/A,#N/A,FALSE,"Plan1";#N/A,#N/A,FALSE,"Plan2"}</definedName>
    <definedName name="dsfsdgfb" localSheetId="8">{#N/A,#N/A,FALSE,"Plan1";#N/A,#N/A,FALSE,"Plan2"}</definedName>
    <definedName name="dsfsdgfb" localSheetId="5" hidden="1">{#N/A,#N/A,FALSE,"Plan1";#N/A,#N/A,FALSE,"Plan2"}</definedName>
    <definedName name="dsfsdgfb" localSheetId="4" hidden="1">{#N/A,#N/A,FALSE,"Plan1";#N/A,#N/A,FALSE,"Plan2"}</definedName>
    <definedName name="dsfsdgfb" localSheetId="9">{#N/A,#N/A,FALSE,"Plan1";#N/A,#N/A,FALSE,"Plan2"}</definedName>
    <definedName name="dsfsdgfb" localSheetId="10" hidden="1">{#N/A,#N/A,FALSE,"Plan1";#N/A,#N/A,FALSE,"Plan2"}</definedName>
    <definedName name="dsfsdgfb" localSheetId="1" hidden="1">{#N/A,#N/A,FALSE,"Plan1";#N/A,#N/A,FALSE,"Plan2"}</definedName>
    <definedName name="dsfsdgfb" localSheetId="0">{#N/A,#N/A,FALSE,"Plan1";#N/A,#N/A,FALSE,"Plan2"}</definedName>
    <definedName name="dsfsdgfb" localSheetId="11" hidden="1">{#N/A,#N/A,FALSE,"Plan1";#N/A,#N/A,FALSE,"Plan2"}</definedName>
    <definedName name="dsfsdgfb" localSheetId="12" hidden="1">{#N/A,#N/A,FALSE,"Plan1";#N/A,#N/A,FALSE,"Plan2"}</definedName>
    <definedName name="dsfsdgfb" hidden="1">{#N/A,#N/A,FALSE,"Plan1";#N/A,#N/A,FALSE,"Plan2"}</definedName>
    <definedName name="dsgfr" localSheetId="3" hidden="1">{#N/A,#N/A,FALSE,"Plan1";#N/A,#N/A,FALSE,"Plan2"}</definedName>
    <definedName name="dsgfr" localSheetId="8">{#N/A,#N/A,FALSE,"Plan1";#N/A,#N/A,FALSE,"Plan2"}</definedName>
    <definedName name="dsgfr" localSheetId="5" hidden="1">{#N/A,#N/A,FALSE,"Plan1";#N/A,#N/A,FALSE,"Plan2"}</definedName>
    <definedName name="dsgfr" localSheetId="4" hidden="1">{#N/A,#N/A,FALSE,"Plan1";#N/A,#N/A,FALSE,"Plan2"}</definedName>
    <definedName name="dsgfr" localSheetId="9">{#N/A,#N/A,FALSE,"Plan1";#N/A,#N/A,FALSE,"Plan2"}</definedName>
    <definedName name="dsgfr" localSheetId="10" hidden="1">{#N/A,#N/A,FALSE,"Plan1";#N/A,#N/A,FALSE,"Plan2"}</definedName>
    <definedName name="dsgfr" localSheetId="1" hidden="1">{#N/A,#N/A,FALSE,"Plan1";#N/A,#N/A,FALSE,"Plan2"}</definedName>
    <definedName name="dsgfr" localSheetId="0">{#N/A,#N/A,FALSE,"Plan1";#N/A,#N/A,FALSE,"Plan2"}</definedName>
    <definedName name="dsgfr" localSheetId="11" hidden="1">{#N/A,#N/A,FALSE,"Plan1";#N/A,#N/A,FALSE,"Plan2"}</definedName>
    <definedName name="dsgfr" localSheetId="12" hidden="1">{#N/A,#N/A,FALSE,"Plan1";#N/A,#N/A,FALSE,"Plan2"}</definedName>
    <definedName name="dsgfr" hidden="1">{#N/A,#N/A,FALSE,"Plan1";#N/A,#N/A,FALSE,"Plan2"}</definedName>
    <definedName name="dshfkhkrhesru" localSheetId="3" hidden="1">{#N/A,#N/A,FALSE,"Plan1";#N/A,#N/A,FALSE,"Plan2"}</definedName>
    <definedName name="dshfkhkrhesru" localSheetId="8">{#N/A,#N/A,FALSE,"Plan1";#N/A,#N/A,FALSE,"Plan2"}</definedName>
    <definedName name="dshfkhkrhesru" localSheetId="5" hidden="1">{#N/A,#N/A,FALSE,"Plan1";#N/A,#N/A,FALSE,"Plan2"}</definedName>
    <definedName name="dshfkhkrhesru" localSheetId="4" hidden="1">{#N/A,#N/A,FALSE,"Plan1";#N/A,#N/A,FALSE,"Plan2"}</definedName>
    <definedName name="dshfkhkrhesru" localSheetId="9">{#N/A,#N/A,FALSE,"Plan1";#N/A,#N/A,FALSE,"Plan2"}</definedName>
    <definedName name="dshfkhkrhesru" localSheetId="10" hidden="1">{#N/A,#N/A,FALSE,"Plan1";#N/A,#N/A,FALSE,"Plan2"}</definedName>
    <definedName name="dshfkhkrhesru" localSheetId="1" hidden="1">{#N/A,#N/A,FALSE,"Plan1";#N/A,#N/A,FALSE,"Plan2"}</definedName>
    <definedName name="dshfkhkrhesru" localSheetId="0">{#N/A,#N/A,FALSE,"Plan1";#N/A,#N/A,FALSE,"Plan2"}</definedName>
    <definedName name="dshfkhkrhesru" localSheetId="11" hidden="1">{#N/A,#N/A,FALSE,"Plan1";#N/A,#N/A,FALSE,"Plan2"}</definedName>
    <definedName name="dshfkhkrhesru" localSheetId="12" hidden="1">{#N/A,#N/A,FALSE,"Plan1";#N/A,#N/A,FALSE,"Plan2"}</definedName>
    <definedName name="dshfkhkrhesru" hidden="1">{#N/A,#N/A,FALSE,"Plan1";#N/A,#N/A,FALSE,"Plan2"}</definedName>
    <definedName name="dsjkthkr" localSheetId="3" hidden="1">{#N/A,#N/A,FALSE,"Plan1";#N/A,#N/A,FALSE,"Plan2"}</definedName>
    <definedName name="dsjkthkr" localSheetId="8">{#N/A,#N/A,FALSE,"Plan1";#N/A,#N/A,FALSE,"Plan2"}</definedName>
    <definedName name="dsjkthkr" localSheetId="5" hidden="1">{#N/A,#N/A,FALSE,"Plan1";#N/A,#N/A,FALSE,"Plan2"}</definedName>
    <definedName name="dsjkthkr" localSheetId="4" hidden="1">{#N/A,#N/A,FALSE,"Plan1";#N/A,#N/A,FALSE,"Plan2"}</definedName>
    <definedName name="dsjkthkr" localSheetId="9">{#N/A,#N/A,FALSE,"Plan1";#N/A,#N/A,FALSE,"Plan2"}</definedName>
    <definedName name="dsjkthkr" localSheetId="10" hidden="1">{#N/A,#N/A,FALSE,"Plan1";#N/A,#N/A,FALSE,"Plan2"}</definedName>
    <definedName name="dsjkthkr" localSheetId="1" hidden="1">{#N/A,#N/A,FALSE,"Plan1";#N/A,#N/A,FALSE,"Plan2"}</definedName>
    <definedName name="dsjkthkr" localSheetId="0">{#N/A,#N/A,FALSE,"Plan1";#N/A,#N/A,FALSE,"Plan2"}</definedName>
    <definedName name="dsjkthkr" localSheetId="11" hidden="1">{#N/A,#N/A,FALSE,"Plan1";#N/A,#N/A,FALSE,"Plan2"}</definedName>
    <definedName name="dsjkthkr" localSheetId="12" hidden="1">{#N/A,#N/A,FALSE,"Plan1";#N/A,#N/A,FALSE,"Plan2"}</definedName>
    <definedName name="dsjkthkr" hidden="1">{#N/A,#N/A,FALSE,"Plan1";#N/A,#N/A,FALSE,"Plan2"}</definedName>
    <definedName name="dskfdhksdfh" hidden="1">4</definedName>
    <definedName name="DSLFJSLFJ" localSheetId="3" hidden="1">{#N/A,#N/A,FALSE,"Plan1";#N/A,#N/A,FALSE,"Plan2"}</definedName>
    <definedName name="DSLFJSLFJ" localSheetId="8">{#N/A,#N/A,FALSE,"Plan1";#N/A,#N/A,FALSE,"Plan2"}</definedName>
    <definedName name="DSLFJSLFJ" localSheetId="5" hidden="1">{#N/A,#N/A,FALSE,"Plan1";#N/A,#N/A,FALSE,"Plan2"}</definedName>
    <definedName name="DSLFJSLFJ" localSheetId="4" hidden="1">{#N/A,#N/A,FALSE,"Plan1";#N/A,#N/A,FALSE,"Plan2"}</definedName>
    <definedName name="DSLFJSLFJ" localSheetId="9">{#N/A,#N/A,FALSE,"Plan1";#N/A,#N/A,FALSE,"Plan2"}</definedName>
    <definedName name="DSLFJSLFJ" localSheetId="10" hidden="1">{#N/A,#N/A,FALSE,"Plan1";#N/A,#N/A,FALSE,"Plan2"}</definedName>
    <definedName name="DSLFJSLFJ" localSheetId="1" hidden="1">{#N/A,#N/A,FALSE,"Plan1";#N/A,#N/A,FALSE,"Plan2"}</definedName>
    <definedName name="DSLFJSLFJ" localSheetId="0">{#N/A,#N/A,FALSE,"Plan1";#N/A,#N/A,FALSE,"Plan2"}</definedName>
    <definedName name="DSLFJSLFJ" localSheetId="11" hidden="1">{#N/A,#N/A,FALSE,"Plan1";#N/A,#N/A,FALSE,"Plan2"}</definedName>
    <definedName name="DSLFJSLFJ" localSheetId="12" hidden="1">{#N/A,#N/A,FALSE,"Plan1";#N/A,#N/A,FALSE,"Plan2"}</definedName>
    <definedName name="DSLFJSLFJ" hidden="1">{#N/A,#N/A,FALSE,"Plan1";#N/A,#N/A,FALSE,"Plan2"}</definedName>
    <definedName name="dslfkf" hidden="1">4</definedName>
    <definedName name="dsrf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f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srgdergdr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rgdergdr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s" localSheetId="3" hidden="1">{#N/A,#N/A,FALSE,"Plan1";#N/A,#N/A,FALSE,"Plan2"}</definedName>
    <definedName name="dss" localSheetId="8">{#N/A,#N/A,FALSE,"Plan1";#N/A,#N/A,FALSE,"Plan2"}</definedName>
    <definedName name="dss" localSheetId="5" hidden="1">{#N/A,#N/A,FALSE,"Plan1";#N/A,#N/A,FALSE,"Plan2"}</definedName>
    <definedName name="dss" localSheetId="4" hidden="1">{#N/A,#N/A,FALSE,"Plan1";#N/A,#N/A,FALSE,"Plan2"}</definedName>
    <definedName name="dss" localSheetId="9">{#N/A,#N/A,FALSE,"Plan1";#N/A,#N/A,FALSE,"Plan2"}</definedName>
    <definedName name="dss" localSheetId="10" hidden="1">{#N/A,#N/A,FALSE,"Plan1";#N/A,#N/A,FALSE,"Plan2"}</definedName>
    <definedName name="dss" localSheetId="1" hidden="1">{#N/A,#N/A,FALSE,"Plan1";#N/A,#N/A,FALSE,"Plan2"}</definedName>
    <definedName name="dss" localSheetId="0">{#N/A,#N/A,FALSE,"Plan1";#N/A,#N/A,FALSE,"Plan2"}</definedName>
    <definedName name="dss" localSheetId="11" hidden="1">{#N/A,#N/A,FALSE,"Plan1";#N/A,#N/A,FALSE,"Plan2"}</definedName>
    <definedName name="dss" localSheetId="12" hidden="1">{#N/A,#N/A,FALSE,"Plan1";#N/A,#N/A,FALSE,"Plan2"}</definedName>
    <definedName name="dss" hidden="1">{#N/A,#N/A,FALSE,"Plan1";#N/A,#N/A,FALSE,"Plan2"}</definedName>
    <definedName name="dtgsrytt" localSheetId="3" hidden="1">{#N/A,#N/A,FALSE,"Plan1";#N/A,#N/A,FALSE,"Plan2"}</definedName>
    <definedName name="dtgsrytt" localSheetId="8">{#N/A,#N/A,FALSE,"Plan1";#N/A,#N/A,FALSE,"Plan2"}</definedName>
    <definedName name="dtgsrytt" localSheetId="5" hidden="1">{#N/A,#N/A,FALSE,"Plan1";#N/A,#N/A,FALSE,"Plan2"}</definedName>
    <definedName name="dtgsrytt" localSheetId="4" hidden="1">{#N/A,#N/A,FALSE,"Plan1";#N/A,#N/A,FALSE,"Plan2"}</definedName>
    <definedName name="dtgsrytt" localSheetId="9">{#N/A,#N/A,FALSE,"Plan1";#N/A,#N/A,FALSE,"Plan2"}</definedName>
    <definedName name="dtgsrytt" localSheetId="10" hidden="1">{#N/A,#N/A,FALSE,"Plan1";#N/A,#N/A,FALSE,"Plan2"}</definedName>
    <definedName name="dtgsrytt" localSheetId="1" hidden="1">{#N/A,#N/A,FALSE,"Plan1";#N/A,#N/A,FALSE,"Plan2"}</definedName>
    <definedName name="dtgsrytt" localSheetId="0">{#N/A,#N/A,FALSE,"Plan1";#N/A,#N/A,FALSE,"Plan2"}</definedName>
    <definedName name="dtgsrytt" localSheetId="11" hidden="1">{#N/A,#N/A,FALSE,"Plan1";#N/A,#N/A,FALSE,"Plan2"}</definedName>
    <definedName name="dtgsrytt" localSheetId="12" hidden="1">{#N/A,#N/A,FALSE,"Plan1";#N/A,#N/A,FALSE,"Plan2"}</definedName>
    <definedName name="dtgsrytt" hidden="1">{#N/A,#N/A,FALSE,"Plan1";#N/A,#N/A,FALSE,"Plan2"}</definedName>
    <definedName name="dtrjkhtrgkfh" localSheetId="3" hidden="1">{#N/A,#N/A,FALSE,"Plan1";#N/A,#N/A,FALSE,"Plan2"}</definedName>
    <definedName name="dtrjkhtrgkfh" localSheetId="8">{#N/A,#N/A,FALSE,"Plan1";#N/A,#N/A,FALSE,"Plan2"}</definedName>
    <definedName name="dtrjkhtrgkfh" localSheetId="5" hidden="1">{#N/A,#N/A,FALSE,"Plan1";#N/A,#N/A,FALSE,"Plan2"}</definedName>
    <definedName name="dtrjkhtrgkfh" localSheetId="4" hidden="1">{#N/A,#N/A,FALSE,"Plan1";#N/A,#N/A,FALSE,"Plan2"}</definedName>
    <definedName name="dtrjkhtrgkfh" localSheetId="9">{#N/A,#N/A,FALSE,"Plan1";#N/A,#N/A,FALSE,"Plan2"}</definedName>
    <definedName name="dtrjkhtrgkfh" localSheetId="10" hidden="1">{#N/A,#N/A,FALSE,"Plan1";#N/A,#N/A,FALSE,"Plan2"}</definedName>
    <definedName name="dtrjkhtrgkfh" localSheetId="1" hidden="1">{#N/A,#N/A,FALSE,"Plan1";#N/A,#N/A,FALSE,"Plan2"}</definedName>
    <definedName name="dtrjkhtrgkfh" localSheetId="0">{#N/A,#N/A,FALSE,"Plan1";#N/A,#N/A,FALSE,"Plan2"}</definedName>
    <definedName name="dtrjkhtrgkfh" localSheetId="11" hidden="1">{#N/A,#N/A,FALSE,"Plan1";#N/A,#N/A,FALSE,"Plan2"}</definedName>
    <definedName name="dtrjkhtrgkfh" localSheetId="12" hidden="1">{#N/A,#N/A,FALSE,"Plan1";#N/A,#N/A,FALSE,"Plan2"}</definedName>
    <definedName name="dtrjkhtrgkfh" hidden="1">{#N/A,#N/A,FALSE,"Plan1";#N/A,#N/A,FALSE,"Plan2"}</definedName>
    <definedName name="dttjuk" localSheetId="3" hidden="1">{#N/A,#N/A,FALSE,"Plan1";#N/A,#N/A,FALSE,"Plan2"}</definedName>
    <definedName name="dttjuk" localSheetId="8">{#N/A,#N/A,FALSE,"Plan1";#N/A,#N/A,FALSE,"Plan2"}</definedName>
    <definedName name="dttjuk" localSheetId="5" hidden="1">{#N/A,#N/A,FALSE,"Plan1";#N/A,#N/A,FALSE,"Plan2"}</definedName>
    <definedName name="dttjuk" localSheetId="4" hidden="1">{#N/A,#N/A,FALSE,"Plan1";#N/A,#N/A,FALSE,"Plan2"}</definedName>
    <definedName name="dttjuk" localSheetId="9">{#N/A,#N/A,FALSE,"Plan1";#N/A,#N/A,FALSE,"Plan2"}</definedName>
    <definedName name="dttjuk" localSheetId="10" hidden="1">{#N/A,#N/A,FALSE,"Plan1";#N/A,#N/A,FALSE,"Plan2"}</definedName>
    <definedName name="dttjuk" localSheetId="1" hidden="1">{#N/A,#N/A,FALSE,"Plan1";#N/A,#N/A,FALSE,"Plan2"}</definedName>
    <definedName name="dttjuk" localSheetId="0">{#N/A,#N/A,FALSE,"Plan1";#N/A,#N/A,FALSE,"Plan2"}</definedName>
    <definedName name="dttjuk" localSheetId="11" hidden="1">{#N/A,#N/A,FALSE,"Plan1";#N/A,#N/A,FALSE,"Plan2"}</definedName>
    <definedName name="dttjuk" localSheetId="12" hidden="1">{#N/A,#N/A,FALSE,"Plan1";#N/A,#N/A,FALSE,"Plan2"}</definedName>
    <definedName name="dttjuk" hidden="1">{#N/A,#N/A,FALSE,"Plan1";#N/A,#N/A,FALSE,"Plan2"}</definedName>
    <definedName name="dvtr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vtr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dwetrt" localSheetId="3" hidden="1">{#N/A,#N/A,FALSE,"Plan1";#N/A,#N/A,FALSE,"Plan2"}</definedName>
    <definedName name="dwetrt" localSheetId="8">{#N/A,#N/A,FALSE,"Plan1";#N/A,#N/A,FALSE,"Plan2"}</definedName>
    <definedName name="dwetrt" localSheetId="5" hidden="1">{#N/A,#N/A,FALSE,"Plan1";#N/A,#N/A,FALSE,"Plan2"}</definedName>
    <definedName name="dwetrt" localSheetId="4" hidden="1">{#N/A,#N/A,FALSE,"Plan1";#N/A,#N/A,FALSE,"Plan2"}</definedName>
    <definedName name="dwetrt" localSheetId="9">{#N/A,#N/A,FALSE,"Plan1";#N/A,#N/A,FALSE,"Plan2"}</definedName>
    <definedName name="dwetrt" localSheetId="10" hidden="1">{#N/A,#N/A,FALSE,"Plan1";#N/A,#N/A,FALSE,"Plan2"}</definedName>
    <definedName name="dwetrt" localSheetId="1" hidden="1">{#N/A,#N/A,FALSE,"Plan1";#N/A,#N/A,FALSE,"Plan2"}</definedName>
    <definedName name="dwetrt" localSheetId="0">{#N/A,#N/A,FALSE,"Plan1";#N/A,#N/A,FALSE,"Plan2"}</definedName>
    <definedName name="dwetrt" localSheetId="11" hidden="1">{#N/A,#N/A,FALSE,"Plan1";#N/A,#N/A,FALSE,"Plan2"}</definedName>
    <definedName name="dwetrt" localSheetId="12" hidden="1">{#N/A,#N/A,FALSE,"Plan1";#N/A,#N/A,FALSE,"Plan2"}</definedName>
    <definedName name="dwetrt" hidden="1">{#N/A,#N/A,FALSE,"Plan1";#N/A,#N/A,FALSE,"Plan2"}</definedName>
    <definedName name="dwqhdjwqgdwq" localSheetId="8">#REF!</definedName>
    <definedName name="dwqhdjwqgdwq" localSheetId="5">#REF!</definedName>
    <definedName name="dwqhdjwqgdwq" localSheetId="9">#REF!</definedName>
    <definedName name="dwqhdjwqgdwq" localSheetId="10">#REF!</definedName>
    <definedName name="dwqhdjwqgdwq" localSheetId="0">#REF!</definedName>
    <definedName name="dwqhdjwqgdwq" localSheetId="11">#REF!</definedName>
    <definedName name="dwqhdjwqgdwq" localSheetId="12">#REF!</definedName>
    <definedName name="dwqhdjwqgdwq">#REF!</definedName>
    <definedName name="DY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DYHYGJDHZKGF" localSheetId="3" hidden="1">{#N/A,#N/A,FALSE,"Plan1";#N/A,#N/A,FALSE,"Plan2"}</definedName>
    <definedName name="DYHYGJDHZKGF" localSheetId="8">{#N/A,#N/A,FALSE,"Plan1";#N/A,#N/A,FALSE,"Plan2"}</definedName>
    <definedName name="DYHYGJDHZKGF" localSheetId="5" hidden="1">{#N/A,#N/A,FALSE,"Plan1";#N/A,#N/A,FALSE,"Plan2"}</definedName>
    <definedName name="DYHYGJDHZKGF" localSheetId="4" hidden="1">{#N/A,#N/A,FALSE,"Plan1";#N/A,#N/A,FALSE,"Plan2"}</definedName>
    <definedName name="DYHYGJDHZKGF" localSheetId="9">{#N/A,#N/A,FALSE,"Plan1";#N/A,#N/A,FALSE,"Plan2"}</definedName>
    <definedName name="DYHYGJDHZKGF" localSheetId="10" hidden="1">{#N/A,#N/A,FALSE,"Plan1";#N/A,#N/A,FALSE,"Plan2"}</definedName>
    <definedName name="DYHYGJDHZKGF" localSheetId="1" hidden="1">{#N/A,#N/A,FALSE,"Plan1";#N/A,#N/A,FALSE,"Plan2"}</definedName>
    <definedName name="DYHYGJDHZKGF" localSheetId="0">{#N/A,#N/A,FALSE,"Plan1";#N/A,#N/A,FALSE,"Plan2"}</definedName>
    <definedName name="DYHYGJDHZKGF" localSheetId="11" hidden="1">{#N/A,#N/A,FALSE,"Plan1";#N/A,#N/A,FALSE,"Plan2"}</definedName>
    <definedName name="DYHYGJDHZKGF" localSheetId="12" hidden="1">{#N/A,#N/A,FALSE,"Plan1";#N/A,#N/A,FALSE,"Plan2"}</definedName>
    <definedName name="DYHYGJDHZKGF" hidden="1">{#N/A,#N/A,FALSE,"Plan1";#N/A,#N/A,FALSE,"Plan2"}</definedName>
    <definedName name="dzdfr" localSheetId="3" hidden="1">{#N/A,#N/A,FALSE,"Plan1";#N/A,#N/A,FALSE,"Plan2"}</definedName>
    <definedName name="dzdfr" localSheetId="8">{#N/A,#N/A,FALSE,"Plan1";#N/A,#N/A,FALSE,"Plan2"}</definedName>
    <definedName name="dzdfr" localSheetId="5" hidden="1">{#N/A,#N/A,FALSE,"Plan1";#N/A,#N/A,FALSE,"Plan2"}</definedName>
    <definedName name="dzdfr" localSheetId="4" hidden="1">{#N/A,#N/A,FALSE,"Plan1";#N/A,#N/A,FALSE,"Plan2"}</definedName>
    <definedName name="dzdfr" localSheetId="9">{#N/A,#N/A,FALSE,"Plan1";#N/A,#N/A,FALSE,"Plan2"}</definedName>
    <definedName name="dzdfr" localSheetId="10" hidden="1">{#N/A,#N/A,FALSE,"Plan1";#N/A,#N/A,FALSE,"Plan2"}</definedName>
    <definedName name="dzdfr" localSheetId="1" hidden="1">{#N/A,#N/A,FALSE,"Plan1";#N/A,#N/A,FALSE,"Plan2"}</definedName>
    <definedName name="dzdfr" localSheetId="0">{#N/A,#N/A,FALSE,"Plan1";#N/A,#N/A,FALSE,"Plan2"}</definedName>
    <definedName name="dzdfr" localSheetId="11" hidden="1">{#N/A,#N/A,FALSE,"Plan1";#N/A,#N/A,FALSE,"Plan2"}</definedName>
    <definedName name="dzdfr" localSheetId="12" hidden="1">{#N/A,#N/A,FALSE,"Plan1";#N/A,#N/A,FALSE,"Plan2"}</definedName>
    <definedName name="dzdfr" hidden="1">{#N/A,#N/A,FALSE,"Plan1";#N/A,#N/A,FALSE,"Plan2"}</definedName>
    <definedName name="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a" localSheetId="8">#REF!</definedName>
    <definedName name="ea" localSheetId="5">#REF!</definedName>
    <definedName name="ea" localSheetId="9">#REF!</definedName>
    <definedName name="ea" localSheetId="10">#REF!</definedName>
    <definedName name="ea" localSheetId="1">#REF!</definedName>
    <definedName name="ea" localSheetId="0">#REF!</definedName>
    <definedName name="ea" localSheetId="11">#REF!</definedName>
    <definedName name="ea" localSheetId="12">#REF!</definedName>
    <definedName name="ea">#REF!</definedName>
    <definedName name="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EW" localSheetId="3" hidden="1">{#N/A,#N/A,FALSE,"F-01"}</definedName>
    <definedName name="ECEW" localSheetId="8">{#N/A,#N/A,FALSE,"F-01"}</definedName>
    <definedName name="ECEW" localSheetId="5" hidden="1">{#N/A,#N/A,FALSE,"F-01"}</definedName>
    <definedName name="ECEW" localSheetId="4" hidden="1">{#N/A,#N/A,FALSE,"F-01"}</definedName>
    <definedName name="ECEW" localSheetId="9">{#N/A,#N/A,FALSE,"F-01"}</definedName>
    <definedName name="ECEW" localSheetId="10" hidden="1">{#N/A,#N/A,FALSE,"F-01"}</definedName>
    <definedName name="ECEW" localSheetId="1" hidden="1">{#N/A,#N/A,FALSE,"F-01"}</definedName>
    <definedName name="ECEW" localSheetId="0">{#N/A,#N/A,FALSE,"F-01"}</definedName>
    <definedName name="ECEW" localSheetId="11" hidden="1">{#N/A,#N/A,FALSE,"F-01"}</definedName>
    <definedName name="ECEW" localSheetId="12" hidden="1">{#N/A,#N/A,FALSE,"F-01"}</definedName>
    <definedName name="ECEW" hidden="1">{#N/A,#N/A,FALSE,"F-01"}</definedName>
    <definedName name="ECEW_1" localSheetId="3" hidden="1">{#N/A,#N/A,FALSE,"F-01"}</definedName>
    <definedName name="ECEW_1" localSheetId="8">{#N/A,#N/A,FALSE,"F-01"}</definedName>
    <definedName name="ECEW_1" localSheetId="5" hidden="1">{#N/A,#N/A,FALSE,"F-01"}</definedName>
    <definedName name="ECEW_1" localSheetId="4" hidden="1">{#N/A,#N/A,FALSE,"F-01"}</definedName>
    <definedName name="ECEW_1" localSheetId="9">{#N/A,#N/A,FALSE,"F-01"}</definedName>
    <definedName name="ECEW_1" localSheetId="10" hidden="1">{#N/A,#N/A,FALSE,"F-01"}</definedName>
    <definedName name="ECEW_1" localSheetId="1" hidden="1">{#N/A,#N/A,FALSE,"F-01"}</definedName>
    <definedName name="ECEW_1" localSheetId="0">{#N/A,#N/A,FALSE,"F-01"}</definedName>
    <definedName name="ECEW_1" localSheetId="11" hidden="1">{#N/A,#N/A,FALSE,"F-01"}</definedName>
    <definedName name="ECEW_1" localSheetId="12" hidden="1">{#N/A,#N/A,FALSE,"F-01"}</definedName>
    <definedName name="ECEW_1" hidden="1">{#N/A,#N/A,FALSE,"F-01"}</definedName>
    <definedName name="echart31" localSheetId="8">#REF!</definedName>
    <definedName name="echart31" localSheetId="5" hidden="1">#REF!</definedName>
    <definedName name="echart31" localSheetId="9">#REF!</definedName>
    <definedName name="echart31" localSheetId="10" hidden="1">#REF!</definedName>
    <definedName name="echart31" localSheetId="1" hidden="1">#REF!</definedName>
    <definedName name="echart31" localSheetId="0">#REF!</definedName>
    <definedName name="echart31" localSheetId="11" hidden="1">#REF!</definedName>
    <definedName name="echart31" localSheetId="12" hidden="1">#REF!</definedName>
    <definedName name="echart31" hidden="1">#REF!</definedName>
    <definedName name="EcoPark" localSheetId="8">#REF!</definedName>
    <definedName name="EcoPark" localSheetId="5">#REF!</definedName>
    <definedName name="EcoPark" localSheetId="9">#REF!</definedName>
    <definedName name="EcoPark" localSheetId="10">#REF!</definedName>
    <definedName name="EcoPark" localSheetId="0">#REF!</definedName>
    <definedName name="EcoPark" localSheetId="11">#REF!</definedName>
    <definedName name="EcoPark" localSheetId="12">#REF!</definedName>
    <definedName name="EcoPark">#REF!</definedName>
    <definedName name="EC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CS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EDE" localSheetId="3" hidden="1">{#N/A,#N/A,FALSE,"Plan1";#N/A,#N/A,FALSE,"Plan2"}</definedName>
    <definedName name="EDE" localSheetId="8">{#N/A,#N/A,FALSE,"Plan1";#N/A,#N/A,FALSE,"Plan2"}</definedName>
    <definedName name="EDE" localSheetId="5" hidden="1">{#N/A,#N/A,FALSE,"Plan1";#N/A,#N/A,FALSE,"Plan2"}</definedName>
    <definedName name="EDE" localSheetId="4" hidden="1">{#N/A,#N/A,FALSE,"Plan1";#N/A,#N/A,FALSE,"Plan2"}</definedName>
    <definedName name="EDE" localSheetId="9">{#N/A,#N/A,FALSE,"Plan1";#N/A,#N/A,FALSE,"Plan2"}</definedName>
    <definedName name="EDE" localSheetId="10" hidden="1">{#N/A,#N/A,FALSE,"Plan1";#N/A,#N/A,FALSE,"Plan2"}</definedName>
    <definedName name="EDE" localSheetId="1" hidden="1">{#N/A,#N/A,FALSE,"Plan1";#N/A,#N/A,FALSE,"Plan2"}</definedName>
    <definedName name="EDE" localSheetId="0">{#N/A,#N/A,FALSE,"Plan1";#N/A,#N/A,FALSE,"Plan2"}</definedName>
    <definedName name="EDE" localSheetId="11" hidden="1">{#N/A,#N/A,FALSE,"Plan1";#N/A,#N/A,FALSE,"Plan2"}</definedName>
    <definedName name="EDE" localSheetId="12" hidden="1">{#N/A,#N/A,FALSE,"Plan1";#N/A,#N/A,FALSE,"Plan2"}</definedName>
    <definedName name="EDE" hidden="1">{#N/A,#N/A,FALSE,"Plan1";#N/A,#N/A,FALSE,"Plan2"}</definedName>
    <definedName name="ee" localSheetId="8">#REF!</definedName>
    <definedName name="ee" localSheetId="5">#REF!</definedName>
    <definedName name="ee" localSheetId="9">#REF!</definedName>
    <definedName name="ee" localSheetId="10">#REF!</definedName>
    <definedName name="ee" localSheetId="0">#REF!</definedName>
    <definedName name="ee" localSheetId="11">#REF!</definedName>
    <definedName name="ee" localSheetId="12">#REF!</definedName>
    <definedName name="ee">#REF!</definedName>
    <definedName name="eee" localSheetId="3">{#N/A,#N/A,FALSE,"ET-CAPA";#N/A,#N/A,FALSE,"ET-PAG1";#N/A,#N/A,FALSE,"ET-PAG2";#N/A,#N/A,FALSE,"ET-PAG3";#N/A,#N/A,FALSE,"ET-PAG4";#N/A,#N/A,FALSE,"ET-PAG5"}</definedName>
    <definedName name="eee" localSheetId="8">{#N/A,#N/A,FALSE,"ET-CAPA";#N/A,#N/A,FALSE,"ET-PAG1";#N/A,#N/A,FALSE,"ET-PAG2";#N/A,#N/A,FALSE,"ET-PAG3";#N/A,#N/A,FALSE,"ET-PAG4";#N/A,#N/A,FALSE,"ET-PAG5"}</definedName>
    <definedName name="eee" localSheetId="5" hidden="1">{#N/A,#N/A,FALSE,"ET-CAPA";#N/A,#N/A,FALSE,"ET-PAG1";#N/A,#N/A,FALSE,"ET-PAG2";#N/A,#N/A,FALSE,"ET-PAG3";#N/A,#N/A,FALSE,"ET-PAG4";#N/A,#N/A,FALSE,"ET-PAG5"}</definedName>
    <definedName name="eee" localSheetId="4">{#N/A,#N/A,FALSE,"ET-CAPA";#N/A,#N/A,FALSE,"ET-PAG1";#N/A,#N/A,FALSE,"ET-PAG2";#N/A,#N/A,FALSE,"ET-PAG3";#N/A,#N/A,FALSE,"ET-PAG4";#N/A,#N/A,FALSE,"ET-PAG5"}</definedName>
    <definedName name="eee" localSheetId="9">{#N/A,#N/A,FALSE,"ET-CAPA";#N/A,#N/A,FALSE,"ET-PAG1";#N/A,#N/A,FALSE,"ET-PAG2";#N/A,#N/A,FALSE,"ET-PAG3";#N/A,#N/A,FALSE,"ET-PAG4";#N/A,#N/A,FALSE,"ET-PAG5"}</definedName>
    <definedName name="eee" localSheetId="10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 localSheetId="11" hidden="1">{#N/A,#N/A,FALSE,"ET-CAPA";#N/A,#N/A,FALSE,"ET-PAG1";#N/A,#N/A,FALSE,"ET-PAG2";#N/A,#N/A,FALSE,"ET-PAG3";#N/A,#N/A,FALSE,"ET-PAG4";#N/A,#N/A,FALSE,"ET-PAG5"}</definedName>
    <definedName name="eee" localSheetId="12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EF" localSheetId="8">#REF!</definedName>
    <definedName name="EF" localSheetId="5">#REF!</definedName>
    <definedName name="EF" localSheetId="9">#REF!</definedName>
    <definedName name="EF" localSheetId="10">#REF!</definedName>
    <definedName name="EF" localSheetId="0">#REF!</definedName>
    <definedName name="EF" localSheetId="11">#REF!</definedName>
    <definedName name="EF" localSheetId="12">#REF!</definedName>
    <definedName name="EF">#REF!</definedName>
    <definedName name="efestfr" localSheetId="3" hidden="1">{#N/A,#N/A,FALSE,"Plan1";#N/A,#N/A,FALSE,"Plan2"}</definedName>
    <definedName name="efestfr" localSheetId="8">{#N/A,#N/A,FALSE,"Plan1";#N/A,#N/A,FALSE,"Plan2"}</definedName>
    <definedName name="efestfr" localSheetId="5" hidden="1">{#N/A,#N/A,FALSE,"Plan1";#N/A,#N/A,FALSE,"Plan2"}</definedName>
    <definedName name="efestfr" localSheetId="4" hidden="1">{#N/A,#N/A,FALSE,"Plan1";#N/A,#N/A,FALSE,"Plan2"}</definedName>
    <definedName name="efestfr" localSheetId="9">{#N/A,#N/A,FALSE,"Plan1";#N/A,#N/A,FALSE,"Plan2"}</definedName>
    <definedName name="efestfr" localSheetId="10" hidden="1">{#N/A,#N/A,FALSE,"Plan1";#N/A,#N/A,FALSE,"Plan2"}</definedName>
    <definedName name="efestfr" localSheetId="1" hidden="1">{#N/A,#N/A,FALSE,"Plan1";#N/A,#N/A,FALSE,"Plan2"}</definedName>
    <definedName name="efestfr" localSheetId="0">{#N/A,#N/A,FALSE,"Plan1";#N/A,#N/A,FALSE,"Plan2"}</definedName>
    <definedName name="efestfr" localSheetId="11" hidden="1">{#N/A,#N/A,FALSE,"Plan1";#N/A,#N/A,FALSE,"Plan2"}</definedName>
    <definedName name="efestfr" localSheetId="12" hidden="1">{#N/A,#N/A,FALSE,"Plan1";#N/A,#N/A,FALSE,"Plan2"}</definedName>
    <definedName name="efestfr" hidden="1">{#N/A,#N/A,FALSE,"Plan1";#N/A,#N/A,FALSE,"Plan2"}</definedName>
    <definedName name="EFICIÊNCIA" localSheetId="8">#REF!</definedName>
    <definedName name="EFICIÊNCIA" localSheetId="5">#REF!</definedName>
    <definedName name="EFICIÊNCIA" localSheetId="9">#REF!</definedName>
    <definedName name="EFICIÊNCIA" localSheetId="10">#REF!</definedName>
    <definedName name="EFICIÊNCIA" localSheetId="0">#REF!</definedName>
    <definedName name="EFICIÊNCIA" localSheetId="11">#REF!</definedName>
    <definedName name="EFICIÊNCIA" localSheetId="12">#REF!</definedName>
    <definedName name="EFICIÊNCIA">#REF!</definedName>
    <definedName name="Eficiência1" localSheetId="8">#REF!</definedName>
    <definedName name="Eficiência1" localSheetId="5">#REF!</definedName>
    <definedName name="Eficiência1" localSheetId="9">#REF!</definedName>
    <definedName name="Eficiência1" localSheetId="10">#REF!</definedName>
    <definedName name="Eficiência1" localSheetId="0">#REF!</definedName>
    <definedName name="Eficiência1" localSheetId="11">#REF!</definedName>
    <definedName name="Eficiência1" localSheetId="12">#REF!</definedName>
    <definedName name="Eficiência1">#REF!</definedName>
    <definedName name="efrdrt" localSheetId="3" hidden="1">{#N/A,#N/A,FALSE,"Plan1";#N/A,#N/A,FALSE,"Plan2"}</definedName>
    <definedName name="efrdrt" localSheetId="8">{#N/A,#N/A,FALSE,"Plan1";#N/A,#N/A,FALSE,"Plan2"}</definedName>
    <definedName name="efrdrt" localSheetId="5" hidden="1">{#N/A,#N/A,FALSE,"Plan1";#N/A,#N/A,FALSE,"Plan2"}</definedName>
    <definedName name="efrdrt" localSheetId="4" hidden="1">{#N/A,#N/A,FALSE,"Plan1";#N/A,#N/A,FALSE,"Plan2"}</definedName>
    <definedName name="efrdrt" localSheetId="9">{#N/A,#N/A,FALSE,"Plan1";#N/A,#N/A,FALSE,"Plan2"}</definedName>
    <definedName name="efrdrt" localSheetId="10" hidden="1">{#N/A,#N/A,FALSE,"Plan1";#N/A,#N/A,FALSE,"Plan2"}</definedName>
    <definedName name="efrdrt" localSheetId="1" hidden="1">{#N/A,#N/A,FALSE,"Plan1";#N/A,#N/A,FALSE,"Plan2"}</definedName>
    <definedName name="efrdrt" localSheetId="0">{#N/A,#N/A,FALSE,"Plan1";#N/A,#N/A,FALSE,"Plan2"}</definedName>
    <definedName name="efrdrt" localSheetId="11" hidden="1">{#N/A,#N/A,FALSE,"Plan1";#N/A,#N/A,FALSE,"Plan2"}</definedName>
    <definedName name="efrdrt" localSheetId="12" hidden="1">{#N/A,#N/A,FALSE,"Plan1";#N/A,#N/A,FALSE,"Plan2"}</definedName>
    <definedName name="efrdrt" hidden="1">{#N/A,#N/A,FALSE,"Plan1";#N/A,#N/A,FALSE,"Plan2"}</definedName>
    <definedName name="efrg" localSheetId="3" hidden="1">{#N/A,#N/A,FALSE,"Plan1";#N/A,#N/A,FALSE,"Plan2"}</definedName>
    <definedName name="efrg" localSheetId="8">{#N/A,#N/A,FALSE,"Plan1";#N/A,#N/A,FALSE,"Plan2"}</definedName>
    <definedName name="efrg" localSheetId="5" hidden="1">{#N/A,#N/A,FALSE,"Plan1";#N/A,#N/A,FALSE,"Plan2"}</definedName>
    <definedName name="efrg" localSheetId="4" hidden="1">{#N/A,#N/A,FALSE,"Plan1";#N/A,#N/A,FALSE,"Plan2"}</definedName>
    <definedName name="efrg" localSheetId="9">{#N/A,#N/A,FALSE,"Plan1";#N/A,#N/A,FALSE,"Plan2"}</definedName>
    <definedName name="efrg" localSheetId="10" hidden="1">{#N/A,#N/A,FALSE,"Plan1";#N/A,#N/A,FALSE,"Plan2"}</definedName>
    <definedName name="efrg" localSheetId="1" hidden="1">{#N/A,#N/A,FALSE,"Plan1";#N/A,#N/A,FALSE,"Plan2"}</definedName>
    <definedName name="efrg" localSheetId="0">{#N/A,#N/A,FALSE,"Plan1";#N/A,#N/A,FALSE,"Plan2"}</definedName>
    <definedName name="efrg" localSheetId="11" hidden="1">{#N/A,#N/A,FALSE,"Plan1";#N/A,#N/A,FALSE,"Plan2"}</definedName>
    <definedName name="efrg" localSheetId="12" hidden="1">{#N/A,#N/A,FALSE,"Plan1";#N/A,#N/A,FALSE,"Plan2"}</definedName>
    <definedName name="efrg" hidden="1">{#N/A,#N/A,FALSE,"Plan1";#N/A,#N/A,FALSE,"Plan2"}</definedName>
    <definedName name="efsgfr" localSheetId="3" hidden="1">{#N/A,#N/A,FALSE,"Plan1";#N/A,#N/A,FALSE,"Plan2"}</definedName>
    <definedName name="efsgfr" localSheetId="8">{#N/A,#N/A,FALSE,"Plan1";#N/A,#N/A,FALSE,"Plan2"}</definedName>
    <definedName name="efsgfr" localSheetId="5" hidden="1">{#N/A,#N/A,FALSE,"Plan1";#N/A,#N/A,FALSE,"Plan2"}</definedName>
    <definedName name="efsgfr" localSheetId="4" hidden="1">{#N/A,#N/A,FALSE,"Plan1";#N/A,#N/A,FALSE,"Plan2"}</definedName>
    <definedName name="efsgfr" localSheetId="9">{#N/A,#N/A,FALSE,"Plan1";#N/A,#N/A,FALSE,"Plan2"}</definedName>
    <definedName name="efsgfr" localSheetId="10" hidden="1">{#N/A,#N/A,FALSE,"Plan1";#N/A,#N/A,FALSE,"Plan2"}</definedName>
    <definedName name="efsgfr" localSheetId="1" hidden="1">{#N/A,#N/A,FALSE,"Plan1";#N/A,#N/A,FALSE,"Plan2"}</definedName>
    <definedName name="efsgfr" localSheetId="0">{#N/A,#N/A,FALSE,"Plan1";#N/A,#N/A,FALSE,"Plan2"}</definedName>
    <definedName name="efsgfr" localSheetId="11" hidden="1">{#N/A,#N/A,FALSE,"Plan1";#N/A,#N/A,FALSE,"Plan2"}</definedName>
    <definedName name="efsgfr" localSheetId="12" hidden="1">{#N/A,#N/A,FALSE,"Plan1";#N/A,#N/A,FALSE,"Plan2"}</definedName>
    <definedName name="efsgfr" hidden="1">{#N/A,#N/A,FALSE,"Plan1";#N/A,#N/A,FALSE,"Plan2"}</definedName>
    <definedName name="eixo_x_fluxo_graf1" localSheetId="8">IFERROR(OFFSET(INDEX(#REF!,MATCH((INDEX(#REF!,MATCH(1,#REF!,0))),#REF!,0)),0,0,1,COUNTIF(#REF!,"&gt;=0")+COUNTIF(#REF!,"&lt;0")),0)</definedName>
    <definedName name="eixo_x_fluxo_graf1" localSheetId="5">IFERROR(OFFSET(INDEX(#REF!,MATCH((INDEX(#REF!,MATCH(1,#REF!,0))),#REF!,0)),0,0,1,COUNTIF(#REF!,"&gt;=0")+COUNTIF(#REF!,"&lt;0")),0)</definedName>
    <definedName name="eixo_x_fluxo_graf1" localSheetId="9">IFERROR(OFFSET(INDEX(#REF!,MATCH((INDEX(#REF!,MATCH(1,#REF!,0))),#REF!,0)),0,0,1,COUNTIF(#REF!,"&gt;=0")+COUNTIF(#REF!,"&lt;0")),0)</definedName>
    <definedName name="eixo_x_fluxo_graf1" localSheetId="10">IFERROR(OFFSET(INDEX(#REF!,MATCH((INDEX(#REF!,MATCH(1,#REF!,0))),#REF!,0)),0,0,1,COUNTIF(#REF!,"&gt;=0")+COUNTIF(#REF!,"&lt;0")),0)</definedName>
    <definedName name="eixo_x_fluxo_graf1" localSheetId="0">IFERROR(OFFSET(INDEX(#REF!,MATCH((INDEX(#REF!,MATCH(1,#REF!,0))),#REF!,0)),0,0,1,COUNTIF(#REF!,"&gt;=0")+COUNTIF(#REF!,"&lt;0")),0)</definedName>
    <definedName name="eixo_x_fluxo_graf1" localSheetId="11">IFERROR(OFFSET(INDEX(#REF!,MATCH((INDEX(#REF!,MATCH(1,#REF!,0))),#REF!,0)),0,0,1,COUNTIF(#REF!,"&gt;=0")+COUNTIF(#REF!,"&lt;0")),0)</definedName>
    <definedName name="eixo_x_fluxo_graf1" localSheetId="12">IFERROR(OFFSET(INDEX(#REF!,MATCH((INDEX(#REF!,MATCH(1,#REF!,0))),#REF!,0)),0,0,1,COUNTIF(#REF!,"&gt;=0")+COUNTIF(#REF!,"&lt;0")),0)</definedName>
    <definedName name="eixo_x_fluxo_graf1">IFERROR(OFFSET(INDEX(#REF!,MATCH((INDEX(#REF!,MATCH(1,#REF!,0))),#REF!,0)),0,0,1,COUNTIF(#REF!,"&gt;=0")+COUNTIF(#REF!,"&lt;0")),0)</definedName>
    <definedName name="eixo_x_graf2" localSheetId="8">IFERROR(OFFSET(INDEX(#REF!,MATCH((INDEX(#REF!,MATCH(1,#REF!,0))),#REF!,0)),0,0,1,COUNTIF(#REF!,"&gt;=0")+COUNTIF(#REF!,"&lt;0")),0)</definedName>
    <definedName name="eixo_x_graf2" localSheetId="5">IFERROR(OFFSET(INDEX(#REF!,MATCH((INDEX(#REF!,MATCH(1,#REF!,0))),#REF!,0)),0,0,1,COUNTIF(#REF!,"&gt;=0")+COUNTIF(#REF!,"&lt;0")),0)</definedName>
    <definedName name="eixo_x_graf2" localSheetId="9">IFERROR(OFFSET(INDEX(#REF!,MATCH((INDEX(#REF!,MATCH(1,#REF!,0))),#REF!,0)),0,0,1,COUNTIF(#REF!,"&gt;=0")+COUNTIF(#REF!,"&lt;0")),0)</definedName>
    <definedName name="eixo_x_graf2" localSheetId="10">IFERROR(OFFSET(INDEX(#REF!,MATCH((INDEX(#REF!,MATCH(1,#REF!,0))),#REF!,0)),0,0,1,COUNTIF(#REF!,"&gt;=0")+COUNTIF(#REF!,"&lt;0")),0)</definedName>
    <definedName name="eixo_x_graf2" localSheetId="0">IFERROR(OFFSET(INDEX(#REF!,MATCH((INDEX(#REF!,MATCH(1,#REF!,0))),#REF!,0)),0,0,1,COUNTIF(#REF!,"&gt;=0")+COUNTIF(#REF!,"&lt;0")),0)</definedName>
    <definedName name="eixo_x_graf2" localSheetId="11">IFERROR(OFFSET(INDEX(#REF!,MATCH((INDEX(#REF!,MATCH(1,#REF!,0))),#REF!,0)),0,0,1,COUNTIF(#REF!,"&gt;=0")+COUNTIF(#REF!,"&lt;0")),0)</definedName>
    <definedName name="eixo_x_graf2" localSheetId="12">IFERROR(OFFSET(INDEX(#REF!,MATCH((INDEX(#REF!,MATCH(1,#REF!,0))),#REF!,0)),0,0,1,COUNTIF(#REF!,"&gt;=0")+COUNTIF(#REF!,"&lt;0")),0)</definedName>
    <definedName name="eixo_x_graf2">IFERROR(OFFSET(INDEX(#REF!,MATCH((INDEX(#REF!,MATCH(1,#REF!,0))),#REF!,0)),0,0,1,COUNTIF(#REF!,"&gt;=0")+COUNTIF(#REF!,"&lt;0")),0)</definedName>
    <definedName name="eixo_x_graf3_distratos" localSheetId="8">#REF!</definedName>
    <definedName name="eixo_x_graf3_distratos" localSheetId="5">#REF!</definedName>
    <definedName name="eixo_x_graf3_distratos" localSheetId="9">#REF!</definedName>
    <definedName name="eixo_x_graf3_distratos" localSheetId="10">#REF!</definedName>
    <definedName name="eixo_x_graf3_distratos" localSheetId="0">#REF!</definedName>
    <definedName name="eixo_x_graf3_distratos" localSheetId="11">#REF!</definedName>
    <definedName name="eixo_x_graf3_distratos" localSheetId="12">#REF!</definedName>
    <definedName name="eixo_x_graf3_distratos">#REF!</definedName>
    <definedName name="eixo_x_graf3_vendas" localSheetId="8">#REF!</definedName>
    <definedName name="eixo_x_graf3_vendas" localSheetId="5">#REF!</definedName>
    <definedName name="eixo_x_graf3_vendas" localSheetId="9">#REF!</definedName>
    <definedName name="eixo_x_graf3_vendas" localSheetId="10">#REF!</definedName>
    <definedName name="eixo_x_graf3_vendas" localSheetId="0">#REF!</definedName>
    <definedName name="eixo_x_graf3_vendas" localSheetId="11">#REF!</definedName>
    <definedName name="eixo_x_graf3_vendas" localSheetId="12">#REF!</definedName>
    <definedName name="eixo_x_graf3_vendas">#REF!</definedName>
    <definedName name="eixo_y_cury_graf2" localSheetId="8">IFERROR(OFFSET(INDEX(#REF!,MATCH((INDEX(#REF!,MATCH(1,#REF!,0))),#REF!,0)),0,0,1,COUNTIF(#REF!,"&gt;=0")+COUNTIF(#REF!,"&lt;0")),0)</definedName>
    <definedName name="eixo_y_cury_graf2" localSheetId="5">IFERROR(OFFSET(INDEX(#REF!,MATCH((INDEX(#REF!,MATCH(1,#REF!,0))),#REF!,0)),0,0,1,COUNTIF(#REF!,"&gt;=0")+COUNTIF(#REF!,"&lt;0")),0)</definedName>
    <definedName name="eixo_y_cury_graf2" localSheetId="9">IFERROR(OFFSET(INDEX(#REF!,MATCH((INDEX(#REF!,MATCH(1,#REF!,0))),#REF!,0)),0,0,1,COUNTIF(#REF!,"&gt;=0")+COUNTIF(#REF!,"&lt;0")),0)</definedName>
    <definedName name="eixo_y_cury_graf2" localSheetId="10">IFERROR(OFFSET(INDEX(#REF!,MATCH((INDEX(#REF!,MATCH(1,#REF!,0))),#REF!,0)),0,0,1,COUNTIF(#REF!,"&gt;=0")+COUNTIF(#REF!,"&lt;0")),0)</definedName>
    <definedName name="eixo_y_cury_graf2" localSheetId="0">IFERROR(OFFSET(INDEX(#REF!,MATCH((INDEX(#REF!,MATCH(1,#REF!,0))),#REF!,0)),0,0,1,COUNTIF(#REF!,"&gt;=0")+COUNTIF(#REF!,"&lt;0")),0)</definedName>
    <definedName name="eixo_y_cury_graf2" localSheetId="11">IFERROR(OFFSET(INDEX(#REF!,MATCH((INDEX(#REF!,MATCH(1,#REF!,0))),#REF!,0)),0,0,1,COUNTIF(#REF!,"&gt;=0")+COUNTIF(#REF!,"&lt;0")),0)</definedName>
    <definedName name="eixo_y_cury_graf2" localSheetId="12">IFERROR(OFFSET(INDEX(#REF!,MATCH((INDEX(#REF!,MATCH(1,#REF!,0))),#REF!,0)),0,0,1,COUNTIF(#REF!,"&gt;=0")+COUNTIF(#REF!,"&lt;0")),0)</definedName>
    <definedName name="eixo_y_cury_graf2">IFERROR(OFFSET(INDEX(#REF!,MATCH((INDEX(#REF!,MATCH(1,#REF!,0))),#REF!,0)),0,0,1,COUNTIF(#REF!,"&gt;=0")+COUNTIF(#REF!,"&lt;0")),0)</definedName>
    <definedName name="eixo_y_fluxo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luxo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forecast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rea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1_obraVL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graf3" localSheetId="8">#REF!</definedName>
    <definedName name="eixo_y_graf3" localSheetId="5">#REF!</definedName>
    <definedName name="eixo_y_graf3" localSheetId="9">#REF!</definedName>
    <definedName name="eixo_y_graf3" localSheetId="10">#REF!</definedName>
    <definedName name="eixo_y_graf3" localSheetId="0">#REF!</definedName>
    <definedName name="eixo_y_graf3" localSheetId="11">#REF!</definedName>
    <definedName name="eixo_y_graf3" localSheetId="12">#REF!</definedName>
    <definedName name="eixo_y_graf3">#REF!</definedName>
    <definedName name="eixo_y_socio_graf2" localSheetId="8">IFERROR(OFFSET(INDEX(#REF!,MATCH((INDEX(#REF!,MATCH(1,#REF!,0))),#REF!,0)),0,0,1,COUNTIF(#REF!,"&gt;=0")+COUNTIF(#REF!,"&lt;0")),0)</definedName>
    <definedName name="eixo_y_socio_graf2" localSheetId="5">IFERROR(OFFSET(INDEX(#REF!,MATCH((INDEX(#REF!,MATCH(1,#REF!,0))),#REF!,0)),0,0,1,COUNTIF(#REF!,"&gt;=0")+COUNTIF(#REF!,"&lt;0")),0)</definedName>
    <definedName name="eixo_y_socio_graf2" localSheetId="9">IFERROR(OFFSET(INDEX(#REF!,MATCH((INDEX(#REF!,MATCH(1,#REF!,0))),#REF!,0)),0,0,1,COUNTIF(#REF!,"&gt;=0")+COUNTIF(#REF!,"&lt;0")),0)</definedName>
    <definedName name="eixo_y_socio_graf2" localSheetId="10">IFERROR(OFFSET(INDEX(#REF!,MATCH((INDEX(#REF!,MATCH(1,#REF!,0))),#REF!,0)),0,0,1,COUNTIF(#REF!,"&gt;=0")+COUNTIF(#REF!,"&lt;0")),0)</definedName>
    <definedName name="eixo_y_socio_graf2" localSheetId="0">IFERROR(OFFSET(INDEX(#REF!,MATCH((INDEX(#REF!,MATCH(1,#REF!,0))),#REF!,0)),0,0,1,COUNTIF(#REF!,"&gt;=0")+COUNTIF(#REF!,"&lt;0")),0)</definedName>
    <definedName name="eixo_y_socio_graf2" localSheetId="11">IFERROR(OFFSET(INDEX(#REF!,MATCH((INDEX(#REF!,MATCH(1,#REF!,0))),#REF!,0)),0,0,1,COUNTIF(#REF!,"&gt;=0")+COUNTIF(#REF!,"&lt;0")),0)</definedName>
    <definedName name="eixo_y_socio_graf2" localSheetId="12">IFERROR(OFFSET(INDEX(#REF!,MATCH((INDEX(#REF!,MATCH(1,#REF!,0))),#REF!,0)),0,0,1,COUNTIF(#REF!,"&gt;=0")+COUNTIF(#REF!,"&lt;0")),0)</definedName>
    <definedName name="eixo_y_socio_graf2">IFERROR(OFFSET(INDEX(#REF!,MATCH((INDEX(#REF!,MATCH(1,#REF!,0))),#REF!,0)),0,0,1,COUNTIF(#REF!,"&gt;=0")+COUNTIF(#REF!,"&lt;0")),0)</definedName>
    <definedName name="eixo_y_viab_graf1" localSheetId="8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5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9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0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 localSheetId="12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ixo_y_viab_graf1">IFERROR(IF(#REF!="Nominal", OFFSET(INDEX(#REF!,MATCH((INDEX(#REF!,MATCH(1,#REF!,0))),#REF!,0)),0,0,1,COUNTIF(#REF!,"&gt;=0")+COUNTIF(#REF!,"&lt;0")), OFFSET(INDEX(#REF!,MATCH((INDEX(#REF!,MATCH(1,#REF!,0))),#REF!,0)),0,0,1,COUNTIF(#REF!,"&gt;=0")+COUNTIF(#REF!,"&lt;0"))),0)</definedName>
    <definedName name="EM" localSheetId="8">#REF!</definedName>
    <definedName name="EM" localSheetId="5">#REF!</definedName>
    <definedName name="EM" localSheetId="9">#REF!</definedName>
    <definedName name="EM" localSheetId="10">#REF!</definedName>
    <definedName name="EM" localSheetId="0">#REF!</definedName>
    <definedName name="EM" localSheetId="11">#REF!</definedName>
    <definedName name="EM" localSheetId="12">#REF!</definedName>
    <definedName name="EM">#REF!</definedName>
    <definedName name="Empreend" localSheetId="8">#REF!</definedName>
    <definedName name="Empreend" localSheetId="5">#REF!</definedName>
    <definedName name="Empreend" localSheetId="9">#REF!</definedName>
    <definedName name="Empreend" localSheetId="10">#REF!</definedName>
    <definedName name="Empreend" localSheetId="0">#REF!</definedName>
    <definedName name="Empreend" localSheetId="11">#REF!</definedName>
    <definedName name="Empreend" localSheetId="12">#REF!</definedName>
    <definedName name="Empreend">#REF!</definedName>
    <definedName name="Empreendimentos" localSheetId="8">#REF!</definedName>
    <definedName name="Empreendimentos" localSheetId="5">#REF!</definedName>
    <definedName name="Empreendimentos" localSheetId="9">#REF!</definedName>
    <definedName name="Empreendimentos" localSheetId="10">#REF!</definedName>
    <definedName name="Empreendimentos" localSheetId="0">#REF!</definedName>
    <definedName name="Empreendimentos" localSheetId="11">#REF!</definedName>
    <definedName name="Empreendimentos" localSheetId="12">#REF!</definedName>
    <definedName name="Empreendimentos">#REF!</definedName>
    <definedName name="empresas" localSheetId="8">#REF!</definedName>
    <definedName name="empresas" localSheetId="5">#REF!</definedName>
    <definedName name="empresas" localSheetId="10">#REF!</definedName>
    <definedName name="empresas" localSheetId="11">#REF!</definedName>
    <definedName name="empresas" localSheetId="12">#REF!</definedName>
    <definedName name="empresas">#REF!</definedName>
    <definedName name="encanador" localSheetId="8">#REF!</definedName>
    <definedName name="encanador" localSheetId="5">#REF!</definedName>
    <definedName name="encanador" localSheetId="10">#REF!</definedName>
    <definedName name="encanador" localSheetId="11">#REF!</definedName>
    <definedName name="encanador" localSheetId="12">#REF!</definedName>
    <definedName name="encanador">#REF!</definedName>
    <definedName name="EPI" localSheetId="8">#REF!</definedName>
    <definedName name="EPI" localSheetId="5">#REF!</definedName>
    <definedName name="EPI" localSheetId="10">#REF!</definedName>
    <definedName name="EPI" localSheetId="11">#REF!</definedName>
    <definedName name="EPI" localSheetId="12">#REF!</definedName>
    <definedName name="EPI">#REF!</definedName>
    <definedName name="EQUIP" localSheetId="8">#REF!</definedName>
    <definedName name="EQUIP" localSheetId="5">#REF!</definedName>
    <definedName name="EQUIP" localSheetId="10">#REF!</definedName>
    <definedName name="EQUIP" localSheetId="11">#REF!</definedName>
    <definedName name="EQUIP" localSheetId="12">#REF!</definedName>
    <definedName name="EQUIP">#REF!</definedName>
    <definedName name="equipamento" localSheetId="8">#REF!</definedName>
    <definedName name="equipamento" localSheetId="5">#REF!</definedName>
    <definedName name="equipamento" localSheetId="10">#REF!</definedName>
    <definedName name="equipamento" localSheetId="11">#REF!</definedName>
    <definedName name="equipamento" localSheetId="12">#REF!</definedName>
    <definedName name="equipamento">#REF!</definedName>
    <definedName name="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rgerg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erg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ergfhyu" localSheetId="3" hidden="1">{#N/A,#N/A,FALSE,"Plan1";#N/A,#N/A,FALSE,"Plan2"}</definedName>
    <definedName name="ergfhyu" localSheetId="8">{#N/A,#N/A,FALSE,"Plan1";#N/A,#N/A,FALSE,"Plan2"}</definedName>
    <definedName name="ergfhyu" localSheetId="5" hidden="1">{#N/A,#N/A,FALSE,"Plan1";#N/A,#N/A,FALSE,"Plan2"}</definedName>
    <definedName name="ergfhyu" localSheetId="4" hidden="1">{#N/A,#N/A,FALSE,"Plan1";#N/A,#N/A,FALSE,"Plan2"}</definedName>
    <definedName name="ergfhyu" localSheetId="9">{#N/A,#N/A,FALSE,"Plan1";#N/A,#N/A,FALSE,"Plan2"}</definedName>
    <definedName name="ergfhyu" localSheetId="10" hidden="1">{#N/A,#N/A,FALSE,"Plan1";#N/A,#N/A,FALSE,"Plan2"}</definedName>
    <definedName name="ergfhyu" localSheetId="1" hidden="1">{#N/A,#N/A,FALSE,"Plan1";#N/A,#N/A,FALSE,"Plan2"}</definedName>
    <definedName name="ergfhyu" localSheetId="0">{#N/A,#N/A,FALSE,"Plan1";#N/A,#N/A,FALSE,"Plan2"}</definedName>
    <definedName name="ergfhyu" localSheetId="11" hidden="1">{#N/A,#N/A,FALSE,"Plan1";#N/A,#N/A,FALSE,"Plan2"}</definedName>
    <definedName name="ergfhyu" localSheetId="12" hidden="1">{#N/A,#N/A,FALSE,"Plan1";#N/A,#N/A,FALSE,"Plan2"}</definedName>
    <definedName name="ergfhyu" hidden="1">{#N/A,#N/A,FALSE,"Plan1";#N/A,#N/A,FALSE,"Plan2"}</definedName>
    <definedName name="erne_cdi" localSheetId="8">#REF!</definedName>
    <definedName name="erne_cdi" localSheetId="5">#REF!</definedName>
    <definedName name="erne_cdi" localSheetId="9">#REF!</definedName>
    <definedName name="erne_cdi" localSheetId="10">#REF!</definedName>
    <definedName name="erne_cdi" localSheetId="0">#REF!</definedName>
    <definedName name="erne_cdi" localSheetId="11">#REF!</definedName>
    <definedName name="erne_cdi" localSheetId="12">#REF!</definedName>
    <definedName name="erne_cdi">#REF!</definedName>
    <definedName name="erne_hist" localSheetId="8">#REF!</definedName>
    <definedName name="erne_hist" localSheetId="5">#REF!</definedName>
    <definedName name="erne_hist" localSheetId="9">#REF!</definedName>
    <definedName name="erne_hist" localSheetId="10">#REF!</definedName>
    <definedName name="erne_hist" localSheetId="0">#REF!</definedName>
    <definedName name="erne_hist" localSheetId="11">#REF!</definedName>
    <definedName name="erne_hist" localSheetId="12">#REF!</definedName>
    <definedName name="erne_hist">#REF!</definedName>
    <definedName name="erne_uss" localSheetId="8">#REF!</definedName>
    <definedName name="erne_uss" localSheetId="5">#REF!</definedName>
    <definedName name="erne_uss" localSheetId="9">#REF!</definedName>
    <definedName name="erne_uss" localSheetId="10">#REF!</definedName>
    <definedName name="erne_uss" localSheetId="0">#REF!</definedName>
    <definedName name="erne_uss" localSheetId="11">#REF!</definedName>
    <definedName name="erne_uss" localSheetId="12">#REF!</definedName>
    <definedName name="erne_uss">#REF!</definedName>
    <definedName name="erte" localSheetId="8">#REF!</definedName>
    <definedName name="erte" localSheetId="1" hidden="1">#REF!</definedName>
    <definedName name="erte" hidden="1">#REF!</definedName>
    <definedName name="ESGFDSFD" localSheetId="3" hidden="1">{#N/A,#N/A,FALSE,"Plan1";#N/A,#N/A,FALSE,"Plan2"}</definedName>
    <definedName name="ESGFDSFD" localSheetId="8">{#N/A,#N/A,FALSE,"Plan1";#N/A,#N/A,FALSE,"Plan2"}</definedName>
    <definedName name="ESGFDSFD" localSheetId="5" hidden="1">{#N/A,#N/A,FALSE,"Plan1";#N/A,#N/A,FALSE,"Plan2"}</definedName>
    <definedName name="ESGFDSFD" localSheetId="4" hidden="1">{#N/A,#N/A,FALSE,"Plan1";#N/A,#N/A,FALSE,"Plan2"}</definedName>
    <definedName name="ESGFDSFD" localSheetId="9">{#N/A,#N/A,FALSE,"Plan1";#N/A,#N/A,FALSE,"Plan2"}</definedName>
    <definedName name="ESGFDSFD" localSheetId="10" hidden="1">{#N/A,#N/A,FALSE,"Plan1";#N/A,#N/A,FALSE,"Plan2"}</definedName>
    <definedName name="ESGFDSFD" localSheetId="1" hidden="1">{#N/A,#N/A,FALSE,"Plan1";#N/A,#N/A,FALSE,"Plan2"}</definedName>
    <definedName name="ESGFDSFD" localSheetId="0">{#N/A,#N/A,FALSE,"Plan1";#N/A,#N/A,FALSE,"Plan2"}</definedName>
    <definedName name="ESGFDSFD" localSheetId="11" hidden="1">{#N/A,#N/A,FALSE,"Plan1";#N/A,#N/A,FALSE,"Plan2"}</definedName>
    <definedName name="ESGFDSFD" localSheetId="12" hidden="1">{#N/A,#N/A,FALSE,"Plan1";#N/A,#N/A,FALSE,"Plan2"}</definedName>
    <definedName name="ESGFDSFD" hidden="1">{#N/A,#N/A,FALSE,"Plan1";#N/A,#N/A,FALSE,"Plan2"}</definedName>
    <definedName name="esp" localSheetId="8">#REF!</definedName>
    <definedName name="esp" localSheetId="5">#REF!</definedName>
    <definedName name="esp" localSheetId="9">#REF!</definedName>
    <definedName name="esp" localSheetId="10">#REF!</definedName>
    <definedName name="esp" localSheetId="0">#REF!</definedName>
    <definedName name="esp" localSheetId="11">#REF!</definedName>
    <definedName name="esp" localSheetId="12">#REF!</definedName>
    <definedName name="esp">#REF!</definedName>
    <definedName name="ESPESSURA" localSheetId="8">#REF!</definedName>
    <definedName name="ESPESSURA" localSheetId="5">#REF!</definedName>
    <definedName name="ESPESSURA" localSheetId="9">#REF!</definedName>
    <definedName name="ESPESSURA" localSheetId="10">#REF!</definedName>
    <definedName name="ESPESSURA" localSheetId="0">#REF!</definedName>
    <definedName name="ESPESSURA" localSheetId="11">#REF!</definedName>
    <definedName name="ESPESSURA" localSheetId="12">#REF!</definedName>
    <definedName name="ESPESSURA">#REF!</definedName>
    <definedName name="estaca" localSheetId="8">#REF!</definedName>
    <definedName name="estaca" localSheetId="5">#REF!</definedName>
    <definedName name="estaca" localSheetId="9">#REF!</definedName>
    <definedName name="estaca" localSheetId="10">#REF!</definedName>
    <definedName name="estaca" localSheetId="0">#REF!</definedName>
    <definedName name="estaca" localSheetId="11">#REF!</definedName>
    <definedName name="estaca" localSheetId="12">#REF!</definedName>
    <definedName name="estaca">#REF!</definedName>
    <definedName name="estaca3" localSheetId="8">#REF!</definedName>
    <definedName name="estaca3" localSheetId="5">#REF!</definedName>
    <definedName name="estaca3" localSheetId="10">#REF!</definedName>
    <definedName name="estaca3" localSheetId="11">#REF!</definedName>
    <definedName name="estaca3" localSheetId="12">#REF!</definedName>
    <definedName name="estaca3">#REF!</definedName>
    <definedName name="ESTADO" localSheetId="8">#REF!</definedName>
    <definedName name="ESTADO" localSheetId="5">#REF!</definedName>
    <definedName name="ESTADO" localSheetId="10">#REF!</definedName>
    <definedName name="ESTADO" localSheetId="11">#REF!</definedName>
    <definedName name="ESTADO" localSheetId="12">#REF!</definedName>
    <definedName name="ESTADO">#REF!</definedName>
    <definedName name="estados" localSheetId="8">#REF!</definedName>
    <definedName name="estados" localSheetId="5">#REF!</definedName>
    <definedName name="estados" localSheetId="10">#REF!</definedName>
    <definedName name="estados" localSheetId="11">#REF!</definedName>
    <definedName name="estados" localSheetId="12">#REF!</definedName>
    <definedName name="estados">#REF!</definedName>
    <definedName name="estagiário" localSheetId="8">#REF!</definedName>
    <definedName name="estagiário" localSheetId="5">#REF!</definedName>
    <definedName name="estagiário" localSheetId="10">#REF!</definedName>
    <definedName name="estagiário" localSheetId="11">#REF!</definedName>
    <definedName name="estagiário" localSheetId="12">#REF!</definedName>
    <definedName name="estagiário">#REF!</definedName>
    <definedName name="ESTOQUE" localSheetId="8">#REF!</definedName>
    <definedName name="ESTOQUE" localSheetId="5">#REF!</definedName>
    <definedName name="ESTOQUE" localSheetId="10">#REF!</definedName>
    <definedName name="ESTOQUE" localSheetId="11">#REF!</definedName>
    <definedName name="ESTOQUE" localSheetId="12">#REF!</definedName>
    <definedName name="ESTOQUE">#REF!</definedName>
    <definedName name="Etq_final" localSheetId="8">#REF!</definedName>
    <definedName name="Etq_final" localSheetId="5">#REF!</definedName>
    <definedName name="Etq_final" localSheetId="10">#REF!</definedName>
    <definedName name="Etq_final" localSheetId="11">#REF!</definedName>
    <definedName name="Etq_final" localSheetId="12">#REF!</definedName>
    <definedName name="Etq_final">#REF!</definedName>
    <definedName name="EU" localSheetId="3" hidden="1">{#N/A,#N/A,FALSE,"Plan1";#N/A,#N/A,FALSE,"Plan2"}</definedName>
    <definedName name="EU" localSheetId="8">{#N/A,#N/A,FALSE,"Plan1";#N/A,#N/A,FALSE,"Plan2"}</definedName>
    <definedName name="EU" localSheetId="5" hidden="1">{#N/A,#N/A,FALSE,"Plan1";#N/A,#N/A,FALSE,"Plan2"}</definedName>
    <definedName name="EU" localSheetId="4" hidden="1">{#N/A,#N/A,FALSE,"Plan1";#N/A,#N/A,FALSE,"Plan2"}</definedName>
    <definedName name="EU" localSheetId="9">{#N/A,#N/A,FALSE,"Plan1";#N/A,#N/A,FALSE,"Plan2"}</definedName>
    <definedName name="EU" localSheetId="10" hidden="1">{#N/A,#N/A,FALSE,"Plan1";#N/A,#N/A,FALSE,"Plan2"}</definedName>
    <definedName name="EU" localSheetId="1" hidden="1">{#N/A,#N/A,FALSE,"Plan1";#N/A,#N/A,FALSE,"Plan2"}</definedName>
    <definedName name="EU" localSheetId="0">{#N/A,#N/A,FALSE,"Plan1";#N/A,#N/A,FALSE,"Plan2"}</definedName>
    <definedName name="EU" localSheetId="11" hidden="1">{#N/A,#N/A,FALSE,"Plan1";#N/A,#N/A,FALSE,"Plan2"}</definedName>
    <definedName name="EU" localSheetId="12" hidden="1">{#N/A,#N/A,FALSE,"Plan1";#N/A,#N/A,FALSE,"Plan2"}</definedName>
    <definedName name="EU" hidden="1">{#N/A,#N/A,FALSE,"Plan1";#N/A,#N/A,FALSE,"Plan2"}</definedName>
    <definedName name="EV__LASTREFTIME__" hidden="1">39965.7223611111</definedName>
    <definedName name="EVL" localSheetId="3" hidden="1">{"Econ Consolidado",#N/A,FALSE,"Econ Consol";"Fluxo de Caixa",#N/A,FALSE,"Fluxo Caixa";"Investimentos",#N/A,FALSE,"Investimentos"}</definedName>
    <definedName name="EVL" localSheetId="8">{"Econ Consolidado",#N/A,FALSE,"Econ Consol";"Fluxo de Caixa",#N/A,FALSE,"Fluxo Caixa";"Investimentos",#N/A,FALSE,"Investimentos"}</definedName>
    <definedName name="EVL" localSheetId="5" hidden="1">{"Econ Consolidado",#N/A,FALSE,"Econ Consol";"Fluxo de Caixa",#N/A,FALSE,"Fluxo Caixa";"Investimentos",#N/A,FALSE,"Investimentos"}</definedName>
    <definedName name="EVL" localSheetId="4" hidden="1">{"Econ Consolidado",#N/A,FALSE,"Econ Consol";"Fluxo de Caixa",#N/A,FALSE,"Fluxo Caixa";"Investimentos",#N/A,FALSE,"Investimentos"}</definedName>
    <definedName name="EVL" localSheetId="9">{"Econ Consolidado",#N/A,FALSE,"Econ Consol";"Fluxo de Caixa",#N/A,FALSE,"Fluxo Caixa";"Investimentos",#N/A,FALSE,"Investimentos"}</definedName>
    <definedName name="EVL" localSheetId="10" hidden="1">{"Econ Consolidado",#N/A,FALSE,"Econ Consol";"Fluxo de Caixa",#N/A,FALSE,"Fluxo Caixa";"Investimentos",#N/A,FALSE,"Investimentos"}</definedName>
    <definedName name="EVL" localSheetId="1" hidden="1">{"Econ Consolidado",#N/A,FALSE,"Econ Consol";"Fluxo de Caixa",#N/A,FALSE,"Fluxo Caixa";"Investimentos",#N/A,FALSE,"Investimentos"}</definedName>
    <definedName name="EVL" localSheetId="0">{"Econ Consolidado",#N/A,FALSE,"Econ Consol";"Fluxo de Caixa",#N/A,FALSE,"Fluxo Caixa";"Investimentos",#N/A,FALSE,"Investimentos"}</definedName>
    <definedName name="EVL" localSheetId="11" hidden="1">{"Econ Consolidado",#N/A,FALSE,"Econ Consol";"Fluxo de Caixa",#N/A,FALSE,"Fluxo Caixa";"Investimentos",#N/A,FALSE,"Investimentos"}</definedName>
    <definedName name="EVL" localSheetId="12" hidden="1">{"Econ Consolidado",#N/A,FALSE,"Econ Consol";"Fluxo de Caixa",#N/A,FALSE,"Fluxo Caixa";"Investimentos",#N/A,FALSE,"Investimentos"}</definedName>
    <definedName name="EVL" hidden="1">{"Econ Consolidado",#N/A,FALSE,"Econ Consol";"Fluxo de Caixa",#N/A,FALSE,"Fluxo Caixa";"Investimentos",#N/A,FALSE,"Investimentos"}</definedName>
    <definedName name="Evol." localSheetId="3" hidden="1">{"Econ Consolidado",#N/A,FALSE,"Econ Consol";"Fluxo de Caixa",#N/A,FALSE,"Fluxo Caixa";"Investimentos",#N/A,FALSE,"Investimentos"}</definedName>
    <definedName name="Evol." localSheetId="8">{"Econ Consolidado",#N/A,FALSE,"Econ Consol";"Fluxo de Caixa",#N/A,FALSE,"Fluxo Caixa";"Investimentos",#N/A,FALSE,"Investimentos"}</definedName>
    <definedName name="Evol." localSheetId="5" hidden="1">{"Econ Consolidado",#N/A,FALSE,"Econ Consol";"Fluxo de Caixa",#N/A,FALSE,"Fluxo Caixa";"Investimentos",#N/A,FALSE,"Investimentos"}</definedName>
    <definedName name="Evol." localSheetId="4" hidden="1">{"Econ Consolidado",#N/A,FALSE,"Econ Consol";"Fluxo de Caixa",#N/A,FALSE,"Fluxo Caixa";"Investimentos",#N/A,FALSE,"Investimentos"}</definedName>
    <definedName name="Evol." localSheetId="9">{"Econ Consolidado",#N/A,FALSE,"Econ Consol";"Fluxo de Caixa",#N/A,FALSE,"Fluxo Caixa";"Investimentos",#N/A,FALSE,"Investimentos"}</definedName>
    <definedName name="Evol." localSheetId="10" hidden="1">{"Econ Consolidado",#N/A,FALSE,"Econ Consol";"Fluxo de Caixa",#N/A,FALSE,"Fluxo Caixa";"Investimentos",#N/A,FALSE,"Investimentos"}</definedName>
    <definedName name="Evol." localSheetId="1" hidden="1">{"Econ Consolidado",#N/A,FALSE,"Econ Consol";"Fluxo de Caixa",#N/A,FALSE,"Fluxo Caixa";"Investimentos",#N/A,FALSE,"Investimentos"}</definedName>
    <definedName name="Evol." localSheetId="0">{"Econ Consolidado",#N/A,FALSE,"Econ Consol";"Fluxo de Caixa",#N/A,FALSE,"Fluxo Caixa";"Investimentos",#N/A,FALSE,"Investimentos"}</definedName>
    <definedName name="Evol." localSheetId="11" hidden="1">{"Econ Consolidado",#N/A,FALSE,"Econ Consol";"Fluxo de Caixa",#N/A,FALSE,"Fluxo Caixa";"Investimentos",#N/A,FALSE,"Investimentos"}</definedName>
    <definedName name="Evol." localSheetId="12" hidden="1">{"Econ Consolidado",#N/A,FALSE,"Econ Consol";"Fluxo de Caixa",#N/A,FALSE,"Fluxo Caixa";"Investimentos",#N/A,FALSE,"Investimentos"}</definedName>
    <definedName name="Evol." hidden="1">{"Econ Consolidado",#N/A,FALSE,"Econ Consol";"Fluxo de Caixa",#N/A,FALSE,"Fluxo Caixa";"Investimentos",#N/A,FALSE,"Investimentos"}</definedName>
    <definedName name="ewfr" localSheetId="3" hidden="1">{#N/A,#N/A,FALSE,"Plan1";#N/A,#N/A,FALSE,"Plan2"}</definedName>
    <definedName name="ewfr" localSheetId="8">{#N/A,#N/A,FALSE,"Plan1";#N/A,#N/A,FALSE,"Plan2"}</definedName>
    <definedName name="ewfr" localSheetId="5" hidden="1">{#N/A,#N/A,FALSE,"Plan1";#N/A,#N/A,FALSE,"Plan2"}</definedName>
    <definedName name="ewfr" localSheetId="4" hidden="1">{#N/A,#N/A,FALSE,"Plan1";#N/A,#N/A,FALSE,"Plan2"}</definedName>
    <definedName name="ewfr" localSheetId="9">{#N/A,#N/A,FALSE,"Plan1";#N/A,#N/A,FALSE,"Plan2"}</definedName>
    <definedName name="ewfr" localSheetId="10" hidden="1">{#N/A,#N/A,FALSE,"Plan1";#N/A,#N/A,FALSE,"Plan2"}</definedName>
    <definedName name="ewfr" localSheetId="1" hidden="1">{#N/A,#N/A,FALSE,"Plan1";#N/A,#N/A,FALSE,"Plan2"}</definedName>
    <definedName name="ewfr" localSheetId="0">{#N/A,#N/A,FALSE,"Plan1";#N/A,#N/A,FALSE,"Plan2"}</definedName>
    <definedName name="ewfr" localSheetId="11" hidden="1">{#N/A,#N/A,FALSE,"Plan1";#N/A,#N/A,FALSE,"Plan2"}</definedName>
    <definedName name="ewfr" localSheetId="12" hidden="1">{#N/A,#N/A,FALSE,"Plan1";#N/A,#N/A,FALSE,"Plan2"}</definedName>
    <definedName name="ewfr" hidden="1">{#N/A,#N/A,FALSE,"Plan1";#N/A,#N/A,FALSE,"Plan2"}</definedName>
    <definedName name="exce_cdi" localSheetId="8">#REF!</definedName>
    <definedName name="exce_cdi" localSheetId="5">#REF!</definedName>
    <definedName name="exce_cdi" localSheetId="9">#REF!</definedName>
    <definedName name="exce_cdi" localSheetId="10">#REF!</definedName>
    <definedName name="exce_cdi" localSheetId="0">#REF!</definedName>
    <definedName name="exce_cdi" localSheetId="11">#REF!</definedName>
    <definedName name="exce_cdi" localSheetId="12">#REF!</definedName>
    <definedName name="exce_cdi">#REF!</definedName>
    <definedName name="exce_hist" localSheetId="8">#REF!</definedName>
    <definedName name="exce_hist" localSheetId="5">#REF!</definedName>
    <definedName name="exce_hist" localSheetId="9">#REF!</definedName>
    <definedName name="exce_hist" localSheetId="10">#REF!</definedName>
    <definedName name="exce_hist" localSheetId="0">#REF!</definedName>
    <definedName name="exce_hist" localSheetId="11">#REF!</definedName>
    <definedName name="exce_hist" localSheetId="12">#REF!</definedName>
    <definedName name="exce_hist">#REF!</definedName>
    <definedName name="exce_uss" localSheetId="8">#REF!</definedName>
    <definedName name="exce_uss" localSheetId="5">#REF!</definedName>
    <definedName name="exce_uss" localSheetId="9">#REF!</definedName>
    <definedName name="exce_uss" localSheetId="10">#REF!</definedName>
    <definedName name="exce_uss" localSheetId="0">#REF!</definedName>
    <definedName name="exce_uss" localSheetId="11">#REF!</definedName>
    <definedName name="exce_uss" localSheetId="12">#REF!</definedName>
    <definedName name="exce_uss">#REF!</definedName>
    <definedName name="Excel_BuiltIn__FilterDatabase_1" localSheetId="8">#REF!</definedName>
    <definedName name="Excel_BuiltIn__FilterDatabase_1" localSheetId="5">#REF!</definedName>
    <definedName name="Excel_BuiltIn__FilterDatabase_1" localSheetId="10">#REF!</definedName>
    <definedName name="Excel_BuiltIn__FilterDatabase_1" localSheetId="11">#REF!</definedName>
    <definedName name="Excel_BuiltIn__FilterDatabase_1" localSheetId="12">#REF!</definedName>
    <definedName name="Excel_BuiltIn__FilterDatabase_1">#REF!</definedName>
    <definedName name="Excel_BuiltIn__FilterDatabase_1_1" localSheetId="8">#REF!</definedName>
    <definedName name="Excel_BuiltIn__FilterDatabase_1_1" localSheetId="5">#REF!</definedName>
    <definedName name="Excel_BuiltIn__FilterDatabase_1_1" localSheetId="10">#REF!</definedName>
    <definedName name="Excel_BuiltIn__FilterDatabase_1_1" localSheetId="11">#REF!</definedName>
    <definedName name="Excel_BuiltIn__FilterDatabase_1_1" localSheetId="12">#REF!</definedName>
    <definedName name="Excel_BuiltIn__FilterDatabase_1_1">#REF!</definedName>
    <definedName name="Excel_BuiltIn__FilterDatabase_6" localSheetId="8">#REF!</definedName>
    <definedName name="Excel_BuiltIn__FilterDatabase_6" localSheetId="5">#REF!</definedName>
    <definedName name="Excel_BuiltIn__FilterDatabase_6" localSheetId="10">#REF!</definedName>
    <definedName name="Excel_BuiltIn__FilterDatabase_6" localSheetId="11">#REF!</definedName>
    <definedName name="Excel_BuiltIn__FilterDatabase_6" localSheetId="12">#REF!</definedName>
    <definedName name="Excel_BuiltIn__FilterDatabase_6">#REF!</definedName>
    <definedName name="Excel_BuiltIn_Print_Area_0" localSheetId="8">#REF!</definedName>
    <definedName name="Excel_BuiltIn_Print_Area_0" localSheetId="5">#REF!</definedName>
    <definedName name="Excel_BuiltIn_Print_Area_0" localSheetId="10">#REF!</definedName>
    <definedName name="Excel_BuiltIn_Print_Area_0" localSheetId="11">#REF!</definedName>
    <definedName name="Excel_BuiltIn_Print_Area_0" localSheetId="12">#REF!</definedName>
    <definedName name="Excel_BuiltIn_Print_Area_0">#REF!</definedName>
    <definedName name="Excel_BuiltIn_Print_Area_1_1" localSheetId="8">#REF!</definedName>
    <definedName name="Excel_BuiltIn_Print_Area_1_1" localSheetId="5">#REF!</definedName>
    <definedName name="Excel_BuiltIn_Print_Area_1_1" localSheetId="10">#REF!</definedName>
    <definedName name="Excel_BuiltIn_Print_Area_1_1" localSheetId="11">#REF!</definedName>
    <definedName name="Excel_BuiltIn_Print_Area_1_1" localSheetId="12">#REF!</definedName>
    <definedName name="Excel_BuiltIn_Print_Area_1_1">#REF!</definedName>
    <definedName name="Excel_BuiltIn_Print_Titles_1_1_1" localSheetId="8">#REF!</definedName>
    <definedName name="Excel_BuiltIn_Print_Titles_1_1_1" localSheetId="5">#REF!</definedName>
    <definedName name="Excel_BuiltIn_Print_Titles_1_1_1" localSheetId="10">#REF!</definedName>
    <definedName name="Excel_BuiltIn_Print_Titles_1_1_1" localSheetId="11">#REF!</definedName>
    <definedName name="Excel_BuiltIn_Print_Titles_1_1_1" localSheetId="12">#REF!</definedName>
    <definedName name="Excel_BuiltIn_Print_Titles_1_1_1">#REF!</definedName>
    <definedName name="Excel_BuiltIn_Print_Titles_1_1_4" localSheetId="8">#REF!</definedName>
    <definedName name="Excel_BuiltIn_Print_Titles_1_1_4" localSheetId="5">#REF!</definedName>
    <definedName name="Excel_BuiltIn_Print_Titles_1_1_4" localSheetId="10">#REF!</definedName>
    <definedName name="Excel_BuiltIn_Print_Titles_1_1_4" localSheetId="11">#REF!</definedName>
    <definedName name="Excel_BuiltIn_Print_Titles_1_1_4" localSheetId="12">#REF!</definedName>
    <definedName name="Excel_BuiltIn_Print_Titles_1_1_4">#REF!</definedName>
    <definedName name="Excel_BuiltIn_Print_Titles_1_1_5" localSheetId="8">#REF!</definedName>
    <definedName name="Excel_BuiltIn_Print_Titles_1_1_5" localSheetId="5">#REF!</definedName>
    <definedName name="Excel_BuiltIn_Print_Titles_1_1_5" localSheetId="10">#REF!</definedName>
    <definedName name="Excel_BuiltIn_Print_Titles_1_1_5" localSheetId="11">#REF!</definedName>
    <definedName name="Excel_BuiltIn_Print_Titles_1_1_5" localSheetId="12">#REF!</definedName>
    <definedName name="Excel_BuiltIn_Print_Titles_1_1_5">#REF!</definedName>
    <definedName name="Exrate" localSheetId="8">#REF!</definedName>
    <definedName name="Exrate" localSheetId="5">#REF!</definedName>
    <definedName name="Exrate" localSheetId="10">#REF!</definedName>
    <definedName name="Exrate" localSheetId="11">#REF!</definedName>
    <definedName name="Exrate" localSheetId="12">#REF!</definedName>
    <definedName name="Exrate">#REF!</definedName>
    <definedName name="eyruieyteta" localSheetId="3" hidden="1">{#N/A,#N/A,FALSE,"Plan1";#N/A,#N/A,FALSE,"Plan2"}</definedName>
    <definedName name="eyruieyteta" localSheetId="8">{#N/A,#N/A,FALSE,"Plan1";#N/A,#N/A,FALSE,"Plan2"}</definedName>
    <definedName name="eyruieyteta" localSheetId="5" hidden="1">{#N/A,#N/A,FALSE,"Plan1";#N/A,#N/A,FALSE,"Plan2"}</definedName>
    <definedName name="eyruieyteta" localSheetId="4" hidden="1">{#N/A,#N/A,FALSE,"Plan1";#N/A,#N/A,FALSE,"Plan2"}</definedName>
    <definedName name="eyruieyteta" localSheetId="9">{#N/A,#N/A,FALSE,"Plan1";#N/A,#N/A,FALSE,"Plan2"}</definedName>
    <definedName name="eyruieyteta" localSheetId="10" hidden="1">{#N/A,#N/A,FALSE,"Plan1";#N/A,#N/A,FALSE,"Plan2"}</definedName>
    <definedName name="eyruieyteta" localSheetId="1" hidden="1">{#N/A,#N/A,FALSE,"Plan1";#N/A,#N/A,FALSE,"Plan2"}</definedName>
    <definedName name="eyruieyteta" localSheetId="0">{#N/A,#N/A,FALSE,"Plan1";#N/A,#N/A,FALSE,"Plan2"}</definedName>
    <definedName name="eyruieyteta" localSheetId="11" hidden="1">{#N/A,#N/A,FALSE,"Plan1";#N/A,#N/A,FALSE,"Plan2"}</definedName>
    <definedName name="eyruieyteta" localSheetId="12" hidden="1">{#N/A,#N/A,FALSE,"Plan1";#N/A,#N/A,FALSE,"Plan2"}</definedName>
    <definedName name="eyruieyteta" hidden="1">{#N/A,#N/A,FALSE,"Plan1";#N/A,#N/A,FALSE,"Plan2"}</definedName>
    <definedName name="f" localSheetId="3" hidden="1">{#N/A,#N/A,FALSE,"Plan1";#N/A,#N/A,FALSE,"Plan2"}</definedName>
    <definedName name="f" localSheetId="8">{#N/A,#N/A,FALSE,"Plan1";#N/A,#N/A,FALSE,"Plan2"}</definedName>
    <definedName name="f" localSheetId="5">#REF!</definedName>
    <definedName name="f" localSheetId="4" hidden="1">{#N/A,#N/A,FALSE,"Plan1";#N/A,#N/A,FALSE,"Plan2"}</definedName>
    <definedName name="f" localSheetId="10" hidden="1">{#N/A,#N/A,FALSE,"Plan1";#N/A,#N/A,FALSE,"Plan2"}</definedName>
    <definedName name="f" localSheetId="1" hidden="1">{#N/A,#N/A,FALSE,"Plan1";#N/A,#N/A,FALSE,"Plan2"}</definedName>
    <definedName name="f" localSheetId="11" hidden="1">{#N/A,#N/A,FALSE,"Plan1";#N/A,#N/A,FALSE,"Plan2"}</definedName>
    <definedName name="f" localSheetId="12" hidden="1">{#N/A,#N/A,FALSE,"Plan1";#N/A,#N/A,FALSE,"Plan2"}</definedName>
    <definedName name="f">#REF!</definedName>
    <definedName name="FACULDADE" localSheetId="8">#REF!</definedName>
    <definedName name="FACULDADE" localSheetId="5">#REF!</definedName>
    <definedName name="FACULDADE" localSheetId="9">#REF!</definedName>
    <definedName name="FACULDADE" localSheetId="10">#REF!</definedName>
    <definedName name="FACULDADE" localSheetId="0">#REF!</definedName>
    <definedName name="FACULDADE" localSheetId="11">#REF!</definedName>
    <definedName name="FACULDADE" localSheetId="12">#REF!</definedName>
    <definedName name="FACULDADE">#REF!</definedName>
    <definedName name="FAL" localSheetId="8">#REF!</definedName>
    <definedName name="FAL" localSheetId="5">#REF!</definedName>
    <definedName name="FAL" localSheetId="9">#REF!</definedName>
    <definedName name="FAL" localSheetId="10">#REF!</definedName>
    <definedName name="FAL" localSheetId="0">#REF!</definedName>
    <definedName name="FAL" localSheetId="11">#REF!</definedName>
    <definedName name="FAL" localSheetId="12">#REF!</definedName>
    <definedName name="FAL">#REF!</definedName>
    <definedName name="farialima" localSheetId="8">#REF!</definedName>
    <definedName name="farialima" localSheetId="5">#REF!</definedName>
    <definedName name="farialima" localSheetId="10">#REF!</definedName>
    <definedName name="farialima" localSheetId="11">#REF!</definedName>
    <definedName name="farialima" localSheetId="12">#REF!</definedName>
    <definedName name="farialima">#REF!</definedName>
    <definedName name="FAS" localSheetId="3" hidden="1">{"'Total'!$A$1","'Total'!$A$3"}</definedName>
    <definedName name="FAS" localSheetId="8">{"'Total'!$A$1","'Total'!$A$3"}</definedName>
    <definedName name="FAS" localSheetId="5" hidden="1">{"'Total'!$A$1","'Total'!$A$3"}</definedName>
    <definedName name="FAS" localSheetId="4" hidden="1">{"'Total'!$A$1","'Total'!$A$3"}</definedName>
    <definedName name="FAS" localSheetId="9">{"'Total'!$A$1","'Total'!$A$3"}</definedName>
    <definedName name="FAS" localSheetId="10" hidden="1">{"'Total'!$A$1","'Total'!$A$3"}</definedName>
    <definedName name="FAS" localSheetId="1" hidden="1">{"'Total'!$A$1","'Total'!$A$3"}</definedName>
    <definedName name="FAS" localSheetId="0">{"'Total'!$A$1","'Total'!$A$3"}</definedName>
    <definedName name="FAS" localSheetId="11" hidden="1">{"'Total'!$A$1","'Total'!$A$3"}</definedName>
    <definedName name="FAS" localSheetId="12" hidden="1">{"'Total'!$A$1","'Total'!$A$3"}</definedName>
    <definedName name="FAS" hidden="1">{"'Total'!$A$1","'Total'!$A$3"}</definedName>
    <definedName name="fasfasf" localSheetId="3" hidden="1">{#N/A,#N/A,TRUE,"Quinzena 01 à 15-04-98 "}</definedName>
    <definedName name="fasfasf" localSheetId="8">{#N/A,#N/A,TRUE,"Quinzena 01 à 15-04-98 "}</definedName>
    <definedName name="fasfasf" localSheetId="5" hidden="1">{#N/A,#N/A,TRUE,"Quinzena 01 à 15-04-98 "}</definedName>
    <definedName name="fasfasf" localSheetId="4" hidden="1">{#N/A,#N/A,TRUE,"Quinzena 01 à 15-04-98 "}</definedName>
    <definedName name="fasfasf" localSheetId="9">{#N/A,#N/A,TRUE,"Quinzena 01 à 15-04-98 "}</definedName>
    <definedName name="fasfasf" localSheetId="10" hidden="1">{#N/A,#N/A,TRUE,"Quinzena 01 à 15-04-98 "}</definedName>
    <definedName name="fasfasf" localSheetId="1" hidden="1">{#N/A,#N/A,TRUE,"Quinzena 01 à 15-04-98 "}</definedName>
    <definedName name="fasfasf" localSheetId="0">{#N/A,#N/A,TRUE,"Quinzena 01 à 15-04-98 "}</definedName>
    <definedName name="fasfasf" localSheetId="11" hidden="1">{#N/A,#N/A,TRUE,"Quinzena 01 à 15-04-98 "}</definedName>
    <definedName name="fasfasf" localSheetId="12" hidden="1">{#N/A,#N/A,TRUE,"Quinzena 01 à 15-04-98 "}</definedName>
    <definedName name="fasfasf" hidden="1">{#N/A,#N/A,TRUE,"Quinzena 01 à 15-04-98 "}</definedName>
    <definedName name="FATOR_K" localSheetId="8">#REF!</definedName>
    <definedName name="FATOR_K" localSheetId="5">#REF!</definedName>
    <definedName name="FATOR_K" localSheetId="9">#REF!</definedName>
    <definedName name="FATOR_K" localSheetId="10">#REF!</definedName>
    <definedName name="FATOR_K" localSheetId="0">#REF!</definedName>
    <definedName name="FATOR_K" localSheetId="11">#REF!</definedName>
    <definedName name="FATOR_K" localSheetId="12">#REF!</definedName>
    <definedName name="FATOR_K">#REF!</definedName>
    <definedName name="FATORK" localSheetId="8">#REF!</definedName>
    <definedName name="FATORK" localSheetId="5">#REF!</definedName>
    <definedName name="FATORK" localSheetId="9">#REF!</definedName>
    <definedName name="FATORK" localSheetId="10">#REF!</definedName>
    <definedName name="FATORK" localSheetId="0">#REF!</definedName>
    <definedName name="FATORK" localSheetId="11">#REF!</definedName>
    <definedName name="FATORK" localSheetId="12">#REF!</definedName>
    <definedName name="FATORK">#REF!</definedName>
    <definedName name="FBancaria" localSheetId="8">#REF!</definedName>
    <definedName name="FBancaria" localSheetId="5">#REF!</definedName>
    <definedName name="FBancaria" localSheetId="9">#REF!</definedName>
    <definedName name="FBancaria" localSheetId="10">#REF!</definedName>
    <definedName name="FBancaria" localSheetId="0">#REF!</definedName>
    <definedName name="FBancaria" localSheetId="11">#REF!</definedName>
    <definedName name="FBancaria" localSheetId="12">#REF!</definedName>
    <definedName name="FBancaria">#REF!</definedName>
    <definedName name="fchart31" localSheetId="8">#REF!</definedName>
    <definedName name="fchart31" localSheetId="1" hidden="1">#REF!</definedName>
    <definedName name="fchart31" hidden="1">#REF!</definedName>
    <definedName name="fddhght" localSheetId="3" hidden="1">{#N/A,#N/A,FALSE,"Plan1";#N/A,#N/A,FALSE,"Plan2"}</definedName>
    <definedName name="fddhght" localSheetId="8">{#N/A,#N/A,FALSE,"Plan1";#N/A,#N/A,FALSE,"Plan2"}</definedName>
    <definedName name="fddhght" localSheetId="5" hidden="1">{#N/A,#N/A,FALSE,"Plan1";#N/A,#N/A,FALSE,"Plan2"}</definedName>
    <definedName name="fddhght" localSheetId="4" hidden="1">{#N/A,#N/A,FALSE,"Plan1";#N/A,#N/A,FALSE,"Plan2"}</definedName>
    <definedName name="fddhght" localSheetId="9">{#N/A,#N/A,FALSE,"Plan1";#N/A,#N/A,FALSE,"Plan2"}</definedName>
    <definedName name="fddhght" localSheetId="10" hidden="1">{#N/A,#N/A,FALSE,"Plan1";#N/A,#N/A,FALSE,"Plan2"}</definedName>
    <definedName name="fddhght" localSheetId="1" hidden="1">{#N/A,#N/A,FALSE,"Plan1";#N/A,#N/A,FALSE,"Plan2"}</definedName>
    <definedName name="fddhght" localSheetId="0">{#N/A,#N/A,FALSE,"Plan1";#N/A,#N/A,FALSE,"Plan2"}</definedName>
    <definedName name="fddhght" localSheetId="11" hidden="1">{#N/A,#N/A,FALSE,"Plan1";#N/A,#N/A,FALSE,"Plan2"}</definedName>
    <definedName name="fddhght" localSheetId="12" hidden="1">{#N/A,#N/A,FALSE,"Plan1";#N/A,#N/A,FALSE,"Plan2"}</definedName>
    <definedName name="fddhght" hidden="1">{#N/A,#N/A,FALSE,"Plan1";#N/A,#N/A,FALSE,"Plan2"}</definedName>
    <definedName name="fdfgd" localSheetId="3" hidden="1">{#N/A,#N/A,FALSE,"Plan1";#N/A,#N/A,FALSE,"Plan2"}</definedName>
    <definedName name="fdfgd" localSheetId="8">{#N/A,#N/A,FALSE,"Plan1";#N/A,#N/A,FALSE,"Plan2"}</definedName>
    <definedName name="fdfgd" localSheetId="5" hidden="1">{#N/A,#N/A,FALSE,"Plan1";#N/A,#N/A,FALSE,"Plan2"}</definedName>
    <definedName name="fdfgd" localSheetId="4" hidden="1">{#N/A,#N/A,FALSE,"Plan1";#N/A,#N/A,FALSE,"Plan2"}</definedName>
    <definedName name="fdfgd" localSheetId="9">{#N/A,#N/A,FALSE,"Plan1";#N/A,#N/A,FALSE,"Plan2"}</definedName>
    <definedName name="fdfgd" localSheetId="10" hidden="1">{#N/A,#N/A,FALSE,"Plan1";#N/A,#N/A,FALSE,"Plan2"}</definedName>
    <definedName name="fdfgd" localSheetId="1" hidden="1">{#N/A,#N/A,FALSE,"Plan1";#N/A,#N/A,FALSE,"Plan2"}</definedName>
    <definedName name="fdfgd" localSheetId="0">{#N/A,#N/A,FALSE,"Plan1";#N/A,#N/A,FALSE,"Plan2"}</definedName>
    <definedName name="fdfgd" localSheetId="11" hidden="1">{#N/A,#N/A,FALSE,"Plan1";#N/A,#N/A,FALSE,"Plan2"}</definedName>
    <definedName name="fdfgd" localSheetId="12" hidden="1">{#N/A,#N/A,FALSE,"Plan1";#N/A,#N/A,FALSE,"Plan2"}</definedName>
    <definedName name="fdfgd" hidden="1">{#N/A,#N/A,FALSE,"Plan1";#N/A,#N/A,FALSE,"Plan2"}</definedName>
    <definedName name="fdfng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ng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gaf" localSheetId="3" hidden="1">{#N/A,#N/A,FALSE,"Plan1";#N/A,#N/A,FALSE,"Plan2"}</definedName>
    <definedName name="fdgaf" localSheetId="8">{#N/A,#N/A,FALSE,"Plan1";#N/A,#N/A,FALSE,"Plan2"}</definedName>
    <definedName name="fdgaf" localSheetId="5" hidden="1">{#N/A,#N/A,FALSE,"Plan1";#N/A,#N/A,FALSE,"Plan2"}</definedName>
    <definedName name="fdgaf" localSheetId="4" hidden="1">{#N/A,#N/A,FALSE,"Plan1";#N/A,#N/A,FALSE,"Plan2"}</definedName>
    <definedName name="fdgaf" localSheetId="9">{#N/A,#N/A,FALSE,"Plan1";#N/A,#N/A,FALSE,"Plan2"}</definedName>
    <definedName name="fdgaf" localSheetId="10" hidden="1">{#N/A,#N/A,FALSE,"Plan1";#N/A,#N/A,FALSE,"Plan2"}</definedName>
    <definedName name="fdgaf" localSheetId="1" hidden="1">{#N/A,#N/A,FALSE,"Plan1";#N/A,#N/A,FALSE,"Plan2"}</definedName>
    <definedName name="fdgaf" localSheetId="0">{#N/A,#N/A,FALSE,"Plan1";#N/A,#N/A,FALSE,"Plan2"}</definedName>
    <definedName name="fdgaf" localSheetId="11" hidden="1">{#N/A,#N/A,FALSE,"Plan1";#N/A,#N/A,FALSE,"Plan2"}</definedName>
    <definedName name="fdgaf" localSheetId="12" hidden="1">{#N/A,#N/A,FALSE,"Plan1";#N/A,#N/A,FALSE,"Plan2"}</definedName>
    <definedName name="fdgaf" hidden="1">{#N/A,#N/A,FALSE,"Plan1";#N/A,#N/A,FALSE,"Plan2"}</definedName>
    <definedName name="fdgdf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df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DGFDJHGZEDR" localSheetId="3" hidden="1">{#N/A,#N/A,FALSE,"Plan1";#N/A,#N/A,FALSE,"Plan2"}</definedName>
    <definedName name="FDGFDJHGZEDR" localSheetId="8">{#N/A,#N/A,FALSE,"Plan1";#N/A,#N/A,FALSE,"Plan2"}</definedName>
    <definedName name="FDGFDJHGZEDR" localSheetId="5" hidden="1">{#N/A,#N/A,FALSE,"Plan1";#N/A,#N/A,FALSE,"Plan2"}</definedName>
    <definedName name="FDGFDJHGZEDR" localSheetId="4" hidden="1">{#N/A,#N/A,FALSE,"Plan1";#N/A,#N/A,FALSE,"Plan2"}</definedName>
    <definedName name="FDGFDJHGZEDR" localSheetId="9">{#N/A,#N/A,FALSE,"Plan1";#N/A,#N/A,FALSE,"Plan2"}</definedName>
    <definedName name="FDGFDJHGZEDR" localSheetId="10" hidden="1">{#N/A,#N/A,FALSE,"Plan1";#N/A,#N/A,FALSE,"Plan2"}</definedName>
    <definedName name="FDGFDJHGZEDR" localSheetId="1" hidden="1">{#N/A,#N/A,FALSE,"Plan1";#N/A,#N/A,FALSE,"Plan2"}</definedName>
    <definedName name="FDGFDJHGZEDR" localSheetId="0">{#N/A,#N/A,FALSE,"Plan1";#N/A,#N/A,FALSE,"Plan2"}</definedName>
    <definedName name="FDGFDJHGZEDR" localSheetId="11" hidden="1">{#N/A,#N/A,FALSE,"Plan1";#N/A,#N/A,FALSE,"Plan2"}</definedName>
    <definedName name="FDGFDJHGZEDR" localSheetId="12" hidden="1">{#N/A,#N/A,FALSE,"Plan1";#N/A,#N/A,FALSE,"Plan2"}</definedName>
    <definedName name="FDGFDJHGZEDR" hidden="1">{#N/A,#N/A,FALSE,"Plan1";#N/A,#N/A,FALSE,"Plan2"}</definedName>
    <definedName name="fdgfyhygfuj" localSheetId="3" hidden="1">{#N/A,#N/A,FALSE,"Plan1";#N/A,#N/A,FALSE,"Plan2"}</definedName>
    <definedName name="fdgfyhygfuj" localSheetId="8">{#N/A,#N/A,FALSE,"Plan1";#N/A,#N/A,FALSE,"Plan2"}</definedName>
    <definedName name="fdgfyhygfuj" localSheetId="5" hidden="1">{#N/A,#N/A,FALSE,"Plan1";#N/A,#N/A,FALSE,"Plan2"}</definedName>
    <definedName name="fdgfyhygfuj" localSheetId="4" hidden="1">{#N/A,#N/A,FALSE,"Plan1";#N/A,#N/A,FALSE,"Plan2"}</definedName>
    <definedName name="fdgfyhygfuj" localSheetId="9">{#N/A,#N/A,FALSE,"Plan1";#N/A,#N/A,FALSE,"Plan2"}</definedName>
    <definedName name="fdgfyhygfuj" localSheetId="10" hidden="1">{#N/A,#N/A,FALSE,"Plan1";#N/A,#N/A,FALSE,"Plan2"}</definedName>
    <definedName name="fdgfyhygfuj" localSheetId="1" hidden="1">{#N/A,#N/A,FALSE,"Plan1";#N/A,#N/A,FALSE,"Plan2"}</definedName>
    <definedName name="fdgfyhygfuj" localSheetId="0">{#N/A,#N/A,FALSE,"Plan1";#N/A,#N/A,FALSE,"Plan2"}</definedName>
    <definedName name="fdgfyhygfuj" localSheetId="11" hidden="1">{#N/A,#N/A,FALSE,"Plan1";#N/A,#N/A,FALSE,"Plan2"}</definedName>
    <definedName name="fdgfyhygfuj" localSheetId="12" hidden="1">{#N/A,#N/A,FALSE,"Plan1";#N/A,#N/A,FALSE,"Plan2"}</definedName>
    <definedName name="fdgfyhygfuj" hidden="1">{#N/A,#N/A,FALSE,"Plan1";#N/A,#N/A,FALSE,"Plan2"}</definedName>
    <definedName name="fdhgfdf" localSheetId="3" hidden="1">{#N/A,#N/A,FALSE,"Plan1";#N/A,#N/A,FALSE,"Plan2"}</definedName>
    <definedName name="fdhgfdf" localSheetId="8">{#N/A,#N/A,FALSE,"Plan1";#N/A,#N/A,FALSE,"Plan2"}</definedName>
    <definedName name="fdhgfdf" localSheetId="5" hidden="1">{#N/A,#N/A,FALSE,"Plan1";#N/A,#N/A,FALSE,"Plan2"}</definedName>
    <definedName name="fdhgfdf" localSheetId="4" hidden="1">{#N/A,#N/A,FALSE,"Plan1";#N/A,#N/A,FALSE,"Plan2"}</definedName>
    <definedName name="fdhgfdf" localSheetId="9">{#N/A,#N/A,FALSE,"Plan1";#N/A,#N/A,FALSE,"Plan2"}</definedName>
    <definedName name="fdhgfdf" localSheetId="10" hidden="1">{#N/A,#N/A,FALSE,"Plan1";#N/A,#N/A,FALSE,"Plan2"}</definedName>
    <definedName name="fdhgfdf" localSheetId="1" hidden="1">{#N/A,#N/A,FALSE,"Plan1";#N/A,#N/A,FALSE,"Plan2"}</definedName>
    <definedName name="fdhgfdf" localSheetId="0">{#N/A,#N/A,FALSE,"Plan1";#N/A,#N/A,FALSE,"Plan2"}</definedName>
    <definedName name="fdhgfdf" localSheetId="11" hidden="1">{#N/A,#N/A,FALSE,"Plan1";#N/A,#N/A,FALSE,"Plan2"}</definedName>
    <definedName name="fdhgfdf" localSheetId="12" hidden="1">{#N/A,#N/A,FALSE,"Plan1";#N/A,#N/A,FALSE,"Plan2"}</definedName>
    <definedName name="fdhgfdf" hidden="1">{#N/A,#N/A,FALSE,"Plan1";#N/A,#N/A,FALSE,"Plan2"}</definedName>
    <definedName name="fdjfgdfjg" localSheetId="3" hidden="1">{#N/A,#N/A,FALSE,"Plan1";#N/A,#N/A,FALSE,"Plan2"}</definedName>
    <definedName name="fdjfgdfjg" localSheetId="8">{#N/A,#N/A,FALSE,"Plan1";#N/A,#N/A,FALSE,"Plan2"}</definedName>
    <definedName name="fdjfgdfjg" localSheetId="5" hidden="1">{#N/A,#N/A,FALSE,"Plan1";#N/A,#N/A,FALSE,"Plan2"}</definedName>
    <definedName name="fdjfgdfjg" localSheetId="4" hidden="1">{#N/A,#N/A,FALSE,"Plan1";#N/A,#N/A,FALSE,"Plan2"}</definedName>
    <definedName name="fdjfgdfjg" localSheetId="9">{#N/A,#N/A,FALSE,"Plan1";#N/A,#N/A,FALSE,"Plan2"}</definedName>
    <definedName name="fdjfgdfjg" localSheetId="10" hidden="1">{#N/A,#N/A,FALSE,"Plan1";#N/A,#N/A,FALSE,"Plan2"}</definedName>
    <definedName name="fdjfgdfjg" localSheetId="1" hidden="1">{#N/A,#N/A,FALSE,"Plan1";#N/A,#N/A,FALSE,"Plan2"}</definedName>
    <definedName name="fdjfgdfjg" localSheetId="0">{#N/A,#N/A,FALSE,"Plan1";#N/A,#N/A,FALSE,"Plan2"}</definedName>
    <definedName name="fdjfgdfjg" localSheetId="11" hidden="1">{#N/A,#N/A,FALSE,"Plan1";#N/A,#N/A,FALSE,"Plan2"}</definedName>
    <definedName name="fdjfgdfjg" localSheetId="12" hidden="1">{#N/A,#N/A,FALSE,"Plan1";#N/A,#N/A,FALSE,"Plan2"}</definedName>
    <definedName name="fdjfgdfjg" hidden="1">{#N/A,#N/A,FALSE,"Plan1";#N/A,#N/A,FALSE,"Plan2"}</definedName>
    <definedName name="fdjghkshtygt" localSheetId="3" hidden="1">{#N/A,#N/A,FALSE,"Plan1";#N/A,#N/A,FALSE,"Plan2"}</definedName>
    <definedName name="fdjghkshtygt" localSheetId="8">{#N/A,#N/A,FALSE,"Plan1";#N/A,#N/A,FALSE,"Plan2"}</definedName>
    <definedName name="fdjghkshtygt" localSheetId="5" hidden="1">{#N/A,#N/A,FALSE,"Plan1";#N/A,#N/A,FALSE,"Plan2"}</definedName>
    <definedName name="fdjghkshtygt" localSheetId="4" hidden="1">{#N/A,#N/A,FALSE,"Plan1";#N/A,#N/A,FALSE,"Plan2"}</definedName>
    <definedName name="fdjghkshtygt" localSheetId="9">{#N/A,#N/A,FALSE,"Plan1";#N/A,#N/A,FALSE,"Plan2"}</definedName>
    <definedName name="fdjghkshtygt" localSheetId="10" hidden="1">{#N/A,#N/A,FALSE,"Plan1";#N/A,#N/A,FALSE,"Plan2"}</definedName>
    <definedName name="fdjghkshtygt" localSheetId="1" hidden="1">{#N/A,#N/A,FALSE,"Plan1";#N/A,#N/A,FALSE,"Plan2"}</definedName>
    <definedName name="fdjghkshtygt" localSheetId="0">{#N/A,#N/A,FALSE,"Plan1";#N/A,#N/A,FALSE,"Plan2"}</definedName>
    <definedName name="fdjghkshtygt" localSheetId="11" hidden="1">{#N/A,#N/A,FALSE,"Plan1";#N/A,#N/A,FALSE,"Plan2"}</definedName>
    <definedName name="fdjghkshtygt" localSheetId="12" hidden="1">{#N/A,#N/A,FALSE,"Plan1";#N/A,#N/A,FALSE,"Plan2"}</definedName>
    <definedName name="fdjghkshtygt" hidden="1">{#N/A,#N/A,FALSE,"Plan1";#N/A,#N/A,FALSE,"Plan2"}</definedName>
    <definedName name="fdnhgf" localSheetId="3" hidden="1">{"'Estimativa de Lançamento-JAN'!$A$1:$AI$85"}</definedName>
    <definedName name="fdnhgf" localSheetId="8">{"'Estimativa de Lançamento-JAN'!$A$1:$AI$85"}</definedName>
    <definedName name="fdnhgf" localSheetId="5" hidden="1">{"'Estimativa de Lançamento-JAN'!$A$1:$AI$85"}</definedName>
    <definedName name="fdnhgf" localSheetId="4" hidden="1">{"'Estimativa de Lançamento-JAN'!$A$1:$AI$85"}</definedName>
    <definedName name="fdnhgf" localSheetId="9">{"'Estimativa de Lançamento-JAN'!$A$1:$AI$85"}</definedName>
    <definedName name="fdnhgf" localSheetId="10" hidden="1">{"'Estimativa de Lançamento-JAN'!$A$1:$AI$85"}</definedName>
    <definedName name="fdnhgf" localSheetId="1" hidden="1">{"'Estimativa de Lançamento-JAN'!$A$1:$AI$85"}</definedName>
    <definedName name="fdnhgf" localSheetId="0">{"'Estimativa de Lançamento-JAN'!$A$1:$AI$85"}</definedName>
    <definedName name="fdnhgf" localSheetId="11" hidden="1">{"'Estimativa de Lançamento-JAN'!$A$1:$AI$85"}</definedName>
    <definedName name="fdnhgf" localSheetId="12" hidden="1">{"'Estimativa de Lançamento-JAN'!$A$1:$AI$85"}</definedName>
    <definedName name="fdnhgf" hidden="1">{"'Estimativa de Lançamento-JAN'!$A$1:$AI$85"}</definedName>
    <definedName name="fdsf" localSheetId="3" hidden="1">{#N/A,#N/A,FALSE,"Plan1";#N/A,#N/A,FALSE,"Plan2"}</definedName>
    <definedName name="fdsf" localSheetId="8">{#N/A,#N/A,FALSE,"Plan1";#N/A,#N/A,FALSE,"Plan2"}</definedName>
    <definedName name="fdsf" localSheetId="5" hidden="1">{#N/A,#N/A,FALSE,"Plan1";#N/A,#N/A,FALSE,"Plan2"}</definedName>
    <definedName name="fdsf" localSheetId="4" hidden="1">{#N/A,#N/A,FALSE,"Plan1";#N/A,#N/A,FALSE,"Plan2"}</definedName>
    <definedName name="fdsf" localSheetId="9">{#N/A,#N/A,FALSE,"Plan1";#N/A,#N/A,FALSE,"Plan2"}</definedName>
    <definedName name="fdsf" localSheetId="10" hidden="1">{#N/A,#N/A,FALSE,"Plan1";#N/A,#N/A,FALSE,"Plan2"}</definedName>
    <definedName name="fdsf" localSheetId="1" hidden="1">{#N/A,#N/A,FALSE,"Plan1";#N/A,#N/A,FALSE,"Plan2"}</definedName>
    <definedName name="fdsf" localSheetId="0">{#N/A,#N/A,FALSE,"Plan1";#N/A,#N/A,FALSE,"Plan2"}</definedName>
    <definedName name="fdsf" localSheetId="11" hidden="1">{#N/A,#N/A,FALSE,"Plan1";#N/A,#N/A,FALSE,"Plan2"}</definedName>
    <definedName name="fdsf" localSheetId="12" hidden="1">{#N/A,#N/A,FALSE,"Plan1";#N/A,#N/A,FALSE,"Plan2"}</definedName>
    <definedName name="fdsf" hidden="1">{#N/A,#N/A,FALSE,"Plan1";#N/A,#N/A,FALSE,"Plan2"}</definedName>
    <definedName name="FE" localSheetId="8">#REF!</definedName>
    <definedName name="FE" localSheetId="5">#REF!</definedName>
    <definedName name="FE" localSheetId="9">#REF!</definedName>
    <definedName name="FE" localSheetId="10">#REF!</definedName>
    <definedName name="FE" localSheetId="0">#REF!</definedName>
    <definedName name="FE" localSheetId="11">#REF!</definedName>
    <definedName name="FE" localSheetId="12">#REF!</definedName>
    <definedName name="FE">#REF!</definedName>
    <definedName name="fefefefe" localSheetId="8">#REF!</definedName>
    <definedName name="fefefefe" localSheetId="5">#REF!</definedName>
    <definedName name="fefefefe" localSheetId="9">#REF!</definedName>
    <definedName name="fefefefe" localSheetId="10">#REF!</definedName>
    <definedName name="fefefefe" localSheetId="0">#REF!</definedName>
    <definedName name="fefefefe" localSheetId="11">#REF!</definedName>
    <definedName name="fefefefe" localSheetId="12">#REF!</definedName>
    <definedName name="fefefefe">#REF!</definedName>
    <definedName name="FER" localSheetId="8">#REF!</definedName>
    <definedName name="FER" localSheetId="9">#REF!</definedName>
    <definedName name="FER" localSheetId="10" hidden="1">#REF!</definedName>
    <definedName name="FER" localSheetId="1" hidden="1">#REF!</definedName>
    <definedName name="FER" localSheetId="0">#REF!</definedName>
    <definedName name="FER" localSheetId="11" hidden="1">#REF!</definedName>
    <definedName name="FER" localSheetId="12" hidden="1">#REF!</definedName>
    <definedName name="FER" hidden="1">#REF!</definedName>
    <definedName name="fev17RJ" localSheetId="8">#REF!</definedName>
    <definedName name="fev17RJ" localSheetId="5">#REF!</definedName>
    <definedName name="fev17RJ" localSheetId="10">#REF!</definedName>
    <definedName name="fev17RJ" localSheetId="11">#REF!</definedName>
    <definedName name="fev17RJ" localSheetId="12">#REF!</definedName>
    <definedName name="fev17RJ">#REF!</definedName>
    <definedName name="FEVEREIRO2001" localSheetId="8">#REF!</definedName>
    <definedName name="FEVEREIRO2001" localSheetId="5">#REF!</definedName>
    <definedName name="FEVEREIRO2001" localSheetId="10">#REF!</definedName>
    <definedName name="FEVEREIRO2001" localSheetId="11">#REF!</definedName>
    <definedName name="FEVEREIRO2001" localSheetId="12">#REF!</definedName>
    <definedName name="FEVEREIRO2001">#REF!</definedName>
    <definedName name="ff" localSheetId="8">#REF!</definedName>
    <definedName name="ff" localSheetId="5">#REF!</definedName>
    <definedName name="ff" localSheetId="10">#REF!</definedName>
    <definedName name="ff" localSheetId="11">#REF!</definedName>
    <definedName name="ff" localSheetId="12">#REF!</definedName>
    <definedName name="ff">#REF!</definedName>
    <definedName name="fffefes" localSheetId="8">#REF!</definedName>
    <definedName name="fffefes" localSheetId="5">#REF!</definedName>
    <definedName name="fffefes" localSheetId="10">#REF!</definedName>
    <definedName name="fffefes" localSheetId="11">#REF!</definedName>
    <definedName name="fffefes" localSheetId="12">#REF!</definedName>
    <definedName name="fffefes">#REF!</definedName>
    <definedName name="fffff" localSheetId="3" hidden="1">{#N/A,#N/A,FALSE,"Plan1";#N/A,#N/A,FALSE,"Plan2"}</definedName>
    <definedName name="fffff" localSheetId="8">{#N/A,#N/A,FALSE,"Plan1";#N/A,#N/A,FALSE,"Plan2"}</definedName>
    <definedName name="fffff" localSheetId="5" hidden="1">{#N/A,#N/A,FALSE,"Plan1";#N/A,#N/A,FALSE,"Plan2"}</definedName>
    <definedName name="fffff" localSheetId="4" hidden="1">{#N/A,#N/A,FALSE,"Plan1";#N/A,#N/A,FALSE,"Plan2"}</definedName>
    <definedName name="fffff" localSheetId="9">{#N/A,#N/A,FALSE,"Plan1";#N/A,#N/A,FALSE,"Plan2"}</definedName>
    <definedName name="fffff" localSheetId="10" hidden="1">{#N/A,#N/A,FALSE,"Plan1";#N/A,#N/A,FALSE,"Plan2"}</definedName>
    <definedName name="fffff" localSheetId="1" hidden="1">{#N/A,#N/A,FALSE,"Plan1";#N/A,#N/A,FALSE,"Plan2"}</definedName>
    <definedName name="fffff" localSheetId="0">{#N/A,#N/A,FALSE,"Plan1";#N/A,#N/A,FALSE,"Plan2"}</definedName>
    <definedName name="fffff" localSheetId="11" hidden="1">{#N/A,#N/A,FALSE,"Plan1";#N/A,#N/A,FALSE,"Plan2"}</definedName>
    <definedName name="fffff" localSheetId="12" hidden="1">{#N/A,#N/A,FALSE,"Plan1";#N/A,#N/A,FALSE,"Plan2"}</definedName>
    <definedName name="fffff" hidden="1">{#N/A,#N/A,FALSE,"Plan1";#N/A,#N/A,FALSE,"Plan2"}</definedName>
    <definedName name="FFFFFFF" localSheetId="8">#REF!</definedName>
    <definedName name="FFFFFFF" localSheetId="5">#REF!</definedName>
    <definedName name="FFFFFFF" localSheetId="9">#REF!</definedName>
    <definedName name="FFFFFFF" localSheetId="10">#REF!</definedName>
    <definedName name="FFFFFFF" localSheetId="1">#REF!</definedName>
    <definedName name="FFFFFFF" localSheetId="0">#REF!</definedName>
    <definedName name="FFFFFFF" localSheetId="11">#REF!</definedName>
    <definedName name="FFFFFFF" localSheetId="12">#REF!</definedName>
    <definedName name="FFFFFFF">#REF!</definedName>
    <definedName name="FFTY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g" localSheetId="3" hidden="1">{#N/A,#N/A,FALSE,"Plan1";#N/A,#N/A,FALSE,"Plan2"}</definedName>
    <definedName name="fg" localSheetId="8">{#N/A,#N/A,FALSE,"Plan1";#N/A,#N/A,FALSE,"Plan2"}</definedName>
    <definedName name="fg" localSheetId="5" hidden="1">{#N/A,#N/A,FALSE,"Plan1";#N/A,#N/A,FALSE,"Plan2"}</definedName>
    <definedName name="fg" localSheetId="4" hidden="1">{#N/A,#N/A,FALSE,"Plan1";#N/A,#N/A,FALSE,"Plan2"}</definedName>
    <definedName name="fg" localSheetId="9">{#N/A,#N/A,FALSE,"Plan1";#N/A,#N/A,FALSE,"Plan2"}</definedName>
    <definedName name="fg" localSheetId="10" hidden="1">{#N/A,#N/A,FALSE,"Plan1";#N/A,#N/A,FALSE,"Plan2"}</definedName>
    <definedName name="fg" localSheetId="1" hidden="1">{#N/A,#N/A,FALSE,"Plan1";#N/A,#N/A,FALSE,"Plan2"}</definedName>
    <definedName name="fg" localSheetId="0">{#N/A,#N/A,FALSE,"Plan1";#N/A,#N/A,FALSE,"Plan2"}</definedName>
    <definedName name="fg" localSheetId="11" hidden="1">{#N/A,#N/A,FALSE,"Plan1";#N/A,#N/A,FALSE,"Plan2"}</definedName>
    <definedName name="fg" localSheetId="12" hidden="1">{#N/A,#N/A,FALSE,"Plan1";#N/A,#N/A,FALSE,"Plan2"}</definedName>
    <definedName name="fg" hidden="1">{#N/A,#N/A,FALSE,"Plan1";#N/A,#N/A,FALSE,"Plan2"}</definedName>
    <definedName name="fgg" localSheetId="3" hidden="1">{"'장비'!$A$3:$M$12"}</definedName>
    <definedName name="fgg" localSheetId="8">{"'장비'!$A$3:$M$12"}</definedName>
    <definedName name="fgg" localSheetId="5" hidden="1">{"'장비'!$A$3:$M$12"}</definedName>
    <definedName name="fgg" localSheetId="4" hidden="1">{"'장비'!$A$3:$M$12"}</definedName>
    <definedName name="fgg" localSheetId="9">{"'장비'!$A$3:$M$12"}</definedName>
    <definedName name="fgg" localSheetId="10" hidden="1">{"'장비'!$A$3:$M$12"}</definedName>
    <definedName name="fgg" localSheetId="1" hidden="1">{"'장비'!$A$3:$M$12"}</definedName>
    <definedName name="fgg" localSheetId="0">{"'장비'!$A$3:$M$12"}</definedName>
    <definedName name="fgg" localSheetId="11" hidden="1">{"'장비'!$A$3:$M$12"}</definedName>
    <definedName name="fgg" localSheetId="12" hidden="1">{"'장비'!$A$3:$M$12"}</definedName>
    <definedName name="fgg" hidden="1">{"'장비'!$A$3:$M$12"}</definedName>
    <definedName name="fghfh" localSheetId="3" hidden="1">{"'Estimativa de Lançamento-JAN'!$A$1:$AI$85"}</definedName>
    <definedName name="fghfh" localSheetId="8">{"'Estimativa de Lançamento-JAN'!$A$1:$AI$85"}</definedName>
    <definedName name="fghfh" localSheetId="5" hidden="1">{"'Estimativa de Lançamento-JAN'!$A$1:$AI$85"}</definedName>
    <definedName name="fghfh" localSheetId="4" hidden="1">{"'Estimativa de Lançamento-JAN'!$A$1:$AI$85"}</definedName>
    <definedName name="fghfh" localSheetId="9">{"'Estimativa de Lançamento-JAN'!$A$1:$AI$85"}</definedName>
    <definedName name="fghfh" localSheetId="10" hidden="1">{"'Estimativa de Lançamento-JAN'!$A$1:$AI$85"}</definedName>
    <definedName name="fghfh" localSheetId="1" hidden="1">{"'Estimativa de Lançamento-JAN'!$A$1:$AI$85"}</definedName>
    <definedName name="fghfh" localSheetId="0">{"'Estimativa de Lançamento-JAN'!$A$1:$AI$85"}</definedName>
    <definedName name="fghfh" localSheetId="11" hidden="1">{"'Estimativa de Lançamento-JAN'!$A$1:$AI$85"}</definedName>
    <definedName name="fghfh" localSheetId="12" hidden="1">{"'Estimativa de Lançamento-JAN'!$A$1:$AI$85"}</definedName>
    <definedName name="fghfh" hidden="1">{"'Estimativa de Lançamento-JAN'!$A$1:$AI$85"}</definedName>
    <definedName name="fghgfh" localSheetId="3" hidden="1">{#N/A,#N/A,FALSE,"Plan1";#N/A,#N/A,FALSE,"Plan2"}</definedName>
    <definedName name="fghgfh" localSheetId="8">{#N/A,#N/A,FALSE,"Plan1";#N/A,#N/A,FALSE,"Plan2"}</definedName>
    <definedName name="fghgfh" localSheetId="5" hidden="1">{#N/A,#N/A,FALSE,"Plan1";#N/A,#N/A,FALSE,"Plan2"}</definedName>
    <definedName name="fghgfh" localSheetId="4" hidden="1">{#N/A,#N/A,FALSE,"Plan1";#N/A,#N/A,FALSE,"Plan2"}</definedName>
    <definedName name="fghgfh" localSheetId="9">{#N/A,#N/A,FALSE,"Plan1";#N/A,#N/A,FALSE,"Plan2"}</definedName>
    <definedName name="fghgfh" localSheetId="10" hidden="1">{#N/A,#N/A,FALSE,"Plan1";#N/A,#N/A,FALSE,"Plan2"}</definedName>
    <definedName name="fghgfh" localSheetId="1" hidden="1">{#N/A,#N/A,FALSE,"Plan1";#N/A,#N/A,FALSE,"Plan2"}</definedName>
    <definedName name="fghgfh" localSheetId="0">{#N/A,#N/A,FALSE,"Plan1";#N/A,#N/A,FALSE,"Plan2"}</definedName>
    <definedName name="fghgfh" localSheetId="11" hidden="1">{#N/A,#N/A,FALSE,"Plan1";#N/A,#N/A,FALSE,"Plan2"}</definedName>
    <definedName name="fghgfh" localSheetId="12" hidden="1">{#N/A,#N/A,FALSE,"Plan1";#N/A,#N/A,FALSE,"Plan2"}</definedName>
    <definedName name="fghgfh" hidden="1">{#N/A,#N/A,FALSE,"Plan1";#N/A,#N/A,FALSE,"Plan2"}</definedName>
    <definedName name="FGJHFGK" localSheetId="3" hidden="1">{#N/A,#N/A,FALSE,"Plan1";#N/A,#N/A,FALSE,"Plan2"}</definedName>
    <definedName name="FGJHFGK" localSheetId="8">{#N/A,#N/A,FALSE,"Plan1";#N/A,#N/A,FALSE,"Plan2"}</definedName>
    <definedName name="FGJHFGK" localSheetId="5" hidden="1">{#N/A,#N/A,FALSE,"Plan1";#N/A,#N/A,FALSE,"Plan2"}</definedName>
    <definedName name="FGJHFGK" localSheetId="4" hidden="1">{#N/A,#N/A,FALSE,"Plan1";#N/A,#N/A,FALSE,"Plan2"}</definedName>
    <definedName name="FGJHFGK" localSheetId="9">{#N/A,#N/A,FALSE,"Plan1";#N/A,#N/A,FALSE,"Plan2"}</definedName>
    <definedName name="FGJHFGK" localSheetId="10" hidden="1">{#N/A,#N/A,FALSE,"Plan1";#N/A,#N/A,FALSE,"Plan2"}</definedName>
    <definedName name="FGJHFGK" localSheetId="1" hidden="1">{#N/A,#N/A,FALSE,"Plan1";#N/A,#N/A,FALSE,"Plan2"}</definedName>
    <definedName name="FGJHFGK" localSheetId="0">{#N/A,#N/A,FALSE,"Plan1";#N/A,#N/A,FALSE,"Plan2"}</definedName>
    <definedName name="FGJHFGK" localSheetId="11" hidden="1">{#N/A,#N/A,FALSE,"Plan1";#N/A,#N/A,FALSE,"Plan2"}</definedName>
    <definedName name="FGJHFGK" localSheetId="12" hidden="1">{#N/A,#N/A,FALSE,"Plan1";#N/A,#N/A,FALSE,"Plan2"}</definedName>
    <definedName name="FGJHFGK" hidden="1">{#N/A,#N/A,FALSE,"Plan1";#N/A,#N/A,FALSE,"Plan2"}</definedName>
    <definedName name="fgktyhd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ktyhd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gtrgty" localSheetId="3" hidden="1">{#N/A,#N/A,FALSE,"Plan1";#N/A,#N/A,FALSE,"Plan2"}</definedName>
    <definedName name="fgtrgty" localSheetId="8">{#N/A,#N/A,FALSE,"Plan1";#N/A,#N/A,FALSE,"Plan2"}</definedName>
    <definedName name="fgtrgty" localSheetId="5" hidden="1">{#N/A,#N/A,FALSE,"Plan1";#N/A,#N/A,FALSE,"Plan2"}</definedName>
    <definedName name="fgtrgty" localSheetId="4" hidden="1">{#N/A,#N/A,FALSE,"Plan1";#N/A,#N/A,FALSE,"Plan2"}</definedName>
    <definedName name="fgtrgty" localSheetId="9">{#N/A,#N/A,FALSE,"Plan1";#N/A,#N/A,FALSE,"Plan2"}</definedName>
    <definedName name="fgtrgty" localSheetId="10" hidden="1">{#N/A,#N/A,FALSE,"Plan1";#N/A,#N/A,FALSE,"Plan2"}</definedName>
    <definedName name="fgtrgty" localSheetId="1" hidden="1">{#N/A,#N/A,FALSE,"Plan1";#N/A,#N/A,FALSE,"Plan2"}</definedName>
    <definedName name="fgtrgty" localSheetId="0">{#N/A,#N/A,FALSE,"Plan1";#N/A,#N/A,FALSE,"Plan2"}</definedName>
    <definedName name="fgtrgty" localSheetId="11" hidden="1">{#N/A,#N/A,FALSE,"Plan1";#N/A,#N/A,FALSE,"Plan2"}</definedName>
    <definedName name="fgtrgty" localSheetId="12" hidden="1">{#N/A,#N/A,FALSE,"Plan1";#N/A,#N/A,FALSE,"Plan2"}</definedName>
    <definedName name="fgtrgty" hidden="1">{#N/A,#N/A,FALSE,"Plan1";#N/A,#N/A,FALSE,"Plan2"}</definedName>
    <definedName name="fgty" localSheetId="8">#REF!</definedName>
    <definedName name="fgty" localSheetId="5" hidden="1">#REF!</definedName>
    <definedName name="fgty" localSheetId="9">#REF!</definedName>
    <definedName name="fgty" localSheetId="10" hidden="1">#REF!</definedName>
    <definedName name="fgty" localSheetId="1" hidden="1">#REF!</definedName>
    <definedName name="fgty" localSheetId="0">#REF!</definedName>
    <definedName name="fgty" localSheetId="11" hidden="1">#REF!</definedName>
    <definedName name="fgty" localSheetId="12" hidden="1">#REF!</definedName>
    <definedName name="fgty" hidden="1">#REF!</definedName>
    <definedName name="fhgjfgyt" localSheetId="3" hidden="1">{#N/A,#N/A,FALSE,"Plan1";#N/A,#N/A,FALSE,"Plan2"}</definedName>
    <definedName name="fhgjfgyt" localSheetId="8">{#N/A,#N/A,FALSE,"Plan1";#N/A,#N/A,FALSE,"Plan2"}</definedName>
    <definedName name="fhgjfgyt" localSheetId="5" hidden="1">{#N/A,#N/A,FALSE,"Plan1";#N/A,#N/A,FALSE,"Plan2"}</definedName>
    <definedName name="fhgjfgyt" localSheetId="4" hidden="1">{#N/A,#N/A,FALSE,"Plan1";#N/A,#N/A,FALSE,"Plan2"}</definedName>
    <definedName name="fhgjfgyt" localSheetId="9">{#N/A,#N/A,FALSE,"Plan1";#N/A,#N/A,FALSE,"Plan2"}</definedName>
    <definedName name="fhgjfgyt" localSheetId="10" hidden="1">{#N/A,#N/A,FALSE,"Plan1";#N/A,#N/A,FALSE,"Plan2"}</definedName>
    <definedName name="fhgjfgyt" localSheetId="1" hidden="1">{#N/A,#N/A,FALSE,"Plan1";#N/A,#N/A,FALSE,"Plan2"}</definedName>
    <definedName name="fhgjfgyt" localSheetId="0">{#N/A,#N/A,FALSE,"Plan1";#N/A,#N/A,FALSE,"Plan2"}</definedName>
    <definedName name="fhgjfgyt" localSheetId="11" hidden="1">{#N/A,#N/A,FALSE,"Plan1";#N/A,#N/A,FALSE,"Plan2"}</definedName>
    <definedName name="fhgjfgyt" localSheetId="12" hidden="1">{#N/A,#N/A,FALSE,"Plan1";#N/A,#N/A,FALSE,"Plan2"}</definedName>
    <definedName name="fhgjfgyt" hidden="1">{#N/A,#N/A,FALSE,"Plan1";#N/A,#N/A,FALSE,"Plan2"}</definedName>
    <definedName name="fhgjkhtrfg" localSheetId="3" hidden="1">{#N/A,#N/A,FALSE,"Plan1";#N/A,#N/A,FALSE,"Plan2"}</definedName>
    <definedName name="fhgjkhtrfg" localSheetId="8">{#N/A,#N/A,FALSE,"Plan1";#N/A,#N/A,FALSE,"Plan2"}</definedName>
    <definedName name="fhgjkhtrfg" localSheetId="5" hidden="1">{#N/A,#N/A,FALSE,"Plan1";#N/A,#N/A,FALSE,"Plan2"}</definedName>
    <definedName name="fhgjkhtrfg" localSheetId="4" hidden="1">{#N/A,#N/A,FALSE,"Plan1";#N/A,#N/A,FALSE,"Plan2"}</definedName>
    <definedName name="fhgjkhtrfg" localSheetId="9">{#N/A,#N/A,FALSE,"Plan1";#N/A,#N/A,FALSE,"Plan2"}</definedName>
    <definedName name="fhgjkhtrfg" localSheetId="10" hidden="1">{#N/A,#N/A,FALSE,"Plan1";#N/A,#N/A,FALSE,"Plan2"}</definedName>
    <definedName name="fhgjkhtrfg" localSheetId="1" hidden="1">{#N/A,#N/A,FALSE,"Plan1";#N/A,#N/A,FALSE,"Plan2"}</definedName>
    <definedName name="fhgjkhtrfg" localSheetId="0">{#N/A,#N/A,FALSE,"Plan1";#N/A,#N/A,FALSE,"Plan2"}</definedName>
    <definedName name="fhgjkhtrfg" localSheetId="11" hidden="1">{#N/A,#N/A,FALSE,"Plan1";#N/A,#N/A,FALSE,"Plan2"}</definedName>
    <definedName name="fhgjkhtrfg" localSheetId="12" hidden="1">{#N/A,#N/A,FALSE,"Plan1";#N/A,#N/A,FALSE,"Plan2"}</definedName>
    <definedName name="fhgjkhtrfg" hidden="1">{#N/A,#N/A,FALSE,"Plan1";#N/A,#N/A,FALSE,"Plan2"}</definedName>
    <definedName name="FHGTGSRSG" localSheetId="3" hidden="1">{#N/A,#N/A,FALSE,"Plan1";#N/A,#N/A,FALSE,"Plan2"}</definedName>
    <definedName name="FHGTGSRSG" localSheetId="8">{#N/A,#N/A,FALSE,"Plan1";#N/A,#N/A,FALSE,"Plan2"}</definedName>
    <definedName name="FHGTGSRSG" localSheetId="5" hidden="1">{#N/A,#N/A,FALSE,"Plan1";#N/A,#N/A,FALSE,"Plan2"}</definedName>
    <definedName name="FHGTGSRSG" localSheetId="4" hidden="1">{#N/A,#N/A,FALSE,"Plan1";#N/A,#N/A,FALSE,"Plan2"}</definedName>
    <definedName name="FHGTGSRSG" localSheetId="9">{#N/A,#N/A,FALSE,"Plan1";#N/A,#N/A,FALSE,"Plan2"}</definedName>
    <definedName name="FHGTGSRSG" localSheetId="10" hidden="1">{#N/A,#N/A,FALSE,"Plan1";#N/A,#N/A,FALSE,"Plan2"}</definedName>
    <definedName name="FHGTGSRSG" localSheetId="1" hidden="1">{#N/A,#N/A,FALSE,"Plan1";#N/A,#N/A,FALSE,"Plan2"}</definedName>
    <definedName name="FHGTGSRSG" localSheetId="0">{#N/A,#N/A,FALSE,"Plan1";#N/A,#N/A,FALSE,"Plan2"}</definedName>
    <definedName name="FHGTGSRSG" localSheetId="11" hidden="1">{#N/A,#N/A,FALSE,"Plan1";#N/A,#N/A,FALSE,"Plan2"}</definedName>
    <definedName name="FHGTGSRSG" localSheetId="12" hidden="1">{#N/A,#N/A,FALSE,"Plan1";#N/A,#N/A,FALSE,"Plan2"}</definedName>
    <definedName name="FHGTGSRSG" hidden="1">{#N/A,#N/A,FALSE,"Plan1";#N/A,#N/A,FALSE,"Plan2"}</definedName>
    <definedName name="FIELD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ELD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ILTRO" localSheetId="3" hidden="1">{#N/A,#N/A,TRUE,"Quinzena 01 à 15-04-98 "}</definedName>
    <definedName name="FILTRO" localSheetId="8">{#N/A,#N/A,TRUE,"Quinzena 01 à 15-04-98 "}</definedName>
    <definedName name="FILTRO" localSheetId="5" hidden="1">{#N/A,#N/A,TRUE,"Quinzena 01 à 15-04-98 "}</definedName>
    <definedName name="FILTRO" localSheetId="4" hidden="1">{#N/A,#N/A,TRUE,"Quinzena 01 à 15-04-98 "}</definedName>
    <definedName name="FILTRO" localSheetId="9">{#N/A,#N/A,TRUE,"Quinzena 01 à 15-04-98 "}</definedName>
    <definedName name="FILTRO" localSheetId="10" hidden="1">{#N/A,#N/A,TRUE,"Quinzena 01 à 15-04-98 "}</definedName>
    <definedName name="FILTRO" localSheetId="1" hidden="1">{#N/A,#N/A,TRUE,"Quinzena 01 à 15-04-98 "}</definedName>
    <definedName name="FILTRO" localSheetId="0">{#N/A,#N/A,TRUE,"Quinzena 01 à 15-04-98 "}</definedName>
    <definedName name="FILTRO" localSheetId="11" hidden="1">{#N/A,#N/A,TRUE,"Quinzena 01 à 15-04-98 "}</definedName>
    <definedName name="FILTRO" localSheetId="12" hidden="1">{#N/A,#N/A,TRUE,"Quinzena 01 à 15-04-98 "}</definedName>
    <definedName name="FILTRO" hidden="1">{#N/A,#N/A,TRUE,"Quinzena 01 à 15-04-98 "}</definedName>
    <definedName name="Filtro_Rel_Sienge" localSheetId="8">#REF!</definedName>
    <definedName name="Filtro_Rel_Sienge" localSheetId="5">#REF!</definedName>
    <definedName name="Filtro_Rel_Sienge" localSheetId="9">#REF!</definedName>
    <definedName name="Filtro_Rel_Sienge" localSheetId="10">#REF!</definedName>
    <definedName name="Filtro_Rel_Sienge" localSheetId="0">#REF!</definedName>
    <definedName name="Filtro_Rel_Sienge" localSheetId="11">#REF!</definedName>
    <definedName name="Filtro_Rel_Sienge" localSheetId="12">#REF!</definedName>
    <definedName name="Filtro_Rel_Sienge">#REF!</definedName>
    <definedName name="Firs_hist" localSheetId="8">#REF!</definedName>
    <definedName name="Firs_hist" localSheetId="5">#REF!</definedName>
    <definedName name="Firs_hist" localSheetId="9">#REF!</definedName>
    <definedName name="Firs_hist" localSheetId="10">#REF!</definedName>
    <definedName name="Firs_hist" localSheetId="0">#REF!</definedName>
    <definedName name="Firs_hist" localSheetId="11">#REF!</definedName>
    <definedName name="Firs_hist" localSheetId="12">#REF!</definedName>
    <definedName name="Firs_hist">#REF!</definedName>
    <definedName name="First_cdi" localSheetId="8">#REF!</definedName>
    <definedName name="First_cdi" localSheetId="5">#REF!</definedName>
    <definedName name="First_cdi" localSheetId="9">#REF!</definedName>
    <definedName name="First_cdi" localSheetId="10">#REF!</definedName>
    <definedName name="First_cdi" localSheetId="0">#REF!</definedName>
    <definedName name="First_cdi" localSheetId="11">#REF!</definedName>
    <definedName name="First_cdi" localSheetId="12">#REF!</definedName>
    <definedName name="First_cdi">#REF!</definedName>
    <definedName name="First_uss" localSheetId="8">#REF!</definedName>
    <definedName name="First_uss" localSheetId="5">#REF!</definedName>
    <definedName name="First_uss" localSheetId="10">#REF!</definedName>
    <definedName name="First_uss" localSheetId="11">#REF!</definedName>
    <definedName name="First_uss" localSheetId="12">#REF!</definedName>
    <definedName name="First_uss">#REF!</definedName>
    <definedName name="fjdhfgjdhtgu" localSheetId="3" hidden="1">{#N/A,#N/A,FALSE,"Plan1";#N/A,#N/A,FALSE,"Plan2"}</definedName>
    <definedName name="fjdhfgjdhtgu" localSheetId="8">{#N/A,#N/A,FALSE,"Plan1";#N/A,#N/A,FALSE,"Plan2"}</definedName>
    <definedName name="fjdhfgjdhtgu" localSheetId="5" hidden="1">{#N/A,#N/A,FALSE,"Plan1";#N/A,#N/A,FALSE,"Plan2"}</definedName>
    <definedName name="fjdhfgjdhtgu" localSheetId="4" hidden="1">{#N/A,#N/A,FALSE,"Plan1";#N/A,#N/A,FALSE,"Plan2"}</definedName>
    <definedName name="fjdhfgjdhtgu" localSheetId="9">{#N/A,#N/A,FALSE,"Plan1";#N/A,#N/A,FALSE,"Plan2"}</definedName>
    <definedName name="fjdhfgjdhtgu" localSheetId="10" hidden="1">{#N/A,#N/A,FALSE,"Plan1";#N/A,#N/A,FALSE,"Plan2"}</definedName>
    <definedName name="fjdhfgjdhtgu" localSheetId="1" hidden="1">{#N/A,#N/A,FALSE,"Plan1";#N/A,#N/A,FALSE,"Plan2"}</definedName>
    <definedName name="fjdhfgjdhtgu" localSheetId="0">{#N/A,#N/A,FALSE,"Plan1";#N/A,#N/A,FALSE,"Plan2"}</definedName>
    <definedName name="fjdhfgjdhtgu" localSheetId="11" hidden="1">{#N/A,#N/A,FALSE,"Plan1";#N/A,#N/A,FALSE,"Plan2"}</definedName>
    <definedName name="fjdhfgjdhtgu" localSheetId="12" hidden="1">{#N/A,#N/A,FALSE,"Plan1";#N/A,#N/A,FALSE,"Plan2"}</definedName>
    <definedName name="fjdhfgjdhtgu" hidden="1">{#N/A,#N/A,FALSE,"Plan1";#N/A,#N/A,FALSE,"Plan2"}</definedName>
    <definedName name="fjfjg" localSheetId="3" hidden="1">{#N/A,#N/A,FALSE,"명세표"}</definedName>
    <definedName name="fjfjg" localSheetId="8">{#N/A,#N/A,FALSE,"명세표"}</definedName>
    <definedName name="fjfjg" localSheetId="5" hidden="1">{#N/A,#N/A,FALSE,"명세표"}</definedName>
    <definedName name="fjfjg" localSheetId="4" hidden="1">{#N/A,#N/A,FALSE,"명세표"}</definedName>
    <definedName name="fjfjg" localSheetId="9">{#N/A,#N/A,FALSE,"명세표"}</definedName>
    <definedName name="fjfjg" localSheetId="10" hidden="1">{#N/A,#N/A,FALSE,"명세표"}</definedName>
    <definedName name="fjfjg" localSheetId="1" hidden="1">{#N/A,#N/A,FALSE,"명세표"}</definedName>
    <definedName name="fjfjg" localSheetId="0">{#N/A,#N/A,FALSE,"명세표"}</definedName>
    <definedName name="fjfjg" localSheetId="11" hidden="1">{#N/A,#N/A,FALSE,"명세표"}</definedName>
    <definedName name="fjfjg" localSheetId="12" hidden="1">{#N/A,#N/A,FALSE,"명세표"}</definedName>
    <definedName name="fjfjg" hidden="1">{#N/A,#N/A,FALSE,"명세표"}</definedName>
    <definedName name="FJG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G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HJHG" localSheetId="3" hidden="1">{#N/A,#N/A,FALSE,"Plan1";#N/A,#N/A,FALSE,"Plan2"}</definedName>
    <definedName name="FJHJHG" localSheetId="8">{#N/A,#N/A,FALSE,"Plan1";#N/A,#N/A,FALSE,"Plan2"}</definedName>
    <definedName name="FJHJHG" localSheetId="5" hidden="1">{#N/A,#N/A,FALSE,"Plan1";#N/A,#N/A,FALSE,"Plan2"}</definedName>
    <definedName name="FJHJHG" localSheetId="4" hidden="1">{#N/A,#N/A,FALSE,"Plan1";#N/A,#N/A,FALSE,"Plan2"}</definedName>
    <definedName name="FJHJHG" localSheetId="9">{#N/A,#N/A,FALSE,"Plan1";#N/A,#N/A,FALSE,"Plan2"}</definedName>
    <definedName name="FJHJHG" localSheetId="10" hidden="1">{#N/A,#N/A,FALSE,"Plan1";#N/A,#N/A,FALSE,"Plan2"}</definedName>
    <definedName name="FJHJHG" localSheetId="1" hidden="1">{#N/A,#N/A,FALSE,"Plan1";#N/A,#N/A,FALSE,"Plan2"}</definedName>
    <definedName name="FJHJHG" localSheetId="0">{#N/A,#N/A,FALSE,"Plan1";#N/A,#N/A,FALSE,"Plan2"}</definedName>
    <definedName name="FJHJHG" localSheetId="11" hidden="1">{#N/A,#N/A,FALSE,"Plan1";#N/A,#N/A,FALSE,"Plan2"}</definedName>
    <definedName name="FJHJHG" localSheetId="12" hidden="1">{#N/A,#N/A,FALSE,"Plan1";#N/A,#N/A,FALSE,"Plan2"}</definedName>
    <definedName name="FJHJHG" hidden="1">{#N/A,#N/A,FALSE,"Plan1";#N/A,#N/A,FALSE,"Plan2"}</definedName>
    <definedName name="fjtgfh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jtgfh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FKF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kfw" localSheetId="3" hidden="1">{#N/A,#N/A,FALSE,"Plan1";#N/A,#N/A,FALSE,"Plan2"}</definedName>
    <definedName name="fkfw" localSheetId="8">{#N/A,#N/A,FALSE,"Plan1";#N/A,#N/A,FALSE,"Plan2"}</definedName>
    <definedName name="fkfw" localSheetId="5" hidden="1">{#N/A,#N/A,FALSE,"Plan1";#N/A,#N/A,FALSE,"Plan2"}</definedName>
    <definedName name="fkfw" localSheetId="4" hidden="1">{#N/A,#N/A,FALSE,"Plan1";#N/A,#N/A,FALSE,"Plan2"}</definedName>
    <definedName name="fkfw" localSheetId="9">{#N/A,#N/A,FALSE,"Plan1";#N/A,#N/A,FALSE,"Plan2"}</definedName>
    <definedName name="fkfw" localSheetId="10" hidden="1">{#N/A,#N/A,FALSE,"Plan1";#N/A,#N/A,FALSE,"Plan2"}</definedName>
    <definedName name="fkfw" localSheetId="1" hidden="1">{#N/A,#N/A,FALSE,"Plan1";#N/A,#N/A,FALSE,"Plan2"}</definedName>
    <definedName name="fkfw" localSheetId="0">{#N/A,#N/A,FALSE,"Plan1";#N/A,#N/A,FALSE,"Plan2"}</definedName>
    <definedName name="fkfw" localSheetId="11" hidden="1">{#N/A,#N/A,FALSE,"Plan1";#N/A,#N/A,FALSE,"Plan2"}</definedName>
    <definedName name="fkfw" localSheetId="12" hidden="1">{#N/A,#N/A,FALSE,"Plan1";#N/A,#N/A,FALSE,"Plan2"}</definedName>
    <definedName name="fkfw" hidden="1">{#N/A,#N/A,FALSE,"Plan1";#N/A,#N/A,FALSE,"Plan2"}</definedName>
    <definedName name="f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5">#REF!</definedName>
    <definedName name="f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9">#REF!</definedName>
    <definedName name="fl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0">#REF!</definedName>
    <definedName name="f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fl">#REF!</definedName>
    <definedName name="FL_1" localSheetId="8">#REF!</definedName>
    <definedName name="FL_1" localSheetId="5">#REF!</definedName>
    <definedName name="FL_1" localSheetId="9">#REF!</definedName>
    <definedName name="FL_1" localSheetId="10">#REF!</definedName>
    <definedName name="FL_1" localSheetId="0">#REF!</definedName>
    <definedName name="FL_1" localSheetId="11">#REF!</definedName>
    <definedName name="FL_1" localSheetId="12">#REF!</definedName>
    <definedName name="FL_1">#REF!</definedName>
    <definedName name="FL_2" localSheetId="8">#REF!</definedName>
    <definedName name="FL_2" localSheetId="5">#REF!</definedName>
    <definedName name="FL_2" localSheetId="9">#REF!</definedName>
    <definedName name="FL_2" localSheetId="10">#REF!</definedName>
    <definedName name="FL_2" localSheetId="0">#REF!</definedName>
    <definedName name="FL_2" localSheetId="11">#REF!</definedName>
    <definedName name="FL_2" localSheetId="12">#REF!</definedName>
    <definedName name="FL_2">#REF!</definedName>
    <definedName name="FL_3" localSheetId="8">#REF!</definedName>
    <definedName name="FL_3" localSheetId="5">#REF!</definedName>
    <definedName name="FL_3" localSheetId="10">#REF!</definedName>
    <definedName name="FL_3" localSheetId="11">#REF!</definedName>
    <definedName name="FL_3" localSheetId="12">#REF!</definedName>
    <definedName name="FL_3">#REF!</definedName>
    <definedName name="Fluxo_captação" localSheetId="8">#REF!</definedName>
    <definedName name="Fluxo_captação" localSheetId="5">#REF!</definedName>
    <definedName name="Fluxo_captação" localSheetId="10">#REF!</definedName>
    <definedName name="Fluxo_captação" localSheetId="11">#REF!</definedName>
    <definedName name="Fluxo_captação" localSheetId="12">#REF!</definedName>
    <definedName name="Fluxo_captação">#REF!</definedName>
    <definedName name="FOLHA2" localSheetId="8">#REF!</definedName>
    <definedName name="FOLHA2" localSheetId="5">#REF!</definedName>
    <definedName name="FOLHA2" localSheetId="10">#REF!</definedName>
    <definedName name="FOLHA2" localSheetId="11">#REF!</definedName>
    <definedName name="FOLHA2" localSheetId="12">#REF!</definedName>
    <definedName name="FOLHA2">#REF!</definedName>
    <definedName name="Format" localSheetId="8">#REF!</definedName>
    <definedName name="Format" localSheetId="5">#REF!</definedName>
    <definedName name="Format" localSheetId="10">#REF!</definedName>
    <definedName name="Format" localSheetId="11">#REF!</definedName>
    <definedName name="Format" localSheetId="12">#REF!</definedName>
    <definedName name="Format">#REF!</definedName>
    <definedName name="Formato_da_Loja" localSheetId="8">#REF!</definedName>
    <definedName name="Formato_da_Loja" localSheetId="5">#REF!</definedName>
    <definedName name="Formato_da_Loja" localSheetId="10">#REF!</definedName>
    <definedName name="Formato_da_Loja" localSheetId="11">#REF!</definedName>
    <definedName name="Formato_da_Loja" localSheetId="12">#REF!</definedName>
    <definedName name="Formato_da_Loja">#REF!</definedName>
    <definedName name="FORMULA" localSheetId="8">#REF!</definedName>
    <definedName name="FORMULA" localSheetId="5">#REF!</definedName>
    <definedName name="FORMULA" localSheetId="10">#REF!</definedName>
    <definedName name="FORMULA" localSheetId="11">#REF!</definedName>
    <definedName name="FORMULA" localSheetId="12">#REF!</definedName>
    <definedName name="FORMULA">#REF!</definedName>
    <definedName name="FORNECEDOR" localSheetId="8">OFFSET(#REF!,6,0,COUNTA(#REF!))</definedName>
    <definedName name="FORNECEDOR" localSheetId="5">OFFSET(#REF!,6,0,COUNTA(#REF!))</definedName>
    <definedName name="FORNECEDOR" localSheetId="9">OFFSET(#REF!,6,0,COUNTA(#REF!))</definedName>
    <definedName name="FORNECEDOR" localSheetId="10">OFFSET(#REF!,6,0,COUNTA(#REF!))</definedName>
    <definedName name="FORNECEDOR" localSheetId="0">OFFSET(#REF!,6,0,COUNTA(#REF!))</definedName>
    <definedName name="FORNECEDOR" localSheetId="11">OFFSET(#REF!,6,0,COUNTA(#REF!))</definedName>
    <definedName name="FORNECEDOR" localSheetId="12">OFFSET(#REF!,6,0,COUNTA(#REF!))</definedName>
    <definedName name="FORNECEDOR">OFFSET(#REF!,6,0,COUNTA(#REF!))</definedName>
    <definedName name="FORNECEDOR_2" localSheetId="8">OFFSET(#REF!,6,0,COUNTA(#REF!))</definedName>
    <definedName name="FORNECEDOR_2" localSheetId="5">OFFSET(#REF!,6,0,COUNTA(#REF!))</definedName>
    <definedName name="FORNECEDOR_2" localSheetId="10">OFFSET(#REF!,6,0,COUNTA(#REF!))</definedName>
    <definedName name="FORNECEDOR_2" localSheetId="11">OFFSET(#REF!,6,0,COUNTA(#REF!))</definedName>
    <definedName name="FORNECEDOR_2" localSheetId="12">OFFSET(#REF!,6,0,COUNTA(#REF!))</definedName>
    <definedName name="FORNECEDOR_2">OFFSET(#REF!,6,0,COUNTA(#REF!))</definedName>
    <definedName name="FORNECEDOR_3" localSheetId="8">OFFSET(#REF!,6,0,COUNTA(#REF!))</definedName>
    <definedName name="FORNECEDOR_3" localSheetId="5">OFFSET(#REF!,6,0,COUNTA(#REF!))</definedName>
    <definedName name="FORNECEDOR_3" localSheetId="10">OFFSET(#REF!,6,0,COUNTA(#REF!))</definedName>
    <definedName name="FORNECEDOR_3" localSheetId="11">OFFSET(#REF!,6,0,COUNTA(#REF!))</definedName>
    <definedName name="FORNECEDOR_3" localSheetId="12">OFFSET(#REF!,6,0,COUNTA(#REF!))</definedName>
    <definedName name="FORNECEDOR_3">OFFSET(#REF!,6,0,COUNTA(#REF!))</definedName>
    <definedName name="FORNECEDOR_4" localSheetId="8">OFFSET(#REF!,6,0,COUNTA(#REF!))</definedName>
    <definedName name="FORNECEDOR_4" localSheetId="5">OFFSET(#REF!,6,0,COUNTA(#REF!))</definedName>
    <definedName name="FORNECEDOR_4" localSheetId="10">OFFSET(#REF!,6,0,COUNTA(#REF!))</definedName>
    <definedName name="FORNECEDOR_4" localSheetId="11">OFFSET(#REF!,6,0,COUNTA(#REF!))</definedName>
    <definedName name="FORNECEDOR_4" localSheetId="12">OFFSET(#REF!,6,0,COUNTA(#REF!))</definedName>
    <definedName name="FORNECEDOR_4">OFFSET(#REF!,6,0,COUNTA(#REF!))</definedName>
    <definedName name="FORNECEDOR_5" localSheetId="8">OFFSET(#REF!,6,0,COUNTA(#REF!))</definedName>
    <definedName name="FORNECEDOR_5" localSheetId="5">OFFSET(#REF!,6,0,COUNTA(#REF!))</definedName>
    <definedName name="FORNECEDOR_5" localSheetId="10">OFFSET(#REF!,6,0,COUNTA(#REF!))</definedName>
    <definedName name="FORNECEDOR_5" localSheetId="11">OFFSET(#REF!,6,0,COUNTA(#REF!))</definedName>
    <definedName name="FORNECEDOR_5" localSheetId="12">OFFSET(#REF!,6,0,COUNTA(#REF!))</definedName>
    <definedName name="FORNECEDOR_5">OFFSET(#REF!,6,0,COUNTA(#REF!))</definedName>
    <definedName name="FORNECEDOR_7" localSheetId="8">OFFSET(#REF!,6,0,COUNTA(#REF!))</definedName>
    <definedName name="FORNECEDOR_7" localSheetId="5">OFFSET(#REF!,6,0,COUNTA(#REF!))</definedName>
    <definedName name="FORNECEDOR_7" localSheetId="10">OFFSET(#REF!,6,0,COUNTA(#REF!))</definedName>
    <definedName name="FORNECEDOR_7" localSheetId="11">OFFSET(#REF!,6,0,COUNTA(#REF!))</definedName>
    <definedName name="FORNECEDOR_7" localSheetId="12">OFFSET(#REF!,6,0,COUNTA(#REF!))</definedName>
    <definedName name="FORNECEDOR_7">OFFSET(#REF!,6,0,COUNTA(#REF!))</definedName>
    <definedName name="FORNECEDOR_8" localSheetId="8">OFFSET(#REF!,6,0,COUNTA(#REF!))</definedName>
    <definedName name="FORNECEDOR_8" localSheetId="5">OFFSET(#REF!,6,0,COUNTA(#REF!))</definedName>
    <definedName name="FORNECEDOR_8" localSheetId="10">OFFSET(#REF!,6,0,COUNTA(#REF!))</definedName>
    <definedName name="FORNECEDOR_8" localSheetId="11">OFFSET(#REF!,6,0,COUNTA(#REF!))</definedName>
    <definedName name="FORNECEDOR_8" localSheetId="12">OFFSET(#REF!,6,0,COUNTA(#REF!))</definedName>
    <definedName name="FORNECEDOR_8">OFFSET(#REF!,6,0,COUNTA(#REF!))</definedName>
    <definedName name="frçt4r" localSheetId="3" hidden="1">{#N/A,#N/A,FALSE,"Plan1";#N/A,#N/A,FALSE,"Plan2"}</definedName>
    <definedName name="frçt4r" localSheetId="8">{#N/A,#N/A,FALSE,"Plan1";#N/A,#N/A,FALSE,"Plan2"}</definedName>
    <definedName name="frçt4r" localSheetId="5" hidden="1">{#N/A,#N/A,FALSE,"Plan1";#N/A,#N/A,FALSE,"Plan2"}</definedName>
    <definedName name="frçt4r" localSheetId="4" hidden="1">{#N/A,#N/A,FALSE,"Plan1";#N/A,#N/A,FALSE,"Plan2"}</definedName>
    <definedName name="frçt4r" localSheetId="9">{#N/A,#N/A,FALSE,"Plan1";#N/A,#N/A,FALSE,"Plan2"}</definedName>
    <definedName name="frçt4r" localSheetId="10" hidden="1">{#N/A,#N/A,FALSE,"Plan1";#N/A,#N/A,FALSE,"Plan2"}</definedName>
    <definedName name="frçt4r" localSheetId="1" hidden="1">{#N/A,#N/A,FALSE,"Plan1";#N/A,#N/A,FALSE,"Plan2"}</definedName>
    <definedName name="frçt4r" localSheetId="0">{#N/A,#N/A,FALSE,"Plan1";#N/A,#N/A,FALSE,"Plan2"}</definedName>
    <definedName name="frçt4r" localSheetId="11" hidden="1">{#N/A,#N/A,FALSE,"Plan1";#N/A,#N/A,FALSE,"Plan2"}</definedName>
    <definedName name="frçt4r" localSheetId="12" hidden="1">{#N/A,#N/A,FALSE,"Plan1";#N/A,#N/A,FALSE,"Plan2"}</definedName>
    <definedName name="frçt4r" hidden="1">{#N/A,#N/A,FALSE,"Plan1";#N/A,#N/A,FALSE,"Plan2"}</definedName>
    <definedName name="frdtty" localSheetId="3" hidden="1">{#N/A,#N/A,FALSE,"Plan1";#N/A,#N/A,FALSE,"Plan2"}</definedName>
    <definedName name="frdtty" localSheetId="8">{#N/A,#N/A,FALSE,"Plan1";#N/A,#N/A,FALSE,"Plan2"}</definedName>
    <definedName name="frdtty" localSheetId="5" hidden="1">{#N/A,#N/A,FALSE,"Plan1";#N/A,#N/A,FALSE,"Plan2"}</definedName>
    <definedName name="frdtty" localSheetId="4" hidden="1">{#N/A,#N/A,FALSE,"Plan1";#N/A,#N/A,FALSE,"Plan2"}</definedName>
    <definedName name="frdtty" localSheetId="9">{#N/A,#N/A,FALSE,"Plan1";#N/A,#N/A,FALSE,"Plan2"}</definedName>
    <definedName name="frdtty" localSheetId="10" hidden="1">{#N/A,#N/A,FALSE,"Plan1";#N/A,#N/A,FALSE,"Plan2"}</definedName>
    <definedName name="frdtty" localSheetId="1" hidden="1">{#N/A,#N/A,FALSE,"Plan1";#N/A,#N/A,FALSE,"Plan2"}</definedName>
    <definedName name="frdtty" localSheetId="0">{#N/A,#N/A,FALSE,"Plan1";#N/A,#N/A,FALSE,"Plan2"}</definedName>
    <definedName name="frdtty" localSheetId="11" hidden="1">{#N/A,#N/A,FALSE,"Plan1";#N/A,#N/A,FALSE,"Plan2"}</definedName>
    <definedName name="frdtty" localSheetId="12" hidden="1">{#N/A,#N/A,FALSE,"Plan1";#N/A,#N/A,FALSE,"Plan2"}</definedName>
    <definedName name="frdtty" hidden="1">{#N/A,#N/A,FALSE,"Plan1";#N/A,#N/A,FALSE,"Plan2"}</definedName>
    <definedName name="f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sdfs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uihgjk" localSheetId="3" hidden="1">{#N/A,#N/A,FALSE,"Plan1";#N/A,#N/A,FALSE,"Plan2"}</definedName>
    <definedName name="fuihgjk" localSheetId="8">{#N/A,#N/A,FALSE,"Plan1";#N/A,#N/A,FALSE,"Plan2"}</definedName>
    <definedName name="fuihgjk" localSheetId="5" hidden="1">{#N/A,#N/A,FALSE,"Plan1";#N/A,#N/A,FALSE,"Plan2"}</definedName>
    <definedName name="fuihgjk" localSheetId="4" hidden="1">{#N/A,#N/A,FALSE,"Plan1";#N/A,#N/A,FALSE,"Plan2"}</definedName>
    <definedName name="fuihgjk" localSheetId="9">{#N/A,#N/A,FALSE,"Plan1";#N/A,#N/A,FALSE,"Plan2"}</definedName>
    <definedName name="fuihgjk" localSheetId="10" hidden="1">{#N/A,#N/A,FALSE,"Plan1";#N/A,#N/A,FALSE,"Plan2"}</definedName>
    <definedName name="fuihgjk" localSheetId="1" hidden="1">{#N/A,#N/A,FALSE,"Plan1";#N/A,#N/A,FALSE,"Plan2"}</definedName>
    <definedName name="fuihgjk" localSheetId="0">{#N/A,#N/A,FALSE,"Plan1";#N/A,#N/A,FALSE,"Plan2"}</definedName>
    <definedName name="fuihgjk" localSheetId="11" hidden="1">{#N/A,#N/A,FALSE,"Plan1";#N/A,#N/A,FALSE,"Plan2"}</definedName>
    <definedName name="fuihgjk" localSheetId="12" hidden="1">{#N/A,#N/A,FALSE,"Plan1";#N/A,#N/A,FALSE,"Plan2"}</definedName>
    <definedName name="fuihgjk" hidden="1">{#N/A,#N/A,FALSE,"Plan1";#N/A,#N/A,FALSE,"Plan2"}</definedName>
    <definedName name="fuste" localSheetId="8">#REF!</definedName>
    <definedName name="fuste" localSheetId="5">#REF!</definedName>
    <definedName name="fuste" localSheetId="9">#REF!</definedName>
    <definedName name="fuste" localSheetId="10">#REF!</definedName>
    <definedName name="fuste" localSheetId="0">#REF!</definedName>
    <definedName name="fuste" localSheetId="11">#REF!</definedName>
    <definedName name="fuste" localSheetId="12">#REF!</definedName>
    <definedName name="fuste">#REF!</definedName>
    <definedName name="fxjghkfg" localSheetId="3" hidden="1">{#N/A,#N/A,FALSE,"Plan1";#N/A,#N/A,FALSE,"Plan2"}</definedName>
    <definedName name="fxjghkfg" localSheetId="8">{#N/A,#N/A,FALSE,"Plan1";#N/A,#N/A,FALSE,"Plan2"}</definedName>
    <definedName name="fxjghkfg" localSheetId="5" hidden="1">{#N/A,#N/A,FALSE,"Plan1";#N/A,#N/A,FALSE,"Plan2"}</definedName>
    <definedName name="fxjghkfg" localSheetId="4" hidden="1">{#N/A,#N/A,FALSE,"Plan1";#N/A,#N/A,FALSE,"Plan2"}</definedName>
    <definedName name="fxjghkfg" localSheetId="9">{#N/A,#N/A,FALSE,"Plan1";#N/A,#N/A,FALSE,"Plan2"}</definedName>
    <definedName name="fxjghkfg" localSheetId="10" hidden="1">{#N/A,#N/A,FALSE,"Plan1";#N/A,#N/A,FALSE,"Plan2"}</definedName>
    <definedName name="fxjghkfg" localSheetId="1" hidden="1">{#N/A,#N/A,FALSE,"Plan1";#N/A,#N/A,FALSE,"Plan2"}</definedName>
    <definedName name="fxjghkfg" localSheetId="0">{#N/A,#N/A,FALSE,"Plan1";#N/A,#N/A,FALSE,"Plan2"}</definedName>
    <definedName name="fxjghkfg" localSheetId="11" hidden="1">{#N/A,#N/A,FALSE,"Plan1";#N/A,#N/A,FALSE,"Plan2"}</definedName>
    <definedName name="fxjghkfg" localSheetId="12" hidden="1">{#N/A,#N/A,FALSE,"Plan1";#N/A,#N/A,FALSE,"Plan2"}</definedName>
    <definedName name="fxjghkfg" hidden="1">{#N/A,#N/A,FALSE,"Plan1";#N/A,#N/A,FALSE,"Plan2"}</definedName>
    <definedName name="g_10" localSheetId="8">#REF!</definedName>
    <definedName name="g_10" localSheetId="5">#REF!</definedName>
    <definedName name="g_10" localSheetId="9">#REF!</definedName>
    <definedName name="g_10" localSheetId="10">#REF!</definedName>
    <definedName name="g_10" localSheetId="0">#REF!</definedName>
    <definedName name="g_10" localSheetId="11">#REF!</definedName>
    <definedName name="g_10" localSheetId="12">#REF!</definedName>
    <definedName name="g_10">#REF!</definedName>
    <definedName name="g_11" localSheetId="8">#REF!</definedName>
    <definedName name="g_11" localSheetId="5">#REF!</definedName>
    <definedName name="g_11" localSheetId="9">#REF!</definedName>
    <definedName name="g_11" localSheetId="10">#REF!</definedName>
    <definedName name="g_11" localSheetId="0">#REF!</definedName>
    <definedName name="g_11" localSheetId="11">#REF!</definedName>
    <definedName name="g_11" localSheetId="12">#REF!</definedName>
    <definedName name="g_11">#REF!</definedName>
    <definedName name="g_12" localSheetId="8">#REF!</definedName>
    <definedName name="g_12" localSheetId="5">#REF!</definedName>
    <definedName name="g_12" localSheetId="9">#REF!</definedName>
    <definedName name="g_12" localSheetId="10">#REF!</definedName>
    <definedName name="g_12" localSheetId="0">#REF!</definedName>
    <definedName name="g_12" localSheetId="11">#REF!</definedName>
    <definedName name="g_12" localSheetId="12">#REF!</definedName>
    <definedName name="g_12">#REF!</definedName>
    <definedName name="g_13" localSheetId="8">#REF!</definedName>
    <definedName name="g_13" localSheetId="5">#REF!</definedName>
    <definedName name="g_13" localSheetId="10">#REF!</definedName>
    <definedName name="g_13" localSheetId="11">#REF!</definedName>
    <definedName name="g_13" localSheetId="12">#REF!</definedName>
    <definedName name="g_13">#REF!</definedName>
    <definedName name="g_15" localSheetId="8">#REF!</definedName>
    <definedName name="g_15" localSheetId="5">#REF!</definedName>
    <definedName name="g_15" localSheetId="10">#REF!</definedName>
    <definedName name="g_15" localSheetId="11">#REF!</definedName>
    <definedName name="g_15" localSheetId="12">#REF!</definedName>
    <definedName name="g_15">#REF!</definedName>
    <definedName name="g_16" localSheetId="8">#REF!</definedName>
    <definedName name="g_16" localSheetId="5">#REF!</definedName>
    <definedName name="g_16" localSheetId="10">#REF!</definedName>
    <definedName name="g_16" localSheetId="11">#REF!</definedName>
    <definedName name="g_16" localSheetId="12">#REF!</definedName>
    <definedName name="g_16">#REF!</definedName>
    <definedName name="g_17" localSheetId="8">#REF!</definedName>
    <definedName name="g_17" localSheetId="5">#REF!</definedName>
    <definedName name="g_17" localSheetId="10">#REF!</definedName>
    <definedName name="g_17" localSheetId="11">#REF!</definedName>
    <definedName name="g_17" localSheetId="12">#REF!</definedName>
    <definedName name="g_17">#REF!</definedName>
    <definedName name="g_19" localSheetId="8">#REF!</definedName>
    <definedName name="g_19" localSheetId="5">#REF!</definedName>
    <definedName name="g_19" localSheetId="10">#REF!</definedName>
    <definedName name="g_19" localSheetId="11">#REF!</definedName>
    <definedName name="g_19" localSheetId="12">#REF!</definedName>
    <definedName name="g_19">#REF!</definedName>
    <definedName name="g_21" localSheetId="8">#REF!</definedName>
    <definedName name="g_21" localSheetId="5">#REF!</definedName>
    <definedName name="g_21" localSheetId="10">#REF!</definedName>
    <definedName name="g_21" localSheetId="11">#REF!</definedName>
    <definedName name="g_21" localSheetId="12">#REF!</definedName>
    <definedName name="g_21">#REF!</definedName>
    <definedName name="g_25" localSheetId="8">#REF!</definedName>
    <definedName name="g_25" localSheetId="5">#REF!</definedName>
    <definedName name="g_25" localSheetId="10">#REF!</definedName>
    <definedName name="g_25" localSheetId="11">#REF!</definedName>
    <definedName name="g_25" localSheetId="12">#REF!</definedName>
    <definedName name="g_25">#REF!</definedName>
    <definedName name="g_27" localSheetId="8">#REF!</definedName>
    <definedName name="g_27" localSheetId="5">#REF!</definedName>
    <definedName name="g_27" localSheetId="10">#REF!</definedName>
    <definedName name="g_27" localSheetId="11">#REF!</definedName>
    <definedName name="g_27" localSheetId="12">#REF!</definedName>
    <definedName name="g_27">#REF!</definedName>
    <definedName name="g_31" localSheetId="8">#REF!</definedName>
    <definedName name="g_31" localSheetId="5">#REF!</definedName>
    <definedName name="g_31" localSheetId="10">#REF!</definedName>
    <definedName name="g_31" localSheetId="11">#REF!</definedName>
    <definedName name="g_31" localSheetId="12">#REF!</definedName>
    <definedName name="g_31">#REF!</definedName>
    <definedName name="g_32" localSheetId="8">#REF!</definedName>
    <definedName name="g_32" localSheetId="5">#REF!</definedName>
    <definedName name="g_32" localSheetId="10">#REF!</definedName>
    <definedName name="g_32" localSheetId="11">#REF!</definedName>
    <definedName name="g_32" localSheetId="12">#REF!</definedName>
    <definedName name="g_32">#REF!</definedName>
    <definedName name="g_33" localSheetId="8">#REF!</definedName>
    <definedName name="g_33" localSheetId="5">#REF!</definedName>
    <definedName name="g_33" localSheetId="10">#REF!</definedName>
    <definedName name="g_33" localSheetId="11">#REF!</definedName>
    <definedName name="g_33" localSheetId="12">#REF!</definedName>
    <definedName name="g_33">#REF!</definedName>
    <definedName name="g_34" localSheetId="8">#REF!</definedName>
    <definedName name="g_34" localSheetId="5">#REF!</definedName>
    <definedName name="g_34" localSheetId="10">#REF!</definedName>
    <definedName name="g_34" localSheetId="11">#REF!</definedName>
    <definedName name="g_34" localSheetId="12">#REF!</definedName>
    <definedName name="g_34">#REF!</definedName>
    <definedName name="G_35" localSheetId="8">#REF!</definedName>
    <definedName name="G_35" localSheetId="5">#REF!</definedName>
    <definedName name="G_35" localSheetId="10">#REF!</definedName>
    <definedName name="G_35" localSheetId="11">#REF!</definedName>
    <definedName name="G_35" localSheetId="12">#REF!</definedName>
    <definedName name="G_35">#REF!</definedName>
    <definedName name="g_37" localSheetId="8">#REF!</definedName>
    <definedName name="g_37" localSheetId="5">#REF!</definedName>
    <definedName name="g_37" localSheetId="10">#REF!</definedName>
    <definedName name="g_37" localSheetId="11">#REF!</definedName>
    <definedName name="g_37" localSheetId="12">#REF!</definedName>
    <definedName name="g_37">#REF!</definedName>
    <definedName name="g_41" localSheetId="8">#REF!</definedName>
    <definedName name="g_41" localSheetId="5">#REF!</definedName>
    <definedName name="g_41" localSheetId="10">#REF!</definedName>
    <definedName name="g_41" localSheetId="11">#REF!</definedName>
    <definedName name="g_41" localSheetId="12">#REF!</definedName>
    <definedName name="g_41">#REF!</definedName>
    <definedName name="g_42" localSheetId="8">#REF!</definedName>
    <definedName name="g_42" localSheetId="5">#REF!</definedName>
    <definedName name="g_42" localSheetId="10">#REF!</definedName>
    <definedName name="g_42" localSheetId="11">#REF!</definedName>
    <definedName name="g_42" localSheetId="12">#REF!</definedName>
    <definedName name="g_42">#REF!</definedName>
    <definedName name="g_45" localSheetId="8">#REF!</definedName>
    <definedName name="g_45" localSheetId="5">#REF!</definedName>
    <definedName name="g_45" localSheetId="10">#REF!</definedName>
    <definedName name="g_45" localSheetId="11">#REF!</definedName>
    <definedName name="g_45" localSheetId="12">#REF!</definedName>
    <definedName name="g_45">#REF!</definedName>
    <definedName name="g_47" localSheetId="8">#REF!</definedName>
    <definedName name="g_47" localSheetId="5">#REF!</definedName>
    <definedName name="g_47" localSheetId="10">#REF!</definedName>
    <definedName name="g_47" localSheetId="11">#REF!</definedName>
    <definedName name="g_47" localSheetId="12">#REF!</definedName>
    <definedName name="g_47">#REF!</definedName>
    <definedName name="g_51" localSheetId="8">#REF!</definedName>
    <definedName name="g_51" localSheetId="5">#REF!</definedName>
    <definedName name="g_51" localSheetId="10">#REF!</definedName>
    <definedName name="g_51" localSheetId="11">#REF!</definedName>
    <definedName name="g_51" localSheetId="12">#REF!</definedName>
    <definedName name="g_51">#REF!</definedName>
    <definedName name="g_52" localSheetId="8">#REF!</definedName>
    <definedName name="g_52" localSheetId="5">#REF!</definedName>
    <definedName name="g_52" localSheetId="10">#REF!</definedName>
    <definedName name="g_52" localSheetId="11">#REF!</definedName>
    <definedName name="g_52" localSheetId="12">#REF!</definedName>
    <definedName name="g_52">#REF!</definedName>
    <definedName name="g_53" localSheetId="8">#REF!</definedName>
    <definedName name="g_53" localSheetId="5">#REF!</definedName>
    <definedName name="g_53" localSheetId="10">#REF!</definedName>
    <definedName name="g_53" localSheetId="11">#REF!</definedName>
    <definedName name="g_53" localSheetId="12">#REF!</definedName>
    <definedName name="g_53">#REF!</definedName>
    <definedName name="G_54" localSheetId="8">#REF!</definedName>
    <definedName name="G_54" localSheetId="5">#REF!</definedName>
    <definedName name="G_54" localSheetId="10">#REF!</definedName>
    <definedName name="G_54" localSheetId="11">#REF!</definedName>
    <definedName name="G_54" localSheetId="12">#REF!</definedName>
    <definedName name="G_54">#REF!</definedName>
    <definedName name="G_55" localSheetId="8">#REF!</definedName>
    <definedName name="G_55" localSheetId="5">#REF!</definedName>
    <definedName name="G_55" localSheetId="10">#REF!</definedName>
    <definedName name="G_55" localSheetId="11">#REF!</definedName>
    <definedName name="G_55" localSheetId="12">#REF!</definedName>
    <definedName name="G_55">#REF!</definedName>
    <definedName name="G_56" localSheetId="8">#REF!</definedName>
    <definedName name="G_56" localSheetId="5">#REF!</definedName>
    <definedName name="G_56" localSheetId="10">#REF!</definedName>
    <definedName name="G_56" localSheetId="11">#REF!</definedName>
    <definedName name="G_56" localSheetId="12">#REF!</definedName>
    <definedName name="G_56">#REF!</definedName>
    <definedName name="G_57" localSheetId="8">#REF!</definedName>
    <definedName name="G_57" localSheetId="5">#REF!</definedName>
    <definedName name="G_57" localSheetId="10">#REF!</definedName>
    <definedName name="G_57" localSheetId="11">#REF!</definedName>
    <definedName name="G_57" localSheetId="12">#REF!</definedName>
    <definedName name="G_57">#REF!</definedName>
    <definedName name="G_58" localSheetId="8">#REF!</definedName>
    <definedName name="G_58" localSheetId="5">#REF!</definedName>
    <definedName name="G_58" localSheetId="10">#REF!</definedName>
    <definedName name="G_58" localSheetId="11">#REF!</definedName>
    <definedName name="G_58" localSheetId="12">#REF!</definedName>
    <definedName name="G_58">#REF!</definedName>
    <definedName name="G_59" localSheetId="8">#REF!</definedName>
    <definedName name="G_59" localSheetId="5">#REF!</definedName>
    <definedName name="G_59" localSheetId="10">#REF!</definedName>
    <definedName name="G_59" localSheetId="11">#REF!</definedName>
    <definedName name="G_59" localSheetId="12">#REF!</definedName>
    <definedName name="G_59">#REF!</definedName>
    <definedName name="G_61" localSheetId="8">#REF!</definedName>
    <definedName name="G_61" localSheetId="5">#REF!</definedName>
    <definedName name="G_61" localSheetId="10">#REF!</definedName>
    <definedName name="G_61" localSheetId="11">#REF!</definedName>
    <definedName name="G_61" localSheetId="12">#REF!</definedName>
    <definedName name="G_61">#REF!</definedName>
    <definedName name="G_63" localSheetId="8">#REF!</definedName>
    <definedName name="G_63" localSheetId="5">#REF!</definedName>
    <definedName name="G_63" localSheetId="10">#REF!</definedName>
    <definedName name="G_63" localSheetId="11">#REF!</definedName>
    <definedName name="G_63" localSheetId="12">#REF!</definedName>
    <definedName name="G_63">#REF!</definedName>
    <definedName name="G_65" localSheetId="8">#REF!</definedName>
    <definedName name="G_65" localSheetId="5">#REF!</definedName>
    <definedName name="G_65" localSheetId="10">#REF!</definedName>
    <definedName name="G_65" localSheetId="11">#REF!</definedName>
    <definedName name="G_65" localSheetId="12">#REF!</definedName>
    <definedName name="G_65">#REF!</definedName>
    <definedName name="G_67" localSheetId="8">#REF!</definedName>
    <definedName name="G_67" localSheetId="5">#REF!</definedName>
    <definedName name="G_67" localSheetId="10">#REF!</definedName>
    <definedName name="G_67" localSheetId="11">#REF!</definedName>
    <definedName name="G_67" localSheetId="12">#REF!</definedName>
    <definedName name="G_67">#REF!</definedName>
    <definedName name="g_68" localSheetId="8">#REF!</definedName>
    <definedName name="g_68" localSheetId="5">#REF!</definedName>
    <definedName name="g_68" localSheetId="10">#REF!</definedName>
    <definedName name="g_68" localSheetId="11">#REF!</definedName>
    <definedName name="g_68" localSheetId="12">#REF!</definedName>
    <definedName name="g_68">#REF!</definedName>
    <definedName name="g_69" localSheetId="8">#REF!</definedName>
    <definedName name="g_69" localSheetId="5">#REF!</definedName>
    <definedName name="g_69" localSheetId="10">#REF!</definedName>
    <definedName name="g_69" localSheetId="11">#REF!</definedName>
    <definedName name="g_69" localSheetId="12">#REF!</definedName>
    <definedName name="g_69">#REF!</definedName>
    <definedName name="G_71" localSheetId="8">#REF!</definedName>
    <definedName name="G_71" localSheetId="5">#REF!</definedName>
    <definedName name="G_71" localSheetId="10">#REF!</definedName>
    <definedName name="G_71" localSheetId="11">#REF!</definedName>
    <definedName name="G_71" localSheetId="12">#REF!</definedName>
    <definedName name="G_71">#REF!</definedName>
    <definedName name="G_73" localSheetId="8">#REF!</definedName>
    <definedName name="G_73" localSheetId="5">#REF!</definedName>
    <definedName name="G_73" localSheetId="10">#REF!</definedName>
    <definedName name="G_73" localSheetId="11">#REF!</definedName>
    <definedName name="G_73" localSheetId="12">#REF!</definedName>
    <definedName name="G_73">#REF!</definedName>
    <definedName name="G_75" localSheetId="8">#REF!</definedName>
    <definedName name="G_75" localSheetId="5">#REF!</definedName>
    <definedName name="G_75" localSheetId="10">#REF!</definedName>
    <definedName name="G_75" localSheetId="11">#REF!</definedName>
    <definedName name="G_75" localSheetId="12">#REF!</definedName>
    <definedName name="G_75">#REF!</definedName>
    <definedName name="G_77" localSheetId="8">#REF!</definedName>
    <definedName name="G_77" localSheetId="5">#REF!</definedName>
    <definedName name="G_77" localSheetId="10">#REF!</definedName>
    <definedName name="G_77" localSheetId="11">#REF!</definedName>
    <definedName name="G_77" localSheetId="12">#REF!</definedName>
    <definedName name="G_77">#REF!</definedName>
    <definedName name="G_78" localSheetId="8">#REF!</definedName>
    <definedName name="G_78" localSheetId="5">#REF!</definedName>
    <definedName name="G_78" localSheetId="10">#REF!</definedName>
    <definedName name="G_78" localSheetId="11">#REF!</definedName>
    <definedName name="G_78" localSheetId="12">#REF!</definedName>
    <definedName name="G_78">#REF!</definedName>
    <definedName name="G_81" localSheetId="8">#REF!</definedName>
    <definedName name="G_81" localSheetId="5">#REF!</definedName>
    <definedName name="G_81" localSheetId="10">#REF!</definedName>
    <definedName name="G_81" localSheetId="11">#REF!</definedName>
    <definedName name="G_81" localSheetId="12">#REF!</definedName>
    <definedName name="G_81">#REF!</definedName>
    <definedName name="G_83" localSheetId="8">#REF!</definedName>
    <definedName name="G_83" localSheetId="5">#REF!</definedName>
    <definedName name="G_83" localSheetId="10">#REF!</definedName>
    <definedName name="G_83" localSheetId="11">#REF!</definedName>
    <definedName name="G_83" localSheetId="12">#REF!</definedName>
    <definedName name="G_83">#REF!</definedName>
    <definedName name="G_85" localSheetId="8">#REF!</definedName>
    <definedName name="G_85" localSheetId="5">#REF!</definedName>
    <definedName name="G_85" localSheetId="10">#REF!</definedName>
    <definedName name="G_85" localSheetId="11">#REF!</definedName>
    <definedName name="G_85" localSheetId="12">#REF!</definedName>
    <definedName name="G_85">#REF!</definedName>
    <definedName name="G_87" localSheetId="8">#REF!</definedName>
    <definedName name="G_87" localSheetId="5">#REF!</definedName>
    <definedName name="G_87" localSheetId="10">#REF!</definedName>
    <definedName name="G_87" localSheetId="11">#REF!</definedName>
    <definedName name="G_87" localSheetId="12">#REF!</definedName>
    <definedName name="G_87">#REF!</definedName>
    <definedName name="G_90" localSheetId="8">#REF!</definedName>
    <definedName name="G_90" localSheetId="5">#REF!</definedName>
    <definedName name="G_90" localSheetId="10">#REF!</definedName>
    <definedName name="G_90" localSheetId="11">#REF!</definedName>
    <definedName name="G_90" localSheetId="12">#REF!</definedName>
    <definedName name="G_90">#REF!</definedName>
    <definedName name="G_91" localSheetId="8">#REF!</definedName>
    <definedName name="G_91" localSheetId="5">#REF!</definedName>
    <definedName name="G_91" localSheetId="10">#REF!</definedName>
    <definedName name="G_91" localSheetId="11">#REF!</definedName>
    <definedName name="G_91" localSheetId="12">#REF!</definedName>
    <definedName name="G_91">#REF!</definedName>
    <definedName name="G_92" localSheetId="8">#REF!</definedName>
    <definedName name="G_92" localSheetId="5">#REF!</definedName>
    <definedName name="G_92" localSheetId="10">#REF!</definedName>
    <definedName name="G_92" localSheetId="11">#REF!</definedName>
    <definedName name="G_92" localSheetId="12">#REF!</definedName>
    <definedName name="G_92">#REF!</definedName>
    <definedName name="G_94" localSheetId="8">#REF!</definedName>
    <definedName name="G_94" localSheetId="5">#REF!</definedName>
    <definedName name="G_94" localSheetId="10">#REF!</definedName>
    <definedName name="G_94" localSheetId="11">#REF!</definedName>
    <definedName name="G_94" localSheetId="12">#REF!</definedName>
    <definedName name="G_94">#REF!</definedName>
    <definedName name="G_95" localSheetId="8">#REF!</definedName>
    <definedName name="G_95" localSheetId="5">#REF!</definedName>
    <definedName name="G_95" localSheetId="10">#REF!</definedName>
    <definedName name="G_95" localSheetId="11">#REF!</definedName>
    <definedName name="G_95" localSheetId="12">#REF!</definedName>
    <definedName name="G_95">#REF!</definedName>
    <definedName name="G_96" localSheetId="8">#REF!</definedName>
    <definedName name="G_96" localSheetId="5">#REF!</definedName>
    <definedName name="G_96" localSheetId="10">#REF!</definedName>
    <definedName name="G_96" localSheetId="11">#REF!</definedName>
    <definedName name="G_96" localSheetId="12">#REF!</definedName>
    <definedName name="G_96">#REF!</definedName>
    <definedName name="gal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RAGEM" localSheetId="8">#REF!</definedName>
    <definedName name="GARAGEM" localSheetId="5">#REF!</definedName>
    <definedName name="GARAGEM" localSheetId="9">#REF!</definedName>
    <definedName name="GARAGEM" localSheetId="10">#REF!</definedName>
    <definedName name="GARAGEM" localSheetId="0">#REF!</definedName>
    <definedName name="GARAGEM" localSheetId="11">#REF!</definedName>
    <definedName name="GARAGEM" localSheetId="12">#REF!</definedName>
    <definedName name="GARAGEM">#REF!</definedName>
    <definedName name="garcia" localSheetId="8">#REF!</definedName>
    <definedName name="garcia" localSheetId="5">#REF!</definedName>
    <definedName name="garcia" localSheetId="9">#REF!</definedName>
    <definedName name="garcia" localSheetId="10">#REF!</definedName>
    <definedName name="garcia" localSheetId="0">#REF!</definedName>
    <definedName name="garcia" localSheetId="11">#REF!</definedName>
    <definedName name="garcia" localSheetId="12">#REF!</definedName>
    <definedName name="garcia">#REF!</definedName>
    <definedName name="GASTOS_JULHO" localSheetId="8">#REF!</definedName>
    <definedName name="GASTOS_JULHO" localSheetId="5">#REF!</definedName>
    <definedName name="GASTOS_JULHO" localSheetId="9">#REF!</definedName>
    <definedName name="GASTOS_JULHO" localSheetId="10">#REF!</definedName>
    <definedName name="GASTOS_JULHO" localSheetId="0">#REF!</definedName>
    <definedName name="GASTOS_JULHO" localSheetId="11">#REF!</definedName>
    <definedName name="GASTOS_JULHO" localSheetId="12">#REF!</definedName>
    <definedName name="GASTOS_JULHO">#REF!</definedName>
    <definedName name="gbdjkvhgd" localSheetId="3" hidden="1">{#N/A,#N/A,FALSE,"Plan1";#N/A,#N/A,FALSE,"Plan2"}</definedName>
    <definedName name="gbdjkvhgd" localSheetId="8">{#N/A,#N/A,FALSE,"Plan1";#N/A,#N/A,FALSE,"Plan2"}</definedName>
    <definedName name="gbdjkvhgd" localSheetId="5" hidden="1">{#N/A,#N/A,FALSE,"Plan1";#N/A,#N/A,FALSE,"Plan2"}</definedName>
    <definedName name="gbdjkvhgd" localSheetId="4" hidden="1">{#N/A,#N/A,FALSE,"Plan1";#N/A,#N/A,FALSE,"Plan2"}</definedName>
    <definedName name="gbdjkvhgd" localSheetId="9">{#N/A,#N/A,FALSE,"Plan1";#N/A,#N/A,FALSE,"Plan2"}</definedName>
    <definedName name="gbdjkvhgd" localSheetId="10" hidden="1">{#N/A,#N/A,FALSE,"Plan1";#N/A,#N/A,FALSE,"Plan2"}</definedName>
    <definedName name="gbdjkvhgd" localSheetId="1" hidden="1">{#N/A,#N/A,FALSE,"Plan1";#N/A,#N/A,FALSE,"Plan2"}</definedName>
    <definedName name="gbdjkvhgd" localSheetId="0">{#N/A,#N/A,FALSE,"Plan1";#N/A,#N/A,FALSE,"Plan2"}</definedName>
    <definedName name="gbdjkvhgd" localSheetId="11" hidden="1">{#N/A,#N/A,FALSE,"Plan1";#N/A,#N/A,FALSE,"Plan2"}</definedName>
    <definedName name="gbdjkvhgd" localSheetId="12" hidden="1">{#N/A,#N/A,FALSE,"Plan1";#N/A,#N/A,FALSE,"Plan2"}</definedName>
    <definedName name="gbdjkvhgd" hidden="1">{#N/A,#N/A,FALSE,"Plan1";#N/A,#N/A,FALSE,"Plan2"}</definedName>
    <definedName name="gbdsjgsjfdgj" localSheetId="3" hidden="1">{#N/A,#N/A,FALSE,"Plan1";#N/A,#N/A,FALSE,"Plan2"}</definedName>
    <definedName name="gbdsjgsjfdgj" localSheetId="8">{#N/A,#N/A,FALSE,"Plan1";#N/A,#N/A,FALSE,"Plan2"}</definedName>
    <definedName name="gbdsjgsjfdgj" localSheetId="5" hidden="1">{#N/A,#N/A,FALSE,"Plan1";#N/A,#N/A,FALSE,"Plan2"}</definedName>
    <definedName name="gbdsjgsjfdgj" localSheetId="4" hidden="1">{#N/A,#N/A,FALSE,"Plan1";#N/A,#N/A,FALSE,"Plan2"}</definedName>
    <definedName name="gbdsjgsjfdgj" localSheetId="9">{#N/A,#N/A,FALSE,"Plan1";#N/A,#N/A,FALSE,"Plan2"}</definedName>
    <definedName name="gbdsjgsjfdgj" localSheetId="10" hidden="1">{#N/A,#N/A,FALSE,"Plan1";#N/A,#N/A,FALSE,"Plan2"}</definedName>
    <definedName name="gbdsjgsjfdgj" localSheetId="1" hidden="1">{#N/A,#N/A,FALSE,"Plan1";#N/A,#N/A,FALSE,"Plan2"}</definedName>
    <definedName name="gbdsjgsjfdgj" localSheetId="0">{#N/A,#N/A,FALSE,"Plan1";#N/A,#N/A,FALSE,"Plan2"}</definedName>
    <definedName name="gbdsjgsjfdgj" localSheetId="11" hidden="1">{#N/A,#N/A,FALSE,"Plan1";#N/A,#N/A,FALSE,"Plan2"}</definedName>
    <definedName name="gbdsjgsjfdgj" localSheetId="12" hidden="1">{#N/A,#N/A,FALSE,"Plan1";#N/A,#N/A,FALSE,"Plan2"}</definedName>
    <definedName name="gbdsjgsjfdgj" hidden="1">{#N/A,#N/A,FALSE,"Plan1";#N/A,#N/A,FALSE,"Plan2"}</definedName>
    <definedName name="gdfdhgfjgj" localSheetId="3" hidden="1">{#N/A,#N/A,FALSE,"Plan1";#N/A,#N/A,FALSE,"Plan2"}</definedName>
    <definedName name="gdfdhgfjgj" localSheetId="8">{#N/A,#N/A,FALSE,"Plan1";#N/A,#N/A,FALSE,"Plan2"}</definedName>
    <definedName name="gdfdhgfjgj" localSheetId="5" hidden="1">{#N/A,#N/A,FALSE,"Plan1";#N/A,#N/A,FALSE,"Plan2"}</definedName>
    <definedName name="gdfdhgfjgj" localSheetId="4" hidden="1">{#N/A,#N/A,FALSE,"Plan1";#N/A,#N/A,FALSE,"Plan2"}</definedName>
    <definedName name="gdfdhgfjgj" localSheetId="9">{#N/A,#N/A,FALSE,"Plan1";#N/A,#N/A,FALSE,"Plan2"}</definedName>
    <definedName name="gdfdhgfjgj" localSheetId="10" hidden="1">{#N/A,#N/A,FALSE,"Plan1";#N/A,#N/A,FALSE,"Plan2"}</definedName>
    <definedName name="gdfdhgfjgj" localSheetId="1" hidden="1">{#N/A,#N/A,FALSE,"Plan1";#N/A,#N/A,FALSE,"Plan2"}</definedName>
    <definedName name="gdfdhgfjgj" localSheetId="0">{#N/A,#N/A,FALSE,"Plan1";#N/A,#N/A,FALSE,"Plan2"}</definedName>
    <definedName name="gdfdhgfjgj" localSheetId="11" hidden="1">{#N/A,#N/A,FALSE,"Plan1";#N/A,#N/A,FALSE,"Plan2"}</definedName>
    <definedName name="gdfdhgfjgj" localSheetId="12" hidden="1">{#N/A,#N/A,FALSE,"Plan1";#N/A,#N/A,FALSE,"Plan2"}</definedName>
    <definedName name="gdfdhgfjgj" hidden="1">{#N/A,#N/A,FALSE,"Plan1";#N/A,#N/A,FALSE,"Plan2"}</definedName>
    <definedName name="gdfgdstggt" localSheetId="3" hidden="1">{#N/A,#N/A,FALSE,"Plan1";#N/A,#N/A,FALSE,"Plan2"}</definedName>
    <definedName name="gdfgdstggt" localSheetId="8">{#N/A,#N/A,FALSE,"Plan1";#N/A,#N/A,FALSE,"Plan2"}</definedName>
    <definedName name="gdfgdstggt" localSheetId="5" hidden="1">{#N/A,#N/A,FALSE,"Plan1";#N/A,#N/A,FALSE,"Plan2"}</definedName>
    <definedName name="gdfgdstggt" localSheetId="4" hidden="1">{#N/A,#N/A,FALSE,"Plan1";#N/A,#N/A,FALSE,"Plan2"}</definedName>
    <definedName name="gdfgdstggt" localSheetId="9">{#N/A,#N/A,FALSE,"Plan1";#N/A,#N/A,FALSE,"Plan2"}</definedName>
    <definedName name="gdfgdstggt" localSheetId="10" hidden="1">{#N/A,#N/A,FALSE,"Plan1";#N/A,#N/A,FALSE,"Plan2"}</definedName>
    <definedName name="gdfgdstggt" localSheetId="1" hidden="1">{#N/A,#N/A,FALSE,"Plan1";#N/A,#N/A,FALSE,"Plan2"}</definedName>
    <definedName name="gdfgdstggt" localSheetId="0">{#N/A,#N/A,FALSE,"Plan1";#N/A,#N/A,FALSE,"Plan2"}</definedName>
    <definedName name="gdfgdstggt" localSheetId="11" hidden="1">{#N/A,#N/A,FALSE,"Plan1";#N/A,#N/A,FALSE,"Plan2"}</definedName>
    <definedName name="gdfgdstggt" localSheetId="12" hidden="1">{#N/A,#N/A,FALSE,"Plan1";#N/A,#N/A,FALSE,"Plan2"}</definedName>
    <definedName name="gdfgdstggt" hidden="1">{#N/A,#N/A,FALSE,"Plan1";#N/A,#N/A,FALSE,"Plan2"}</definedName>
    <definedName name="GDFHGRJGFJDRF" localSheetId="3" hidden="1">{"Econ Consolidado",#N/A,FALSE,"Econ Consol";"Fluxo de Caixa",#N/A,FALSE,"Fluxo Caixa";"Investimentos",#N/A,FALSE,"Investimentos"}</definedName>
    <definedName name="GDFHGRJGFJDRF" localSheetId="8">{"Econ Consolidado",#N/A,FALSE,"Econ Consol";"Fluxo de Caixa",#N/A,FALSE,"Fluxo Caixa";"Investimentos",#N/A,FALSE,"Investimentos"}</definedName>
    <definedName name="GDFHGRJGFJDRF" localSheetId="5" hidden="1">{"Econ Consolidado",#N/A,FALSE,"Econ Consol";"Fluxo de Caixa",#N/A,FALSE,"Fluxo Caixa";"Investimentos",#N/A,FALSE,"Investimentos"}</definedName>
    <definedName name="GDFHGRJGFJDRF" localSheetId="4" hidden="1">{"Econ Consolidado",#N/A,FALSE,"Econ Consol";"Fluxo de Caixa",#N/A,FALSE,"Fluxo Caixa";"Investimentos",#N/A,FALSE,"Investimentos"}</definedName>
    <definedName name="GDFHGRJGFJDRF" localSheetId="9">{"Econ Consolidado",#N/A,FALSE,"Econ Consol";"Fluxo de Caixa",#N/A,FALSE,"Fluxo Caixa";"Investimentos",#N/A,FALSE,"Investimentos"}</definedName>
    <definedName name="GDFHGRJGFJDRF" localSheetId="10" hidden="1">{"Econ Consolidado",#N/A,FALSE,"Econ Consol";"Fluxo de Caixa",#N/A,FALSE,"Fluxo Caixa";"Investimentos",#N/A,FALSE,"Investimentos"}</definedName>
    <definedName name="GDFHGRJGFJDRF" localSheetId="1" hidden="1">{"Econ Consolidado",#N/A,FALSE,"Econ Consol";"Fluxo de Caixa",#N/A,FALSE,"Fluxo Caixa";"Investimentos",#N/A,FALSE,"Investimentos"}</definedName>
    <definedName name="GDFHGRJGFJDRF" localSheetId="0">{"Econ Consolidado",#N/A,FALSE,"Econ Consol";"Fluxo de Caixa",#N/A,FALSE,"Fluxo Caixa";"Investimentos",#N/A,FALSE,"Investimentos"}</definedName>
    <definedName name="GDFHGRJGFJDRF" localSheetId="11" hidden="1">{"Econ Consolidado",#N/A,FALSE,"Econ Consol";"Fluxo de Caixa",#N/A,FALSE,"Fluxo Caixa";"Investimentos",#N/A,FALSE,"Investimentos"}</definedName>
    <definedName name="GDFHGRJGFJDRF" localSheetId="12" hidden="1">{"Econ Consolidado",#N/A,FALSE,"Econ Consol";"Fluxo de Caixa",#N/A,FALSE,"Fluxo Caixa";"Investimentos",#N/A,FALSE,"Investimentos"}</definedName>
    <definedName name="GDFHGRJGFJDRF" hidden="1">{"Econ Consolidado",#N/A,FALSE,"Econ Consol";"Fluxo de Caixa",#N/A,FALSE,"Fluxo Caixa";"Investimentos",#N/A,FALSE,"Investimentos"}</definedName>
    <definedName name="gdfigfhuyuy" localSheetId="3" hidden="1">{#N/A,#N/A,FALSE,"Plan1";#N/A,#N/A,FALSE,"Plan2"}</definedName>
    <definedName name="gdfigfhuyuy" localSheetId="8">{#N/A,#N/A,FALSE,"Plan1";#N/A,#N/A,FALSE,"Plan2"}</definedName>
    <definedName name="gdfigfhuyuy" localSheetId="5" hidden="1">{#N/A,#N/A,FALSE,"Plan1";#N/A,#N/A,FALSE,"Plan2"}</definedName>
    <definedName name="gdfigfhuyuy" localSheetId="4" hidden="1">{#N/A,#N/A,FALSE,"Plan1";#N/A,#N/A,FALSE,"Plan2"}</definedName>
    <definedName name="gdfigfhuyuy" localSheetId="9">{#N/A,#N/A,FALSE,"Plan1";#N/A,#N/A,FALSE,"Plan2"}</definedName>
    <definedName name="gdfigfhuyuy" localSheetId="10" hidden="1">{#N/A,#N/A,FALSE,"Plan1";#N/A,#N/A,FALSE,"Plan2"}</definedName>
    <definedName name="gdfigfhuyuy" localSheetId="1" hidden="1">{#N/A,#N/A,FALSE,"Plan1";#N/A,#N/A,FALSE,"Plan2"}</definedName>
    <definedName name="gdfigfhuyuy" localSheetId="0">{#N/A,#N/A,FALSE,"Plan1";#N/A,#N/A,FALSE,"Plan2"}</definedName>
    <definedName name="gdfigfhuyuy" localSheetId="11" hidden="1">{#N/A,#N/A,FALSE,"Plan1";#N/A,#N/A,FALSE,"Plan2"}</definedName>
    <definedName name="gdfigfhuyuy" localSheetId="12" hidden="1">{#N/A,#N/A,FALSE,"Plan1";#N/A,#N/A,FALSE,"Plan2"}</definedName>
    <definedName name="gdfigfhuyuy" hidden="1">{#N/A,#N/A,FALSE,"Plan1";#N/A,#N/A,FALSE,"Plan2"}</definedName>
    <definedName name="gdfsgfew" localSheetId="3" hidden="1">{#N/A,#N/A,FALSE,"Plan1";#N/A,#N/A,FALSE,"Plan2"}</definedName>
    <definedName name="gdfsgfew" localSheetId="8">{#N/A,#N/A,FALSE,"Plan1";#N/A,#N/A,FALSE,"Plan2"}</definedName>
    <definedName name="gdfsgfew" localSheetId="5" hidden="1">{#N/A,#N/A,FALSE,"Plan1";#N/A,#N/A,FALSE,"Plan2"}</definedName>
    <definedName name="gdfsgfew" localSheetId="4" hidden="1">{#N/A,#N/A,FALSE,"Plan1";#N/A,#N/A,FALSE,"Plan2"}</definedName>
    <definedName name="gdfsgfew" localSheetId="9">{#N/A,#N/A,FALSE,"Plan1";#N/A,#N/A,FALSE,"Plan2"}</definedName>
    <definedName name="gdfsgfew" localSheetId="10" hidden="1">{#N/A,#N/A,FALSE,"Plan1";#N/A,#N/A,FALSE,"Plan2"}</definedName>
    <definedName name="gdfsgfew" localSheetId="1" hidden="1">{#N/A,#N/A,FALSE,"Plan1";#N/A,#N/A,FALSE,"Plan2"}</definedName>
    <definedName name="gdfsgfew" localSheetId="0">{#N/A,#N/A,FALSE,"Plan1";#N/A,#N/A,FALSE,"Plan2"}</definedName>
    <definedName name="gdfsgfew" localSheetId="11" hidden="1">{#N/A,#N/A,FALSE,"Plan1";#N/A,#N/A,FALSE,"Plan2"}</definedName>
    <definedName name="gdfsgfew" localSheetId="12" hidden="1">{#N/A,#N/A,FALSE,"Plan1";#N/A,#N/A,FALSE,"Plan2"}</definedName>
    <definedName name="gdfsgfew" hidden="1">{#N/A,#N/A,FALSE,"Plan1";#N/A,#N/A,FALSE,"Plan2"}</definedName>
    <definedName name="gdhfgdhfgf" localSheetId="3" hidden="1">{#N/A,#N/A,FALSE,"Plan1";#N/A,#N/A,FALSE,"Plan2"}</definedName>
    <definedName name="gdhfgdhfgf" localSheetId="8">{#N/A,#N/A,FALSE,"Plan1";#N/A,#N/A,FALSE,"Plan2"}</definedName>
    <definedName name="gdhfgdhfgf" localSheetId="5" hidden="1">{#N/A,#N/A,FALSE,"Plan1";#N/A,#N/A,FALSE,"Plan2"}</definedName>
    <definedName name="gdhfgdhfgf" localSheetId="4" hidden="1">{#N/A,#N/A,FALSE,"Plan1";#N/A,#N/A,FALSE,"Plan2"}</definedName>
    <definedName name="gdhfgdhfgf" localSheetId="9">{#N/A,#N/A,FALSE,"Plan1";#N/A,#N/A,FALSE,"Plan2"}</definedName>
    <definedName name="gdhfgdhfgf" localSheetId="10" hidden="1">{#N/A,#N/A,FALSE,"Plan1";#N/A,#N/A,FALSE,"Plan2"}</definedName>
    <definedName name="gdhfgdhfgf" localSheetId="1" hidden="1">{#N/A,#N/A,FALSE,"Plan1";#N/A,#N/A,FALSE,"Plan2"}</definedName>
    <definedName name="gdhfgdhfgf" localSheetId="0">{#N/A,#N/A,FALSE,"Plan1";#N/A,#N/A,FALSE,"Plan2"}</definedName>
    <definedName name="gdhfgdhfgf" localSheetId="11" hidden="1">{#N/A,#N/A,FALSE,"Plan1";#N/A,#N/A,FALSE,"Plan2"}</definedName>
    <definedName name="gdhfgdhfgf" localSheetId="12" hidden="1">{#N/A,#N/A,FALSE,"Plan1";#N/A,#N/A,FALSE,"Plan2"}</definedName>
    <definedName name="gdhfgdhfgf" hidden="1">{#N/A,#N/A,FALSE,"Plan1";#N/A,#N/A,FALSE,"Plan2"}</definedName>
    <definedName name="gdsfhefrwrw" localSheetId="3" hidden="1">{#N/A,#N/A,FALSE,"Plan1";#N/A,#N/A,FALSE,"Plan2"}</definedName>
    <definedName name="gdsfhefrwrw" localSheetId="8">{#N/A,#N/A,FALSE,"Plan1";#N/A,#N/A,FALSE,"Plan2"}</definedName>
    <definedName name="gdsfhefrwrw" localSheetId="5" hidden="1">{#N/A,#N/A,FALSE,"Plan1";#N/A,#N/A,FALSE,"Plan2"}</definedName>
    <definedName name="gdsfhefrwrw" localSheetId="4" hidden="1">{#N/A,#N/A,FALSE,"Plan1";#N/A,#N/A,FALSE,"Plan2"}</definedName>
    <definedName name="gdsfhefrwrw" localSheetId="9">{#N/A,#N/A,FALSE,"Plan1";#N/A,#N/A,FALSE,"Plan2"}</definedName>
    <definedName name="gdsfhefrwrw" localSheetId="10" hidden="1">{#N/A,#N/A,FALSE,"Plan1";#N/A,#N/A,FALSE,"Plan2"}</definedName>
    <definedName name="gdsfhefrwrw" localSheetId="1" hidden="1">{#N/A,#N/A,FALSE,"Plan1";#N/A,#N/A,FALSE,"Plan2"}</definedName>
    <definedName name="gdsfhefrwrw" localSheetId="0">{#N/A,#N/A,FALSE,"Plan1";#N/A,#N/A,FALSE,"Plan2"}</definedName>
    <definedName name="gdsfhefrwrw" localSheetId="11" hidden="1">{#N/A,#N/A,FALSE,"Plan1";#N/A,#N/A,FALSE,"Plan2"}</definedName>
    <definedName name="gdsfhefrwrw" localSheetId="12" hidden="1">{#N/A,#N/A,FALSE,"Plan1";#N/A,#N/A,FALSE,"Plan2"}</definedName>
    <definedName name="gdsfhefrwrw" hidden="1">{#N/A,#N/A,FALSE,"Plan1";#N/A,#N/A,FALSE,"Plan2"}</definedName>
    <definedName name="GER_TECNICO" localSheetId="8">#REF!</definedName>
    <definedName name="GER_TECNICO" localSheetId="5">#REF!</definedName>
    <definedName name="GER_TECNICO" localSheetId="9">#REF!</definedName>
    <definedName name="GER_TECNICO" localSheetId="10">#REF!</definedName>
    <definedName name="GER_TECNICO" localSheetId="0">#REF!</definedName>
    <definedName name="GER_TECNICO" localSheetId="11">#REF!</definedName>
    <definedName name="GER_TECNICO" localSheetId="12">#REF!</definedName>
    <definedName name="GER_TECNICO">#REF!</definedName>
    <definedName name="Gerentes" localSheetId="8">#REF!</definedName>
    <definedName name="Gerentes" localSheetId="5">#REF!</definedName>
    <definedName name="Gerentes" localSheetId="9">#REF!</definedName>
    <definedName name="Gerentes" localSheetId="10">#REF!</definedName>
    <definedName name="Gerentes" localSheetId="0">#REF!</definedName>
    <definedName name="Gerentes" localSheetId="11">#REF!</definedName>
    <definedName name="Gerentes" localSheetId="12">#REF!</definedName>
    <definedName name="Gerentes">#REF!</definedName>
    <definedName name="geshrjhed" localSheetId="3" hidden="1">{#N/A,#N/A,FALSE,"Plan1";#N/A,#N/A,FALSE,"Plan2"}</definedName>
    <definedName name="geshrjhed" localSheetId="8">{#N/A,#N/A,FALSE,"Plan1";#N/A,#N/A,FALSE,"Plan2"}</definedName>
    <definedName name="geshrjhed" localSheetId="5" hidden="1">{#N/A,#N/A,FALSE,"Plan1";#N/A,#N/A,FALSE,"Plan2"}</definedName>
    <definedName name="geshrjhed" localSheetId="4" hidden="1">{#N/A,#N/A,FALSE,"Plan1";#N/A,#N/A,FALSE,"Plan2"}</definedName>
    <definedName name="geshrjhed" localSheetId="9">{#N/A,#N/A,FALSE,"Plan1";#N/A,#N/A,FALSE,"Plan2"}</definedName>
    <definedName name="geshrjhed" localSheetId="10" hidden="1">{#N/A,#N/A,FALSE,"Plan1";#N/A,#N/A,FALSE,"Plan2"}</definedName>
    <definedName name="geshrjhed" localSheetId="1" hidden="1">{#N/A,#N/A,FALSE,"Plan1";#N/A,#N/A,FALSE,"Plan2"}</definedName>
    <definedName name="geshrjhed" localSheetId="0">{#N/A,#N/A,FALSE,"Plan1";#N/A,#N/A,FALSE,"Plan2"}</definedName>
    <definedName name="geshrjhed" localSheetId="11" hidden="1">{#N/A,#N/A,FALSE,"Plan1";#N/A,#N/A,FALSE,"Plan2"}</definedName>
    <definedName name="geshrjhed" localSheetId="12" hidden="1">{#N/A,#N/A,FALSE,"Plan1";#N/A,#N/A,FALSE,"Plan2"}</definedName>
    <definedName name="geshrjhed" hidden="1">{#N/A,#N/A,FALSE,"Plan1";#N/A,#N/A,FALSE,"Plan2"}</definedName>
    <definedName name="gestao" localSheetId="8">OFFSET(INDEX(#REF!,MATCH(#REF!,#REF!,0)),1,0,COUNTA(#REF!)-1)</definedName>
    <definedName name="gestao" localSheetId="5" hidden="1">OFFSET(INDEX(#REF!,MATCH(#REF!,#REF!,0)),1,0,COUNTA(#REF!)-1)</definedName>
    <definedName name="gestao" localSheetId="9">OFFSET(INDEX(#REF!,MATCH(#REF!,#REF!,0)),1,0,COUNTA(#REF!)-1)</definedName>
    <definedName name="gestao" localSheetId="10" hidden="1">OFFSET(INDEX(#REF!,MATCH(#REF!,#REF!,0)),1,0,COUNTA(#REF!)-1)</definedName>
    <definedName name="gestao" localSheetId="1" hidden="1">OFFSET(INDEX(#REF!,MATCH(#REF!,#REF!,0)),1,0,COUNTA(#REF!)-1)</definedName>
    <definedName name="gestao" localSheetId="0">OFFSET(INDEX(#REF!,MATCH(#REF!,#REF!,0)),1,0,COUNTA(#REF!)-1)</definedName>
    <definedName name="gestao" localSheetId="11" hidden="1">OFFSET(INDEX(#REF!,MATCH(#REF!,#REF!,0)),1,0,COUNTA(#REF!)-1)</definedName>
    <definedName name="gestao" localSheetId="12" hidden="1">OFFSET(INDEX(#REF!,MATCH(#REF!,#REF!,0)),1,0,COUNTA(#REF!)-1)</definedName>
    <definedName name="gestao" hidden="1">OFFSET(INDEX(#REF!,MATCH(#REF!,#REF!,0)),1,0,COUNTA(#REF!)-1)</definedName>
    <definedName name="gfdcgnkf" localSheetId="3" hidden="1">{#N/A,#N/A,FALSE,"Plan1";#N/A,#N/A,FALSE,"Plan2"}</definedName>
    <definedName name="gfdcgnkf" localSheetId="8">{#N/A,#N/A,FALSE,"Plan1";#N/A,#N/A,FALSE,"Plan2"}</definedName>
    <definedName name="gfdcgnkf" localSheetId="5" hidden="1">{#N/A,#N/A,FALSE,"Plan1";#N/A,#N/A,FALSE,"Plan2"}</definedName>
    <definedName name="gfdcgnkf" localSheetId="4" hidden="1">{#N/A,#N/A,FALSE,"Plan1";#N/A,#N/A,FALSE,"Plan2"}</definedName>
    <definedName name="gfdcgnkf" localSheetId="9">{#N/A,#N/A,FALSE,"Plan1";#N/A,#N/A,FALSE,"Plan2"}</definedName>
    <definedName name="gfdcgnkf" localSheetId="10" hidden="1">{#N/A,#N/A,FALSE,"Plan1";#N/A,#N/A,FALSE,"Plan2"}</definedName>
    <definedName name="gfdcgnkf" localSheetId="1" hidden="1">{#N/A,#N/A,FALSE,"Plan1";#N/A,#N/A,FALSE,"Plan2"}</definedName>
    <definedName name="gfdcgnkf" localSheetId="0">{#N/A,#N/A,FALSE,"Plan1";#N/A,#N/A,FALSE,"Plan2"}</definedName>
    <definedName name="gfdcgnkf" localSheetId="11" hidden="1">{#N/A,#N/A,FALSE,"Plan1";#N/A,#N/A,FALSE,"Plan2"}</definedName>
    <definedName name="gfdcgnkf" localSheetId="12" hidden="1">{#N/A,#N/A,FALSE,"Plan1";#N/A,#N/A,FALSE,"Plan2"}</definedName>
    <definedName name="gfdcgnkf" hidden="1">{#N/A,#N/A,FALSE,"Plan1";#N/A,#N/A,FALSE,"Plan2"}</definedName>
    <definedName name="gfdjtgur" localSheetId="3" hidden="1">{#N/A,#N/A,FALSE,"Plan1";#N/A,#N/A,FALSE,"Plan2"}</definedName>
    <definedName name="gfdjtgur" localSheetId="8">{#N/A,#N/A,FALSE,"Plan1";#N/A,#N/A,FALSE,"Plan2"}</definedName>
    <definedName name="gfdjtgur" localSheetId="5" hidden="1">{#N/A,#N/A,FALSE,"Plan1";#N/A,#N/A,FALSE,"Plan2"}</definedName>
    <definedName name="gfdjtgur" localSheetId="4" hidden="1">{#N/A,#N/A,FALSE,"Plan1";#N/A,#N/A,FALSE,"Plan2"}</definedName>
    <definedName name="gfdjtgur" localSheetId="9">{#N/A,#N/A,FALSE,"Plan1";#N/A,#N/A,FALSE,"Plan2"}</definedName>
    <definedName name="gfdjtgur" localSheetId="10" hidden="1">{#N/A,#N/A,FALSE,"Plan1";#N/A,#N/A,FALSE,"Plan2"}</definedName>
    <definedName name="gfdjtgur" localSheetId="1" hidden="1">{#N/A,#N/A,FALSE,"Plan1";#N/A,#N/A,FALSE,"Plan2"}</definedName>
    <definedName name="gfdjtgur" localSheetId="0">{#N/A,#N/A,FALSE,"Plan1";#N/A,#N/A,FALSE,"Plan2"}</definedName>
    <definedName name="gfdjtgur" localSheetId="11" hidden="1">{#N/A,#N/A,FALSE,"Plan1";#N/A,#N/A,FALSE,"Plan2"}</definedName>
    <definedName name="gfdjtgur" localSheetId="12" hidden="1">{#N/A,#N/A,FALSE,"Plan1";#N/A,#N/A,FALSE,"Plan2"}</definedName>
    <definedName name="gfdjtgur" hidden="1">{#N/A,#N/A,FALSE,"Plan1";#N/A,#N/A,FALSE,"Plan2"}</definedName>
    <definedName name="gfdrtg" localSheetId="8">#REF!</definedName>
    <definedName name="gfdrtg" localSheetId="5" hidden="1">#REF!</definedName>
    <definedName name="gfdrtg" localSheetId="9">#REF!</definedName>
    <definedName name="gfdrtg" localSheetId="10" hidden="1">#REF!</definedName>
    <definedName name="gfdrtg" localSheetId="1" hidden="1">#REF!</definedName>
    <definedName name="gfdrtg" localSheetId="0">#REF!</definedName>
    <definedName name="gfdrtg" localSheetId="11" hidden="1">#REF!</definedName>
    <definedName name="gfdrtg" localSheetId="12" hidden="1">#REF!</definedName>
    <definedName name="gfdrtg" hidden="1">#REF!</definedName>
    <definedName name="gfgdhxgfdhf" localSheetId="3" hidden="1">{#N/A,#N/A,FALSE,"Plan1";#N/A,#N/A,FALSE,"Plan2"}</definedName>
    <definedName name="gfgdhxgfdhf" localSheetId="8">{#N/A,#N/A,FALSE,"Plan1";#N/A,#N/A,FALSE,"Plan2"}</definedName>
    <definedName name="gfgdhxgfdhf" localSheetId="5" hidden="1">{#N/A,#N/A,FALSE,"Plan1";#N/A,#N/A,FALSE,"Plan2"}</definedName>
    <definedName name="gfgdhxgfdhf" localSheetId="4" hidden="1">{#N/A,#N/A,FALSE,"Plan1";#N/A,#N/A,FALSE,"Plan2"}</definedName>
    <definedName name="gfgdhxgfdhf" localSheetId="9">{#N/A,#N/A,FALSE,"Plan1";#N/A,#N/A,FALSE,"Plan2"}</definedName>
    <definedName name="gfgdhxgfdhf" localSheetId="10" hidden="1">{#N/A,#N/A,FALSE,"Plan1";#N/A,#N/A,FALSE,"Plan2"}</definedName>
    <definedName name="gfgdhxgfdhf" localSheetId="1" hidden="1">{#N/A,#N/A,FALSE,"Plan1";#N/A,#N/A,FALSE,"Plan2"}</definedName>
    <definedName name="gfgdhxgfdhf" localSheetId="0">{#N/A,#N/A,FALSE,"Plan1";#N/A,#N/A,FALSE,"Plan2"}</definedName>
    <definedName name="gfgdhxgfdhf" localSheetId="11" hidden="1">{#N/A,#N/A,FALSE,"Plan1";#N/A,#N/A,FALSE,"Plan2"}</definedName>
    <definedName name="gfgdhxgfdhf" localSheetId="12" hidden="1">{#N/A,#N/A,FALSE,"Plan1";#N/A,#N/A,FALSE,"Plan2"}</definedName>
    <definedName name="gfgdhxgfdhf" hidden="1">{#N/A,#N/A,FALSE,"Plan1";#N/A,#N/A,FALSE,"Plan2"}</definedName>
    <definedName name="gfhfdtgjb" localSheetId="3" hidden="1">{#N/A,#N/A,FALSE,"Plan1";#N/A,#N/A,FALSE,"Plan2"}</definedName>
    <definedName name="gfhfdtgjb" localSheetId="8">{#N/A,#N/A,FALSE,"Plan1";#N/A,#N/A,FALSE,"Plan2"}</definedName>
    <definedName name="gfhfdtgjb" localSheetId="5" hidden="1">{#N/A,#N/A,FALSE,"Plan1";#N/A,#N/A,FALSE,"Plan2"}</definedName>
    <definedName name="gfhfdtgjb" localSheetId="4" hidden="1">{#N/A,#N/A,FALSE,"Plan1";#N/A,#N/A,FALSE,"Plan2"}</definedName>
    <definedName name="gfhfdtgjb" localSheetId="9">{#N/A,#N/A,FALSE,"Plan1";#N/A,#N/A,FALSE,"Plan2"}</definedName>
    <definedName name="gfhfdtgjb" localSheetId="10" hidden="1">{#N/A,#N/A,FALSE,"Plan1";#N/A,#N/A,FALSE,"Plan2"}</definedName>
    <definedName name="gfhfdtgjb" localSheetId="1" hidden="1">{#N/A,#N/A,FALSE,"Plan1";#N/A,#N/A,FALSE,"Plan2"}</definedName>
    <definedName name="gfhfdtgjb" localSheetId="0">{#N/A,#N/A,FALSE,"Plan1";#N/A,#N/A,FALSE,"Plan2"}</definedName>
    <definedName name="gfhfdtgjb" localSheetId="11" hidden="1">{#N/A,#N/A,FALSE,"Plan1";#N/A,#N/A,FALSE,"Plan2"}</definedName>
    <definedName name="gfhfdtgjb" localSheetId="12" hidden="1">{#N/A,#N/A,FALSE,"Plan1";#N/A,#N/A,FALSE,"Plan2"}</definedName>
    <definedName name="gfhfdtgjb" hidden="1">{#N/A,#N/A,FALSE,"Plan1";#N/A,#N/A,FALSE,"Plan2"}</definedName>
    <definedName name="gfjdshrtjhtged" localSheetId="3" hidden="1">{#N/A,#N/A,FALSE,"Plan1";#N/A,#N/A,FALSE,"Plan2"}</definedName>
    <definedName name="gfjdshrtjhtged" localSheetId="8">{#N/A,#N/A,FALSE,"Plan1";#N/A,#N/A,FALSE,"Plan2"}</definedName>
    <definedName name="gfjdshrtjhtged" localSheetId="5" hidden="1">{#N/A,#N/A,FALSE,"Plan1";#N/A,#N/A,FALSE,"Plan2"}</definedName>
    <definedName name="gfjdshrtjhtged" localSheetId="4" hidden="1">{#N/A,#N/A,FALSE,"Plan1";#N/A,#N/A,FALSE,"Plan2"}</definedName>
    <definedName name="gfjdshrtjhtged" localSheetId="9">{#N/A,#N/A,FALSE,"Plan1";#N/A,#N/A,FALSE,"Plan2"}</definedName>
    <definedName name="gfjdshrtjhtged" localSheetId="10" hidden="1">{#N/A,#N/A,FALSE,"Plan1";#N/A,#N/A,FALSE,"Plan2"}</definedName>
    <definedName name="gfjdshrtjhtged" localSheetId="1" hidden="1">{#N/A,#N/A,FALSE,"Plan1";#N/A,#N/A,FALSE,"Plan2"}</definedName>
    <definedName name="gfjdshrtjhtged" localSheetId="0">{#N/A,#N/A,FALSE,"Plan1";#N/A,#N/A,FALSE,"Plan2"}</definedName>
    <definedName name="gfjdshrtjhtged" localSheetId="11" hidden="1">{#N/A,#N/A,FALSE,"Plan1";#N/A,#N/A,FALSE,"Plan2"}</definedName>
    <definedName name="gfjdshrtjhtged" localSheetId="12" hidden="1">{#N/A,#N/A,FALSE,"Plan1";#N/A,#N/A,FALSE,"Plan2"}</definedName>
    <definedName name="gfjdshrtjhtged" hidden="1">{#N/A,#N/A,FALSE,"Plan1";#N/A,#N/A,FALSE,"Plan2"}</definedName>
    <definedName name="gfjgkddgfd" localSheetId="3" hidden="1">{#N/A,#N/A,FALSE,"Plan1";#N/A,#N/A,FALSE,"Plan2"}</definedName>
    <definedName name="gfjgkddgfd" localSheetId="8">{#N/A,#N/A,FALSE,"Plan1";#N/A,#N/A,FALSE,"Plan2"}</definedName>
    <definedName name="gfjgkddgfd" localSheetId="5" hidden="1">{#N/A,#N/A,FALSE,"Plan1";#N/A,#N/A,FALSE,"Plan2"}</definedName>
    <definedName name="gfjgkddgfd" localSheetId="4" hidden="1">{#N/A,#N/A,FALSE,"Plan1";#N/A,#N/A,FALSE,"Plan2"}</definedName>
    <definedName name="gfjgkddgfd" localSheetId="9">{#N/A,#N/A,FALSE,"Plan1";#N/A,#N/A,FALSE,"Plan2"}</definedName>
    <definedName name="gfjgkddgfd" localSheetId="10" hidden="1">{#N/A,#N/A,FALSE,"Plan1";#N/A,#N/A,FALSE,"Plan2"}</definedName>
    <definedName name="gfjgkddgfd" localSheetId="1" hidden="1">{#N/A,#N/A,FALSE,"Plan1";#N/A,#N/A,FALSE,"Plan2"}</definedName>
    <definedName name="gfjgkddgfd" localSheetId="0">{#N/A,#N/A,FALSE,"Plan1";#N/A,#N/A,FALSE,"Plan2"}</definedName>
    <definedName name="gfjgkddgfd" localSheetId="11" hidden="1">{#N/A,#N/A,FALSE,"Plan1";#N/A,#N/A,FALSE,"Plan2"}</definedName>
    <definedName name="gfjgkddgfd" localSheetId="12" hidden="1">{#N/A,#N/A,FALSE,"Plan1";#N/A,#N/A,FALSE,"Plan2"}</definedName>
    <definedName name="gfjgkddgfd" hidden="1">{#N/A,#N/A,FALSE,"Plan1";#N/A,#N/A,FALSE,"Plan2"}</definedName>
    <definedName name="gfsghjdgygr" localSheetId="3" hidden="1">{#N/A,#N/A,FALSE,"Plan1";#N/A,#N/A,FALSE,"Plan2"}</definedName>
    <definedName name="gfsghjdgygr" localSheetId="8">{#N/A,#N/A,FALSE,"Plan1";#N/A,#N/A,FALSE,"Plan2"}</definedName>
    <definedName name="gfsghjdgygr" localSheetId="5" hidden="1">{#N/A,#N/A,FALSE,"Plan1";#N/A,#N/A,FALSE,"Plan2"}</definedName>
    <definedName name="gfsghjdgygr" localSheetId="4" hidden="1">{#N/A,#N/A,FALSE,"Plan1";#N/A,#N/A,FALSE,"Plan2"}</definedName>
    <definedName name="gfsghjdgygr" localSheetId="9">{#N/A,#N/A,FALSE,"Plan1";#N/A,#N/A,FALSE,"Plan2"}</definedName>
    <definedName name="gfsghjdgygr" localSheetId="10" hidden="1">{#N/A,#N/A,FALSE,"Plan1";#N/A,#N/A,FALSE,"Plan2"}</definedName>
    <definedName name="gfsghjdgygr" localSheetId="1" hidden="1">{#N/A,#N/A,FALSE,"Plan1";#N/A,#N/A,FALSE,"Plan2"}</definedName>
    <definedName name="gfsghjdgygr" localSheetId="0">{#N/A,#N/A,FALSE,"Plan1";#N/A,#N/A,FALSE,"Plan2"}</definedName>
    <definedName name="gfsghjdgygr" localSheetId="11" hidden="1">{#N/A,#N/A,FALSE,"Plan1";#N/A,#N/A,FALSE,"Plan2"}</definedName>
    <definedName name="gfsghjdgygr" localSheetId="12" hidden="1">{#N/A,#N/A,FALSE,"Plan1";#N/A,#N/A,FALSE,"Plan2"}</definedName>
    <definedName name="gfsghjdgygr" hidden="1">{#N/A,#N/A,FALSE,"Plan1";#N/A,#N/A,FALSE,"Plan2"}</definedName>
    <definedName name="gftfy" localSheetId="3" hidden="1">{#N/A,#N/A,FALSE,"Plan1";#N/A,#N/A,FALSE,"Plan2"}</definedName>
    <definedName name="gftfy" localSheetId="8">{#N/A,#N/A,FALSE,"Plan1";#N/A,#N/A,FALSE,"Plan2"}</definedName>
    <definedName name="gftfy" localSheetId="5" hidden="1">{#N/A,#N/A,FALSE,"Plan1";#N/A,#N/A,FALSE,"Plan2"}</definedName>
    <definedName name="gftfy" localSheetId="4" hidden="1">{#N/A,#N/A,FALSE,"Plan1";#N/A,#N/A,FALSE,"Plan2"}</definedName>
    <definedName name="gftfy" localSheetId="9">{#N/A,#N/A,FALSE,"Plan1";#N/A,#N/A,FALSE,"Plan2"}</definedName>
    <definedName name="gftfy" localSheetId="10" hidden="1">{#N/A,#N/A,FALSE,"Plan1";#N/A,#N/A,FALSE,"Plan2"}</definedName>
    <definedName name="gftfy" localSheetId="1" hidden="1">{#N/A,#N/A,FALSE,"Plan1";#N/A,#N/A,FALSE,"Plan2"}</definedName>
    <definedName name="gftfy" localSheetId="0">{#N/A,#N/A,FALSE,"Plan1";#N/A,#N/A,FALSE,"Plan2"}</definedName>
    <definedName name="gftfy" localSheetId="11" hidden="1">{#N/A,#N/A,FALSE,"Plan1";#N/A,#N/A,FALSE,"Plan2"}</definedName>
    <definedName name="gftfy" localSheetId="12" hidden="1">{#N/A,#N/A,FALSE,"Plan1";#N/A,#N/A,FALSE,"Plan2"}</definedName>
    <definedName name="gftfy" hidden="1">{#N/A,#N/A,FALSE,"Plan1";#N/A,#N/A,FALSE,"Plan2"}</definedName>
    <definedName name="gfty" localSheetId="3" hidden="1">{#N/A,#N/A,FALSE,"Plan1";#N/A,#N/A,FALSE,"Plan2"}</definedName>
    <definedName name="gfty" localSheetId="8">{#N/A,#N/A,FALSE,"Plan1";#N/A,#N/A,FALSE,"Plan2"}</definedName>
    <definedName name="gfty" localSheetId="5" hidden="1">{#N/A,#N/A,FALSE,"Plan1";#N/A,#N/A,FALSE,"Plan2"}</definedName>
    <definedName name="gfty" localSheetId="4" hidden="1">{#N/A,#N/A,FALSE,"Plan1";#N/A,#N/A,FALSE,"Plan2"}</definedName>
    <definedName name="gfty" localSheetId="9">{#N/A,#N/A,FALSE,"Plan1";#N/A,#N/A,FALSE,"Plan2"}</definedName>
    <definedName name="gfty" localSheetId="10" hidden="1">{#N/A,#N/A,FALSE,"Plan1";#N/A,#N/A,FALSE,"Plan2"}</definedName>
    <definedName name="gfty" localSheetId="1" hidden="1">{#N/A,#N/A,FALSE,"Plan1";#N/A,#N/A,FALSE,"Plan2"}</definedName>
    <definedName name="gfty" localSheetId="0">{#N/A,#N/A,FALSE,"Plan1";#N/A,#N/A,FALSE,"Plan2"}</definedName>
    <definedName name="gfty" localSheetId="11" hidden="1">{#N/A,#N/A,FALSE,"Plan1";#N/A,#N/A,FALSE,"Plan2"}</definedName>
    <definedName name="gfty" localSheetId="12" hidden="1">{#N/A,#N/A,FALSE,"Plan1";#N/A,#N/A,FALSE,"Plan2"}</definedName>
    <definedName name="gfty" hidden="1">{#N/A,#N/A,FALSE,"Plan1";#N/A,#N/A,FALSE,"Plan2"}</definedName>
    <definedName name="GFUJU9" localSheetId="3" hidden="1">{#N/A,#N/A,FALSE,"Plan1";#N/A,#N/A,FALSE,"Plan2"}</definedName>
    <definedName name="GFUJU9" localSheetId="8">{#N/A,#N/A,FALSE,"Plan1";#N/A,#N/A,FALSE,"Plan2"}</definedName>
    <definedName name="GFUJU9" localSheetId="5" hidden="1">{#N/A,#N/A,FALSE,"Plan1";#N/A,#N/A,FALSE,"Plan2"}</definedName>
    <definedName name="GFUJU9" localSheetId="4" hidden="1">{#N/A,#N/A,FALSE,"Plan1";#N/A,#N/A,FALSE,"Plan2"}</definedName>
    <definedName name="GFUJU9" localSheetId="9">{#N/A,#N/A,FALSE,"Plan1";#N/A,#N/A,FALSE,"Plan2"}</definedName>
    <definedName name="GFUJU9" localSheetId="10" hidden="1">{#N/A,#N/A,FALSE,"Plan1";#N/A,#N/A,FALSE,"Plan2"}</definedName>
    <definedName name="GFUJU9" localSheetId="1" hidden="1">{#N/A,#N/A,FALSE,"Plan1";#N/A,#N/A,FALSE,"Plan2"}</definedName>
    <definedName name="GFUJU9" localSheetId="0">{#N/A,#N/A,FALSE,"Plan1";#N/A,#N/A,FALSE,"Plan2"}</definedName>
    <definedName name="GFUJU9" localSheetId="11" hidden="1">{#N/A,#N/A,FALSE,"Plan1";#N/A,#N/A,FALSE,"Plan2"}</definedName>
    <definedName name="GFUJU9" localSheetId="12" hidden="1">{#N/A,#N/A,FALSE,"Plan1";#N/A,#N/A,FALSE,"Plan2"}</definedName>
    <definedName name="GFUJU9" hidden="1">{#N/A,#N/A,FALSE,"Plan1";#N/A,#N/A,FALSE,"Plan2"}</definedName>
    <definedName name="ggg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gggg" localSheetId="3" hidden="1">{"'장비'!$A$3:$M$12"}</definedName>
    <definedName name="GGGG" localSheetId="8">{#N/A,#N/A,FALSE,"Plan1";#N/A,#N/A,FALSE,"Plan2"}</definedName>
    <definedName name="GGGG" localSheetId="5" hidden="1">{#N/A,#N/A,FALSE,"Plan1";#N/A,#N/A,FALSE,"Plan2"}</definedName>
    <definedName name="gggg" localSheetId="4" hidden="1">{"'장비'!$A$3:$M$12"}</definedName>
    <definedName name="GGGG" localSheetId="9">{#N/A,#N/A,FALSE,"Plan1";#N/A,#N/A,FALSE,"Plan2"}</definedName>
    <definedName name="gggg" localSheetId="10" hidden="1">{"'장비'!$A$3:$M$12"}</definedName>
    <definedName name="GGGG" localSheetId="1" hidden="1">{#N/A,#N/A,FALSE,"Plan1";#N/A,#N/A,FALSE,"Plan2"}</definedName>
    <definedName name="GGGG" localSheetId="0">{#N/A,#N/A,FALSE,"Plan1";#N/A,#N/A,FALSE,"Plan2"}</definedName>
    <definedName name="gggg" localSheetId="11" hidden="1">{"'장비'!$A$3:$M$12"}</definedName>
    <definedName name="gggg" localSheetId="12" hidden="1">{"'장비'!$A$3:$M$12"}</definedName>
    <definedName name="GGGG" hidden="1">{#N/A,#N/A,FALSE,"Plan1";#N/A,#N/A,FALSE,"Plan2"}</definedName>
    <definedName name="ggggggggg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gggggggg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h" localSheetId="3" hidden="1">{"'장비'!$A$3:$M$12"}</definedName>
    <definedName name="gh" localSheetId="8">{"'장비'!$A$3:$M$12"}</definedName>
    <definedName name="gh" localSheetId="5" hidden="1">{"'장비'!$A$3:$M$12"}</definedName>
    <definedName name="gh" localSheetId="4" hidden="1">{"'장비'!$A$3:$M$12"}</definedName>
    <definedName name="gh" localSheetId="9">{"'장비'!$A$3:$M$12"}</definedName>
    <definedName name="gh" localSheetId="10" hidden="1">{"'장비'!$A$3:$M$12"}</definedName>
    <definedName name="gh" localSheetId="1" hidden="1">{"'장비'!$A$3:$M$12"}</definedName>
    <definedName name="gh" localSheetId="0">{"'장비'!$A$3:$M$12"}</definedName>
    <definedName name="gh" localSheetId="11" hidden="1">{"'장비'!$A$3:$M$12"}</definedName>
    <definedName name="gh" localSheetId="12" hidden="1">{"'장비'!$A$3:$M$12"}</definedName>
    <definedName name="gh" hidden="1">{"'장비'!$A$3:$M$12"}</definedName>
    <definedName name="ghfgdfrtert" localSheetId="3" hidden="1">{#N/A,#N/A,FALSE,"Plan1";#N/A,#N/A,FALSE,"Plan2"}</definedName>
    <definedName name="ghfgdfrtert" localSheetId="8">{#N/A,#N/A,FALSE,"Plan1";#N/A,#N/A,FALSE,"Plan2"}</definedName>
    <definedName name="ghfgdfrtert" localSheetId="5" hidden="1">{#N/A,#N/A,FALSE,"Plan1";#N/A,#N/A,FALSE,"Plan2"}</definedName>
    <definedName name="ghfgdfrtert" localSheetId="4" hidden="1">{#N/A,#N/A,FALSE,"Plan1";#N/A,#N/A,FALSE,"Plan2"}</definedName>
    <definedName name="ghfgdfrtert" localSheetId="9">{#N/A,#N/A,FALSE,"Plan1";#N/A,#N/A,FALSE,"Plan2"}</definedName>
    <definedName name="ghfgdfrtert" localSheetId="10" hidden="1">{#N/A,#N/A,FALSE,"Plan1";#N/A,#N/A,FALSE,"Plan2"}</definedName>
    <definedName name="ghfgdfrtert" localSheetId="1" hidden="1">{#N/A,#N/A,FALSE,"Plan1";#N/A,#N/A,FALSE,"Plan2"}</definedName>
    <definedName name="ghfgdfrtert" localSheetId="0">{#N/A,#N/A,FALSE,"Plan1";#N/A,#N/A,FALSE,"Plan2"}</definedName>
    <definedName name="ghfgdfrtert" localSheetId="11" hidden="1">{#N/A,#N/A,FALSE,"Plan1";#N/A,#N/A,FALSE,"Plan2"}</definedName>
    <definedName name="ghfgdfrtert" localSheetId="12" hidden="1">{#N/A,#N/A,FALSE,"Plan1";#N/A,#N/A,FALSE,"Plan2"}</definedName>
    <definedName name="ghfgdfrtert" hidden="1">{#N/A,#N/A,FALSE,"Plan1";#N/A,#N/A,FALSE,"Plan2"}</definedName>
    <definedName name="ghfhghft" localSheetId="3" hidden="1">{#N/A,#N/A,FALSE,"Plan1";#N/A,#N/A,FALSE,"Plan2"}</definedName>
    <definedName name="ghfhghft" localSheetId="8">{#N/A,#N/A,FALSE,"Plan1";#N/A,#N/A,FALSE,"Plan2"}</definedName>
    <definedName name="ghfhghft" localSheetId="5" hidden="1">{#N/A,#N/A,FALSE,"Plan1";#N/A,#N/A,FALSE,"Plan2"}</definedName>
    <definedName name="ghfhghft" localSheetId="4" hidden="1">{#N/A,#N/A,FALSE,"Plan1";#N/A,#N/A,FALSE,"Plan2"}</definedName>
    <definedName name="ghfhghft" localSheetId="9">{#N/A,#N/A,FALSE,"Plan1";#N/A,#N/A,FALSE,"Plan2"}</definedName>
    <definedName name="ghfhghft" localSheetId="10" hidden="1">{#N/A,#N/A,FALSE,"Plan1";#N/A,#N/A,FALSE,"Plan2"}</definedName>
    <definedName name="ghfhghft" localSheetId="1" hidden="1">{#N/A,#N/A,FALSE,"Plan1";#N/A,#N/A,FALSE,"Plan2"}</definedName>
    <definedName name="ghfhghft" localSheetId="0">{#N/A,#N/A,FALSE,"Plan1";#N/A,#N/A,FALSE,"Plan2"}</definedName>
    <definedName name="ghfhghft" localSheetId="11" hidden="1">{#N/A,#N/A,FALSE,"Plan1";#N/A,#N/A,FALSE,"Plan2"}</definedName>
    <definedName name="ghfhghft" localSheetId="12" hidden="1">{#N/A,#N/A,FALSE,"Plan1";#N/A,#N/A,FALSE,"Plan2"}</definedName>
    <definedName name="ghfhghft" hidden="1">{#N/A,#N/A,FALSE,"Plan1";#N/A,#N/A,FALSE,"Plan2"}</definedName>
    <definedName name="ghjg" localSheetId="3" hidden="1">{"'Estimativa de Lançamento-JAN'!$A$1:$AI$85"}</definedName>
    <definedName name="ghjg" localSheetId="8">{"'Estimativa de Lançamento-JAN'!$A$1:$AI$85"}</definedName>
    <definedName name="ghjg" localSheetId="5" hidden="1">{"'Estimativa de Lançamento-JAN'!$A$1:$AI$85"}</definedName>
    <definedName name="ghjg" localSheetId="4" hidden="1">{"'Estimativa de Lançamento-JAN'!$A$1:$AI$85"}</definedName>
    <definedName name="ghjg" localSheetId="9">{"'Estimativa de Lançamento-JAN'!$A$1:$AI$85"}</definedName>
    <definedName name="ghjg" localSheetId="10" hidden="1">{"'Estimativa de Lançamento-JAN'!$A$1:$AI$85"}</definedName>
    <definedName name="ghjg" localSheetId="1" hidden="1">{"'Estimativa de Lançamento-JAN'!$A$1:$AI$85"}</definedName>
    <definedName name="ghjg" localSheetId="0">{"'Estimativa de Lançamento-JAN'!$A$1:$AI$85"}</definedName>
    <definedName name="ghjg" localSheetId="11" hidden="1">{"'Estimativa de Lançamento-JAN'!$A$1:$AI$85"}</definedName>
    <definedName name="ghjg" localSheetId="12" hidden="1">{"'Estimativa de Lançamento-JAN'!$A$1:$AI$85"}</definedName>
    <definedName name="ghjg" hidden="1">{"'Estimativa de Lançamento-JAN'!$A$1:$AI$85"}</definedName>
    <definedName name="ghkfhgh" localSheetId="3" hidden="1">{#N/A,#N/A,FALSE,"Plan1";#N/A,#N/A,FALSE,"Plan2"}</definedName>
    <definedName name="ghkfhgh" localSheetId="8">{#N/A,#N/A,FALSE,"Plan1";#N/A,#N/A,FALSE,"Plan2"}</definedName>
    <definedName name="ghkfhgh" localSheetId="5" hidden="1">{#N/A,#N/A,FALSE,"Plan1";#N/A,#N/A,FALSE,"Plan2"}</definedName>
    <definedName name="ghkfhgh" localSheetId="4" hidden="1">{#N/A,#N/A,FALSE,"Plan1";#N/A,#N/A,FALSE,"Plan2"}</definedName>
    <definedName name="ghkfhgh" localSheetId="9">{#N/A,#N/A,FALSE,"Plan1";#N/A,#N/A,FALSE,"Plan2"}</definedName>
    <definedName name="ghkfhgh" localSheetId="10" hidden="1">{#N/A,#N/A,FALSE,"Plan1";#N/A,#N/A,FALSE,"Plan2"}</definedName>
    <definedName name="ghkfhgh" localSheetId="1" hidden="1">{#N/A,#N/A,FALSE,"Plan1";#N/A,#N/A,FALSE,"Plan2"}</definedName>
    <definedName name="ghkfhgh" localSheetId="0">{#N/A,#N/A,FALSE,"Plan1";#N/A,#N/A,FALSE,"Plan2"}</definedName>
    <definedName name="ghkfhgh" localSheetId="11" hidden="1">{#N/A,#N/A,FALSE,"Plan1";#N/A,#N/A,FALSE,"Plan2"}</definedName>
    <definedName name="ghkfhgh" localSheetId="12" hidden="1">{#N/A,#N/A,FALSE,"Plan1";#N/A,#N/A,FALSE,"Plan2"}</definedName>
    <definedName name="ghkfhgh" hidden="1">{#N/A,#N/A,FALSE,"Plan1";#N/A,#N/A,FALSE,"Plan2"}</definedName>
    <definedName name="ghkjh" localSheetId="3" hidden="1">{#N/A,#N/A,FALSE,"ENG'G(보호계전기)"}</definedName>
    <definedName name="ghkjh" localSheetId="8">{#N/A,#N/A,FALSE,"ENG'G(보호계전기)"}</definedName>
    <definedName name="ghkjh" localSheetId="5" hidden="1">{#N/A,#N/A,FALSE,"ENG'G(보호계전기)"}</definedName>
    <definedName name="ghkjh" localSheetId="4" hidden="1">{#N/A,#N/A,FALSE,"ENG'G(보호계전기)"}</definedName>
    <definedName name="ghkjh" localSheetId="9">{#N/A,#N/A,FALSE,"ENG'G(보호계전기)"}</definedName>
    <definedName name="ghkjh" localSheetId="10" hidden="1">{#N/A,#N/A,FALSE,"ENG'G(보호계전기)"}</definedName>
    <definedName name="ghkjh" localSheetId="1" hidden="1">{#N/A,#N/A,FALSE,"ENG'G(보호계전기)"}</definedName>
    <definedName name="ghkjh" localSheetId="0">{#N/A,#N/A,FALSE,"ENG'G(보호계전기)"}</definedName>
    <definedName name="ghkjh" localSheetId="11" hidden="1">{#N/A,#N/A,FALSE,"ENG'G(보호계전기)"}</definedName>
    <definedName name="ghkjh" localSheetId="12" hidden="1">{#N/A,#N/A,FALSE,"ENG'G(보호계전기)"}</definedName>
    <definedName name="ghkjh" hidden="1">{#N/A,#N/A,FALSE,"ENG'G(보호계전기)"}</definedName>
    <definedName name="GJ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fhjktgcf" localSheetId="3" hidden="1">{#N/A,#N/A,FALSE,"Plan1";#N/A,#N/A,FALSE,"Plan2"}</definedName>
    <definedName name="gjfhjktgcf" localSheetId="8">{#N/A,#N/A,FALSE,"Plan1";#N/A,#N/A,FALSE,"Plan2"}</definedName>
    <definedName name="gjfhjktgcf" localSheetId="5" hidden="1">{#N/A,#N/A,FALSE,"Plan1";#N/A,#N/A,FALSE,"Plan2"}</definedName>
    <definedName name="gjfhjktgcf" localSheetId="4" hidden="1">{#N/A,#N/A,FALSE,"Plan1";#N/A,#N/A,FALSE,"Plan2"}</definedName>
    <definedName name="gjfhjktgcf" localSheetId="9">{#N/A,#N/A,FALSE,"Plan1";#N/A,#N/A,FALSE,"Plan2"}</definedName>
    <definedName name="gjfhjktgcf" localSheetId="10" hidden="1">{#N/A,#N/A,FALSE,"Plan1";#N/A,#N/A,FALSE,"Plan2"}</definedName>
    <definedName name="gjfhjktgcf" localSheetId="1" hidden="1">{#N/A,#N/A,FALSE,"Plan1";#N/A,#N/A,FALSE,"Plan2"}</definedName>
    <definedName name="gjfhjktgcf" localSheetId="0">{#N/A,#N/A,FALSE,"Plan1";#N/A,#N/A,FALSE,"Plan2"}</definedName>
    <definedName name="gjfhjktgcf" localSheetId="11" hidden="1">{#N/A,#N/A,FALSE,"Plan1";#N/A,#N/A,FALSE,"Plan2"}</definedName>
    <definedName name="gjfhjktgcf" localSheetId="12" hidden="1">{#N/A,#N/A,FALSE,"Plan1";#N/A,#N/A,FALSE,"Plan2"}</definedName>
    <definedName name="gjfhjktgcf" hidden="1">{#N/A,#N/A,FALSE,"Plan1";#N/A,#N/A,FALSE,"Plan2"}</definedName>
    <definedName name="GJ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jg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g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hgjhjfggfjhfg" localSheetId="3" hidden="1">{#N/A,#N/A,FALSE,"Plan1";#N/A,#N/A,FALSE,"Plan2"}</definedName>
    <definedName name="gjkhgjhjfggfjhfg" localSheetId="8">{#N/A,#N/A,FALSE,"Plan1";#N/A,#N/A,FALSE,"Plan2"}</definedName>
    <definedName name="gjkhgjhjfggfjhfg" localSheetId="5" hidden="1">{#N/A,#N/A,FALSE,"Plan1";#N/A,#N/A,FALSE,"Plan2"}</definedName>
    <definedName name="gjkhgjhjfggfjhfg" localSheetId="4" hidden="1">{#N/A,#N/A,FALSE,"Plan1";#N/A,#N/A,FALSE,"Plan2"}</definedName>
    <definedName name="gjkhgjhjfggfjhfg" localSheetId="9">{#N/A,#N/A,FALSE,"Plan1";#N/A,#N/A,FALSE,"Plan2"}</definedName>
    <definedName name="gjkhgjhjfggfjhfg" localSheetId="10" hidden="1">{#N/A,#N/A,FALSE,"Plan1";#N/A,#N/A,FALSE,"Plan2"}</definedName>
    <definedName name="gjkhgjhjfggfjhfg" localSheetId="1" hidden="1">{#N/A,#N/A,FALSE,"Plan1";#N/A,#N/A,FALSE,"Plan2"}</definedName>
    <definedName name="gjkhgjhjfggfjhfg" localSheetId="0">{#N/A,#N/A,FALSE,"Plan1";#N/A,#N/A,FALSE,"Plan2"}</definedName>
    <definedName name="gjkhgjhjfggfjhfg" localSheetId="11" hidden="1">{#N/A,#N/A,FALSE,"Plan1";#N/A,#N/A,FALSE,"Plan2"}</definedName>
    <definedName name="gjkhgjhjfggfjhfg" localSheetId="12" hidden="1">{#N/A,#N/A,FALSE,"Plan1";#N/A,#N/A,FALSE,"Plan2"}</definedName>
    <definedName name="gjkhgjhjfggfjhfg" hidden="1">{#N/A,#N/A,FALSE,"Plan1";#N/A,#N/A,FALSE,"Plan2"}</definedName>
    <definedName name="glgl" localSheetId="3" hidden="1">{#N/A,#N/A,FALSE,"Plan1";#N/A,#N/A,FALSE,"Plan2"}</definedName>
    <definedName name="glgl" localSheetId="8">{#N/A,#N/A,FALSE,"Plan1";#N/A,#N/A,FALSE,"Plan2"}</definedName>
    <definedName name="glgl" localSheetId="5" hidden="1">{#N/A,#N/A,FALSE,"Plan1";#N/A,#N/A,FALSE,"Plan2"}</definedName>
    <definedName name="glgl" localSheetId="4" hidden="1">{#N/A,#N/A,FALSE,"Plan1";#N/A,#N/A,FALSE,"Plan2"}</definedName>
    <definedName name="glgl" localSheetId="9">{#N/A,#N/A,FALSE,"Plan1";#N/A,#N/A,FALSE,"Plan2"}</definedName>
    <definedName name="glgl" localSheetId="10" hidden="1">{#N/A,#N/A,FALSE,"Plan1";#N/A,#N/A,FALSE,"Plan2"}</definedName>
    <definedName name="glgl" localSheetId="1" hidden="1">{#N/A,#N/A,FALSE,"Plan1";#N/A,#N/A,FALSE,"Plan2"}</definedName>
    <definedName name="glgl" localSheetId="0">{#N/A,#N/A,FALSE,"Plan1";#N/A,#N/A,FALSE,"Plan2"}</definedName>
    <definedName name="glgl" localSheetId="11" hidden="1">{#N/A,#N/A,FALSE,"Plan1";#N/A,#N/A,FALSE,"Plan2"}</definedName>
    <definedName name="glgl" localSheetId="12" hidden="1">{#N/A,#N/A,FALSE,"Plan1";#N/A,#N/A,FALSE,"Plan2"}</definedName>
    <definedName name="glgl" hidden="1">{#N/A,#N/A,FALSE,"Plan1";#N/A,#N/A,FALSE,"Plan2"}</definedName>
    <definedName name="global" localSheetId="3" hidden="1">{"'Estimativa de Lançamento-JAN'!$A$1:$AI$85"}</definedName>
    <definedName name="global" localSheetId="8">{"'Estimativa de Lançamento-JAN'!$A$1:$AI$85"}</definedName>
    <definedName name="GLOBAL" localSheetId="5">#REF!</definedName>
    <definedName name="global" localSheetId="4" hidden="1">{"'Estimativa de Lançamento-JAN'!$A$1:$AI$85"}</definedName>
    <definedName name="GLOBAL" localSheetId="9">#REF!</definedName>
    <definedName name="global" localSheetId="10" hidden="1">{"'Estimativa de Lançamento-JAN'!$A$1:$AI$85"}</definedName>
    <definedName name="global" localSheetId="1" hidden="1">{"'Estimativa de Lançamento-JAN'!$A$1:$AI$85"}</definedName>
    <definedName name="GLOBAL" localSheetId="0">#REF!</definedName>
    <definedName name="global" localSheetId="11" hidden="1">{"'Estimativa de Lançamento-JAN'!$A$1:$AI$85"}</definedName>
    <definedName name="global" localSheetId="12" hidden="1">{"'Estimativa de Lançamento-JAN'!$A$1:$AI$85"}</definedName>
    <definedName name="GLOBAL">#REF!</definedName>
    <definedName name="gnfrt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nfrt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rec_cdi" localSheetId="8">#REF!</definedName>
    <definedName name="grec_cdi" localSheetId="5">#REF!</definedName>
    <definedName name="grec_cdi" localSheetId="9">#REF!</definedName>
    <definedName name="grec_cdi" localSheetId="10">#REF!</definedName>
    <definedName name="grec_cdi" localSheetId="0">#REF!</definedName>
    <definedName name="grec_cdi" localSheetId="11">#REF!</definedName>
    <definedName name="grec_cdi" localSheetId="12">#REF!</definedName>
    <definedName name="grec_cdi">#REF!</definedName>
    <definedName name="grec_hist" localSheetId="8">#REF!</definedName>
    <definedName name="grec_hist" localSheetId="5">#REF!</definedName>
    <definedName name="grec_hist" localSheetId="9">#REF!</definedName>
    <definedName name="grec_hist" localSheetId="10">#REF!</definedName>
    <definedName name="grec_hist" localSheetId="0">#REF!</definedName>
    <definedName name="grec_hist" localSheetId="11">#REF!</definedName>
    <definedName name="grec_hist" localSheetId="12">#REF!</definedName>
    <definedName name="grec_hist">#REF!</definedName>
    <definedName name="grec_uss" localSheetId="8">#REF!</definedName>
    <definedName name="grec_uss" localSheetId="5">#REF!</definedName>
    <definedName name="grec_uss" localSheetId="9">#REF!</definedName>
    <definedName name="grec_uss" localSheetId="10">#REF!</definedName>
    <definedName name="grec_uss" localSheetId="0">#REF!</definedName>
    <definedName name="grec_uss" localSheetId="11">#REF!</definedName>
    <definedName name="grec_uss" localSheetId="12">#REF!</definedName>
    <definedName name="grec_uss">#REF!</definedName>
    <definedName name="grua" localSheetId="8">#REF!</definedName>
    <definedName name="grua" localSheetId="5">#REF!</definedName>
    <definedName name="grua" localSheetId="10">#REF!</definedName>
    <definedName name="grua" localSheetId="11">#REF!</definedName>
    <definedName name="grua" localSheetId="12">#REF!</definedName>
    <definedName name="grua">#REF!</definedName>
    <definedName name="GSDWJSTG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SDWJSTG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gtuigsdyugsdf" localSheetId="3" hidden="1">{#N/A,#N/A,FALSE,"Plan1";#N/A,#N/A,FALSE,"Plan2"}</definedName>
    <definedName name="gtuigsdyugsdf" localSheetId="8">{#N/A,#N/A,FALSE,"Plan1";#N/A,#N/A,FALSE,"Plan2"}</definedName>
    <definedName name="gtuigsdyugsdf" localSheetId="5" hidden="1">{#N/A,#N/A,FALSE,"Plan1";#N/A,#N/A,FALSE,"Plan2"}</definedName>
    <definedName name="gtuigsdyugsdf" localSheetId="4" hidden="1">{#N/A,#N/A,FALSE,"Plan1";#N/A,#N/A,FALSE,"Plan2"}</definedName>
    <definedName name="gtuigsdyugsdf" localSheetId="9">{#N/A,#N/A,FALSE,"Plan1";#N/A,#N/A,FALSE,"Plan2"}</definedName>
    <definedName name="gtuigsdyugsdf" localSheetId="10" hidden="1">{#N/A,#N/A,FALSE,"Plan1";#N/A,#N/A,FALSE,"Plan2"}</definedName>
    <definedName name="gtuigsdyugsdf" localSheetId="1" hidden="1">{#N/A,#N/A,FALSE,"Plan1";#N/A,#N/A,FALSE,"Plan2"}</definedName>
    <definedName name="gtuigsdyugsdf" localSheetId="0">{#N/A,#N/A,FALSE,"Plan1";#N/A,#N/A,FALSE,"Plan2"}</definedName>
    <definedName name="gtuigsdyugsdf" localSheetId="11" hidden="1">{#N/A,#N/A,FALSE,"Plan1";#N/A,#N/A,FALSE,"Plan2"}</definedName>
    <definedName name="gtuigsdyugsdf" localSheetId="12" hidden="1">{#N/A,#N/A,FALSE,"Plan1";#N/A,#N/A,FALSE,"Plan2"}</definedName>
    <definedName name="gtuigsdyugsdf" hidden="1">{#N/A,#N/A,FALSE,"Plan1";#N/A,#N/A,FALSE,"Plan2"}</definedName>
    <definedName name="GUI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V" localSheetId="3" hidden="1">{#N/A,#N/A,FALSE,"CCTV"}</definedName>
    <definedName name="GV" localSheetId="8">{#N/A,#N/A,FALSE,"CCTV"}</definedName>
    <definedName name="GV" localSheetId="5" hidden="1">{#N/A,#N/A,FALSE,"CCTV"}</definedName>
    <definedName name="GV" localSheetId="4" hidden="1">{#N/A,#N/A,FALSE,"CCTV"}</definedName>
    <definedName name="GV" localSheetId="9">{#N/A,#N/A,FALSE,"CCTV"}</definedName>
    <definedName name="GV" localSheetId="10" hidden="1">{#N/A,#N/A,FALSE,"CCTV"}</definedName>
    <definedName name="GV" localSheetId="1" hidden="1">{#N/A,#N/A,FALSE,"CCTV"}</definedName>
    <definedName name="GV" localSheetId="0">{#N/A,#N/A,FALSE,"CCTV"}</definedName>
    <definedName name="GV" localSheetId="11" hidden="1">{#N/A,#N/A,FALSE,"CCTV"}</definedName>
    <definedName name="GV" localSheetId="12" hidden="1">{#N/A,#N/A,FALSE,"CCTV"}</definedName>
    <definedName name="GV" hidden="1">{#N/A,#N/A,FALSE,"CCTV"}</definedName>
    <definedName name="h" localSheetId="8">#REF!</definedName>
    <definedName name="h" localSheetId="5">#REF!</definedName>
    <definedName name="h" localSheetId="9">#REF!</definedName>
    <definedName name="h" localSheetId="10">#REF!</definedName>
    <definedName name="h" localSheetId="0">#REF!</definedName>
    <definedName name="h" localSheetId="11">#REF!</definedName>
    <definedName name="h" localSheetId="12">#REF!</definedName>
    <definedName name="h">#REF!</definedName>
    <definedName name="hbjgjuae" localSheetId="8">#REF!</definedName>
    <definedName name="hbjgjuae" localSheetId="5">#REF!</definedName>
    <definedName name="hbjgjuae" localSheetId="9">#REF!</definedName>
    <definedName name="hbjgjuae" localSheetId="10">#REF!</definedName>
    <definedName name="hbjgjuae" localSheetId="0">#REF!</definedName>
    <definedName name="hbjgjuae" localSheetId="11">#REF!</definedName>
    <definedName name="hbjgjuae" localSheetId="12">#REF!</definedName>
    <definedName name="hbjgjuae">#REF!</definedName>
    <definedName name="hcjfkhdghfktg" localSheetId="3" hidden="1">{#N/A,#N/A,FALSE,"Plan1";#N/A,#N/A,FALSE,"Plan2"}</definedName>
    <definedName name="hcjfkhdghfktg" localSheetId="8">{#N/A,#N/A,FALSE,"Plan1";#N/A,#N/A,FALSE,"Plan2"}</definedName>
    <definedName name="hcjfkhdghfktg" localSheetId="5" hidden="1">{#N/A,#N/A,FALSE,"Plan1";#N/A,#N/A,FALSE,"Plan2"}</definedName>
    <definedName name="hcjfkhdghfktg" localSheetId="4" hidden="1">{#N/A,#N/A,FALSE,"Plan1";#N/A,#N/A,FALSE,"Plan2"}</definedName>
    <definedName name="hcjfkhdghfktg" localSheetId="9">{#N/A,#N/A,FALSE,"Plan1";#N/A,#N/A,FALSE,"Plan2"}</definedName>
    <definedName name="hcjfkhdghfktg" localSheetId="10" hidden="1">{#N/A,#N/A,FALSE,"Plan1";#N/A,#N/A,FALSE,"Plan2"}</definedName>
    <definedName name="hcjfkhdghfktg" localSheetId="1" hidden="1">{#N/A,#N/A,FALSE,"Plan1";#N/A,#N/A,FALSE,"Plan2"}</definedName>
    <definedName name="hcjfkhdghfktg" localSheetId="0">{#N/A,#N/A,FALSE,"Plan1";#N/A,#N/A,FALSE,"Plan2"}</definedName>
    <definedName name="hcjfkhdghfktg" localSheetId="11" hidden="1">{#N/A,#N/A,FALSE,"Plan1";#N/A,#N/A,FALSE,"Plan2"}</definedName>
    <definedName name="hcjfkhdghfktg" localSheetId="12" hidden="1">{#N/A,#N/A,FALSE,"Plan1";#N/A,#N/A,FALSE,"Plan2"}</definedName>
    <definedName name="hcjfkhdghfktg" hidden="1">{#N/A,#N/A,FALSE,"Plan1";#N/A,#N/A,FALSE,"Plan2"}</definedName>
    <definedName name="hckhjfdkgfdg" localSheetId="8">#REF!</definedName>
    <definedName name="hckhjfdkgfdg" localSheetId="5" hidden="1">#REF!</definedName>
    <definedName name="hckhjfdkgfdg" localSheetId="9">#REF!</definedName>
    <definedName name="hckhjfdkgfdg" localSheetId="10" hidden="1">#REF!</definedName>
    <definedName name="hckhjfdkgfdg" localSheetId="1" hidden="1">#REF!</definedName>
    <definedName name="hckhjfdkgfdg" localSheetId="0">#REF!</definedName>
    <definedName name="hckhjfdkgfdg" localSheetId="11" hidden="1">#REF!</definedName>
    <definedName name="hckhjfdkgfdg" localSheetId="12" hidden="1">#REF!</definedName>
    <definedName name="hckhjfdkgfdg" hidden="1">#REF!</definedName>
    <definedName name="hddfndgdf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dfndgdf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DFGHGST" localSheetId="3" hidden="1">{#N/A,#N/A,FALSE,"Plan1";#N/A,#N/A,FALSE,"Plan2"}</definedName>
    <definedName name="HDFGHGST" localSheetId="8">{#N/A,#N/A,FALSE,"Plan1";#N/A,#N/A,FALSE,"Plan2"}</definedName>
    <definedName name="HDFGHGST" localSheetId="5" hidden="1">{#N/A,#N/A,FALSE,"Plan1";#N/A,#N/A,FALSE,"Plan2"}</definedName>
    <definedName name="HDFGHGST" localSheetId="4" hidden="1">{#N/A,#N/A,FALSE,"Plan1";#N/A,#N/A,FALSE,"Plan2"}</definedName>
    <definedName name="HDFGHGST" localSheetId="9">{#N/A,#N/A,FALSE,"Plan1";#N/A,#N/A,FALSE,"Plan2"}</definedName>
    <definedName name="HDFGHGST" localSheetId="10" hidden="1">{#N/A,#N/A,FALSE,"Plan1";#N/A,#N/A,FALSE,"Plan2"}</definedName>
    <definedName name="HDFGHGST" localSheetId="1" hidden="1">{#N/A,#N/A,FALSE,"Plan1";#N/A,#N/A,FALSE,"Plan2"}</definedName>
    <definedName name="HDFGHGST" localSheetId="0">{#N/A,#N/A,FALSE,"Plan1";#N/A,#N/A,FALSE,"Plan2"}</definedName>
    <definedName name="HDFGHGST" localSheetId="11" hidden="1">{#N/A,#N/A,FALSE,"Plan1";#N/A,#N/A,FALSE,"Plan2"}</definedName>
    <definedName name="HDFGHGST" localSheetId="12" hidden="1">{#N/A,#N/A,FALSE,"Plan1";#N/A,#N/A,FALSE,"Plan2"}</definedName>
    <definedName name="HDFGHGST" hidden="1">{#N/A,#N/A,FALSE,"Plan1";#N/A,#N/A,FALSE,"Plan2"}</definedName>
    <definedName name="HDFGJKHKFDHTY" localSheetId="3" hidden="1">{#N/A,#N/A,FALSE,"Plan1";#N/A,#N/A,FALSE,"Plan2"}</definedName>
    <definedName name="HDFGJKHKFDHTY" localSheetId="8">{#N/A,#N/A,FALSE,"Plan1";#N/A,#N/A,FALSE,"Plan2"}</definedName>
    <definedName name="HDFGJKHKFDHTY" localSheetId="5" hidden="1">{#N/A,#N/A,FALSE,"Plan1";#N/A,#N/A,FALSE,"Plan2"}</definedName>
    <definedName name="HDFGJKHKFDHTY" localSheetId="4" hidden="1">{#N/A,#N/A,FALSE,"Plan1";#N/A,#N/A,FALSE,"Plan2"}</definedName>
    <definedName name="HDFGJKHKFDHTY" localSheetId="9">{#N/A,#N/A,FALSE,"Plan1";#N/A,#N/A,FALSE,"Plan2"}</definedName>
    <definedName name="HDFGJKHKFDHTY" localSheetId="10" hidden="1">{#N/A,#N/A,FALSE,"Plan1";#N/A,#N/A,FALSE,"Plan2"}</definedName>
    <definedName name="HDFGJKHKFDHTY" localSheetId="1" hidden="1">{#N/A,#N/A,FALSE,"Plan1";#N/A,#N/A,FALSE,"Plan2"}</definedName>
    <definedName name="HDFGJKHKFDHTY" localSheetId="0">{#N/A,#N/A,FALSE,"Plan1";#N/A,#N/A,FALSE,"Plan2"}</definedName>
    <definedName name="HDFGJKHKFDHTY" localSheetId="11" hidden="1">{#N/A,#N/A,FALSE,"Plan1";#N/A,#N/A,FALSE,"Plan2"}</definedName>
    <definedName name="HDFGJKHKFDHTY" localSheetId="12" hidden="1">{#N/A,#N/A,FALSE,"Plan1";#N/A,#N/A,FALSE,"Plan2"}</definedName>
    <definedName name="HDFGJKHKFDHTY" hidden="1">{#N/A,#N/A,FALSE,"Plan1";#N/A,#N/A,FALSE,"Plan2"}</definedName>
    <definedName name="hdfhdhrtgd" localSheetId="3" hidden="1">{#N/A,#N/A,FALSE,"Plan1";#N/A,#N/A,FALSE,"Plan2"}</definedName>
    <definedName name="hdfhdhrtgd" localSheetId="8">{#N/A,#N/A,FALSE,"Plan1";#N/A,#N/A,FALSE,"Plan2"}</definedName>
    <definedName name="hdfhdhrtgd" localSheetId="5" hidden="1">{#N/A,#N/A,FALSE,"Plan1";#N/A,#N/A,FALSE,"Plan2"}</definedName>
    <definedName name="hdfhdhrtgd" localSheetId="4" hidden="1">{#N/A,#N/A,FALSE,"Plan1";#N/A,#N/A,FALSE,"Plan2"}</definedName>
    <definedName name="hdfhdhrtgd" localSheetId="9">{#N/A,#N/A,FALSE,"Plan1";#N/A,#N/A,FALSE,"Plan2"}</definedName>
    <definedName name="hdfhdhrtgd" localSheetId="10" hidden="1">{#N/A,#N/A,FALSE,"Plan1";#N/A,#N/A,FALSE,"Plan2"}</definedName>
    <definedName name="hdfhdhrtgd" localSheetId="1" hidden="1">{#N/A,#N/A,FALSE,"Plan1";#N/A,#N/A,FALSE,"Plan2"}</definedName>
    <definedName name="hdfhdhrtgd" localSheetId="0">{#N/A,#N/A,FALSE,"Plan1";#N/A,#N/A,FALSE,"Plan2"}</definedName>
    <definedName name="hdfhdhrtgd" localSheetId="11" hidden="1">{#N/A,#N/A,FALSE,"Plan1";#N/A,#N/A,FALSE,"Plan2"}</definedName>
    <definedName name="hdfhdhrtgd" localSheetId="12" hidden="1">{#N/A,#N/A,FALSE,"Plan1";#N/A,#N/A,FALSE,"Plan2"}</definedName>
    <definedName name="hdfhdhrtgd" hidden="1">{#N/A,#N/A,FALSE,"Plan1";#N/A,#N/A,FALSE,"Plan2"}</definedName>
    <definedName name="hdfhftde" localSheetId="3" hidden="1">{#N/A,#N/A,FALSE,"Plan1";#N/A,#N/A,FALSE,"Plan2"}</definedName>
    <definedName name="hdfhftde" localSheetId="8">{#N/A,#N/A,FALSE,"Plan1";#N/A,#N/A,FALSE,"Plan2"}</definedName>
    <definedName name="hdfhftde" localSheetId="5" hidden="1">{#N/A,#N/A,FALSE,"Plan1";#N/A,#N/A,FALSE,"Plan2"}</definedName>
    <definedName name="hdfhftde" localSheetId="4" hidden="1">{#N/A,#N/A,FALSE,"Plan1";#N/A,#N/A,FALSE,"Plan2"}</definedName>
    <definedName name="hdfhftde" localSheetId="9">{#N/A,#N/A,FALSE,"Plan1";#N/A,#N/A,FALSE,"Plan2"}</definedName>
    <definedName name="hdfhftde" localSheetId="10" hidden="1">{#N/A,#N/A,FALSE,"Plan1";#N/A,#N/A,FALSE,"Plan2"}</definedName>
    <definedName name="hdfhftde" localSheetId="1" hidden="1">{#N/A,#N/A,FALSE,"Plan1";#N/A,#N/A,FALSE,"Plan2"}</definedName>
    <definedName name="hdfhftde" localSheetId="0">{#N/A,#N/A,FALSE,"Plan1";#N/A,#N/A,FALSE,"Plan2"}</definedName>
    <definedName name="hdfhftde" localSheetId="11" hidden="1">{#N/A,#N/A,FALSE,"Plan1";#N/A,#N/A,FALSE,"Plan2"}</definedName>
    <definedName name="hdfhftde" localSheetId="12" hidden="1">{#N/A,#N/A,FALSE,"Plan1";#N/A,#N/A,FALSE,"Plan2"}</definedName>
    <definedName name="hdfhftde" hidden="1">{#N/A,#N/A,FALSE,"Plan1";#N/A,#N/A,FALSE,"Plan2"}</definedName>
    <definedName name="hdfhgkdhgtrf" localSheetId="3" hidden="1">{#N/A,#N/A,FALSE,"Plan1";#N/A,#N/A,FALSE,"Plan2"}</definedName>
    <definedName name="hdfhgkdhgtrf" localSheetId="8">{#N/A,#N/A,FALSE,"Plan1";#N/A,#N/A,FALSE,"Plan2"}</definedName>
    <definedName name="hdfhgkdhgtrf" localSheetId="5" hidden="1">{#N/A,#N/A,FALSE,"Plan1";#N/A,#N/A,FALSE,"Plan2"}</definedName>
    <definedName name="hdfhgkdhgtrf" localSheetId="4" hidden="1">{#N/A,#N/A,FALSE,"Plan1";#N/A,#N/A,FALSE,"Plan2"}</definedName>
    <definedName name="hdfhgkdhgtrf" localSheetId="9">{#N/A,#N/A,FALSE,"Plan1";#N/A,#N/A,FALSE,"Plan2"}</definedName>
    <definedName name="hdfhgkdhgtrf" localSheetId="10" hidden="1">{#N/A,#N/A,FALSE,"Plan1";#N/A,#N/A,FALSE,"Plan2"}</definedName>
    <definedName name="hdfhgkdhgtrf" localSheetId="1" hidden="1">{#N/A,#N/A,FALSE,"Plan1";#N/A,#N/A,FALSE,"Plan2"}</definedName>
    <definedName name="hdfhgkdhgtrf" localSheetId="0">{#N/A,#N/A,FALSE,"Plan1";#N/A,#N/A,FALSE,"Plan2"}</definedName>
    <definedName name="hdfhgkdhgtrf" localSheetId="11" hidden="1">{#N/A,#N/A,FALSE,"Plan1";#N/A,#N/A,FALSE,"Plan2"}</definedName>
    <definedName name="hdfhgkdhgtrf" localSheetId="12" hidden="1">{#N/A,#N/A,FALSE,"Plan1";#N/A,#N/A,FALSE,"Plan2"}</definedName>
    <definedName name="hdfhgkdhgtrf" hidden="1">{#N/A,#N/A,FALSE,"Plan1";#N/A,#N/A,FALSE,"Plan2"}</definedName>
    <definedName name="hdfjhdkzhgdr" localSheetId="3" hidden="1">{#N/A,#N/A,FALSE,"Plan1";#N/A,#N/A,FALSE,"Plan2"}</definedName>
    <definedName name="hdfjhdkzhgdr" localSheetId="8">{#N/A,#N/A,FALSE,"Plan1";#N/A,#N/A,FALSE,"Plan2"}</definedName>
    <definedName name="hdfjhdkzhgdr" localSheetId="5" hidden="1">{#N/A,#N/A,FALSE,"Plan1";#N/A,#N/A,FALSE,"Plan2"}</definedName>
    <definedName name="hdfjhdkzhgdr" localSheetId="4" hidden="1">{#N/A,#N/A,FALSE,"Plan1";#N/A,#N/A,FALSE,"Plan2"}</definedName>
    <definedName name="hdfjhdkzhgdr" localSheetId="9">{#N/A,#N/A,FALSE,"Plan1";#N/A,#N/A,FALSE,"Plan2"}</definedName>
    <definedName name="hdfjhdkzhgdr" localSheetId="10" hidden="1">{#N/A,#N/A,FALSE,"Plan1";#N/A,#N/A,FALSE,"Plan2"}</definedName>
    <definedName name="hdfjhdkzhgdr" localSheetId="1" hidden="1">{#N/A,#N/A,FALSE,"Plan1";#N/A,#N/A,FALSE,"Plan2"}</definedName>
    <definedName name="hdfjhdkzhgdr" localSheetId="0">{#N/A,#N/A,FALSE,"Plan1";#N/A,#N/A,FALSE,"Plan2"}</definedName>
    <definedName name="hdfjhdkzhgdr" localSheetId="11" hidden="1">{#N/A,#N/A,FALSE,"Plan1";#N/A,#N/A,FALSE,"Plan2"}</definedName>
    <definedName name="hdfjhdkzhgdr" localSheetId="12" hidden="1">{#N/A,#N/A,FALSE,"Plan1";#N/A,#N/A,FALSE,"Plan2"}</definedName>
    <definedName name="hdfjhdkzhgdr" hidden="1">{#N/A,#N/A,FALSE,"Plan1";#N/A,#N/A,FALSE,"Plan2"}</definedName>
    <definedName name="hdfjkgvjgtd" localSheetId="3" hidden="1">{#N/A,#N/A,FALSE,"Plan1";#N/A,#N/A,FALSE,"Plan2"}</definedName>
    <definedName name="hdfjkgvjgtd" localSheetId="8">{#N/A,#N/A,FALSE,"Plan1";#N/A,#N/A,FALSE,"Plan2"}</definedName>
    <definedName name="hdfjkgvjgtd" localSheetId="5" hidden="1">{#N/A,#N/A,FALSE,"Plan1";#N/A,#N/A,FALSE,"Plan2"}</definedName>
    <definedName name="hdfjkgvjgtd" localSheetId="4" hidden="1">{#N/A,#N/A,FALSE,"Plan1";#N/A,#N/A,FALSE,"Plan2"}</definedName>
    <definedName name="hdfjkgvjgtd" localSheetId="9">{#N/A,#N/A,FALSE,"Plan1";#N/A,#N/A,FALSE,"Plan2"}</definedName>
    <definedName name="hdfjkgvjgtd" localSheetId="10" hidden="1">{#N/A,#N/A,FALSE,"Plan1";#N/A,#N/A,FALSE,"Plan2"}</definedName>
    <definedName name="hdfjkgvjgtd" localSheetId="1" hidden="1">{#N/A,#N/A,FALSE,"Plan1";#N/A,#N/A,FALSE,"Plan2"}</definedName>
    <definedName name="hdfjkgvjgtd" localSheetId="0">{#N/A,#N/A,FALSE,"Plan1";#N/A,#N/A,FALSE,"Plan2"}</definedName>
    <definedName name="hdfjkgvjgtd" localSheetId="11" hidden="1">{#N/A,#N/A,FALSE,"Plan1";#N/A,#N/A,FALSE,"Plan2"}</definedName>
    <definedName name="hdfjkgvjgtd" localSheetId="12" hidden="1">{#N/A,#N/A,FALSE,"Plan1";#N/A,#N/A,FALSE,"Plan2"}</definedName>
    <definedName name="hdfjkgvjgtd" hidden="1">{#N/A,#N/A,FALSE,"Plan1";#N/A,#N/A,FALSE,"Plan2"}</definedName>
    <definedName name="hdfjkhdhrute" localSheetId="3" hidden="1">{#N/A,#N/A,FALSE,"Plan1";#N/A,#N/A,FALSE,"Plan2"}</definedName>
    <definedName name="hdfjkhdhrute" localSheetId="8">{#N/A,#N/A,FALSE,"Plan1";#N/A,#N/A,FALSE,"Plan2"}</definedName>
    <definedName name="hdfjkhdhrute" localSheetId="5" hidden="1">{#N/A,#N/A,FALSE,"Plan1";#N/A,#N/A,FALSE,"Plan2"}</definedName>
    <definedName name="hdfjkhdhrute" localSheetId="4" hidden="1">{#N/A,#N/A,FALSE,"Plan1";#N/A,#N/A,FALSE,"Plan2"}</definedName>
    <definedName name="hdfjkhdhrute" localSheetId="9">{#N/A,#N/A,FALSE,"Plan1";#N/A,#N/A,FALSE,"Plan2"}</definedName>
    <definedName name="hdfjkhdhrute" localSheetId="10" hidden="1">{#N/A,#N/A,FALSE,"Plan1";#N/A,#N/A,FALSE,"Plan2"}</definedName>
    <definedName name="hdfjkhdhrute" localSheetId="1" hidden="1">{#N/A,#N/A,FALSE,"Plan1";#N/A,#N/A,FALSE,"Plan2"}</definedName>
    <definedName name="hdfjkhdhrute" localSheetId="0">{#N/A,#N/A,FALSE,"Plan1";#N/A,#N/A,FALSE,"Plan2"}</definedName>
    <definedName name="hdfjkhdhrute" localSheetId="11" hidden="1">{#N/A,#N/A,FALSE,"Plan1";#N/A,#N/A,FALSE,"Plan2"}</definedName>
    <definedName name="hdfjkhdhrute" localSheetId="12" hidden="1">{#N/A,#N/A,FALSE,"Plan1";#N/A,#N/A,FALSE,"Plan2"}</definedName>
    <definedName name="hdfjkhdhrute" hidden="1">{#N/A,#N/A,FALSE,"Plan1";#N/A,#N/A,FALSE,"Plan2"}</definedName>
    <definedName name="HDFKGVF" localSheetId="3" hidden="1">{#N/A,#N/A,FALSE,"Plan1";#N/A,#N/A,FALSE,"Plan2"}</definedName>
    <definedName name="HDFKGVF" localSheetId="8">{#N/A,#N/A,FALSE,"Plan1";#N/A,#N/A,FALSE,"Plan2"}</definedName>
    <definedName name="HDFKGVF" localSheetId="5" hidden="1">{#N/A,#N/A,FALSE,"Plan1";#N/A,#N/A,FALSE,"Plan2"}</definedName>
    <definedName name="HDFKGVF" localSheetId="4" hidden="1">{#N/A,#N/A,FALSE,"Plan1";#N/A,#N/A,FALSE,"Plan2"}</definedName>
    <definedName name="HDFKGVF" localSheetId="9">{#N/A,#N/A,FALSE,"Plan1";#N/A,#N/A,FALSE,"Plan2"}</definedName>
    <definedName name="HDFKGVF" localSheetId="10" hidden="1">{#N/A,#N/A,FALSE,"Plan1";#N/A,#N/A,FALSE,"Plan2"}</definedName>
    <definedName name="HDFKGVF" localSheetId="1" hidden="1">{#N/A,#N/A,FALSE,"Plan1";#N/A,#N/A,FALSE,"Plan2"}</definedName>
    <definedName name="HDFKGVF" localSheetId="0">{#N/A,#N/A,FALSE,"Plan1";#N/A,#N/A,FALSE,"Plan2"}</definedName>
    <definedName name="HDFKGVF" localSheetId="11" hidden="1">{#N/A,#N/A,FALSE,"Plan1";#N/A,#N/A,FALSE,"Plan2"}</definedName>
    <definedName name="HDFKGVF" localSheetId="12" hidden="1">{#N/A,#N/A,FALSE,"Plan1";#N/A,#N/A,FALSE,"Plan2"}</definedName>
    <definedName name="HDFKGVF" hidden="1">{#N/A,#N/A,FALSE,"Plan1";#N/A,#N/A,FALSE,"Plan2"}</definedName>
    <definedName name="hdgfhdgtdrt" localSheetId="3" hidden="1">{#N/A,#N/A,FALSE,"Plan1";#N/A,#N/A,FALSE,"Plan2"}</definedName>
    <definedName name="hdgfhdgtdrt" localSheetId="8">{#N/A,#N/A,FALSE,"Plan1";#N/A,#N/A,FALSE,"Plan2"}</definedName>
    <definedName name="hdgfhdgtdrt" localSheetId="5" hidden="1">{#N/A,#N/A,FALSE,"Plan1";#N/A,#N/A,FALSE,"Plan2"}</definedName>
    <definedName name="hdgfhdgtdrt" localSheetId="4" hidden="1">{#N/A,#N/A,FALSE,"Plan1";#N/A,#N/A,FALSE,"Plan2"}</definedName>
    <definedName name="hdgfhdgtdrt" localSheetId="9">{#N/A,#N/A,FALSE,"Plan1";#N/A,#N/A,FALSE,"Plan2"}</definedName>
    <definedName name="hdgfhdgtdrt" localSheetId="10" hidden="1">{#N/A,#N/A,FALSE,"Plan1";#N/A,#N/A,FALSE,"Plan2"}</definedName>
    <definedName name="hdgfhdgtdrt" localSheetId="1" hidden="1">{#N/A,#N/A,FALSE,"Plan1";#N/A,#N/A,FALSE,"Plan2"}</definedName>
    <definedName name="hdgfhdgtdrt" localSheetId="0">{#N/A,#N/A,FALSE,"Plan1";#N/A,#N/A,FALSE,"Plan2"}</definedName>
    <definedName name="hdgfhdgtdrt" localSheetId="11" hidden="1">{#N/A,#N/A,FALSE,"Plan1";#N/A,#N/A,FALSE,"Plan2"}</definedName>
    <definedName name="hdgfhdgtdrt" localSheetId="12" hidden="1">{#N/A,#N/A,FALSE,"Plan1";#N/A,#N/A,FALSE,"Plan2"}</definedName>
    <definedName name="hdgfhdgtdrt" hidden="1">{#N/A,#N/A,FALSE,"Plan1";#N/A,#N/A,FALSE,"Plan2"}</definedName>
    <definedName name="hdghgtgtrgd" localSheetId="3" hidden="1">{#N/A,#N/A,FALSE,"Plan1";#N/A,#N/A,FALSE,"Plan2"}</definedName>
    <definedName name="hdghgtgtrgd" localSheetId="8">{#N/A,#N/A,FALSE,"Plan1";#N/A,#N/A,FALSE,"Plan2"}</definedName>
    <definedName name="hdghgtgtrgd" localSheetId="5" hidden="1">{#N/A,#N/A,FALSE,"Plan1";#N/A,#N/A,FALSE,"Plan2"}</definedName>
    <definedName name="hdghgtgtrgd" localSheetId="4" hidden="1">{#N/A,#N/A,FALSE,"Plan1";#N/A,#N/A,FALSE,"Plan2"}</definedName>
    <definedName name="hdghgtgtrgd" localSheetId="9">{#N/A,#N/A,FALSE,"Plan1";#N/A,#N/A,FALSE,"Plan2"}</definedName>
    <definedName name="hdghgtgtrgd" localSheetId="10" hidden="1">{#N/A,#N/A,FALSE,"Plan1";#N/A,#N/A,FALSE,"Plan2"}</definedName>
    <definedName name="hdghgtgtrgd" localSheetId="1" hidden="1">{#N/A,#N/A,FALSE,"Plan1";#N/A,#N/A,FALSE,"Plan2"}</definedName>
    <definedName name="hdghgtgtrgd" localSheetId="0">{#N/A,#N/A,FALSE,"Plan1";#N/A,#N/A,FALSE,"Plan2"}</definedName>
    <definedName name="hdghgtgtrgd" localSheetId="11" hidden="1">{#N/A,#N/A,FALSE,"Plan1";#N/A,#N/A,FALSE,"Plan2"}</definedName>
    <definedName name="hdghgtgtrgd" localSheetId="12" hidden="1">{#N/A,#N/A,FALSE,"Plan1";#N/A,#N/A,FALSE,"Plan2"}</definedName>
    <definedName name="hdghgtgtrgd" hidden="1">{#N/A,#N/A,FALSE,"Plan1";#N/A,#N/A,FALSE,"Plan2"}</definedName>
    <definedName name="HDHDGHTUHDTG" localSheetId="3" hidden="1">{#N/A,#N/A,FALSE,"Plan1";#N/A,#N/A,FALSE,"Plan2"}</definedName>
    <definedName name="HDHDGHTUHDTG" localSheetId="8">{#N/A,#N/A,FALSE,"Plan1";#N/A,#N/A,FALSE,"Plan2"}</definedName>
    <definedName name="HDHDGHTUHDTG" localSheetId="5" hidden="1">{#N/A,#N/A,FALSE,"Plan1";#N/A,#N/A,FALSE,"Plan2"}</definedName>
    <definedName name="HDHDGHTUHDTG" localSheetId="4" hidden="1">{#N/A,#N/A,FALSE,"Plan1";#N/A,#N/A,FALSE,"Plan2"}</definedName>
    <definedName name="HDHDGHTUHDTG" localSheetId="9">{#N/A,#N/A,FALSE,"Plan1";#N/A,#N/A,FALSE,"Plan2"}</definedName>
    <definedName name="HDHDGHTUHDTG" localSheetId="10" hidden="1">{#N/A,#N/A,FALSE,"Plan1";#N/A,#N/A,FALSE,"Plan2"}</definedName>
    <definedName name="HDHDGHTUHDTG" localSheetId="1" hidden="1">{#N/A,#N/A,FALSE,"Plan1";#N/A,#N/A,FALSE,"Plan2"}</definedName>
    <definedName name="HDHDGHTUHDTG" localSheetId="0">{#N/A,#N/A,FALSE,"Plan1";#N/A,#N/A,FALSE,"Plan2"}</definedName>
    <definedName name="HDHDGHTUHDTG" localSheetId="11" hidden="1">{#N/A,#N/A,FALSE,"Plan1";#N/A,#N/A,FALSE,"Plan2"}</definedName>
    <definedName name="HDHDGHTUHDTG" localSheetId="12" hidden="1">{#N/A,#N/A,FALSE,"Plan1";#N/A,#N/A,FALSE,"Plan2"}</definedName>
    <definedName name="HDHDGHTUHDTG" hidden="1">{#N/A,#N/A,FALSE,"Plan1";#N/A,#N/A,FALSE,"Plan2"}</definedName>
    <definedName name="hdhghfthrrhy" localSheetId="3" hidden="1">{#N/A,#N/A,FALSE,"Plan1";#N/A,#N/A,FALSE,"Plan2"}</definedName>
    <definedName name="hdhghfthrrhy" localSheetId="8">{#N/A,#N/A,FALSE,"Plan1";#N/A,#N/A,FALSE,"Plan2"}</definedName>
    <definedName name="hdhghfthrrhy" localSheetId="5" hidden="1">{#N/A,#N/A,FALSE,"Plan1";#N/A,#N/A,FALSE,"Plan2"}</definedName>
    <definedName name="hdhghfthrrhy" localSheetId="4" hidden="1">{#N/A,#N/A,FALSE,"Plan1";#N/A,#N/A,FALSE,"Plan2"}</definedName>
    <definedName name="hdhghfthrrhy" localSheetId="9">{#N/A,#N/A,FALSE,"Plan1";#N/A,#N/A,FALSE,"Plan2"}</definedName>
    <definedName name="hdhghfthrrhy" localSheetId="10" hidden="1">{#N/A,#N/A,FALSE,"Plan1";#N/A,#N/A,FALSE,"Plan2"}</definedName>
    <definedName name="hdhghfthrrhy" localSheetId="1" hidden="1">{#N/A,#N/A,FALSE,"Plan1";#N/A,#N/A,FALSE,"Plan2"}</definedName>
    <definedName name="hdhghfthrrhy" localSheetId="0">{#N/A,#N/A,FALSE,"Plan1";#N/A,#N/A,FALSE,"Plan2"}</definedName>
    <definedName name="hdhghfthrrhy" localSheetId="11" hidden="1">{#N/A,#N/A,FALSE,"Plan1";#N/A,#N/A,FALSE,"Plan2"}</definedName>
    <definedName name="hdhghfthrrhy" localSheetId="12" hidden="1">{#N/A,#N/A,FALSE,"Plan1";#N/A,#N/A,FALSE,"Plan2"}</definedName>
    <definedName name="hdhghfthrrhy" hidden="1">{#N/A,#N/A,FALSE,"Plan1";#N/A,#N/A,FALSE,"Plan2"}</definedName>
    <definedName name="hdkfjhydjh" localSheetId="3" hidden="1">{#N/A,#N/A,FALSE,"Plan1";#N/A,#N/A,FALSE,"Plan2"}</definedName>
    <definedName name="hdkfjhydjh" localSheetId="8">{#N/A,#N/A,FALSE,"Plan1";#N/A,#N/A,FALSE,"Plan2"}</definedName>
    <definedName name="hdkfjhydjh" localSheetId="5" hidden="1">{#N/A,#N/A,FALSE,"Plan1";#N/A,#N/A,FALSE,"Plan2"}</definedName>
    <definedName name="hdkfjhydjh" localSheetId="4" hidden="1">{#N/A,#N/A,FALSE,"Plan1";#N/A,#N/A,FALSE,"Plan2"}</definedName>
    <definedName name="hdkfjhydjh" localSheetId="9">{#N/A,#N/A,FALSE,"Plan1";#N/A,#N/A,FALSE,"Plan2"}</definedName>
    <definedName name="hdkfjhydjh" localSheetId="10" hidden="1">{#N/A,#N/A,FALSE,"Plan1";#N/A,#N/A,FALSE,"Plan2"}</definedName>
    <definedName name="hdkfjhydjh" localSheetId="1" hidden="1">{#N/A,#N/A,FALSE,"Plan1";#N/A,#N/A,FALSE,"Plan2"}</definedName>
    <definedName name="hdkfjhydjh" localSheetId="0">{#N/A,#N/A,FALSE,"Plan1";#N/A,#N/A,FALSE,"Plan2"}</definedName>
    <definedName name="hdkfjhydjh" localSheetId="11" hidden="1">{#N/A,#N/A,FALSE,"Plan1";#N/A,#N/A,FALSE,"Plan2"}</definedName>
    <definedName name="hdkfjhydjh" localSheetId="12" hidden="1">{#N/A,#N/A,FALSE,"Plan1";#N/A,#N/A,FALSE,"Plan2"}</definedName>
    <definedName name="hdkfjhydjh" hidden="1">{#N/A,#N/A,FALSE,"Plan1";#N/A,#N/A,FALSE,"Plan2"}</definedName>
    <definedName name="hdsgfgrrdgr" localSheetId="3" hidden="1">{#N/A,#N/A,FALSE,"Plan1";#N/A,#N/A,FALSE,"Plan2"}</definedName>
    <definedName name="hdsgfgrrdgr" localSheetId="8">{#N/A,#N/A,FALSE,"Plan1";#N/A,#N/A,FALSE,"Plan2"}</definedName>
    <definedName name="hdsgfgrrdgr" localSheetId="5" hidden="1">{#N/A,#N/A,FALSE,"Plan1";#N/A,#N/A,FALSE,"Plan2"}</definedName>
    <definedName name="hdsgfgrrdgr" localSheetId="4" hidden="1">{#N/A,#N/A,FALSE,"Plan1";#N/A,#N/A,FALSE,"Plan2"}</definedName>
    <definedName name="hdsgfgrrdgr" localSheetId="9">{#N/A,#N/A,FALSE,"Plan1";#N/A,#N/A,FALSE,"Plan2"}</definedName>
    <definedName name="hdsgfgrrdgr" localSheetId="10" hidden="1">{#N/A,#N/A,FALSE,"Plan1";#N/A,#N/A,FALSE,"Plan2"}</definedName>
    <definedName name="hdsgfgrrdgr" localSheetId="1" hidden="1">{#N/A,#N/A,FALSE,"Plan1";#N/A,#N/A,FALSE,"Plan2"}</definedName>
    <definedName name="hdsgfgrrdgr" localSheetId="0">{#N/A,#N/A,FALSE,"Plan1";#N/A,#N/A,FALSE,"Plan2"}</definedName>
    <definedName name="hdsgfgrrdgr" localSheetId="11" hidden="1">{#N/A,#N/A,FALSE,"Plan1";#N/A,#N/A,FALSE,"Plan2"}</definedName>
    <definedName name="hdsgfgrrdgr" localSheetId="12" hidden="1">{#N/A,#N/A,FALSE,"Plan1";#N/A,#N/A,FALSE,"Plan2"}</definedName>
    <definedName name="hdsgfgrrdgr" hidden="1">{#N/A,#N/A,FALSE,"Plan1";#N/A,#N/A,FALSE,"Plan2"}</definedName>
    <definedName name="hdtertkkdsa" localSheetId="3" hidden="1">{#N/A,#N/A,FALSE,"Plan1";#N/A,#N/A,FALSE,"Plan2"}</definedName>
    <definedName name="hdtertkkdsa" localSheetId="8">{#N/A,#N/A,FALSE,"Plan1";#N/A,#N/A,FALSE,"Plan2"}</definedName>
    <definedName name="hdtertkkdsa" localSheetId="5" hidden="1">{#N/A,#N/A,FALSE,"Plan1";#N/A,#N/A,FALSE,"Plan2"}</definedName>
    <definedName name="hdtertkkdsa" localSheetId="4" hidden="1">{#N/A,#N/A,FALSE,"Plan1";#N/A,#N/A,FALSE,"Plan2"}</definedName>
    <definedName name="hdtertkkdsa" localSheetId="9">{#N/A,#N/A,FALSE,"Plan1";#N/A,#N/A,FALSE,"Plan2"}</definedName>
    <definedName name="hdtertkkdsa" localSheetId="10" hidden="1">{#N/A,#N/A,FALSE,"Plan1";#N/A,#N/A,FALSE,"Plan2"}</definedName>
    <definedName name="hdtertkkdsa" localSheetId="1" hidden="1">{#N/A,#N/A,FALSE,"Plan1";#N/A,#N/A,FALSE,"Plan2"}</definedName>
    <definedName name="hdtertkkdsa" localSheetId="0">{#N/A,#N/A,FALSE,"Plan1";#N/A,#N/A,FALSE,"Plan2"}</definedName>
    <definedName name="hdtertkkdsa" localSheetId="11" hidden="1">{#N/A,#N/A,FALSE,"Plan1";#N/A,#N/A,FALSE,"Plan2"}</definedName>
    <definedName name="hdtertkkdsa" localSheetId="12" hidden="1">{#N/A,#N/A,FALSE,"Plan1";#N/A,#N/A,FALSE,"Plan2"}</definedName>
    <definedName name="hdtertkkdsa" hidden="1">{#N/A,#N/A,FALSE,"Plan1";#N/A,#N/A,FALSE,"Plan2"}</definedName>
    <definedName name="Header" localSheetId="8">#REF!</definedName>
    <definedName name="Header" localSheetId="5">#REF!</definedName>
    <definedName name="Header" localSheetId="9">#REF!</definedName>
    <definedName name="Header" localSheetId="10">#REF!</definedName>
    <definedName name="Header" localSheetId="0">#REF!</definedName>
    <definedName name="Header" localSheetId="11">#REF!</definedName>
    <definedName name="Header" localSheetId="12">#REF!</definedName>
    <definedName name="Header">#REF!</definedName>
    <definedName name="HEDHA" localSheetId="3" hidden="1">{#N/A,#N/A,FALSE,"Plan1";#N/A,#N/A,FALSE,"Plan2"}</definedName>
    <definedName name="HEDHA" localSheetId="8">{#N/A,#N/A,FALSE,"Plan1";#N/A,#N/A,FALSE,"Plan2"}</definedName>
    <definedName name="HEDHA" localSheetId="5" hidden="1">{#N/A,#N/A,FALSE,"Plan1";#N/A,#N/A,FALSE,"Plan2"}</definedName>
    <definedName name="HEDHA" localSheetId="4" hidden="1">{#N/A,#N/A,FALSE,"Plan1";#N/A,#N/A,FALSE,"Plan2"}</definedName>
    <definedName name="HEDHA" localSheetId="9">{#N/A,#N/A,FALSE,"Plan1";#N/A,#N/A,FALSE,"Plan2"}</definedName>
    <definedName name="HEDHA" localSheetId="10" hidden="1">{#N/A,#N/A,FALSE,"Plan1";#N/A,#N/A,FALSE,"Plan2"}</definedName>
    <definedName name="HEDHA" localSheetId="1" hidden="1">{#N/A,#N/A,FALSE,"Plan1";#N/A,#N/A,FALSE,"Plan2"}</definedName>
    <definedName name="HEDHA" localSheetId="0">{#N/A,#N/A,FALSE,"Plan1";#N/A,#N/A,FALSE,"Plan2"}</definedName>
    <definedName name="HEDHA" localSheetId="11" hidden="1">{#N/A,#N/A,FALSE,"Plan1";#N/A,#N/A,FALSE,"Plan2"}</definedName>
    <definedName name="HEDHA" localSheetId="12" hidden="1">{#N/A,#N/A,FALSE,"Plan1";#N/A,#N/A,FALSE,"Plan2"}</definedName>
    <definedName name="HEDHA" hidden="1">{#N/A,#N/A,FALSE,"Plan1";#N/A,#N/A,FALSE,"Plan2"}</definedName>
    <definedName name="hei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i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ELP" localSheetId="8">#REF!</definedName>
    <definedName name="HELP" localSheetId="5">#REF!</definedName>
    <definedName name="HELP" localSheetId="9">#REF!</definedName>
    <definedName name="HELP" localSheetId="10">#REF!</definedName>
    <definedName name="HELP" localSheetId="0">#REF!</definedName>
    <definedName name="HELP" localSheetId="11">#REF!</definedName>
    <definedName name="HELP" localSheetId="12">#REF!</definedName>
    <definedName name="HELP">#REF!</definedName>
    <definedName name="herkfdshfker" localSheetId="3" hidden="1">{#N/A,#N/A,FALSE,"Plan1";#N/A,#N/A,FALSE,"Plan2"}</definedName>
    <definedName name="herkfdshfker" localSheetId="8">{#N/A,#N/A,FALSE,"Plan1";#N/A,#N/A,FALSE,"Plan2"}</definedName>
    <definedName name="herkfdshfker" localSheetId="5" hidden="1">{#N/A,#N/A,FALSE,"Plan1";#N/A,#N/A,FALSE,"Plan2"}</definedName>
    <definedName name="herkfdshfker" localSheetId="4" hidden="1">{#N/A,#N/A,FALSE,"Plan1";#N/A,#N/A,FALSE,"Plan2"}</definedName>
    <definedName name="herkfdshfker" localSheetId="9">{#N/A,#N/A,FALSE,"Plan1";#N/A,#N/A,FALSE,"Plan2"}</definedName>
    <definedName name="herkfdshfker" localSheetId="10" hidden="1">{#N/A,#N/A,FALSE,"Plan1";#N/A,#N/A,FALSE,"Plan2"}</definedName>
    <definedName name="herkfdshfker" localSheetId="1" hidden="1">{#N/A,#N/A,FALSE,"Plan1";#N/A,#N/A,FALSE,"Plan2"}</definedName>
    <definedName name="herkfdshfker" localSheetId="0">{#N/A,#N/A,FALSE,"Plan1";#N/A,#N/A,FALSE,"Plan2"}</definedName>
    <definedName name="herkfdshfker" localSheetId="11" hidden="1">{#N/A,#N/A,FALSE,"Plan1";#N/A,#N/A,FALSE,"Plan2"}</definedName>
    <definedName name="herkfdshfker" localSheetId="12" hidden="1">{#N/A,#N/A,FALSE,"Plan1";#N/A,#N/A,FALSE,"Plan2"}</definedName>
    <definedName name="herkfdshfker" hidden="1">{#N/A,#N/A,FALSE,"Plan1";#N/A,#N/A,FALSE,"Plan2"}</definedName>
    <definedName name="hersdtretyt" localSheetId="3" hidden="1">{#N/A,#N/A,FALSE,"Plan1";#N/A,#N/A,FALSE,"Plan2"}</definedName>
    <definedName name="hersdtretyt" localSheetId="8">{#N/A,#N/A,FALSE,"Plan1";#N/A,#N/A,FALSE,"Plan2"}</definedName>
    <definedName name="hersdtretyt" localSheetId="5" hidden="1">{#N/A,#N/A,FALSE,"Plan1";#N/A,#N/A,FALSE,"Plan2"}</definedName>
    <definedName name="hersdtretyt" localSheetId="4" hidden="1">{#N/A,#N/A,FALSE,"Plan1";#N/A,#N/A,FALSE,"Plan2"}</definedName>
    <definedName name="hersdtretyt" localSheetId="9">{#N/A,#N/A,FALSE,"Plan1";#N/A,#N/A,FALSE,"Plan2"}</definedName>
    <definedName name="hersdtretyt" localSheetId="10" hidden="1">{#N/A,#N/A,FALSE,"Plan1";#N/A,#N/A,FALSE,"Plan2"}</definedName>
    <definedName name="hersdtretyt" localSheetId="1" hidden="1">{#N/A,#N/A,FALSE,"Plan1";#N/A,#N/A,FALSE,"Plan2"}</definedName>
    <definedName name="hersdtretyt" localSheetId="0">{#N/A,#N/A,FALSE,"Plan1";#N/A,#N/A,FALSE,"Plan2"}</definedName>
    <definedName name="hersdtretyt" localSheetId="11" hidden="1">{#N/A,#N/A,FALSE,"Plan1";#N/A,#N/A,FALSE,"Plan2"}</definedName>
    <definedName name="hersdtretyt" localSheetId="12" hidden="1">{#N/A,#N/A,FALSE,"Plan1";#N/A,#N/A,FALSE,"Plan2"}</definedName>
    <definedName name="hersdtretyt" hidden="1">{#N/A,#N/A,FALSE,"Plan1";#N/A,#N/A,FALSE,"Plan2"}</definedName>
    <definedName name="HFDJTHTR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JTHTR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FDKHGFR" localSheetId="3" hidden="1">{#N/A,#N/A,FALSE,"Plan1";#N/A,#N/A,FALSE,"Plan2"}</definedName>
    <definedName name="HFDKHGFR" localSheetId="8">{#N/A,#N/A,FALSE,"Plan1";#N/A,#N/A,FALSE,"Plan2"}</definedName>
    <definedName name="HFDKHGFR" localSheetId="5" hidden="1">{#N/A,#N/A,FALSE,"Plan1";#N/A,#N/A,FALSE,"Plan2"}</definedName>
    <definedName name="HFDKHGFR" localSheetId="4" hidden="1">{#N/A,#N/A,FALSE,"Plan1";#N/A,#N/A,FALSE,"Plan2"}</definedName>
    <definedName name="HFDKHGFR" localSheetId="9">{#N/A,#N/A,FALSE,"Plan1";#N/A,#N/A,FALSE,"Plan2"}</definedName>
    <definedName name="HFDKHGFR" localSheetId="10" hidden="1">{#N/A,#N/A,FALSE,"Plan1";#N/A,#N/A,FALSE,"Plan2"}</definedName>
    <definedName name="HFDKHGFR" localSheetId="1" hidden="1">{#N/A,#N/A,FALSE,"Plan1";#N/A,#N/A,FALSE,"Plan2"}</definedName>
    <definedName name="HFDKHGFR" localSheetId="0">{#N/A,#N/A,FALSE,"Plan1";#N/A,#N/A,FALSE,"Plan2"}</definedName>
    <definedName name="HFDKHGFR" localSheetId="11" hidden="1">{#N/A,#N/A,FALSE,"Plan1";#N/A,#N/A,FALSE,"Plan2"}</definedName>
    <definedName name="HFDKHGFR" localSheetId="12" hidden="1">{#N/A,#N/A,FALSE,"Plan1";#N/A,#N/A,FALSE,"Plan2"}</definedName>
    <definedName name="HFDKHGFR" hidden="1">{#N/A,#N/A,FALSE,"Plan1";#N/A,#N/A,FALSE,"Plan2"}</definedName>
    <definedName name="hfdkhgkfdhtj" localSheetId="3" hidden="1">{#N/A,#N/A,FALSE,"Plan1";#N/A,#N/A,FALSE,"Plan2"}</definedName>
    <definedName name="hfdkhgkfdhtj" localSheetId="8">{#N/A,#N/A,FALSE,"Plan1";#N/A,#N/A,FALSE,"Plan2"}</definedName>
    <definedName name="hfdkhgkfdhtj" localSheetId="5" hidden="1">{#N/A,#N/A,FALSE,"Plan1";#N/A,#N/A,FALSE,"Plan2"}</definedName>
    <definedName name="hfdkhgkfdhtj" localSheetId="4" hidden="1">{#N/A,#N/A,FALSE,"Plan1";#N/A,#N/A,FALSE,"Plan2"}</definedName>
    <definedName name="hfdkhgkfdhtj" localSheetId="9">{#N/A,#N/A,FALSE,"Plan1";#N/A,#N/A,FALSE,"Plan2"}</definedName>
    <definedName name="hfdkhgkfdhtj" localSheetId="10" hidden="1">{#N/A,#N/A,FALSE,"Plan1";#N/A,#N/A,FALSE,"Plan2"}</definedName>
    <definedName name="hfdkhgkfdhtj" localSheetId="1" hidden="1">{#N/A,#N/A,FALSE,"Plan1";#N/A,#N/A,FALSE,"Plan2"}</definedName>
    <definedName name="hfdkhgkfdhtj" localSheetId="0">{#N/A,#N/A,FALSE,"Plan1";#N/A,#N/A,FALSE,"Plan2"}</definedName>
    <definedName name="hfdkhgkfdhtj" localSheetId="11" hidden="1">{#N/A,#N/A,FALSE,"Plan1";#N/A,#N/A,FALSE,"Plan2"}</definedName>
    <definedName name="hfdkhgkfdhtj" localSheetId="12" hidden="1">{#N/A,#N/A,FALSE,"Plan1";#N/A,#N/A,FALSE,"Plan2"}</definedName>
    <definedName name="hfdkhgkfdhtj" hidden="1">{#N/A,#N/A,FALSE,"Plan1";#N/A,#N/A,FALSE,"Plan2"}</definedName>
    <definedName name="hfgfktgkhyt" localSheetId="3" hidden="1">{#N/A,#N/A,FALSE,"Plan1";#N/A,#N/A,FALSE,"Plan2"}</definedName>
    <definedName name="hfgfktgkhyt" localSheetId="8">{#N/A,#N/A,FALSE,"Plan1";#N/A,#N/A,FALSE,"Plan2"}</definedName>
    <definedName name="hfgfktgkhyt" localSheetId="5" hidden="1">{#N/A,#N/A,FALSE,"Plan1";#N/A,#N/A,FALSE,"Plan2"}</definedName>
    <definedName name="hfgfktgkhyt" localSheetId="4" hidden="1">{#N/A,#N/A,FALSE,"Plan1";#N/A,#N/A,FALSE,"Plan2"}</definedName>
    <definedName name="hfgfktgkhyt" localSheetId="9">{#N/A,#N/A,FALSE,"Plan1";#N/A,#N/A,FALSE,"Plan2"}</definedName>
    <definedName name="hfgfktgkhyt" localSheetId="10" hidden="1">{#N/A,#N/A,FALSE,"Plan1";#N/A,#N/A,FALSE,"Plan2"}</definedName>
    <definedName name="hfgfktgkhyt" localSheetId="1" hidden="1">{#N/A,#N/A,FALSE,"Plan1";#N/A,#N/A,FALSE,"Plan2"}</definedName>
    <definedName name="hfgfktgkhyt" localSheetId="0">{#N/A,#N/A,FALSE,"Plan1";#N/A,#N/A,FALSE,"Plan2"}</definedName>
    <definedName name="hfgfktgkhyt" localSheetId="11" hidden="1">{#N/A,#N/A,FALSE,"Plan1";#N/A,#N/A,FALSE,"Plan2"}</definedName>
    <definedName name="hfgfktgkhyt" localSheetId="12" hidden="1">{#N/A,#N/A,FALSE,"Plan1";#N/A,#N/A,FALSE,"Plan2"}</definedName>
    <definedName name="hfgfktgkhyt" hidden="1">{#N/A,#N/A,FALSE,"Plan1";#N/A,#N/A,FALSE,"Plan2"}</definedName>
    <definedName name="hfghdkhrgkjg" localSheetId="3" hidden="1">{#N/A,#N/A,FALSE,"Plan1";#N/A,#N/A,FALSE,"Plan2"}</definedName>
    <definedName name="hfghdkhrgkjg" localSheetId="8">{#N/A,#N/A,FALSE,"Plan1";#N/A,#N/A,FALSE,"Plan2"}</definedName>
    <definedName name="hfghdkhrgkjg" localSheetId="5" hidden="1">{#N/A,#N/A,FALSE,"Plan1";#N/A,#N/A,FALSE,"Plan2"}</definedName>
    <definedName name="hfghdkhrgkjg" localSheetId="4" hidden="1">{#N/A,#N/A,FALSE,"Plan1";#N/A,#N/A,FALSE,"Plan2"}</definedName>
    <definedName name="hfghdkhrgkjg" localSheetId="9">{#N/A,#N/A,FALSE,"Plan1";#N/A,#N/A,FALSE,"Plan2"}</definedName>
    <definedName name="hfghdkhrgkjg" localSheetId="10" hidden="1">{#N/A,#N/A,FALSE,"Plan1";#N/A,#N/A,FALSE,"Plan2"}</definedName>
    <definedName name="hfghdkhrgkjg" localSheetId="1" hidden="1">{#N/A,#N/A,FALSE,"Plan1";#N/A,#N/A,FALSE,"Plan2"}</definedName>
    <definedName name="hfghdkhrgkjg" localSheetId="0">{#N/A,#N/A,FALSE,"Plan1";#N/A,#N/A,FALSE,"Plan2"}</definedName>
    <definedName name="hfghdkhrgkjg" localSheetId="11" hidden="1">{#N/A,#N/A,FALSE,"Plan1";#N/A,#N/A,FALSE,"Plan2"}</definedName>
    <definedName name="hfghdkhrgkjg" localSheetId="12" hidden="1">{#N/A,#N/A,FALSE,"Plan1";#N/A,#N/A,FALSE,"Plan2"}</definedName>
    <definedName name="hfghdkhrgkjg" hidden="1">{#N/A,#N/A,FALSE,"Plan1";#N/A,#N/A,FALSE,"Plan2"}</definedName>
    <definedName name="hfighfth" localSheetId="3" hidden="1">{#N/A,#N/A,FALSE,"Plan1";#N/A,#N/A,FALSE,"Plan2"}</definedName>
    <definedName name="hfighfth" localSheetId="8">{#N/A,#N/A,FALSE,"Plan1";#N/A,#N/A,FALSE,"Plan2"}</definedName>
    <definedName name="hfighfth" localSheetId="5" hidden="1">{#N/A,#N/A,FALSE,"Plan1";#N/A,#N/A,FALSE,"Plan2"}</definedName>
    <definedName name="hfighfth" localSheetId="4" hidden="1">{#N/A,#N/A,FALSE,"Plan1";#N/A,#N/A,FALSE,"Plan2"}</definedName>
    <definedName name="hfighfth" localSheetId="9">{#N/A,#N/A,FALSE,"Plan1";#N/A,#N/A,FALSE,"Plan2"}</definedName>
    <definedName name="hfighfth" localSheetId="10" hidden="1">{#N/A,#N/A,FALSE,"Plan1";#N/A,#N/A,FALSE,"Plan2"}</definedName>
    <definedName name="hfighfth" localSheetId="1" hidden="1">{#N/A,#N/A,FALSE,"Plan1";#N/A,#N/A,FALSE,"Plan2"}</definedName>
    <definedName name="hfighfth" localSheetId="0">{#N/A,#N/A,FALSE,"Plan1";#N/A,#N/A,FALSE,"Plan2"}</definedName>
    <definedName name="hfighfth" localSheetId="11" hidden="1">{#N/A,#N/A,FALSE,"Plan1";#N/A,#N/A,FALSE,"Plan2"}</definedName>
    <definedName name="hfighfth" localSheetId="12" hidden="1">{#N/A,#N/A,FALSE,"Plan1";#N/A,#N/A,FALSE,"Plan2"}</definedName>
    <definedName name="hfighfth" hidden="1">{#N/A,#N/A,FALSE,"Plan1";#N/A,#N/A,FALSE,"Plan2"}</definedName>
    <definedName name="hfjghtfuyrf" localSheetId="3" hidden="1">{#N/A,#N/A,FALSE,"Plan1";#N/A,#N/A,FALSE,"Plan2"}</definedName>
    <definedName name="hfjghtfuyrf" localSheetId="8">{#N/A,#N/A,FALSE,"Plan1";#N/A,#N/A,FALSE,"Plan2"}</definedName>
    <definedName name="hfjghtfuyrf" localSheetId="5" hidden="1">{#N/A,#N/A,FALSE,"Plan1";#N/A,#N/A,FALSE,"Plan2"}</definedName>
    <definedName name="hfjghtfuyrf" localSheetId="4" hidden="1">{#N/A,#N/A,FALSE,"Plan1";#N/A,#N/A,FALSE,"Plan2"}</definedName>
    <definedName name="hfjghtfuyrf" localSheetId="9">{#N/A,#N/A,FALSE,"Plan1";#N/A,#N/A,FALSE,"Plan2"}</definedName>
    <definedName name="hfjghtfuyrf" localSheetId="10" hidden="1">{#N/A,#N/A,FALSE,"Plan1";#N/A,#N/A,FALSE,"Plan2"}</definedName>
    <definedName name="hfjghtfuyrf" localSheetId="1" hidden="1">{#N/A,#N/A,FALSE,"Plan1";#N/A,#N/A,FALSE,"Plan2"}</definedName>
    <definedName name="hfjghtfuyrf" localSheetId="0">{#N/A,#N/A,FALSE,"Plan1";#N/A,#N/A,FALSE,"Plan2"}</definedName>
    <definedName name="hfjghtfuyrf" localSheetId="11" hidden="1">{#N/A,#N/A,FALSE,"Plan1";#N/A,#N/A,FALSE,"Plan2"}</definedName>
    <definedName name="hfjghtfuyrf" localSheetId="12" hidden="1">{#N/A,#N/A,FALSE,"Plan1";#N/A,#N/A,FALSE,"Plan2"}</definedName>
    <definedName name="hfjghtfuyrf" hidden="1">{#N/A,#N/A,FALSE,"Plan1";#N/A,#N/A,FALSE,"Plan2"}</definedName>
    <definedName name="HFKJHDJGHFJ" localSheetId="3" hidden="1">{#N/A,#N/A,FALSE,"Plan1";#N/A,#N/A,FALSE,"Plan2"}</definedName>
    <definedName name="HFKJHDJGHFJ" localSheetId="8">{#N/A,#N/A,FALSE,"Plan1";#N/A,#N/A,FALSE,"Plan2"}</definedName>
    <definedName name="HFKJHDJGHFJ" localSheetId="5" hidden="1">{#N/A,#N/A,FALSE,"Plan1";#N/A,#N/A,FALSE,"Plan2"}</definedName>
    <definedName name="HFKJHDJGHFJ" localSheetId="4" hidden="1">{#N/A,#N/A,FALSE,"Plan1";#N/A,#N/A,FALSE,"Plan2"}</definedName>
    <definedName name="HFKJHDJGHFJ" localSheetId="9">{#N/A,#N/A,FALSE,"Plan1";#N/A,#N/A,FALSE,"Plan2"}</definedName>
    <definedName name="HFKJHDJGHFJ" localSheetId="10" hidden="1">{#N/A,#N/A,FALSE,"Plan1";#N/A,#N/A,FALSE,"Plan2"}</definedName>
    <definedName name="HFKJHDJGHFJ" localSheetId="1" hidden="1">{#N/A,#N/A,FALSE,"Plan1";#N/A,#N/A,FALSE,"Plan2"}</definedName>
    <definedName name="HFKJHDJGHFJ" localSheetId="0">{#N/A,#N/A,FALSE,"Plan1";#N/A,#N/A,FALSE,"Plan2"}</definedName>
    <definedName name="HFKJHDJGHFJ" localSheetId="11" hidden="1">{#N/A,#N/A,FALSE,"Plan1";#N/A,#N/A,FALSE,"Plan2"}</definedName>
    <definedName name="HFKJHDJGHFJ" localSheetId="12" hidden="1">{#N/A,#N/A,FALSE,"Plan1";#N/A,#N/A,FALSE,"Plan2"}</definedName>
    <definedName name="HFKJHDJGHFJ" hidden="1">{#N/A,#N/A,FALSE,"Plan1";#N/A,#N/A,FALSE,"Plan2"}</definedName>
    <definedName name="hgdesgfgsj" localSheetId="3" hidden="1">{#N/A,#N/A,FALSE,"Plan1";#N/A,#N/A,FALSE,"Plan2"}</definedName>
    <definedName name="hgdesgfgsj" localSheetId="8">{#N/A,#N/A,FALSE,"Plan1";#N/A,#N/A,FALSE,"Plan2"}</definedName>
    <definedName name="hgdesgfgsj" localSheetId="5" hidden="1">{#N/A,#N/A,FALSE,"Plan1";#N/A,#N/A,FALSE,"Plan2"}</definedName>
    <definedName name="hgdesgfgsj" localSheetId="4" hidden="1">{#N/A,#N/A,FALSE,"Plan1";#N/A,#N/A,FALSE,"Plan2"}</definedName>
    <definedName name="hgdesgfgsj" localSheetId="9">{#N/A,#N/A,FALSE,"Plan1";#N/A,#N/A,FALSE,"Plan2"}</definedName>
    <definedName name="hgdesgfgsj" localSheetId="10" hidden="1">{#N/A,#N/A,FALSE,"Plan1";#N/A,#N/A,FALSE,"Plan2"}</definedName>
    <definedName name="hgdesgfgsj" localSheetId="1" hidden="1">{#N/A,#N/A,FALSE,"Plan1";#N/A,#N/A,FALSE,"Plan2"}</definedName>
    <definedName name="hgdesgfgsj" localSheetId="0">{#N/A,#N/A,FALSE,"Plan1";#N/A,#N/A,FALSE,"Plan2"}</definedName>
    <definedName name="hgdesgfgsj" localSheetId="11" hidden="1">{#N/A,#N/A,FALSE,"Plan1";#N/A,#N/A,FALSE,"Plan2"}</definedName>
    <definedName name="hgdesgfgsj" localSheetId="12" hidden="1">{#N/A,#N/A,FALSE,"Plan1";#N/A,#N/A,FALSE,"Plan2"}</definedName>
    <definedName name="hgdesgfgsj" hidden="1">{#N/A,#N/A,FALSE,"Plan1";#N/A,#N/A,FALSE,"Plan2"}</definedName>
    <definedName name="hgdgfd" localSheetId="3" hidden="1">{#N/A,#N/A,FALSE,"Plan1";#N/A,#N/A,FALSE,"Plan2"}</definedName>
    <definedName name="hgdgfd" localSheetId="8">{#N/A,#N/A,FALSE,"Plan1";#N/A,#N/A,FALSE,"Plan2"}</definedName>
    <definedName name="hgdgfd" localSheetId="5" hidden="1">{#N/A,#N/A,FALSE,"Plan1";#N/A,#N/A,FALSE,"Plan2"}</definedName>
    <definedName name="hgdgfd" localSheetId="4" hidden="1">{#N/A,#N/A,FALSE,"Plan1";#N/A,#N/A,FALSE,"Plan2"}</definedName>
    <definedName name="hgdgfd" localSheetId="9">{#N/A,#N/A,FALSE,"Plan1";#N/A,#N/A,FALSE,"Plan2"}</definedName>
    <definedName name="hgdgfd" localSheetId="10" hidden="1">{#N/A,#N/A,FALSE,"Plan1";#N/A,#N/A,FALSE,"Plan2"}</definedName>
    <definedName name="hgdgfd" localSheetId="1" hidden="1">{#N/A,#N/A,FALSE,"Plan1";#N/A,#N/A,FALSE,"Plan2"}</definedName>
    <definedName name="hgdgfd" localSheetId="0">{#N/A,#N/A,FALSE,"Plan1";#N/A,#N/A,FALSE,"Plan2"}</definedName>
    <definedName name="hgdgfd" localSheetId="11" hidden="1">{#N/A,#N/A,FALSE,"Plan1";#N/A,#N/A,FALSE,"Plan2"}</definedName>
    <definedName name="hgdgfd" localSheetId="12" hidden="1">{#N/A,#N/A,FALSE,"Plan1";#N/A,#N/A,FALSE,"Plan2"}</definedName>
    <definedName name="hgdgfd" hidden="1">{#N/A,#N/A,FALSE,"Plan1";#N/A,#N/A,FALSE,"Plan2"}</definedName>
    <definedName name="hgfhjkdfhj" localSheetId="3" hidden="1">{#N/A,#N/A,FALSE,"Plan1";#N/A,#N/A,FALSE,"Plan2"}</definedName>
    <definedName name="hgfhjkdfhj" localSheetId="8">{#N/A,#N/A,FALSE,"Plan1";#N/A,#N/A,FALSE,"Plan2"}</definedName>
    <definedName name="hgfhjkdfhj" localSheetId="5" hidden="1">{#N/A,#N/A,FALSE,"Plan1";#N/A,#N/A,FALSE,"Plan2"}</definedName>
    <definedName name="hgfhjkdfhj" localSheetId="4" hidden="1">{#N/A,#N/A,FALSE,"Plan1";#N/A,#N/A,FALSE,"Plan2"}</definedName>
    <definedName name="hgfhjkdfhj" localSheetId="9">{#N/A,#N/A,FALSE,"Plan1";#N/A,#N/A,FALSE,"Plan2"}</definedName>
    <definedName name="hgfhjkdfhj" localSheetId="10" hidden="1">{#N/A,#N/A,FALSE,"Plan1";#N/A,#N/A,FALSE,"Plan2"}</definedName>
    <definedName name="hgfhjkdfhj" localSheetId="1" hidden="1">{#N/A,#N/A,FALSE,"Plan1";#N/A,#N/A,FALSE,"Plan2"}</definedName>
    <definedName name="hgfhjkdfhj" localSheetId="0">{#N/A,#N/A,FALSE,"Plan1";#N/A,#N/A,FALSE,"Plan2"}</definedName>
    <definedName name="hgfhjkdfhj" localSheetId="11" hidden="1">{#N/A,#N/A,FALSE,"Plan1";#N/A,#N/A,FALSE,"Plan2"}</definedName>
    <definedName name="hgfhjkdfhj" localSheetId="12" hidden="1">{#N/A,#N/A,FALSE,"Plan1";#N/A,#N/A,FALSE,"Plan2"}</definedName>
    <definedName name="hgfhjkdfhj" hidden="1">{#N/A,#N/A,FALSE,"Plan1";#N/A,#N/A,FALSE,"Plan2"}</definedName>
    <definedName name="hgg" localSheetId="3" hidden="1">{#N/A,#N/A,FALSE,"Plan1";#N/A,#N/A,FALSE,"Plan2"}</definedName>
    <definedName name="hgg" localSheetId="8">{#N/A,#N/A,FALSE,"Plan1";#N/A,#N/A,FALSE,"Plan2"}</definedName>
    <definedName name="hgg" localSheetId="5" hidden="1">{#N/A,#N/A,FALSE,"Plan1";#N/A,#N/A,FALSE,"Plan2"}</definedName>
    <definedName name="hgg" localSheetId="4" hidden="1">{#N/A,#N/A,FALSE,"Plan1";#N/A,#N/A,FALSE,"Plan2"}</definedName>
    <definedName name="hgg" localSheetId="9">{#N/A,#N/A,FALSE,"Plan1";#N/A,#N/A,FALSE,"Plan2"}</definedName>
    <definedName name="hgg" localSheetId="10" hidden="1">{#N/A,#N/A,FALSE,"Plan1";#N/A,#N/A,FALSE,"Plan2"}</definedName>
    <definedName name="hgg" localSheetId="1" hidden="1">{#N/A,#N/A,FALSE,"Plan1";#N/A,#N/A,FALSE,"Plan2"}</definedName>
    <definedName name="hgg" localSheetId="0">{#N/A,#N/A,FALSE,"Plan1";#N/A,#N/A,FALSE,"Plan2"}</definedName>
    <definedName name="hgg" localSheetId="11" hidden="1">{#N/A,#N/A,FALSE,"Plan1";#N/A,#N/A,FALSE,"Plan2"}</definedName>
    <definedName name="hgg" localSheetId="12" hidden="1">{#N/A,#N/A,FALSE,"Plan1";#N/A,#N/A,FALSE,"Plan2"}</definedName>
    <definedName name="hgg" hidden="1">{#N/A,#N/A,FALSE,"Plan1";#N/A,#N/A,FALSE,"Plan2"}</definedName>
    <definedName name="hgjdfgghg" localSheetId="3" hidden="1">{#N/A,#N/A,FALSE,"Plan1";#N/A,#N/A,FALSE,"Plan2"}</definedName>
    <definedName name="hgjdfgghg" localSheetId="8">{#N/A,#N/A,FALSE,"Plan1";#N/A,#N/A,FALSE,"Plan2"}</definedName>
    <definedName name="hgjdfgghg" localSheetId="5" hidden="1">{#N/A,#N/A,FALSE,"Plan1";#N/A,#N/A,FALSE,"Plan2"}</definedName>
    <definedName name="hgjdfgghg" localSheetId="4" hidden="1">{#N/A,#N/A,FALSE,"Plan1";#N/A,#N/A,FALSE,"Plan2"}</definedName>
    <definedName name="hgjdfgghg" localSheetId="9">{#N/A,#N/A,FALSE,"Plan1";#N/A,#N/A,FALSE,"Plan2"}</definedName>
    <definedName name="hgjdfgghg" localSheetId="10" hidden="1">{#N/A,#N/A,FALSE,"Plan1";#N/A,#N/A,FALSE,"Plan2"}</definedName>
    <definedName name="hgjdfgghg" localSheetId="1" hidden="1">{#N/A,#N/A,FALSE,"Plan1";#N/A,#N/A,FALSE,"Plan2"}</definedName>
    <definedName name="hgjdfgghg" localSheetId="0">{#N/A,#N/A,FALSE,"Plan1";#N/A,#N/A,FALSE,"Plan2"}</definedName>
    <definedName name="hgjdfgghg" localSheetId="11" hidden="1">{#N/A,#N/A,FALSE,"Plan1";#N/A,#N/A,FALSE,"Plan2"}</definedName>
    <definedName name="hgjdfgghg" localSheetId="12" hidden="1">{#N/A,#N/A,FALSE,"Plan1";#N/A,#N/A,FALSE,"Plan2"}</definedName>
    <definedName name="hgjdfgghg" hidden="1">{#N/A,#N/A,FALSE,"Plan1";#N/A,#N/A,FALSE,"Plan2"}</definedName>
    <definedName name="hgjkfdhg" localSheetId="3" hidden="1">{#N/A,#N/A,FALSE,"Plan1";#N/A,#N/A,FALSE,"Plan2"}</definedName>
    <definedName name="hgjkfdhg" localSheetId="8">{#N/A,#N/A,FALSE,"Plan1";#N/A,#N/A,FALSE,"Plan2"}</definedName>
    <definedName name="hgjkfdhg" localSheetId="5" hidden="1">{#N/A,#N/A,FALSE,"Plan1";#N/A,#N/A,FALSE,"Plan2"}</definedName>
    <definedName name="hgjkfdhg" localSheetId="4" hidden="1">{#N/A,#N/A,FALSE,"Plan1";#N/A,#N/A,FALSE,"Plan2"}</definedName>
    <definedName name="hgjkfdhg" localSheetId="9">{#N/A,#N/A,FALSE,"Plan1";#N/A,#N/A,FALSE,"Plan2"}</definedName>
    <definedName name="hgjkfdhg" localSheetId="10" hidden="1">{#N/A,#N/A,FALSE,"Plan1";#N/A,#N/A,FALSE,"Plan2"}</definedName>
    <definedName name="hgjkfdhg" localSheetId="1" hidden="1">{#N/A,#N/A,FALSE,"Plan1";#N/A,#N/A,FALSE,"Plan2"}</definedName>
    <definedName name="hgjkfdhg" localSheetId="0">{#N/A,#N/A,FALSE,"Plan1";#N/A,#N/A,FALSE,"Plan2"}</definedName>
    <definedName name="hgjkfdhg" localSheetId="11" hidden="1">{#N/A,#N/A,FALSE,"Plan1";#N/A,#N/A,FALSE,"Plan2"}</definedName>
    <definedName name="hgjkfdhg" localSheetId="12" hidden="1">{#N/A,#N/A,FALSE,"Plan1";#N/A,#N/A,FALSE,"Plan2"}</definedName>
    <definedName name="hgjkfdhg" hidden="1">{#N/A,#N/A,FALSE,"Plan1";#N/A,#N/A,FALSE,"Plan2"}</definedName>
    <definedName name="hgkdfhkfk" localSheetId="3" hidden="1">{#N/A,#N/A,FALSE,"Plan1";#N/A,#N/A,FALSE,"Plan2"}</definedName>
    <definedName name="hgkdfhkfk" localSheetId="8">{#N/A,#N/A,FALSE,"Plan1";#N/A,#N/A,FALSE,"Plan2"}</definedName>
    <definedName name="hgkdfhkfk" localSheetId="5" hidden="1">{#N/A,#N/A,FALSE,"Plan1";#N/A,#N/A,FALSE,"Plan2"}</definedName>
    <definedName name="hgkdfhkfk" localSheetId="4" hidden="1">{#N/A,#N/A,FALSE,"Plan1";#N/A,#N/A,FALSE,"Plan2"}</definedName>
    <definedName name="hgkdfhkfk" localSheetId="9">{#N/A,#N/A,FALSE,"Plan1";#N/A,#N/A,FALSE,"Plan2"}</definedName>
    <definedName name="hgkdfhkfk" localSheetId="10" hidden="1">{#N/A,#N/A,FALSE,"Plan1";#N/A,#N/A,FALSE,"Plan2"}</definedName>
    <definedName name="hgkdfhkfk" localSheetId="1" hidden="1">{#N/A,#N/A,FALSE,"Plan1";#N/A,#N/A,FALSE,"Plan2"}</definedName>
    <definedName name="hgkdfhkfk" localSheetId="0">{#N/A,#N/A,FALSE,"Plan1";#N/A,#N/A,FALSE,"Plan2"}</definedName>
    <definedName name="hgkdfhkfk" localSheetId="11" hidden="1">{#N/A,#N/A,FALSE,"Plan1";#N/A,#N/A,FALSE,"Plan2"}</definedName>
    <definedName name="hgkdfhkfk" localSheetId="12" hidden="1">{#N/A,#N/A,FALSE,"Plan1";#N/A,#N/A,FALSE,"Plan2"}</definedName>
    <definedName name="hgkdfhkfk" hidden="1">{#N/A,#N/A,FALSE,"Plan1";#N/A,#N/A,FALSE,"Plan2"}</definedName>
    <definedName name="hgkjhdfhtrdyt" localSheetId="3" hidden="1">{#N/A,#N/A,FALSE,"Plan1";#N/A,#N/A,FALSE,"Plan2"}</definedName>
    <definedName name="hgkjhdfhtrdyt" localSheetId="8">{#N/A,#N/A,FALSE,"Plan1";#N/A,#N/A,FALSE,"Plan2"}</definedName>
    <definedName name="hgkjhdfhtrdyt" localSheetId="5" hidden="1">{#N/A,#N/A,FALSE,"Plan1";#N/A,#N/A,FALSE,"Plan2"}</definedName>
    <definedName name="hgkjhdfhtrdyt" localSheetId="4" hidden="1">{#N/A,#N/A,FALSE,"Plan1";#N/A,#N/A,FALSE,"Plan2"}</definedName>
    <definedName name="hgkjhdfhtrdyt" localSheetId="9">{#N/A,#N/A,FALSE,"Plan1";#N/A,#N/A,FALSE,"Plan2"}</definedName>
    <definedName name="hgkjhdfhtrdyt" localSheetId="10" hidden="1">{#N/A,#N/A,FALSE,"Plan1";#N/A,#N/A,FALSE,"Plan2"}</definedName>
    <definedName name="hgkjhdfhtrdyt" localSheetId="1" hidden="1">{#N/A,#N/A,FALSE,"Plan1";#N/A,#N/A,FALSE,"Plan2"}</definedName>
    <definedName name="hgkjhdfhtrdyt" localSheetId="0">{#N/A,#N/A,FALSE,"Plan1";#N/A,#N/A,FALSE,"Plan2"}</definedName>
    <definedName name="hgkjhdfhtrdyt" localSheetId="11" hidden="1">{#N/A,#N/A,FALSE,"Plan1";#N/A,#N/A,FALSE,"Plan2"}</definedName>
    <definedName name="hgkjhdfhtrdyt" localSheetId="12" hidden="1">{#N/A,#N/A,FALSE,"Plan1";#N/A,#N/A,FALSE,"Plan2"}</definedName>
    <definedName name="hgkjhdfhtrdyt" hidden="1">{#N/A,#N/A,FALSE,"Plan1";#N/A,#N/A,FALSE,"Plan2"}</definedName>
    <definedName name="hgkjhdfkhgtfhg" localSheetId="3" hidden="1">{#N/A,#N/A,FALSE,"Plan1";#N/A,#N/A,FALSE,"Plan2"}</definedName>
    <definedName name="hgkjhdfkhgtfhg" localSheetId="8">{#N/A,#N/A,FALSE,"Plan1";#N/A,#N/A,FALSE,"Plan2"}</definedName>
    <definedName name="hgkjhdfkhgtfhg" localSheetId="5" hidden="1">{#N/A,#N/A,FALSE,"Plan1";#N/A,#N/A,FALSE,"Plan2"}</definedName>
    <definedName name="hgkjhdfkhgtfhg" localSheetId="4" hidden="1">{#N/A,#N/A,FALSE,"Plan1";#N/A,#N/A,FALSE,"Plan2"}</definedName>
    <definedName name="hgkjhdfkhgtfhg" localSheetId="9">{#N/A,#N/A,FALSE,"Plan1";#N/A,#N/A,FALSE,"Plan2"}</definedName>
    <definedName name="hgkjhdfkhgtfhg" localSheetId="10" hidden="1">{#N/A,#N/A,FALSE,"Plan1";#N/A,#N/A,FALSE,"Plan2"}</definedName>
    <definedName name="hgkjhdfkhgtfhg" localSheetId="1" hidden="1">{#N/A,#N/A,FALSE,"Plan1";#N/A,#N/A,FALSE,"Plan2"}</definedName>
    <definedName name="hgkjhdfkhgtfhg" localSheetId="0">{#N/A,#N/A,FALSE,"Plan1";#N/A,#N/A,FALSE,"Plan2"}</definedName>
    <definedName name="hgkjhdfkhgtfhg" localSheetId="11" hidden="1">{#N/A,#N/A,FALSE,"Plan1";#N/A,#N/A,FALSE,"Plan2"}</definedName>
    <definedName name="hgkjhdfkhgtfhg" localSheetId="12" hidden="1">{#N/A,#N/A,FALSE,"Plan1";#N/A,#N/A,FALSE,"Plan2"}</definedName>
    <definedName name="hgkjhdfkhgtfhg" hidden="1">{#N/A,#N/A,FALSE,"Plan1";#N/A,#N/A,FALSE,"Plan2"}</definedName>
    <definedName name="hgkjhkfhsdkdhgk" localSheetId="3" hidden="1">{#N/A,#N/A,FALSE,"Plan1";#N/A,#N/A,FALSE,"Plan2"}</definedName>
    <definedName name="hgkjhkfhsdkdhgk" localSheetId="8">{#N/A,#N/A,FALSE,"Plan1";#N/A,#N/A,FALSE,"Plan2"}</definedName>
    <definedName name="hgkjhkfhsdkdhgk" localSheetId="5" hidden="1">{#N/A,#N/A,FALSE,"Plan1";#N/A,#N/A,FALSE,"Plan2"}</definedName>
    <definedName name="hgkjhkfhsdkdhgk" localSheetId="4" hidden="1">{#N/A,#N/A,FALSE,"Plan1";#N/A,#N/A,FALSE,"Plan2"}</definedName>
    <definedName name="hgkjhkfhsdkdhgk" localSheetId="9">{#N/A,#N/A,FALSE,"Plan1";#N/A,#N/A,FALSE,"Plan2"}</definedName>
    <definedName name="hgkjhkfhsdkdhgk" localSheetId="10" hidden="1">{#N/A,#N/A,FALSE,"Plan1";#N/A,#N/A,FALSE,"Plan2"}</definedName>
    <definedName name="hgkjhkfhsdkdhgk" localSheetId="1" hidden="1">{#N/A,#N/A,FALSE,"Plan1";#N/A,#N/A,FALSE,"Plan2"}</definedName>
    <definedName name="hgkjhkfhsdkdhgk" localSheetId="0">{#N/A,#N/A,FALSE,"Plan1";#N/A,#N/A,FALSE,"Plan2"}</definedName>
    <definedName name="hgkjhkfhsdkdhgk" localSheetId="11" hidden="1">{#N/A,#N/A,FALSE,"Plan1";#N/A,#N/A,FALSE,"Plan2"}</definedName>
    <definedName name="hgkjhkfhsdkdhgk" localSheetId="12" hidden="1">{#N/A,#N/A,FALSE,"Plan1";#N/A,#N/A,FALSE,"Plan2"}</definedName>
    <definedName name="hgkjhkfhsdkdhgk" hidden="1">{#N/A,#N/A,FALSE,"Plan1";#N/A,#N/A,FALSE,"Plan2"}</definedName>
    <definedName name="hgsufgdhghd" localSheetId="3" hidden="1">{#N/A,#N/A,FALSE,"Plan1";#N/A,#N/A,FALSE,"Plan2"}</definedName>
    <definedName name="hgsufgdhghd" localSheetId="8">{#N/A,#N/A,FALSE,"Plan1";#N/A,#N/A,FALSE,"Plan2"}</definedName>
    <definedName name="hgsufgdhghd" localSheetId="5" hidden="1">{#N/A,#N/A,FALSE,"Plan1";#N/A,#N/A,FALSE,"Plan2"}</definedName>
    <definedName name="hgsufgdhghd" localSheetId="4" hidden="1">{#N/A,#N/A,FALSE,"Plan1";#N/A,#N/A,FALSE,"Plan2"}</definedName>
    <definedName name="hgsufgdhghd" localSheetId="9">{#N/A,#N/A,FALSE,"Plan1";#N/A,#N/A,FALSE,"Plan2"}</definedName>
    <definedName name="hgsufgdhghd" localSheetId="10" hidden="1">{#N/A,#N/A,FALSE,"Plan1";#N/A,#N/A,FALSE,"Plan2"}</definedName>
    <definedName name="hgsufgdhghd" localSheetId="1" hidden="1">{#N/A,#N/A,FALSE,"Plan1";#N/A,#N/A,FALSE,"Plan2"}</definedName>
    <definedName name="hgsufgdhghd" localSheetId="0">{#N/A,#N/A,FALSE,"Plan1";#N/A,#N/A,FALSE,"Plan2"}</definedName>
    <definedName name="hgsufgdhghd" localSheetId="11" hidden="1">{#N/A,#N/A,FALSE,"Plan1";#N/A,#N/A,FALSE,"Plan2"}</definedName>
    <definedName name="hgsufgdhghd" localSheetId="12" hidden="1">{#N/A,#N/A,FALSE,"Plan1";#N/A,#N/A,FALSE,"Plan2"}</definedName>
    <definedName name="hgsufgdhghd" hidden="1">{#N/A,#N/A,FALSE,"Plan1";#N/A,#N/A,FALSE,"Plan2"}</definedName>
    <definedName name="HHGFHTYUT" localSheetId="3" hidden="1">{#N/A,#N/A,FALSE,"Plan1";#N/A,#N/A,FALSE,"Plan2"}</definedName>
    <definedName name="HHGFHTYUT" localSheetId="8">{#N/A,#N/A,FALSE,"Plan1";#N/A,#N/A,FALSE,"Plan2"}</definedName>
    <definedName name="HHGFHTYUT" localSheetId="5" hidden="1">{#N/A,#N/A,FALSE,"Plan1";#N/A,#N/A,FALSE,"Plan2"}</definedName>
    <definedName name="HHGFHTYUT" localSheetId="4" hidden="1">{#N/A,#N/A,FALSE,"Plan1";#N/A,#N/A,FALSE,"Plan2"}</definedName>
    <definedName name="HHGFHTYUT" localSheetId="9">{#N/A,#N/A,FALSE,"Plan1";#N/A,#N/A,FALSE,"Plan2"}</definedName>
    <definedName name="HHGFHTYUT" localSheetId="10" hidden="1">{#N/A,#N/A,FALSE,"Plan1";#N/A,#N/A,FALSE,"Plan2"}</definedName>
    <definedName name="HHGFHTYUT" localSheetId="1" hidden="1">{#N/A,#N/A,FALSE,"Plan1";#N/A,#N/A,FALSE,"Plan2"}</definedName>
    <definedName name="HHGFHTYUT" localSheetId="0">{#N/A,#N/A,FALSE,"Plan1";#N/A,#N/A,FALSE,"Plan2"}</definedName>
    <definedName name="HHGFHTYUT" localSheetId="11" hidden="1">{#N/A,#N/A,FALSE,"Plan1";#N/A,#N/A,FALSE,"Plan2"}</definedName>
    <definedName name="HHGFHTYUT" localSheetId="12" hidden="1">{#N/A,#N/A,FALSE,"Plan1";#N/A,#N/A,FALSE,"Plan2"}</definedName>
    <definedName name="HHGFHTYUT" hidden="1">{#N/A,#N/A,FALSE,"Plan1";#N/A,#N/A,FALSE,"Plan2"}</definedName>
    <definedName name="hhh" localSheetId="3" hidden="1">{"'Total'!$A$1","'Total'!$A$3"}</definedName>
    <definedName name="hhh" localSheetId="8">{"'Total'!$A$1","'Total'!$A$3"}</definedName>
    <definedName name="hhh" localSheetId="5" hidden="1">{"'Total'!$A$1","'Total'!$A$3"}</definedName>
    <definedName name="hhh" localSheetId="4" hidden="1">{"'Total'!$A$1","'Total'!$A$3"}</definedName>
    <definedName name="hhh" localSheetId="9">{"'Total'!$A$1","'Total'!$A$3"}</definedName>
    <definedName name="hhh" localSheetId="10" hidden="1">{"'Total'!$A$1","'Total'!$A$3"}</definedName>
    <definedName name="hhh" localSheetId="1" hidden="1">{"'Total'!$A$1","'Total'!$A$3"}</definedName>
    <definedName name="hhh" localSheetId="0">{"'Total'!$A$1","'Total'!$A$3"}</definedName>
    <definedName name="hhh" localSheetId="11" hidden="1">{"'Total'!$A$1","'Total'!$A$3"}</definedName>
    <definedName name="hhh" localSheetId="12" hidden="1">{"'Total'!$A$1","'Total'!$A$3"}</definedName>
    <definedName name="hhh" hidden="1">{"'Total'!$A$1","'Total'!$A$3"}</definedName>
    <definedName name="HHIHLK" localSheetId="8">#REF!</definedName>
    <definedName name="HHIHLK" localSheetId="5" hidden="1">#REF!</definedName>
    <definedName name="HHIHLK" localSheetId="9">#REF!</definedName>
    <definedName name="HHIHLK" localSheetId="10" hidden="1">#REF!</definedName>
    <definedName name="HHIHLK" localSheetId="1" hidden="1">#REF!</definedName>
    <definedName name="HHIHLK" localSheetId="0">#REF!</definedName>
    <definedName name="HHIHLK" localSheetId="11" hidden="1">#REF!</definedName>
    <definedName name="HHIHLK" localSheetId="12" hidden="1">#REF!</definedName>
    <definedName name="HHIHLK" hidden="1">#REF!</definedName>
    <definedName name="hik" localSheetId="3" hidden="1">{#N/A,#N/A,FALSE,"TABLE"}</definedName>
    <definedName name="hik" localSheetId="8">{#N/A,#N/A,FALSE,"TABLE"}</definedName>
    <definedName name="hik" localSheetId="5" hidden="1">{#N/A,#N/A,FALSE,"TABLE"}</definedName>
    <definedName name="hik" localSheetId="4" hidden="1">{#N/A,#N/A,FALSE,"TABLE"}</definedName>
    <definedName name="hik" localSheetId="9">{#N/A,#N/A,FALSE,"TABLE"}</definedName>
    <definedName name="hik" localSheetId="10" hidden="1">{#N/A,#N/A,FALSE,"TABLE"}</definedName>
    <definedName name="hik" localSheetId="1" hidden="1">{#N/A,#N/A,FALSE,"TABLE"}</definedName>
    <definedName name="hik" localSheetId="0">{#N/A,#N/A,FALSE,"TABLE"}</definedName>
    <definedName name="hik" localSheetId="11" hidden="1">{#N/A,#N/A,FALSE,"TABLE"}</definedName>
    <definedName name="hik" localSheetId="12" hidden="1">{#N/A,#N/A,FALSE,"TABLE"}</definedName>
    <definedName name="hik" hidden="1">{#N/A,#N/A,FALSE,"TABLE"}</definedName>
    <definedName name="hist" localSheetId="8">#REF!</definedName>
    <definedName name="hist" localSheetId="5">#REF!</definedName>
    <definedName name="hist" localSheetId="9">#REF!</definedName>
    <definedName name="hist" localSheetId="10">#REF!</definedName>
    <definedName name="hist" localSheetId="0">#REF!</definedName>
    <definedName name="hist" localSheetId="11">#REF!</definedName>
    <definedName name="hist" localSheetId="12">#REF!</definedName>
    <definedName name="hist">#REF!</definedName>
    <definedName name="HIST1" localSheetId="8">#REF!</definedName>
    <definedName name="HIST1" localSheetId="5">#REF!</definedName>
    <definedName name="HIST1" localSheetId="9">#REF!</definedName>
    <definedName name="HIST1" localSheetId="10">#REF!</definedName>
    <definedName name="HIST1" localSheetId="0">#REF!</definedName>
    <definedName name="HIST1" localSheetId="11">#REF!</definedName>
    <definedName name="HIST1" localSheetId="12">#REF!</definedName>
    <definedName name="HIST1">#REF!</definedName>
    <definedName name="HISTEQ" localSheetId="8">#REF!</definedName>
    <definedName name="HISTEQ" localSheetId="5">#REF!</definedName>
    <definedName name="HISTEQ" localSheetId="9">#REF!</definedName>
    <definedName name="HISTEQ" localSheetId="10">#REF!</definedName>
    <definedName name="HISTEQ" localSheetId="0">#REF!</definedName>
    <definedName name="HISTEQ" localSheetId="11">#REF!</definedName>
    <definedName name="HISTEQ" localSheetId="12">#REF!</definedName>
    <definedName name="HISTEQ">#REF!</definedName>
    <definedName name="HISTOGRAMA" localSheetId="8">#REF!</definedName>
    <definedName name="HISTOGRAMA" localSheetId="5">#REF!</definedName>
    <definedName name="HISTOGRAMA" localSheetId="10">#REF!</definedName>
    <definedName name="HISTOGRAMA" localSheetId="11">#REF!</definedName>
    <definedName name="HISTOGRAMA" localSheetId="12">#REF!</definedName>
    <definedName name="HISTOGRAMA">#REF!</definedName>
    <definedName name="hjdgtjdjxrfg" localSheetId="3" hidden="1">{#N/A,#N/A,FALSE,"Plan1";#N/A,#N/A,FALSE,"Plan2"}</definedName>
    <definedName name="hjdgtjdjxrfg" localSheetId="8">{#N/A,#N/A,FALSE,"Plan1";#N/A,#N/A,FALSE,"Plan2"}</definedName>
    <definedName name="hjdgtjdjxrfg" localSheetId="5" hidden="1">{#N/A,#N/A,FALSE,"Plan1";#N/A,#N/A,FALSE,"Plan2"}</definedName>
    <definedName name="hjdgtjdjxrfg" localSheetId="4" hidden="1">{#N/A,#N/A,FALSE,"Plan1";#N/A,#N/A,FALSE,"Plan2"}</definedName>
    <definedName name="hjdgtjdjxrfg" localSheetId="9">{#N/A,#N/A,FALSE,"Plan1";#N/A,#N/A,FALSE,"Plan2"}</definedName>
    <definedName name="hjdgtjdjxrfg" localSheetId="10" hidden="1">{#N/A,#N/A,FALSE,"Plan1";#N/A,#N/A,FALSE,"Plan2"}</definedName>
    <definedName name="hjdgtjdjxrfg" localSheetId="1" hidden="1">{#N/A,#N/A,FALSE,"Plan1";#N/A,#N/A,FALSE,"Plan2"}</definedName>
    <definedName name="hjdgtjdjxrfg" localSheetId="0">{#N/A,#N/A,FALSE,"Plan1";#N/A,#N/A,FALSE,"Plan2"}</definedName>
    <definedName name="hjdgtjdjxrfg" localSheetId="11" hidden="1">{#N/A,#N/A,FALSE,"Plan1";#N/A,#N/A,FALSE,"Plan2"}</definedName>
    <definedName name="hjdgtjdjxrfg" localSheetId="12" hidden="1">{#N/A,#N/A,FALSE,"Plan1";#N/A,#N/A,FALSE,"Plan2"}</definedName>
    <definedName name="hjdgtjdjxrfg" hidden="1">{#N/A,#N/A,FALSE,"Plan1";#N/A,#N/A,FALSE,"Plan2"}</definedName>
    <definedName name="HJFDGD" localSheetId="3" hidden="1">{#N/A,#N/A,FALSE,"Plan1";#N/A,#N/A,FALSE,"Plan2"}</definedName>
    <definedName name="HJFDGD" localSheetId="8">{#N/A,#N/A,FALSE,"Plan1";#N/A,#N/A,FALSE,"Plan2"}</definedName>
    <definedName name="HJFDGD" localSheetId="5" hidden="1">{#N/A,#N/A,FALSE,"Plan1";#N/A,#N/A,FALSE,"Plan2"}</definedName>
    <definedName name="HJFDGD" localSheetId="4" hidden="1">{#N/A,#N/A,FALSE,"Plan1";#N/A,#N/A,FALSE,"Plan2"}</definedName>
    <definedName name="HJFDGD" localSheetId="9">{#N/A,#N/A,FALSE,"Plan1";#N/A,#N/A,FALSE,"Plan2"}</definedName>
    <definedName name="HJFDGD" localSheetId="10" hidden="1">{#N/A,#N/A,FALSE,"Plan1";#N/A,#N/A,FALSE,"Plan2"}</definedName>
    <definedName name="HJFDGD" localSheetId="1" hidden="1">{#N/A,#N/A,FALSE,"Plan1";#N/A,#N/A,FALSE,"Plan2"}</definedName>
    <definedName name="HJFDGD" localSheetId="0">{#N/A,#N/A,FALSE,"Plan1";#N/A,#N/A,FALSE,"Plan2"}</definedName>
    <definedName name="HJFDGD" localSheetId="11" hidden="1">{#N/A,#N/A,FALSE,"Plan1";#N/A,#N/A,FALSE,"Plan2"}</definedName>
    <definedName name="HJFDGD" localSheetId="12" hidden="1">{#N/A,#N/A,FALSE,"Plan1";#N/A,#N/A,FALSE,"Plan2"}</definedName>
    <definedName name="HJFDGD" hidden="1">{#N/A,#N/A,FALSE,"Plan1";#N/A,#N/A,FALSE,"Plan2"}</definedName>
    <definedName name="HJGASD" localSheetId="3" hidden="1">{#N/A,#N/A,FALSE,"Plan1";#N/A,#N/A,FALSE,"Plan2"}</definedName>
    <definedName name="HJGASD" localSheetId="8">{#N/A,#N/A,FALSE,"Plan1";#N/A,#N/A,FALSE,"Plan2"}</definedName>
    <definedName name="HJGASD" localSheetId="5" hidden="1">{#N/A,#N/A,FALSE,"Plan1";#N/A,#N/A,FALSE,"Plan2"}</definedName>
    <definedName name="HJGASD" localSheetId="4" hidden="1">{#N/A,#N/A,FALSE,"Plan1";#N/A,#N/A,FALSE,"Plan2"}</definedName>
    <definedName name="HJGASD" localSheetId="9">{#N/A,#N/A,FALSE,"Plan1";#N/A,#N/A,FALSE,"Plan2"}</definedName>
    <definedName name="HJGASD" localSheetId="10" hidden="1">{#N/A,#N/A,FALSE,"Plan1";#N/A,#N/A,FALSE,"Plan2"}</definedName>
    <definedName name="HJGASD" localSheetId="1" hidden="1">{#N/A,#N/A,FALSE,"Plan1";#N/A,#N/A,FALSE,"Plan2"}</definedName>
    <definedName name="HJGASD" localSheetId="0">{#N/A,#N/A,FALSE,"Plan1";#N/A,#N/A,FALSE,"Plan2"}</definedName>
    <definedName name="HJGASD" localSheetId="11" hidden="1">{#N/A,#N/A,FALSE,"Plan1";#N/A,#N/A,FALSE,"Plan2"}</definedName>
    <definedName name="HJGASD" localSheetId="12" hidden="1">{#N/A,#N/A,FALSE,"Plan1";#N/A,#N/A,FALSE,"Plan2"}</definedName>
    <definedName name="HJGASD" hidden="1">{#N/A,#N/A,FALSE,"Plan1";#N/A,#N/A,FALSE,"Plan2"}</definedName>
    <definedName name="HJGFGTFDG" localSheetId="3" hidden="1">{#N/A,#N/A,FALSE,"Plan1";#N/A,#N/A,FALSE,"Plan2"}</definedName>
    <definedName name="HJGFGTFDG" localSheetId="8">{#N/A,#N/A,FALSE,"Plan1";#N/A,#N/A,FALSE,"Plan2"}</definedName>
    <definedName name="HJGFGTFDG" localSheetId="5" hidden="1">{#N/A,#N/A,FALSE,"Plan1";#N/A,#N/A,FALSE,"Plan2"}</definedName>
    <definedName name="HJGFGTFDG" localSheetId="4" hidden="1">{#N/A,#N/A,FALSE,"Plan1";#N/A,#N/A,FALSE,"Plan2"}</definedName>
    <definedName name="HJGFGTFDG" localSheetId="9">{#N/A,#N/A,FALSE,"Plan1";#N/A,#N/A,FALSE,"Plan2"}</definedName>
    <definedName name="HJGFGTFDG" localSheetId="10" hidden="1">{#N/A,#N/A,FALSE,"Plan1";#N/A,#N/A,FALSE,"Plan2"}</definedName>
    <definedName name="HJGFGTFDG" localSheetId="1" hidden="1">{#N/A,#N/A,FALSE,"Plan1";#N/A,#N/A,FALSE,"Plan2"}</definedName>
    <definedName name="HJGFGTFDG" localSheetId="0">{#N/A,#N/A,FALSE,"Plan1";#N/A,#N/A,FALSE,"Plan2"}</definedName>
    <definedName name="HJGFGTFDG" localSheetId="11" hidden="1">{#N/A,#N/A,FALSE,"Plan1";#N/A,#N/A,FALSE,"Plan2"}</definedName>
    <definedName name="HJGFGTFDG" localSheetId="12" hidden="1">{#N/A,#N/A,FALSE,"Plan1";#N/A,#N/A,FALSE,"Plan2"}</definedName>
    <definedName name="HJGFGTFDG" hidden="1">{#N/A,#N/A,FALSE,"Plan1";#N/A,#N/A,FALSE,"Plan2"}</definedName>
    <definedName name="hjgfhdsgfhsd" localSheetId="3" hidden="1">{#N/A,#N/A,FALSE,"Plan1";#N/A,#N/A,FALSE,"Plan2"}</definedName>
    <definedName name="hjgfhdsgfhsd" localSheetId="8">{#N/A,#N/A,FALSE,"Plan1";#N/A,#N/A,FALSE,"Plan2"}</definedName>
    <definedName name="hjgfhdsgfhsd" localSheetId="5" hidden="1">{#N/A,#N/A,FALSE,"Plan1";#N/A,#N/A,FALSE,"Plan2"}</definedName>
    <definedName name="hjgfhdsgfhsd" localSheetId="4" hidden="1">{#N/A,#N/A,FALSE,"Plan1";#N/A,#N/A,FALSE,"Plan2"}</definedName>
    <definedName name="hjgfhdsgfhsd" localSheetId="9">{#N/A,#N/A,FALSE,"Plan1";#N/A,#N/A,FALSE,"Plan2"}</definedName>
    <definedName name="hjgfhdsgfhsd" localSheetId="10" hidden="1">{#N/A,#N/A,FALSE,"Plan1";#N/A,#N/A,FALSE,"Plan2"}</definedName>
    <definedName name="hjgfhdsgfhsd" localSheetId="1" hidden="1">{#N/A,#N/A,FALSE,"Plan1";#N/A,#N/A,FALSE,"Plan2"}</definedName>
    <definedName name="hjgfhdsgfhsd" localSheetId="0">{#N/A,#N/A,FALSE,"Plan1";#N/A,#N/A,FALSE,"Plan2"}</definedName>
    <definedName name="hjgfhdsgfhsd" localSheetId="11" hidden="1">{#N/A,#N/A,FALSE,"Plan1";#N/A,#N/A,FALSE,"Plan2"}</definedName>
    <definedName name="hjgfhdsgfhsd" localSheetId="12" hidden="1">{#N/A,#N/A,FALSE,"Plan1";#N/A,#N/A,FALSE,"Plan2"}</definedName>
    <definedName name="hjgfhdsgfhsd" hidden="1">{#N/A,#N/A,FALSE,"Plan1";#N/A,#N/A,FALSE,"Plan2"}</definedName>
    <definedName name="hjgxfjgdjyftr" localSheetId="3" hidden="1">{#N/A,#N/A,FALSE,"Plan1";#N/A,#N/A,FALSE,"Plan2"}</definedName>
    <definedName name="hjgxfjgdjyftr" localSheetId="8">{#N/A,#N/A,FALSE,"Plan1";#N/A,#N/A,FALSE,"Plan2"}</definedName>
    <definedName name="hjgxfjgdjyftr" localSheetId="5" hidden="1">{#N/A,#N/A,FALSE,"Plan1";#N/A,#N/A,FALSE,"Plan2"}</definedName>
    <definedName name="hjgxfjgdjyftr" localSheetId="4" hidden="1">{#N/A,#N/A,FALSE,"Plan1";#N/A,#N/A,FALSE,"Plan2"}</definedName>
    <definedName name="hjgxfjgdjyftr" localSheetId="9">{#N/A,#N/A,FALSE,"Plan1";#N/A,#N/A,FALSE,"Plan2"}</definedName>
    <definedName name="hjgxfjgdjyftr" localSheetId="10" hidden="1">{#N/A,#N/A,FALSE,"Plan1";#N/A,#N/A,FALSE,"Plan2"}</definedName>
    <definedName name="hjgxfjgdjyftr" localSheetId="1" hidden="1">{#N/A,#N/A,FALSE,"Plan1";#N/A,#N/A,FALSE,"Plan2"}</definedName>
    <definedName name="hjgxfjgdjyftr" localSheetId="0">{#N/A,#N/A,FALSE,"Plan1";#N/A,#N/A,FALSE,"Plan2"}</definedName>
    <definedName name="hjgxfjgdjyftr" localSheetId="11" hidden="1">{#N/A,#N/A,FALSE,"Plan1";#N/A,#N/A,FALSE,"Plan2"}</definedName>
    <definedName name="hjgxfjgdjyftr" localSheetId="12" hidden="1">{#N/A,#N/A,FALSE,"Plan1";#N/A,#N/A,FALSE,"Plan2"}</definedName>
    <definedName name="hjgxfjgdjyftr" hidden="1">{#N/A,#N/A,FALSE,"Plan1";#N/A,#N/A,FALSE,"Plan2"}</definedName>
    <definedName name="hjgyugasd" localSheetId="3" hidden="1">{#N/A,#N/A,FALSE,"Plan1";#N/A,#N/A,FALSE,"Plan2"}</definedName>
    <definedName name="hjgyugasd" localSheetId="8">{#N/A,#N/A,FALSE,"Plan1";#N/A,#N/A,FALSE,"Plan2"}</definedName>
    <definedName name="hjgyugasd" localSheetId="5" hidden="1">{#N/A,#N/A,FALSE,"Plan1";#N/A,#N/A,FALSE,"Plan2"}</definedName>
    <definedName name="hjgyugasd" localSheetId="4" hidden="1">{#N/A,#N/A,FALSE,"Plan1";#N/A,#N/A,FALSE,"Plan2"}</definedName>
    <definedName name="hjgyugasd" localSheetId="9">{#N/A,#N/A,FALSE,"Plan1";#N/A,#N/A,FALSE,"Plan2"}</definedName>
    <definedName name="hjgyugasd" localSheetId="10" hidden="1">{#N/A,#N/A,FALSE,"Plan1";#N/A,#N/A,FALSE,"Plan2"}</definedName>
    <definedName name="hjgyugasd" localSheetId="1" hidden="1">{#N/A,#N/A,FALSE,"Plan1";#N/A,#N/A,FALSE,"Plan2"}</definedName>
    <definedName name="hjgyugasd" localSheetId="0">{#N/A,#N/A,FALSE,"Plan1";#N/A,#N/A,FALSE,"Plan2"}</definedName>
    <definedName name="hjgyugasd" localSheetId="11" hidden="1">{#N/A,#N/A,FALSE,"Plan1";#N/A,#N/A,FALSE,"Plan2"}</definedName>
    <definedName name="hjgyugasd" localSheetId="12" hidden="1">{#N/A,#N/A,FALSE,"Plan1";#N/A,#N/A,FALSE,"Plan2"}</definedName>
    <definedName name="hjgyugasd" hidden="1">{#N/A,#N/A,FALSE,"Plan1";#N/A,#N/A,FALSE,"Plan2"}</definedName>
    <definedName name="hjjfyfy" localSheetId="3" hidden="1">{#N/A,#N/A,FALSE,"Plan1";#N/A,#N/A,FALSE,"Plan2"}</definedName>
    <definedName name="hjjfyfy" localSheetId="8">{#N/A,#N/A,FALSE,"Plan1";#N/A,#N/A,FALSE,"Plan2"}</definedName>
    <definedName name="hjjfyfy" localSheetId="5" hidden="1">{#N/A,#N/A,FALSE,"Plan1";#N/A,#N/A,FALSE,"Plan2"}</definedName>
    <definedName name="hjjfyfy" localSheetId="4" hidden="1">{#N/A,#N/A,FALSE,"Plan1";#N/A,#N/A,FALSE,"Plan2"}</definedName>
    <definedName name="hjjfyfy" localSheetId="9">{#N/A,#N/A,FALSE,"Plan1";#N/A,#N/A,FALSE,"Plan2"}</definedName>
    <definedName name="hjjfyfy" localSheetId="10" hidden="1">{#N/A,#N/A,FALSE,"Plan1";#N/A,#N/A,FALSE,"Plan2"}</definedName>
    <definedName name="hjjfyfy" localSheetId="1" hidden="1">{#N/A,#N/A,FALSE,"Plan1";#N/A,#N/A,FALSE,"Plan2"}</definedName>
    <definedName name="hjjfyfy" localSheetId="0">{#N/A,#N/A,FALSE,"Plan1";#N/A,#N/A,FALSE,"Plan2"}</definedName>
    <definedName name="hjjfyfy" localSheetId="11" hidden="1">{#N/A,#N/A,FALSE,"Plan1";#N/A,#N/A,FALSE,"Plan2"}</definedName>
    <definedName name="hjjfyfy" localSheetId="12" hidden="1">{#N/A,#N/A,FALSE,"Plan1";#N/A,#N/A,FALSE,"Plan2"}</definedName>
    <definedName name="hjjfyfy" hidden="1">{#N/A,#N/A,FALSE,"Plan1";#N/A,#N/A,FALSE,"Plan2"}</definedName>
    <definedName name="hjkchkvjhdjkgh" localSheetId="3" hidden="1">{#N/A,#N/A,FALSE,"Plan1";#N/A,#N/A,FALSE,"Plan2"}</definedName>
    <definedName name="hjkchkvjhdjkgh" localSheetId="8">{#N/A,#N/A,FALSE,"Plan1";#N/A,#N/A,FALSE,"Plan2"}</definedName>
    <definedName name="hjkchkvjhdjkgh" localSheetId="5" hidden="1">{#N/A,#N/A,FALSE,"Plan1";#N/A,#N/A,FALSE,"Plan2"}</definedName>
    <definedName name="hjkchkvjhdjkgh" localSheetId="4" hidden="1">{#N/A,#N/A,FALSE,"Plan1";#N/A,#N/A,FALSE,"Plan2"}</definedName>
    <definedName name="hjkchkvjhdjkgh" localSheetId="9">{#N/A,#N/A,FALSE,"Plan1";#N/A,#N/A,FALSE,"Plan2"}</definedName>
    <definedName name="hjkchkvjhdjkgh" localSheetId="10" hidden="1">{#N/A,#N/A,FALSE,"Plan1";#N/A,#N/A,FALSE,"Plan2"}</definedName>
    <definedName name="hjkchkvjhdjkgh" localSheetId="1" hidden="1">{#N/A,#N/A,FALSE,"Plan1";#N/A,#N/A,FALSE,"Plan2"}</definedName>
    <definedName name="hjkchkvjhdjkgh" localSheetId="0">{#N/A,#N/A,FALSE,"Plan1";#N/A,#N/A,FALSE,"Plan2"}</definedName>
    <definedName name="hjkchkvjhdjkgh" localSheetId="11" hidden="1">{#N/A,#N/A,FALSE,"Plan1";#N/A,#N/A,FALSE,"Plan2"}</definedName>
    <definedName name="hjkchkvjhdjkgh" localSheetId="12" hidden="1">{#N/A,#N/A,FALSE,"Plan1";#N/A,#N/A,FALSE,"Plan2"}</definedName>
    <definedName name="hjkchkvjhdjkgh" hidden="1">{#N/A,#N/A,FALSE,"Plan1";#N/A,#N/A,FALSE,"Plan2"}</definedName>
    <definedName name="hjkfjdyht" localSheetId="3" hidden="1">{#N/A,#N/A,FALSE,"Plan1";#N/A,#N/A,FALSE,"Plan2"}</definedName>
    <definedName name="hjkfjdyht" localSheetId="8">{#N/A,#N/A,FALSE,"Plan1";#N/A,#N/A,FALSE,"Plan2"}</definedName>
    <definedName name="hjkfjdyht" localSheetId="5" hidden="1">{#N/A,#N/A,FALSE,"Plan1";#N/A,#N/A,FALSE,"Plan2"}</definedName>
    <definedName name="hjkfjdyht" localSheetId="4" hidden="1">{#N/A,#N/A,FALSE,"Plan1";#N/A,#N/A,FALSE,"Plan2"}</definedName>
    <definedName name="hjkfjdyht" localSheetId="9">{#N/A,#N/A,FALSE,"Plan1";#N/A,#N/A,FALSE,"Plan2"}</definedName>
    <definedName name="hjkfjdyht" localSheetId="10" hidden="1">{#N/A,#N/A,FALSE,"Plan1";#N/A,#N/A,FALSE,"Plan2"}</definedName>
    <definedName name="hjkfjdyht" localSheetId="1" hidden="1">{#N/A,#N/A,FALSE,"Plan1";#N/A,#N/A,FALSE,"Plan2"}</definedName>
    <definedName name="hjkfjdyht" localSheetId="0">{#N/A,#N/A,FALSE,"Plan1";#N/A,#N/A,FALSE,"Plan2"}</definedName>
    <definedName name="hjkfjdyht" localSheetId="11" hidden="1">{#N/A,#N/A,FALSE,"Plan1";#N/A,#N/A,FALSE,"Plan2"}</definedName>
    <definedName name="hjkfjdyht" localSheetId="12" hidden="1">{#N/A,#N/A,FALSE,"Plan1";#N/A,#N/A,FALSE,"Plan2"}</definedName>
    <definedName name="hjkfjdyht" hidden="1">{#N/A,#N/A,FALSE,"Plan1";#N/A,#N/A,FALSE,"Plan2"}</definedName>
    <definedName name="hjsdffe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ffe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jsdkhk" localSheetId="3" hidden="1">{#N/A,#N/A,FALSE,"Plan1";#N/A,#N/A,FALSE,"Plan2"}</definedName>
    <definedName name="hjsdkhk" localSheetId="8">{#N/A,#N/A,FALSE,"Plan1";#N/A,#N/A,FALSE,"Plan2"}</definedName>
    <definedName name="hjsdkhk" localSheetId="5" hidden="1">{#N/A,#N/A,FALSE,"Plan1";#N/A,#N/A,FALSE,"Plan2"}</definedName>
    <definedName name="hjsdkhk" localSheetId="4" hidden="1">{#N/A,#N/A,FALSE,"Plan1";#N/A,#N/A,FALSE,"Plan2"}</definedName>
    <definedName name="hjsdkhk" localSheetId="9">{#N/A,#N/A,FALSE,"Plan1";#N/A,#N/A,FALSE,"Plan2"}</definedName>
    <definedName name="hjsdkhk" localSheetId="10" hidden="1">{#N/A,#N/A,FALSE,"Plan1";#N/A,#N/A,FALSE,"Plan2"}</definedName>
    <definedName name="hjsdkhk" localSheetId="1" hidden="1">{#N/A,#N/A,FALSE,"Plan1";#N/A,#N/A,FALSE,"Plan2"}</definedName>
    <definedName name="hjsdkhk" localSheetId="0">{#N/A,#N/A,FALSE,"Plan1";#N/A,#N/A,FALSE,"Plan2"}</definedName>
    <definedName name="hjsdkhk" localSheetId="11" hidden="1">{#N/A,#N/A,FALSE,"Plan1";#N/A,#N/A,FALSE,"Plan2"}</definedName>
    <definedName name="hjsdkhk" localSheetId="12" hidden="1">{#N/A,#N/A,FALSE,"Plan1";#N/A,#N/A,FALSE,"Plan2"}</definedName>
    <definedName name="hjsdkhk" hidden="1">{#N/A,#N/A,FALSE,"Plan1";#N/A,#N/A,FALSE,"Plan2"}</definedName>
    <definedName name="hjsdsdrjfrh" hidden="1">2</definedName>
    <definedName name="hjsrdfre" localSheetId="3" hidden="1">{"Econ Consolidado",#N/A,FALSE,"Econ Consol";"Fluxo de Caixa",#N/A,FALSE,"Fluxo Caixa";"Investimentos",#N/A,FALSE,"Investimentos"}</definedName>
    <definedName name="hjsrdfre" localSheetId="8">{"Econ Consolidado",#N/A,FALSE,"Econ Consol";"Fluxo de Caixa",#N/A,FALSE,"Fluxo Caixa";"Investimentos",#N/A,FALSE,"Investimentos"}</definedName>
    <definedName name="hjsrdfre" localSheetId="5" hidden="1">{"Econ Consolidado",#N/A,FALSE,"Econ Consol";"Fluxo de Caixa",#N/A,FALSE,"Fluxo Caixa";"Investimentos",#N/A,FALSE,"Investimentos"}</definedName>
    <definedName name="hjsrdfre" localSheetId="4" hidden="1">{"Econ Consolidado",#N/A,FALSE,"Econ Consol";"Fluxo de Caixa",#N/A,FALSE,"Fluxo Caixa";"Investimentos",#N/A,FALSE,"Investimentos"}</definedName>
    <definedName name="hjsrdfre" localSheetId="9">{"Econ Consolidado",#N/A,FALSE,"Econ Consol";"Fluxo de Caixa",#N/A,FALSE,"Fluxo Caixa";"Investimentos",#N/A,FALSE,"Investimentos"}</definedName>
    <definedName name="hjsrdfre" localSheetId="10" hidden="1">{"Econ Consolidado",#N/A,FALSE,"Econ Consol";"Fluxo de Caixa",#N/A,FALSE,"Fluxo Caixa";"Investimentos",#N/A,FALSE,"Investimentos"}</definedName>
    <definedName name="hjsrdfre" localSheetId="1" hidden="1">{"Econ Consolidado",#N/A,FALSE,"Econ Consol";"Fluxo de Caixa",#N/A,FALSE,"Fluxo Caixa";"Investimentos",#N/A,FALSE,"Investimentos"}</definedName>
    <definedName name="hjsrdfre" localSheetId="0">{"Econ Consolidado",#N/A,FALSE,"Econ Consol";"Fluxo de Caixa",#N/A,FALSE,"Fluxo Caixa";"Investimentos",#N/A,FALSE,"Investimentos"}</definedName>
    <definedName name="hjsrdfre" localSheetId="11" hidden="1">{"Econ Consolidado",#N/A,FALSE,"Econ Consol";"Fluxo de Caixa",#N/A,FALSE,"Fluxo Caixa";"Investimentos",#N/A,FALSE,"Investimentos"}</definedName>
    <definedName name="hjsrdfre" localSheetId="12" hidden="1">{"Econ Consolidado",#N/A,FALSE,"Econ Consol";"Fluxo de Caixa",#N/A,FALSE,"Fluxo Caixa";"Investimentos",#N/A,FALSE,"Investimentos"}</definedName>
    <definedName name="hjsrdfre" hidden="1">{"Econ Consolidado",#N/A,FALSE,"Econ Consol";"Fluxo de Caixa",#N/A,FALSE,"Fluxo Caixa";"Investimentos",#N/A,FALSE,"Investimentos"}</definedName>
    <definedName name="HKewewsr" localSheetId="3" hidden="1">{#N/A,#N/A,FALSE,"Plan1";#N/A,#N/A,FALSE,"Plan2"}</definedName>
    <definedName name="HKewewsr" localSheetId="8">{#N/A,#N/A,FALSE,"Plan1";#N/A,#N/A,FALSE,"Plan2"}</definedName>
    <definedName name="HKewewsr" localSheetId="5" hidden="1">{#N/A,#N/A,FALSE,"Plan1";#N/A,#N/A,FALSE,"Plan2"}</definedName>
    <definedName name="HKewewsr" localSheetId="4" hidden="1">{#N/A,#N/A,FALSE,"Plan1";#N/A,#N/A,FALSE,"Plan2"}</definedName>
    <definedName name="HKewewsr" localSheetId="9">{#N/A,#N/A,FALSE,"Plan1";#N/A,#N/A,FALSE,"Plan2"}</definedName>
    <definedName name="HKewewsr" localSheetId="10" hidden="1">{#N/A,#N/A,FALSE,"Plan1";#N/A,#N/A,FALSE,"Plan2"}</definedName>
    <definedName name="HKewewsr" localSheetId="1" hidden="1">{#N/A,#N/A,FALSE,"Plan1";#N/A,#N/A,FALSE,"Plan2"}</definedName>
    <definedName name="HKewewsr" localSheetId="0">{#N/A,#N/A,FALSE,"Plan1";#N/A,#N/A,FALSE,"Plan2"}</definedName>
    <definedName name="HKewewsr" localSheetId="11" hidden="1">{#N/A,#N/A,FALSE,"Plan1";#N/A,#N/A,FALSE,"Plan2"}</definedName>
    <definedName name="HKewewsr" localSheetId="12" hidden="1">{#N/A,#N/A,FALSE,"Plan1";#N/A,#N/A,FALSE,"Plan2"}</definedName>
    <definedName name="HKewewsr" hidden="1">{#N/A,#N/A,FALSE,"Plan1";#N/A,#N/A,FALSE,"Plan2"}</definedName>
    <definedName name="hkhdskacd" localSheetId="3" hidden="1">{#N/A,#N/A,FALSE,"Plan1";#N/A,#N/A,FALSE,"Plan2"}</definedName>
    <definedName name="hkhdskacd" localSheetId="8">{#N/A,#N/A,FALSE,"Plan1";#N/A,#N/A,FALSE,"Plan2"}</definedName>
    <definedName name="hkhdskacd" localSheetId="5" hidden="1">{#N/A,#N/A,FALSE,"Plan1";#N/A,#N/A,FALSE,"Plan2"}</definedName>
    <definedName name="hkhdskacd" localSheetId="4" hidden="1">{#N/A,#N/A,FALSE,"Plan1";#N/A,#N/A,FALSE,"Plan2"}</definedName>
    <definedName name="hkhdskacd" localSheetId="9">{#N/A,#N/A,FALSE,"Plan1";#N/A,#N/A,FALSE,"Plan2"}</definedName>
    <definedName name="hkhdskacd" localSheetId="10" hidden="1">{#N/A,#N/A,FALSE,"Plan1";#N/A,#N/A,FALSE,"Plan2"}</definedName>
    <definedName name="hkhdskacd" localSheetId="1" hidden="1">{#N/A,#N/A,FALSE,"Plan1";#N/A,#N/A,FALSE,"Plan2"}</definedName>
    <definedName name="hkhdskacd" localSheetId="0">{#N/A,#N/A,FALSE,"Plan1";#N/A,#N/A,FALSE,"Plan2"}</definedName>
    <definedName name="hkhdskacd" localSheetId="11" hidden="1">{#N/A,#N/A,FALSE,"Plan1";#N/A,#N/A,FALSE,"Plan2"}</definedName>
    <definedName name="hkhdskacd" localSheetId="12" hidden="1">{#N/A,#N/A,FALSE,"Plan1";#N/A,#N/A,FALSE,"Plan2"}</definedName>
    <definedName name="hkhdskacd" hidden="1">{#N/A,#N/A,FALSE,"Plan1";#N/A,#N/A,FALSE,"Plan2"}</definedName>
    <definedName name="hkjfgfhgfh" localSheetId="3" hidden="1">{#N/A,#N/A,FALSE,"Plan1";#N/A,#N/A,FALSE,"Plan2"}</definedName>
    <definedName name="hkjfgfhgfh" localSheetId="8">{#N/A,#N/A,FALSE,"Plan1";#N/A,#N/A,FALSE,"Plan2"}</definedName>
    <definedName name="hkjfgfhgfh" localSheetId="5" hidden="1">{#N/A,#N/A,FALSE,"Plan1";#N/A,#N/A,FALSE,"Plan2"}</definedName>
    <definedName name="hkjfgfhgfh" localSheetId="4" hidden="1">{#N/A,#N/A,FALSE,"Plan1";#N/A,#N/A,FALSE,"Plan2"}</definedName>
    <definedName name="hkjfgfhgfh" localSheetId="9">{#N/A,#N/A,FALSE,"Plan1";#N/A,#N/A,FALSE,"Plan2"}</definedName>
    <definedName name="hkjfgfhgfh" localSheetId="10" hidden="1">{#N/A,#N/A,FALSE,"Plan1";#N/A,#N/A,FALSE,"Plan2"}</definedName>
    <definedName name="hkjfgfhgfh" localSheetId="1" hidden="1">{#N/A,#N/A,FALSE,"Plan1";#N/A,#N/A,FALSE,"Plan2"}</definedName>
    <definedName name="hkjfgfhgfh" localSheetId="0">{#N/A,#N/A,FALSE,"Plan1";#N/A,#N/A,FALSE,"Plan2"}</definedName>
    <definedName name="hkjfgfhgfh" localSheetId="11" hidden="1">{#N/A,#N/A,FALSE,"Plan1";#N/A,#N/A,FALSE,"Plan2"}</definedName>
    <definedName name="hkjfgfhgfh" localSheetId="12" hidden="1">{#N/A,#N/A,FALSE,"Plan1";#N/A,#N/A,FALSE,"Plan2"}</definedName>
    <definedName name="hkjfgfhgfh" hidden="1">{#N/A,#N/A,FALSE,"Plan1";#N/A,#N/A,FALSE,"Plan2"}</definedName>
    <definedName name="hkjfhgjkfhghfg" localSheetId="3" hidden="1">{#N/A,#N/A,FALSE,"Plan1";#N/A,#N/A,FALSE,"Plan2"}</definedName>
    <definedName name="hkjfhgjkfhghfg" localSheetId="8">{#N/A,#N/A,FALSE,"Plan1";#N/A,#N/A,FALSE,"Plan2"}</definedName>
    <definedName name="hkjfhgjkfhghfg" localSheetId="5" hidden="1">{#N/A,#N/A,FALSE,"Plan1";#N/A,#N/A,FALSE,"Plan2"}</definedName>
    <definedName name="hkjfhgjkfhghfg" localSheetId="4" hidden="1">{#N/A,#N/A,FALSE,"Plan1";#N/A,#N/A,FALSE,"Plan2"}</definedName>
    <definedName name="hkjfhgjkfhghfg" localSheetId="9">{#N/A,#N/A,FALSE,"Plan1";#N/A,#N/A,FALSE,"Plan2"}</definedName>
    <definedName name="hkjfhgjkfhghfg" localSheetId="10" hidden="1">{#N/A,#N/A,FALSE,"Plan1";#N/A,#N/A,FALSE,"Plan2"}</definedName>
    <definedName name="hkjfhgjkfhghfg" localSheetId="1" hidden="1">{#N/A,#N/A,FALSE,"Plan1";#N/A,#N/A,FALSE,"Plan2"}</definedName>
    <definedName name="hkjfhgjkfhghfg" localSheetId="0">{#N/A,#N/A,FALSE,"Plan1";#N/A,#N/A,FALSE,"Plan2"}</definedName>
    <definedName name="hkjfhgjkfhghfg" localSheetId="11" hidden="1">{#N/A,#N/A,FALSE,"Plan1";#N/A,#N/A,FALSE,"Plan2"}</definedName>
    <definedName name="hkjfhgjkfhghfg" localSheetId="12" hidden="1">{#N/A,#N/A,FALSE,"Plan1";#N/A,#N/A,FALSE,"Plan2"}</definedName>
    <definedName name="hkjfhgjkfhghfg" hidden="1">{#N/A,#N/A,FALSE,"Plan1";#N/A,#N/A,FALSE,"Plan2"}</definedName>
    <definedName name="HKLZHFRH" localSheetId="3" hidden="1">{#N/A,#N/A,FALSE,"Plan1";#N/A,#N/A,FALSE,"Plan2"}</definedName>
    <definedName name="HKLZHFRH" localSheetId="8">{#N/A,#N/A,FALSE,"Plan1";#N/A,#N/A,FALSE,"Plan2"}</definedName>
    <definedName name="HKLZHFRH" localSheetId="5" hidden="1">{#N/A,#N/A,FALSE,"Plan1";#N/A,#N/A,FALSE,"Plan2"}</definedName>
    <definedName name="HKLZHFRH" localSheetId="4" hidden="1">{#N/A,#N/A,FALSE,"Plan1";#N/A,#N/A,FALSE,"Plan2"}</definedName>
    <definedName name="HKLZHFRH" localSheetId="9">{#N/A,#N/A,FALSE,"Plan1";#N/A,#N/A,FALSE,"Plan2"}</definedName>
    <definedName name="HKLZHFRH" localSheetId="10" hidden="1">{#N/A,#N/A,FALSE,"Plan1";#N/A,#N/A,FALSE,"Plan2"}</definedName>
    <definedName name="HKLZHFRH" localSheetId="1" hidden="1">{#N/A,#N/A,FALSE,"Plan1";#N/A,#N/A,FALSE,"Plan2"}</definedName>
    <definedName name="HKLZHFRH" localSheetId="0">{#N/A,#N/A,FALSE,"Plan1";#N/A,#N/A,FALSE,"Plan2"}</definedName>
    <definedName name="HKLZHFRH" localSheetId="11" hidden="1">{#N/A,#N/A,FALSE,"Plan1";#N/A,#N/A,FALSE,"Plan2"}</definedName>
    <definedName name="HKLZHFRH" localSheetId="12" hidden="1">{#N/A,#N/A,FALSE,"Plan1";#N/A,#N/A,FALSE,"Plan2"}</definedName>
    <definedName name="HKLZHFRH" hidden="1">{#N/A,#N/A,FALSE,"Plan1";#N/A,#N/A,FALSE,"Plan2"}</definedName>
    <definedName name="ho" localSheetId="3" hidden="1">{#N/A,#N/A,FALSE,"TABLE"}</definedName>
    <definedName name="ho" localSheetId="8">{#N/A,#N/A,FALSE,"TABLE"}</definedName>
    <definedName name="ho" localSheetId="5" hidden="1">{#N/A,#N/A,FALSE,"TABLE"}</definedName>
    <definedName name="ho" localSheetId="4" hidden="1">{#N/A,#N/A,FALSE,"TABLE"}</definedName>
    <definedName name="ho" localSheetId="9">{#N/A,#N/A,FALSE,"TABLE"}</definedName>
    <definedName name="ho" localSheetId="10" hidden="1">{#N/A,#N/A,FALSE,"TABLE"}</definedName>
    <definedName name="ho" localSheetId="1" hidden="1">{#N/A,#N/A,FALSE,"TABLE"}</definedName>
    <definedName name="ho" localSheetId="0">{#N/A,#N/A,FALSE,"TABLE"}</definedName>
    <definedName name="ho" localSheetId="11" hidden="1">{#N/A,#N/A,FALSE,"TABLE"}</definedName>
    <definedName name="ho" localSheetId="12" hidden="1">{#N/A,#N/A,FALSE,"TABLE"}</definedName>
    <definedName name="ho" hidden="1">{#N/A,#N/A,FALSE,"TABLE"}</definedName>
    <definedName name="HOJE" localSheetId="8">#REF!</definedName>
    <definedName name="HOJE" localSheetId="5">#REF!</definedName>
    <definedName name="HOJE" localSheetId="9">#REF!</definedName>
    <definedName name="HOJE" localSheetId="10">#REF!</definedName>
    <definedName name="HOJE" localSheetId="0">#REF!</definedName>
    <definedName name="HOJE" localSheetId="11">#REF!</definedName>
    <definedName name="HOJE" localSheetId="12">#REF!</definedName>
    <definedName name="HOJE">#REF!</definedName>
    <definedName name="HONORARIOS" localSheetId="8">#REF!</definedName>
    <definedName name="HONORARIOS" localSheetId="5">#REF!</definedName>
    <definedName name="HONORARIOS" localSheetId="9">#REF!</definedName>
    <definedName name="HONORARIOS" localSheetId="10">#REF!</definedName>
    <definedName name="HONORARIOS" localSheetId="0">#REF!</definedName>
    <definedName name="HONORARIOS" localSheetId="11">#REF!</definedName>
    <definedName name="HONORARIOS" localSheetId="12">#REF!</definedName>
    <definedName name="HONORARIOS">#REF!</definedName>
    <definedName name="HOSPEDES" localSheetId="8">#REF!</definedName>
    <definedName name="HOSPEDES" localSheetId="5">#REF!</definedName>
    <definedName name="HOSPEDES" localSheetId="9">#REF!</definedName>
    <definedName name="HOSPEDES" localSheetId="10">#REF!</definedName>
    <definedName name="HOSPEDES" localSheetId="0">#REF!</definedName>
    <definedName name="HOSPEDES" localSheetId="11">#REF!</definedName>
    <definedName name="HOSPEDES" localSheetId="12">#REF!</definedName>
    <definedName name="HOSPEDES">#REF!</definedName>
    <definedName name="HOTEL" localSheetId="8">#REF!</definedName>
    <definedName name="HOTEL" localSheetId="5">#REF!</definedName>
    <definedName name="HOTEL" localSheetId="10">#REF!</definedName>
    <definedName name="HOTEL" localSheetId="11">#REF!</definedName>
    <definedName name="HOTEL" localSheetId="12">#REF!</definedName>
    <definedName name="HOTEL">#REF!</definedName>
    <definedName name="hrterte" localSheetId="3" hidden="1">{#N/A,#N/A,FALSE,"Plan1";#N/A,#N/A,FALSE,"Plan2"}</definedName>
    <definedName name="hrterte" localSheetId="8">{#N/A,#N/A,FALSE,"Plan1";#N/A,#N/A,FALSE,"Plan2"}</definedName>
    <definedName name="hrterte" localSheetId="5" hidden="1">{#N/A,#N/A,FALSE,"Plan1";#N/A,#N/A,FALSE,"Plan2"}</definedName>
    <definedName name="hrterte" localSheetId="4" hidden="1">{#N/A,#N/A,FALSE,"Plan1";#N/A,#N/A,FALSE,"Plan2"}</definedName>
    <definedName name="hrterte" localSheetId="9">{#N/A,#N/A,FALSE,"Plan1";#N/A,#N/A,FALSE,"Plan2"}</definedName>
    <definedName name="hrterte" localSheetId="10" hidden="1">{#N/A,#N/A,FALSE,"Plan1";#N/A,#N/A,FALSE,"Plan2"}</definedName>
    <definedName name="hrterte" localSheetId="1" hidden="1">{#N/A,#N/A,FALSE,"Plan1";#N/A,#N/A,FALSE,"Plan2"}</definedName>
    <definedName name="hrterte" localSheetId="0">{#N/A,#N/A,FALSE,"Plan1";#N/A,#N/A,FALSE,"Plan2"}</definedName>
    <definedName name="hrterte" localSheetId="11" hidden="1">{#N/A,#N/A,FALSE,"Plan1";#N/A,#N/A,FALSE,"Plan2"}</definedName>
    <definedName name="hrterte" localSheetId="12" hidden="1">{#N/A,#N/A,FALSE,"Plan1";#N/A,#N/A,FALSE,"Plan2"}</definedName>
    <definedName name="hrterte" hidden="1">{#N/A,#N/A,FALSE,"Plan1";#N/A,#N/A,FALSE,"Plan2"}</definedName>
    <definedName name="hsdf" localSheetId="3" hidden="1">{#N/A,#N/A,FALSE,"Plan1";#N/A,#N/A,FALSE,"Plan2"}</definedName>
    <definedName name="hsdf" localSheetId="8">{#N/A,#N/A,FALSE,"Plan1";#N/A,#N/A,FALSE,"Plan2"}</definedName>
    <definedName name="hsdf" localSheetId="5" hidden="1">{#N/A,#N/A,FALSE,"Plan1";#N/A,#N/A,FALSE,"Plan2"}</definedName>
    <definedName name="hsdf" localSheetId="4" hidden="1">{#N/A,#N/A,FALSE,"Plan1";#N/A,#N/A,FALSE,"Plan2"}</definedName>
    <definedName name="hsdf" localSheetId="9">{#N/A,#N/A,FALSE,"Plan1";#N/A,#N/A,FALSE,"Plan2"}</definedName>
    <definedName name="hsdf" localSheetId="10" hidden="1">{#N/A,#N/A,FALSE,"Plan1";#N/A,#N/A,FALSE,"Plan2"}</definedName>
    <definedName name="hsdf" localSheetId="1" hidden="1">{#N/A,#N/A,FALSE,"Plan1";#N/A,#N/A,FALSE,"Plan2"}</definedName>
    <definedName name="hsdf" localSheetId="0">{#N/A,#N/A,FALSE,"Plan1";#N/A,#N/A,FALSE,"Plan2"}</definedName>
    <definedName name="hsdf" localSheetId="11" hidden="1">{#N/A,#N/A,FALSE,"Plan1";#N/A,#N/A,FALSE,"Plan2"}</definedName>
    <definedName name="hsdf" localSheetId="12" hidden="1">{#N/A,#N/A,FALSE,"Plan1";#N/A,#N/A,FALSE,"Plan2"}</definedName>
    <definedName name="hsdf" hidden="1">{#N/A,#N/A,FALSE,"Plan1";#N/A,#N/A,FALSE,"Plan2"}</definedName>
    <definedName name="hsdfgdgudrt" localSheetId="3" hidden="1">{#N/A,#N/A,FALSE,"Plan1";#N/A,#N/A,FALSE,"Plan2"}</definedName>
    <definedName name="hsdfgdgudrt" localSheetId="8">{#N/A,#N/A,FALSE,"Plan1";#N/A,#N/A,FALSE,"Plan2"}</definedName>
    <definedName name="hsdfgdgudrt" localSheetId="5" hidden="1">{#N/A,#N/A,FALSE,"Plan1";#N/A,#N/A,FALSE,"Plan2"}</definedName>
    <definedName name="hsdfgdgudrt" localSheetId="4" hidden="1">{#N/A,#N/A,FALSE,"Plan1";#N/A,#N/A,FALSE,"Plan2"}</definedName>
    <definedName name="hsdfgdgudrt" localSheetId="9">{#N/A,#N/A,FALSE,"Plan1";#N/A,#N/A,FALSE,"Plan2"}</definedName>
    <definedName name="hsdfgdgudrt" localSheetId="10" hidden="1">{#N/A,#N/A,FALSE,"Plan1";#N/A,#N/A,FALSE,"Plan2"}</definedName>
    <definedName name="hsdfgdgudrt" localSheetId="1" hidden="1">{#N/A,#N/A,FALSE,"Plan1";#N/A,#N/A,FALSE,"Plan2"}</definedName>
    <definedName name="hsdfgdgudrt" localSheetId="0">{#N/A,#N/A,FALSE,"Plan1";#N/A,#N/A,FALSE,"Plan2"}</definedName>
    <definedName name="hsdfgdgudrt" localSheetId="11" hidden="1">{#N/A,#N/A,FALSE,"Plan1";#N/A,#N/A,FALSE,"Plan2"}</definedName>
    <definedName name="hsdfgdgudrt" localSheetId="12" hidden="1">{#N/A,#N/A,FALSE,"Plan1";#N/A,#N/A,FALSE,"Plan2"}</definedName>
    <definedName name="hsdfgdgudrt" hidden="1">{#N/A,#N/A,FALSE,"Plan1";#N/A,#N/A,FALSE,"Plan2"}</definedName>
    <definedName name="hsdfjkdhur" localSheetId="3" hidden="1">{#N/A,#N/A,FALSE,"Plan1";#N/A,#N/A,FALSE,"Plan2"}</definedName>
    <definedName name="hsdfjkdhur" localSheetId="8">{#N/A,#N/A,FALSE,"Plan1";#N/A,#N/A,FALSE,"Plan2"}</definedName>
    <definedName name="hsdfjkdhur" localSheetId="5" hidden="1">{#N/A,#N/A,FALSE,"Plan1";#N/A,#N/A,FALSE,"Plan2"}</definedName>
    <definedName name="hsdfjkdhur" localSheetId="4" hidden="1">{#N/A,#N/A,FALSE,"Plan1";#N/A,#N/A,FALSE,"Plan2"}</definedName>
    <definedName name="hsdfjkdhur" localSheetId="9">{#N/A,#N/A,FALSE,"Plan1";#N/A,#N/A,FALSE,"Plan2"}</definedName>
    <definedName name="hsdfjkdhur" localSheetId="10" hidden="1">{#N/A,#N/A,FALSE,"Plan1";#N/A,#N/A,FALSE,"Plan2"}</definedName>
    <definedName name="hsdfjkdhur" localSheetId="1" hidden="1">{#N/A,#N/A,FALSE,"Plan1";#N/A,#N/A,FALSE,"Plan2"}</definedName>
    <definedName name="hsdfjkdhur" localSheetId="0">{#N/A,#N/A,FALSE,"Plan1";#N/A,#N/A,FALSE,"Plan2"}</definedName>
    <definedName name="hsdfjkdhur" localSheetId="11" hidden="1">{#N/A,#N/A,FALSE,"Plan1";#N/A,#N/A,FALSE,"Plan2"}</definedName>
    <definedName name="hsdfjkdhur" localSheetId="12" hidden="1">{#N/A,#N/A,FALSE,"Plan1";#N/A,#N/A,FALSE,"Plan2"}</definedName>
    <definedName name="hsdfjkdhur" hidden="1">{#N/A,#N/A,FALSE,"Plan1";#N/A,#N/A,FALSE,"Plan2"}</definedName>
    <definedName name="hsdgftdh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gftdh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hsdjffd" localSheetId="3" hidden="1">{#N/A,#N/A,FALSE,"Plan1";#N/A,#N/A,FALSE,"Plan2"}</definedName>
    <definedName name="hsdjffd" localSheetId="8">{#N/A,#N/A,FALSE,"Plan1";#N/A,#N/A,FALSE,"Plan2"}</definedName>
    <definedName name="hsdjffd" localSheetId="5" hidden="1">{#N/A,#N/A,FALSE,"Plan1";#N/A,#N/A,FALSE,"Plan2"}</definedName>
    <definedName name="hsdjffd" localSheetId="4" hidden="1">{#N/A,#N/A,FALSE,"Plan1";#N/A,#N/A,FALSE,"Plan2"}</definedName>
    <definedName name="hsdjffd" localSheetId="9">{#N/A,#N/A,FALSE,"Plan1";#N/A,#N/A,FALSE,"Plan2"}</definedName>
    <definedName name="hsdjffd" localSheetId="10" hidden="1">{#N/A,#N/A,FALSE,"Plan1";#N/A,#N/A,FALSE,"Plan2"}</definedName>
    <definedName name="hsdjffd" localSheetId="1" hidden="1">{#N/A,#N/A,FALSE,"Plan1";#N/A,#N/A,FALSE,"Plan2"}</definedName>
    <definedName name="hsdjffd" localSheetId="0">{#N/A,#N/A,FALSE,"Plan1";#N/A,#N/A,FALSE,"Plan2"}</definedName>
    <definedName name="hsdjffd" localSheetId="11" hidden="1">{#N/A,#N/A,FALSE,"Plan1";#N/A,#N/A,FALSE,"Plan2"}</definedName>
    <definedName name="hsdjffd" localSheetId="12" hidden="1">{#N/A,#N/A,FALSE,"Plan1";#N/A,#N/A,FALSE,"Plan2"}</definedName>
    <definedName name="hsdjffd" hidden="1">{#N/A,#N/A,FALSE,"Plan1";#N/A,#N/A,FALSE,"Plan2"}</definedName>
    <definedName name="hsdjffe" localSheetId="3" hidden="1">{#N/A,#N/A,FALSE,"Plan1";#N/A,#N/A,FALSE,"Plan2"}</definedName>
    <definedName name="hsdjffe" localSheetId="8">{#N/A,#N/A,FALSE,"Plan1";#N/A,#N/A,FALSE,"Plan2"}</definedName>
    <definedName name="hsdjffe" localSheetId="5" hidden="1">{#N/A,#N/A,FALSE,"Plan1";#N/A,#N/A,FALSE,"Plan2"}</definedName>
    <definedName name="hsdjffe" localSheetId="4" hidden="1">{#N/A,#N/A,FALSE,"Plan1";#N/A,#N/A,FALSE,"Plan2"}</definedName>
    <definedName name="hsdjffe" localSheetId="9">{#N/A,#N/A,FALSE,"Plan1";#N/A,#N/A,FALSE,"Plan2"}</definedName>
    <definedName name="hsdjffe" localSheetId="10" hidden="1">{#N/A,#N/A,FALSE,"Plan1";#N/A,#N/A,FALSE,"Plan2"}</definedName>
    <definedName name="hsdjffe" localSheetId="1" hidden="1">{#N/A,#N/A,FALSE,"Plan1";#N/A,#N/A,FALSE,"Plan2"}</definedName>
    <definedName name="hsdjffe" localSheetId="0">{#N/A,#N/A,FALSE,"Plan1";#N/A,#N/A,FALSE,"Plan2"}</definedName>
    <definedName name="hsdjffe" localSheetId="11" hidden="1">{#N/A,#N/A,FALSE,"Plan1";#N/A,#N/A,FALSE,"Plan2"}</definedName>
    <definedName name="hsdjffe" localSheetId="12" hidden="1">{#N/A,#N/A,FALSE,"Plan1";#N/A,#N/A,FALSE,"Plan2"}</definedName>
    <definedName name="hsdjffe" hidden="1">{#N/A,#N/A,FALSE,"Plan1";#N/A,#N/A,FALSE,"Plan2"}</definedName>
    <definedName name="HSFIHDTR" localSheetId="3" hidden="1">{"Econ Consolidado",#N/A,FALSE,"Econ Consol";"Fluxo de Caixa",#N/A,FALSE,"Fluxo Caixa";"Investimentos",#N/A,FALSE,"Investimentos"}</definedName>
    <definedName name="HSFIHDTR" localSheetId="8">{"Econ Consolidado",#N/A,FALSE,"Econ Consol";"Fluxo de Caixa",#N/A,FALSE,"Fluxo Caixa";"Investimentos",#N/A,FALSE,"Investimentos"}</definedName>
    <definedName name="HSFIHDTR" localSheetId="5" hidden="1">{"Econ Consolidado",#N/A,FALSE,"Econ Consol";"Fluxo de Caixa",#N/A,FALSE,"Fluxo Caixa";"Investimentos",#N/A,FALSE,"Investimentos"}</definedName>
    <definedName name="HSFIHDTR" localSheetId="4" hidden="1">{"Econ Consolidado",#N/A,FALSE,"Econ Consol";"Fluxo de Caixa",#N/A,FALSE,"Fluxo Caixa";"Investimentos",#N/A,FALSE,"Investimentos"}</definedName>
    <definedName name="HSFIHDTR" localSheetId="9">{"Econ Consolidado",#N/A,FALSE,"Econ Consol";"Fluxo de Caixa",#N/A,FALSE,"Fluxo Caixa";"Investimentos",#N/A,FALSE,"Investimentos"}</definedName>
    <definedName name="HSFIHDTR" localSheetId="10" hidden="1">{"Econ Consolidado",#N/A,FALSE,"Econ Consol";"Fluxo de Caixa",#N/A,FALSE,"Fluxo Caixa";"Investimentos",#N/A,FALSE,"Investimentos"}</definedName>
    <definedName name="HSFIHDTR" localSheetId="1" hidden="1">{"Econ Consolidado",#N/A,FALSE,"Econ Consol";"Fluxo de Caixa",#N/A,FALSE,"Fluxo Caixa";"Investimentos",#N/A,FALSE,"Investimentos"}</definedName>
    <definedName name="HSFIHDTR" localSheetId="0">{"Econ Consolidado",#N/A,FALSE,"Econ Consol";"Fluxo de Caixa",#N/A,FALSE,"Fluxo Caixa";"Investimentos",#N/A,FALSE,"Investimentos"}</definedName>
    <definedName name="HSFIHDTR" localSheetId="11" hidden="1">{"Econ Consolidado",#N/A,FALSE,"Econ Consol";"Fluxo de Caixa",#N/A,FALSE,"Fluxo Caixa";"Investimentos",#N/A,FALSE,"Investimentos"}</definedName>
    <definedName name="HSFIHDTR" localSheetId="12" hidden="1">{"Econ Consolidado",#N/A,FALSE,"Econ Consol";"Fluxo de Caixa",#N/A,FALSE,"Fluxo Caixa";"Investimentos",#N/A,FALSE,"Investimentos"}</definedName>
    <definedName name="HSFIHDTR" hidden="1">{"Econ Consolidado",#N/A,FALSE,"Econ Consol";"Fluxo de Caixa",#N/A,FALSE,"Fluxo Caixa";"Investimentos",#N/A,FALSE,"Investimentos"}</definedName>
    <definedName name="hsfjkdshrgf" localSheetId="3" hidden="1">{#N/A,#N/A,FALSE,"Plan1";#N/A,#N/A,FALSE,"Plan2"}</definedName>
    <definedName name="hsfjkdshrgf" localSheetId="8">{#N/A,#N/A,FALSE,"Plan1";#N/A,#N/A,FALSE,"Plan2"}</definedName>
    <definedName name="hsfjkdshrgf" localSheetId="5" hidden="1">{#N/A,#N/A,FALSE,"Plan1";#N/A,#N/A,FALSE,"Plan2"}</definedName>
    <definedName name="hsfjkdshrgf" localSheetId="4" hidden="1">{#N/A,#N/A,FALSE,"Plan1";#N/A,#N/A,FALSE,"Plan2"}</definedName>
    <definedName name="hsfjkdshrgf" localSheetId="9">{#N/A,#N/A,FALSE,"Plan1";#N/A,#N/A,FALSE,"Plan2"}</definedName>
    <definedName name="hsfjkdshrgf" localSheetId="10" hidden="1">{#N/A,#N/A,FALSE,"Plan1";#N/A,#N/A,FALSE,"Plan2"}</definedName>
    <definedName name="hsfjkdshrgf" localSheetId="1" hidden="1">{#N/A,#N/A,FALSE,"Plan1";#N/A,#N/A,FALSE,"Plan2"}</definedName>
    <definedName name="hsfjkdshrgf" localSheetId="0">{#N/A,#N/A,FALSE,"Plan1";#N/A,#N/A,FALSE,"Plan2"}</definedName>
    <definedName name="hsfjkdshrgf" localSheetId="11" hidden="1">{#N/A,#N/A,FALSE,"Plan1";#N/A,#N/A,FALSE,"Plan2"}</definedName>
    <definedName name="hsfjkdshrgf" localSheetId="12" hidden="1">{#N/A,#N/A,FALSE,"Plan1";#N/A,#N/A,FALSE,"Plan2"}</definedName>
    <definedName name="hsfjkdshrgf" hidden="1">{#N/A,#N/A,FALSE,"Plan1";#N/A,#N/A,FALSE,"Plan2"}</definedName>
    <definedName name="hthhrtetdre" localSheetId="3" hidden="1">{#N/A,#N/A,FALSE,"Plan1";#N/A,#N/A,FALSE,"Plan2"}</definedName>
    <definedName name="hthhrtetdre" localSheetId="8">{#N/A,#N/A,FALSE,"Plan1";#N/A,#N/A,FALSE,"Plan2"}</definedName>
    <definedName name="hthhrtetdre" localSheetId="5" hidden="1">{#N/A,#N/A,FALSE,"Plan1";#N/A,#N/A,FALSE,"Plan2"}</definedName>
    <definedName name="hthhrtetdre" localSheetId="4" hidden="1">{#N/A,#N/A,FALSE,"Plan1";#N/A,#N/A,FALSE,"Plan2"}</definedName>
    <definedName name="hthhrtetdre" localSheetId="9">{#N/A,#N/A,FALSE,"Plan1";#N/A,#N/A,FALSE,"Plan2"}</definedName>
    <definedName name="hthhrtetdre" localSheetId="10" hidden="1">{#N/A,#N/A,FALSE,"Plan1";#N/A,#N/A,FALSE,"Plan2"}</definedName>
    <definedName name="hthhrtetdre" localSheetId="1" hidden="1">{#N/A,#N/A,FALSE,"Plan1";#N/A,#N/A,FALSE,"Plan2"}</definedName>
    <definedName name="hthhrtetdre" localSheetId="0">{#N/A,#N/A,FALSE,"Plan1";#N/A,#N/A,FALSE,"Plan2"}</definedName>
    <definedName name="hthhrtetdre" localSheetId="11" hidden="1">{#N/A,#N/A,FALSE,"Plan1";#N/A,#N/A,FALSE,"Plan2"}</definedName>
    <definedName name="hthhrtetdre" localSheetId="12" hidden="1">{#N/A,#N/A,FALSE,"Plan1";#N/A,#N/A,FALSE,"Plan2"}</definedName>
    <definedName name="hthhrtetdre" hidden="1">{#N/A,#N/A,FALSE,"Plan1";#N/A,#N/A,FALSE,"Plan2"}</definedName>
    <definedName name="HTM" localSheetId="8">#REF!</definedName>
    <definedName name="HTM" localSheetId="5">#REF!</definedName>
    <definedName name="HTM" localSheetId="9">#REF!</definedName>
    <definedName name="HTM" localSheetId="10">#REF!</definedName>
    <definedName name="HTM" localSheetId="0">#REF!</definedName>
    <definedName name="HTM" localSheetId="11">#REF!</definedName>
    <definedName name="HTM" localSheetId="12">#REF!</definedName>
    <definedName name="HTM">#REF!</definedName>
    <definedName name="HTML_CodePage" hidden="1">949</definedName>
    <definedName name="HTML_Control" localSheetId="3" hidden="1">{"'장비'!$A$3:$M$12"}</definedName>
    <definedName name="HTML_Control" localSheetId="8">{"'장비'!$A$3:$M$12"}</definedName>
    <definedName name="HTML_Control" localSheetId="5" hidden="1">{"'장비'!$A$3:$M$12"}</definedName>
    <definedName name="HTML_Control" localSheetId="4" hidden="1">{"'장비'!$A$3:$M$12"}</definedName>
    <definedName name="HTML_Control" localSheetId="9">{"'장비'!$A$3:$M$12"}</definedName>
    <definedName name="HTML_Control" localSheetId="10" hidden="1">{"'장비'!$A$3:$M$12"}</definedName>
    <definedName name="HTML_Control" localSheetId="1" hidden="1">{"'장비'!$A$3:$M$12"}</definedName>
    <definedName name="HTML_Control" localSheetId="0">{"'장비'!$A$3:$M$12"}</definedName>
    <definedName name="HTML_Control" localSheetId="11" hidden="1">{"'장비'!$A$3:$M$12"}</definedName>
    <definedName name="HTML_Control" localSheetId="12" hidden="1">{"'장비'!$A$3:$M$12"}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TML2_CONTROL" localSheetId="3" hidden="1">{"'Estimativa de Lançamento-JAN'!$A$1:$AI$85"}</definedName>
    <definedName name="HTML2_CONTROL" localSheetId="8">{"'Estimativa de Lançamento-JAN'!$A$1:$AI$85"}</definedName>
    <definedName name="HTML2_CONTROL" localSheetId="5" hidden="1">{"'Estimativa de Lançamento-JAN'!$A$1:$AI$85"}</definedName>
    <definedName name="HTML2_CONTROL" localSheetId="4" hidden="1">{"'Estimativa de Lançamento-JAN'!$A$1:$AI$85"}</definedName>
    <definedName name="HTML2_CONTROL" localSheetId="9">{"'Estimativa de Lançamento-JAN'!$A$1:$AI$85"}</definedName>
    <definedName name="HTML2_CONTROL" localSheetId="10" hidden="1">{"'Estimativa de Lançamento-JAN'!$A$1:$AI$85"}</definedName>
    <definedName name="HTML2_CONTROL" localSheetId="1" hidden="1">{"'Estimativa de Lançamento-JAN'!$A$1:$AI$85"}</definedName>
    <definedName name="HTML2_CONTROL" localSheetId="0">{"'Estimativa de Lançamento-JAN'!$A$1:$AI$85"}</definedName>
    <definedName name="HTML2_CONTROL" localSheetId="11" hidden="1">{"'Estimativa de Lançamento-JAN'!$A$1:$AI$85"}</definedName>
    <definedName name="HTML2_CONTROL" localSheetId="12" hidden="1">{"'Estimativa de Lançamento-JAN'!$A$1:$AI$85"}</definedName>
    <definedName name="HTML2_CONTROL" hidden="1">{"'Estimativa de Lançamento-JAN'!$A$1:$AI$85"}</definedName>
    <definedName name="HTML3_CONTROL" localSheetId="3" hidden="1">{"'Estimativa de Lançamento-JAN'!$A$1:$AI$85"}</definedName>
    <definedName name="HTML3_CONTROL" localSheetId="8">{"'Estimativa de Lançamento-JAN'!$A$1:$AI$85"}</definedName>
    <definedName name="HTML3_CONTROL" localSheetId="5" hidden="1">{"'Estimativa de Lançamento-JAN'!$A$1:$AI$85"}</definedName>
    <definedName name="HTML3_CONTROL" localSheetId="4" hidden="1">{"'Estimativa de Lançamento-JAN'!$A$1:$AI$85"}</definedName>
    <definedName name="HTML3_CONTROL" localSheetId="9">{"'Estimativa de Lançamento-JAN'!$A$1:$AI$85"}</definedName>
    <definedName name="HTML3_CONTROL" localSheetId="10" hidden="1">{"'Estimativa de Lançamento-JAN'!$A$1:$AI$85"}</definedName>
    <definedName name="HTML3_CONTROL" localSheetId="1" hidden="1">{"'Estimativa de Lançamento-JAN'!$A$1:$AI$85"}</definedName>
    <definedName name="HTML3_CONTROL" localSheetId="0">{"'Estimativa de Lançamento-JAN'!$A$1:$AI$85"}</definedName>
    <definedName name="HTML3_CONTROL" localSheetId="11" hidden="1">{"'Estimativa de Lançamento-JAN'!$A$1:$AI$85"}</definedName>
    <definedName name="HTML3_CONTROL" localSheetId="12" hidden="1">{"'Estimativa de Lançamento-JAN'!$A$1:$AI$85"}</definedName>
    <definedName name="HTML3_CONTROL" hidden="1">{"'Estimativa de Lançamento-JAN'!$A$1:$AI$85"}</definedName>
    <definedName name="HTMLControl" localSheetId="3" hidden="1">{"'Edit'!$A$1:$V$2277"}</definedName>
    <definedName name="HTMLControl" localSheetId="8">{"'Edit'!$A$1:$V$2277"}</definedName>
    <definedName name="HTMLControl" localSheetId="5" hidden="1">{"'Edit'!$A$1:$V$2277"}</definedName>
    <definedName name="HTMLControl" localSheetId="4" hidden="1">{"'Edit'!$A$1:$V$2277"}</definedName>
    <definedName name="HTMLControl" localSheetId="9">{"'Edit'!$A$1:$V$2277"}</definedName>
    <definedName name="HTMLControl" localSheetId="10" hidden="1">{"'Edit'!$A$1:$V$2277"}</definedName>
    <definedName name="HTMLControl" localSheetId="1" hidden="1">{"'Edit'!$A$1:$V$2277"}</definedName>
    <definedName name="HTMLControl" localSheetId="0">{"'Edit'!$A$1:$V$2277"}</definedName>
    <definedName name="HTMLControl" localSheetId="11" hidden="1">{"'Edit'!$A$1:$V$2277"}</definedName>
    <definedName name="HTMLControl" localSheetId="12" hidden="1">{"'Edit'!$A$1:$V$2277"}</definedName>
    <definedName name="HTMLControl" hidden="1">{"'Edit'!$A$1:$V$2277"}</definedName>
    <definedName name="HTN" localSheetId="8">#REF!</definedName>
    <definedName name="HTN" localSheetId="5">#REF!</definedName>
    <definedName name="HTN" localSheetId="10">#REF!</definedName>
    <definedName name="HTN" localSheetId="11">#REF!</definedName>
    <definedName name="HTN" localSheetId="12">#REF!</definedName>
    <definedName name="HTN">#REF!</definedName>
    <definedName name="HVJKHGKFXHFD" localSheetId="3" hidden="1">{#N/A,#N/A,FALSE,"Plan1";#N/A,#N/A,FALSE,"Plan2"}</definedName>
    <definedName name="HVJKHGKFXHFD" localSheetId="8">{#N/A,#N/A,FALSE,"Plan1";#N/A,#N/A,FALSE,"Plan2"}</definedName>
    <definedName name="HVJKHGKFXHFD" localSheetId="5" hidden="1">{#N/A,#N/A,FALSE,"Plan1";#N/A,#N/A,FALSE,"Plan2"}</definedName>
    <definedName name="HVJKHGKFXHFD" localSheetId="4" hidden="1">{#N/A,#N/A,FALSE,"Plan1";#N/A,#N/A,FALSE,"Plan2"}</definedName>
    <definedName name="HVJKHGKFXHFD" localSheetId="9">{#N/A,#N/A,FALSE,"Plan1";#N/A,#N/A,FALSE,"Plan2"}</definedName>
    <definedName name="HVJKHGKFXHFD" localSheetId="10" hidden="1">{#N/A,#N/A,FALSE,"Plan1";#N/A,#N/A,FALSE,"Plan2"}</definedName>
    <definedName name="HVJKHGKFXHFD" localSheetId="1" hidden="1">{#N/A,#N/A,FALSE,"Plan1";#N/A,#N/A,FALSE,"Plan2"}</definedName>
    <definedName name="HVJKHGKFXHFD" localSheetId="0">{#N/A,#N/A,FALSE,"Plan1";#N/A,#N/A,FALSE,"Plan2"}</definedName>
    <definedName name="HVJKHGKFXHFD" localSheetId="11" hidden="1">{#N/A,#N/A,FALSE,"Plan1";#N/A,#N/A,FALSE,"Plan2"}</definedName>
    <definedName name="HVJKHGKFXHFD" localSheetId="12" hidden="1">{#N/A,#N/A,FALSE,"Plan1";#N/A,#N/A,FALSE,"Plan2"}</definedName>
    <definedName name="HVJKHGKFXHFD" hidden="1">{#N/A,#N/A,FALSE,"Plan1";#N/A,#N/A,FALSE,"Plan2"}</definedName>
    <definedName name="hwekjhekhf" localSheetId="3" hidden="1">{#N/A,#N/A,FALSE,"Plan1";#N/A,#N/A,FALSE,"Plan2"}</definedName>
    <definedName name="hwekjhekhf" localSheetId="8">{#N/A,#N/A,FALSE,"Plan1";#N/A,#N/A,FALSE,"Plan2"}</definedName>
    <definedName name="hwekjhekhf" localSheetId="5" hidden="1">{#N/A,#N/A,FALSE,"Plan1";#N/A,#N/A,FALSE,"Plan2"}</definedName>
    <definedName name="hwekjhekhf" localSheetId="4" hidden="1">{#N/A,#N/A,FALSE,"Plan1";#N/A,#N/A,FALSE,"Plan2"}</definedName>
    <definedName name="hwekjhekhf" localSheetId="9">{#N/A,#N/A,FALSE,"Plan1";#N/A,#N/A,FALSE,"Plan2"}</definedName>
    <definedName name="hwekjhekhf" localSheetId="10" hidden="1">{#N/A,#N/A,FALSE,"Plan1";#N/A,#N/A,FALSE,"Plan2"}</definedName>
    <definedName name="hwekjhekhf" localSheetId="1" hidden="1">{#N/A,#N/A,FALSE,"Plan1";#N/A,#N/A,FALSE,"Plan2"}</definedName>
    <definedName name="hwekjhekhf" localSheetId="0">{#N/A,#N/A,FALSE,"Plan1";#N/A,#N/A,FALSE,"Plan2"}</definedName>
    <definedName name="hwekjhekhf" localSheetId="11" hidden="1">{#N/A,#N/A,FALSE,"Plan1";#N/A,#N/A,FALSE,"Plan2"}</definedName>
    <definedName name="hwekjhekhf" localSheetId="12" hidden="1">{#N/A,#N/A,FALSE,"Plan1";#N/A,#N/A,FALSE,"Plan2"}</definedName>
    <definedName name="hwekjhekhf" hidden="1">{#N/A,#N/A,FALSE,"Plan1";#N/A,#N/A,FALSE,"Plan2"}</definedName>
    <definedName name="HXFRE" localSheetId="3" hidden="1">{#N/A,#N/A,FALSE,"Plan1";#N/A,#N/A,FALSE,"Plan2"}</definedName>
    <definedName name="HXFRE" localSheetId="8">{#N/A,#N/A,FALSE,"Plan1";#N/A,#N/A,FALSE,"Plan2"}</definedName>
    <definedName name="HXFRE" localSheetId="5" hidden="1">{#N/A,#N/A,FALSE,"Plan1";#N/A,#N/A,FALSE,"Plan2"}</definedName>
    <definedName name="HXFRE" localSheetId="4" hidden="1">{#N/A,#N/A,FALSE,"Plan1";#N/A,#N/A,FALSE,"Plan2"}</definedName>
    <definedName name="HXFRE" localSheetId="9">{#N/A,#N/A,FALSE,"Plan1";#N/A,#N/A,FALSE,"Plan2"}</definedName>
    <definedName name="HXFRE" localSheetId="10" hidden="1">{#N/A,#N/A,FALSE,"Plan1";#N/A,#N/A,FALSE,"Plan2"}</definedName>
    <definedName name="HXFRE" localSheetId="1" hidden="1">{#N/A,#N/A,FALSE,"Plan1";#N/A,#N/A,FALSE,"Plan2"}</definedName>
    <definedName name="HXFRE" localSheetId="0">{#N/A,#N/A,FALSE,"Plan1";#N/A,#N/A,FALSE,"Plan2"}</definedName>
    <definedName name="HXFRE" localSheetId="11" hidden="1">{#N/A,#N/A,FALSE,"Plan1";#N/A,#N/A,FALSE,"Plan2"}</definedName>
    <definedName name="HXFRE" localSheetId="12" hidden="1">{#N/A,#N/A,FALSE,"Plan1";#N/A,#N/A,FALSE,"Plan2"}</definedName>
    <definedName name="HXFRE" hidden="1">{#N/A,#N/A,FALSE,"Plan1";#N/A,#N/A,FALSE,"Plan2"}</definedName>
    <definedName name="HXKJFGDKHG" localSheetId="3" hidden="1">{#N/A,#N/A,FALSE,"Plan1";#N/A,#N/A,FALSE,"Plan2"}</definedName>
    <definedName name="HXKJFGDKHG" localSheetId="8">{#N/A,#N/A,FALSE,"Plan1";#N/A,#N/A,FALSE,"Plan2"}</definedName>
    <definedName name="HXKJFGDKHG" localSheetId="5" hidden="1">{#N/A,#N/A,FALSE,"Plan1";#N/A,#N/A,FALSE,"Plan2"}</definedName>
    <definedName name="HXKJFGDKHG" localSheetId="4" hidden="1">{#N/A,#N/A,FALSE,"Plan1";#N/A,#N/A,FALSE,"Plan2"}</definedName>
    <definedName name="HXKJFGDKHG" localSheetId="9">{#N/A,#N/A,FALSE,"Plan1";#N/A,#N/A,FALSE,"Plan2"}</definedName>
    <definedName name="HXKJFGDKHG" localSheetId="10" hidden="1">{#N/A,#N/A,FALSE,"Plan1";#N/A,#N/A,FALSE,"Plan2"}</definedName>
    <definedName name="HXKJFGDKHG" localSheetId="1" hidden="1">{#N/A,#N/A,FALSE,"Plan1";#N/A,#N/A,FALSE,"Plan2"}</definedName>
    <definedName name="HXKJFGDKHG" localSheetId="0">{#N/A,#N/A,FALSE,"Plan1";#N/A,#N/A,FALSE,"Plan2"}</definedName>
    <definedName name="HXKJFGDKHG" localSheetId="11" hidden="1">{#N/A,#N/A,FALSE,"Plan1";#N/A,#N/A,FALSE,"Plan2"}</definedName>
    <definedName name="HXKJFGDKHG" localSheetId="12" hidden="1">{#N/A,#N/A,FALSE,"Plan1";#N/A,#N/A,FALSE,"Plan2"}</definedName>
    <definedName name="HXKJFGDKHG" hidden="1">{#N/A,#N/A,FALSE,"Plan1";#N/A,#N/A,FALSE,"Plan2"}</definedName>
    <definedName name="I" localSheetId="8">#REF!</definedName>
    <definedName name="I" localSheetId="5">#REF!</definedName>
    <definedName name="I" localSheetId="9">#REF!</definedName>
    <definedName name="I" localSheetId="10">#REF!</definedName>
    <definedName name="I" localSheetId="0">#REF!</definedName>
    <definedName name="I" localSheetId="11">#REF!</definedName>
    <definedName name="I" localSheetId="12">#REF!</definedName>
    <definedName name="I">#REF!</definedName>
    <definedName name="ibir_cdi" localSheetId="8">#REF!</definedName>
    <definedName name="ibir_cdi" localSheetId="5">#REF!</definedName>
    <definedName name="ibir_cdi" localSheetId="9">#REF!</definedName>
    <definedName name="ibir_cdi" localSheetId="10">#REF!</definedName>
    <definedName name="ibir_cdi" localSheetId="0">#REF!</definedName>
    <definedName name="ibir_cdi" localSheetId="11">#REF!</definedName>
    <definedName name="ibir_cdi" localSheetId="12">#REF!</definedName>
    <definedName name="ibir_cdi">#REF!</definedName>
    <definedName name="ibir_hist" localSheetId="8">#REF!</definedName>
    <definedName name="ibir_hist" localSheetId="5">#REF!</definedName>
    <definedName name="ibir_hist" localSheetId="9">#REF!</definedName>
    <definedName name="ibir_hist" localSheetId="10">#REF!</definedName>
    <definedName name="ibir_hist" localSheetId="0">#REF!</definedName>
    <definedName name="ibir_hist" localSheetId="11">#REF!</definedName>
    <definedName name="ibir_hist" localSheetId="12">#REF!</definedName>
    <definedName name="ibir_hist">#REF!</definedName>
    <definedName name="ibir_uss" localSheetId="8">#REF!</definedName>
    <definedName name="ibir_uss" localSheetId="5">#REF!</definedName>
    <definedName name="ibir_uss" localSheetId="10">#REF!</definedName>
    <definedName name="ibir_uss" localSheetId="11">#REF!</definedName>
    <definedName name="ibir_uss" localSheetId="12">#REF!</definedName>
    <definedName name="ibir_uss">#REF!</definedName>
    <definedName name="IC" localSheetId="8">#REF!</definedName>
    <definedName name="IC" localSheetId="1" hidden="1">#REF!</definedName>
    <definedName name="IC" hidden="1">#REF!</definedName>
    <definedName name="icoa_cdi" localSheetId="8">#REF!</definedName>
    <definedName name="icoa_cdi" localSheetId="5">#REF!</definedName>
    <definedName name="icoa_cdi" localSheetId="10">#REF!</definedName>
    <definedName name="icoa_cdi" localSheetId="11">#REF!</definedName>
    <definedName name="icoa_cdi" localSheetId="12">#REF!</definedName>
    <definedName name="icoa_cdi">#REF!</definedName>
    <definedName name="icoa_hist" localSheetId="8">#REF!</definedName>
    <definedName name="icoa_hist" localSheetId="5">#REF!</definedName>
    <definedName name="icoa_hist" localSheetId="10">#REF!</definedName>
    <definedName name="icoa_hist" localSheetId="11">#REF!</definedName>
    <definedName name="icoa_hist" localSheetId="12">#REF!</definedName>
    <definedName name="icoa_hist">#REF!</definedName>
    <definedName name="icoa_uss" localSheetId="8">#REF!</definedName>
    <definedName name="icoa_uss" localSheetId="5">#REF!</definedName>
    <definedName name="icoa_uss" localSheetId="10">#REF!</definedName>
    <definedName name="icoa_uss" localSheetId="11">#REF!</definedName>
    <definedName name="icoa_uss" localSheetId="12">#REF!</definedName>
    <definedName name="icoa_uss">#REF!</definedName>
    <definedName name="Identificação" localSheetId="8">#REF!</definedName>
    <definedName name="Identificação" localSheetId="5">#REF!</definedName>
    <definedName name="Identificação" localSheetId="10">#REF!</definedName>
    <definedName name="Identificação" localSheetId="11">#REF!</definedName>
    <definedName name="Identificação" localSheetId="12">#REF!</definedName>
    <definedName name="Identificação">#REF!</definedName>
    <definedName name="idfhgkjhfkthy" localSheetId="3" hidden="1">{#N/A,#N/A,FALSE,"Plan1";#N/A,#N/A,FALSE,"Plan2"}</definedName>
    <definedName name="idfhgkjhfkthy" localSheetId="8">{#N/A,#N/A,FALSE,"Plan1";#N/A,#N/A,FALSE,"Plan2"}</definedName>
    <definedName name="idfhgkjhfkthy" localSheetId="5" hidden="1">{#N/A,#N/A,FALSE,"Plan1";#N/A,#N/A,FALSE,"Plan2"}</definedName>
    <definedName name="idfhgkjhfkthy" localSheetId="4" hidden="1">{#N/A,#N/A,FALSE,"Plan1";#N/A,#N/A,FALSE,"Plan2"}</definedName>
    <definedName name="idfhgkjhfkthy" localSheetId="9">{#N/A,#N/A,FALSE,"Plan1";#N/A,#N/A,FALSE,"Plan2"}</definedName>
    <definedName name="idfhgkjhfkthy" localSheetId="10" hidden="1">{#N/A,#N/A,FALSE,"Plan1";#N/A,#N/A,FALSE,"Plan2"}</definedName>
    <definedName name="idfhgkjhfkthy" localSheetId="1" hidden="1">{#N/A,#N/A,FALSE,"Plan1";#N/A,#N/A,FALSE,"Plan2"}</definedName>
    <definedName name="idfhgkjhfkthy" localSheetId="0">{#N/A,#N/A,FALSE,"Plan1";#N/A,#N/A,FALSE,"Plan2"}</definedName>
    <definedName name="idfhgkjhfkthy" localSheetId="11" hidden="1">{#N/A,#N/A,FALSE,"Plan1";#N/A,#N/A,FALSE,"Plan2"}</definedName>
    <definedName name="idfhgkjhfkthy" localSheetId="12" hidden="1">{#N/A,#N/A,FALSE,"Plan1";#N/A,#N/A,FALSE,"Plan2"}</definedName>
    <definedName name="idfhgkjhfkthy" hidden="1">{#N/A,#N/A,FALSE,"Plan1";#N/A,#N/A,FALSE,"Plan2"}</definedName>
    <definedName name="ieroweft" localSheetId="3" hidden="1">{#N/A,#N/A,FALSE,"Plan1";#N/A,#N/A,FALSE,"Plan2"}</definedName>
    <definedName name="ieroweft" localSheetId="8">{#N/A,#N/A,FALSE,"Plan1";#N/A,#N/A,FALSE,"Plan2"}</definedName>
    <definedName name="ieroweft" localSheetId="5" hidden="1">{#N/A,#N/A,FALSE,"Plan1";#N/A,#N/A,FALSE,"Plan2"}</definedName>
    <definedName name="ieroweft" localSheetId="4" hidden="1">{#N/A,#N/A,FALSE,"Plan1";#N/A,#N/A,FALSE,"Plan2"}</definedName>
    <definedName name="ieroweft" localSheetId="9">{#N/A,#N/A,FALSE,"Plan1";#N/A,#N/A,FALSE,"Plan2"}</definedName>
    <definedName name="ieroweft" localSheetId="10" hidden="1">{#N/A,#N/A,FALSE,"Plan1";#N/A,#N/A,FALSE,"Plan2"}</definedName>
    <definedName name="ieroweft" localSheetId="1" hidden="1">{#N/A,#N/A,FALSE,"Plan1";#N/A,#N/A,FALSE,"Plan2"}</definedName>
    <definedName name="ieroweft" localSheetId="0">{#N/A,#N/A,FALSE,"Plan1";#N/A,#N/A,FALSE,"Plan2"}</definedName>
    <definedName name="ieroweft" localSheetId="11" hidden="1">{#N/A,#N/A,FALSE,"Plan1";#N/A,#N/A,FALSE,"Plan2"}</definedName>
    <definedName name="ieroweft" localSheetId="12" hidden="1">{#N/A,#N/A,FALSE,"Plan1";#N/A,#N/A,FALSE,"Plan2"}</definedName>
    <definedName name="ieroweft" hidden="1">{#N/A,#N/A,FALSE,"Plan1";#N/A,#N/A,FALSE,"Plan2"}</definedName>
    <definedName name="iewpotqi5poejy" localSheetId="3" hidden="1">{#N/A,#N/A,FALSE,"Plan1";#N/A,#N/A,FALSE,"Plan2"}</definedName>
    <definedName name="iewpotqi5poejy" localSheetId="8">{#N/A,#N/A,FALSE,"Plan1";#N/A,#N/A,FALSE,"Plan2"}</definedName>
    <definedName name="iewpotqi5poejy" localSheetId="5" hidden="1">{#N/A,#N/A,FALSE,"Plan1";#N/A,#N/A,FALSE,"Plan2"}</definedName>
    <definedName name="iewpotqi5poejy" localSheetId="4" hidden="1">{#N/A,#N/A,FALSE,"Plan1";#N/A,#N/A,FALSE,"Plan2"}</definedName>
    <definedName name="iewpotqi5poejy" localSheetId="9">{#N/A,#N/A,FALSE,"Plan1";#N/A,#N/A,FALSE,"Plan2"}</definedName>
    <definedName name="iewpotqi5poejy" localSheetId="10" hidden="1">{#N/A,#N/A,FALSE,"Plan1";#N/A,#N/A,FALSE,"Plan2"}</definedName>
    <definedName name="iewpotqi5poejy" localSheetId="1" hidden="1">{#N/A,#N/A,FALSE,"Plan1";#N/A,#N/A,FALSE,"Plan2"}</definedName>
    <definedName name="iewpotqi5poejy" localSheetId="0">{#N/A,#N/A,FALSE,"Plan1";#N/A,#N/A,FALSE,"Plan2"}</definedName>
    <definedName name="iewpotqi5poejy" localSheetId="11" hidden="1">{#N/A,#N/A,FALSE,"Plan1";#N/A,#N/A,FALSE,"Plan2"}</definedName>
    <definedName name="iewpotqi5poejy" localSheetId="12" hidden="1">{#N/A,#N/A,FALSE,"Plan1";#N/A,#N/A,FALSE,"Plan2"}</definedName>
    <definedName name="iewpotqi5poejy" hidden="1">{#N/A,#N/A,FALSE,"Plan1";#N/A,#N/A,FALSE,"Plan2"}</definedName>
    <definedName name="ihdfifguhgfuiy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fifguhgfuiy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dsitr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heidhgufr" localSheetId="8">#REF!</definedName>
    <definedName name="iheidhgufr" localSheetId="5" hidden="1">#REF!</definedName>
    <definedName name="iheidhgufr" localSheetId="9">#REF!</definedName>
    <definedName name="iheidhgufr" localSheetId="10" hidden="1">#REF!</definedName>
    <definedName name="iheidhgufr" localSheetId="1" hidden="1">#REF!</definedName>
    <definedName name="iheidhgufr" localSheetId="0">#REF!</definedName>
    <definedName name="iheidhgufr" localSheetId="11" hidden="1">#REF!</definedName>
    <definedName name="iheidhgufr" localSheetId="12" hidden="1">#REF!</definedName>
    <definedName name="iheidhgufr" hidden="1">#REF!</definedName>
    <definedName name="ihfdkjhktgrd" localSheetId="3" hidden="1">{#N/A,#N/A,FALSE,"Plan1";#N/A,#N/A,FALSE,"Plan2"}</definedName>
    <definedName name="ihfdkjhktgrd" localSheetId="8">{#N/A,#N/A,FALSE,"Plan1";#N/A,#N/A,FALSE,"Plan2"}</definedName>
    <definedName name="ihfdkjhktgrd" localSheetId="5" hidden="1">{#N/A,#N/A,FALSE,"Plan1";#N/A,#N/A,FALSE,"Plan2"}</definedName>
    <definedName name="ihfdkjhktgrd" localSheetId="4" hidden="1">{#N/A,#N/A,FALSE,"Plan1";#N/A,#N/A,FALSE,"Plan2"}</definedName>
    <definedName name="ihfdkjhktgrd" localSheetId="9">{#N/A,#N/A,FALSE,"Plan1";#N/A,#N/A,FALSE,"Plan2"}</definedName>
    <definedName name="ihfdkjhktgrd" localSheetId="10" hidden="1">{#N/A,#N/A,FALSE,"Plan1";#N/A,#N/A,FALSE,"Plan2"}</definedName>
    <definedName name="ihfdkjhktgrd" localSheetId="1" hidden="1">{#N/A,#N/A,FALSE,"Plan1";#N/A,#N/A,FALSE,"Plan2"}</definedName>
    <definedName name="ihfdkjhktgrd" localSheetId="0">{#N/A,#N/A,FALSE,"Plan1";#N/A,#N/A,FALSE,"Plan2"}</definedName>
    <definedName name="ihfdkjhktgrd" localSheetId="11" hidden="1">{#N/A,#N/A,FALSE,"Plan1";#N/A,#N/A,FALSE,"Plan2"}</definedName>
    <definedName name="ihfdkjhktgrd" localSheetId="12" hidden="1">{#N/A,#N/A,FALSE,"Plan1";#N/A,#N/A,FALSE,"Plan2"}</definedName>
    <definedName name="ihfdkjhktgrd" hidden="1">{#N/A,#N/A,FALSE,"Plan1";#N/A,#N/A,FALSE,"Plan2"}</definedName>
    <definedName name="ihrtetw4r" localSheetId="3" hidden="1">{#N/A,#N/A,FALSE,"Plan1";#N/A,#N/A,FALSE,"Plan2"}</definedName>
    <definedName name="ihrtetw4r" localSheetId="8">{#N/A,#N/A,FALSE,"Plan1";#N/A,#N/A,FALSE,"Plan2"}</definedName>
    <definedName name="ihrtetw4r" localSheetId="5" hidden="1">{#N/A,#N/A,FALSE,"Plan1";#N/A,#N/A,FALSE,"Plan2"}</definedName>
    <definedName name="ihrtetw4r" localSheetId="4" hidden="1">{#N/A,#N/A,FALSE,"Plan1";#N/A,#N/A,FALSE,"Plan2"}</definedName>
    <definedName name="ihrtetw4r" localSheetId="9">{#N/A,#N/A,FALSE,"Plan1";#N/A,#N/A,FALSE,"Plan2"}</definedName>
    <definedName name="ihrtetw4r" localSheetId="10" hidden="1">{#N/A,#N/A,FALSE,"Plan1";#N/A,#N/A,FALSE,"Plan2"}</definedName>
    <definedName name="ihrtetw4r" localSheetId="1" hidden="1">{#N/A,#N/A,FALSE,"Plan1";#N/A,#N/A,FALSE,"Plan2"}</definedName>
    <definedName name="ihrtetw4r" localSheetId="0">{#N/A,#N/A,FALSE,"Plan1";#N/A,#N/A,FALSE,"Plan2"}</definedName>
    <definedName name="ihrtetw4r" localSheetId="11" hidden="1">{#N/A,#N/A,FALSE,"Plan1";#N/A,#N/A,FALSE,"Plan2"}</definedName>
    <definedName name="ihrtetw4r" localSheetId="12" hidden="1">{#N/A,#N/A,FALSE,"Plan1";#N/A,#N/A,FALSE,"Plan2"}</definedName>
    <definedName name="ihrtetw4r" hidden="1">{#N/A,#N/A,FALSE,"Plan1";#N/A,#N/A,FALSE,"Plan2"}</definedName>
    <definedName name="II" localSheetId="8">#REF!</definedName>
    <definedName name="II" localSheetId="5">#REF!</definedName>
    <definedName name="II" localSheetId="9">#REF!</definedName>
    <definedName name="II" localSheetId="10">#REF!</definedName>
    <definedName name="II" localSheetId="0">#REF!</definedName>
    <definedName name="II" localSheetId="11">#REF!</definedName>
    <definedName name="II" localSheetId="12">#REF!</definedName>
    <definedName name="II">#REF!</definedName>
    <definedName name="IIASDSAWE" localSheetId="3" hidden="1">{"Econ Consolidado",#N/A,FALSE,"Econ Consol";"Fluxo de Caixa",#N/A,FALSE,"Fluxo Caixa";"Investimentos",#N/A,FALSE,"Investimentos"}</definedName>
    <definedName name="IIASDSAWE" localSheetId="8">{"Econ Consolidado",#N/A,FALSE,"Econ Consol";"Fluxo de Caixa",#N/A,FALSE,"Fluxo Caixa";"Investimentos",#N/A,FALSE,"Investimentos"}</definedName>
    <definedName name="IIASDSAWE" localSheetId="5" hidden="1">{"Econ Consolidado",#N/A,FALSE,"Econ Consol";"Fluxo de Caixa",#N/A,FALSE,"Fluxo Caixa";"Investimentos",#N/A,FALSE,"Investimentos"}</definedName>
    <definedName name="IIASDSAWE" localSheetId="4" hidden="1">{"Econ Consolidado",#N/A,FALSE,"Econ Consol";"Fluxo de Caixa",#N/A,FALSE,"Fluxo Caixa";"Investimentos",#N/A,FALSE,"Investimentos"}</definedName>
    <definedName name="IIASDSAWE" localSheetId="9">{"Econ Consolidado",#N/A,FALSE,"Econ Consol";"Fluxo de Caixa",#N/A,FALSE,"Fluxo Caixa";"Investimentos",#N/A,FALSE,"Investimentos"}</definedName>
    <definedName name="IIASDSAWE" localSheetId="10" hidden="1">{"Econ Consolidado",#N/A,FALSE,"Econ Consol";"Fluxo de Caixa",#N/A,FALSE,"Fluxo Caixa";"Investimentos",#N/A,FALSE,"Investimentos"}</definedName>
    <definedName name="IIASDSAWE" localSheetId="1" hidden="1">{"Econ Consolidado",#N/A,FALSE,"Econ Consol";"Fluxo de Caixa",#N/A,FALSE,"Fluxo Caixa";"Investimentos",#N/A,FALSE,"Investimentos"}</definedName>
    <definedName name="IIASDSAWE" localSheetId="0">{"Econ Consolidado",#N/A,FALSE,"Econ Consol";"Fluxo de Caixa",#N/A,FALSE,"Fluxo Caixa";"Investimentos",#N/A,FALSE,"Investimentos"}</definedName>
    <definedName name="IIASDSAWE" localSheetId="11" hidden="1">{"Econ Consolidado",#N/A,FALSE,"Econ Consol";"Fluxo de Caixa",#N/A,FALSE,"Fluxo Caixa";"Investimentos",#N/A,FALSE,"Investimentos"}</definedName>
    <definedName name="IIASDSAWE" localSheetId="12" hidden="1">{"Econ Consolidado",#N/A,FALSE,"Econ Consol";"Fluxo de Caixa",#N/A,FALSE,"Fluxo Caixa";"Investimentos",#N/A,FALSE,"Investimentos"}</definedName>
    <definedName name="IIASDSAWE" hidden="1">{"Econ Consolidado",#N/A,FALSE,"Econ Consol";"Fluxo de Caixa",#N/A,FALSE,"Fluxo Caixa";"Investimentos",#N/A,FALSE,"Investimentos"}</definedName>
    <definedName name="III" localSheetId="8">#REF!</definedName>
    <definedName name="III" localSheetId="5">#REF!</definedName>
    <definedName name="III" localSheetId="9">#REF!</definedName>
    <definedName name="III" localSheetId="10">#REF!</definedName>
    <definedName name="III" localSheetId="0">#REF!</definedName>
    <definedName name="III" localSheetId="11">#REF!</definedName>
    <definedName name="III" localSheetId="12">#REF!</definedName>
    <definedName name="III">#REF!</definedName>
    <definedName name="iins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ins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lhweilrji4e" localSheetId="3" hidden="1">{#N/A,#N/A,FALSE,"Plan1";#N/A,#N/A,FALSE,"Plan2"}</definedName>
    <definedName name="ilhweilrji4e" localSheetId="8">{#N/A,#N/A,FALSE,"Plan1";#N/A,#N/A,FALSE,"Plan2"}</definedName>
    <definedName name="ilhweilrji4e" localSheetId="5" hidden="1">{#N/A,#N/A,FALSE,"Plan1";#N/A,#N/A,FALSE,"Plan2"}</definedName>
    <definedName name="ilhweilrji4e" localSheetId="4" hidden="1">{#N/A,#N/A,FALSE,"Plan1";#N/A,#N/A,FALSE,"Plan2"}</definedName>
    <definedName name="ilhweilrji4e" localSheetId="9">{#N/A,#N/A,FALSE,"Plan1";#N/A,#N/A,FALSE,"Plan2"}</definedName>
    <definedName name="ilhweilrji4e" localSheetId="10" hidden="1">{#N/A,#N/A,FALSE,"Plan1";#N/A,#N/A,FALSE,"Plan2"}</definedName>
    <definedName name="ilhweilrji4e" localSheetId="1" hidden="1">{#N/A,#N/A,FALSE,"Plan1";#N/A,#N/A,FALSE,"Plan2"}</definedName>
    <definedName name="ilhweilrji4e" localSheetId="0">{#N/A,#N/A,FALSE,"Plan1";#N/A,#N/A,FALSE,"Plan2"}</definedName>
    <definedName name="ilhweilrji4e" localSheetId="11" hidden="1">{#N/A,#N/A,FALSE,"Plan1";#N/A,#N/A,FALSE,"Plan2"}</definedName>
    <definedName name="ilhweilrji4e" localSheetId="12" hidden="1">{#N/A,#N/A,FALSE,"Plan1";#N/A,#N/A,FALSE,"Plan2"}</definedName>
    <definedName name="ilhweilrji4e" hidden="1">{#N/A,#N/A,FALSE,"Plan1";#N/A,#N/A,FALSE,"Plan2"}</definedName>
    <definedName name="ilsdr4w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lsdr4w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M" localSheetId="8">#REF!</definedName>
    <definedName name="IM" localSheetId="5">#REF!</definedName>
    <definedName name="IM" localSheetId="9">#REF!</definedName>
    <definedName name="IM" localSheetId="10">#REF!</definedName>
    <definedName name="IM" localSheetId="0">#REF!</definedName>
    <definedName name="IM" localSheetId="11">#REF!</definedName>
    <definedName name="IM" localSheetId="12">#REF!</definedName>
    <definedName name="IM">#REF!</definedName>
    <definedName name="IMP" localSheetId="8">#REF!</definedName>
    <definedName name="IMP" localSheetId="5" hidden="1">#REF!</definedName>
    <definedName name="IMP" localSheetId="9">#REF!</definedName>
    <definedName name="IMP" localSheetId="10" hidden="1">#REF!</definedName>
    <definedName name="IMP" localSheetId="1" hidden="1">#REF!</definedName>
    <definedName name="IMP" localSheetId="0">#REF!</definedName>
    <definedName name="IMP" localSheetId="11" hidden="1">#REF!</definedName>
    <definedName name="IMP" localSheetId="12" hidden="1">#REF!</definedName>
    <definedName name="IMP" hidden="1">#REF!</definedName>
    <definedName name="IMPERMEABILIZ." localSheetId="8">#REF!</definedName>
    <definedName name="IMPERMEABILIZ." localSheetId="5">#REF!</definedName>
    <definedName name="IMPERMEABILIZ." localSheetId="9">#REF!</definedName>
    <definedName name="IMPERMEABILIZ." localSheetId="10">#REF!</definedName>
    <definedName name="IMPERMEABILIZ." localSheetId="0">#REF!</definedName>
    <definedName name="IMPERMEABILIZ." localSheetId="11">#REF!</definedName>
    <definedName name="IMPERMEABILIZ." localSheetId="12">#REF!</definedName>
    <definedName name="IMPERMEABILIZ.">#REF!</definedName>
    <definedName name="IMPF" localSheetId="8">#REF!</definedName>
    <definedName name="IMPF" localSheetId="5">#REF!</definedName>
    <definedName name="IMPF" localSheetId="10">#REF!</definedName>
    <definedName name="IMPF" localSheetId="11">#REF!</definedName>
    <definedName name="IMPF" localSheetId="12">#REF!</definedName>
    <definedName name="IMPF">#REF!</definedName>
    <definedName name="IMPI" localSheetId="8">#REF!</definedName>
    <definedName name="IMPI" localSheetId="5">#REF!</definedName>
    <definedName name="IMPI" localSheetId="10">#REF!</definedName>
    <definedName name="IMPI" localSheetId="11">#REF!</definedName>
    <definedName name="IMPI" localSheetId="12">#REF!</definedName>
    <definedName name="IMPI">#REF!</definedName>
    <definedName name="IMPOSTO" localSheetId="8">#REF!</definedName>
    <definedName name="IMPOSTO" localSheetId="5">#REF!</definedName>
    <definedName name="IMPOSTO" localSheetId="10">#REF!</definedName>
    <definedName name="IMPOSTO" localSheetId="11">#REF!</definedName>
    <definedName name="IMPOSTO" localSheetId="12">#REF!</definedName>
    <definedName name="IMPOSTO">#REF!</definedName>
    <definedName name="INCC" localSheetId="8">#REF!</definedName>
    <definedName name="INCC" localSheetId="5">#REF!</definedName>
    <definedName name="INCC" localSheetId="10">#REF!</definedName>
    <definedName name="INCC" localSheetId="11">#REF!</definedName>
    <definedName name="INCC" localSheetId="12">#REF!</definedName>
    <definedName name="INCC">#REF!</definedName>
    <definedName name="Incorido_Aplicado_X_Físico" localSheetId="8">#REF!</definedName>
    <definedName name="Incorido_Aplicado_X_Físico" localSheetId="5">#REF!</definedName>
    <definedName name="Incorido_Aplicado_X_Físico" localSheetId="10">#REF!</definedName>
    <definedName name="Incorido_Aplicado_X_Físico" localSheetId="11">#REF!</definedName>
    <definedName name="Incorido_Aplicado_X_Físico" localSheetId="12">#REF!</definedName>
    <definedName name="Incorido_Aplicado_X_Físico">#REF!</definedName>
    <definedName name="INCORPORAÇÃO" localSheetId="8">#REF!</definedName>
    <definedName name="INCORPORAÇÃO" localSheetId="5">#REF!</definedName>
    <definedName name="INCORPORAÇÃO" localSheetId="10">#REF!</definedName>
    <definedName name="INCORPORAÇÃO" localSheetId="11">#REF!</definedName>
    <definedName name="INCORPORAÇÃO" localSheetId="12">#REF!</definedName>
    <definedName name="INCORPORAÇÃO">#REF!</definedName>
    <definedName name="Index" localSheetId="8">#REF!</definedName>
    <definedName name="Index" localSheetId="5" hidden="1">#REF!</definedName>
    <definedName name="Index" localSheetId="10" hidden="1">#REF!</definedName>
    <definedName name="Index" localSheetId="1" hidden="1">#REF!</definedName>
    <definedName name="Index" localSheetId="11" hidden="1">#REF!</definedName>
    <definedName name="Index" localSheetId="12" hidden="1">#REF!</definedName>
    <definedName name="Index" hidden="1">#REF!</definedName>
    <definedName name="Indice" localSheetId="8">#REF!</definedName>
    <definedName name="Indice" localSheetId="5">#REF!</definedName>
    <definedName name="Indice" localSheetId="10">#REF!</definedName>
    <definedName name="Indice" localSheetId="11">#REF!</definedName>
    <definedName name="Indice" localSheetId="12">#REF!</definedName>
    <definedName name="Indice">#REF!</definedName>
    <definedName name="indice_correcao_proj" localSheetId="8">#REF!</definedName>
    <definedName name="indice_correcao_proj" localSheetId="5">#REF!</definedName>
    <definedName name="indice_correcao_proj" localSheetId="10">#REF!</definedName>
    <definedName name="indice_correcao_proj" localSheetId="11">#REF!</definedName>
    <definedName name="indice_correcao_proj" localSheetId="12">#REF!</definedName>
    <definedName name="indice_correcao_proj">#REF!</definedName>
    <definedName name="infra" localSheetId="8">#REF!</definedName>
    <definedName name="infra" localSheetId="5">#REF!</definedName>
    <definedName name="infra" localSheetId="10">#REF!</definedName>
    <definedName name="infra" localSheetId="11">#REF!</definedName>
    <definedName name="infra" localSheetId="12">#REF!</definedName>
    <definedName name="infra">#REF!</definedName>
    <definedName name="Infra_OBra_Sienge" localSheetId="8">#REF!</definedName>
    <definedName name="Infra_OBra_Sienge" localSheetId="5">#REF!</definedName>
    <definedName name="Infra_OBra_Sienge" localSheetId="10">#REF!</definedName>
    <definedName name="Infra_OBra_Sienge" localSheetId="11">#REF!</definedName>
    <definedName name="Infra_OBra_Sienge" localSheetId="12">#REF!</definedName>
    <definedName name="Infra_OBra_Sienge">#REF!</definedName>
    <definedName name="Infra_Projetos_Sienge" localSheetId="8">#REF!</definedName>
    <definedName name="Infra_Projetos_Sienge" localSheetId="5">#REF!</definedName>
    <definedName name="Infra_Projetos_Sienge" localSheetId="10">#REF!</definedName>
    <definedName name="Infra_Projetos_Sienge" localSheetId="11">#REF!</definedName>
    <definedName name="Infra_Projetos_Sienge" localSheetId="12">#REF!</definedName>
    <definedName name="Infra_Projetos_Sienge">#REF!</definedName>
    <definedName name="INFRA2" localSheetId="8">#REF!</definedName>
    <definedName name="INFRA2" localSheetId="5">#REF!</definedName>
    <definedName name="INFRA2" localSheetId="10">#REF!</definedName>
    <definedName name="INFRA2" localSheetId="11">#REF!</definedName>
    <definedName name="INFRA2" localSheetId="12">#REF!</definedName>
    <definedName name="INFRA2">#REF!</definedName>
    <definedName name="Insatalaçõe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atalaçõ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S_Bloqueado_Fin_Medição" localSheetId="8">#REF!</definedName>
    <definedName name="INSS_Bloqueado_Fin_Medição" localSheetId="5">#REF!</definedName>
    <definedName name="INSS_Bloqueado_Fin_Medição" localSheetId="9">#REF!</definedName>
    <definedName name="INSS_Bloqueado_Fin_Medição" localSheetId="10">#REF!</definedName>
    <definedName name="INSS_Bloqueado_Fin_Medição" localSheetId="0">#REF!</definedName>
    <definedName name="INSS_Bloqueado_Fin_Medição" localSheetId="11">#REF!</definedName>
    <definedName name="INSS_Bloqueado_Fin_Medição" localSheetId="12">#REF!</definedName>
    <definedName name="INSS_Bloqueado_Fin_Medição">#REF!</definedName>
    <definedName name="Inss_Bloqueado_Previsão_Fin_Medições" localSheetId="8">#REF!</definedName>
    <definedName name="Inss_Bloqueado_Previsão_Fin_Medições" localSheetId="5">#REF!</definedName>
    <definedName name="Inss_Bloqueado_Previsão_Fin_Medições" localSheetId="9">#REF!</definedName>
    <definedName name="Inss_Bloqueado_Previsão_Fin_Medições" localSheetId="10">#REF!</definedName>
    <definedName name="Inss_Bloqueado_Previsão_Fin_Medições" localSheetId="0">#REF!</definedName>
    <definedName name="Inss_Bloqueado_Previsão_Fin_Medições" localSheetId="11">#REF!</definedName>
    <definedName name="Inss_Bloqueado_Previsão_Fin_Medições" localSheetId="12">#REF!</definedName>
    <definedName name="Inss_Bloqueado_Previsão_Fin_Medições">#REF!</definedName>
    <definedName name="instalaçoe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talaçoe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INSU" localSheetId="8">OFFSET(#REF!,0,0,COUNTA(#REF!),1)</definedName>
    <definedName name="INSU" localSheetId="5">OFFSET(#REF!,0,0,COUNTA(#REF!),1)</definedName>
    <definedName name="INSU" localSheetId="9">OFFSET(#REF!,0,0,COUNTA(#REF!),1)</definedName>
    <definedName name="INSU" localSheetId="10">OFFSET(#REF!,0,0,COUNTA(#REF!),1)</definedName>
    <definedName name="INSU" localSheetId="0">OFFSET(#REF!,0,0,COUNTA(#REF!),1)</definedName>
    <definedName name="INSU" localSheetId="11">OFFSET(#REF!,0,0,COUNTA(#REF!),1)</definedName>
    <definedName name="INSU" localSheetId="12">OFFSET(#REF!,0,0,COUNTA(#REF!),1)</definedName>
    <definedName name="INSU">OFFSET(#REF!,0,0,COUNTA(#REF!),1)</definedName>
    <definedName name="INSUMOS" localSheetId="8">#REF!</definedName>
    <definedName name="INSUMOS" localSheetId="5">#REF!</definedName>
    <definedName name="INSUMOS" localSheetId="9">#REF!</definedName>
    <definedName name="INSUMOS" localSheetId="10">#REF!</definedName>
    <definedName name="INSUMOS" localSheetId="0">#REF!</definedName>
    <definedName name="INSUMOS" localSheetId="11">#REF!</definedName>
    <definedName name="INSUMOS" localSheetId="12">#REF!</definedName>
    <definedName name="INSUMOS">#REF!</definedName>
    <definedName name="INT.FILTRO.NBASE" localSheetId="8">#REF!</definedName>
    <definedName name="INT.FILTRO.NBASE" localSheetId="5">#REF!</definedName>
    <definedName name="INT.FILTRO.NBASE" localSheetId="9">#REF!</definedName>
    <definedName name="INT.FILTRO.NBASE" localSheetId="10">#REF!</definedName>
    <definedName name="INT.FILTRO.NBASE" localSheetId="0">#REF!</definedName>
    <definedName name="INT.FILTRO.NBASE" localSheetId="11">#REF!</definedName>
    <definedName name="INT.FILTRO.NBASE" localSheetId="12">#REF!</definedName>
    <definedName name="INT.FILTRO.NBASE">#REF!</definedName>
    <definedName name="INTEGRA" localSheetId="3" hidden="1">{"'Edit'!$A$1:$V$2277"}</definedName>
    <definedName name="INTEGRA" localSheetId="8">{"'Edit'!$A$1:$V$2277"}</definedName>
    <definedName name="INTEGRA" localSheetId="5" hidden="1">{"'Edit'!$A$1:$V$2277"}</definedName>
    <definedName name="INTEGRA" localSheetId="4" hidden="1">{"'Edit'!$A$1:$V$2277"}</definedName>
    <definedName name="INTEGRA" localSheetId="9">{"'Edit'!$A$1:$V$2277"}</definedName>
    <definedName name="INTEGRA" localSheetId="10" hidden="1">{"'Edit'!$A$1:$V$2277"}</definedName>
    <definedName name="INTEGRA" localSheetId="1" hidden="1">{"'Edit'!$A$1:$V$2277"}</definedName>
    <definedName name="INTEGRA" localSheetId="0">{"'Edit'!$A$1:$V$2277"}</definedName>
    <definedName name="INTEGRA" localSheetId="11" hidden="1">{"'Edit'!$A$1:$V$2277"}</definedName>
    <definedName name="INTEGRA" localSheetId="12" hidden="1">{"'Edit'!$A$1:$V$2277"}</definedName>
    <definedName name="INTEGRA" hidden="1">{"'Edit'!$A$1:$V$2277"}</definedName>
    <definedName name="IO">196.003</definedName>
    <definedName name="ioeriotyt" localSheetId="3" hidden="1">{#N/A,#N/A,FALSE,"Plan1";#N/A,#N/A,FALSE,"Plan2"}</definedName>
    <definedName name="ioeriotyt" localSheetId="8">{#N/A,#N/A,FALSE,"Plan1";#N/A,#N/A,FALSE,"Plan2"}</definedName>
    <definedName name="ioeriotyt" localSheetId="5" hidden="1">{#N/A,#N/A,FALSE,"Plan1";#N/A,#N/A,FALSE,"Plan2"}</definedName>
    <definedName name="ioeriotyt" localSheetId="4" hidden="1">{#N/A,#N/A,FALSE,"Plan1";#N/A,#N/A,FALSE,"Plan2"}</definedName>
    <definedName name="ioeriotyt" localSheetId="9">{#N/A,#N/A,FALSE,"Plan1";#N/A,#N/A,FALSE,"Plan2"}</definedName>
    <definedName name="ioeriotyt" localSheetId="10" hidden="1">{#N/A,#N/A,FALSE,"Plan1";#N/A,#N/A,FALSE,"Plan2"}</definedName>
    <definedName name="ioeriotyt" localSheetId="1" hidden="1">{#N/A,#N/A,FALSE,"Plan1";#N/A,#N/A,FALSE,"Plan2"}</definedName>
    <definedName name="ioeriotyt" localSheetId="0">{#N/A,#N/A,FALSE,"Plan1";#N/A,#N/A,FALSE,"Plan2"}</definedName>
    <definedName name="ioeriotyt" localSheetId="11" hidden="1">{#N/A,#N/A,FALSE,"Plan1";#N/A,#N/A,FALSE,"Plan2"}</definedName>
    <definedName name="ioeriotyt" localSheetId="12" hidden="1">{#N/A,#N/A,FALSE,"Plan1";#N/A,#N/A,FALSE,"Plan2"}</definedName>
    <definedName name="ioeriotyt" hidden="1">{#N/A,#N/A,FALSE,"Plan1";#N/A,#N/A,FALSE,"Plan2"}</definedName>
    <definedName name="iohudtorh" localSheetId="3" hidden="1">{#N/A,#N/A,FALSE,"Plan1";#N/A,#N/A,FALSE,"Plan2"}</definedName>
    <definedName name="iohudtorh" localSheetId="8">{#N/A,#N/A,FALSE,"Plan1";#N/A,#N/A,FALSE,"Plan2"}</definedName>
    <definedName name="iohudtorh" localSheetId="5" hidden="1">{#N/A,#N/A,FALSE,"Plan1";#N/A,#N/A,FALSE,"Plan2"}</definedName>
    <definedName name="iohudtorh" localSheetId="4" hidden="1">{#N/A,#N/A,FALSE,"Plan1";#N/A,#N/A,FALSE,"Plan2"}</definedName>
    <definedName name="iohudtorh" localSheetId="9">{#N/A,#N/A,FALSE,"Plan1";#N/A,#N/A,FALSE,"Plan2"}</definedName>
    <definedName name="iohudtorh" localSheetId="10" hidden="1">{#N/A,#N/A,FALSE,"Plan1";#N/A,#N/A,FALSE,"Plan2"}</definedName>
    <definedName name="iohudtorh" localSheetId="1" hidden="1">{#N/A,#N/A,FALSE,"Plan1";#N/A,#N/A,FALSE,"Plan2"}</definedName>
    <definedName name="iohudtorh" localSheetId="0">{#N/A,#N/A,FALSE,"Plan1";#N/A,#N/A,FALSE,"Plan2"}</definedName>
    <definedName name="iohudtorh" localSheetId="11" hidden="1">{#N/A,#N/A,FALSE,"Plan1";#N/A,#N/A,FALSE,"Plan2"}</definedName>
    <definedName name="iohudtorh" localSheetId="12" hidden="1">{#N/A,#N/A,FALSE,"Plan1";#N/A,#N/A,FALSE,"Plan2"}</definedName>
    <definedName name="iohudtorh" hidden="1">{#N/A,#N/A,FALSE,"Plan1";#N/A,#N/A,FALSE,"Plan2"}</definedName>
    <definedName name="iojtkheayed" localSheetId="3" hidden="1">{#N/A,#N/A,FALSE,"Plan1";#N/A,#N/A,FALSE,"Plan2"}</definedName>
    <definedName name="iojtkheayed" localSheetId="8">{#N/A,#N/A,FALSE,"Plan1";#N/A,#N/A,FALSE,"Plan2"}</definedName>
    <definedName name="iojtkheayed" localSheetId="5" hidden="1">{#N/A,#N/A,FALSE,"Plan1";#N/A,#N/A,FALSE,"Plan2"}</definedName>
    <definedName name="iojtkheayed" localSheetId="4" hidden="1">{#N/A,#N/A,FALSE,"Plan1";#N/A,#N/A,FALSE,"Plan2"}</definedName>
    <definedName name="iojtkheayed" localSheetId="9">{#N/A,#N/A,FALSE,"Plan1";#N/A,#N/A,FALSE,"Plan2"}</definedName>
    <definedName name="iojtkheayed" localSheetId="10" hidden="1">{#N/A,#N/A,FALSE,"Plan1";#N/A,#N/A,FALSE,"Plan2"}</definedName>
    <definedName name="iojtkheayed" localSheetId="1" hidden="1">{#N/A,#N/A,FALSE,"Plan1";#N/A,#N/A,FALSE,"Plan2"}</definedName>
    <definedName name="iojtkheayed" localSheetId="0">{#N/A,#N/A,FALSE,"Plan1";#N/A,#N/A,FALSE,"Plan2"}</definedName>
    <definedName name="iojtkheayed" localSheetId="11" hidden="1">{#N/A,#N/A,FALSE,"Plan1";#N/A,#N/A,FALSE,"Plan2"}</definedName>
    <definedName name="iojtkheayed" localSheetId="12" hidden="1">{#N/A,#N/A,FALSE,"Plan1";#N/A,#N/A,FALSE,"Plan2"}</definedName>
    <definedName name="iojtkheayed" hidden="1">{#N/A,#N/A,FALSE,"Plan1";#N/A,#N/A,FALSE,"Plan2"}</definedName>
    <definedName name="iouweroieuw4" localSheetId="3" hidden="1">{#N/A,#N/A,FALSE,"Plan1";#N/A,#N/A,FALSE,"Plan2"}</definedName>
    <definedName name="iouweroieuw4" localSheetId="8">{#N/A,#N/A,FALSE,"Plan1";#N/A,#N/A,FALSE,"Plan2"}</definedName>
    <definedName name="iouweroieuw4" localSheetId="5" hidden="1">{#N/A,#N/A,FALSE,"Plan1";#N/A,#N/A,FALSE,"Plan2"}</definedName>
    <definedName name="iouweroieuw4" localSheetId="4" hidden="1">{#N/A,#N/A,FALSE,"Plan1";#N/A,#N/A,FALSE,"Plan2"}</definedName>
    <definedName name="iouweroieuw4" localSheetId="9">{#N/A,#N/A,FALSE,"Plan1";#N/A,#N/A,FALSE,"Plan2"}</definedName>
    <definedName name="iouweroieuw4" localSheetId="10" hidden="1">{#N/A,#N/A,FALSE,"Plan1";#N/A,#N/A,FALSE,"Plan2"}</definedName>
    <definedName name="iouweroieuw4" localSheetId="1" hidden="1">{#N/A,#N/A,FALSE,"Plan1";#N/A,#N/A,FALSE,"Plan2"}</definedName>
    <definedName name="iouweroieuw4" localSheetId="0">{#N/A,#N/A,FALSE,"Plan1";#N/A,#N/A,FALSE,"Plan2"}</definedName>
    <definedName name="iouweroieuw4" localSheetId="11" hidden="1">{#N/A,#N/A,FALSE,"Plan1";#N/A,#N/A,FALSE,"Plan2"}</definedName>
    <definedName name="iouweroieuw4" localSheetId="12" hidden="1">{#N/A,#N/A,FALSE,"Plan1";#N/A,#N/A,FALSE,"Plan2"}</definedName>
    <definedName name="iouweroieuw4" hidden="1">{#N/A,#N/A,FALSE,"Plan1";#N/A,#N/A,FALSE,"Plan2"}</definedName>
    <definedName name="iphifpgh" localSheetId="3" hidden="1">{#N/A,#N/A,FALSE,"Plan1";#N/A,#N/A,FALSE,"Plan2"}</definedName>
    <definedName name="iphifpgh" localSheetId="8">{#N/A,#N/A,FALSE,"Plan1";#N/A,#N/A,FALSE,"Plan2"}</definedName>
    <definedName name="iphifpgh" localSheetId="5" hidden="1">{#N/A,#N/A,FALSE,"Plan1";#N/A,#N/A,FALSE,"Plan2"}</definedName>
    <definedName name="iphifpgh" localSheetId="4" hidden="1">{#N/A,#N/A,FALSE,"Plan1";#N/A,#N/A,FALSE,"Plan2"}</definedName>
    <definedName name="iphifpgh" localSheetId="9">{#N/A,#N/A,FALSE,"Plan1";#N/A,#N/A,FALSE,"Plan2"}</definedName>
    <definedName name="iphifpgh" localSheetId="10" hidden="1">{#N/A,#N/A,FALSE,"Plan1";#N/A,#N/A,FALSE,"Plan2"}</definedName>
    <definedName name="iphifpgh" localSheetId="1" hidden="1">{#N/A,#N/A,FALSE,"Plan1";#N/A,#N/A,FALSE,"Plan2"}</definedName>
    <definedName name="iphifpgh" localSheetId="0">{#N/A,#N/A,FALSE,"Plan1";#N/A,#N/A,FALSE,"Plan2"}</definedName>
    <definedName name="iphifpgh" localSheetId="11" hidden="1">{#N/A,#N/A,FALSE,"Plan1";#N/A,#N/A,FALSE,"Plan2"}</definedName>
    <definedName name="iphifpgh" localSheetId="12" hidden="1">{#N/A,#N/A,FALSE,"Plan1";#N/A,#N/A,FALSE,"Plan2"}</definedName>
    <definedName name="iphifpgh" hidden="1">{#N/A,#N/A,FALSE,"Plan1";#N/A,#N/A,FALSE,"Plan2"}</definedName>
    <definedName name="IPMF" localSheetId="8">#REF!</definedName>
    <definedName name="IPMF" localSheetId="5">#REF!</definedName>
    <definedName name="IPMF" localSheetId="9">#REF!</definedName>
    <definedName name="IPMF" localSheetId="10">#REF!</definedName>
    <definedName name="IPMF" localSheetId="0">#REF!</definedName>
    <definedName name="IPMF" localSheetId="11">#REF!</definedName>
    <definedName name="IPMF" localSheetId="12">#REF!</definedName>
    <definedName name="IPMF">#REF!</definedName>
    <definedName name="ipodsifgpd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dsifgpd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potjrjketjr" localSheetId="3" hidden="1">{#N/A,#N/A,FALSE,"Plan1";#N/A,#N/A,FALSE,"Plan2"}</definedName>
    <definedName name="ipotjrjketjr" localSheetId="8">{#N/A,#N/A,FALSE,"Plan1";#N/A,#N/A,FALSE,"Plan2"}</definedName>
    <definedName name="ipotjrjketjr" localSheetId="5" hidden="1">{#N/A,#N/A,FALSE,"Plan1";#N/A,#N/A,FALSE,"Plan2"}</definedName>
    <definedName name="ipotjrjketjr" localSheetId="4" hidden="1">{#N/A,#N/A,FALSE,"Plan1";#N/A,#N/A,FALSE,"Plan2"}</definedName>
    <definedName name="ipotjrjketjr" localSheetId="9">{#N/A,#N/A,FALSE,"Plan1";#N/A,#N/A,FALSE,"Plan2"}</definedName>
    <definedName name="ipotjrjketjr" localSheetId="10" hidden="1">{#N/A,#N/A,FALSE,"Plan1";#N/A,#N/A,FALSE,"Plan2"}</definedName>
    <definedName name="ipotjrjketjr" localSheetId="1" hidden="1">{#N/A,#N/A,FALSE,"Plan1";#N/A,#N/A,FALSE,"Plan2"}</definedName>
    <definedName name="ipotjrjketjr" localSheetId="0">{#N/A,#N/A,FALSE,"Plan1";#N/A,#N/A,FALSE,"Plan2"}</definedName>
    <definedName name="ipotjrjketjr" localSheetId="11" hidden="1">{#N/A,#N/A,FALSE,"Plan1";#N/A,#N/A,FALSE,"Plan2"}</definedName>
    <definedName name="ipotjrjketjr" localSheetId="12" hidden="1">{#N/A,#N/A,FALSE,"Plan1";#N/A,#N/A,FALSE,"Plan2"}</definedName>
    <definedName name="ipotjrjketjr" hidden="1">{#N/A,#N/A,FALSE,"Plan1";#N/A,#N/A,FALSE,"Plan2"}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40730.4399768518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_diferido" localSheetId="8">#REF!</definedName>
    <definedName name="IR_diferido" localSheetId="5">#REF!</definedName>
    <definedName name="IR_diferido" localSheetId="9">#REF!</definedName>
    <definedName name="IR_diferido" localSheetId="10">#REF!</definedName>
    <definedName name="IR_diferido" localSheetId="0">#REF!</definedName>
    <definedName name="IR_diferido" localSheetId="11">#REF!</definedName>
    <definedName name="IR_diferido" localSheetId="12">#REF!</definedName>
    <definedName name="IR_diferido">#REF!</definedName>
    <definedName name="ISOPOR" localSheetId="8">#REF!</definedName>
    <definedName name="ISOPOR" localSheetId="5">#REF!</definedName>
    <definedName name="ISOPOR" localSheetId="10">#REF!</definedName>
    <definedName name="ISOPOR" localSheetId="11">#REF!</definedName>
    <definedName name="ISOPOR" localSheetId="12">#REF!</definedName>
    <definedName name="ISOPOR">#REF!</definedName>
    <definedName name="ISS" localSheetId="8">#REF!</definedName>
    <definedName name="ISS" localSheetId="5">#REF!</definedName>
    <definedName name="ISS" localSheetId="10">#REF!</definedName>
    <definedName name="ISS" localSheetId="11">#REF!</definedName>
    <definedName name="ISS" localSheetId="12">#REF!</definedName>
    <definedName name="ISS">#REF!</definedName>
    <definedName name="ItalieNS" localSheetId="8">#REF!</definedName>
    <definedName name="ItalieNS" localSheetId="5">#REF!</definedName>
    <definedName name="ItalieNS" localSheetId="10">#REF!</definedName>
    <definedName name="ItalieNS" localSheetId="11">#REF!</definedName>
    <definedName name="ItalieNS" localSheetId="12">#REF!</definedName>
    <definedName name="ItalieNS">#REF!</definedName>
    <definedName name="ItalieNT" localSheetId="8">#REF!</definedName>
    <definedName name="ItalieNT" localSheetId="5">#REF!</definedName>
    <definedName name="ItalieNT" localSheetId="10">#REF!</definedName>
    <definedName name="ItalieNT" localSheetId="11">#REF!</definedName>
    <definedName name="ItalieNT" localSheetId="12">#REF!</definedName>
    <definedName name="ItalieNT">#REF!</definedName>
    <definedName name="itc_cdi" localSheetId="8">#REF!</definedName>
    <definedName name="itc_cdi" localSheetId="5">#REF!</definedName>
    <definedName name="itc_cdi" localSheetId="10">#REF!</definedName>
    <definedName name="itc_cdi" localSheetId="11">#REF!</definedName>
    <definedName name="itc_cdi" localSheetId="12">#REF!</definedName>
    <definedName name="itc_cdi">#REF!</definedName>
    <definedName name="itc_hist" localSheetId="8">#REF!</definedName>
    <definedName name="itc_hist" localSheetId="5">#REF!</definedName>
    <definedName name="itc_hist" localSheetId="10">#REF!</definedName>
    <definedName name="itc_hist" localSheetId="11">#REF!</definedName>
    <definedName name="itc_hist" localSheetId="12">#REF!</definedName>
    <definedName name="itc_hist">#REF!</definedName>
    <definedName name="itc_uss" localSheetId="8">#REF!</definedName>
    <definedName name="itc_uss" localSheetId="5">#REF!</definedName>
    <definedName name="itc_uss" localSheetId="10">#REF!</definedName>
    <definedName name="itc_uss" localSheetId="11">#REF!</definedName>
    <definedName name="itc_uss" localSheetId="12">#REF!</definedName>
    <definedName name="itc_uss">#REF!</definedName>
    <definedName name="item_1" localSheetId="8">#REF!</definedName>
    <definedName name="item_1" localSheetId="5">#REF!</definedName>
    <definedName name="item_1" localSheetId="10">#REF!</definedName>
    <definedName name="item_1" localSheetId="1">#REF!</definedName>
    <definedName name="item_1" localSheetId="11">#REF!</definedName>
    <definedName name="item_1" localSheetId="12">#REF!</definedName>
    <definedName name="item_1">#REF!</definedName>
    <definedName name="ITEMCONT" localSheetId="8">#REF!</definedName>
    <definedName name="ITEMCONT" localSheetId="5">#REF!</definedName>
    <definedName name="ITEMCONT" localSheetId="10">#REF!</definedName>
    <definedName name="ITEMCONT" localSheetId="11">#REF!</definedName>
    <definedName name="ITEMCONT" localSheetId="12">#REF!</definedName>
    <definedName name="ITEMCONT">#REF!</definedName>
    <definedName name="ITEMDER" localSheetId="8">#REF!</definedName>
    <definedName name="ITEMDER" localSheetId="5">#REF!</definedName>
    <definedName name="ITEMDER" localSheetId="10">#REF!</definedName>
    <definedName name="ITEMDER" localSheetId="11">#REF!</definedName>
    <definedName name="ITEMDER" localSheetId="12">#REF!</definedName>
    <definedName name="ITEMDER">#REF!</definedName>
    <definedName name="ITEMIZAÇÃO" localSheetId="8">#REF!</definedName>
    <definedName name="ITEMIZAÇÃO" localSheetId="5">#REF!</definedName>
    <definedName name="ITEMIZAÇÃO" localSheetId="10">#REF!</definedName>
    <definedName name="ITEMIZAÇÃO" localSheetId="11">#REF!</definedName>
    <definedName name="ITEMIZAÇÃO" localSheetId="12">#REF!</definedName>
    <definedName name="ITEMIZAÇÃO">#REF!</definedName>
    <definedName name="ITEMIZAÇÃO_2" localSheetId="8">#REF!</definedName>
    <definedName name="ITEMIZAÇÃO_2" localSheetId="5">#REF!</definedName>
    <definedName name="ITEMIZAÇÃO_2" localSheetId="10">#REF!</definedName>
    <definedName name="ITEMIZAÇÃO_2" localSheetId="11">#REF!</definedName>
    <definedName name="ITEMIZAÇÃO_2" localSheetId="12">#REF!</definedName>
    <definedName name="ITEMIZAÇÃO_2">#REF!</definedName>
    <definedName name="ITEMIZAÇÃO_3" localSheetId="8">#REF!</definedName>
    <definedName name="ITEMIZAÇÃO_3" localSheetId="5">#REF!</definedName>
    <definedName name="ITEMIZAÇÃO_3" localSheetId="10">#REF!</definedName>
    <definedName name="ITEMIZAÇÃO_3" localSheetId="11">#REF!</definedName>
    <definedName name="ITEMIZAÇÃO_3" localSheetId="12">#REF!</definedName>
    <definedName name="ITEMIZAÇÃO_3">#REF!</definedName>
    <definedName name="ITEMIZAÇÃO_4" localSheetId="8">#REF!</definedName>
    <definedName name="ITEMIZAÇÃO_4" localSheetId="5">#REF!</definedName>
    <definedName name="ITEMIZAÇÃO_4" localSheetId="10">#REF!</definedName>
    <definedName name="ITEMIZAÇÃO_4" localSheetId="11">#REF!</definedName>
    <definedName name="ITEMIZAÇÃO_4" localSheetId="12">#REF!</definedName>
    <definedName name="ITEMIZAÇÃO_4">#REF!</definedName>
    <definedName name="ITEMIZAÇÃO_5" localSheetId="8">#REF!</definedName>
    <definedName name="ITEMIZAÇÃO_5" localSheetId="5">#REF!</definedName>
    <definedName name="ITEMIZAÇÃO_5" localSheetId="10">#REF!</definedName>
    <definedName name="ITEMIZAÇÃO_5" localSheetId="11">#REF!</definedName>
    <definedName name="ITEMIZAÇÃO_5" localSheetId="12">#REF!</definedName>
    <definedName name="ITEMIZAÇÃO_5">#REF!</definedName>
    <definedName name="ITEMIZAÇÃO_7" localSheetId="8">#REF!</definedName>
    <definedName name="ITEMIZAÇÃO_7" localSheetId="5">#REF!</definedName>
    <definedName name="ITEMIZAÇÃO_7" localSheetId="10">#REF!</definedName>
    <definedName name="ITEMIZAÇÃO_7" localSheetId="11">#REF!</definedName>
    <definedName name="ITEMIZAÇÃO_7" localSheetId="12">#REF!</definedName>
    <definedName name="ITEMIZAÇÃO_7">#REF!</definedName>
    <definedName name="ITEMIZAÇÃO_8" localSheetId="8">#REF!</definedName>
    <definedName name="ITEMIZAÇÃO_8" localSheetId="5">#REF!</definedName>
    <definedName name="ITEMIZAÇÃO_8" localSheetId="10">#REF!</definedName>
    <definedName name="ITEMIZAÇÃO_8" localSheetId="11">#REF!</definedName>
    <definedName name="ITEMIZAÇÃO_8" localSheetId="12">#REF!</definedName>
    <definedName name="ITEMIZAÇÃO_8">#REF!</definedName>
    <definedName name="ITEMR20" localSheetId="8">#REF!</definedName>
    <definedName name="ITEMR20" localSheetId="5">#REF!</definedName>
    <definedName name="ITEMR20" localSheetId="10">#REF!</definedName>
    <definedName name="ITEMR20" localSheetId="11">#REF!</definedName>
    <definedName name="ITEMR20" localSheetId="12">#REF!</definedName>
    <definedName name="ITEMR20">#REF!</definedName>
    <definedName name="ITEM별상세업무분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상세업무분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M별업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ITENS" localSheetId="8">#REF!</definedName>
    <definedName name="ITENS" localSheetId="5">#REF!</definedName>
    <definedName name="ITENS" localSheetId="9">#REF!</definedName>
    <definedName name="ITENS" localSheetId="10">#REF!</definedName>
    <definedName name="ITENS" localSheetId="0">#REF!</definedName>
    <definedName name="ITENS" localSheetId="11">#REF!</definedName>
    <definedName name="ITENS" localSheetId="12">#REF!</definedName>
    <definedName name="ITENS">#REF!</definedName>
    <definedName name="ITENS0" localSheetId="8">#REF!</definedName>
    <definedName name="ITENS0" localSheetId="5">#REF!</definedName>
    <definedName name="ITENS0" localSheetId="9">#REF!</definedName>
    <definedName name="ITENS0" localSheetId="10">#REF!</definedName>
    <definedName name="ITENS0" localSheetId="0">#REF!</definedName>
    <definedName name="ITENS0" localSheetId="11">#REF!</definedName>
    <definedName name="ITENS0" localSheetId="12">#REF!</definedName>
    <definedName name="ITENS0">#REF!</definedName>
    <definedName name="ITENS1" localSheetId="8">#REF!</definedName>
    <definedName name="ITENS1" localSheetId="5">#REF!</definedName>
    <definedName name="ITENS1" localSheetId="9">#REF!</definedName>
    <definedName name="ITENS1" localSheetId="10">#REF!</definedName>
    <definedName name="ITENS1" localSheetId="0">#REF!</definedName>
    <definedName name="ITENS1" localSheetId="11">#REF!</definedName>
    <definedName name="ITENS1" localSheetId="12">#REF!</definedName>
    <definedName name="ITENS1">#REF!</definedName>
    <definedName name="ITENSP" localSheetId="8">#REF!</definedName>
    <definedName name="ITENSP" localSheetId="5">#REF!</definedName>
    <definedName name="ITENSP" localSheetId="10">#REF!</definedName>
    <definedName name="ITENSP" localSheetId="11">#REF!</definedName>
    <definedName name="ITENSP" localSheetId="12">#REF!</definedName>
    <definedName name="ITENSP">#REF!</definedName>
    <definedName name="ITENSPMED" localSheetId="8">#REF!</definedName>
    <definedName name="ITENSPMED" localSheetId="5">#REF!</definedName>
    <definedName name="ITENSPMED" localSheetId="10">#REF!</definedName>
    <definedName name="ITENSPMED" localSheetId="11">#REF!</definedName>
    <definedName name="ITENSPMED" localSheetId="12">#REF!</definedName>
    <definedName name="ITENSPMED">#REF!</definedName>
    <definedName name="IUGFGDFUY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UGFGDFUY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IV" localSheetId="8">#REF!</definedName>
    <definedName name="IV" localSheetId="5">#REF!</definedName>
    <definedName name="IV" localSheetId="9">#REF!</definedName>
    <definedName name="IV" localSheetId="10">#REF!</definedName>
    <definedName name="IV" localSheetId="0">#REF!</definedName>
    <definedName name="IV" localSheetId="11">#REF!</definedName>
    <definedName name="IV" localSheetId="12">#REF!</definedName>
    <definedName name="IV">#REF!</definedName>
    <definedName name="iyguygiyt" localSheetId="3" hidden="1">{#N/A,#N/A,FALSE,"Plan1";#N/A,#N/A,FALSE,"Plan2"}</definedName>
    <definedName name="iyguygiyt" localSheetId="8">{#N/A,#N/A,FALSE,"Plan1";#N/A,#N/A,FALSE,"Plan2"}</definedName>
    <definedName name="iyguygiyt" localSheetId="5" hidden="1">{#N/A,#N/A,FALSE,"Plan1";#N/A,#N/A,FALSE,"Plan2"}</definedName>
    <definedName name="iyguygiyt" localSheetId="4" hidden="1">{#N/A,#N/A,FALSE,"Plan1";#N/A,#N/A,FALSE,"Plan2"}</definedName>
    <definedName name="iyguygiyt" localSheetId="9">{#N/A,#N/A,FALSE,"Plan1";#N/A,#N/A,FALSE,"Plan2"}</definedName>
    <definedName name="iyguygiyt" localSheetId="10" hidden="1">{#N/A,#N/A,FALSE,"Plan1";#N/A,#N/A,FALSE,"Plan2"}</definedName>
    <definedName name="iyguygiyt" localSheetId="1" hidden="1">{#N/A,#N/A,FALSE,"Plan1";#N/A,#N/A,FALSE,"Plan2"}</definedName>
    <definedName name="iyguygiyt" localSheetId="0">{#N/A,#N/A,FALSE,"Plan1";#N/A,#N/A,FALSE,"Plan2"}</definedName>
    <definedName name="iyguygiyt" localSheetId="11" hidden="1">{#N/A,#N/A,FALSE,"Plan1";#N/A,#N/A,FALSE,"Plan2"}</definedName>
    <definedName name="iyguygiyt" localSheetId="12" hidden="1">{#N/A,#N/A,FALSE,"Plan1";#N/A,#N/A,FALSE,"Plan2"}</definedName>
    <definedName name="iyguygiyt" hidden="1">{#N/A,#N/A,FALSE,"Plan1";#N/A,#N/A,FALSE,"Plan2"}</definedName>
    <definedName name="iyuyheturtd" localSheetId="3" hidden="1">{#N/A,#N/A,FALSE,"Plan1";#N/A,#N/A,FALSE,"Plan2"}</definedName>
    <definedName name="iyuyheturtd" localSheetId="8">{#N/A,#N/A,FALSE,"Plan1";#N/A,#N/A,FALSE,"Plan2"}</definedName>
    <definedName name="iyuyheturtd" localSheetId="5" hidden="1">{#N/A,#N/A,FALSE,"Plan1";#N/A,#N/A,FALSE,"Plan2"}</definedName>
    <definedName name="iyuyheturtd" localSheetId="4" hidden="1">{#N/A,#N/A,FALSE,"Plan1";#N/A,#N/A,FALSE,"Plan2"}</definedName>
    <definedName name="iyuyheturtd" localSheetId="9">{#N/A,#N/A,FALSE,"Plan1";#N/A,#N/A,FALSE,"Plan2"}</definedName>
    <definedName name="iyuyheturtd" localSheetId="10" hidden="1">{#N/A,#N/A,FALSE,"Plan1";#N/A,#N/A,FALSE,"Plan2"}</definedName>
    <definedName name="iyuyheturtd" localSheetId="1" hidden="1">{#N/A,#N/A,FALSE,"Plan1";#N/A,#N/A,FALSE,"Plan2"}</definedName>
    <definedName name="iyuyheturtd" localSheetId="0">{#N/A,#N/A,FALSE,"Plan1";#N/A,#N/A,FALSE,"Plan2"}</definedName>
    <definedName name="iyuyheturtd" localSheetId="11" hidden="1">{#N/A,#N/A,FALSE,"Plan1";#N/A,#N/A,FALSE,"Plan2"}</definedName>
    <definedName name="iyuyheturtd" localSheetId="12" hidden="1">{#N/A,#N/A,FALSE,"Plan1";#N/A,#N/A,FALSE,"Plan2"}</definedName>
    <definedName name="iyuyheturtd" hidden="1">{#N/A,#N/A,FALSE,"Plan1";#N/A,#N/A,FALSE,"Plan2"}</definedName>
    <definedName name="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alejdasjf" localSheetId="3" hidden="1">{#N/A,#N/A,FALSE,"Plan1";#N/A,#N/A,FALSE,"Plan2"}</definedName>
    <definedName name="jalejdasjf" localSheetId="8">{#N/A,#N/A,FALSE,"Plan1";#N/A,#N/A,FALSE,"Plan2"}</definedName>
    <definedName name="jalejdasjf" localSheetId="5" hidden="1">{#N/A,#N/A,FALSE,"Plan1";#N/A,#N/A,FALSE,"Plan2"}</definedName>
    <definedName name="jalejdasjf" localSheetId="4" hidden="1">{#N/A,#N/A,FALSE,"Plan1";#N/A,#N/A,FALSE,"Plan2"}</definedName>
    <definedName name="jalejdasjf" localSheetId="9">{#N/A,#N/A,FALSE,"Plan1";#N/A,#N/A,FALSE,"Plan2"}</definedName>
    <definedName name="jalejdasjf" localSheetId="10" hidden="1">{#N/A,#N/A,FALSE,"Plan1";#N/A,#N/A,FALSE,"Plan2"}</definedName>
    <definedName name="jalejdasjf" localSheetId="1" hidden="1">{#N/A,#N/A,FALSE,"Plan1";#N/A,#N/A,FALSE,"Plan2"}</definedName>
    <definedName name="jalejdasjf" localSheetId="0">{#N/A,#N/A,FALSE,"Plan1";#N/A,#N/A,FALSE,"Plan2"}</definedName>
    <definedName name="jalejdasjf" localSheetId="11" hidden="1">{#N/A,#N/A,FALSE,"Plan1";#N/A,#N/A,FALSE,"Plan2"}</definedName>
    <definedName name="jalejdasjf" localSheetId="12" hidden="1">{#N/A,#N/A,FALSE,"Plan1";#N/A,#N/A,FALSE,"Plan2"}</definedName>
    <definedName name="jalejdasjf" hidden="1">{#N/A,#N/A,FALSE,"Plan1";#N/A,#N/A,FALSE,"Plan2"}</definedName>
    <definedName name="jan_05" localSheetId="8">#REF!</definedName>
    <definedName name="jan_05" localSheetId="5">#REF!</definedName>
    <definedName name="jan_05" localSheetId="9">#REF!</definedName>
    <definedName name="jan_05" localSheetId="10">#REF!</definedName>
    <definedName name="jan_05" localSheetId="0">#REF!</definedName>
    <definedName name="jan_05" localSheetId="11">#REF!</definedName>
    <definedName name="jan_05" localSheetId="12">#REF!</definedName>
    <definedName name="jan_05">#REF!</definedName>
    <definedName name="jan17RJ" localSheetId="8">#REF!</definedName>
    <definedName name="jan17RJ" localSheetId="5">#REF!</definedName>
    <definedName name="jan17RJ" localSheetId="9">#REF!</definedName>
    <definedName name="jan17RJ" localSheetId="10">#REF!</definedName>
    <definedName name="jan17RJ" localSheetId="0">#REF!</definedName>
    <definedName name="jan17RJ" localSheetId="11">#REF!</definedName>
    <definedName name="jan17RJ" localSheetId="12">#REF!</definedName>
    <definedName name="jan17RJ">#REF!</definedName>
    <definedName name="JANEIRO2001" localSheetId="8">#REF!</definedName>
    <definedName name="JANEIRO2001" localSheetId="5">#REF!</definedName>
    <definedName name="JANEIRO2001" localSheetId="9">#REF!</definedName>
    <definedName name="JANEIRO2001" localSheetId="10">#REF!</definedName>
    <definedName name="JANEIRO2001" localSheetId="0">#REF!</definedName>
    <definedName name="JANEIRO2001" localSheetId="11">#REF!</definedName>
    <definedName name="JANEIRO2001" localSheetId="12">#REF!</definedName>
    <definedName name="JANEIRO2001">#REF!</definedName>
    <definedName name="JASDJS" localSheetId="3" hidden="1">{#N/A,#N/A,FALSE,"Plan1";#N/A,#N/A,FALSE,"Plan2"}</definedName>
    <definedName name="JASDJS" localSheetId="8">{#N/A,#N/A,FALSE,"Plan1";#N/A,#N/A,FALSE,"Plan2"}</definedName>
    <definedName name="JASDJS" localSheetId="5" hidden="1">{#N/A,#N/A,FALSE,"Plan1";#N/A,#N/A,FALSE,"Plan2"}</definedName>
    <definedName name="JASDJS" localSheetId="4" hidden="1">{#N/A,#N/A,FALSE,"Plan1";#N/A,#N/A,FALSE,"Plan2"}</definedName>
    <definedName name="JASDJS" localSheetId="9">{#N/A,#N/A,FALSE,"Plan1";#N/A,#N/A,FALSE,"Plan2"}</definedName>
    <definedName name="JASDJS" localSheetId="10" hidden="1">{#N/A,#N/A,FALSE,"Plan1";#N/A,#N/A,FALSE,"Plan2"}</definedName>
    <definedName name="JASDJS" localSheetId="1" hidden="1">{#N/A,#N/A,FALSE,"Plan1";#N/A,#N/A,FALSE,"Plan2"}</definedName>
    <definedName name="JASDJS" localSheetId="0">{#N/A,#N/A,FALSE,"Plan1";#N/A,#N/A,FALSE,"Plan2"}</definedName>
    <definedName name="JASDJS" localSheetId="11" hidden="1">{#N/A,#N/A,FALSE,"Plan1";#N/A,#N/A,FALSE,"Plan2"}</definedName>
    <definedName name="JASDJS" localSheetId="12" hidden="1">{#N/A,#N/A,FALSE,"Plan1";#N/A,#N/A,FALSE,"Plan2"}</definedName>
    <definedName name="JASDJS" hidden="1">{#N/A,#N/A,FALSE,"Plan1";#N/A,#N/A,FALSE,"Plan2"}</definedName>
    <definedName name="jaskldjlse" localSheetId="3" hidden="1">{#N/A,#N/A,FALSE,"Plan1";#N/A,#N/A,FALSE,"Plan2"}</definedName>
    <definedName name="jaskldjlse" localSheetId="8">{#N/A,#N/A,FALSE,"Plan1";#N/A,#N/A,FALSE,"Plan2"}</definedName>
    <definedName name="jaskldjlse" localSheetId="5" hidden="1">{#N/A,#N/A,FALSE,"Plan1";#N/A,#N/A,FALSE,"Plan2"}</definedName>
    <definedName name="jaskldjlse" localSheetId="4" hidden="1">{#N/A,#N/A,FALSE,"Plan1";#N/A,#N/A,FALSE,"Plan2"}</definedName>
    <definedName name="jaskldjlse" localSheetId="9">{#N/A,#N/A,FALSE,"Plan1";#N/A,#N/A,FALSE,"Plan2"}</definedName>
    <definedName name="jaskldjlse" localSheetId="10" hidden="1">{#N/A,#N/A,FALSE,"Plan1";#N/A,#N/A,FALSE,"Plan2"}</definedName>
    <definedName name="jaskldjlse" localSheetId="1" hidden="1">{#N/A,#N/A,FALSE,"Plan1";#N/A,#N/A,FALSE,"Plan2"}</definedName>
    <definedName name="jaskldjlse" localSheetId="0">{#N/A,#N/A,FALSE,"Plan1";#N/A,#N/A,FALSE,"Plan2"}</definedName>
    <definedName name="jaskldjlse" localSheetId="11" hidden="1">{#N/A,#N/A,FALSE,"Plan1";#N/A,#N/A,FALSE,"Plan2"}</definedName>
    <definedName name="jaskldjlse" localSheetId="12" hidden="1">{#N/A,#N/A,FALSE,"Plan1";#N/A,#N/A,FALSE,"Plan2"}</definedName>
    <definedName name="jaskldjlse" hidden="1">{#N/A,#N/A,FALSE,"Plan1";#N/A,#N/A,FALSE,"Plan2"}</definedName>
    <definedName name="JASLDKLD" localSheetId="3" hidden="1">{#N/A,#N/A,FALSE,"Plan1";#N/A,#N/A,FALSE,"Plan2"}</definedName>
    <definedName name="JASLDKLD" localSheetId="8">{#N/A,#N/A,FALSE,"Plan1";#N/A,#N/A,FALSE,"Plan2"}</definedName>
    <definedName name="JASLDKLD" localSheetId="5" hidden="1">{#N/A,#N/A,FALSE,"Plan1";#N/A,#N/A,FALSE,"Plan2"}</definedName>
    <definedName name="JASLDKLD" localSheetId="4" hidden="1">{#N/A,#N/A,FALSE,"Plan1";#N/A,#N/A,FALSE,"Plan2"}</definedName>
    <definedName name="JASLDKLD" localSheetId="9">{#N/A,#N/A,FALSE,"Plan1";#N/A,#N/A,FALSE,"Plan2"}</definedName>
    <definedName name="JASLDKLD" localSheetId="10" hidden="1">{#N/A,#N/A,FALSE,"Plan1";#N/A,#N/A,FALSE,"Plan2"}</definedName>
    <definedName name="JASLDKLD" localSheetId="1" hidden="1">{#N/A,#N/A,FALSE,"Plan1";#N/A,#N/A,FALSE,"Plan2"}</definedName>
    <definedName name="JASLDKLD" localSheetId="0">{#N/A,#N/A,FALSE,"Plan1";#N/A,#N/A,FALSE,"Plan2"}</definedName>
    <definedName name="JASLDKLD" localSheetId="11" hidden="1">{#N/A,#N/A,FALSE,"Plan1";#N/A,#N/A,FALSE,"Plan2"}</definedName>
    <definedName name="JASLDKLD" localSheetId="12" hidden="1">{#N/A,#N/A,FALSE,"Plan1";#N/A,#N/A,FALSE,"Plan2"}</definedName>
    <definedName name="JASLDKLD" hidden="1">{#N/A,#N/A,FALSE,"Plan1";#N/A,#N/A,FALSE,"Plan2"}</definedName>
    <definedName name="jasoe" localSheetId="8">#REF!</definedName>
    <definedName name="jasoe" localSheetId="5" hidden="1">#REF!</definedName>
    <definedName name="jasoe" localSheetId="9">#REF!</definedName>
    <definedName name="jasoe" localSheetId="10" hidden="1">#REF!</definedName>
    <definedName name="jasoe" localSheetId="1" hidden="1">#REF!</definedName>
    <definedName name="jasoe" localSheetId="0">#REF!</definedName>
    <definedName name="jasoe" localSheetId="11" hidden="1">#REF!</definedName>
    <definedName name="jasoe" localSheetId="12" hidden="1">#REF!</definedName>
    <definedName name="jasoe" hidden="1">#REF!</definedName>
    <definedName name="jbzxffcbgdhgft" localSheetId="8">#REF!</definedName>
    <definedName name="jbzxffcbgdhgft" localSheetId="5" hidden="1">#REF!</definedName>
    <definedName name="jbzxffcbgdhgft" localSheetId="9">#REF!</definedName>
    <definedName name="jbzxffcbgdhgft" localSheetId="10" hidden="1">#REF!</definedName>
    <definedName name="jbzxffcbgdhgft" localSheetId="1" hidden="1">#REF!</definedName>
    <definedName name="jbzxffcbgdhgft" localSheetId="0">#REF!</definedName>
    <definedName name="jbzxffcbgdhgft" localSheetId="11" hidden="1">#REF!</definedName>
    <definedName name="jbzxffcbgdhgft" localSheetId="12" hidden="1">#REF!</definedName>
    <definedName name="jbzxffcbgdhgft" hidden="1">#REF!</definedName>
    <definedName name="JÇDFHDF" localSheetId="3" hidden="1">{"Econ Consolidado",#N/A,FALSE,"Econ Consol";"Fluxo de Caixa",#N/A,FALSE,"Fluxo Caixa";"Investimentos",#N/A,FALSE,"Investimentos"}</definedName>
    <definedName name="JÇDFHDF" localSheetId="8">{"Econ Consolidado",#N/A,FALSE,"Econ Consol";"Fluxo de Caixa",#N/A,FALSE,"Fluxo Caixa";"Investimentos",#N/A,FALSE,"Investimentos"}</definedName>
    <definedName name="JÇDFHDF" localSheetId="5" hidden="1">{"Econ Consolidado",#N/A,FALSE,"Econ Consol";"Fluxo de Caixa",#N/A,FALSE,"Fluxo Caixa";"Investimentos",#N/A,FALSE,"Investimentos"}</definedName>
    <definedName name="JÇDFHDF" localSheetId="4" hidden="1">{"Econ Consolidado",#N/A,FALSE,"Econ Consol";"Fluxo de Caixa",#N/A,FALSE,"Fluxo Caixa";"Investimentos",#N/A,FALSE,"Investimentos"}</definedName>
    <definedName name="JÇDFHDF" localSheetId="9">{"Econ Consolidado",#N/A,FALSE,"Econ Consol";"Fluxo de Caixa",#N/A,FALSE,"Fluxo Caixa";"Investimentos",#N/A,FALSE,"Investimentos"}</definedName>
    <definedName name="JÇDFHDF" localSheetId="10" hidden="1">{"Econ Consolidado",#N/A,FALSE,"Econ Consol";"Fluxo de Caixa",#N/A,FALSE,"Fluxo Caixa";"Investimentos",#N/A,FALSE,"Investimentos"}</definedName>
    <definedName name="JÇDFHDF" localSheetId="1" hidden="1">{"Econ Consolidado",#N/A,FALSE,"Econ Consol";"Fluxo de Caixa",#N/A,FALSE,"Fluxo Caixa";"Investimentos",#N/A,FALSE,"Investimentos"}</definedName>
    <definedName name="JÇDFHDF" localSheetId="0">{"Econ Consolidado",#N/A,FALSE,"Econ Consol";"Fluxo de Caixa",#N/A,FALSE,"Fluxo Caixa";"Investimentos",#N/A,FALSE,"Investimentos"}</definedName>
    <definedName name="JÇDFHDF" localSheetId="11" hidden="1">{"Econ Consolidado",#N/A,FALSE,"Econ Consol";"Fluxo de Caixa",#N/A,FALSE,"Fluxo Caixa";"Investimentos",#N/A,FALSE,"Investimentos"}</definedName>
    <definedName name="JÇDFHDF" localSheetId="12" hidden="1">{"Econ Consolidado",#N/A,FALSE,"Econ Consol";"Fluxo de Caixa",#N/A,FALSE,"Fluxo Caixa";"Investimentos",#N/A,FALSE,"Investimentos"}</definedName>
    <definedName name="JÇDFHDF" hidden="1">{"Econ Consolidado",#N/A,FALSE,"Econ Consol";"Fluxo de Caixa",#N/A,FALSE,"Fluxo Caixa";"Investimentos",#N/A,FALSE,"Investimentos"}</definedName>
    <definedName name="jdbgftbhr" localSheetId="3" hidden="1">{#N/A,#N/A,FALSE,"Plan1";#N/A,#N/A,FALSE,"Plan2"}</definedName>
    <definedName name="jdbgftbhr" localSheetId="8">{#N/A,#N/A,FALSE,"Plan1";#N/A,#N/A,FALSE,"Plan2"}</definedName>
    <definedName name="jdbgftbhr" localSheetId="5" hidden="1">{#N/A,#N/A,FALSE,"Plan1";#N/A,#N/A,FALSE,"Plan2"}</definedName>
    <definedName name="jdbgftbhr" localSheetId="4" hidden="1">{#N/A,#N/A,FALSE,"Plan1";#N/A,#N/A,FALSE,"Plan2"}</definedName>
    <definedName name="jdbgftbhr" localSheetId="9">{#N/A,#N/A,FALSE,"Plan1";#N/A,#N/A,FALSE,"Plan2"}</definedName>
    <definedName name="jdbgftbhr" localSheetId="10" hidden="1">{#N/A,#N/A,FALSE,"Plan1";#N/A,#N/A,FALSE,"Plan2"}</definedName>
    <definedName name="jdbgftbhr" localSheetId="1" hidden="1">{#N/A,#N/A,FALSE,"Plan1";#N/A,#N/A,FALSE,"Plan2"}</definedName>
    <definedName name="jdbgftbhr" localSheetId="0">{#N/A,#N/A,FALSE,"Plan1";#N/A,#N/A,FALSE,"Plan2"}</definedName>
    <definedName name="jdbgftbhr" localSheetId="11" hidden="1">{#N/A,#N/A,FALSE,"Plan1";#N/A,#N/A,FALSE,"Plan2"}</definedName>
    <definedName name="jdbgftbhr" localSheetId="12" hidden="1">{#N/A,#N/A,FALSE,"Plan1";#N/A,#N/A,FALSE,"Plan2"}</definedName>
    <definedName name="jdbgftbhr" hidden="1">{#N/A,#N/A,FALSE,"Plan1";#N/A,#N/A,FALSE,"Plan2"}</definedName>
    <definedName name="jdfgkrhgft" localSheetId="8">#REF!</definedName>
    <definedName name="jdfgkrhgft" localSheetId="5" hidden="1">#REF!</definedName>
    <definedName name="jdfgkrhgft" localSheetId="9">#REF!</definedName>
    <definedName name="jdfgkrhgft" localSheetId="10" hidden="1">#REF!</definedName>
    <definedName name="jdfgkrhgft" localSheetId="1" hidden="1">#REF!</definedName>
    <definedName name="jdfgkrhgft" localSheetId="0">#REF!</definedName>
    <definedName name="jdfgkrhgft" localSheetId="11" hidden="1">#REF!</definedName>
    <definedName name="jdfgkrhgft" localSheetId="12" hidden="1">#REF!</definedName>
    <definedName name="jdfgkrhgft" hidden="1">#REF!</definedName>
    <definedName name="jdfgldfjgklh" localSheetId="3" hidden="1">{#N/A,#N/A,FALSE,"Plan1";#N/A,#N/A,FALSE,"Plan2"}</definedName>
    <definedName name="jdfgldfjgklh" localSheetId="8">{#N/A,#N/A,FALSE,"Plan1";#N/A,#N/A,FALSE,"Plan2"}</definedName>
    <definedName name="jdfgldfjgklh" localSheetId="5" hidden="1">{#N/A,#N/A,FALSE,"Plan1";#N/A,#N/A,FALSE,"Plan2"}</definedName>
    <definedName name="jdfgldfjgklh" localSheetId="4" hidden="1">{#N/A,#N/A,FALSE,"Plan1";#N/A,#N/A,FALSE,"Plan2"}</definedName>
    <definedName name="jdfgldfjgklh" localSheetId="9">{#N/A,#N/A,FALSE,"Plan1";#N/A,#N/A,FALSE,"Plan2"}</definedName>
    <definedName name="jdfgldfjgklh" localSheetId="10" hidden="1">{#N/A,#N/A,FALSE,"Plan1";#N/A,#N/A,FALSE,"Plan2"}</definedName>
    <definedName name="jdfgldfjgklh" localSheetId="1" hidden="1">{#N/A,#N/A,FALSE,"Plan1";#N/A,#N/A,FALSE,"Plan2"}</definedName>
    <definedName name="jdfgldfjgklh" localSheetId="0">{#N/A,#N/A,FALSE,"Plan1";#N/A,#N/A,FALSE,"Plan2"}</definedName>
    <definedName name="jdfgldfjgklh" localSheetId="11" hidden="1">{#N/A,#N/A,FALSE,"Plan1";#N/A,#N/A,FALSE,"Plan2"}</definedName>
    <definedName name="jdfgldfjgklh" localSheetId="12" hidden="1">{#N/A,#N/A,FALSE,"Plan1";#N/A,#N/A,FALSE,"Plan2"}</definedName>
    <definedName name="jdfgldfjgklh" hidden="1">{#N/A,#N/A,FALSE,"Plan1";#N/A,#N/A,FALSE,"Plan2"}</definedName>
    <definedName name="jdfhjkdrhjtkg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hjkdrhjtkg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dfjdtrgt" localSheetId="3" hidden="1">{#N/A,#N/A,FALSE,"Plan1";#N/A,#N/A,FALSE,"Plan2"}</definedName>
    <definedName name="jdfjdtrgt" localSheetId="8">{#N/A,#N/A,FALSE,"Plan1";#N/A,#N/A,FALSE,"Plan2"}</definedName>
    <definedName name="jdfjdtrgt" localSheetId="5" hidden="1">{#N/A,#N/A,FALSE,"Plan1";#N/A,#N/A,FALSE,"Plan2"}</definedName>
    <definedName name="jdfjdtrgt" localSheetId="4" hidden="1">{#N/A,#N/A,FALSE,"Plan1";#N/A,#N/A,FALSE,"Plan2"}</definedName>
    <definedName name="jdfjdtrgt" localSheetId="9">{#N/A,#N/A,FALSE,"Plan1";#N/A,#N/A,FALSE,"Plan2"}</definedName>
    <definedName name="jdfjdtrgt" localSheetId="10" hidden="1">{#N/A,#N/A,FALSE,"Plan1";#N/A,#N/A,FALSE,"Plan2"}</definedName>
    <definedName name="jdfjdtrgt" localSheetId="1" hidden="1">{#N/A,#N/A,FALSE,"Plan1";#N/A,#N/A,FALSE,"Plan2"}</definedName>
    <definedName name="jdfjdtrgt" localSheetId="0">{#N/A,#N/A,FALSE,"Plan1";#N/A,#N/A,FALSE,"Plan2"}</definedName>
    <definedName name="jdfjdtrgt" localSheetId="11" hidden="1">{#N/A,#N/A,FALSE,"Plan1";#N/A,#N/A,FALSE,"Plan2"}</definedName>
    <definedName name="jdfjdtrgt" localSheetId="12" hidden="1">{#N/A,#N/A,FALSE,"Plan1";#N/A,#N/A,FALSE,"Plan2"}</definedName>
    <definedName name="jdfjdtrgt" hidden="1">{#N/A,#N/A,FALSE,"Plan1";#N/A,#N/A,FALSE,"Plan2"}</definedName>
    <definedName name="JDFJLDJR" localSheetId="3" hidden="1">{#N/A,#N/A,FALSE,"Plan1";#N/A,#N/A,FALSE,"Plan2"}</definedName>
    <definedName name="JDFJLDJR" localSheetId="8">{#N/A,#N/A,FALSE,"Plan1";#N/A,#N/A,FALSE,"Plan2"}</definedName>
    <definedName name="JDFJLDJR" localSheetId="5" hidden="1">{#N/A,#N/A,FALSE,"Plan1";#N/A,#N/A,FALSE,"Plan2"}</definedName>
    <definedName name="JDFJLDJR" localSheetId="4" hidden="1">{#N/A,#N/A,FALSE,"Plan1";#N/A,#N/A,FALSE,"Plan2"}</definedName>
    <definedName name="JDFJLDJR" localSheetId="9">{#N/A,#N/A,FALSE,"Plan1";#N/A,#N/A,FALSE,"Plan2"}</definedName>
    <definedName name="JDFJLDJR" localSheetId="10" hidden="1">{#N/A,#N/A,FALSE,"Plan1";#N/A,#N/A,FALSE,"Plan2"}</definedName>
    <definedName name="JDFJLDJR" localSheetId="1" hidden="1">{#N/A,#N/A,FALSE,"Plan1";#N/A,#N/A,FALSE,"Plan2"}</definedName>
    <definedName name="JDFJLDJR" localSheetId="0">{#N/A,#N/A,FALSE,"Plan1";#N/A,#N/A,FALSE,"Plan2"}</definedName>
    <definedName name="JDFJLDJR" localSheetId="11" hidden="1">{#N/A,#N/A,FALSE,"Plan1";#N/A,#N/A,FALSE,"Plan2"}</definedName>
    <definedName name="JDFJLDJR" localSheetId="12" hidden="1">{#N/A,#N/A,FALSE,"Plan1";#N/A,#N/A,FALSE,"Plan2"}</definedName>
    <definedName name="JDFJLDJR" hidden="1">{#N/A,#N/A,FALSE,"Plan1";#N/A,#N/A,FALSE,"Plan2"}</definedName>
    <definedName name="jdfkgitfgdrtt" localSheetId="3" hidden="1">{#N/A,#N/A,FALSE,"Plan1";#N/A,#N/A,FALSE,"Plan2"}</definedName>
    <definedName name="jdfkgitfgdrtt" localSheetId="8">{#N/A,#N/A,FALSE,"Plan1";#N/A,#N/A,FALSE,"Plan2"}</definedName>
    <definedName name="jdfkgitfgdrtt" localSheetId="5" hidden="1">{#N/A,#N/A,FALSE,"Plan1";#N/A,#N/A,FALSE,"Plan2"}</definedName>
    <definedName name="jdfkgitfgdrtt" localSheetId="4" hidden="1">{#N/A,#N/A,FALSE,"Plan1";#N/A,#N/A,FALSE,"Plan2"}</definedName>
    <definedName name="jdfkgitfgdrtt" localSheetId="9">{#N/A,#N/A,FALSE,"Plan1";#N/A,#N/A,FALSE,"Plan2"}</definedName>
    <definedName name="jdfkgitfgdrtt" localSheetId="10" hidden="1">{#N/A,#N/A,FALSE,"Plan1";#N/A,#N/A,FALSE,"Plan2"}</definedName>
    <definedName name="jdfkgitfgdrtt" localSheetId="1" hidden="1">{#N/A,#N/A,FALSE,"Plan1";#N/A,#N/A,FALSE,"Plan2"}</definedName>
    <definedName name="jdfkgitfgdrtt" localSheetId="0">{#N/A,#N/A,FALSE,"Plan1";#N/A,#N/A,FALSE,"Plan2"}</definedName>
    <definedName name="jdfkgitfgdrtt" localSheetId="11" hidden="1">{#N/A,#N/A,FALSE,"Plan1";#N/A,#N/A,FALSE,"Plan2"}</definedName>
    <definedName name="jdfkgitfgdrtt" localSheetId="12" hidden="1">{#N/A,#N/A,FALSE,"Plan1";#N/A,#N/A,FALSE,"Plan2"}</definedName>
    <definedName name="jdfkgitfgdrtt" hidden="1">{#N/A,#N/A,FALSE,"Plan1";#N/A,#N/A,FALSE,"Plan2"}</definedName>
    <definedName name="JDFKHFKJ" localSheetId="3" hidden="1">{#N/A,#N/A,FALSE,"Plan1";#N/A,#N/A,FALSE,"Plan2"}</definedName>
    <definedName name="JDFKHFKJ" localSheetId="8">{#N/A,#N/A,FALSE,"Plan1";#N/A,#N/A,FALSE,"Plan2"}</definedName>
    <definedName name="JDFKHFKJ" localSheetId="5" hidden="1">{#N/A,#N/A,FALSE,"Plan1";#N/A,#N/A,FALSE,"Plan2"}</definedName>
    <definedName name="JDFKHFKJ" localSheetId="4" hidden="1">{#N/A,#N/A,FALSE,"Plan1";#N/A,#N/A,FALSE,"Plan2"}</definedName>
    <definedName name="JDFKHFKJ" localSheetId="9">{#N/A,#N/A,FALSE,"Plan1";#N/A,#N/A,FALSE,"Plan2"}</definedName>
    <definedName name="JDFKHFKJ" localSheetId="10" hidden="1">{#N/A,#N/A,FALSE,"Plan1";#N/A,#N/A,FALSE,"Plan2"}</definedName>
    <definedName name="JDFKHFKJ" localSheetId="1" hidden="1">{#N/A,#N/A,FALSE,"Plan1";#N/A,#N/A,FALSE,"Plan2"}</definedName>
    <definedName name="JDFKHFKJ" localSheetId="0">{#N/A,#N/A,FALSE,"Plan1";#N/A,#N/A,FALSE,"Plan2"}</definedName>
    <definedName name="JDFKHFKJ" localSheetId="11" hidden="1">{#N/A,#N/A,FALSE,"Plan1";#N/A,#N/A,FALSE,"Plan2"}</definedName>
    <definedName name="JDFKHFKJ" localSheetId="12" hidden="1">{#N/A,#N/A,FALSE,"Plan1";#N/A,#N/A,FALSE,"Plan2"}</definedName>
    <definedName name="JDFKHFKJ" hidden="1">{#N/A,#N/A,FALSE,"Plan1";#N/A,#N/A,FALSE,"Plan2"}</definedName>
    <definedName name="jdfklgtdtr" localSheetId="3" hidden="1">{#N/A,#N/A,FALSE,"Plan1";#N/A,#N/A,FALSE,"Plan2"}</definedName>
    <definedName name="jdfklgtdtr" localSheetId="8">{#N/A,#N/A,FALSE,"Plan1";#N/A,#N/A,FALSE,"Plan2"}</definedName>
    <definedName name="jdfklgtdtr" localSheetId="5" hidden="1">{#N/A,#N/A,FALSE,"Plan1";#N/A,#N/A,FALSE,"Plan2"}</definedName>
    <definedName name="jdfklgtdtr" localSheetId="4" hidden="1">{#N/A,#N/A,FALSE,"Plan1";#N/A,#N/A,FALSE,"Plan2"}</definedName>
    <definedName name="jdfklgtdtr" localSheetId="9">{#N/A,#N/A,FALSE,"Plan1";#N/A,#N/A,FALSE,"Plan2"}</definedName>
    <definedName name="jdfklgtdtr" localSheetId="10" hidden="1">{#N/A,#N/A,FALSE,"Plan1";#N/A,#N/A,FALSE,"Plan2"}</definedName>
    <definedName name="jdfklgtdtr" localSheetId="1" hidden="1">{#N/A,#N/A,FALSE,"Plan1";#N/A,#N/A,FALSE,"Plan2"}</definedName>
    <definedName name="jdfklgtdtr" localSheetId="0">{#N/A,#N/A,FALSE,"Plan1";#N/A,#N/A,FALSE,"Plan2"}</definedName>
    <definedName name="jdfklgtdtr" localSheetId="11" hidden="1">{#N/A,#N/A,FALSE,"Plan1";#N/A,#N/A,FALSE,"Plan2"}</definedName>
    <definedName name="jdfklgtdtr" localSheetId="12" hidden="1">{#N/A,#N/A,FALSE,"Plan1";#N/A,#N/A,FALSE,"Plan2"}</definedName>
    <definedName name="jdfklgtdtr" hidden="1">{#N/A,#N/A,FALSE,"Plan1";#N/A,#N/A,FALSE,"Plan2"}</definedName>
    <definedName name="JDFKTHRT" localSheetId="3" hidden="1">{#N/A,#N/A,FALSE,"Plan1";#N/A,#N/A,FALSE,"Plan2"}</definedName>
    <definedName name="JDFKTHRT" localSheetId="8">{#N/A,#N/A,FALSE,"Plan1";#N/A,#N/A,FALSE,"Plan2"}</definedName>
    <definedName name="JDFKTHRT" localSheetId="5" hidden="1">{#N/A,#N/A,FALSE,"Plan1";#N/A,#N/A,FALSE,"Plan2"}</definedName>
    <definedName name="JDFKTHRT" localSheetId="4" hidden="1">{#N/A,#N/A,FALSE,"Plan1";#N/A,#N/A,FALSE,"Plan2"}</definedName>
    <definedName name="JDFKTHRT" localSheetId="9">{#N/A,#N/A,FALSE,"Plan1";#N/A,#N/A,FALSE,"Plan2"}</definedName>
    <definedName name="JDFKTHRT" localSheetId="10" hidden="1">{#N/A,#N/A,FALSE,"Plan1";#N/A,#N/A,FALSE,"Plan2"}</definedName>
    <definedName name="JDFKTHRT" localSheetId="1" hidden="1">{#N/A,#N/A,FALSE,"Plan1";#N/A,#N/A,FALSE,"Plan2"}</definedName>
    <definedName name="JDFKTHRT" localSheetId="0">{#N/A,#N/A,FALSE,"Plan1";#N/A,#N/A,FALSE,"Plan2"}</definedName>
    <definedName name="JDFKTHRT" localSheetId="11" hidden="1">{#N/A,#N/A,FALSE,"Plan1";#N/A,#N/A,FALSE,"Plan2"}</definedName>
    <definedName name="JDFKTHRT" localSheetId="12" hidden="1">{#N/A,#N/A,FALSE,"Plan1";#N/A,#N/A,FALSE,"Plan2"}</definedName>
    <definedName name="JDFKTHRT" hidden="1">{#N/A,#N/A,FALSE,"Plan1";#N/A,#N/A,FALSE,"Plan2"}</definedName>
    <definedName name="JDFLKJDRF" localSheetId="3" hidden="1">{#N/A,#N/A,FALSE,"Plan1";#N/A,#N/A,FALSE,"Plan2"}</definedName>
    <definedName name="JDFLKJDRF" localSheetId="8">{#N/A,#N/A,FALSE,"Plan1";#N/A,#N/A,FALSE,"Plan2"}</definedName>
    <definedName name="JDFLKJDRF" localSheetId="5" hidden="1">{#N/A,#N/A,FALSE,"Plan1";#N/A,#N/A,FALSE,"Plan2"}</definedName>
    <definedName name="JDFLKJDRF" localSheetId="4" hidden="1">{#N/A,#N/A,FALSE,"Plan1";#N/A,#N/A,FALSE,"Plan2"}</definedName>
    <definedName name="JDFLKJDRF" localSheetId="9">{#N/A,#N/A,FALSE,"Plan1";#N/A,#N/A,FALSE,"Plan2"}</definedName>
    <definedName name="JDFLKJDRF" localSheetId="10" hidden="1">{#N/A,#N/A,FALSE,"Plan1";#N/A,#N/A,FALSE,"Plan2"}</definedName>
    <definedName name="JDFLKJDRF" localSheetId="1" hidden="1">{#N/A,#N/A,FALSE,"Plan1";#N/A,#N/A,FALSE,"Plan2"}</definedName>
    <definedName name="JDFLKJDRF" localSheetId="0">{#N/A,#N/A,FALSE,"Plan1";#N/A,#N/A,FALSE,"Plan2"}</definedName>
    <definedName name="JDFLKJDRF" localSheetId="11" hidden="1">{#N/A,#N/A,FALSE,"Plan1";#N/A,#N/A,FALSE,"Plan2"}</definedName>
    <definedName name="JDFLKJDRF" localSheetId="12" hidden="1">{#N/A,#N/A,FALSE,"Plan1";#N/A,#N/A,FALSE,"Plan2"}</definedName>
    <definedName name="JDFLKJDRF" hidden="1">{#N/A,#N/A,FALSE,"Plan1";#N/A,#N/A,FALSE,"Plan2"}</definedName>
    <definedName name="jdfzlkjgfdht" localSheetId="3" hidden="1">{#N/A,#N/A,FALSE,"Plan1";#N/A,#N/A,FALSE,"Plan2"}</definedName>
    <definedName name="jdfzlkjgfdht" localSheetId="8">{#N/A,#N/A,FALSE,"Plan1";#N/A,#N/A,FALSE,"Plan2"}</definedName>
    <definedName name="jdfzlkjgfdht" localSheetId="5" hidden="1">{#N/A,#N/A,FALSE,"Plan1";#N/A,#N/A,FALSE,"Plan2"}</definedName>
    <definedName name="jdfzlkjgfdht" localSheetId="4" hidden="1">{#N/A,#N/A,FALSE,"Plan1";#N/A,#N/A,FALSE,"Plan2"}</definedName>
    <definedName name="jdfzlkjgfdht" localSheetId="9">{#N/A,#N/A,FALSE,"Plan1";#N/A,#N/A,FALSE,"Plan2"}</definedName>
    <definedName name="jdfzlkjgfdht" localSheetId="10" hidden="1">{#N/A,#N/A,FALSE,"Plan1";#N/A,#N/A,FALSE,"Plan2"}</definedName>
    <definedName name="jdfzlkjgfdht" localSheetId="1" hidden="1">{#N/A,#N/A,FALSE,"Plan1";#N/A,#N/A,FALSE,"Plan2"}</definedName>
    <definedName name="jdfzlkjgfdht" localSheetId="0">{#N/A,#N/A,FALSE,"Plan1";#N/A,#N/A,FALSE,"Plan2"}</definedName>
    <definedName name="jdfzlkjgfdht" localSheetId="11" hidden="1">{#N/A,#N/A,FALSE,"Plan1";#N/A,#N/A,FALSE,"Plan2"}</definedName>
    <definedName name="jdfzlkjgfdht" localSheetId="12" hidden="1">{#N/A,#N/A,FALSE,"Plan1";#N/A,#N/A,FALSE,"Plan2"}</definedName>
    <definedName name="jdfzlkjgfdht" hidden="1">{#N/A,#N/A,FALSE,"Plan1";#N/A,#N/A,FALSE,"Plan2"}</definedName>
    <definedName name="jdglhfghkt" localSheetId="3" hidden="1">{#N/A,#N/A,FALSE,"Plan1";#N/A,#N/A,FALSE,"Plan2"}</definedName>
    <definedName name="jdglhfghkt" localSheetId="8">{#N/A,#N/A,FALSE,"Plan1";#N/A,#N/A,FALSE,"Plan2"}</definedName>
    <definedName name="jdglhfghkt" localSheetId="5" hidden="1">{#N/A,#N/A,FALSE,"Plan1";#N/A,#N/A,FALSE,"Plan2"}</definedName>
    <definedName name="jdglhfghkt" localSheetId="4" hidden="1">{#N/A,#N/A,FALSE,"Plan1";#N/A,#N/A,FALSE,"Plan2"}</definedName>
    <definedName name="jdglhfghkt" localSheetId="9">{#N/A,#N/A,FALSE,"Plan1";#N/A,#N/A,FALSE,"Plan2"}</definedName>
    <definedName name="jdglhfghkt" localSheetId="10" hidden="1">{#N/A,#N/A,FALSE,"Plan1";#N/A,#N/A,FALSE,"Plan2"}</definedName>
    <definedName name="jdglhfghkt" localSheetId="1" hidden="1">{#N/A,#N/A,FALSE,"Plan1";#N/A,#N/A,FALSE,"Plan2"}</definedName>
    <definedName name="jdglhfghkt" localSheetId="0">{#N/A,#N/A,FALSE,"Plan1";#N/A,#N/A,FALSE,"Plan2"}</definedName>
    <definedName name="jdglhfghkt" localSheetId="11" hidden="1">{#N/A,#N/A,FALSE,"Plan1";#N/A,#N/A,FALSE,"Plan2"}</definedName>
    <definedName name="jdglhfghkt" localSheetId="12" hidden="1">{#N/A,#N/A,FALSE,"Plan1";#N/A,#N/A,FALSE,"Plan2"}</definedName>
    <definedName name="jdglhfghkt" hidden="1">{#N/A,#N/A,FALSE,"Plan1";#N/A,#N/A,FALSE,"Plan2"}</definedName>
    <definedName name="jdhfjdhgfd" localSheetId="3" hidden="1">{#N/A,#N/A,FALSE,"Plan1";#N/A,#N/A,FALSE,"Plan2"}</definedName>
    <definedName name="jdhfjdhgfd" localSheetId="8">{#N/A,#N/A,FALSE,"Plan1";#N/A,#N/A,FALSE,"Plan2"}</definedName>
    <definedName name="jdhfjdhgfd" localSheetId="5" hidden="1">{#N/A,#N/A,FALSE,"Plan1";#N/A,#N/A,FALSE,"Plan2"}</definedName>
    <definedName name="jdhfjdhgfd" localSheetId="4" hidden="1">{#N/A,#N/A,FALSE,"Plan1";#N/A,#N/A,FALSE,"Plan2"}</definedName>
    <definedName name="jdhfjdhgfd" localSheetId="9">{#N/A,#N/A,FALSE,"Plan1";#N/A,#N/A,FALSE,"Plan2"}</definedName>
    <definedName name="jdhfjdhgfd" localSheetId="10" hidden="1">{#N/A,#N/A,FALSE,"Plan1";#N/A,#N/A,FALSE,"Plan2"}</definedName>
    <definedName name="jdhfjdhgfd" localSheetId="1" hidden="1">{#N/A,#N/A,FALSE,"Plan1";#N/A,#N/A,FALSE,"Plan2"}</definedName>
    <definedName name="jdhfjdhgfd" localSheetId="0">{#N/A,#N/A,FALSE,"Plan1";#N/A,#N/A,FALSE,"Plan2"}</definedName>
    <definedName name="jdhfjdhgfd" localSheetId="11" hidden="1">{#N/A,#N/A,FALSE,"Plan1";#N/A,#N/A,FALSE,"Plan2"}</definedName>
    <definedName name="jdhfjdhgfd" localSheetId="12" hidden="1">{#N/A,#N/A,FALSE,"Plan1";#N/A,#N/A,FALSE,"Plan2"}</definedName>
    <definedName name="jdhfjdhgfd" hidden="1">{#N/A,#N/A,FALSE,"Plan1";#N/A,#N/A,FALSE,"Plan2"}</definedName>
    <definedName name="jdjdjdjd" localSheetId="3" hidden="1">{#N/A,#N/A,FALSE,"명세표"}</definedName>
    <definedName name="jdjdjdjd" localSheetId="8">{#N/A,#N/A,FALSE,"명세표"}</definedName>
    <definedName name="jdjdjdjd" localSheetId="5" hidden="1">{#N/A,#N/A,FALSE,"명세표"}</definedName>
    <definedName name="jdjdjdjd" localSheetId="4" hidden="1">{#N/A,#N/A,FALSE,"명세표"}</definedName>
    <definedName name="jdjdjdjd" localSheetId="9">{#N/A,#N/A,FALSE,"명세표"}</definedName>
    <definedName name="jdjdjdjd" localSheetId="10" hidden="1">{#N/A,#N/A,FALSE,"명세표"}</definedName>
    <definedName name="jdjdjdjd" localSheetId="1" hidden="1">{#N/A,#N/A,FALSE,"명세표"}</definedName>
    <definedName name="jdjdjdjd" localSheetId="0">{#N/A,#N/A,FALSE,"명세표"}</definedName>
    <definedName name="jdjdjdjd" localSheetId="11" hidden="1">{#N/A,#N/A,FALSE,"명세표"}</definedName>
    <definedName name="jdjdjdjd" localSheetId="12" hidden="1">{#N/A,#N/A,FALSE,"명세표"}</definedName>
    <definedName name="jdjdjdjd" hidden="1">{#N/A,#N/A,FALSE,"명세표"}</definedName>
    <definedName name="jdkfhgjhf" localSheetId="3" hidden="1">{#N/A,#N/A,FALSE,"Plan1";#N/A,#N/A,FALSE,"Plan2"}</definedName>
    <definedName name="jdkfhgjhf" localSheetId="8">{#N/A,#N/A,FALSE,"Plan1";#N/A,#N/A,FALSE,"Plan2"}</definedName>
    <definedName name="jdkfhgjhf" localSheetId="5" hidden="1">{#N/A,#N/A,FALSE,"Plan1";#N/A,#N/A,FALSE,"Plan2"}</definedName>
    <definedName name="jdkfhgjhf" localSheetId="4" hidden="1">{#N/A,#N/A,FALSE,"Plan1";#N/A,#N/A,FALSE,"Plan2"}</definedName>
    <definedName name="jdkfhgjhf" localSheetId="9">{#N/A,#N/A,FALSE,"Plan1";#N/A,#N/A,FALSE,"Plan2"}</definedName>
    <definedName name="jdkfhgjhf" localSheetId="10" hidden="1">{#N/A,#N/A,FALSE,"Plan1";#N/A,#N/A,FALSE,"Plan2"}</definedName>
    <definedName name="jdkfhgjhf" localSheetId="1" hidden="1">{#N/A,#N/A,FALSE,"Plan1";#N/A,#N/A,FALSE,"Plan2"}</definedName>
    <definedName name="jdkfhgjhf" localSheetId="0">{#N/A,#N/A,FALSE,"Plan1";#N/A,#N/A,FALSE,"Plan2"}</definedName>
    <definedName name="jdkfhgjhf" localSheetId="11" hidden="1">{#N/A,#N/A,FALSE,"Plan1";#N/A,#N/A,FALSE,"Plan2"}</definedName>
    <definedName name="jdkfhgjhf" localSheetId="12" hidden="1">{#N/A,#N/A,FALSE,"Plan1";#N/A,#N/A,FALSE,"Plan2"}</definedName>
    <definedName name="jdkfhgjhf" hidden="1">{#N/A,#N/A,FALSE,"Plan1";#N/A,#N/A,FALSE,"Plan2"}</definedName>
    <definedName name="jdkfjdtr" localSheetId="3" hidden="1">{#N/A,#N/A,FALSE,"Plan1";#N/A,#N/A,FALSE,"Plan2"}</definedName>
    <definedName name="jdkfjdtr" localSheetId="8">{#N/A,#N/A,FALSE,"Plan1";#N/A,#N/A,FALSE,"Plan2"}</definedName>
    <definedName name="jdkfjdtr" localSheetId="5" hidden="1">{#N/A,#N/A,FALSE,"Plan1";#N/A,#N/A,FALSE,"Plan2"}</definedName>
    <definedName name="jdkfjdtr" localSheetId="4" hidden="1">{#N/A,#N/A,FALSE,"Plan1";#N/A,#N/A,FALSE,"Plan2"}</definedName>
    <definedName name="jdkfjdtr" localSheetId="9">{#N/A,#N/A,FALSE,"Plan1";#N/A,#N/A,FALSE,"Plan2"}</definedName>
    <definedName name="jdkfjdtr" localSheetId="10" hidden="1">{#N/A,#N/A,FALSE,"Plan1";#N/A,#N/A,FALSE,"Plan2"}</definedName>
    <definedName name="jdkfjdtr" localSheetId="1" hidden="1">{#N/A,#N/A,FALSE,"Plan1";#N/A,#N/A,FALSE,"Plan2"}</definedName>
    <definedName name="jdkfjdtr" localSheetId="0">{#N/A,#N/A,FALSE,"Plan1";#N/A,#N/A,FALSE,"Plan2"}</definedName>
    <definedName name="jdkfjdtr" localSheetId="11" hidden="1">{#N/A,#N/A,FALSE,"Plan1";#N/A,#N/A,FALSE,"Plan2"}</definedName>
    <definedName name="jdkfjdtr" localSheetId="12" hidden="1">{#N/A,#N/A,FALSE,"Plan1";#N/A,#N/A,FALSE,"Plan2"}</definedName>
    <definedName name="jdkfjdtr" hidden="1">{#N/A,#N/A,FALSE,"Plan1";#N/A,#N/A,FALSE,"Plan2"}</definedName>
    <definedName name="jdljgftldjti5r" localSheetId="3" hidden="1">{#N/A,#N/A,FALSE,"Plan1";#N/A,#N/A,FALSE,"Plan2"}</definedName>
    <definedName name="jdljgftldjti5r" localSheetId="8">{#N/A,#N/A,FALSE,"Plan1";#N/A,#N/A,FALSE,"Plan2"}</definedName>
    <definedName name="jdljgftldjti5r" localSheetId="5" hidden="1">{#N/A,#N/A,FALSE,"Plan1";#N/A,#N/A,FALSE,"Plan2"}</definedName>
    <definedName name="jdljgftldjti5r" localSheetId="4" hidden="1">{#N/A,#N/A,FALSE,"Plan1";#N/A,#N/A,FALSE,"Plan2"}</definedName>
    <definedName name="jdljgftldjti5r" localSheetId="9">{#N/A,#N/A,FALSE,"Plan1";#N/A,#N/A,FALSE,"Plan2"}</definedName>
    <definedName name="jdljgftldjti5r" localSheetId="10" hidden="1">{#N/A,#N/A,FALSE,"Plan1";#N/A,#N/A,FALSE,"Plan2"}</definedName>
    <definedName name="jdljgftldjti5r" localSheetId="1" hidden="1">{#N/A,#N/A,FALSE,"Plan1";#N/A,#N/A,FALSE,"Plan2"}</definedName>
    <definedName name="jdljgftldjti5r" localSheetId="0">{#N/A,#N/A,FALSE,"Plan1";#N/A,#N/A,FALSE,"Plan2"}</definedName>
    <definedName name="jdljgftldjti5r" localSheetId="11" hidden="1">{#N/A,#N/A,FALSE,"Plan1";#N/A,#N/A,FALSE,"Plan2"}</definedName>
    <definedName name="jdljgftldjti5r" localSheetId="12" hidden="1">{#N/A,#N/A,FALSE,"Plan1";#N/A,#N/A,FALSE,"Plan2"}</definedName>
    <definedName name="jdljgftldjti5r" hidden="1">{#N/A,#N/A,FALSE,"Plan1";#N/A,#N/A,FALSE,"Plan2"}</definedName>
    <definedName name="JDLKJDASGF" localSheetId="3" hidden="1">{#N/A,#N/A,FALSE,"Plan1";#N/A,#N/A,FALSE,"Plan2"}</definedName>
    <definedName name="JDLKJDASGF" localSheetId="8">{#N/A,#N/A,FALSE,"Plan1";#N/A,#N/A,FALSE,"Plan2"}</definedName>
    <definedName name="JDLKJDASGF" localSheetId="5" hidden="1">{#N/A,#N/A,FALSE,"Plan1";#N/A,#N/A,FALSE,"Plan2"}</definedName>
    <definedName name="JDLKJDASGF" localSheetId="4" hidden="1">{#N/A,#N/A,FALSE,"Plan1";#N/A,#N/A,FALSE,"Plan2"}</definedName>
    <definedName name="JDLKJDASGF" localSheetId="9">{#N/A,#N/A,FALSE,"Plan1";#N/A,#N/A,FALSE,"Plan2"}</definedName>
    <definedName name="JDLKJDASGF" localSheetId="10" hidden="1">{#N/A,#N/A,FALSE,"Plan1";#N/A,#N/A,FALSE,"Plan2"}</definedName>
    <definedName name="JDLKJDASGF" localSheetId="1" hidden="1">{#N/A,#N/A,FALSE,"Plan1";#N/A,#N/A,FALSE,"Plan2"}</definedName>
    <definedName name="JDLKJDASGF" localSheetId="0">{#N/A,#N/A,FALSE,"Plan1";#N/A,#N/A,FALSE,"Plan2"}</definedName>
    <definedName name="JDLKJDASGF" localSheetId="11" hidden="1">{#N/A,#N/A,FALSE,"Plan1";#N/A,#N/A,FALSE,"Plan2"}</definedName>
    <definedName name="JDLKJDASGF" localSheetId="12" hidden="1">{#N/A,#N/A,FALSE,"Plan1";#N/A,#N/A,FALSE,"Plan2"}</definedName>
    <definedName name="JDLKJDASGF" hidden="1">{#N/A,#N/A,FALSE,"Plan1";#N/A,#N/A,FALSE,"Plan2"}</definedName>
    <definedName name="jdrfkdjfghrtfjg" localSheetId="3" hidden="1">{#N/A,#N/A,FALSE,"Plan1";#N/A,#N/A,FALSE,"Plan2"}</definedName>
    <definedName name="jdrfkdjfghrtfjg" localSheetId="8">{#N/A,#N/A,FALSE,"Plan1";#N/A,#N/A,FALSE,"Plan2"}</definedName>
    <definedName name="jdrfkdjfghrtfjg" localSheetId="5" hidden="1">{#N/A,#N/A,FALSE,"Plan1";#N/A,#N/A,FALSE,"Plan2"}</definedName>
    <definedName name="jdrfkdjfghrtfjg" localSheetId="4" hidden="1">{#N/A,#N/A,FALSE,"Plan1";#N/A,#N/A,FALSE,"Plan2"}</definedName>
    <definedName name="jdrfkdjfghrtfjg" localSheetId="9">{#N/A,#N/A,FALSE,"Plan1";#N/A,#N/A,FALSE,"Plan2"}</definedName>
    <definedName name="jdrfkdjfghrtfjg" localSheetId="10" hidden="1">{#N/A,#N/A,FALSE,"Plan1";#N/A,#N/A,FALSE,"Plan2"}</definedName>
    <definedName name="jdrfkdjfghrtfjg" localSheetId="1" hidden="1">{#N/A,#N/A,FALSE,"Plan1";#N/A,#N/A,FALSE,"Plan2"}</definedName>
    <definedName name="jdrfkdjfghrtfjg" localSheetId="0">{#N/A,#N/A,FALSE,"Plan1";#N/A,#N/A,FALSE,"Plan2"}</definedName>
    <definedName name="jdrfkdjfghrtfjg" localSheetId="11" hidden="1">{#N/A,#N/A,FALSE,"Plan1";#N/A,#N/A,FALSE,"Plan2"}</definedName>
    <definedName name="jdrfkdjfghrtfjg" localSheetId="12" hidden="1">{#N/A,#N/A,FALSE,"Plan1";#N/A,#N/A,FALSE,"Plan2"}</definedName>
    <definedName name="jdrfkdjfghrtfjg" hidden="1">{#N/A,#N/A,FALSE,"Plan1";#N/A,#N/A,FALSE,"Plan2"}</definedName>
    <definedName name="jdskfhdk" localSheetId="3" hidden="1">{#N/A,#N/A,FALSE,"Plan1";#N/A,#N/A,FALSE,"Plan2"}</definedName>
    <definedName name="jdskfhdk" localSheetId="8">{#N/A,#N/A,FALSE,"Plan1";#N/A,#N/A,FALSE,"Plan2"}</definedName>
    <definedName name="jdskfhdk" localSheetId="5" hidden="1">{#N/A,#N/A,FALSE,"Plan1";#N/A,#N/A,FALSE,"Plan2"}</definedName>
    <definedName name="jdskfhdk" localSheetId="4" hidden="1">{#N/A,#N/A,FALSE,"Plan1";#N/A,#N/A,FALSE,"Plan2"}</definedName>
    <definedName name="jdskfhdk" localSheetId="9">{#N/A,#N/A,FALSE,"Plan1";#N/A,#N/A,FALSE,"Plan2"}</definedName>
    <definedName name="jdskfhdk" localSheetId="10" hidden="1">{#N/A,#N/A,FALSE,"Plan1";#N/A,#N/A,FALSE,"Plan2"}</definedName>
    <definedName name="jdskfhdk" localSheetId="1" hidden="1">{#N/A,#N/A,FALSE,"Plan1";#N/A,#N/A,FALSE,"Plan2"}</definedName>
    <definedName name="jdskfhdk" localSheetId="0">{#N/A,#N/A,FALSE,"Plan1";#N/A,#N/A,FALSE,"Plan2"}</definedName>
    <definedName name="jdskfhdk" localSheetId="11" hidden="1">{#N/A,#N/A,FALSE,"Plan1";#N/A,#N/A,FALSE,"Plan2"}</definedName>
    <definedName name="jdskfhdk" localSheetId="12" hidden="1">{#N/A,#N/A,FALSE,"Plan1";#N/A,#N/A,FALSE,"Plan2"}</definedName>
    <definedName name="jdskfhdk" hidden="1">{#N/A,#N/A,FALSE,"Plan1";#N/A,#N/A,FALSE,"Plan2"}</definedName>
    <definedName name="JDSKLGKDRHGGF" localSheetId="3" hidden="1">{#N/A,#N/A,FALSE,"Plan1";#N/A,#N/A,FALSE,"Plan2"}</definedName>
    <definedName name="JDSKLGKDRHGGF" localSheetId="8">{#N/A,#N/A,FALSE,"Plan1";#N/A,#N/A,FALSE,"Plan2"}</definedName>
    <definedName name="JDSKLGKDRHGGF" localSheetId="5" hidden="1">{#N/A,#N/A,FALSE,"Plan1";#N/A,#N/A,FALSE,"Plan2"}</definedName>
    <definedName name="JDSKLGKDRHGGF" localSheetId="4" hidden="1">{#N/A,#N/A,FALSE,"Plan1";#N/A,#N/A,FALSE,"Plan2"}</definedName>
    <definedName name="JDSKLGKDRHGGF" localSheetId="9">{#N/A,#N/A,FALSE,"Plan1";#N/A,#N/A,FALSE,"Plan2"}</definedName>
    <definedName name="JDSKLGKDRHGGF" localSheetId="10" hidden="1">{#N/A,#N/A,FALSE,"Plan1";#N/A,#N/A,FALSE,"Plan2"}</definedName>
    <definedName name="JDSKLGKDRHGGF" localSheetId="1" hidden="1">{#N/A,#N/A,FALSE,"Plan1";#N/A,#N/A,FALSE,"Plan2"}</definedName>
    <definedName name="JDSKLGKDRHGGF" localSheetId="0">{#N/A,#N/A,FALSE,"Plan1";#N/A,#N/A,FALSE,"Plan2"}</definedName>
    <definedName name="JDSKLGKDRHGGF" localSheetId="11" hidden="1">{#N/A,#N/A,FALSE,"Plan1";#N/A,#N/A,FALSE,"Plan2"}</definedName>
    <definedName name="JDSKLGKDRHGGF" localSheetId="12" hidden="1">{#N/A,#N/A,FALSE,"Plan1";#N/A,#N/A,FALSE,"Plan2"}</definedName>
    <definedName name="JDSKLGKDRHGGF" hidden="1">{#N/A,#N/A,FALSE,"Plan1";#N/A,#N/A,FALSE,"Plan2"}</definedName>
    <definedName name="jefsgfr" localSheetId="3" hidden="1">{#N/A,#N/A,FALSE,"Plan1";#N/A,#N/A,FALSE,"Plan2"}</definedName>
    <definedName name="jefsgfr" localSheetId="8">{#N/A,#N/A,FALSE,"Plan1";#N/A,#N/A,FALSE,"Plan2"}</definedName>
    <definedName name="jefsgfr" localSheetId="5" hidden="1">{#N/A,#N/A,FALSE,"Plan1";#N/A,#N/A,FALSE,"Plan2"}</definedName>
    <definedName name="jefsgfr" localSheetId="4" hidden="1">{#N/A,#N/A,FALSE,"Plan1";#N/A,#N/A,FALSE,"Plan2"}</definedName>
    <definedName name="jefsgfr" localSheetId="9">{#N/A,#N/A,FALSE,"Plan1";#N/A,#N/A,FALSE,"Plan2"}</definedName>
    <definedName name="jefsgfr" localSheetId="10" hidden="1">{#N/A,#N/A,FALSE,"Plan1";#N/A,#N/A,FALSE,"Plan2"}</definedName>
    <definedName name="jefsgfr" localSheetId="1" hidden="1">{#N/A,#N/A,FALSE,"Plan1";#N/A,#N/A,FALSE,"Plan2"}</definedName>
    <definedName name="jefsgfr" localSheetId="0">{#N/A,#N/A,FALSE,"Plan1";#N/A,#N/A,FALSE,"Plan2"}</definedName>
    <definedName name="jefsgfr" localSheetId="11" hidden="1">{#N/A,#N/A,FALSE,"Plan1";#N/A,#N/A,FALSE,"Plan2"}</definedName>
    <definedName name="jefsgfr" localSheetId="12" hidden="1">{#N/A,#N/A,FALSE,"Plan1";#N/A,#N/A,FALSE,"Plan2"}</definedName>
    <definedName name="jefsgfr" hidden="1">{#N/A,#N/A,FALSE,"Plan1";#N/A,#N/A,FALSE,"Plan2"}</definedName>
    <definedName name="JERHIEHYURE" localSheetId="3" hidden="1">{#N/A,#N/A,FALSE,"Plan1";#N/A,#N/A,FALSE,"Plan2"}</definedName>
    <definedName name="JERHIEHYURE" localSheetId="8">{#N/A,#N/A,FALSE,"Plan1";#N/A,#N/A,FALSE,"Plan2"}</definedName>
    <definedName name="JERHIEHYURE" localSheetId="5" hidden="1">{#N/A,#N/A,FALSE,"Plan1";#N/A,#N/A,FALSE,"Plan2"}</definedName>
    <definedName name="JERHIEHYURE" localSheetId="4" hidden="1">{#N/A,#N/A,FALSE,"Plan1";#N/A,#N/A,FALSE,"Plan2"}</definedName>
    <definedName name="JERHIEHYURE" localSheetId="9">{#N/A,#N/A,FALSE,"Plan1";#N/A,#N/A,FALSE,"Plan2"}</definedName>
    <definedName name="JERHIEHYURE" localSheetId="10" hidden="1">{#N/A,#N/A,FALSE,"Plan1";#N/A,#N/A,FALSE,"Plan2"}</definedName>
    <definedName name="JERHIEHYURE" localSheetId="1" hidden="1">{#N/A,#N/A,FALSE,"Plan1";#N/A,#N/A,FALSE,"Plan2"}</definedName>
    <definedName name="JERHIEHYURE" localSheetId="0">{#N/A,#N/A,FALSE,"Plan1";#N/A,#N/A,FALSE,"Plan2"}</definedName>
    <definedName name="JERHIEHYURE" localSheetId="11" hidden="1">{#N/A,#N/A,FALSE,"Plan1";#N/A,#N/A,FALSE,"Plan2"}</definedName>
    <definedName name="JERHIEHYURE" localSheetId="12" hidden="1">{#N/A,#N/A,FALSE,"Plan1";#N/A,#N/A,FALSE,"Plan2"}</definedName>
    <definedName name="JERHIEHYURE" hidden="1">{#N/A,#N/A,FALSE,"Plan1";#N/A,#N/A,FALSE,"Plan2"}</definedName>
    <definedName name="jfddlsrtyty" localSheetId="3" hidden="1">{#N/A,#N/A,FALSE,"Plan1";#N/A,#N/A,FALSE,"Plan2"}</definedName>
    <definedName name="jfddlsrtyty" localSheetId="8">{#N/A,#N/A,FALSE,"Plan1";#N/A,#N/A,FALSE,"Plan2"}</definedName>
    <definedName name="jfddlsrtyty" localSheetId="5" hidden="1">{#N/A,#N/A,FALSE,"Plan1";#N/A,#N/A,FALSE,"Plan2"}</definedName>
    <definedName name="jfddlsrtyty" localSheetId="4" hidden="1">{#N/A,#N/A,FALSE,"Plan1";#N/A,#N/A,FALSE,"Plan2"}</definedName>
    <definedName name="jfddlsrtyty" localSheetId="9">{#N/A,#N/A,FALSE,"Plan1";#N/A,#N/A,FALSE,"Plan2"}</definedName>
    <definedName name="jfddlsrtyty" localSheetId="10" hidden="1">{#N/A,#N/A,FALSE,"Plan1";#N/A,#N/A,FALSE,"Plan2"}</definedName>
    <definedName name="jfddlsrtyty" localSheetId="1" hidden="1">{#N/A,#N/A,FALSE,"Plan1";#N/A,#N/A,FALSE,"Plan2"}</definedName>
    <definedName name="jfddlsrtyty" localSheetId="0">{#N/A,#N/A,FALSE,"Plan1";#N/A,#N/A,FALSE,"Plan2"}</definedName>
    <definedName name="jfddlsrtyty" localSheetId="11" hidden="1">{#N/A,#N/A,FALSE,"Plan1";#N/A,#N/A,FALSE,"Plan2"}</definedName>
    <definedName name="jfddlsrtyty" localSheetId="12" hidden="1">{#N/A,#N/A,FALSE,"Plan1";#N/A,#N/A,FALSE,"Plan2"}</definedName>
    <definedName name="jfddlsrtyty" hidden="1">{#N/A,#N/A,FALSE,"Plan1";#N/A,#N/A,FALSE,"Plan2"}</definedName>
    <definedName name="jfdjtgdjghitfyh" localSheetId="3" hidden="1">{#N/A,#N/A,FALSE,"Plan1";#N/A,#N/A,FALSE,"Plan2"}</definedName>
    <definedName name="jfdjtgdjghitfyh" localSheetId="8">{#N/A,#N/A,FALSE,"Plan1";#N/A,#N/A,FALSE,"Plan2"}</definedName>
    <definedName name="jfdjtgdjghitfyh" localSheetId="5" hidden="1">{#N/A,#N/A,FALSE,"Plan1";#N/A,#N/A,FALSE,"Plan2"}</definedName>
    <definedName name="jfdjtgdjghitfyh" localSheetId="4" hidden="1">{#N/A,#N/A,FALSE,"Plan1";#N/A,#N/A,FALSE,"Plan2"}</definedName>
    <definedName name="jfdjtgdjghitfyh" localSheetId="9">{#N/A,#N/A,FALSE,"Plan1";#N/A,#N/A,FALSE,"Plan2"}</definedName>
    <definedName name="jfdjtgdjghitfyh" localSheetId="10" hidden="1">{#N/A,#N/A,FALSE,"Plan1";#N/A,#N/A,FALSE,"Plan2"}</definedName>
    <definedName name="jfdjtgdjghitfyh" localSheetId="1" hidden="1">{#N/A,#N/A,FALSE,"Plan1";#N/A,#N/A,FALSE,"Plan2"}</definedName>
    <definedName name="jfdjtgdjghitfyh" localSheetId="0">{#N/A,#N/A,FALSE,"Plan1";#N/A,#N/A,FALSE,"Plan2"}</definedName>
    <definedName name="jfdjtgdjghitfyh" localSheetId="11" hidden="1">{#N/A,#N/A,FALSE,"Plan1";#N/A,#N/A,FALSE,"Plan2"}</definedName>
    <definedName name="jfdjtgdjghitfyh" localSheetId="12" hidden="1">{#N/A,#N/A,FALSE,"Plan1";#N/A,#N/A,FALSE,"Plan2"}</definedName>
    <definedName name="jfdjtgdjghitfyh" hidden="1">{#N/A,#N/A,FALSE,"Plan1";#N/A,#N/A,FALSE,"Plan2"}</definedName>
    <definedName name="jfdkgkftftg" localSheetId="3" hidden="1">{#N/A,#N/A,FALSE,"Plan1";#N/A,#N/A,FALSE,"Plan2"}</definedName>
    <definedName name="jfdkgkftftg" localSheetId="8">{#N/A,#N/A,FALSE,"Plan1";#N/A,#N/A,FALSE,"Plan2"}</definedName>
    <definedName name="jfdkgkftftg" localSheetId="5" hidden="1">{#N/A,#N/A,FALSE,"Plan1";#N/A,#N/A,FALSE,"Plan2"}</definedName>
    <definedName name="jfdkgkftftg" localSheetId="4" hidden="1">{#N/A,#N/A,FALSE,"Plan1";#N/A,#N/A,FALSE,"Plan2"}</definedName>
    <definedName name="jfdkgkftftg" localSheetId="9">{#N/A,#N/A,FALSE,"Plan1";#N/A,#N/A,FALSE,"Plan2"}</definedName>
    <definedName name="jfdkgkftftg" localSheetId="10" hidden="1">{#N/A,#N/A,FALSE,"Plan1";#N/A,#N/A,FALSE,"Plan2"}</definedName>
    <definedName name="jfdkgkftftg" localSheetId="1" hidden="1">{#N/A,#N/A,FALSE,"Plan1";#N/A,#N/A,FALSE,"Plan2"}</definedName>
    <definedName name="jfdkgkftftg" localSheetId="0">{#N/A,#N/A,FALSE,"Plan1";#N/A,#N/A,FALSE,"Plan2"}</definedName>
    <definedName name="jfdkgkftftg" localSheetId="11" hidden="1">{#N/A,#N/A,FALSE,"Plan1";#N/A,#N/A,FALSE,"Plan2"}</definedName>
    <definedName name="jfdkgkftftg" localSheetId="12" hidden="1">{#N/A,#N/A,FALSE,"Plan1";#N/A,#N/A,FALSE,"Plan2"}</definedName>
    <definedName name="jfdkgkftftg" hidden="1">{#N/A,#N/A,FALSE,"Plan1";#N/A,#N/A,FALSE,"Plan2"}</definedName>
    <definedName name="jfghjkfdhtkyr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hjkfdhtkyr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FGJYHTY" localSheetId="3" hidden="1">{#N/A,#N/A,FALSE,"Plan1";#N/A,#N/A,FALSE,"Plan2"}</definedName>
    <definedName name="JFGJYHTY" localSheetId="8">{#N/A,#N/A,FALSE,"Plan1";#N/A,#N/A,FALSE,"Plan2"}</definedName>
    <definedName name="JFGJYHTY" localSheetId="5" hidden="1">{#N/A,#N/A,FALSE,"Plan1";#N/A,#N/A,FALSE,"Plan2"}</definedName>
    <definedName name="JFGJYHTY" localSheetId="4" hidden="1">{#N/A,#N/A,FALSE,"Plan1";#N/A,#N/A,FALSE,"Plan2"}</definedName>
    <definedName name="JFGJYHTY" localSheetId="9">{#N/A,#N/A,FALSE,"Plan1";#N/A,#N/A,FALSE,"Plan2"}</definedName>
    <definedName name="JFGJYHTY" localSheetId="10" hidden="1">{#N/A,#N/A,FALSE,"Plan1";#N/A,#N/A,FALSE,"Plan2"}</definedName>
    <definedName name="JFGJYHTY" localSheetId="1" hidden="1">{#N/A,#N/A,FALSE,"Plan1";#N/A,#N/A,FALSE,"Plan2"}</definedName>
    <definedName name="JFGJYHTY" localSheetId="0">{#N/A,#N/A,FALSE,"Plan1";#N/A,#N/A,FALSE,"Plan2"}</definedName>
    <definedName name="JFGJYHTY" localSheetId="11" hidden="1">{#N/A,#N/A,FALSE,"Plan1";#N/A,#N/A,FALSE,"Plan2"}</definedName>
    <definedName name="JFGJYHTY" localSheetId="12" hidden="1">{#N/A,#N/A,FALSE,"Plan1";#N/A,#N/A,FALSE,"Plan2"}</definedName>
    <definedName name="JFGJYHTY" hidden="1">{#N/A,#N/A,FALSE,"Plan1";#N/A,#N/A,FALSE,"Plan2"}</definedName>
    <definedName name="jfgkflcnjkglc" localSheetId="3" hidden="1">{#N/A,#N/A,FALSE,"Plan1";#N/A,#N/A,FALSE,"Plan2"}</definedName>
    <definedName name="jfgkflcnjkglc" localSheetId="8">{#N/A,#N/A,FALSE,"Plan1";#N/A,#N/A,FALSE,"Plan2"}</definedName>
    <definedName name="jfgkflcnjkglc" localSheetId="5" hidden="1">{#N/A,#N/A,FALSE,"Plan1";#N/A,#N/A,FALSE,"Plan2"}</definedName>
    <definedName name="jfgkflcnjkglc" localSheetId="4" hidden="1">{#N/A,#N/A,FALSE,"Plan1";#N/A,#N/A,FALSE,"Plan2"}</definedName>
    <definedName name="jfgkflcnjkglc" localSheetId="9">{#N/A,#N/A,FALSE,"Plan1";#N/A,#N/A,FALSE,"Plan2"}</definedName>
    <definedName name="jfgkflcnjkglc" localSheetId="10" hidden="1">{#N/A,#N/A,FALSE,"Plan1";#N/A,#N/A,FALSE,"Plan2"}</definedName>
    <definedName name="jfgkflcnjkglc" localSheetId="1" hidden="1">{#N/A,#N/A,FALSE,"Plan1";#N/A,#N/A,FALSE,"Plan2"}</definedName>
    <definedName name="jfgkflcnjkglc" localSheetId="0">{#N/A,#N/A,FALSE,"Plan1";#N/A,#N/A,FALSE,"Plan2"}</definedName>
    <definedName name="jfgkflcnjkglc" localSheetId="11" hidden="1">{#N/A,#N/A,FALSE,"Plan1";#N/A,#N/A,FALSE,"Plan2"}</definedName>
    <definedName name="jfgkflcnjkglc" localSheetId="12" hidden="1">{#N/A,#N/A,FALSE,"Plan1";#N/A,#N/A,FALSE,"Plan2"}</definedName>
    <definedName name="jfgkflcnjkglc" hidden="1">{#N/A,#N/A,FALSE,"Plan1";#N/A,#N/A,FALSE,"Plan2"}</definedName>
    <definedName name="JFHRE" localSheetId="3" hidden="1">{#N/A,#N/A,FALSE,"Plan1";#N/A,#N/A,FALSE,"Plan2"}</definedName>
    <definedName name="JFHRE" localSheetId="8">{#N/A,#N/A,FALSE,"Plan1";#N/A,#N/A,FALSE,"Plan2"}</definedName>
    <definedName name="JFHRE" localSheetId="5" hidden="1">{#N/A,#N/A,FALSE,"Plan1";#N/A,#N/A,FALSE,"Plan2"}</definedName>
    <definedName name="JFHRE" localSheetId="4" hidden="1">{#N/A,#N/A,FALSE,"Plan1";#N/A,#N/A,FALSE,"Plan2"}</definedName>
    <definedName name="JFHRE" localSheetId="9">{#N/A,#N/A,FALSE,"Plan1";#N/A,#N/A,FALSE,"Plan2"}</definedName>
    <definedName name="JFHRE" localSheetId="10" hidden="1">{#N/A,#N/A,FALSE,"Plan1";#N/A,#N/A,FALSE,"Plan2"}</definedName>
    <definedName name="JFHRE" localSheetId="1" hidden="1">{#N/A,#N/A,FALSE,"Plan1";#N/A,#N/A,FALSE,"Plan2"}</definedName>
    <definedName name="JFHRE" localSheetId="0">{#N/A,#N/A,FALSE,"Plan1";#N/A,#N/A,FALSE,"Plan2"}</definedName>
    <definedName name="JFHRE" localSheetId="11" hidden="1">{#N/A,#N/A,FALSE,"Plan1";#N/A,#N/A,FALSE,"Plan2"}</definedName>
    <definedName name="JFHRE" localSheetId="12" hidden="1">{#N/A,#N/A,FALSE,"Plan1";#N/A,#N/A,FALSE,"Plan2"}</definedName>
    <definedName name="JFHRE" hidden="1">{#N/A,#N/A,FALSE,"Plan1";#N/A,#N/A,FALSE,"Plan2"}</definedName>
    <definedName name="jfkdls5jtirjd" localSheetId="3" hidden="1">{#N/A,#N/A,FALSE,"Plan1";#N/A,#N/A,FALSE,"Plan2"}</definedName>
    <definedName name="jfkdls5jtirjd" localSheetId="8">{#N/A,#N/A,FALSE,"Plan1";#N/A,#N/A,FALSE,"Plan2"}</definedName>
    <definedName name="jfkdls5jtirjd" localSheetId="5" hidden="1">{#N/A,#N/A,FALSE,"Plan1";#N/A,#N/A,FALSE,"Plan2"}</definedName>
    <definedName name="jfkdls5jtirjd" localSheetId="4" hidden="1">{#N/A,#N/A,FALSE,"Plan1";#N/A,#N/A,FALSE,"Plan2"}</definedName>
    <definedName name="jfkdls5jtirjd" localSheetId="9">{#N/A,#N/A,FALSE,"Plan1";#N/A,#N/A,FALSE,"Plan2"}</definedName>
    <definedName name="jfkdls5jtirjd" localSheetId="10" hidden="1">{#N/A,#N/A,FALSE,"Plan1";#N/A,#N/A,FALSE,"Plan2"}</definedName>
    <definedName name="jfkdls5jtirjd" localSheetId="1" hidden="1">{#N/A,#N/A,FALSE,"Plan1";#N/A,#N/A,FALSE,"Plan2"}</definedName>
    <definedName name="jfkdls5jtirjd" localSheetId="0">{#N/A,#N/A,FALSE,"Plan1";#N/A,#N/A,FALSE,"Plan2"}</definedName>
    <definedName name="jfkdls5jtirjd" localSheetId="11" hidden="1">{#N/A,#N/A,FALSE,"Plan1";#N/A,#N/A,FALSE,"Plan2"}</definedName>
    <definedName name="jfkdls5jtirjd" localSheetId="12" hidden="1">{#N/A,#N/A,FALSE,"Plan1";#N/A,#N/A,FALSE,"Plan2"}</definedName>
    <definedName name="jfkdls5jtirjd" hidden="1">{#N/A,#N/A,FALSE,"Plan1";#N/A,#N/A,FALSE,"Plan2"}</definedName>
    <definedName name="jfkljdkfcj" localSheetId="3" hidden="1">{#N/A,#N/A,FALSE,"Plan1";#N/A,#N/A,FALSE,"Plan2"}</definedName>
    <definedName name="jfkljdkfcj" localSheetId="8">{#N/A,#N/A,FALSE,"Plan1";#N/A,#N/A,FALSE,"Plan2"}</definedName>
    <definedName name="jfkljdkfcj" localSheetId="5" hidden="1">{#N/A,#N/A,FALSE,"Plan1";#N/A,#N/A,FALSE,"Plan2"}</definedName>
    <definedName name="jfkljdkfcj" localSheetId="4" hidden="1">{#N/A,#N/A,FALSE,"Plan1";#N/A,#N/A,FALSE,"Plan2"}</definedName>
    <definedName name="jfkljdkfcj" localSheetId="9">{#N/A,#N/A,FALSE,"Plan1";#N/A,#N/A,FALSE,"Plan2"}</definedName>
    <definedName name="jfkljdkfcj" localSheetId="10" hidden="1">{#N/A,#N/A,FALSE,"Plan1";#N/A,#N/A,FALSE,"Plan2"}</definedName>
    <definedName name="jfkljdkfcj" localSheetId="1" hidden="1">{#N/A,#N/A,FALSE,"Plan1";#N/A,#N/A,FALSE,"Plan2"}</definedName>
    <definedName name="jfkljdkfcj" localSheetId="0">{#N/A,#N/A,FALSE,"Plan1";#N/A,#N/A,FALSE,"Plan2"}</definedName>
    <definedName name="jfkljdkfcj" localSheetId="11" hidden="1">{#N/A,#N/A,FALSE,"Plan1";#N/A,#N/A,FALSE,"Plan2"}</definedName>
    <definedName name="jfkljdkfcj" localSheetId="12" hidden="1">{#N/A,#N/A,FALSE,"Plan1";#N/A,#N/A,FALSE,"Plan2"}</definedName>
    <definedName name="jfkljdkfcj" hidden="1">{#N/A,#N/A,FALSE,"Plan1";#N/A,#N/A,FALSE,"Plan2"}</definedName>
    <definedName name="jfkrhdtghdut" localSheetId="3" hidden="1">{#N/A,#N/A,FALSE,"Plan1";#N/A,#N/A,FALSE,"Plan2"}</definedName>
    <definedName name="jfkrhdtghdut" localSheetId="8">{#N/A,#N/A,FALSE,"Plan1";#N/A,#N/A,FALSE,"Plan2"}</definedName>
    <definedName name="jfkrhdtghdut" localSheetId="5" hidden="1">{#N/A,#N/A,FALSE,"Plan1";#N/A,#N/A,FALSE,"Plan2"}</definedName>
    <definedName name="jfkrhdtghdut" localSheetId="4" hidden="1">{#N/A,#N/A,FALSE,"Plan1";#N/A,#N/A,FALSE,"Plan2"}</definedName>
    <definedName name="jfkrhdtghdut" localSheetId="9">{#N/A,#N/A,FALSE,"Plan1";#N/A,#N/A,FALSE,"Plan2"}</definedName>
    <definedName name="jfkrhdtghdut" localSheetId="10" hidden="1">{#N/A,#N/A,FALSE,"Plan1";#N/A,#N/A,FALSE,"Plan2"}</definedName>
    <definedName name="jfkrhdtghdut" localSheetId="1" hidden="1">{#N/A,#N/A,FALSE,"Plan1";#N/A,#N/A,FALSE,"Plan2"}</definedName>
    <definedName name="jfkrhdtghdut" localSheetId="0">{#N/A,#N/A,FALSE,"Plan1";#N/A,#N/A,FALSE,"Plan2"}</definedName>
    <definedName name="jfkrhdtghdut" localSheetId="11" hidden="1">{#N/A,#N/A,FALSE,"Plan1";#N/A,#N/A,FALSE,"Plan2"}</definedName>
    <definedName name="jfkrhdtghdut" localSheetId="12" hidden="1">{#N/A,#N/A,FALSE,"Plan1";#N/A,#N/A,FALSE,"Plan2"}</definedName>
    <definedName name="jfkrhdtghdut" hidden="1">{#N/A,#N/A,FALSE,"Plan1";#N/A,#N/A,FALSE,"Plan2"}</definedName>
    <definedName name="JFRESR" localSheetId="3" hidden="1">{#N/A,#N/A,FALSE,"Plan1";#N/A,#N/A,FALSE,"Plan2"}</definedName>
    <definedName name="JFRESR" localSheetId="8">{#N/A,#N/A,FALSE,"Plan1";#N/A,#N/A,FALSE,"Plan2"}</definedName>
    <definedName name="JFRESR" localSheetId="5" hidden="1">{#N/A,#N/A,FALSE,"Plan1";#N/A,#N/A,FALSE,"Plan2"}</definedName>
    <definedName name="JFRESR" localSheetId="4" hidden="1">{#N/A,#N/A,FALSE,"Plan1";#N/A,#N/A,FALSE,"Plan2"}</definedName>
    <definedName name="JFRESR" localSheetId="9">{#N/A,#N/A,FALSE,"Plan1";#N/A,#N/A,FALSE,"Plan2"}</definedName>
    <definedName name="JFRESR" localSheetId="10" hidden="1">{#N/A,#N/A,FALSE,"Plan1";#N/A,#N/A,FALSE,"Plan2"}</definedName>
    <definedName name="JFRESR" localSheetId="1" hidden="1">{#N/A,#N/A,FALSE,"Plan1";#N/A,#N/A,FALSE,"Plan2"}</definedName>
    <definedName name="JFRESR" localSheetId="0">{#N/A,#N/A,FALSE,"Plan1";#N/A,#N/A,FALSE,"Plan2"}</definedName>
    <definedName name="JFRESR" localSheetId="11" hidden="1">{#N/A,#N/A,FALSE,"Plan1";#N/A,#N/A,FALSE,"Plan2"}</definedName>
    <definedName name="JFRESR" localSheetId="12" hidden="1">{#N/A,#N/A,FALSE,"Plan1";#N/A,#N/A,FALSE,"Plan2"}</definedName>
    <definedName name="JFRESR" hidden="1">{#N/A,#N/A,FALSE,"Plan1";#N/A,#N/A,FALSE,"Plan2"}</definedName>
    <definedName name="jgdfdgfjgdj" localSheetId="3" hidden="1">{#N/A,#N/A,FALSE,"Plan1";#N/A,#N/A,FALSE,"Plan2"}</definedName>
    <definedName name="jgdfdgfjgdj" localSheetId="8">{#N/A,#N/A,FALSE,"Plan1";#N/A,#N/A,FALSE,"Plan2"}</definedName>
    <definedName name="jgdfdgfjgdj" localSheetId="5" hidden="1">{#N/A,#N/A,FALSE,"Plan1";#N/A,#N/A,FALSE,"Plan2"}</definedName>
    <definedName name="jgdfdgfjgdj" localSheetId="4" hidden="1">{#N/A,#N/A,FALSE,"Plan1";#N/A,#N/A,FALSE,"Plan2"}</definedName>
    <definedName name="jgdfdgfjgdj" localSheetId="9">{#N/A,#N/A,FALSE,"Plan1";#N/A,#N/A,FALSE,"Plan2"}</definedName>
    <definedName name="jgdfdgfjgdj" localSheetId="10" hidden="1">{#N/A,#N/A,FALSE,"Plan1";#N/A,#N/A,FALSE,"Plan2"}</definedName>
    <definedName name="jgdfdgfjgdj" localSheetId="1" hidden="1">{#N/A,#N/A,FALSE,"Plan1";#N/A,#N/A,FALSE,"Plan2"}</definedName>
    <definedName name="jgdfdgfjgdj" localSheetId="0">{#N/A,#N/A,FALSE,"Plan1";#N/A,#N/A,FALSE,"Plan2"}</definedName>
    <definedName name="jgdfdgfjgdj" localSheetId="11" hidden="1">{#N/A,#N/A,FALSE,"Plan1";#N/A,#N/A,FALSE,"Plan2"}</definedName>
    <definedName name="jgdfdgfjgdj" localSheetId="12" hidden="1">{#N/A,#N/A,FALSE,"Plan1";#N/A,#N/A,FALSE,"Plan2"}</definedName>
    <definedName name="jgdfdgfjgdj" hidden="1">{#N/A,#N/A,FALSE,"Plan1";#N/A,#N/A,FALSE,"Plan2"}</definedName>
    <definedName name="jgdfght" localSheetId="3" hidden="1">{#N/A,#N/A,FALSE,"Plan1";#N/A,#N/A,FALSE,"Plan2"}</definedName>
    <definedName name="jgdfght" localSheetId="8">{#N/A,#N/A,FALSE,"Plan1";#N/A,#N/A,FALSE,"Plan2"}</definedName>
    <definedName name="jgdfght" localSheetId="5" hidden="1">{#N/A,#N/A,FALSE,"Plan1";#N/A,#N/A,FALSE,"Plan2"}</definedName>
    <definedName name="jgdfght" localSheetId="4" hidden="1">{#N/A,#N/A,FALSE,"Plan1";#N/A,#N/A,FALSE,"Plan2"}</definedName>
    <definedName name="jgdfght" localSheetId="9">{#N/A,#N/A,FALSE,"Plan1";#N/A,#N/A,FALSE,"Plan2"}</definedName>
    <definedName name="jgdfght" localSheetId="10" hidden="1">{#N/A,#N/A,FALSE,"Plan1";#N/A,#N/A,FALSE,"Plan2"}</definedName>
    <definedName name="jgdfght" localSheetId="1" hidden="1">{#N/A,#N/A,FALSE,"Plan1";#N/A,#N/A,FALSE,"Plan2"}</definedName>
    <definedName name="jgdfght" localSheetId="0">{#N/A,#N/A,FALSE,"Plan1";#N/A,#N/A,FALSE,"Plan2"}</definedName>
    <definedName name="jgdfght" localSheetId="11" hidden="1">{#N/A,#N/A,FALSE,"Plan1";#N/A,#N/A,FALSE,"Plan2"}</definedName>
    <definedName name="jgdfght" localSheetId="12" hidden="1">{#N/A,#N/A,FALSE,"Plan1";#N/A,#N/A,FALSE,"Plan2"}</definedName>
    <definedName name="jgdfght" hidden="1">{#N/A,#N/A,FALSE,"Plan1";#N/A,#N/A,FALSE,"Plan2"}</definedName>
    <definedName name="jgfgdsgfdhrf" localSheetId="3" hidden="1">{#N/A,#N/A,FALSE,"Plan1";#N/A,#N/A,FALSE,"Plan2"}</definedName>
    <definedName name="jgfgdsgfdhrf" localSheetId="8">{#N/A,#N/A,FALSE,"Plan1";#N/A,#N/A,FALSE,"Plan2"}</definedName>
    <definedName name="jgfgdsgfdhrf" localSheetId="5" hidden="1">{#N/A,#N/A,FALSE,"Plan1";#N/A,#N/A,FALSE,"Plan2"}</definedName>
    <definedName name="jgfgdsgfdhrf" localSheetId="4" hidden="1">{#N/A,#N/A,FALSE,"Plan1";#N/A,#N/A,FALSE,"Plan2"}</definedName>
    <definedName name="jgfgdsgfdhrf" localSheetId="9">{#N/A,#N/A,FALSE,"Plan1";#N/A,#N/A,FALSE,"Plan2"}</definedName>
    <definedName name="jgfgdsgfdhrf" localSheetId="10" hidden="1">{#N/A,#N/A,FALSE,"Plan1";#N/A,#N/A,FALSE,"Plan2"}</definedName>
    <definedName name="jgfgdsgfdhrf" localSheetId="1" hidden="1">{#N/A,#N/A,FALSE,"Plan1";#N/A,#N/A,FALSE,"Plan2"}</definedName>
    <definedName name="jgfgdsgfdhrf" localSheetId="0">{#N/A,#N/A,FALSE,"Plan1";#N/A,#N/A,FALSE,"Plan2"}</definedName>
    <definedName name="jgfgdsgfdhrf" localSheetId="11" hidden="1">{#N/A,#N/A,FALSE,"Plan1";#N/A,#N/A,FALSE,"Plan2"}</definedName>
    <definedName name="jgfgdsgfdhrf" localSheetId="12" hidden="1">{#N/A,#N/A,FALSE,"Plan1";#N/A,#N/A,FALSE,"Plan2"}</definedName>
    <definedName name="jgfgdsgfdhrf" hidden="1">{#N/A,#N/A,FALSE,"Plan1";#N/A,#N/A,FALSE,"Plan2"}</definedName>
    <definedName name="JGFJGTFT" localSheetId="3" hidden="1">{#N/A,#N/A,FALSE,"Plan1";#N/A,#N/A,FALSE,"Plan2"}</definedName>
    <definedName name="JGFJGTFT" localSheetId="8">{#N/A,#N/A,FALSE,"Plan1";#N/A,#N/A,FALSE,"Plan2"}</definedName>
    <definedName name="JGFJGTFT" localSheetId="5" hidden="1">{#N/A,#N/A,FALSE,"Plan1";#N/A,#N/A,FALSE,"Plan2"}</definedName>
    <definedName name="JGFJGTFT" localSheetId="4" hidden="1">{#N/A,#N/A,FALSE,"Plan1";#N/A,#N/A,FALSE,"Plan2"}</definedName>
    <definedName name="JGFJGTFT" localSheetId="9">{#N/A,#N/A,FALSE,"Plan1";#N/A,#N/A,FALSE,"Plan2"}</definedName>
    <definedName name="JGFJGTFT" localSheetId="10" hidden="1">{#N/A,#N/A,FALSE,"Plan1";#N/A,#N/A,FALSE,"Plan2"}</definedName>
    <definedName name="JGFJGTFT" localSheetId="1" hidden="1">{#N/A,#N/A,FALSE,"Plan1";#N/A,#N/A,FALSE,"Plan2"}</definedName>
    <definedName name="JGFJGTFT" localSheetId="0">{#N/A,#N/A,FALSE,"Plan1";#N/A,#N/A,FALSE,"Plan2"}</definedName>
    <definedName name="JGFJGTFT" localSheetId="11" hidden="1">{#N/A,#N/A,FALSE,"Plan1";#N/A,#N/A,FALSE,"Plan2"}</definedName>
    <definedName name="JGFJGTFT" localSheetId="12" hidden="1">{#N/A,#N/A,FALSE,"Plan1";#N/A,#N/A,FALSE,"Plan2"}</definedName>
    <definedName name="JGFJGTFT" hidden="1">{#N/A,#N/A,FALSE,"Plan1";#N/A,#N/A,FALSE,"Plan2"}</definedName>
    <definedName name="JGJSFJKSDGB" hidden="1">17</definedName>
    <definedName name="jgkjkhjuftgi" localSheetId="3" hidden="1">{#N/A,#N/A,FALSE,"Plan1";#N/A,#N/A,FALSE,"Plan2"}</definedName>
    <definedName name="jgkjkhjuftgi" localSheetId="8">{#N/A,#N/A,FALSE,"Plan1";#N/A,#N/A,FALSE,"Plan2"}</definedName>
    <definedName name="jgkjkhjuftgi" localSheetId="5" hidden="1">{#N/A,#N/A,FALSE,"Plan1";#N/A,#N/A,FALSE,"Plan2"}</definedName>
    <definedName name="jgkjkhjuftgi" localSheetId="4" hidden="1">{#N/A,#N/A,FALSE,"Plan1";#N/A,#N/A,FALSE,"Plan2"}</definedName>
    <definedName name="jgkjkhjuftgi" localSheetId="9">{#N/A,#N/A,FALSE,"Plan1";#N/A,#N/A,FALSE,"Plan2"}</definedName>
    <definedName name="jgkjkhjuftgi" localSheetId="10" hidden="1">{#N/A,#N/A,FALSE,"Plan1";#N/A,#N/A,FALSE,"Plan2"}</definedName>
    <definedName name="jgkjkhjuftgi" localSheetId="1" hidden="1">{#N/A,#N/A,FALSE,"Plan1";#N/A,#N/A,FALSE,"Plan2"}</definedName>
    <definedName name="jgkjkhjuftgi" localSheetId="0">{#N/A,#N/A,FALSE,"Plan1";#N/A,#N/A,FALSE,"Plan2"}</definedName>
    <definedName name="jgkjkhjuftgi" localSheetId="11" hidden="1">{#N/A,#N/A,FALSE,"Plan1";#N/A,#N/A,FALSE,"Plan2"}</definedName>
    <definedName name="jgkjkhjuftgi" localSheetId="12" hidden="1">{#N/A,#N/A,FALSE,"Plan1";#N/A,#N/A,FALSE,"Plan2"}</definedName>
    <definedName name="jgkjkhjuftgi" hidden="1">{#N/A,#N/A,FALSE,"Plan1";#N/A,#N/A,FALSE,"Plan2"}</definedName>
    <definedName name="jh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hdfjjhirft" localSheetId="3" hidden="1">{#N/A,#N/A,FALSE,"Plan1";#N/A,#N/A,FALSE,"Plan2"}</definedName>
    <definedName name="jhdfjjhirft" localSheetId="8">{#N/A,#N/A,FALSE,"Plan1";#N/A,#N/A,FALSE,"Plan2"}</definedName>
    <definedName name="jhdfjjhirft" localSheetId="5" hidden="1">{#N/A,#N/A,FALSE,"Plan1";#N/A,#N/A,FALSE,"Plan2"}</definedName>
    <definedName name="jhdfjjhirft" localSheetId="4" hidden="1">{#N/A,#N/A,FALSE,"Plan1";#N/A,#N/A,FALSE,"Plan2"}</definedName>
    <definedName name="jhdfjjhirft" localSheetId="9">{#N/A,#N/A,FALSE,"Plan1";#N/A,#N/A,FALSE,"Plan2"}</definedName>
    <definedName name="jhdfjjhirft" localSheetId="10" hidden="1">{#N/A,#N/A,FALSE,"Plan1";#N/A,#N/A,FALSE,"Plan2"}</definedName>
    <definedName name="jhdfjjhirft" localSheetId="1" hidden="1">{#N/A,#N/A,FALSE,"Plan1";#N/A,#N/A,FALSE,"Plan2"}</definedName>
    <definedName name="jhdfjjhirft" localSheetId="0">{#N/A,#N/A,FALSE,"Plan1";#N/A,#N/A,FALSE,"Plan2"}</definedName>
    <definedName name="jhdfjjhirft" localSheetId="11" hidden="1">{#N/A,#N/A,FALSE,"Plan1";#N/A,#N/A,FALSE,"Plan2"}</definedName>
    <definedName name="jhdfjjhirft" localSheetId="12" hidden="1">{#N/A,#N/A,FALSE,"Plan1";#N/A,#N/A,FALSE,"Plan2"}</definedName>
    <definedName name="jhdfjjhirft" hidden="1">{#N/A,#N/A,FALSE,"Plan1";#N/A,#N/A,FALSE,"Plan2"}</definedName>
    <definedName name="jhdfjkhtrdhf" localSheetId="3" hidden="1">{#N/A,#N/A,FALSE,"Plan1";#N/A,#N/A,FALSE,"Plan2"}</definedName>
    <definedName name="jhdfjkhtrdhf" localSheetId="8">{#N/A,#N/A,FALSE,"Plan1";#N/A,#N/A,FALSE,"Plan2"}</definedName>
    <definedName name="jhdfjkhtrdhf" localSheetId="5" hidden="1">{#N/A,#N/A,FALSE,"Plan1";#N/A,#N/A,FALSE,"Plan2"}</definedName>
    <definedName name="jhdfjkhtrdhf" localSheetId="4" hidden="1">{#N/A,#N/A,FALSE,"Plan1";#N/A,#N/A,FALSE,"Plan2"}</definedName>
    <definedName name="jhdfjkhtrdhf" localSheetId="9">{#N/A,#N/A,FALSE,"Plan1";#N/A,#N/A,FALSE,"Plan2"}</definedName>
    <definedName name="jhdfjkhtrdhf" localSheetId="10" hidden="1">{#N/A,#N/A,FALSE,"Plan1";#N/A,#N/A,FALSE,"Plan2"}</definedName>
    <definedName name="jhdfjkhtrdhf" localSheetId="1" hidden="1">{#N/A,#N/A,FALSE,"Plan1";#N/A,#N/A,FALSE,"Plan2"}</definedName>
    <definedName name="jhdfjkhtrdhf" localSheetId="0">{#N/A,#N/A,FALSE,"Plan1";#N/A,#N/A,FALSE,"Plan2"}</definedName>
    <definedName name="jhdfjkhtrdhf" localSheetId="11" hidden="1">{#N/A,#N/A,FALSE,"Plan1";#N/A,#N/A,FALSE,"Plan2"}</definedName>
    <definedName name="jhdfjkhtrdhf" localSheetId="12" hidden="1">{#N/A,#N/A,FALSE,"Plan1";#N/A,#N/A,FALSE,"Plan2"}</definedName>
    <definedName name="jhdfjkhtrdhf" hidden="1">{#N/A,#N/A,FALSE,"Plan1";#N/A,#N/A,FALSE,"Plan2"}</definedName>
    <definedName name="jhdfuthr" localSheetId="3" hidden="1">{#N/A,#N/A,FALSE,"Plan1";#N/A,#N/A,FALSE,"Plan2"}</definedName>
    <definedName name="jhdfuthr" localSheetId="8">{#N/A,#N/A,FALSE,"Plan1";#N/A,#N/A,FALSE,"Plan2"}</definedName>
    <definedName name="jhdfuthr" localSheetId="5" hidden="1">{#N/A,#N/A,FALSE,"Plan1";#N/A,#N/A,FALSE,"Plan2"}</definedName>
    <definedName name="jhdfuthr" localSheetId="4" hidden="1">{#N/A,#N/A,FALSE,"Plan1";#N/A,#N/A,FALSE,"Plan2"}</definedName>
    <definedName name="jhdfuthr" localSheetId="9">{#N/A,#N/A,FALSE,"Plan1";#N/A,#N/A,FALSE,"Plan2"}</definedName>
    <definedName name="jhdfuthr" localSheetId="10" hidden="1">{#N/A,#N/A,FALSE,"Plan1";#N/A,#N/A,FALSE,"Plan2"}</definedName>
    <definedName name="jhdfuthr" localSheetId="1" hidden="1">{#N/A,#N/A,FALSE,"Plan1";#N/A,#N/A,FALSE,"Plan2"}</definedName>
    <definedName name="jhdfuthr" localSheetId="0">{#N/A,#N/A,FALSE,"Plan1";#N/A,#N/A,FALSE,"Plan2"}</definedName>
    <definedName name="jhdfuthr" localSheetId="11" hidden="1">{#N/A,#N/A,FALSE,"Plan1";#N/A,#N/A,FALSE,"Plan2"}</definedName>
    <definedName name="jhdfuthr" localSheetId="12" hidden="1">{#N/A,#N/A,FALSE,"Plan1";#N/A,#N/A,FALSE,"Plan2"}</definedName>
    <definedName name="jhdfuthr" hidden="1">{#N/A,#N/A,FALSE,"Plan1";#N/A,#N/A,FALSE,"Plan2"}</definedName>
    <definedName name="JHDFZGRDHF" localSheetId="3" hidden="1">{"Econ Consolidado",#N/A,FALSE,"Econ Consol";"Fluxo de Caixa",#N/A,FALSE,"Fluxo Caixa";"Investimentos",#N/A,FALSE,"Investimentos"}</definedName>
    <definedName name="JHDFZGRDHF" localSheetId="8">{"Econ Consolidado",#N/A,FALSE,"Econ Consol";"Fluxo de Caixa",#N/A,FALSE,"Fluxo Caixa";"Investimentos",#N/A,FALSE,"Investimentos"}</definedName>
    <definedName name="JHDFZGRDHF" localSheetId="5" hidden="1">{"Econ Consolidado",#N/A,FALSE,"Econ Consol";"Fluxo de Caixa",#N/A,FALSE,"Fluxo Caixa";"Investimentos",#N/A,FALSE,"Investimentos"}</definedName>
    <definedName name="JHDFZGRDHF" localSheetId="4" hidden="1">{"Econ Consolidado",#N/A,FALSE,"Econ Consol";"Fluxo de Caixa",#N/A,FALSE,"Fluxo Caixa";"Investimentos",#N/A,FALSE,"Investimentos"}</definedName>
    <definedName name="JHDFZGRDHF" localSheetId="9">{"Econ Consolidado",#N/A,FALSE,"Econ Consol";"Fluxo de Caixa",#N/A,FALSE,"Fluxo Caixa";"Investimentos",#N/A,FALSE,"Investimentos"}</definedName>
    <definedName name="JHDFZGRDHF" localSheetId="10" hidden="1">{"Econ Consolidado",#N/A,FALSE,"Econ Consol";"Fluxo de Caixa",#N/A,FALSE,"Fluxo Caixa";"Investimentos",#N/A,FALSE,"Investimentos"}</definedName>
    <definedName name="JHDFZGRDHF" localSheetId="1" hidden="1">{"Econ Consolidado",#N/A,FALSE,"Econ Consol";"Fluxo de Caixa",#N/A,FALSE,"Fluxo Caixa";"Investimentos",#N/A,FALSE,"Investimentos"}</definedName>
    <definedName name="JHDFZGRDHF" localSheetId="0">{"Econ Consolidado",#N/A,FALSE,"Econ Consol";"Fluxo de Caixa",#N/A,FALSE,"Fluxo Caixa";"Investimentos",#N/A,FALSE,"Investimentos"}</definedName>
    <definedName name="JHDFZGRDHF" localSheetId="11" hidden="1">{"Econ Consolidado",#N/A,FALSE,"Econ Consol";"Fluxo de Caixa",#N/A,FALSE,"Fluxo Caixa";"Investimentos",#N/A,FALSE,"Investimentos"}</definedName>
    <definedName name="JHDFZGRDHF" localSheetId="12" hidden="1">{"Econ Consolidado",#N/A,FALSE,"Econ Consol";"Fluxo de Caixa",#N/A,FALSE,"Fluxo Caixa";"Investimentos",#N/A,FALSE,"Investimentos"}</definedName>
    <definedName name="JHDFZGRDHF" hidden="1">{"Econ Consolidado",#N/A,FALSE,"Econ Consol";"Fluxo de Caixa",#N/A,FALSE,"Fluxo Caixa";"Investimentos",#N/A,FALSE,"Investimentos"}</definedName>
    <definedName name="JHERKHKFGH" localSheetId="3" hidden="1">{#N/A,#N/A,FALSE,"Plan1";#N/A,#N/A,FALSE,"Plan2"}</definedName>
    <definedName name="JHERKHKFGH" localSheetId="8">{#N/A,#N/A,FALSE,"Plan1";#N/A,#N/A,FALSE,"Plan2"}</definedName>
    <definedName name="JHERKHKFGH" localSheetId="5" hidden="1">{#N/A,#N/A,FALSE,"Plan1";#N/A,#N/A,FALSE,"Plan2"}</definedName>
    <definedName name="JHERKHKFGH" localSheetId="4" hidden="1">{#N/A,#N/A,FALSE,"Plan1";#N/A,#N/A,FALSE,"Plan2"}</definedName>
    <definedName name="JHERKHKFGH" localSheetId="9">{#N/A,#N/A,FALSE,"Plan1";#N/A,#N/A,FALSE,"Plan2"}</definedName>
    <definedName name="JHERKHKFGH" localSheetId="10" hidden="1">{#N/A,#N/A,FALSE,"Plan1";#N/A,#N/A,FALSE,"Plan2"}</definedName>
    <definedName name="JHERKHKFGH" localSheetId="1" hidden="1">{#N/A,#N/A,FALSE,"Plan1";#N/A,#N/A,FALSE,"Plan2"}</definedName>
    <definedName name="JHERKHKFGH" localSheetId="0">{#N/A,#N/A,FALSE,"Plan1";#N/A,#N/A,FALSE,"Plan2"}</definedName>
    <definedName name="JHERKHKFGH" localSheetId="11" hidden="1">{#N/A,#N/A,FALSE,"Plan1";#N/A,#N/A,FALSE,"Plan2"}</definedName>
    <definedName name="JHERKHKFGH" localSheetId="12" hidden="1">{#N/A,#N/A,FALSE,"Plan1";#N/A,#N/A,FALSE,"Plan2"}</definedName>
    <definedName name="JHERKHKFGH" hidden="1">{#N/A,#N/A,FALSE,"Plan1";#N/A,#N/A,FALSE,"Plan2"}</definedName>
    <definedName name="jhfhhztfhe" localSheetId="8">#REF!</definedName>
    <definedName name="jhfhhztfhe" localSheetId="5" hidden="1">#REF!</definedName>
    <definedName name="jhfhhztfhe" localSheetId="9">#REF!</definedName>
    <definedName name="jhfhhztfhe" localSheetId="10" hidden="1">#REF!</definedName>
    <definedName name="jhfhhztfhe" localSheetId="1" hidden="1">#REF!</definedName>
    <definedName name="jhfhhztfhe" localSheetId="0">#REF!</definedName>
    <definedName name="jhfhhztfhe" localSheetId="11" hidden="1">#REF!</definedName>
    <definedName name="jhfhhztfhe" localSheetId="12" hidden="1">#REF!</definedName>
    <definedName name="jhfhhztfhe" hidden="1">#REF!</definedName>
    <definedName name="JHGKJFJFJGL" localSheetId="3" hidden="1">{#N/A,#N/A,FALSE,"Plan1";#N/A,#N/A,FALSE,"Plan2"}</definedName>
    <definedName name="JHGKJFJFJGL" localSheetId="8">{#N/A,#N/A,FALSE,"Plan1";#N/A,#N/A,FALSE,"Plan2"}</definedName>
    <definedName name="JHGKJFJFJGL" localSheetId="5" hidden="1">{#N/A,#N/A,FALSE,"Plan1";#N/A,#N/A,FALSE,"Plan2"}</definedName>
    <definedName name="JHGKJFJFJGL" localSheetId="4" hidden="1">{#N/A,#N/A,FALSE,"Plan1";#N/A,#N/A,FALSE,"Plan2"}</definedName>
    <definedName name="JHGKJFJFJGL" localSheetId="9">{#N/A,#N/A,FALSE,"Plan1";#N/A,#N/A,FALSE,"Plan2"}</definedName>
    <definedName name="JHGKJFJFJGL" localSheetId="10" hidden="1">{#N/A,#N/A,FALSE,"Plan1";#N/A,#N/A,FALSE,"Plan2"}</definedName>
    <definedName name="JHGKJFJFJGL" localSheetId="1" hidden="1">{#N/A,#N/A,FALSE,"Plan1";#N/A,#N/A,FALSE,"Plan2"}</definedName>
    <definedName name="JHGKJFJFJGL" localSheetId="0">{#N/A,#N/A,FALSE,"Plan1";#N/A,#N/A,FALSE,"Plan2"}</definedName>
    <definedName name="JHGKJFJFJGL" localSheetId="11" hidden="1">{#N/A,#N/A,FALSE,"Plan1";#N/A,#N/A,FALSE,"Plan2"}</definedName>
    <definedName name="JHGKJFJFJGL" localSheetId="12" hidden="1">{#N/A,#N/A,FALSE,"Plan1";#N/A,#N/A,FALSE,"Plan2"}</definedName>
    <definedName name="JHGKJFJFJGL" hidden="1">{#N/A,#N/A,FALSE,"Plan1";#N/A,#N/A,FALSE,"Plan2"}</definedName>
    <definedName name="jhsdjkhfuks" localSheetId="3" hidden="1">{#N/A,#N/A,FALSE,"Plan1";#N/A,#N/A,FALSE,"Plan2"}</definedName>
    <definedName name="jhsdjkhfuks" localSheetId="8">{#N/A,#N/A,FALSE,"Plan1";#N/A,#N/A,FALSE,"Plan2"}</definedName>
    <definedName name="jhsdjkhfuks" localSheetId="5" hidden="1">{#N/A,#N/A,FALSE,"Plan1";#N/A,#N/A,FALSE,"Plan2"}</definedName>
    <definedName name="jhsdjkhfuks" localSheetId="4" hidden="1">{#N/A,#N/A,FALSE,"Plan1";#N/A,#N/A,FALSE,"Plan2"}</definedName>
    <definedName name="jhsdjkhfuks" localSheetId="9">{#N/A,#N/A,FALSE,"Plan1";#N/A,#N/A,FALSE,"Plan2"}</definedName>
    <definedName name="jhsdjkhfuks" localSheetId="10" hidden="1">{#N/A,#N/A,FALSE,"Plan1";#N/A,#N/A,FALSE,"Plan2"}</definedName>
    <definedName name="jhsdjkhfuks" localSheetId="1" hidden="1">{#N/A,#N/A,FALSE,"Plan1";#N/A,#N/A,FALSE,"Plan2"}</definedName>
    <definedName name="jhsdjkhfuks" localSheetId="0">{#N/A,#N/A,FALSE,"Plan1";#N/A,#N/A,FALSE,"Plan2"}</definedName>
    <definedName name="jhsdjkhfuks" localSheetId="11" hidden="1">{#N/A,#N/A,FALSE,"Plan1";#N/A,#N/A,FALSE,"Plan2"}</definedName>
    <definedName name="jhsdjkhfuks" localSheetId="12" hidden="1">{#N/A,#N/A,FALSE,"Plan1";#N/A,#N/A,FALSE,"Plan2"}</definedName>
    <definedName name="jhsdjkhfuks" hidden="1">{#N/A,#N/A,FALSE,"Plan1";#N/A,#N/A,FALSE,"Plan2"}</definedName>
    <definedName name="jisdrkje" localSheetId="3" hidden="1">{#N/A,#N/A,FALSE,"Plan1";#N/A,#N/A,FALSE,"Plan2"}</definedName>
    <definedName name="jisdrkje" localSheetId="8">{#N/A,#N/A,FALSE,"Plan1";#N/A,#N/A,FALSE,"Plan2"}</definedName>
    <definedName name="jisdrkje" localSheetId="5" hidden="1">{#N/A,#N/A,FALSE,"Plan1";#N/A,#N/A,FALSE,"Plan2"}</definedName>
    <definedName name="jisdrkje" localSheetId="4" hidden="1">{#N/A,#N/A,FALSE,"Plan1";#N/A,#N/A,FALSE,"Plan2"}</definedName>
    <definedName name="jisdrkje" localSheetId="9">{#N/A,#N/A,FALSE,"Plan1";#N/A,#N/A,FALSE,"Plan2"}</definedName>
    <definedName name="jisdrkje" localSheetId="10" hidden="1">{#N/A,#N/A,FALSE,"Plan1";#N/A,#N/A,FALSE,"Plan2"}</definedName>
    <definedName name="jisdrkje" localSheetId="1" hidden="1">{#N/A,#N/A,FALSE,"Plan1";#N/A,#N/A,FALSE,"Plan2"}</definedName>
    <definedName name="jisdrkje" localSheetId="0">{#N/A,#N/A,FALSE,"Plan1";#N/A,#N/A,FALSE,"Plan2"}</definedName>
    <definedName name="jisdrkje" localSheetId="11" hidden="1">{#N/A,#N/A,FALSE,"Plan1";#N/A,#N/A,FALSE,"Plan2"}</definedName>
    <definedName name="jisdrkje" localSheetId="12" hidden="1">{#N/A,#N/A,FALSE,"Plan1";#N/A,#N/A,FALSE,"Plan2"}</definedName>
    <definedName name="jisdrkje" hidden="1">{#N/A,#N/A,FALSE,"Plan1";#N/A,#N/A,FALSE,"Plan2"}</definedName>
    <definedName name="jishfrieyhtau" localSheetId="3" hidden="1">{#N/A,#N/A,FALSE,"Plan1";#N/A,#N/A,FALSE,"Plan2"}</definedName>
    <definedName name="jishfrieyhtau" localSheetId="8">{#N/A,#N/A,FALSE,"Plan1";#N/A,#N/A,FALSE,"Plan2"}</definedName>
    <definedName name="jishfrieyhtau" localSheetId="5" hidden="1">{#N/A,#N/A,FALSE,"Plan1";#N/A,#N/A,FALSE,"Plan2"}</definedName>
    <definedName name="jishfrieyhtau" localSheetId="4" hidden="1">{#N/A,#N/A,FALSE,"Plan1";#N/A,#N/A,FALSE,"Plan2"}</definedName>
    <definedName name="jishfrieyhtau" localSheetId="9">{#N/A,#N/A,FALSE,"Plan1";#N/A,#N/A,FALSE,"Plan2"}</definedName>
    <definedName name="jishfrieyhtau" localSheetId="10" hidden="1">{#N/A,#N/A,FALSE,"Plan1";#N/A,#N/A,FALSE,"Plan2"}</definedName>
    <definedName name="jishfrieyhtau" localSheetId="1" hidden="1">{#N/A,#N/A,FALSE,"Plan1";#N/A,#N/A,FALSE,"Plan2"}</definedName>
    <definedName name="jishfrieyhtau" localSheetId="0">{#N/A,#N/A,FALSE,"Plan1";#N/A,#N/A,FALSE,"Plan2"}</definedName>
    <definedName name="jishfrieyhtau" localSheetId="11" hidden="1">{#N/A,#N/A,FALSE,"Plan1";#N/A,#N/A,FALSE,"Plan2"}</definedName>
    <definedName name="jishfrieyhtau" localSheetId="12" hidden="1">{#N/A,#N/A,FALSE,"Plan1";#N/A,#N/A,FALSE,"Plan2"}</definedName>
    <definedName name="jishfrieyhtau" hidden="1">{#N/A,#N/A,FALSE,"Plan1";#N/A,#N/A,FALSE,"Plan2"}</definedName>
    <definedName name="jiu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iu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j" localSheetId="3" hidden="1">{"'Apr-00'!$B$4:$AD$44"}</definedName>
    <definedName name="jj" localSheetId="8">{"'Apr-00'!$B$4:$AD$44"}</definedName>
    <definedName name="jj" localSheetId="5" hidden="1">{"'Apr-00'!$B$4:$AD$44"}</definedName>
    <definedName name="jj" localSheetId="4" hidden="1">{"'Apr-00'!$B$4:$AD$44"}</definedName>
    <definedName name="jj" localSheetId="9">{"'Apr-00'!$B$4:$AD$44"}</definedName>
    <definedName name="jj" localSheetId="10" hidden="1">{"'Apr-00'!$B$4:$AD$44"}</definedName>
    <definedName name="jj" localSheetId="1" hidden="1">{"'Apr-00'!$B$4:$AD$44"}</definedName>
    <definedName name="jj" localSheetId="0">{"'Apr-00'!$B$4:$AD$44"}</definedName>
    <definedName name="jj" localSheetId="11" hidden="1">{"'Apr-00'!$B$4:$AD$44"}</definedName>
    <definedName name="jj" localSheetId="12" hidden="1">{"'Apr-00'!$B$4:$AD$44"}</definedName>
    <definedName name="jj" hidden="1">{"'Apr-00'!$B$4:$AD$44"}</definedName>
    <definedName name="jjfdsktyhhy" localSheetId="3" hidden="1">{#N/A,#N/A,FALSE,"Plan1";#N/A,#N/A,FALSE,"Plan2"}</definedName>
    <definedName name="jjfdsktyhhy" localSheetId="8">{#N/A,#N/A,FALSE,"Plan1";#N/A,#N/A,FALSE,"Plan2"}</definedName>
    <definedName name="jjfdsktyhhy" localSheetId="5" hidden="1">{#N/A,#N/A,FALSE,"Plan1";#N/A,#N/A,FALSE,"Plan2"}</definedName>
    <definedName name="jjfdsktyhhy" localSheetId="4" hidden="1">{#N/A,#N/A,FALSE,"Plan1";#N/A,#N/A,FALSE,"Plan2"}</definedName>
    <definedName name="jjfdsktyhhy" localSheetId="9">{#N/A,#N/A,FALSE,"Plan1";#N/A,#N/A,FALSE,"Plan2"}</definedName>
    <definedName name="jjfdsktyhhy" localSheetId="10" hidden="1">{#N/A,#N/A,FALSE,"Plan1";#N/A,#N/A,FALSE,"Plan2"}</definedName>
    <definedName name="jjfdsktyhhy" localSheetId="1" hidden="1">{#N/A,#N/A,FALSE,"Plan1";#N/A,#N/A,FALSE,"Plan2"}</definedName>
    <definedName name="jjfdsktyhhy" localSheetId="0">{#N/A,#N/A,FALSE,"Plan1";#N/A,#N/A,FALSE,"Plan2"}</definedName>
    <definedName name="jjfdsktyhhy" localSheetId="11" hidden="1">{#N/A,#N/A,FALSE,"Plan1";#N/A,#N/A,FALSE,"Plan2"}</definedName>
    <definedName name="jjfdsktyhhy" localSheetId="12" hidden="1">{#N/A,#N/A,FALSE,"Plan1";#N/A,#N/A,FALSE,"Plan2"}</definedName>
    <definedName name="jjfdsktyhhy" hidden="1">{#N/A,#N/A,FALSE,"Plan1";#N/A,#N/A,FALSE,"Plan2"}</definedName>
    <definedName name="jjjjjjjjjjjjjjjjjjjj" localSheetId="8">#REF!</definedName>
    <definedName name="jjjjjjjjjjjjjjjjjjjj" localSheetId="5">#REF!</definedName>
    <definedName name="jjjjjjjjjjjjjjjjjjjj" localSheetId="9">#REF!</definedName>
    <definedName name="jjjjjjjjjjjjjjjjjjjj" localSheetId="10">#REF!</definedName>
    <definedName name="jjjjjjjjjjjjjjjjjjjj" localSheetId="0">#REF!</definedName>
    <definedName name="jjjjjjjjjjjjjjjjjjjj" localSheetId="11">#REF!</definedName>
    <definedName name="jjjjjjjjjjjjjjjjjjjj" localSheetId="12">#REF!</definedName>
    <definedName name="jjjjjjjjjjjjjjjjjjjj">#REF!</definedName>
    <definedName name="jjkjkjk" localSheetId="3" hidden="1">{#N/A,#N/A,FALSE,"Plan1";#N/A,#N/A,FALSE,"Plan2"}</definedName>
    <definedName name="jjkjkjk" localSheetId="8">{#N/A,#N/A,FALSE,"Plan1";#N/A,#N/A,FALSE,"Plan2"}</definedName>
    <definedName name="jjkjkjk" localSheetId="5" hidden="1">{#N/A,#N/A,FALSE,"Plan1";#N/A,#N/A,FALSE,"Plan2"}</definedName>
    <definedName name="jjkjkjk" localSheetId="4" hidden="1">{#N/A,#N/A,FALSE,"Plan1";#N/A,#N/A,FALSE,"Plan2"}</definedName>
    <definedName name="jjkjkjk" localSheetId="9">{#N/A,#N/A,FALSE,"Plan1";#N/A,#N/A,FALSE,"Plan2"}</definedName>
    <definedName name="jjkjkjk" localSheetId="10" hidden="1">{#N/A,#N/A,FALSE,"Plan1";#N/A,#N/A,FALSE,"Plan2"}</definedName>
    <definedName name="jjkjkjk" localSheetId="1" hidden="1">{#N/A,#N/A,FALSE,"Plan1";#N/A,#N/A,FALSE,"Plan2"}</definedName>
    <definedName name="jjkjkjk" localSheetId="0">{#N/A,#N/A,FALSE,"Plan1";#N/A,#N/A,FALSE,"Plan2"}</definedName>
    <definedName name="jjkjkjk" localSheetId="11" hidden="1">{#N/A,#N/A,FALSE,"Plan1";#N/A,#N/A,FALSE,"Plan2"}</definedName>
    <definedName name="jjkjkjk" localSheetId="12" hidden="1">{#N/A,#N/A,FALSE,"Plan1";#N/A,#N/A,FALSE,"Plan2"}</definedName>
    <definedName name="jjkjkjk" hidden="1">{#N/A,#N/A,FALSE,"Plan1";#N/A,#N/A,FALSE,"Plan2"}</definedName>
    <definedName name="JKDCK" localSheetId="3" hidden="1">{#N/A,#N/A,FALSE,"Plan1";#N/A,#N/A,FALSE,"Plan2"}</definedName>
    <definedName name="JKDCK" localSheetId="8">{#N/A,#N/A,FALSE,"Plan1";#N/A,#N/A,FALSE,"Plan2"}</definedName>
    <definedName name="JKDCK" localSheetId="5" hidden="1">{#N/A,#N/A,FALSE,"Plan1";#N/A,#N/A,FALSE,"Plan2"}</definedName>
    <definedName name="JKDCK" localSheetId="4" hidden="1">{#N/A,#N/A,FALSE,"Plan1";#N/A,#N/A,FALSE,"Plan2"}</definedName>
    <definedName name="JKDCK" localSheetId="9">{#N/A,#N/A,FALSE,"Plan1";#N/A,#N/A,FALSE,"Plan2"}</definedName>
    <definedName name="JKDCK" localSheetId="10" hidden="1">{#N/A,#N/A,FALSE,"Plan1";#N/A,#N/A,FALSE,"Plan2"}</definedName>
    <definedName name="JKDCK" localSheetId="1" hidden="1">{#N/A,#N/A,FALSE,"Plan1";#N/A,#N/A,FALSE,"Plan2"}</definedName>
    <definedName name="JKDCK" localSheetId="0">{#N/A,#N/A,FALSE,"Plan1";#N/A,#N/A,FALSE,"Plan2"}</definedName>
    <definedName name="JKDCK" localSheetId="11" hidden="1">{#N/A,#N/A,FALSE,"Plan1";#N/A,#N/A,FALSE,"Plan2"}</definedName>
    <definedName name="JKDCK" localSheetId="12" hidden="1">{#N/A,#N/A,FALSE,"Plan1";#N/A,#N/A,FALSE,"Plan2"}</definedName>
    <definedName name="JKDCK" hidden="1">{#N/A,#N/A,FALSE,"Plan1";#N/A,#N/A,FALSE,"Plan2"}</definedName>
    <definedName name="JKDFHKHFR" localSheetId="3" hidden="1">{#N/A,#N/A,FALSE,"Plan1";#N/A,#N/A,FALSE,"Plan2"}</definedName>
    <definedName name="JKDFHKHFR" localSheetId="8">{#N/A,#N/A,FALSE,"Plan1";#N/A,#N/A,FALSE,"Plan2"}</definedName>
    <definedName name="JKDFHKHFR" localSheetId="5" hidden="1">{#N/A,#N/A,FALSE,"Plan1";#N/A,#N/A,FALSE,"Plan2"}</definedName>
    <definedName name="JKDFHKHFR" localSheetId="4" hidden="1">{#N/A,#N/A,FALSE,"Plan1";#N/A,#N/A,FALSE,"Plan2"}</definedName>
    <definedName name="JKDFHKHFR" localSheetId="9">{#N/A,#N/A,FALSE,"Plan1";#N/A,#N/A,FALSE,"Plan2"}</definedName>
    <definedName name="JKDFHKHFR" localSheetId="10" hidden="1">{#N/A,#N/A,FALSE,"Plan1";#N/A,#N/A,FALSE,"Plan2"}</definedName>
    <definedName name="JKDFHKHFR" localSheetId="1" hidden="1">{#N/A,#N/A,FALSE,"Plan1";#N/A,#N/A,FALSE,"Plan2"}</definedName>
    <definedName name="JKDFHKHFR" localSheetId="0">{#N/A,#N/A,FALSE,"Plan1";#N/A,#N/A,FALSE,"Plan2"}</definedName>
    <definedName name="JKDFHKHFR" localSheetId="11" hidden="1">{#N/A,#N/A,FALSE,"Plan1";#N/A,#N/A,FALSE,"Plan2"}</definedName>
    <definedName name="JKDFHKHFR" localSheetId="12" hidden="1">{#N/A,#N/A,FALSE,"Plan1";#N/A,#N/A,FALSE,"Plan2"}</definedName>
    <definedName name="JKDFHKHFR" hidden="1">{#N/A,#N/A,FALSE,"Plan1";#N/A,#N/A,FALSE,"Plan2"}</definedName>
    <definedName name="JKDFTRDRJ" localSheetId="3" hidden="1">{#N/A,#N/A,FALSE,"Plan1";#N/A,#N/A,FALSE,"Plan2"}</definedName>
    <definedName name="JKDFTRDRJ" localSheetId="8">{#N/A,#N/A,FALSE,"Plan1";#N/A,#N/A,FALSE,"Plan2"}</definedName>
    <definedName name="JKDFTRDRJ" localSheetId="5" hidden="1">{#N/A,#N/A,FALSE,"Plan1";#N/A,#N/A,FALSE,"Plan2"}</definedName>
    <definedName name="JKDFTRDRJ" localSheetId="4" hidden="1">{#N/A,#N/A,FALSE,"Plan1";#N/A,#N/A,FALSE,"Plan2"}</definedName>
    <definedName name="JKDFTRDRJ" localSheetId="9">{#N/A,#N/A,FALSE,"Plan1";#N/A,#N/A,FALSE,"Plan2"}</definedName>
    <definedName name="JKDFTRDRJ" localSheetId="10" hidden="1">{#N/A,#N/A,FALSE,"Plan1";#N/A,#N/A,FALSE,"Plan2"}</definedName>
    <definedName name="JKDFTRDRJ" localSheetId="1" hidden="1">{#N/A,#N/A,FALSE,"Plan1";#N/A,#N/A,FALSE,"Plan2"}</definedName>
    <definedName name="JKDFTRDRJ" localSheetId="0">{#N/A,#N/A,FALSE,"Plan1";#N/A,#N/A,FALSE,"Plan2"}</definedName>
    <definedName name="JKDFTRDRJ" localSheetId="11" hidden="1">{#N/A,#N/A,FALSE,"Plan1";#N/A,#N/A,FALSE,"Plan2"}</definedName>
    <definedName name="JKDFTRDRJ" localSheetId="12" hidden="1">{#N/A,#N/A,FALSE,"Plan1";#N/A,#N/A,FALSE,"Plan2"}</definedName>
    <definedName name="JKDFTRDRJ" hidden="1">{#N/A,#N/A,FALSE,"Plan1";#N/A,#N/A,FALSE,"Plan2"}</definedName>
    <definedName name="jkdhfukhddf" localSheetId="3" hidden="1">{#N/A,#N/A,FALSE,"Plan1";#N/A,#N/A,FALSE,"Plan2"}</definedName>
    <definedName name="jkdhfukhddf" localSheetId="8">{#N/A,#N/A,FALSE,"Plan1";#N/A,#N/A,FALSE,"Plan2"}</definedName>
    <definedName name="jkdhfukhddf" localSheetId="5" hidden="1">{#N/A,#N/A,FALSE,"Plan1";#N/A,#N/A,FALSE,"Plan2"}</definedName>
    <definedName name="jkdhfukhddf" localSheetId="4" hidden="1">{#N/A,#N/A,FALSE,"Plan1";#N/A,#N/A,FALSE,"Plan2"}</definedName>
    <definedName name="jkdhfukhddf" localSheetId="9">{#N/A,#N/A,FALSE,"Plan1";#N/A,#N/A,FALSE,"Plan2"}</definedName>
    <definedName name="jkdhfukhddf" localSheetId="10" hidden="1">{#N/A,#N/A,FALSE,"Plan1";#N/A,#N/A,FALSE,"Plan2"}</definedName>
    <definedName name="jkdhfukhddf" localSheetId="1" hidden="1">{#N/A,#N/A,FALSE,"Plan1";#N/A,#N/A,FALSE,"Plan2"}</definedName>
    <definedName name="jkdhfukhddf" localSheetId="0">{#N/A,#N/A,FALSE,"Plan1";#N/A,#N/A,FALSE,"Plan2"}</definedName>
    <definedName name="jkdhfukhddf" localSheetId="11" hidden="1">{#N/A,#N/A,FALSE,"Plan1";#N/A,#N/A,FALSE,"Plan2"}</definedName>
    <definedName name="jkdhfukhddf" localSheetId="12" hidden="1">{#N/A,#N/A,FALSE,"Plan1";#N/A,#N/A,FALSE,"Plan2"}</definedName>
    <definedName name="jkdhfukhddf" hidden="1">{#N/A,#N/A,FALSE,"Plan1";#N/A,#N/A,FALSE,"Plan2"}</definedName>
    <definedName name="JKDRKGJHTD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DRKGJHTD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elsjreja" localSheetId="3" hidden="1">{#N/A,#N/A,FALSE,"Plan1";#N/A,#N/A,FALSE,"Plan2"}</definedName>
    <definedName name="jkelsjreja" localSheetId="8">{#N/A,#N/A,FALSE,"Plan1";#N/A,#N/A,FALSE,"Plan2"}</definedName>
    <definedName name="jkelsjreja" localSheetId="5" hidden="1">{#N/A,#N/A,FALSE,"Plan1";#N/A,#N/A,FALSE,"Plan2"}</definedName>
    <definedName name="jkelsjreja" localSheetId="4" hidden="1">{#N/A,#N/A,FALSE,"Plan1";#N/A,#N/A,FALSE,"Plan2"}</definedName>
    <definedName name="jkelsjreja" localSheetId="9">{#N/A,#N/A,FALSE,"Plan1";#N/A,#N/A,FALSE,"Plan2"}</definedName>
    <definedName name="jkelsjreja" localSheetId="10" hidden="1">{#N/A,#N/A,FALSE,"Plan1";#N/A,#N/A,FALSE,"Plan2"}</definedName>
    <definedName name="jkelsjreja" localSheetId="1" hidden="1">{#N/A,#N/A,FALSE,"Plan1";#N/A,#N/A,FALSE,"Plan2"}</definedName>
    <definedName name="jkelsjreja" localSheetId="0">{#N/A,#N/A,FALSE,"Plan1";#N/A,#N/A,FALSE,"Plan2"}</definedName>
    <definedName name="jkelsjreja" localSheetId="11" hidden="1">{#N/A,#N/A,FALSE,"Plan1";#N/A,#N/A,FALSE,"Plan2"}</definedName>
    <definedName name="jkelsjreja" localSheetId="12" hidden="1">{#N/A,#N/A,FALSE,"Plan1";#N/A,#N/A,FALSE,"Plan2"}</definedName>
    <definedName name="jkelsjreja" hidden="1">{#N/A,#N/A,FALSE,"Plan1";#N/A,#N/A,FALSE,"Plan2"}</definedName>
    <definedName name="jkfhjgkfhghh" localSheetId="3" hidden="1">{#N/A,#N/A,FALSE,"Plan1";#N/A,#N/A,FALSE,"Plan2"}</definedName>
    <definedName name="jkfhjgkfhghh" localSheetId="8">{#N/A,#N/A,FALSE,"Plan1";#N/A,#N/A,FALSE,"Plan2"}</definedName>
    <definedName name="jkfhjgkfhghh" localSheetId="5" hidden="1">{#N/A,#N/A,FALSE,"Plan1";#N/A,#N/A,FALSE,"Plan2"}</definedName>
    <definedName name="jkfhjgkfhghh" localSheetId="4" hidden="1">{#N/A,#N/A,FALSE,"Plan1";#N/A,#N/A,FALSE,"Plan2"}</definedName>
    <definedName name="jkfhjgkfhghh" localSheetId="9">{#N/A,#N/A,FALSE,"Plan1";#N/A,#N/A,FALSE,"Plan2"}</definedName>
    <definedName name="jkfhjgkfhghh" localSheetId="10" hidden="1">{#N/A,#N/A,FALSE,"Plan1";#N/A,#N/A,FALSE,"Plan2"}</definedName>
    <definedName name="jkfhjgkfhghh" localSheetId="1" hidden="1">{#N/A,#N/A,FALSE,"Plan1";#N/A,#N/A,FALSE,"Plan2"}</definedName>
    <definedName name="jkfhjgkfhghh" localSheetId="0">{#N/A,#N/A,FALSE,"Plan1";#N/A,#N/A,FALSE,"Plan2"}</definedName>
    <definedName name="jkfhjgkfhghh" localSheetId="11" hidden="1">{#N/A,#N/A,FALSE,"Plan1";#N/A,#N/A,FALSE,"Plan2"}</definedName>
    <definedName name="jkfhjgkfhghh" localSheetId="12" hidden="1">{#N/A,#N/A,FALSE,"Plan1";#N/A,#N/A,FALSE,"Plan2"}</definedName>
    <definedName name="jkfhjgkfhghh" hidden="1">{#N/A,#N/A,FALSE,"Plan1";#N/A,#N/A,FALSE,"Plan2"}</definedName>
    <definedName name="jkhderjkhes" localSheetId="3" hidden="1">{#N/A,#N/A,FALSE,"Plan1";#N/A,#N/A,FALSE,"Plan2"}</definedName>
    <definedName name="jkhderjkhes" localSheetId="8">{#N/A,#N/A,FALSE,"Plan1";#N/A,#N/A,FALSE,"Plan2"}</definedName>
    <definedName name="jkhderjkhes" localSheetId="5" hidden="1">{#N/A,#N/A,FALSE,"Plan1";#N/A,#N/A,FALSE,"Plan2"}</definedName>
    <definedName name="jkhderjkhes" localSheetId="4" hidden="1">{#N/A,#N/A,FALSE,"Plan1";#N/A,#N/A,FALSE,"Plan2"}</definedName>
    <definedName name="jkhderjkhes" localSheetId="9">{#N/A,#N/A,FALSE,"Plan1";#N/A,#N/A,FALSE,"Plan2"}</definedName>
    <definedName name="jkhderjkhes" localSheetId="10" hidden="1">{#N/A,#N/A,FALSE,"Plan1";#N/A,#N/A,FALSE,"Plan2"}</definedName>
    <definedName name="jkhderjkhes" localSheetId="1" hidden="1">{#N/A,#N/A,FALSE,"Plan1";#N/A,#N/A,FALSE,"Plan2"}</definedName>
    <definedName name="jkhderjkhes" localSheetId="0">{#N/A,#N/A,FALSE,"Plan1";#N/A,#N/A,FALSE,"Plan2"}</definedName>
    <definedName name="jkhderjkhes" localSheetId="11" hidden="1">{#N/A,#N/A,FALSE,"Plan1";#N/A,#N/A,FALSE,"Plan2"}</definedName>
    <definedName name="jkhderjkhes" localSheetId="12" hidden="1">{#N/A,#N/A,FALSE,"Plan1";#N/A,#N/A,FALSE,"Plan2"}</definedName>
    <definedName name="jkhderjkhes" hidden="1">{#N/A,#N/A,FALSE,"Plan1";#N/A,#N/A,FALSE,"Plan2"}</definedName>
    <definedName name="jkhdfhfd" localSheetId="3" hidden="1">{#N/A,#N/A,FALSE,"Plan1";#N/A,#N/A,FALSE,"Plan2"}</definedName>
    <definedName name="jkhdfhfd" localSheetId="8">{#N/A,#N/A,FALSE,"Plan1";#N/A,#N/A,FALSE,"Plan2"}</definedName>
    <definedName name="jkhdfhfd" localSheetId="5" hidden="1">{#N/A,#N/A,FALSE,"Plan1";#N/A,#N/A,FALSE,"Plan2"}</definedName>
    <definedName name="jkhdfhfd" localSheetId="4" hidden="1">{#N/A,#N/A,FALSE,"Plan1";#N/A,#N/A,FALSE,"Plan2"}</definedName>
    <definedName name="jkhdfhfd" localSheetId="9">{#N/A,#N/A,FALSE,"Plan1";#N/A,#N/A,FALSE,"Plan2"}</definedName>
    <definedName name="jkhdfhfd" localSheetId="10" hidden="1">{#N/A,#N/A,FALSE,"Plan1";#N/A,#N/A,FALSE,"Plan2"}</definedName>
    <definedName name="jkhdfhfd" localSheetId="1" hidden="1">{#N/A,#N/A,FALSE,"Plan1";#N/A,#N/A,FALSE,"Plan2"}</definedName>
    <definedName name="jkhdfhfd" localSheetId="0">{#N/A,#N/A,FALSE,"Plan1";#N/A,#N/A,FALSE,"Plan2"}</definedName>
    <definedName name="jkhdfhfd" localSheetId="11" hidden="1">{#N/A,#N/A,FALSE,"Plan1";#N/A,#N/A,FALSE,"Plan2"}</definedName>
    <definedName name="jkhdfhfd" localSheetId="12" hidden="1">{#N/A,#N/A,FALSE,"Plan1";#N/A,#N/A,FALSE,"Plan2"}</definedName>
    <definedName name="jkhdfhfd" hidden="1">{#N/A,#N/A,FALSE,"Plan1";#N/A,#N/A,FALSE,"Plan2"}</definedName>
    <definedName name="jkhfhest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hest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KHFKJHGKFTHUDET" localSheetId="3" hidden="1">{#N/A,#N/A,FALSE,"Plan1";#N/A,#N/A,FALSE,"Plan2"}</definedName>
    <definedName name="JKHFKJHGKFTHUDET" localSheetId="8">{#N/A,#N/A,FALSE,"Plan1";#N/A,#N/A,FALSE,"Plan2"}</definedName>
    <definedName name="JKHFKJHGKFTHUDET" localSheetId="5" hidden="1">{#N/A,#N/A,FALSE,"Plan1";#N/A,#N/A,FALSE,"Plan2"}</definedName>
    <definedName name="JKHFKJHGKFTHUDET" localSheetId="4" hidden="1">{#N/A,#N/A,FALSE,"Plan1";#N/A,#N/A,FALSE,"Plan2"}</definedName>
    <definedName name="JKHFKJHGKFTHUDET" localSheetId="9">{#N/A,#N/A,FALSE,"Plan1";#N/A,#N/A,FALSE,"Plan2"}</definedName>
    <definedName name="JKHFKJHGKFTHUDET" localSheetId="10" hidden="1">{#N/A,#N/A,FALSE,"Plan1";#N/A,#N/A,FALSE,"Plan2"}</definedName>
    <definedName name="JKHFKJHGKFTHUDET" localSheetId="1" hidden="1">{#N/A,#N/A,FALSE,"Plan1";#N/A,#N/A,FALSE,"Plan2"}</definedName>
    <definedName name="JKHFKJHGKFTHUDET" localSheetId="0">{#N/A,#N/A,FALSE,"Plan1";#N/A,#N/A,FALSE,"Plan2"}</definedName>
    <definedName name="JKHFKJHGKFTHUDET" localSheetId="11" hidden="1">{#N/A,#N/A,FALSE,"Plan1";#N/A,#N/A,FALSE,"Plan2"}</definedName>
    <definedName name="JKHFKJHGKFTHUDET" localSheetId="12" hidden="1">{#N/A,#N/A,FALSE,"Plan1";#N/A,#N/A,FALSE,"Plan2"}</definedName>
    <definedName name="JKHFKJHGKFTHUDET" hidden="1">{#N/A,#N/A,FALSE,"Plan1";#N/A,#N/A,FALSE,"Plan2"}</definedName>
    <definedName name="JKHGDHFUHTG" localSheetId="3" hidden="1">{#N/A,#N/A,FALSE,"Plan1";#N/A,#N/A,FALSE,"Plan2"}</definedName>
    <definedName name="JKHGDHFUHTG" localSheetId="8">{#N/A,#N/A,FALSE,"Plan1";#N/A,#N/A,FALSE,"Plan2"}</definedName>
    <definedName name="JKHGDHFUHTG" localSheetId="5" hidden="1">{#N/A,#N/A,FALSE,"Plan1";#N/A,#N/A,FALSE,"Plan2"}</definedName>
    <definedName name="JKHGDHFUHTG" localSheetId="4" hidden="1">{#N/A,#N/A,FALSE,"Plan1";#N/A,#N/A,FALSE,"Plan2"}</definedName>
    <definedName name="JKHGDHFUHTG" localSheetId="9">{#N/A,#N/A,FALSE,"Plan1";#N/A,#N/A,FALSE,"Plan2"}</definedName>
    <definedName name="JKHGDHFUHTG" localSheetId="10" hidden="1">{#N/A,#N/A,FALSE,"Plan1";#N/A,#N/A,FALSE,"Plan2"}</definedName>
    <definedName name="JKHGDHFUHTG" localSheetId="1" hidden="1">{#N/A,#N/A,FALSE,"Plan1";#N/A,#N/A,FALSE,"Plan2"}</definedName>
    <definedName name="JKHGDHFUHTG" localSheetId="0">{#N/A,#N/A,FALSE,"Plan1";#N/A,#N/A,FALSE,"Plan2"}</definedName>
    <definedName name="JKHGDHFUHTG" localSheetId="11" hidden="1">{#N/A,#N/A,FALSE,"Plan1";#N/A,#N/A,FALSE,"Plan2"}</definedName>
    <definedName name="JKHGDHFUHTG" localSheetId="12" hidden="1">{#N/A,#N/A,FALSE,"Plan1";#N/A,#N/A,FALSE,"Plan2"}</definedName>
    <definedName name="JKHGDHFUHTG" hidden="1">{#N/A,#N/A,FALSE,"Plan1";#N/A,#N/A,FALSE,"Plan2"}</definedName>
    <definedName name="jkhsdzjkfyiu" localSheetId="3" hidden="1">{#N/A,#N/A,FALSE,"Plan1";#N/A,#N/A,FALSE,"Plan2"}</definedName>
    <definedName name="jkhsdzjkfyiu" localSheetId="8">{#N/A,#N/A,FALSE,"Plan1";#N/A,#N/A,FALSE,"Plan2"}</definedName>
    <definedName name="jkhsdzjkfyiu" localSheetId="5" hidden="1">{#N/A,#N/A,FALSE,"Plan1";#N/A,#N/A,FALSE,"Plan2"}</definedName>
    <definedName name="jkhsdzjkfyiu" localSheetId="4" hidden="1">{#N/A,#N/A,FALSE,"Plan1";#N/A,#N/A,FALSE,"Plan2"}</definedName>
    <definedName name="jkhsdzjkfyiu" localSheetId="9">{#N/A,#N/A,FALSE,"Plan1";#N/A,#N/A,FALSE,"Plan2"}</definedName>
    <definedName name="jkhsdzjkfyiu" localSheetId="10" hidden="1">{#N/A,#N/A,FALSE,"Plan1";#N/A,#N/A,FALSE,"Plan2"}</definedName>
    <definedName name="jkhsdzjkfyiu" localSheetId="1" hidden="1">{#N/A,#N/A,FALSE,"Plan1";#N/A,#N/A,FALSE,"Plan2"}</definedName>
    <definedName name="jkhsdzjkfyiu" localSheetId="0">{#N/A,#N/A,FALSE,"Plan1";#N/A,#N/A,FALSE,"Plan2"}</definedName>
    <definedName name="jkhsdzjkfyiu" localSheetId="11" hidden="1">{#N/A,#N/A,FALSE,"Plan1";#N/A,#N/A,FALSE,"Plan2"}</definedName>
    <definedName name="jkhsdzjkfyiu" localSheetId="12" hidden="1">{#N/A,#N/A,FALSE,"Plan1";#N/A,#N/A,FALSE,"Plan2"}</definedName>
    <definedName name="jkhsdzjkfyiu" hidden="1">{#N/A,#N/A,FALSE,"Plan1";#N/A,#N/A,FALSE,"Plan2"}</definedName>
    <definedName name="jkjsdkhfdhrf" localSheetId="3" hidden="1">{#N/A,#N/A,FALSE,"Plan1";#N/A,#N/A,FALSE,"Plan2"}</definedName>
    <definedName name="jkjsdkhfdhrf" localSheetId="8">{#N/A,#N/A,FALSE,"Plan1";#N/A,#N/A,FALSE,"Plan2"}</definedName>
    <definedName name="jkjsdkhfdhrf" localSheetId="5" hidden="1">{#N/A,#N/A,FALSE,"Plan1";#N/A,#N/A,FALSE,"Plan2"}</definedName>
    <definedName name="jkjsdkhfdhrf" localSheetId="4" hidden="1">{#N/A,#N/A,FALSE,"Plan1";#N/A,#N/A,FALSE,"Plan2"}</definedName>
    <definedName name="jkjsdkhfdhrf" localSheetId="9">{#N/A,#N/A,FALSE,"Plan1";#N/A,#N/A,FALSE,"Plan2"}</definedName>
    <definedName name="jkjsdkhfdhrf" localSheetId="10" hidden="1">{#N/A,#N/A,FALSE,"Plan1";#N/A,#N/A,FALSE,"Plan2"}</definedName>
    <definedName name="jkjsdkhfdhrf" localSheetId="1" hidden="1">{#N/A,#N/A,FALSE,"Plan1";#N/A,#N/A,FALSE,"Plan2"}</definedName>
    <definedName name="jkjsdkhfdhrf" localSheetId="0">{#N/A,#N/A,FALSE,"Plan1";#N/A,#N/A,FALSE,"Plan2"}</definedName>
    <definedName name="jkjsdkhfdhrf" localSheetId="11" hidden="1">{#N/A,#N/A,FALSE,"Plan1";#N/A,#N/A,FALSE,"Plan2"}</definedName>
    <definedName name="jkjsdkhfdhrf" localSheetId="12" hidden="1">{#N/A,#N/A,FALSE,"Plan1";#N/A,#N/A,FALSE,"Plan2"}</definedName>
    <definedName name="jkjsdkhfdhrf" hidden="1">{#N/A,#N/A,FALSE,"Plan1";#N/A,#N/A,FALSE,"Plan2"}</definedName>
    <definedName name="jklgfsjgtjtg" localSheetId="3" hidden="1">{#N/A,#N/A,FALSE,"Plan1";#N/A,#N/A,FALSE,"Plan2"}</definedName>
    <definedName name="jklgfsjgtjtg" localSheetId="8">{#N/A,#N/A,FALSE,"Plan1";#N/A,#N/A,FALSE,"Plan2"}</definedName>
    <definedName name="jklgfsjgtjtg" localSheetId="5" hidden="1">{#N/A,#N/A,FALSE,"Plan1";#N/A,#N/A,FALSE,"Plan2"}</definedName>
    <definedName name="jklgfsjgtjtg" localSheetId="4" hidden="1">{#N/A,#N/A,FALSE,"Plan1";#N/A,#N/A,FALSE,"Plan2"}</definedName>
    <definedName name="jklgfsjgtjtg" localSheetId="9">{#N/A,#N/A,FALSE,"Plan1";#N/A,#N/A,FALSE,"Plan2"}</definedName>
    <definedName name="jklgfsjgtjtg" localSheetId="10" hidden="1">{#N/A,#N/A,FALSE,"Plan1";#N/A,#N/A,FALSE,"Plan2"}</definedName>
    <definedName name="jklgfsjgtjtg" localSheetId="1" hidden="1">{#N/A,#N/A,FALSE,"Plan1";#N/A,#N/A,FALSE,"Plan2"}</definedName>
    <definedName name="jklgfsjgtjtg" localSheetId="0">{#N/A,#N/A,FALSE,"Plan1";#N/A,#N/A,FALSE,"Plan2"}</definedName>
    <definedName name="jklgfsjgtjtg" localSheetId="11" hidden="1">{#N/A,#N/A,FALSE,"Plan1";#N/A,#N/A,FALSE,"Plan2"}</definedName>
    <definedName name="jklgfsjgtjtg" localSheetId="12" hidden="1">{#N/A,#N/A,FALSE,"Plan1";#N/A,#N/A,FALSE,"Plan2"}</definedName>
    <definedName name="jklgfsjgtjtg" hidden="1">{#N/A,#N/A,FALSE,"Plan1";#N/A,#N/A,FALSE,"Plan2"}</definedName>
    <definedName name="jksldfjsdhf" localSheetId="3" hidden="1">{#N/A,#N/A,FALSE,"Plan1";#N/A,#N/A,FALSE,"Plan2"}</definedName>
    <definedName name="jksldfjsdhf" localSheetId="8">{#N/A,#N/A,FALSE,"Plan1";#N/A,#N/A,FALSE,"Plan2"}</definedName>
    <definedName name="jksldfjsdhf" localSheetId="5" hidden="1">{#N/A,#N/A,FALSE,"Plan1";#N/A,#N/A,FALSE,"Plan2"}</definedName>
    <definedName name="jksldfjsdhf" localSheetId="4" hidden="1">{#N/A,#N/A,FALSE,"Plan1";#N/A,#N/A,FALSE,"Plan2"}</definedName>
    <definedName name="jksldfjsdhf" localSheetId="9">{#N/A,#N/A,FALSE,"Plan1";#N/A,#N/A,FALSE,"Plan2"}</definedName>
    <definedName name="jksldfjsdhf" localSheetId="10" hidden="1">{#N/A,#N/A,FALSE,"Plan1";#N/A,#N/A,FALSE,"Plan2"}</definedName>
    <definedName name="jksldfjsdhf" localSheetId="1" hidden="1">{#N/A,#N/A,FALSE,"Plan1";#N/A,#N/A,FALSE,"Plan2"}</definedName>
    <definedName name="jksldfjsdhf" localSheetId="0">{#N/A,#N/A,FALSE,"Plan1";#N/A,#N/A,FALSE,"Plan2"}</definedName>
    <definedName name="jksldfjsdhf" localSheetId="11" hidden="1">{#N/A,#N/A,FALSE,"Plan1";#N/A,#N/A,FALSE,"Plan2"}</definedName>
    <definedName name="jksldfjsdhf" localSheetId="12" hidden="1">{#N/A,#N/A,FALSE,"Plan1";#N/A,#N/A,FALSE,"Plan2"}</definedName>
    <definedName name="jksldfjsdhf" hidden="1">{#N/A,#N/A,FALSE,"Plan1";#N/A,#N/A,FALSE,"Plan2"}</definedName>
    <definedName name="jkxhcjkhfr" localSheetId="3" hidden="1">{#N/A,#N/A,FALSE,"Plan1";#N/A,#N/A,FALSE,"Plan2"}</definedName>
    <definedName name="jkxhcjkhfr" localSheetId="8">{#N/A,#N/A,FALSE,"Plan1";#N/A,#N/A,FALSE,"Plan2"}</definedName>
    <definedName name="jkxhcjkhfr" localSheetId="5" hidden="1">{#N/A,#N/A,FALSE,"Plan1";#N/A,#N/A,FALSE,"Plan2"}</definedName>
    <definedName name="jkxhcjkhfr" localSheetId="4" hidden="1">{#N/A,#N/A,FALSE,"Plan1";#N/A,#N/A,FALSE,"Plan2"}</definedName>
    <definedName name="jkxhcjkhfr" localSheetId="9">{#N/A,#N/A,FALSE,"Plan1";#N/A,#N/A,FALSE,"Plan2"}</definedName>
    <definedName name="jkxhcjkhfr" localSheetId="10" hidden="1">{#N/A,#N/A,FALSE,"Plan1";#N/A,#N/A,FALSE,"Plan2"}</definedName>
    <definedName name="jkxhcjkhfr" localSheetId="1" hidden="1">{#N/A,#N/A,FALSE,"Plan1";#N/A,#N/A,FALSE,"Plan2"}</definedName>
    <definedName name="jkxhcjkhfr" localSheetId="0">{#N/A,#N/A,FALSE,"Plan1";#N/A,#N/A,FALSE,"Plan2"}</definedName>
    <definedName name="jkxhcjkhfr" localSheetId="11" hidden="1">{#N/A,#N/A,FALSE,"Plan1";#N/A,#N/A,FALSE,"Plan2"}</definedName>
    <definedName name="jkxhcjkhfr" localSheetId="12" hidden="1">{#N/A,#N/A,FALSE,"Plan1";#N/A,#N/A,FALSE,"Plan2"}</definedName>
    <definedName name="jkxhcjkhfr" hidden="1">{#N/A,#N/A,FALSE,"Plan1";#N/A,#N/A,FALSE,"Plan2"}</definedName>
    <definedName name="JNGCKFKJFGH" localSheetId="3" hidden="1">{#N/A,#N/A,FALSE,"Plan1";#N/A,#N/A,FALSE,"Plan2"}</definedName>
    <definedName name="JNGCKFKJFGH" localSheetId="8">{#N/A,#N/A,FALSE,"Plan1";#N/A,#N/A,FALSE,"Plan2"}</definedName>
    <definedName name="JNGCKFKJFGH" localSheetId="5" hidden="1">{#N/A,#N/A,FALSE,"Plan1";#N/A,#N/A,FALSE,"Plan2"}</definedName>
    <definedName name="JNGCKFKJFGH" localSheetId="4" hidden="1">{#N/A,#N/A,FALSE,"Plan1";#N/A,#N/A,FALSE,"Plan2"}</definedName>
    <definedName name="JNGCKFKJFGH" localSheetId="9">{#N/A,#N/A,FALSE,"Plan1";#N/A,#N/A,FALSE,"Plan2"}</definedName>
    <definedName name="JNGCKFKJFGH" localSheetId="10" hidden="1">{#N/A,#N/A,FALSE,"Plan1";#N/A,#N/A,FALSE,"Plan2"}</definedName>
    <definedName name="JNGCKFKJFGH" localSheetId="1" hidden="1">{#N/A,#N/A,FALSE,"Plan1";#N/A,#N/A,FALSE,"Plan2"}</definedName>
    <definedName name="JNGCKFKJFGH" localSheetId="0">{#N/A,#N/A,FALSE,"Plan1";#N/A,#N/A,FALSE,"Plan2"}</definedName>
    <definedName name="JNGCKFKJFGH" localSheetId="11" hidden="1">{#N/A,#N/A,FALSE,"Plan1";#N/A,#N/A,FALSE,"Plan2"}</definedName>
    <definedName name="JNGCKFKJFGH" localSheetId="12" hidden="1">{#N/A,#N/A,FALSE,"Plan1";#N/A,#N/A,FALSE,"Plan2"}</definedName>
    <definedName name="JNGCKFKJFGH" hidden="1">{#N/A,#N/A,FALSE,"Plan1";#N/A,#N/A,FALSE,"Plan2"}</definedName>
    <definedName name="JOALDO" localSheetId="8">#REF!</definedName>
    <definedName name="JOALDO" localSheetId="5">#REF!</definedName>
    <definedName name="JOALDO" localSheetId="9">#REF!</definedName>
    <definedName name="JOALDO" localSheetId="10">#REF!</definedName>
    <definedName name="JOALDO" localSheetId="0">#REF!</definedName>
    <definedName name="JOALDO" localSheetId="11">#REF!</definedName>
    <definedName name="JOALDO" localSheetId="12">#REF!</definedName>
    <definedName name="JOALDO">#REF!</definedName>
    <definedName name="joao_cdi" localSheetId="8">#REF!</definedName>
    <definedName name="joao_cdi" localSheetId="5">#REF!</definedName>
    <definedName name="joao_cdi" localSheetId="9">#REF!</definedName>
    <definedName name="joao_cdi" localSheetId="10">#REF!</definedName>
    <definedName name="joao_cdi" localSheetId="0">#REF!</definedName>
    <definedName name="joao_cdi" localSheetId="11">#REF!</definedName>
    <definedName name="joao_cdi" localSheetId="12">#REF!</definedName>
    <definedName name="joao_cdi">#REF!</definedName>
    <definedName name="joao_hist" localSheetId="8">#REF!</definedName>
    <definedName name="joao_hist" localSheetId="5">#REF!</definedName>
    <definedName name="joao_hist" localSheetId="9">#REF!</definedName>
    <definedName name="joao_hist" localSheetId="10">#REF!</definedName>
    <definedName name="joao_hist" localSheetId="0">#REF!</definedName>
    <definedName name="joao_hist" localSheetId="11">#REF!</definedName>
    <definedName name="joao_hist" localSheetId="12">#REF!</definedName>
    <definedName name="joao_hist">#REF!</definedName>
    <definedName name="joao_uss" localSheetId="8">#REF!</definedName>
    <definedName name="joao_uss" localSheetId="5">#REF!</definedName>
    <definedName name="joao_uss" localSheetId="10">#REF!</definedName>
    <definedName name="joao_uss" localSheetId="11">#REF!</definedName>
    <definedName name="joao_uss" localSheetId="12">#REF!</definedName>
    <definedName name="joao_uss">#REF!</definedName>
    <definedName name="JREJRW" localSheetId="3" hidden="1">{#N/A,#N/A,FALSE,"Plan1";#N/A,#N/A,FALSE,"Plan2"}</definedName>
    <definedName name="JREJRW" localSheetId="8">{#N/A,#N/A,FALSE,"Plan1";#N/A,#N/A,FALSE,"Plan2"}</definedName>
    <definedName name="JREJRW" localSheetId="5" hidden="1">{#N/A,#N/A,FALSE,"Plan1";#N/A,#N/A,FALSE,"Plan2"}</definedName>
    <definedName name="JREJRW" localSheetId="4" hidden="1">{#N/A,#N/A,FALSE,"Plan1";#N/A,#N/A,FALSE,"Plan2"}</definedName>
    <definedName name="JREJRW" localSheetId="9">{#N/A,#N/A,FALSE,"Plan1";#N/A,#N/A,FALSE,"Plan2"}</definedName>
    <definedName name="JREJRW" localSheetId="10" hidden="1">{#N/A,#N/A,FALSE,"Plan1";#N/A,#N/A,FALSE,"Plan2"}</definedName>
    <definedName name="JREJRW" localSheetId="1" hidden="1">{#N/A,#N/A,FALSE,"Plan1";#N/A,#N/A,FALSE,"Plan2"}</definedName>
    <definedName name="JREJRW" localSheetId="0">{#N/A,#N/A,FALSE,"Plan1";#N/A,#N/A,FALSE,"Plan2"}</definedName>
    <definedName name="JREJRW" localSheetId="11" hidden="1">{#N/A,#N/A,FALSE,"Plan1";#N/A,#N/A,FALSE,"Plan2"}</definedName>
    <definedName name="JREJRW" localSheetId="12" hidden="1">{#N/A,#N/A,FALSE,"Plan1";#N/A,#N/A,FALSE,"Plan2"}</definedName>
    <definedName name="JREJRW" hidden="1">{#N/A,#N/A,FALSE,"Plan1";#N/A,#N/A,FALSE,"Plan2"}</definedName>
    <definedName name="JSADKAH" localSheetId="3" hidden="1">{"Econ Consolidado",#N/A,FALSE,"Econ Consol";"Fluxo de Caixa",#N/A,FALSE,"Fluxo Caixa";"Investimentos",#N/A,FALSE,"Investimentos"}</definedName>
    <definedName name="JSADKAH" localSheetId="8">{"Econ Consolidado",#N/A,FALSE,"Econ Consol";"Fluxo de Caixa",#N/A,FALSE,"Fluxo Caixa";"Investimentos",#N/A,FALSE,"Investimentos"}</definedName>
    <definedName name="JSADKAH" localSheetId="5" hidden="1">{"Econ Consolidado",#N/A,FALSE,"Econ Consol";"Fluxo de Caixa",#N/A,FALSE,"Fluxo Caixa";"Investimentos",#N/A,FALSE,"Investimentos"}</definedName>
    <definedName name="JSADKAH" localSheetId="4" hidden="1">{"Econ Consolidado",#N/A,FALSE,"Econ Consol";"Fluxo de Caixa",#N/A,FALSE,"Fluxo Caixa";"Investimentos",#N/A,FALSE,"Investimentos"}</definedName>
    <definedName name="JSADKAH" localSheetId="9">{"Econ Consolidado",#N/A,FALSE,"Econ Consol";"Fluxo de Caixa",#N/A,FALSE,"Fluxo Caixa";"Investimentos",#N/A,FALSE,"Investimentos"}</definedName>
    <definedName name="JSADKAH" localSheetId="10" hidden="1">{"Econ Consolidado",#N/A,FALSE,"Econ Consol";"Fluxo de Caixa",#N/A,FALSE,"Fluxo Caixa";"Investimentos",#N/A,FALSE,"Investimentos"}</definedName>
    <definedName name="JSADKAH" localSheetId="1" hidden="1">{"Econ Consolidado",#N/A,FALSE,"Econ Consol";"Fluxo de Caixa",#N/A,FALSE,"Fluxo Caixa";"Investimentos",#N/A,FALSE,"Investimentos"}</definedName>
    <definedName name="JSADKAH" localSheetId="0">{"Econ Consolidado",#N/A,FALSE,"Econ Consol";"Fluxo de Caixa",#N/A,FALSE,"Fluxo Caixa";"Investimentos",#N/A,FALSE,"Investimentos"}</definedName>
    <definedName name="JSADKAH" localSheetId="11" hidden="1">{"Econ Consolidado",#N/A,FALSE,"Econ Consol";"Fluxo de Caixa",#N/A,FALSE,"Fluxo Caixa";"Investimentos",#N/A,FALSE,"Investimentos"}</definedName>
    <definedName name="JSADKAH" localSheetId="12" hidden="1">{"Econ Consolidado",#N/A,FALSE,"Econ Consol";"Fluxo de Caixa",#N/A,FALSE,"Fluxo Caixa";"Investimentos",#N/A,FALSE,"Investimentos"}</definedName>
    <definedName name="JSADKAH" hidden="1">{"Econ Consolidado",#N/A,FALSE,"Econ Consol";"Fluxo de Caixa",#N/A,FALSE,"Fluxo Caixa";"Investimentos",#N/A,FALSE,"Investimentos"}</definedName>
    <definedName name="JSDAJRE" localSheetId="3" hidden="1">{#N/A,#N/A,FALSE,"Plan1";#N/A,#N/A,FALSE,"Plan2"}</definedName>
    <definedName name="JSDAJRE" localSheetId="8">{#N/A,#N/A,FALSE,"Plan1";#N/A,#N/A,FALSE,"Plan2"}</definedName>
    <definedName name="JSDAJRE" localSheetId="5" hidden="1">{#N/A,#N/A,FALSE,"Plan1";#N/A,#N/A,FALSE,"Plan2"}</definedName>
    <definedName name="JSDAJRE" localSheetId="4" hidden="1">{#N/A,#N/A,FALSE,"Plan1";#N/A,#N/A,FALSE,"Plan2"}</definedName>
    <definedName name="JSDAJRE" localSheetId="9">{#N/A,#N/A,FALSE,"Plan1";#N/A,#N/A,FALSE,"Plan2"}</definedName>
    <definedName name="JSDAJRE" localSheetId="10" hidden="1">{#N/A,#N/A,FALSE,"Plan1";#N/A,#N/A,FALSE,"Plan2"}</definedName>
    <definedName name="JSDAJRE" localSheetId="1" hidden="1">{#N/A,#N/A,FALSE,"Plan1";#N/A,#N/A,FALSE,"Plan2"}</definedName>
    <definedName name="JSDAJRE" localSheetId="0">{#N/A,#N/A,FALSE,"Plan1";#N/A,#N/A,FALSE,"Plan2"}</definedName>
    <definedName name="JSDAJRE" localSheetId="11" hidden="1">{#N/A,#N/A,FALSE,"Plan1";#N/A,#N/A,FALSE,"Plan2"}</definedName>
    <definedName name="JSDAJRE" localSheetId="12" hidden="1">{#N/A,#N/A,FALSE,"Plan1";#N/A,#N/A,FALSE,"Plan2"}</definedName>
    <definedName name="JSDAJRE" hidden="1">{#N/A,#N/A,FALSE,"Plan1";#N/A,#N/A,FALSE,"Plan2"}</definedName>
    <definedName name="jsdffs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fs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sdfjgx" localSheetId="3" hidden="1">{#N/A,#N/A,FALSE,"Plan1";#N/A,#N/A,FALSE,"Plan2"}</definedName>
    <definedName name="jsdfjgx" localSheetId="8">{#N/A,#N/A,FALSE,"Plan1";#N/A,#N/A,FALSE,"Plan2"}</definedName>
    <definedName name="jsdfjgx" localSheetId="5" hidden="1">{#N/A,#N/A,FALSE,"Plan1";#N/A,#N/A,FALSE,"Plan2"}</definedName>
    <definedName name="jsdfjgx" localSheetId="4" hidden="1">{#N/A,#N/A,FALSE,"Plan1";#N/A,#N/A,FALSE,"Plan2"}</definedName>
    <definedName name="jsdfjgx" localSheetId="9">{#N/A,#N/A,FALSE,"Plan1";#N/A,#N/A,FALSE,"Plan2"}</definedName>
    <definedName name="jsdfjgx" localSheetId="10" hidden="1">{#N/A,#N/A,FALSE,"Plan1";#N/A,#N/A,FALSE,"Plan2"}</definedName>
    <definedName name="jsdfjgx" localSheetId="1" hidden="1">{#N/A,#N/A,FALSE,"Plan1";#N/A,#N/A,FALSE,"Plan2"}</definedName>
    <definedName name="jsdfjgx" localSheetId="0">{#N/A,#N/A,FALSE,"Plan1";#N/A,#N/A,FALSE,"Plan2"}</definedName>
    <definedName name="jsdfjgx" localSheetId="11" hidden="1">{#N/A,#N/A,FALSE,"Plan1";#N/A,#N/A,FALSE,"Plan2"}</definedName>
    <definedName name="jsdfjgx" localSheetId="12" hidden="1">{#N/A,#N/A,FALSE,"Plan1";#N/A,#N/A,FALSE,"Plan2"}</definedName>
    <definedName name="jsdfjgx" hidden="1">{#N/A,#N/A,FALSE,"Plan1";#N/A,#N/A,FALSE,"Plan2"}</definedName>
    <definedName name="jsdfkgnfr" localSheetId="8">#REF!</definedName>
    <definedName name="jsdfkgnfr" localSheetId="5" hidden="1">#REF!</definedName>
    <definedName name="jsdfkgnfr" localSheetId="9">#REF!</definedName>
    <definedName name="jsdfkgnfr" localSheetId="10" hidden="1">#REF!</definedName>
    <definedName name="jsdfkgnfr" localSheetId="1" hidden="1">#REF!</definedName>
    <definedName name="jsdfkgnfr" localSheetId="0">#REF!</definedName>
    <definedName name="jsdfkgnfr" localSheetId="11" hidden="1">#REF!</definedName>
    <definedName name="jsdfkgnfr" localSheetId="12" hidden="1">#REF!</definedName>
    <definedName name="jsdfkgnfr" hidden="1">#REF!</definedName>
    <definedName name="jsdfsdfd" localSheetId="3" hidden="1">{#N/A,#N/A,FALSE,"Plan1";#N/A,#N/A,FALSE,"Plan2"}</definedName>
    <definedName name="jsdfsdfd" localSheetId="8">{#N/A,#N/A,FALSE,"Plan1";#N/A,#N/A,FALSE,"Plan2"}</definedName>
    <definedName name="jsdfsdfd" localSheetId="5" hidden="1">{#N/A,#N/A,FALSE,"Plan1";#N/A,#N/A,FALSE,"Plan2"}</definedName>
    <definedName name="jsdfsdfd" localSheetId="4" hidden="1">{#N/A,#N/A,FALSE,"Plan1";#N/A,#N/A,FALSE,"Plan2"}</definedName>
    <definedName name="jsdfsdfd" localSheetId="9">{#N/A,#N/A,FALSE,"Plan1";#N/A,#N/A,FALSE,"Plan2"}</definedName>
    <definedName name="jsdfsdfd" localSheetId="10" hidden="1">{#N/A,#N/A,FALSE,"Plan1";#N/A,#N/A,FALSE,"Plan2"}</definedName>
    <definedName name="jsdfsdfd" localSheetId="1" hidden="1">{#N/A,#N/A,FALSE,"Plan1";#N/A,#N/A,FALSE,"Plan2"}</definedName>
    <definedName name="jsdfsdfd" localSheetId="0">{#N/A,#N/A,FALSE,"Plan1";#N/A,#N/A,FALSE,"Plan2"}</definedName>
    <definedName name="jsdfsdfd" localSheetId="11" hidden="1">{#N/A,#N/A,FALSE,"Plan1";#N/A,#N/A,FALSE,"Plan2"}</definedName>
    <definedName name="jsdfsdfd" localSheetId="12" hidden="1">{#N/A,#N/A,FALSE,"Plan1";#N/A,#N/A,FALSE,"Plan2"}</definedName>
    <definedName name="jsdfsdfd" hidden="1">{#N/A,#N/A,FALSE,"Plan1";#N/A,#N/A,FALSE,"Plan2"}</definedName>
    <definedName name="jsdljficd" localSheetId="3" hidden="1">{#N/A,#N/A,FALSE,"Plan1";#N/A,#N/A,FALSE,"Plan2"}</definedName>
    <definedName name="jsdljficd" localSheetId="8">{#N/A,#N/A,FALSE,"Plan1";#N/A,#N/A,FALSE,"Plan2"}</definedName>
    <definedName name="jsdljficd" localSheetId="5" hidden="1">{#N/A,#N/A,FALSE,"Plan1";#N/A,#N/A,FALSE,"Plan2"}</definedName>
    <definedName name="jsdljficd" localSheetId="4" hidden="1">{#N/A,#N/A,FALSE,"Plan1";#N/A,#N/A,FALSE,"Plan2"}</definedName>
    <definedName name="jsdljficd" localSheetId="9">{#N/A,#N/A,FALSE,"Plan1";#N/A,#N/A,FALSE,"Plan2"}</definedName>
    <definedName name="jsdljficd" localSheetId="10" hidden="1">{#N/A,#N/A,FALSE,"Plan1";#N/A,#N/A,FALSE,"Plan2"}</definedName>
    <definedName name="jsdljficd" localSheetId="1" hidden="1">{#N/A,#N/A,FALSE,"Plan1";#N/A,#N/A,FALSE,"Plan2"}</definedName>
    <definedName name="jsdljficd" localSheetId="0">{#N/A,#N/A,FALSE,"Plan1";#N/A,#N/A,FALSE,"Plan2"}</definedName>
    <definedName name="jsdljficd" localSheetId="11" hidden="1">{#N/A,#N/A,FALSE,"Plan1";#N/A,#N/A,FALSE,"Plan2"}</definedName>
    <definedName name="jsdljficd" localSheetId="12" hidden="1">{#N/A,#N/A,FALSE,"Plan1";#N/A,#N/A,FALSE,"Plan2"}</definedName>
    <definedName name="jsdljficd" hidden="1">{#N/A,#N/A,FALSE,"Plan1";#N/A,#N/A,FALSE,"Plan2"}</definedName>
    <definedName name="JSDTLFJDRG" localSheetId="3" hidden="1">{#N/A,#N/A,FALSE,"Plan1";#N/A,#N/A,FALSE,"Plan2"}</definedName>
    <definedName name="JSDTLFJDRG" localSheetId="8">{#N/A,#N/A,FALSE,"Plan1";#N/A,#N/A,FALSE,"Plan2"}</definedName>
    <definedName name="JSDTLFJDRG" localSheetId="5" hidden="1">{#N/A,#N/A,FALSE,"Plan1";#N/A,#N/A,FALSE,"Plan2"}</definedName>
    <definedName name="JSDTLFJDRG" localSheetId="4" hidden="1">{#N/A,#N/A,FALSE,"Plan1";#N/A,#N/A,FALSE,"Plan2"}</definedName>
    <definedName name="JSDTLFJDRG" localSheetId="9">{#N/A,#N/A,FALSE,"Plan1";#N/A,#N/A,FALSE,"Plan2"}</definedName>
    <definedName name="JSDTLFJDRG" localSheetId="10" hidden="1">{#N/A,#N/A,FALSE,"Plan1";#N/A,#N/A,FALSE,"Plan2"}</definedName>
    <definedName name="JSDTLFJDRG" localSheetId="1" hidden="1">{#N/A,#N/A,FALSE,"Plan1";#N/A,#N/A,FALSE,"Plan2"}</definedName>
    <definedName name="JSDTLFJDRG" localSheetId="0">{#N/A,#N/A,FALSE,"Plan1";#N/A,#N/A,FALSE,"Plan2"}</definedName>
    <definedName name="JSDTLFJDRG" localSheetId="11" hidden="1">{#N/A,#N/A,FALSE,"Plan1";#N/A,#N/A,FALSE,"Plan2"}</definedName>
    <definedName name="JSDTLFJDRG" localSheetId="12" hidden="1">{#N/A,#N/A,FALSE,"Plan1";#N/A,#N/A,FALSE,"Plan2"}</definedName>
    <definedName name="JSDTLFJDRG" hidden="1">{#N/A,#N/A,FALSE,"Plan1";#N/A,#N/A,FALSE,"Plan2"}</definedName>
    <definedName name="jsfjsjferwea" localSheetId="3" hidden="1">{#N/A,#N/A,FALSE,"Plan1";#N/A,#N/A,FALSE,"Plan2"}</definedName>
    <definedName name="jsfjsjferwea" localSheetId="8">{#N/A,#N/A,FALSE,"Plan1";#N/A,#N/A,FALSE,"Plan2"}</definedName>
    <definedName name="jsfjsjferwea" localSheetId="5" hidden="1">{#N/A,#N/A,FALSE,"Plan1";#N/A,#N/A,FALSE,"Plan2"}</definedName>
    <definedName name="jsfjsjferwea" localSheetId="4" hidden="1">{#N/A,#N/A,FALSE,"Plan1";#N/A,#N/A,FALSE,"Plan2"}</definedName>
    <definedName name="jsfjsjferwea" localSheetId="9">{#N/A,#N/A,FALSE,"Plan1";#N/A,#N/A,FALSE,"Plan2"}</definedName>
    <definedName name="jsfjsjferwea" localSheetId="10" hidden="1">{#N/A,#N/A,FALSE,"Plan1";#N/A,#N/A,FALSE,"Plan2"}</definedName>
    <definedName name="jsfjsjferwea" localSheetId="1" hidden="1">{#N/A,#N/A,FALSE,"Plan1";#N/A,#N/A,FALSE,"Plan2"}</definedName>
    <definedName name="jsfjsjferwea" localSheetId="0">{#N/A,#N/A,FALSE,"Plan1";#N/A,#N/A,FALSE,"Plan2"}</definedName>
    <definedName name="jsfjsjferwea" localSheetId="11" hidden="1">{#N/A,#N/A,FALSE,"Plan1";#N/A,#N/A,FALSE,"Plan2"}</definedName>
    <definedName name="jsfjsjferwea" localSheetId="12" hidden="1">{#N/A,#N/A,FALSE,"Plan1";#N/A,#N/A,FALSE,"Plan2"}</definedName>
    <definedName name="jsfjsjferwea" hidden="1">{#N/A,#N/A,FALSE,"Plan1";#N/A,#N/A,FALSE,"Plan2"}</definedName>
    <definedName name="jslrjer" localSheetId="3" hidden="1">{#N/A,#N/A,FALSE,"Plan1";#N/A,#N/A,FALSE,"Plan2"}</definedName>
    <definedName name="jslrjer" localSheetId="8">{#N/A,#N/A,FALSE,"Plan1";#N/A,#N/A,FALSE,"Plan2"}</definedName>
    <definedName name="jslrjer" localSheetId="5" hidden="1">{#N/A,#N/A,FALSE,"Plan1";#N/A,#N/A,FALSE,"Plan2"}</definedName>
    <definedName name="jslrjer" localSheetId="4" hidden="1">{#N/A,#N/A,FALSE,"Plan1";#N/A,#N/A,FALSE,"Plan2"}</definedName>
    <definedName name="jslrjer" localSheetId="9">{#N/A,#N/A,FALSE,"Plan1";#N/A,#N/A,FALSE,"Plan2"}</definedName>
    <definedName name="jslrjer" localSheetId="10" hidden="1">{#N/A,#N/A,FALSE,"Plan1";#N/A,#N/A,FALSE,"Plan2"}</definedName>
    <definedName name="jslrjer" localSheetId="1" hidden="1">{#N/A,#N/A,FALSE,"Plan1";#N/A,#N/A,FALSE,"Plan2"}</definedName>
    <definedName name="jslrjer" localSheetId="0">{#N/A,#N/A,FALSE,"Plan1";#N/A,#N/A,FALSE,"Plan2"}</definedName>
    <definedName name="jslrjer" localSheetId="11" hidden="1">{#N/A,#N/A,FALSE,"Plan1";#N/A,#N/A,FALSE,"Plan2"}</definedName>
    <definedName name="jslrjer" localSheetId="12" hidden="1">{#N/A,#N/A,FALSE,"Plan1";#N/A,#N/A,FALSE,"Plan2"}</definedName>
    <definedName name="jslrjer" hidden="1">{#N/A,#N/A,FALSE,"Plan1";#N/A,#N/A,FALSE,"Plan2"}</definedName>
    <definedName name="juklhkhdf" localSheetId="3" hidden="1">{#N/A,#N/A,FALSE,"Plan1";#N/A,#N/A,FALSE,"Plan2"}</definedName>
    <definedName name="juklhkhdf" localSheetId="8">{#N/A,#N/A,FALSE,"Plan1";#N/A,#N/A,FALSE,"Plan2"}</definedName>
    <definedName name="juklhkhdf" localSheetId="5" hidden="1">{#N/A,#N/A,FALSE,"Plan1";#N/A,#N/A,FALSE,"Plan2"}</definedName>
    <definedName name="juklhkhdf" localSheetId="4" hidden="1">{#N/A,#N/A,FALSE,"Plan1";#N/A,#N/A,FALSE,"Plan2"}</definedName>
    <definedName name="juklhkhdf" localSheetId="9">{#N/A,#N/A,FALSE,"Plan1";#N/A,#N/A,FALSE,"Plan2"}</definedName>
    <definedName name="juklhkhdf" localSheetId="10" hidden="1">{#N/A,#N/A,FALSE,"Plan1";#N/A,#N/A,FALSE,"Plan2"}</definedName>
    <definedName name="juklhkhdf" localSheetId="1" hidden="1">{#N/A,#N/A,FALSE,"Plan1";#N/A,#N/A,FALSE,"Plan2"}</definedName>
    <definedName name="juklhkhdf" localSheetId="0">{#N/A,#N/A,FALSE,"Plan1";#N/A,#N/A,FALSE,"Plan2"}</definedName>
    <definedName name="juklhkhdf" localSheetId="11" hidden="1">{#N/A,#N/A,FALSE,"Plan1";#N/A,#N/A,FALSE,"Plan2"}</definedName>
    <definedName name="juklhkhdf" localSheetId="12" hidden="1">{#N/A,#N/A,FALSE,"Plan1";#N/A,#N/A,FALSE,"Plan2"}</definedName>
    <definedName name="juklhkhdf" hidden="1">{#N/A,#N/A,FALSE,"Plan1";#N/A,#N/A,FALSE,"Plan2"}</definedName>
    <definedName name="jul17RJ" localSheetId="8">#REF!</definedName>
    <definedName name="jul17RJ" localSheetId="5">#REF!</definedName>
    <definedName name="jul17RJ" localSheetId="9">#REF!</definedName>
    <definedName name="jul17RJ" localSheetId="10">#REF!</definedName>
    <definedName name="jul17RJ" localSheetId="0">#REF!</definedName>
    <definedName name="jul17RJ" localSheetId="11">#REF!</definedName>
    <definedName name="jul17RJ" localSheetId="12">#REF!</definedName>
    <definedName name="jul17RJ">#REF!</definedName>
    <definedName name="JULHO" localSheetId="8">#REF!</definedName>
    <definedName name="JULHO" localSheetId="5">#REF!</definedName>
    <definedName name="JULHO" localSheetId="9">#REF!</definedName>
    <definedName name="JULHO" localSheetId="10">#REF!</definedName>
    <definedName name="JULHO" localSheetId="0">#REF!</definedName>
    <definedName name="JULHO" localSheetId="11">#REF!</definedName>
    <definedName name="JULHO" localSheetId="12">#REF!</definedName>
    <definedName name="JULHO">#REF!</definedName>
    <definedName name="JULHO2001" localSheetId="8">#REF!</definedName>
    <definedName name="JULHO2001" localSheetId="5">#REF!</definedName>
    <definedName name="JULHO2001" localSheetId="9">#REF!</definedName>
    <definedName name="JULHO2001" localSheetId="10">#REF!</definedName>
    <definedName name="JULHO2001" localSheetId="0">#REF!</definedName>
    <definedName name="JULHO2001" localSheetId="11">#REF!</definedName>
    <definedName name="JULHO2001" localSheetId="12">#REF!</definedName>
    <definedName name="JULHO2001">#REF!</definedName>
    <definedName name="JULHO99" localSheetId="3" hidden="1">{#N/A,#N/A,TRUE,"Quinzena 01 à 15-04-98 "}</definedName>
    <definedName name="JULHO99" localSheetId="8">{#N/A,#N/A,TRUE,"Quinzena 01 à 15-04-98 "}</definedName>
    <definedName name="JULHO99" localSheetId="5" hidden="1">{#N/A,#N/A,TRUE,"Quinzena 01 à 15-04-98 "}</definedName>
    <definedName name="JULHO99" localSheetId="4" hidden="1">{#N/A,#N/A,TRUE,"Quinzena 01 à 15-04-98 "}</definedName>
    <definedName name="JULHO99" localSheetId="9">{#N/A,#N/A,TRUE,"Quinzena 01 à 15-04-98 "}</definedName>
    <definedName name="JULHO99" localSheetId="10" hidden="1">{#N/A,#N/A,TRUE,"Quinzena 01 à 15-04-98 "}</definedName>
    <definedName name="JULHO99" localSheetId="1" hidden="1">{#N/A,#N/A,TRUE,"Quinzena 01 à 15-04-98 "}</definedName>
    <definedName name="JULHO99" localSheetId="0">{#N/A,#N/A,TRUE,"Quinzena 01 à 15-04-98 "}</definedName>
    <definedName name="JULHO99" localSheetId="11" hidden="1">{#N/A,#N/A,TRUE,"Quinzena 01 à 15-04-98 "}</definedName>
    <definedName name="JULHO99" localSheetId="12" hidden="1">{#N/A,#N/A,TRUE,"Quinzena 01 à 15-04-98 "}</definedName>
    <definedName name="JULHO99" hidden="1">{#N/A,#N/A,TRUE,"Quinzena 01 à 15-04-98 "}</definedName>
    <definedName name="jun17RJ" localSheetId="8">#REF!</definedName>
    <definedName name="jun17RJ" localSheetId="5">#REF!</definedName>
    <definedName name="jun17RJ" localSheetId="9">#REF!</definedName>
    <definedName name="jun17RJ" localSheetId="10">#REF!</definedName>
    <definedName name="jun17RJ" localSheetId="0">#REF!</definedName>
    <definedName name="jun17RJ" localSheetId="11">#REF!</definedName>
    <definedName name="jun17RJ" localSheetId="12">#REF!</definedName>
    <definedName name="jun17RJ">#REF!</definedName>
    <definedName name="JUNHO" localSheetId="8">#REF!</definedName>
    <definedName name="JUNHO" localSheetId="5">#REF!</definedName>
    <definedName name="JUNHO" localSheetId="9">#REF!</definedName>
    <definedName name="JUNHO" localSheetId="10">#REF!</definedName>
    <definedName name="JUNHO" localSheetId="0">#REF!</definedName>
    <definedName name="JUNHO" localSheetId="11">#REF!</definedName>
    <definedName name="JUNHO" localSheetId="12">#REF!</definedName>
    <definedName name="JUNHO">#REF!</definedName>
    <definedName name="JUNHO2001" localSheetId="8">#REF!</definedName>
    <definedName name="JUNHO2001" localSheetId="5">#REF!</definedName>
    <definedName name="JUNHO2001" localSheetId="9">#REF!</definedName>
    <definedName name="JUNHO2001" localSheetId="10">#REF!</definedName>
    <definedName name="JUNHO2001" localSheetId="0">#REF!</definedName>
    <definedName name="JUNHO2001" localSheetId="11">#REF!</definedName>
    <definedName name="JUNHO2001" localSheetId="12">#REF!</definedName>
    <definedName name="JUNHO2001">#REF!</definedName>
    <definedName name="JurosTpMes" localSheetId="8">#REF!</definedName>
    <definedName name="JurosTpMes" localSheetId="5">#REF!</definedName>
    <definedName name="JurosTpMes" localSheetId="10">#REF!</definedName>
    <definedName name="JurosTpMes" localSheetId="11">#REF!</definedName>
    <definedName name="JurosTpMes" localSheetId="12">#REF!</definedName>
    <definedName name="JurosTpMes">#REF!</definedName>
    <definedName name="jwekljd" localSheetId="3" hidden="1">{#N/A,#N/A,FALSE,"Plan1";#N/A,#N/A,FALSE,"Plan2"}</definedName>
    <definedName name="jwekljd" localSheetId="8">{#N/A,#N/A,FALSE,"Plan1";#N/A,#N/A,FALSE,"Plan2"}</definedName>
    <definedName name="jwekljd" localSheetId="5" hidden="1">{#N/A,#N/A,FALSE,"Plan1";#N/A,#N/A,FALSE,"Plan2"}</definedName>
    <definedName name="jwekljd" localSheetId="4" hidden="1">{#N/A,#N/A,FALSE,"Plan1";#N/A,#N/A,FALSE,"Plan2"}</definedName>
    <definedName name="jwekljd" localSheetId="9">{#N/A,#N/A,FALSE,"Plan1";#N/A,#N/A,FALSE,"Plan2"}</definedName>
    <definedName name="jwekljd" localSheetId="10" hidden="1">{#N/A,#N/A,FALSE,"Plan1";#N/A,#N/A,FALSE,"Plan2"}</definedName>
    <definedName name="jwekljd" localSheetId="1" hidden="1">{#N/A,#N/A,FALSE,"Plan1";#N/A,#N/A,FALSE,"Plan2"}</definedName>
    <definedName name="jwekljd" localSheetId="0">{#N/A,#N/A,FALSE,"Plan1";#N/A,#N/A,FALSE,"Plan2"}</definedName>
    <definedName name="jwekljd" localSheetId="11" hidden="1">{#N/A,#N/A,FALSE,"Plan1";#N/A,#N/A,FALSE,"Plan2"}</definedName>
    <definedName name="jwekljd" localSheetId="12" hidden="1">{#N/A,#N/A,FALSE,"Plan1";#N/A,#N/A,FALSE,"Plan2"}</definedName>
    <definedName name="jwekljd" hidden="1">{#N/A,#N/A,FALSE,"Plan1";#N/A,#N/A,FALSE,"Plan2"}</definedName>
    <definedName name="JWEOITORU5Y" localSheetId="3" hidden="1">{#N/A,#N/A,FALSE,"Plan1";#N/A,#N/A,FALSE,"Plan2"}</definedName>
    <definedName name="JWEOITORU5Y" localSheetId="8">{#N/A,#N/A,FALSE,"Plan1";#N/A,#N/A,FALSE,"Plan2"}</definedName>
    <definedName name="JWEOITORU5Y" localSheetId="5" hidden="1">{#N/A,#N/A,FALSE,"Plan1";#N/A,#N/A,FALSE,"Plan2"}</definedName>
    <definedName name="JWEOITORU5Y" localSheetId="4" hidden="1">{#N/A,#N/A,FALSE,"Plan1";#N/A,#N/A,FALSE,"Plan2"}</definedName>
    <definedName name="JWEOITORU5Y" localSheetId="9">{#N/A,#N/A,FALSE,"Plan1";#N/A,#N/A,FALSE,"Plan2"}</definedName>
    <definedName name="JWEOITORU5Y" localSheetId="10" hidden="1">{#N/A,#N/A,FALSE,"Plan1";#N/A,#N/A,FALSE,"Plan2"}</definedName>
    <definedName name="JWEOITORU5Y" localSheetId="1" hidden="1">{#N/A,#N/A,FALSE,"Plan1";#N/A,#N/A,FALSE,"Plan2"}</definedName>
    <definedName name="JWEOITORU5Y" localSheetId="0">{#N/A,#N/A,FALSE,"Plan1";#N/A,#N/A,FALSE,"Plan2"}</definedName>
    <definedName name="JWEOITORU5Y" localSheetId="11" hidden="1">{#N/A,#N/A,FALSE,"Plan1";#N/A,#N/A,FALSE,"Plan2"}</definedName>
    <definedName name="JWEOITORU5Y" localSheetId="12" hidden="1">{#N/A,#N/A,FALSE,"Plan1";#N/A,#N/A,FALSE,"Plan2"}</definedName>
    <definedName name="JWEOITORU5Y" hidden="1">{#N/A,#N/A,FALSE,"Plan1";#N/A,#N/A,FALSE,"Plan2"}</definedName>
    <definedName name="jxdfjsrf" localSheetId="3" hidden="1">{#N/A,#N/A,FALSE,"Plan1";#N/A,#N/A,FALSE,"Plan2"}</definedName>
    <definedName name="jxdfjsrf" localSheetId="8">{#N/A,#N/A,FALSE,"Plan1";#N/A,#N/A,FALSE,"Plan2"}</definedName>
    <definedName name="jxdfjsrf" localSheetId="5" hidden="1">{#N/A,#N/A,FALSE,"Plan1";#N/A,#N/A,FALSE,"Plan2"}</definedName>
    <definedName name="jxdfjsrf" localSheetId="4" hidden="1">{#N/A,#N/A,FALSE,"Plan1";#N/A,#N/A,FALSE,"Plan2"}</definedName>
    <definedName name="jxdfjsrf" localSheetId="9">{#N/A,#N/A,FALSE,"Plan1";#N/A,#N/A,FALSE,"Plan2"}</definedName>
    <definedName name="jxdfjsrf" localSheetId="10" hidden="1">{#N/A,#N/A,FALSE,"Plan1";#N/A,#N/A,FALSE,"Plan2"}</definedName>
    <definedName name="jxdfjsrf" localSheetId="1" hidden="1">{#N/A,#N/A,FALSE,"Plan1";#N/A,#N/A,FALSE,"Plan2"}</definedName>
    <definedName name="jxdfjsrf" localSheetId="0">{#N/A,#N/A,FALSE,"Plan1";#N/A,#N/A,FALSE,"Plan2"}</definedName>
    <definedName name="jxdfjsrf" localSheetId="11" hidden="1">{#N/A,#N/A,FALSE,"Plan1";#N/A,#N/A,FALSE,"Plan2"}</definedName>
    <definedName name="jxdfjsrf" localSheetId="12" hidden="1">{#N/A,#N/A,FALSE,"Plan1";#N/A,#N/A,FALSE,"Plan2"}</definedName>
    <definedName name="jxdfjsrf" hidden="1">{#N/A,#N/A,FALSE,"Plan1";#N/A,#N/A,FALSE,"Plan2"}</definedName>
    <definedName name="jxdklfj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xdklfj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JY" localSheetId="8">#REF!</definedName>
    <definedName name="JY" localSheetId="5" hidden="1">#REF!</definedName>
    <definedName name="JY" localSheetId="9">#REF!</definedName>
    <definedName name="JY" localSheetId="10" hidden="1">#REF!</definedName>
    <definedName name="JY" localSheetId="1" hidden="1">#REF!</definedName>
    <definedName name="JY" localSheetId="0">#REF!</definedName>
    <definedName name="JY" localSheetId="11" hidden="1">#REF!</definedName>
    <definedName name="JY" localSheetId="12" hidden="1">#REF!</definedName>
    <definedName name="JY" hidden="1">#REF!</definedName>
    <definedName name="jzsdjkszl" localSheetId="3" hidden="1">{#N/A,#N/A,FALSE,"Plan1";#N/A,#N/A,FALSE,"Plan2"}</definedName>
    <definedName name="jzsdjkszl" localSheetId="8">{#N/A,#N/A,FALSE,"Plan1";#N/A,#N/A,FALSE,"Plan2"}</definedName>
    <definedName name="jzsdjkszl" localSheetId="5" hidden="1">{#N/A,#N/A,FALSE,"Plan1";#N/A,#N/A,FALSE,"Plan2"}</definedName>
    <definedName name="jzsdjkszl" localSheetId="4" hidden="1">{#N/A,#N/A,FALSE,"Plan1";#N/A,#N/A,FALSE,"Plan2"}</definedName>
    <definedName name="jzsdjkszl" localSheetId="9">{#N/A,#N/A,FALSE,"Plan1";#N/A,#N/A,FALSE,"Plan2"}</definedName>
    <definedName name="jzsdjkszl" localSheetId="10" hidden="1">{#N/A,#N/A,FALSE,"Plan1";#N/A,#N/A,FALSE,"Plan2"}</definedName>
    <definedName name="jzsdjkszl" localSheetId="1" hidden="1">{#N/A,#N/A,FALSE,"Plan1";#N/A,#N/A,FALSE,"Plan2"}</definedName>
    <definedName name="jzsdjkszl" localSheetId="0">{#N/A,#N/A,FALSE,"Plan1";#N/A,#N/A,FALSE,"Plan2"}</definedName>
    <definedName name="jzsdjkszl" localSheetId="11" hidden="1">{#N/A,#N/A,FALSE,"Plan1";#N/A,#N/A,FALSE,"Plan2"}</definedName>
    <definedName name="jzsdjkszl" localSheetId="12" hidden="1">{#N/A,#N/A,FALSE,"Plan1";#N/A,#N/A,FALSE,"Plan2"}</definedName>
    <definedName name="jzsdjkszl" hidden="1">{#N/A,#N/A,FALSE,"Plan1";#N/A,#N/A,FALSE,"Plan2"}</definedName>
    <definedName name="JZXFKLJLDJF" localSheetId="3" hidden="1">{#N/A,#N/A,FALSE,"Plan1";#N/A,#N/A,FALSE,"Plan2"}</definedName>
    <definedName name="JZXFKLJLDJF" localSheetId="8">{#N/A,#N/A,FALSE,"Plan1";#N/A,#N/A,FALSE,"Plan2"}</definedName>
    <definedName name="JZXFKLJLDJF" localSheetId="5" hidden="1">{#N/A,#N/A,FALSE,"Plan1";#N/A,#N/A,FALSE,"Plan2"}</definedName>
    <definedName name="JZXFKLJLDJF" localSheetId="4" hidden="1">{#N/A,#N/A,FALSE,"Plan1";#N/A,#N/A,FALSE,"Plan2"}</definedName>
    <definedName name="JZXFKLJLDJF" localSheetId="9">{#N/A,#N/A,FALSE,"Plan1";#N/A,#N/A,FALSE,"Plan2"}</definedName>
    <definedName name="JZXFKLJLDJF" localSheetId="10" hidden="1">{#N/A,#N/A,FALSE,"Plan1";#N/A,#N/A,FALSE,"Plan2"}</definedName>
    <definedName name="JZXFKLJLDJF" localSheetId="1" hidden="1">{#N/A,#N/A,FALSE,"Plan1";#N/A,#N/A,FALSE,"Plan2"}</definedName>
    <definedName name="JZXFKLJLDJF" localSheetId="0">{#N/A,#N/A,FALSE,"Plan1";#N/A,#N/A,FALSE,"Plan2"}</definedName>
    <definedName name="JZXFKLJLDJF" localSheetId="11" hidden="1">{#N/A,#N/A,FALSE,"Plan1";#N/A,#N/A,FALSE,"Plan2"}</definedName>
    <definedName name="JZXFKLJLDJF" localSheetId="12" hidden="1">{#N/A,#N/A,FALSE,"Plan1";#N/A,#N/A,FALSE,"Plan2"}</definedName>
    <definedName name="JZXFKLJLDJF" hidden="1">{#N/A,#N/A,FALSE,"Plan1";#N/A,#N/A,FALSE,"Plan2"}</definedName>
    <definedName name="jzxklfdlvgfg" localSheetId="3" hidden="1">{#N/A,#N/A,FALSE,"Plan1";#N/A,#N/A,FALSE,"Plan2"}</definedName>
    <definedName name="jzxklfdlvgfg" localSheetId="8">{#N/A,#N/A,FALSE,"Plan1";#N/A,#N/A,FALSE,"Plan2"}</definedName>
    <definedName name="jzxklfdlvgfg" localSheetId="5" hidden="1">{#N/A,#N/A,FALSE,"Plan1";#N/A,#N/A,FALSE,"Plan2"}</definedName>
    <definedName name="jzxklfdlvgfg" localSheetId="4" hidden="1">{#N/A,#N/A,FALSE,"Plan1";#N/A,#N/A,FALSE,"Plan2"}</definedName>
    <definedName name="jzxklfdlvgfg" localSheetId="9">{#N/A,#N/A,FALSE,"Plan1";#N/A,#N/A,FALSE,"Plan2"}</definedName>
    <definedName name="jzxklfdlvgfg" localSheetId="10" hidden="1">{#N/A,#N/A,FALSE,"Plan1";#N/A,#N/A,FALSE,"Plan2"}</definedName>
    <definedName name="jzxklfdlvgfg" localSheetId="1" hidden="1">{#N/A,#N/A,FALSE,"Plan1";#N/A,#N/A,FALSE,"Plan2"}</definedName>
    <definedName name="jzxklfdlvgfg" localSheetId="0">{#N/A,#N/A,FALSE,"Plan1";#N/A,#N/A,FALSE,"Plan2"}</definedName>
    <definedName name="jzxklfdlvgfg" localSheetId="11" hidden="1">{#N/A,#N/A,FALSE,"Plan1";#N/A,#N/A,FALSE,"Plan2"}</definedName>
    <definedName name="jzxklfdlvgfg" localSheetId="12" hidden="1">{#N/A,#N/A,FALSE,"Plan1";#N/A,#N/A,FALSE,"Plan2"}</definedName>
    <definedName name="jzxklfdlvgfg" hidden="1">{#N/A,#N/A,FALSE,"Plan1";#N/A,#N/A,FALSE,"Plan2"}</definedName>
    <definedName name="k" localSheetId="3" hidden="1">{#N/A,#N/A,FALSE,"Plan1";#N/A,#N/A,FALSE,"Plan2"}</definedName>
    <definedName name="k" localSheetId="8">{#N/A,#N/A,FALSE,"Plan1";#N/A,#N/A,FALSE,"Plan2"}</definedName>
    <definedName name="k" localSheetId="5" hidden="1">{#N/A,#N/A,FALSE,"Plan1";#N/A,#N/A,FALSE,"Plan2"}</definedName>
    <definedName name="k" localSheetId="4" hidden="1">{#N/A,#N/A,FALSE,"Plan1";#N/A,#N/A,FALSE,"Plan2"}</definedName>
    <definedName name="k" localSheetId="9">{#N/A,#N/A,FALSE,"Plan1";#N/A,#N/A,FALSE,"Plan2"}</definedName>
    <definedName name="k" localSheetId="10" hidden="1">{#N/A,#N/A,FALSE,"Plan1";#N/A,#N/A,FALSE,"Plan2"}</definedName>
    <definedName name="k" localSheetId="1" hidden="1">{#N/A,#N/A,FALSE,"Plan1";#N/A,#N/A,FALSE,"Plan2"}</definedName>
    <definedName name="k" localSheetId="0">{#N/A,#N/A,FALSE,"Plan1";#N/A,#N/A,FALSE,"Plan2"}</definedName>
    <definedName name="k" localSheetId="11" hidden="1">{#N/A,#N/A,FALSE,"Plan1";#N/A,#N/A,FALSE,"Plan2"}</definedName>
    <definedName name="k" localSheetId="12" hidden="1">{#N/A,#N/A,FALSE,"Plan1";#N/A,#N/A,FALSE,"Plan2"}</definedName>
    <definedName name="k" hidden="1">{#N/A,#N/A,FALSE,"Plan1";#N/A,#N/A,FALSE,"Plan2"}</definedName>
    <definedName name="K_1" localSheetId="8">#REF!</definedName>
    <definedName name="K_1" localSheetId="5">#REF!</definedName>
    <definedName name="K_1" localSheetId="9">#REF!</definedName>
    <definedName name="K_1" localSheetId="10">#REF!</definedName>
    <definedName name="K_1" localSheetId="0">#REF!</definedName>
    <definedName name="K_1" localSheetId="11">#REF!</definedName>
    <definedName name="K_1" localSheetId="12">#REF!</definedName>
    <definedName name="K_1">#REF!</definedName>
    <definedName name="kaedkroswr" localSheetId="3" hidden="1">{"Econ Consolidado",#N/A,FALSE,"Econ Consol";"Fluxo de Caixa",#N/A,FALSE,"Fluxo Caixa";"Investimentos",#N/A,FALSE,"Investimentos"}</definedName>
    <definedName name="kaedkroswr" localSheetId="8">{"Econ Consolidado",#N/A,FALSE,"Econ Consol";"Fluxo de Caixa",#N/A,FALSE,"Fluxo Caixa";"Investimentos",#N/A,FALSE,"Investimentos"}</definedName>
    <definedName name="kaedkroswr" localSheetId="5" hidden="1">{"Econ Consolidado",#N/A,FALSE,"Econ Consol";"Fluxo de Caixa",#N/A,FALSE,"Fluxo Caixa";"Investimentos",#N/A,FALSE,"Investimentos"}</definedName>
    <definedName name="kaedkroswr" localSheetId="4" hidden="1">{"Econ Consolidado",#N/A,FALSE,"Econ Consol";"Fluxo de Caixa",#N/A,FALSE,"Fluxo Caixa";"Investimentos",#N/A,FALSE,"Investimentos"}</definedName>
    <definedName name="kaedkroswr" localSheetId="9">{"Econ Consolidado",#N/A,FALSE,"Econ Consol";"Fluxo de Caixa",#N/A,FALSE,"Fluxo Caixa";"Investimentos",#N/A,FALSE,"Investimentos"}</definedName>
    <definedName name="kaedkroswr" localSheetId="10" hidden="1">{"Econ Consolidado",#N/A,FALSE,"Econ Consol";"Fluxo de Caixa",#N/A,FALSE,"Fluxo Caixa";"Investimentos",#N/A,FALSE,"Investimentos"}</definedName>
    <definedName name="kaedkroswr" localSheetId="1" hidden="1">{"Econ Consolidado",#N/A,FALSE,"Econ Consol";"Fluxo de Caixa",#N/A,FALSE,"Fluxo Caixa";"Investimentos",#N/A,FALSE,"Investimentos"}</definedName>
    <definedName name="kaedkroswr" localSheetId="0">{"Econ Consolidado",#N/A,FALSE,"Econ Consol";"Fluxo de Caixa",#N/A,FALSE,"Fluxo Caixa";"Investimentos",#N/A,FALSE,"Investimentos"}</definedName>
    <definedName name="kaedkroswr" localSheetId="11" hidden="1">{"Econ Consolidado",#N/A,FALSE,"Econ Consol";"Fluxo de Caixa",#N/A,FALSE,"Fluxo Caixa";"Investimentos",#N/A,FALSE,"Investimentos"}</definedName>
    <definedName name="kaedkroswr" localSheetId="12" hidden="1">{"Econ Consolidado",#N/A,FALSE,"Econ Consol";"Fluxo de Caixa",#N/A,FALSE,"Fluxo Caixa";"Investimentos",#N/A,FALSE,"Investimentos"}</definedName>
    <definedName name="kaedkroswr" hidden="1">{"Econ Consolidado",#N/A,FALSE,"Econ Consol";"Fluxo de Caixa",#N/A,FALSE,"Fluxo Caixa";"Investimentos",#N/A,FALSE,"Investimentos"}</definedName>
    <definedName name="kapa" localSheetId="8">#REF!</definedName>
    <definedName name="kapa" localSheetId="5">#REF!</definedName>
    <definedName name="kapa" localSheetId="9">#REF!</definedName>
    <definedName name="kapa" localSheetId="10">#REF!</definedName>
    <definedName name="kapa" localSheetId="0">#REF!</definedName>
    <definedName name="kapa" localSheetId="11">#REF!</definedName>
    <definedName name="kapa" localSheetId="12">#REF!</definedName>
    <definedName name="kapa">#REF!</definedName>
    <definedName name="kç\lKçaksdçaqew" localSheetId="3" hidden="1">{#N/A,#N/A,FALSE,"Plan1";#N/A,#N/A,FALSE,"Plan2"}</definedName>
    <definedName name="kç\lKçaksdçaqew" localSheetId="5" hidden="1">{#N/A,#N/A,FALSE,"Plan1";#N/A,#N/A,FALSE,"Plan2"}</definedName>
    <definedName name="kç\lKçaksdçaqew" localSheetId="4" hidden="1">{#N/A,#N/A,FALSE,"Plan1";#N/A,#N/A,FALSE,"Plan2"}</definedName>
    <definedName name="kç\lKçaksdçaqew" localSheetId="10" hidden="1">{#N/A,#N/A,FALSE,"Plan1";#N/A,#N/A,FALSE,"Plan2"}</definedName>
    <definedName name="kç\lKçaksdçaqew" localSheetId="1" hidden="1">{#N/A,#N/A,FALSE,"Plan1";#N/A,#N/A,FALSE,"Plan2"}</definedName>
    <definedName name="kç\lKçaksdçaqew" localSheetId="0" hidden="1">{#N/A,#N/A,FALSE,"Plan1";#N/A,#N/A,FALSE,"Plan2"}</definedName>
    <definedName name="kç\lKçaksdçaqew" localSheetId="11" hidden="1">{#N/A,#N/A,FALSE,"Plan1";#N/A,#N/A,FALSE,"Plan2"}</definedName>
    <definedName name="kç\lKçaksdçaqew" localSheetId="12" hidden="1">{#N/A,#N/A,FALSE,"Plan1";#N/A,#N/A,FALSE,"Plan2"}</definedName>
    <definedName name="kç\lKçaksdçaqew" hidden="1">{#N/A,#N/A,FALSE,"Plan1";#N/A,#N/A,FALSE,"Plan2"}</definedName>
    <definedName name="kçdasekr" localSheetId="3" hidden="1">{#N/A,#N/A,FALSE,"Plan1";#N/A,#N/A,FALSE,"Plan2"}</definedName>
    <definedName name="kçdasekr" localSheetId="8">{#N/A,#N/A,FALSE,"Plan1";#N/A,#N/A,FALSE,"Plan2"}</definedName>
    <definedName name="kçdasekr" localSheetId="5" hidden="1">{#N/A,#N/A,FALSE,"Plan1";#N/A,#N/A,FALSE,"Plan2"}</definedName>
    <definedName name="kçdasekr" localSheetId="4" hidden="1">{#N/A,#N/A,FALSE,"Plan1";#N/A,#N/A,FALSE,"Plan2"}</definedName>
    <definedName name="kçdasekr" localSheetId="9">{#N/A,#N/A,FALSE,"Plan1";#N/A,#N/A,FALSE,"Plan2"}</definedName>
    <definedName name="kçdasekr" localSheetId="10" hidden="1">{#N/A,#N/A,FALSE,"Plan1";#N/A,#N/A,FALSE,"Plan2"}</definedName>
    <definedName name="kçdasekr" localSheetId="1" hidden="1">{#N/A,#N/A,FALSE,"Plan1";#N/A,#N/A,FALSE,"Plan2"}</definedName>
    <definedName name="kçdasekr" localSheetId="0">{#N/A,#N/A,FALSE,"Plan1";#N/A,#N/A,FALSE,"Plan2"}</definedName>
    <definedName name="kçdasekr" localSheetId="11" hidden="1">{#N/A,#N/A,FALSE,"Plan1";#N/A,#N/A,FALSE,"Plan2"}</definedName>
    <definedName name="kçdasekr" localSheetId="12" hidden="1">{#N/A,#N/A,FALSE,"Plan1";#N/A,#N/A,FALSE,"Plan2"}</definedName>
    <definedName name="kçdasekr" hidden="1">{#N/A,#N/A,FALSE,"Plan1";#N/A,#N/A,FALSE,"Plan2"}</definedName>
    <definedName name="kçfdljtredr" localSheetId="3" hidden="1">{#N/A,#N/A,FALSE,"Plan1";#N/A,#N/A,FALSE,"Plan2"}</definedName>
    <definedName name="kçfdljtredr" localSheetId="8">{#N/A,#N/A,FALSE,"Plan1";#N/A,#N/A,FALSE,"Plan2"}</definedName>
    <definedName name="kçfdljtredr" localSheetId="5" hidden="1">{#N/A,#N/A,FALSE,"Plan1";#N/A,#N/A,FALSE,"Plan2"}</definedName>
    <definedName name="kçfdljtredr" localSheetId="4" hidden="1">{#N/A,#N/A,FALSE,"Plan1";#N/A,#N/A,FALSE,"Plan2"}</definedName>
    <definedName name="kçfdljtredr" localSheetId="9">{#N/A,#N/A,FALSE,"Plan1";#N/A,#N/A,FALSE,"Plan2"}</definedName>
    <definedName name="kçfdljtredr" localSheetId="10" hidden="1">{#N/A,#N/A,FALSE,"Plan1";#N/A,#N/A,FALSE,"Plan2"}</definedName>
    <definedName name="kçfdljtredr" localSheetId="1" hidden="1">{#N/A,#N/A,FALSE,"Plan1";#N/A,#N/A,FALSE,"Plan2"}</definedName>
    <definedName name="kçfdljtredr" localSheetId="0">{#N/A,#N/A,FALSE,"Plan1";#N/A,#N/A,FALSE,"Plan2"}</definedName>
    <definedName name="kçfdljtredr" localSheetId="11" hidden="1">{#N/A,#N/A,FALSE,"Plan1";#N/A,#N/A,FALSE,"Plan2"}</definedName>
    <definedName name="kçfdljtredr" localSheetId="12" hidden="1">{#N/A,#N/A,FALSE,"Plan1";#N/A,#N/A,FALSE,"Plan2"}</definedName>
    <definedName name="kçfdljtredr" hidden="1">{#N/A,#N/A,FALSE,"Plan1";#N/A,#N/A,FALSE,"Plan2"}</definedName>
    <definedName name="KCIVIL" localSheetId="8">#REF!</definedName>
    <definedName name="KCIVIL" localSheetId="5">#REF!</definedName>
    <definedName name="KCIVIL" localSheetId="9">#REF!</definedName>
    <definedName name="KCIVIL" localSheetId="10">#REF!</definedName>
    <definedName name="KCIVIL" localSheetId="0">#REF!</definedName>
    <definedName name="KCIVIL" localSheetId="11">#REF!</definedName>
    <definedName name="KCIVIL" localSheetId="12">#REF!</definedName>
    <definedName name="KCIVIL">#REF!</definedName>
    <definedName name="kclçkglf" localSheetId="3" hidden="1">{#N/A,#N/A,FALSE,"Plan1";#N/A,#N/A,FALSE,"Plan2"}</definedName>
    <definedName name="kclçkglf" localSheetId="8">{#N/A,#N/A,FALSE,"Plan1";#N/A,#N/A,FALSE,"Plan2"}</definedName>
    <definedName name="kclçkglf" localSheetId="5" hidden="1">{#N/A,#N/A,FALSE,"Plan1";#N/A,#N/A,FALSE,"Plan2"}</definedName>
    <definedName name="kclçkglf" localSheetId="4" hidden="1">{#N/A,#N/A,FALSE,"Plan1";#N/A,#N/A,FALSE,"Plan2"}</definedName>
    <definedName name="kclçkglf" localSheetId="9">{#N/A,#N/A,FALSE,"Plan1";#N/A,#N/A,FALSE,"Plan2"}</definedName>
    <definedName name="kclçkglf" localSheetId="10" hidden="1">{#N/A,#N/A,FALSE,"Plan1";#N/A,#N/A,FALSE,"Plan2"}</definedName>
    <definedName name="kclçkglf" localSheetId="1" hidden="1">{#N/A,#N/A,FALSE,"Plan1";#N/A,#N/A,FALSE,"Plan2"}</definedName>
    <definedName name="kclçkglf" localSheetId="0">{#N/A,#N/A,FALSE,"Plan1";#N/A,#N/A,FALSE,"Plan2"}</definedName>
    <definedName name="kclçkglf" localSheetId="11" hidden="1">{#N/A,#N/A,FALSE,"Plan1";#N/A,#N/A,FALSE,"Plan2"}</definedName>
    <definedName name="kclçkglf" localSheetId="12" hidden="1">{#N/A,#N/A,FALSE,"Plan1";#N/A,#N/A,FALSE,"Plan2"}</definedName>
    <definedName name="kclçkglf" hidden="1">{#N/A,#N/A,FALSE,"Plan1";#N/A,#N/A,FALSE,"Plan2"}</definedName>
    <definedName name="kçlkasçkere" localSheetId="3" hidden="1">{#N/A,#N/A,FALSE,"Plan1";#N/A,#N/A,FALSE,"Plan2"}</definedName>
    <definedName name="kçlkasçkere" localSheetId="8">{#N/A,#N/A,FALSE,"Plan1";#N/A,#N/A,FALSE,"Plan2"}</definedName>
    <definedName name="kçlkasçkere" localSheetId="5" hidden="1">{#N/A,#N/A,FALSE,"Plan1";#N/A,#N/A,FALSE,"Plan2"}</definedName>
    <definedName name="kçlkasçkere" localSheetId="4" hidden="1">{#N/A,#N/A,FALSE,"Plan1";#N/A,#N/A,FALSE,"Plan2"}</definedName>
    <definedName name="kçlkasçkere" localSheetId="9">{#N/A,#N/A,FALSE,"Plan1";#N/A,#N/A,FALSE,"Plan2"}</definedName>
    <definedName name="kçlkasçkere" localSheetId="10" hidden="1">{#N/A,#N/A,FALSE,"Plan1";#N/A,#N/A,FALSE,"Plan2"}</definedName>
    <definedName name="kçlkasçkere" localSheetId="1" hidden="1">{#N/A,#N/A,FALSE,"Plan1";#N/A,#N/A,FALSE,"Plan2"}</definedName>
    <definedName name="kçlkasçkere" localSheetId="0">{#N/A,#N/A,FALSE,"Plan1";#N/A,#N/A,FALSE,"Plan2"}</definedName>
    <definedName name="kçlkasçkere" localSheetId="11" hidden="1">{#N/A,#N/A,FALSE,"Plan1";#N/A,#N/A,FALSE,"Plan2"}</definedName>
    <definedName name="kçlkasçkere" localSheetId="12" hidden="1">{#N/A,#N/A,FALSE,"Plan1";#N/A,#N/A,FALSE,"Plan2"}</definedName>
    <definedName name="kçlkasçkere" hidden="1">{#N/A,#N/A,FALSE,"Plan1";#N/A,#N/A,FALSE,"Plan2"}</definedName>
    <definedName name="kdfbngtjkbf" localSheetId="3" hidden="1">{#N/A,#N/A,FALSE,"Plan1";#N/A,#N/A,FALSE,"Plan2"}</definedName>
    <definedName name="kdfbngtjkbf" localSheetId="8">{#N/A,#N/A,FALSE,"Plan1";#N/A,#N/A,FALSE,"Plan2"}</definedName>
    <definedName name="kdfbngtjkbf" localSheetId="5" hidden="1">{#N/A,#N/A,FALSE,"Plan1";#N/A,#N/A,FALSE,"Plan2"}</definedName>
    <definedName name="kdfbngtjkbf" localSheetId="4" hidden="1">{#N/A,#N/A,FALSE,"Plan1";#N/A,#N/A,FALSE,"Plan2"}</definedName>
    <definedName name="kdfbngtjkbf" localSheetId="9">{#N/A,#N/A,FALSE,"Plan1";#N/A,#N/A,FALSE,"Plan2"}</definedName>
    <definedName name="kdfbngtjkbf" localSheetId="10" hidden="1">{#N/A,#N/A,FALSE,"Plan1";#N/A,#N/A,FALSE,"Plan2"}</definedName>
    <definedName name="kdfbngtjkbf" localSheetId="1" hidden="1">{#N/A,#N/A,FALSE,"Plan1";#N/A,#N/A,FALSE,"Plan2"}</definedName>
    <definedName name="kdfbngtjkbf" localSheetId="0">{#N/A,#N/A,FALSE,"Plan1";#N/A,#N/A,FALSE,"Plan2"}</definedName>
    <definedName name="kdfbngtjkbf" localSheetId="11" hidden="1">{#N/A,#N/A,FALSE,"Plan1";#N/A,#N/A,FALSE,"Plan2"}</definedName>
    <definedName name="kdfbngtjkbf" localSheetId="12" hidden="1">{#N/A,#N/A,FALSE,"Plan1";#N/A,#N/A,FALSE,"Plan2"}</definedName>
    <definedName name="kdfbngtjkbf" hidden="1">{#N/A,#N/A,FALSE,"Plan1";#N/A,#N/A,FALSE,"Plan2"}</definedName>
    <definedName name="kdfhkghkrh" localSheetId="3" hidden="1">{#N/A,#N/A,FALSE,"Plan1";#N/A,#N/A,FALSE,"Plan2"}</definedName>
    <definedName name="kdfhkghkrh" localSheetId="8">{#N/A,#N/A,FALSE,"Plan1";#N/A,#N/A,FALSE,"Plan2"}</definedName>
    <definedName name="kdfhkghkrh" localSheetId="5" hidden="1">{#N/A,#N/A,FALSE,"Plan1";#N/A,#N/A,FALSE,"Plan2"}</definedName>
    <definedName name="kdfhkghkrh" localSheetId="4" hidden="1">{#N/A,#N/A,FALSE,"Plan1";#N/A,#N/A,FALSE,"Plan2"}</definedName>
    <definedName name="kdfhkghkrh" localSheetId="9">{#N/A,#N/A,FALSE,"Plan1";#N/A,#N/A,FALSE,"Plan2"}</definedName>
    <definedName name="kdfhkghkrh" localSheetId="10" hidden="1">{#N/A,#N/A,FALSE,"Plan1";#N/A,#N/A,FALSE,"Plan2"}</definedName>
    <definedName name="kdfhkghkrh" localSheetId="1" hidden="1">{#N/A,#N/A,FALSE,"Plan1";#N/A,#N/A,FALSE,"Plan2"}</definedName>
    <definedName name="kdfhkghkrh" localSheetId="0">{#N/A,#N/A,FALSE,"Plan1";#N/A,#N/A,FALSE,"Plan2"}</definedName>
    <definedName name="kdfhkghkrh" localSheetId="11" hidden="1">{#N/A,#N/A,FALSE,"Plan1";#N/A,#N/A,FALSE,"Plan2"}</definedName>
    <definedName name="kdfhkghkrh" localSheetId="12" hidden="1">{#N/A,#N/A,FALSE,"Plan1";#N/A,#N/A,FALSE,"Plan2"}</definedName>
    <definedName name="kdfhkghkrh" hidden="1">{#N/A,#N/A,FALSE,"Plan1";#N/A,#N/A,FALSE,"Plan2"}</definedName>
    <definedName name="kdfier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ier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dfkçrkf" localSheetId="3" hidden="1">{#N/A,#N/A,FALSE,"Plan1";#N/A,#N/A,FALSE,"Plan2"}</definedName>
    <definedName name="kdfkçrkf" localSheetId="8">{#N/A,#N/A,FALSE,"Plan1";#N/A,#N/A,FALSE,"Plan2"}</definedName>
    <definedName name="kdfkçrkf" localSheetId="5" hidden="1">{#N/A,#N/A,FALSE,"Plan1";#N/A,#N/A,FALSE,"Plan2"}</definedName>
    <definedName name="kdfkçrkf" localSheetId="4" hidden="1">{#N/A,#N/A,FALSE,"Plan1";#N/A,#N/A,FALSE,"Plan2"}</definedName>
    <definedName name="kdfkçrkf" localSheetId="9">{#N/A,#N/A,FALSE,"Plan1";#N/A,#N/A,FALSE,"Plan2"}</definedName>
    <definedName name="kdfkçrkf" localSheetId="10" hidden="1">{#N/A,#N/A,FALSE,"Plan1";#N/A,#N/A,FALSE,"Plan2"}</definedName>
    <definedName name="kdfkçrkf" localSheetId="1" hidden="1">{#N/A,#N/A,FALSE,"Plan1";#N/A,#N/A,FALSE,"Plan2"}</definedName>
    <definedName name="kdfkçrkf" localSheetId="0">{#N/A,#N/A,FALSE,"Plan1";#N/A,#N/A,FALSE,"Plan2"}</definedName>
    <definedName name="kdfkçrkf" localSheetId="11" hidden="1">{#N/A,#N/A,FALSE,"Plan1";#N/A,#N/A,FALSE,"Plan2"}</definedName>
    <definedName name="kdfkçrkf" localSheetId="12" hidden="1">{#N/A,#N/A,FALSE,"Plan1";#N/A,#N/A,FALSE,"Plan2"}</definedName>
    <definedName name="kdfkçrkf" hidden="1">{#N/A,#N/A,FALSE,"Plan1";#N/A,#N/A,FALSE,"Plan2"}</definedName>
    <definedName name="kdfljlfr" localSheetId="3" hidden="1">{#N/A,#N/A,FALSE,"Plan1";#N/A,#N/A,FALSE,"Plan2"}</definedName>
    <definedName name="kdfljlfr" localSheetId="8">{#N/A,#N/A,FALSE,"Plan1";#N/A,#N/A,FALSE,"Plan2"}</definedName>
    <definedName name="kdfljlfr" localSheetId="5" hidden="1">{#N/A,#N/A,FALSE,"Plan1";#N/A,#N/A,FALSE,"Plan2"}</definedName>
    <definedName name="kdfljlfr" localSheetId="4" hidden="1">{#N/A,#N/A,FALSE,"Plan1";#N/A,#N/A,FALSE,"Plan2"}</definedName>
    <definedName name="kdfljlfr" localSheetId="9">{#N/A,#N/A,FALSE,"Plan1";#N/A,#N/A,FALSE,"Plan2"}</definedName>
    <definedName name="kdfljlfr" localSheetId="10" hidden="1">{#N/A,#N/A,FALSE,"Plan1";#N/A,#N/A,FALSE,"Plan2"}</definedName>
    <definedName name="kdfljlfr" localSheetId="1" hidden="1">{#N/A,#N/A,FALSE,"Plan1";#N/A,#N/A,FALSE,"Plan2"}</definedName>
    <definedName name="kdfljlfr" localSheetId="0">{#N/A,#N/A,FALSE,"Plan1";#N/A,#N/A,FALSE,"Plan2"}</definedName>
    <definedName name="kdfljlfr" localSheetId="11" hidden="1">{#N/A,#N/A,FALSE,"Plan1";#N/A,#N/A,FALSE,"Plan2"}</definedName>
    <definedName name="kdfljlfr" localSheetId="12" hidden="1">{#N/A,#N/A,FALSE,"Plan1";#N/A,#N/A,FALSE,"Plan2"}</definedName>
    <definedName name="kdfljlfr" hidden="1">{#N/A,#N/A,FALSE,"Plan1";#N/A,#N/A,FALSE,"Plan2"}</definedName>
    <definedName name="kdhfgkdfhytgu" localSheetId="3" hidden="1">{#N/A,#N/A,FALSE,"Plan1";#N/A,#N/A,FALSE,"Plan2"}</definedName>
    <definedName name="kdhfgkdfhytgu" localSheetId="8">{#N/A,#N/A,FALSE,"Plan1";#N/A,#N/A,FALSE,"Plan2"}</definedName>
    <definedName name="kdhfgkdfhytgu" localSheetId="5" hidden="1">{#N/A,#N/A,FALSE,"Plan1";#N/A,#N/A,FALSE,"Plan2"}</definedName>
    <definedName name="kdhfgkdfhytgu" localSheetId="4" hidden="1">{#N/A,#N/A,FALSE,"Plan1";#N/A,#N/A,FALSE,"Plan2"}</definedName>
    <definedName name="kdhfgkdfhytgu" localSheetId="9">{#N/A,#N/A,FALSE,"Plan1";#N/A,#N/A,FALSE,"Plan2"}</definedName>
    <definedName name="kdhfgkdfhytgu" localSheetId="10" hidden="1">{#N/A,#N/A,FALSE,"Plan1";#N/A,#N/A,FALSE,"Plan2"}</definedName>
    <definedName name="kdhfgkdfhytgu" localSheetId="1" hidden="1">{#N/A,#N/A,FALSE,"Plan1";#N/A,#N/A,FALSE,"Plan2"}</definedName>
    <definedName name="kdhfgkdfhytgu" localSheetId="0">{#N/A,#N/A,FALSE,"Plan1";#N/A,#N/A,FALSE,"Plan2"}</definedName>
    <definedName name="kdhfgkdfhytgu" localSheetId="11" hidden="1">{#N/A,#N/A,FALSE,"Plan1";#N/A,#N/A,FALSE,"Plan2"}</definedName>
    <definedName name="kdhfgkdfhytgu" localSheetId="12" hidden="1">{#N/A,#N/A,FALSE,"Plan1";#N/A,#N/A,FALSE,"Plan2"}</definedName>
    <definedName name="kdhfgkdfhytgu" hidden="1">{#N/A,#N/A,FALSE,"Plan1";#N/A,#N/A,FALSE,"Plan2"}</definedName>
    <definedName name="kdhgftfg" localSheetId="3" hidden="1">{#N/A,#N/A,FALSE,"Plan1";#N/A,#N/A,FALSE,"Plan2"}</definedName>
    <definedName name="kdhgftfg" localSheetId="8">{#N/A,#N/A,FALSE,"Plan1";#N/A,#N/A,FALSE,"Plan2"}</definedName>
    <definedName name="kdhgftfg" localSheetId="5" hidden="1">{#N/A,#N/A,FALSE,"Plan1";#N/A,#N/A,FALSE,"Plan2"}</definedName>
    <definedName name="kdhgftfg" localSheetId="4" hidden="1">{#N/A,#N/A,FALSE,"Plan1";#N/A,#N/A,FALSE,"Plan2"}</definedName>
    <definedName name="kdhgftfg" localSheetId="9">{#N/A,#N/A,FALSE,"Plan1";#N/A,#N/A,FALSE,"Plan2"}</definedName>
    <definedName name="kdhgftfg" localSheetId="10" hidden="1">{#N/A,#N/A,FALSE,"Plan1";#N/A,#N/A,FALSE,"Plan2"}</definedName>
    <definedName name="kdhgftfg" localSheetId="1" hidden="1">{#N/A,#N/A,FALSE,"Plan1";#N/A,#N/A,FALSE,"Plan2"}</definedName>
    <definedName name="kdhgftfg" localSheetId="0">{#N/A,#N/A,FALSE,"Plan1";#N/A,#N/A,FALSE,"Plan2"}</definedName>
    <definedName name="kdhgftfg" localSheetId="11" hidden="1">{#N/A,#N/A,FALSE,"Plan1";#N/A,#N/A,FALSE,"Plan2"}</definedName>
    <definedName name="kdhgftfg" localSheetId="12" hidden="1">{#N/A,#N/A,FALSE,"Plan1";#N/A,#N/A,FALSE,"Plan2"}</definedName>
    <definedName name="kdhgftfg" hidden="1">{#N/A,#N/A,FALSE,"Plan1";#N/A,#N/A,FALSE,"Plan2"}</definedName>
    <definedName name="KDHKFGKKHGF" localSheetId="3" hidden="1">{#N/A,#N/A,FALSE,"Plan1";#N/A,#N/A,FALSE,"Plan2"}</definedName>
    <definedName name="KDHKFGKKHGF" localSheetId="8">{#N/A,#N/A,FALSE,"Plan1";#N/A,#N/A,FALSE,"Plan2"}</definedName>
    <definedName name="KDHKFGKKHGF" localSheetId="5" hidden="1">{#N/A,#N/A,FALSE,"Plan1";#N/A,#N/A,FALSE,"Plan2"}</definedName>
    <definedName name="KDHKFGKKHGF" localSheetId="4" hidden="1">{#N/A,#N/A,FALSE,"Plan1";#N/A,#N/A,FALSE,"Plan2"}</definedName>
    <definedName name="KDHKFGKKHGF" localSheetId="9">{#N/A,#N/A,FALSE,"Plan1";#N/A,#N/A,FALSE,"Plan2"}</definedName>
    <definedName name="KDHKFGKKHGF" localSheetId="10" hidden="1">{#N/A,#N/A,FALSE,"Plan1";#N/A,#N/A,FALSE,"Plan2"}</definedName>
    <definedName name="KDHKFGKKHGF" localSheetId="1" hidden="1">{#N/A,#N/A,FALSE,"Plan1";#N/A,#N/A,FALSE,"Plan2"}</definedName>
    <definedName name="KDHKFGKKHGF" localSheetId="0">{#N/A,#N/A,FALSE,"Plan1";#N/A,#N/A,FALSE,"Plan2"}</definedName>
    <definedName name="KDHKFGKKHGF" localSheetId="11" hidden="1">{#N/A,#N/A,FALSE,"Plan1";#N/A,#N/A,FALSE,"Plan2"}</definedName>
    <definedName name="KDHKFGKKHGF" localSheetId="12" hidden="1">{#N/A,#N/A,FALSE,"Plan1";#N/A,#N/A,FALSE,"Plan2"}</definedName>
    <definedName name="KDHKFGKKHGF" hidden="1">{#N/A,#N/A,FALSE,"Plan1";#N/A,#N/A,FALSE,"Plan2"}</definedName>
    <definedName name="kdjfdr" localSheetId="8">#REF!</definedName>
    <definedName name="kdjfdr" localSheetId="5" hidden="1">#REF!</definedName>
    <definedName name="kdjfdr" localSheetId="9">#REF!</definedName>
    <definedName name="kdjfdr" localSheetId="10" hidden="1">#REF!</definedName>
    <definedName name="kdjfdr" localSheetId="1" hidden="1">#REF!</definedName>
    <definedName name="kdjfdr" localSheetId="0">#REF!</definedName>
    <definedName name="kdjfdr" localSheetId="11" hidden="1">#REF!</definedName>
    <definedName name="kdjfdr" localSheetId="12" hidden="1">#REF!</definedName>
    <definedName name="kdjfdr" hidden="1">#REF!</definedName>
    <definedName name="kdjgkfjgd" localSheetId="3" hidden="1">{#N/A,#N/A,FALSE,"Plan1";#N/A,#N/A,FALSE,"Plan2"}</definedName>
    <definedName name="kdjgkfjgd" localSheetId="8">{#N/A,#N/A,FALSE,"Plan1";#N/A,#N/A,FALSE,"Plan2"}</definedName>
    <definedName name="kdjgkfjgd" localSheetId="5" hidden="1">{#N/A,#N/A,FALSE,"Plan1";#N/A,#N/A,FALSE,"Plan2"}</definedName>
    <definedName name="kdjgkfjgd" localSheetId="4" hidden="1">{#N/A,#N/A,FALSE,"Plan1";#N/A,#N/A,FALSE,"Plan2"}</definedName>
    <definedName name="kdjgkfjgd" localSheetId="9">{#N/A,#N/A,FALSE,"Plan1";#N/A,#N/A,FALSE,"Plan2"}</definedName>
    <definedName name="kdjgkfjgd" localSheetId="10" hidden="1">{#N/A,#N/A,FALSE,"Plan1";#N/A,#N/A,FALSE,"Plan2"}</definedName>
    <definedName name="kdjgkfjgd" localSheetId="1" hidden="1">{#N/A,#N/A,FALSE,"Plan1";#N/A,#N/A,FALSE,"Plan2"}</definedName>
    <definedName name="kdjgkfjgd" localSheetId="0">{#N/A,#N/A,FALSE,"Plan1";#N/A,#N/A,FALSE,"Plan2"}</definedName>
    <definedName name="kdjgkfjgd" localSheetId="11" hidden="1">{#N/A,#N/A,FALSE,"Plan1";#N/A,#N/A,FALSE,"Plan2"}</definedName>
    <definedName name="kdjgkfjgd" localSheetId="12" hidden="1">{#N/A,#N/A,FALSE,"Plan1";#N/A,#N/A,FALSE,"Plan2"}</definedName>
    <definedName name="kdjgkfjgd" hidden="1">{#N/A,#N/A,FALSE,"Plan1";#N/A,#N/A,FALSE,"Plan2"}</definedName>
    <definedName name="kdjglkdlgjd" localSheetId="3" hidden="1">{#N/A,#N/A,FALSE,"Plan1";#N/A,#N/A,FALSE,"Plan2"}</definedName>
    <definedName name="kdjglkdlgjd" localSheetId="8">{#N/A,#N/A,FALSE,"Plan1";#N/A,#N/A,FALSE,"Plan2"}</definedName>
    <definedName name="kdjglkdlgjd" localSheetId="5" hidden="1">{#N/A,#N/A,FALSE,"Plan1";#N/A,#N/A,FALSE,"Plan2"}</definedName>
    <definedName name="kdjglkdlgjd" localSheetId="4" hidden="1">{#N/A,#N/A,FALSE,"Plan1";#N/A,#N/A,FALSE,"Plan2"}</definedName>
    <definedName name="kdjglkdlgjd" localSheetId="9">{#N/A,#N/A,FALSE,"Plan1";#N/A,#N/A,FALSE,"Plan2"}</definedName>
    <definedName name="kdjglkdlgjd" localSheetId="10" hidden="1">{#N/A,#N/A,FALSE,"Plan1";#N/A,#N/A,FALSE,"Plan2"}</definedName>
    <definedName name="kdjglkdlgjd" localSheetId="1" hidden="1">{#N/A,#N/A,FALSE,"Plan1";#N/A,#N/A,FALSE,"Plan2"}</definedName>
    <definedName name="kdjglkdlgjd" localSheetId="0">{#N/A,#N/A,FALSE,"Plan1";#N/A,#N/A,FALSE,"Plan2"}</definedName>
    <definedName name="kdjglkdlgjd" localSheetId="11" hidden="1">{#N/A,#N/A,FALSE,"Plan1";#N/A,#N/A,FALSE,"Plan2"}</definedName>
    <definedName name="kdjglkdlgjd" localSheetId="12" hidden="1">{#N/A,#N/A,FALSE,"Plan1";#N/A,#N/A,FALSE,"Plan2"}</definedName>
    <definedName name="kdjglkdlgjd" hidden="1">{#N/A,#N/A,FALSE,"Plan1";#N/A,#N/A,FALSE,"Plan2"}</definedName>
    <definedName name="kdjsfkldjgkty" localSheetId="3" hidden="1">{#N/A,#N/A,FALSE,"Plan1";#N/A,#N/A,FALSE,"Plan2"}</definedName>
    <definedName name="kdjsfkldjgkty" localSheetId="8">{#N/A,#N/A,FALSE,"Plan1";#N/A,#N/A,FALSE,"Plan2"}</definedName>
    <definedName name="kdjsfkldjgkty" localSheetId="5" hidden="1">{#N/A,#N/A,FALSE,"Plan1";#N/A,#N/A,FALSE,"Plan2"}</definedName>
    <definedName name="kdjsfkldjgkty" localSheetId="4" hidden="1">{#N/A,#N/A,FALSE,"Plan1";#N/A,#N/A,FALSE,"Plan2"}</definedName>
    <definedName name="kdjsfkldjgkty" localSheetId="9">{#N/A,#N/A,FALSE,"Plan1";#N/A,#N/A,FALSE,"Plan2"}</definedName>
    <definedName name="kdjsfkldjgkty" localSheetId="10" hidden="1">{#N/A,#N/A,FALSE,"Plan1";#N/A,#N/A,FALSE,"Plan2"}</definedName>
    <definedName name="kdjsfkldjgkty" localSheetId="1" hidden="1">{#N/A,#N/A,FALSE,"Plan1";#N/A,#N/A,FALSE,"Plan2"}</definedName>
    <definedName name="kdjsfkldjgkty" localSheetId="0">{#N/A,#N/A,FALSE,"Plan1";#N/A,#N/A,FALSE,"Plan2"}</definedName>
    <definedName name="kdjsfkldjgkty" localSheetId="11" hidden="1">{#N/A,#N/A,FALSE,"Plan1";#N/A,#N/A,FALSE,"Plan2"}</definedName>
    <definedName name="kdjsfkldjgkty" localSheetId="12" hidden="1">{#N/A,#N/A,FALSE,"Plan1";#N/A,#N/A,FALSE,"Plan2"}</definedName>
    <definedName name="kdjsfkldjgkty" hidden="1">{#N/A,#N/A,FALSE,"Plan1";#N/A,#N/A,FALSE,"Plan2"}</definedName>
    <definedName name="KDJU" localSheetId="3" hidden="1">{"'장비'!$A$3:$M$12"}</definedName>
    <definedName name="KDJU" localSheetId="8">{"'장비'!$A$3:$M$12"}</definedName>
    <definedName name="KDJU" localSheetId="5" hidden="1">{"'장비'!$A$3:$M$12"}</definedName>
    <definedName name="KDJU" localSheetId="4" hidden="1">{"'장비'!$A$3:$M$12"}</definedName>
    <definedName name="KDJU" localSheetId="9">{"'장비'!$A$3:$M$12"}</definedName>
    <definedName name="KDJU" localSheetId="10" hidden="1">{"'장비'!$A$3:$M$12"}</definedName>
    <definedName name="KDJU" localSheetId="1" hidden="1">{"'장비'!$A$3:$M$12"}</definedName>
    <definedName name="KDJU" localSheetId="0">{"'장비'!$A$3:$M$12"}</definedName>
    <definedName name="KDJU" localSheetId="11" hidden="1">{"'장비'!$A$3:$M$12"}</definedName>
    <definedName name="KDJU" localSheetId="12" hidden="1">{"'장비'!$A$3:$M$12"}</definedName>
    <definedName name="KDJU" hidden="1">{"'장비'!$A$3:$M$12"}</definedName>
    <definedName name="kdkjhgdkfhjk" localSheetId="3" hidden="1">{#N/A,#N/A,FALSE,"Plan1";#N/A,#N/A,FALSE,"Plan2"}</definedName>
    <definedName name="kdkjhgdkfhjk" localSheetId="8">{#N/A,#N/A,FALSE,"Plan1";#N/A,#N/A,FALSE,"Plan2"}</definedName>
    <definedName name="kdkjhgdkfhjk" localSheetId="5" hidden="1">{#N/A,#N/A,FALSE,"Plan1";#N/A,#N/A,FALSE,"Plan2"}</definedName>
    <definedName name="kdkjhgdkfhjk" localSheetId="4" hidden="1">{#N/A,#N/A,FALSE,"Plan1";#N/A,#N/A,FALSE,"Plan2"}</definedName>
    <definedName name="kdkjhgdkfhjk" localSheetId="9">{#N/A,#N/A,FALSE,"Plan1";#N/A,#N/A,FALSE,"Plan2"}</definedName>
    <definedName name="kdkjhgdkfhjk" localSheetId="10" hidden="1">{#N/A,#N/A,FALSE,"Plan1";#N/A,#N/A,FALSE,"Plan2"}</definedName>
    <definedName name="kdkjhgdkfhjk" localSheetId="1" hidden="1">{#N/A,#N/A,FALSE,"Plan1";#N/A,#N/A,FALSE,"Plan2"}</definedName>
    <definedName name="kdkjhgdkfhjk" localSheetId="0">{#N/A,#N/A,FALSE,"Plan1";#N/A,#N/A,FALSE,"Plan2"}</definedName>
    <definedName name="kdkjhgdkfhjk" localSheetId="11" hidden="1">{#N/A,#N/A,FALSE,"Plan1";#N/A,#N/A,FALSE,"Plan2"}</definedName>
    <definedName name="kdkjhgdkfhjk" localSheetId="12" hidden="1">{#N/A,#N/A,FALSE,"Plan1";#N/A,#N/A,FALSE,"Plan2"}</definedName>
    <definedName name="kdkjhgdkfhjk" hidden="1">{#N/A,#N/A,FALSE,"Plan1";#N/A,#N/A,FALSE,"Plan2"}</definedName>
    <definedName name="kdsf" localSheetId="3" hidden="1">{#N/A,#N/A,FALSE,"Plan1";#N/A,#N/A,FALSE,"Plan2"}</definedName>
    <definedName name="kdsf" localSheetId="8">{#N/A,#N/A,FALSE,"Plan1";#N/A,#N/A,FALSE,"Plan2"}</definedName>
    <definedName name="kdsf" localSheetId="5" hidden="1">{#N/A,#N/A,FALSE,"Plan1";#N/A,#N/A,FALSE,"Plan2"}</definedName>
    <definedName name="kdsf" localSheetId="4" hidden="1">{#N/A,#N/A,FALSE,"Plan1";#N/A,#N/A,FALSE,"Plan2"}</definedName>
    <definedName name="kdsf" localSheetId="9">{#N/A,#N/A,FALSE,"Plan1";#N/A,#N/A,FALSE,"Plan2"}</definedName>
    <definedName name="kdsf" localSheetId="10" hidden="1">{#N/A,#N/A,FALSE,"Plan1";#N/A,#N/A,FALSE,"Plan2"}</definedName>
    <definedName name="kdsf" localSheetId="1" hidden="1">{#N/A,#N/A,FALSE,"Plan1";#N/A,#N/A,FALSE,"Plan2"}</definedName>
    <definedName name="kdsf" localSheetId="0">{#N/A,#N/A,FALSE,"Plan1";#N/A,#N/A,FALSE,"Plan2"}</definedName>
    <definedName name="kdsf" localSheetId="11" hidden="1">{#N/A,#N/A,FALSE,"Plan1";#N/A,#N/A,FALSE,"Plan2"}</definedName>
    <definedName name="kdsf" localSheetId="12" hidden="1">{#N/A,#N/A,FALSE,"Plan1";#N/A,#N/A,FALSE,"Plan2"}</definedName>
    <definedName name="kdsf" hidden="1">{#N/A,#N/A,FALSE,"Plan1";#N/A,#N/A,FALSE,"Plan2"}</definedName>
    <definedName name="kdsr" localSheetId="3" hidden="1">{#N/A,#N/A,FALSE,"Plan1";#N/A,#N/A,FALSE,"Plan2"}</definedName>
    <definedName name="kdsr" localSheetId="8">{#N/A,#N/A,FALSE,"Plan1";#N/A,#N/A,FALSE,"Plan2"}</definedName>
    <definedName name="kdsr" localSheetId="5" hidden="1">{#N/A,#N/A,FALSE,"Plan1";#N/A,#N/A,FALSE,"Plan2"}</definedName>
    <definedName name="kdsr" localSheetId="4" hidden="1">{#N/A,#N/A,FALSE,"Plan1";#N/A,#N/A,FALSE,"Plan2"}</definedName>
    <definedName name="kdsr" localSheetId="9">{#N/A,#N/A,FALSE,"Plan1";#N/A,#N/A,FALSE,"Plan2"}</definedName>
    <definedName name="kdsr" localSheetId="10" hidden="1">{#N/A,#N/A,FALSE,"Plan1";#N/A,#N/A,FALSE,"Plan2"}</definedName>
    <definedName name="kdsr" localSheetId="1" hidden="1">{#N/A,#N/A,FALSE,"Plan1";#N/A,#N/A,FALSE,"Plan2"}</definedName>
    <definedName name="kdsr" localSheetId="0">{#N/A,#N/A,FALSE,"Plan1";#N/A,#N/A,FALSE,"Plan2"}</definedName>
    <definedName name="kdsr" localSheetId="11" hidden="1">{#N/A,#N/A,FALSE,"Plan1";#N/A,#N/A,FALSE,"Plan2"}</definedName>
    <definedName name="kdsr" localSheetId="12" hidden="1">{#N/A,#N/A,FALSE,"Plan1";#N/A,#N/A,FALSE,"Plan2"}</definedName>
    <definedName name="kdsr" hidden="1">{#N/A,#N/A,FALSE,"Plan1";#N/A,#N/A,FALSE,"Plan2"}</definedName>
    <definedName name="kergtfdstr" localSheetId="3" hidden="1">{#N/A,#N/A,FALSE,"Plan1";#N/A,#N/A,FALSE,"Plan2"}</definedName>
    <definedName name="kergtfdstr" localSheetId="8">{#N/A,#N/A,FALSE,"Plan1";#N/A,#N/A,FALSE,"Plan2"}</definedName>
    <definedName name="kergtfdstr" localSheetId="5" hidden="1">{#N/A,#N/A,FALSE,"Plan1";#N/A,#N/A,FALSE,"Plan2"}</definedName>
    <definedName name="kergtfdstr" localSheetId="4" hidden="1">{#N/A,#N/A,FALSE,"Plan1";#N/A,#N/A,FALSE,"Plan2"}</definedName>
    <definedName name="kergtfdstr" localSheetId="9">{#N/A,#N/A,FALSE,"Plan1";#N/A,#N/A,FALSE,"Plan2"}</definedName>
    <definedName name="kergtfdstr" localSheetId="10" hidden="1">{#N/A,#N/A,FALSE,"Plan1";#N/A,#N/A,FALSE,"Plan2"}</definedName>
    <definedName name="kergtfdstr" localSheetId="1" hidden="1">{#N/A,#N/A,FALSE,"Plan1";#N/A,#N/A,FALSE,"Plan2"}</definedName>
    <definedName name="kergtfdstr" localSheetId="0">{#N/A,#N/A,FALSE,"Plan1";#N/A,#N/A,FALSE,"Plan2"}</definedName>
    <definedName name="kergtfdstr" localSheetId="11" hidden="1">{#N/A,#N/A,FALSE,"Plan1";#N/A,#N/A,FALSE,"Plan2"}</definedName>
    <definedName name="kergtfdstr" localSheetId="12" hidden="1">{#N/A,#N/A,FALSE,"Plan1";#N/A,#N/A,FALSE,"Plan2"}</definedName>
    <definedName name="kergtfdstr" hidden="1">{#N/A,#N/A,FALSE,"Plan1";#N/A,#N/A,FALSE,"Plan2"}</definedName>
    <definedName name="kesp" localSheetId="8">#REF!</definedName>
    <definedName name="kesp" localSheetId="5">#REF!</definedName>
    <definedName name="kesp" localSheetId="9">#REF!</definedName>
    <definedName name="kesp" localSheetId="10">#REF!</definedName>
    <definedName name="kesp" localSheetId="0">#REF!</definedName>
    <definedName name="kesp" localSheetId="11">#REF!</definedName>
    <definedName name="kesp" localSheetId="12">#REF!</definedName>
    <definedName name="kesp">#REF!</definedName>
    <definedName name="KFDKTHGT" localSheetId="3" hidden="1">{#N/A,#N/A,FALSE,"Plan1";#N/A,#N/A,FALSE,"Plan2"}</definedName>
    <definedName name="KFDKTHGT" localSheetId="8">{#N/A,#N/A,FALSE,"Plan1";#N/A,#N/A,FALSE,"Plan2"}</definedName>
    <definedName name="KFDKTHGT" localSheetId="5" hidden="1">{#N/A,#N/A,FALSE,"Plan1";#N/A,#N/A,FALSE,"Plan2"}</definedName>
    <definedName name="KFDKTHGT" localSheetId="4" hidden="1">{#N/A,#N/A,FALSE,"Plan1";#N/A,#N/A,FALSE,"Plan2"}</definedName>
    <definedName name="KFDKTHGT" localSheetId="9">{#N/A,#N/A,FALSE,"Plan1";#N/A,#N/A,FALSE,"Plan2"}</definedName>
    <definedName name="KFDKTHGT" localSheetId="10" hidden="1">{#N/A,#N/A,FALSE,"Plan1";#N/A,#N/A,FALSE,"Plan2"}</definedName>
    <definedName name="KFDKTHGT" localSheetId="1" hidden="1">{#N/A,#N/A,FALSE,"Plan1";#N/A,#N/A,FALSE,"Plan2"}</definedName>
    <definedName name="KFDKTHGT" localSheetId="0">{#N/A,#N/A,FALSE,"Plan1";#N/A,#N/A,FALSE,"Plan2"}</definedName>
    <definedName name="KFDKTHGT" localSheetId="11" hidden="1">{#N/A,#N/A,FALSE,"Plan1";#N/A,#N/A,FALSE,"Plan2"}</definedName>
    <definedName name="KFDKTHGT" localSheetId="12" hidden="1">{#N/A,#N/A,FALSE,"Plan1";#N/A,#N/A,FALSE,"Plan2"}</definedName>
    <definedName name="KFDKTHGT" hidden="1">{#N/A,#N/A,FALSE,"Plan1";#N/A,#N/A,FALSE,"Plan2"}</definedName>
    <definedName name="kfdxlfdzs" localSheetId="3" hidden="1">{"Econ Consolidado",#N/A,FALSE,"Econ Consol";"Fluxo de Caixa",#N/A,FALSE,"Fluxo Caixa";"Investimentos",#N/A,FALSE,"Investimentos"}</definedName>
    <definedName name="kfdxlfdzs" localSheetId="8">{"Econ Consolidado",#N/A,FALSE,"Econ Consol";"Fluxo de Caixa",#N/A,FALSE,"Fluxo Caixa";"Investimentos",#N/A,FALSE,"Investimentos"}</definedName>
    <definedName name="kfdxlfdzs" localSheetId="5" hidden="1">{"Econ Consolidado",#N/A,FALSE,"Econ Consol";"Fluxo de Caixa",#N/A,FALSE,"Fluxo Caixa";"Investimentos",#N/A,FALSE,"Investimentos"}</definedName>
    <definedName name="kfdxlfdzs" localSheetId="4" hidden="1">{"Econ Consolidado",#N/A,FALSE,"Econ Consol";"Fluxo de Caixa",#N/A,FALSE,"Fluxo Caixa";"Investimentos",#N/A,FALSE,"Investimentos"}</definedName>
    <definedName name="kfdxlfdzs" localSheetId="9">{"Econ Consolidado",#N/A,FALSE,"Econ Consol";"Fluxo de Caixa",#N/A,FALSE,"Fluxo Caixa";"Investimentos",#N/A,FALSE,"Investimentos"}</definedName>
    <definedName name="kfdxlfdzs" localSheetId="10" hidden="1">{"Econ Consolidado",#N/A,FALSE,"Econ Consol";"Fluxo de Caixa",#N/A,FALSE,"Fluxo Caixa";"Investimentos",#N/A,FALSE,"Investimentos"}</definedName>
    <definedName name="kfdxlfdzs" localSheetId="1" hidden="1">{"Econ Consolidado",#N/A,FALSE,"Econ Consol";"Fluxo de Caixa",#N/A,FALSE,"Fluxo Caixa";"Investimentos",#N/A,FALSE,"Investimentos"}</definedName>
    <definedName name="kfdxlfdzs" localSheetId="0">{"Econ Consolidado",#N/A,FALSE,"Econ Consol";"Fluxo de Caixa",#N/A,FALSE,"Fluxo Caixa";"Investimentos",#N/A,FALSE,"Investimentos"}</definedName>
    <definedName name="kfdxlfdzs" localSheetId="11" hidden="1">{"Econ Consolidado",#N/A,FALSE,"Econ Consol";"Fluxo de Caixa",#N/A,FALSE,"Fluxo Caixa";"Investimentos",#N/A,FALSE,"Investimentos"}</definedName>
    <definedName name="kfdxlfdzs" localSheetId="12" hidden="1">{"Econ Consolidado",#N/A,FALSE,"Econ Consol";"Fluxo de Caixa",#N/A,FALSE,"Fluxo Caixa";"Investimentos",#N/A,FALSE,"Investimentos"}</definedName>
    <definedName name="kfdxlfdzs" hidden="1">{"Econ Consolidado",#N/A,FALSE,"Econ Consol";"Fluxo de Caixa",#N/A,FALSE,"Fluxo Caixa";"Investimentos",#N/A,FALSE,"Investimentos"}</definedName>
    <definedName name="kfgkhjkjhy" localSheetId="3" hidden="1">{#N/A,#N/A,FALSE,"Plan1";#N/A,#N/A,FALSE,"Plan2"}</definedName>
    <definedName name="kfgkhjkjhy" localSheetId="8">{#N/A,#N/A,FALSE,"Plan1";#N/A,#N/A,FALSE,"Plan2"}</definedName>
    <definedName name="kfgkhjkjhy" localSheetId="5" hidden="1">{#N/A,#N/A,FALSE,"Plan1";#N/A,#N/A,FALSE,"Plan2"}</definedName>
    <definedName name="kfgkhjkjhy" localSheetId="4" hidden="1">{#N/A,#N/A,FALSE,"Plan1";#N/A,#N/A,FALSE,"Plan2"}</definedName>
    <definedName name="kfgkhjkjhy" localSheetId="9">{#N/A,#N/A,FALSE,"Plan1";#N/A,#N/A,FALSE,"Plan2"}</definedName>
    <definedName name="kfgkhjkjhy" localSheetId="10" hidden="1">{#N/A,#N/A,FALSE,"Plan1";#N/A,#N/A,FALSE,"Plan2"}</definedName>
    <definedName name="kfgkhjkjhy" localSheetId="1" hidden="1">{#N/A,#N/A,FALSE,"Plan1";#N/A,#N/A,FALSE,"Plan2"}</definedName>
    <definedName name="kfgkhjkjhy" localSheetId="0">{#N/A,#N/A,FALSE,"Plan1";#N/A,#N/A,FALSE,"Plan2"}</definedName>
    <definedName name="kfgkhjkjhy" localSheetId="11" hidden="1">{#N/A,#N/A,FALSE,"Plan1";#N/A,#N/A,FALSE,"Plan2"}</definedName>
    <definedName name="kfgkhjkjhy" localSheetId="12" hidden="1">{#N/A,#N/A,FALSE,"Plan1";#N/A,#N/A,FALSE,"Plan2"}</definedName>
    <definedName name="kfgkhjkjhy" hidden="1">{#N/A,#N/A,FALSE,"Plan1";#N/A,#N/A,FALSE,"Plan2"}</definedName>
    <definedName name="KFJFDSDF" localSheetId="3" hidden="1">{#N/A,#N/A,FALSE,"Plan1";#N/A,#N/A,FALSE,"Plan2"}</definedName>
    <definedName name="KFJFDSDF" localSheetId="8">{#N/A,#N/A,FALSE,"Plan1";#N/A,#N/A,FALSE,"Plan2"}</definedName>
    <definedName name="KFJFDSDF" localSheetId="5" hidden="1">{#N/A,#N/A,FALSE,"Plan1";#N/A,#N/A,FALSE,"Plan2"}</definedName>
    <definedName name="KFJFDSDF" localSheetId="4" hidden="1">{#N/A,#N/A,FALSE,"Plan1";#N/A,#N/A,FALSE,"Plan2"}</definedName>
    <definedName name="KFJFDSDF" localSheetId="9">{#N/A,#N/A,FALSE,"Plan1";#N/A,#N/A,FALSE,"Plan2"}</definedName>
    <definedName name="KFJFDSDF" localSheetId="10" hidden="1">{#N/A,#N/A,FALSE,"Plan1";#N/A,#N/A,FALSE,"Plan2"}</definedName>
    <definedName name="KFJFDSDF" localSheetId="1" hidden="1">{#N/A,#N/A,FALSE,"Plan1";#N/A,#N/A,FALSE,"Plan2"}</definedName>
    <definedName name="KFJFDSDF" localSheetId="0">{#N/A,#N/A,FALSE,"Plan1";#N/A,#N/A,FALSE,"Plan2"}</definedName>
    <definedName name="KFJFDSDF" localSheetId="11" hidden="1">{#N/A,#N/A,FALSE,"Plan1";#N/A,#N/A,FALSE,"Plan2"}</definedName>
    <definedName name="KFJFDSDF" localSheetId="12" hidden="1">{#N/A,#N/A,FALSE,"Plan1";#N/A,#N/A,FALSE,"Plan2"}</definedName>
    <definedName name="KFJFDSDF" hidden="1">{#N/A,#N/A,FALSE,"Plan1";#N/A,#N/A,FALSE,"Plan2"}</definedName>
    <definedName name="kfnkeasd" localSheetId="3" hidden="1">{#N/A,#N/A,FALSE,"Plan1";#N/A,#N/A,FALSE,"Plan2"}</definedName>
    <definedName name="kfnkeasd" localSheetId="8">{#N/A,#N/A,FALSE,"Plan1";#N/A,#N/A,FALSE,"Plan2"}</definedName>
    <definedName name="kfnkeasd" localSheetId="5" hidden="1">{#N/A,#N/A,FALSE,"Plan1";#N/A,#N/A,FALSE,"Plan2"}</definedName>
    <definedName name="kfnkeasd" localSheetId="4" hidden="1">{#N/A,#N/A,FALSE,"Plan1";#N/A,#N/A,FALSE,"Plan2"}</definedName>
    <definedName name="kfnkeasd" localSheetId="9">{#N/A,#N/A,FALSE,"Plan1";#N/A,#N/A,FALSE,"Plan2"}</definedName>
    <definedName name="kfnkeasd" localSheetId="10" hidden="1">{#N/A,#N/A,FALSE,"Plan1";#N/A,#N/A,FALSE,"Plan2"}</definedName>
    <definedName name="kfnkeasd" localSheetId="1" hidden="1">{#N/A,#N/A,FALSE,"Plan1";#N/A,#N/A,FALSE,"Plan2"}</definedName>
    <definedName name="kfnkeasd" localSheetId="0">{#N/A,#N/A,FALSE,"Plan1";#N/A,#N/A,FALSE,"Plan2"}</definedName>
    <definedName name="kfnkeasd" localSheetId="11" hidden="1">{#N/A,#N/A,FALSE,"Plan1";#N/A,#N/A,FALSE,"Plan2"}</definedName>
    <definedName name="kfnkeasd" localSheetId="12" hidden="1">{#N/A,#N/A,FALSE,"Plan1";#N/A,#N/A,FALSE,"Plan2"}</definedName>
    <definedName name="kfnkeasd" hidden="1">{#N/A,#N/A,FALSE,"Plan1";#N/A,#N/A,FALSE,"Plan2"}</definedName>
    <definedName name="khdjkfkjhtg" localSheetId="3" hidden="1">{#N/A,#N/A,FALSE,"Plan1";#N/A,#N/A,FALSE,"Plan2"}</definedName>
    <definedName name="khdjkfkjhtg" localSheetId="8">{#N/A,#N/A,FALSE,"Plan1";#N/A,#N/A,FALSE,"Plan2"}</definedName>
    <definedName name="khdjkfkjhtg" localSheetId="5" hidden="1">{#N/A,#N/A,FALSE,"Plan1";#N/A,#N/A,FALSE,"Plan2"}</definedName>
    <definedName name="khdjkfkjhtg" localSheetId="4" hidden="1">{#N/A,#N/A,FALSE,"Plan1";#N/A,#N/A,FALSE,"Plan2"}</definedName>
    <definedName name="khdjkfkjhtg" localSheetId="9">{#N/A,#N/A,FALSE,"Plan1";#N/A,#N/A,FALSE,"Plan2"}</definedName>
    <definedName name="khdjkfkjhtg" localSheetId="10" hidden="1">{#N/A,#N/A,FALSE,"Plan1";#N/A,#N/A,FALSE,"Plan2"}</definedName>
    <definedName name="khdjkfkjhtg" localSheetId="1" hidden="1">{#N/A,#N/A,FALSE,"Plan1";#N/A,#N/A,FALSE,"Plan2"}</definedName>
    <definedName name="khdjkfkjhtg" localSheetId="0">{#N/A,#N/A,FALSE,"Plan1";#N/A,#N/A,FALSE,"Plan2"}</definedName>
    <definedName name="khdjkfkjhtg" localSheetId="11" hidden="1">{#N/A,#N/A,FALSE,"Plan1";#N/A,#N/A,FALSE,"Plan2"}</definedName>
    <definedName name="khdjkfkjhtg" localSheetId="12" hidden="1">{#N/A,#N/A,FALSE,"Plan1";#N/A,#N/A,FALSE,"Plan2"}</definedName>
    <definedName name="khdjkfkjhtg" hidden="1">{#N/A,#N/A,FALSE,"Plan1";#N/A,#N/A,FALSE,"Plan2"}</definedName>
    <definedName name="khdkfjhhfsdg" localSheetId="3" hidden="1">{#N/A,#N/A,FALSE,"Plan1";#N/A,#N/A,FALSE,"Plan2"}</definedName>
    <definedName name="khdkfjhhfsdg" localSheetId="8">{#N/A,#N/A,FALSE,"Plan1";#N/A,#N/A,FALSE,"Plan2"}</definedName>
    <definedName name="khdkfjhhfsdg" localSheetId="5" hidden="1">{#N/A,#N/A,FALSE,"Plan1";#N/A,#N/A,FALSE,"Plan2"}</definedName>
    <definedName name="khdkfjhhfsdg" localSheetId="4" hidden="1">{#N/A,#N/A,FALSE,"Plan1";#N/A,#N/A,FALSE,"Plan2"}</definedName>
    <definedName name="khdkfjhhfsdg" localSheetId="9">{#N/A,#N/A,FALSE,"Plan1";#N/A,#N/A,FALSE,"Plan2"}</definedName>
    <definedName name="khdkfjhhfsdg" localSheetId="10" hidden="1">{#N/A,#N/A,FALSE,"Plan1";#N/A,#N/A,FALSE,"Plan2"}</definedName>
    <definedName name="khdkfjhhfsdg" localSheetId="1" hidden="1">{#N/A,#N/A,FALSE,"Plan1";#N/A,#N/A,FALSE,"Plan2"}</definedName>
    <definedName name="khdkfjhhfsdg" localSheetId="0">{#N/A,#N/A,FALSE,"Plan1";#N/A,#N/A,FALSE,"Plan2"}</definedName>
    <definedName name="khdkfjhhfsdg" localSheetId="11" hidden="1">{#N/A,#N/A,FALSE,"Plan1";#N/A,#N/A,FALSE,"Plan2"}</definedName>
    <definedName name="khdkfjhhfsdg" localSheetId="12" hidden="1">{#N/A,#N/A,FALSE,"Plan1";#N/A,#N/A,FALSE,"Plan2"}</definedName>
    <definedName name="khdkfjhhfsdg" hidden="1">{#N/A,#N/A,FALSE,"Plan1";#N/A,#N/A,FALSE,"Plan2"}</definedName>
    <definedName name="khdkjfhgudytu" localSheetId="3" hidden="1">{#N/A,#N/A,FALSE,"Plan1";#N/A,#N/A,FALSE,"Plan2"}</definedName>
    <definedName name="khdkjfhgudytu" localSheetId="8">{#N/A,#N/A,FALSE,"Plan1";#N/A,#N/A,FALSE,"Plan2"}</definedName>
    <definedName name="khdkjfhgudytu" localSheetId="5" hidden="1">{#N/A,#N/A,FALSE,"Plan1";#N/A,#N/A,FALSE,"Plan2"}</definedName>
    <definedName name="khdkjfhgudytu" localSheetId="4" hidden="1">{#N/A,#N/A,FALSE,"Plan1";#N/A,#N/A,FALSE,"Plan2"}</definedName>
    <definedName name="khdkjfhgudytu" localSheetId="9">{#N/A,#N/A,FALSE,"Plan1";#N/A,#N/A,FALSE,"Plan2"}</definedName>
    <definedName name="khdkjfhgudytu" localSheetId="10" hidden="1">{#N/A,#N/A,FALSE,"Plan1";#N/A,#N/A,FALSE,"Plan2"}</definedName>
    <definedName name="khdkjfhgudytu" localSheetId="1" hidden="1">{#N/A,#N/A,FALSE,"Plan1";#N/A,#N/A,FALSE,"Plan2"}</definedName>
    <definedName name="khdkjfhgudytu" localSheetId="0">{#N/A,#N/A,FALSE,"Plan1";#N/A,#N/A,FALSE,"Plan2"}</definedName>
    <definedName name="khdkjfhgudytu" localSheetId="11" hidden="1">{#N/A,#N/A,FALSE,"Plan1";#N/A,#N/A,FALSE,"Plan2"}</definedName>
    <definedName name="khdkjfhgudytu" localSheetId="12" hidden="1">{#N/A,#N/A,FALSE,"Plan1";#N/A,#N/A,FALSE,"Plan2"}</definedName>
    <definedName name="khdkjfhgudytu" hidden="1">{#N/A,#N/A,FALSE,"Plan1";#N/A,#N/A,FALSE,"Plan2"}</definedName>
    <definedName name="khfdghhhgd" localSheetId="3" hidden="1">{#N/A,#N/A,FALSE,"Plan1";#N/A,#N/A,FALSE,"Plan2"}</definedName>
    <definedName name="khfdghhhgd" localSheetId="8">{#N/A,#N/A,FALSE,"Plan1";#N/A,#N/A,FALSE,"Plan2"}</definedName>
    <definedName name="khfdghhhgd" localSheetId="5" hidden="1">{#N/A,#N/A,FALSE,"Plan1";#N/A,#N/A,FALSE,"Plan2"}</definedName>
    <definedName name="khfdghhhgd" localSheetId="4" hidden="1">{#N/A,#N/A,FALSE,"Plan1";#N/A,#N/A,FALSE,"Plan2"}</definedName>
    <definedName name="khfdghhhgd" localSheetId="9">{#N/A,#N/A,FALSE,"Plan1";#N/A,#N/A,FALSE,"Plan2"}</definedName>
    <definedName name="khfdghhhgd" localSheetId="10" hidden="1">{#N/A,#N/A,FALSE,"Plan1";#N/A,#N/A,FALSE,"Plan2"}</definedName>
    <definedName name="khfdghhhgd" localSheetId="1" hidden="1">{#N/A,#N/A,FALSE,"Plan1";#N/A,#N/A,FALSE,"Plan2"}</definedName>
    <definedName name="khfdghhhgd" localSheetId="0">{#N/A,#N/A,FALSE,"Plan1";#N/A,#N/A,FALSE,"Plan2"}</definedName>
    <definedName name="khfdghhhgd" localSheetId="11" hidden="1">{#N/A,#N/A,FALSE,"Plan1";#N/A,#N/A,FALSE,"Plan2"}</definedName>
    <definedName name="khfdghhhgd" localSheetId="12" hidden="1">{#N/A,#N/A,FALSE,"Plan1";#N/A,#N/A,FALSE,"Plan2"}</definedName>
    <definedName name="khfdghhhgd" hidden="1">{#N/A,#N/A,FALSE,"Plan1";#N/A,#N/A,FALSE,"Plan2"}</definedName>
    <definedName name="khfdkjhsdjf" localSheetId="3" hidden="1">{#N/A,#N/A,FALSE,"Plan1";#N/A,#N/A,FALSE,"Plan2"}</definedName>
    <definedName name="khfdkjhsdjf" localSheetId="8">{#N/A,#N/A,FALSE,"Plan1";#N/A,#N/A,FALSE,"Plan2"}</definedName>
    <definedName name="khfdkjhsdjf" localSheetId="5" hidden="1">{#N/A,#N/A,FALSE,"Plan1";#N/A,#N/A,FALSE,"Plan2"}</definedName>
    <definedName name="khfdkjhsdjf" localSheetId="4" hidden="1">{#N/A,#N/A,FALSE,"Plan1";#N/A,#N/A,FALSE,"Plan2"}</definedName>
    <definedName name="khfdkjhsdjf" localSheetId="9">{#N/A,#N/A,FALSE,"Plan1";#N/A,#N/A,FALSE,"Plan2"}</definedName>
    <definedName name="khfdkjhsdjf" localSheetId="10" hidden="1">{#N/A,#N/A,FALSE,"Plan1";#N/A,#N/A,FALSE,"Plan2"}</definedName>
    <definedName name="khfdkjhsdjf" localSheetId="1" hidden="1">{#N/A,#N/A,FALSE,"Plan1";#N/A,#N/A,FALSE,"Plan2"}</definedName>
    <definedName name="khfdkjhsdjf" localSheetId="0">{#N/A,#N/A,FALSE,"Plan1";#N/A,#N/A,FALSE,"Plan2"}</definedName>
    <definedName name="khfdkjhsdjf" localSheetId="11" hidden="1">{#N/A,#N/A,FALSE,"Plan1";#N/A,#N/A,FALSE,"Plan2"}</definedName>
    <definedName name="khfdkjhsdjf" localSheetId="12" hidden="1">{#N/A,#N/A,FALSE,"Plan1";#N/A,#N/A,FALSE,"Plan2"}</definedName>
    <definedName name="khfdkjhsdjf" hidden="1">{#N/A,#N/A,FALSE,"Plan1";#N/A,#N/A,FALSE,"Plan2"}</definedName>
    <definedName name="khgdkftfy" localSheetId="3" hidden="1">{#N/A,#N/A,FALSE,"Plan1";#N/A,#N/A,FALSE,"Plan2"}</definedName>
    <definedName name="khgdkftfy" localSheetId="8">{#N/A,#N/A,FALSE,"Plan1";#N/A,#N/A,FALSE,"Plan2"}</definedName>
    <definedName name="khgdkftfy" localSheetId="5" hidden="1">{#N/A,#N/A,FALSE,"Plan1";#N/A,#N/A,FALSE,"Plan2"}</definedName>
    <definedName name="khgdkftfy" localSheetId="4" hidden="1">{#N/A,#N/A,FALSE,"Plan1";#N/A,#N/A,FALSE,"Plan2"}</definedName>
    <definedName name="khgdkftfy" localSheetId="9">{#N/A,#N/A,FALSE,"Plan1";#N/A,#N/A,FALSE,"Plan2"}</definedName>
    <definedName name="khgdkftfy" localSheetId="10" hidden="1">{#N/A,#N/A,FALSE,"Plan1";#N/A,#N/A,FALSE,"Plan2"}</definedName>
    <definedName name="khgdkftfy" localSheetId="1" hidden="1">{#N/A,#N/A,FALSE,"Plan1";#N/A,#N/A,FALSE,"Plan2"}</definedName>
    <definedName name="khgdkftfy" localSheetId="0">{#N/A,#N/A,FALSE,"Plan1";#N/A,#N/A,FALSE,"Plan2"}</definedName>
    <definedName name="khgdkftfy" localSheetId="11" hidden="1">{#N/A,#N/A,FALSE,"Plan1";#N/A,#N/A,FALSE,"Plan2"}</definedName>
    <definedName name="khgdkftfy" localSheetId="12" hidden="1">{#N/A,#N/A,FALSE,"Plan1";#N/A,#N/A,FALSE,"Plan2"}</definedName>
    <definedName name="khgdkftfy" hidden="1">{#N/A,#N/A,FALSE,"Plan1";#N/A,#N/A,FALSE,"Plan2"}</definedName>
    <definedName name="khgfhhtuhf" localSheetId="3" hidden="1">{#N/A,#N/A,FALSE,"Plan1";#N/A,#N/A,FALSE,"Plan2"}</definedName>
    <definedName name="khgfhhtuhf" localSheetId="8">{#N/A,#N/A,FALSE,"Plan1";#N/A,#N/A,FALSE,"Plan2"}</definedName>
    <definedName name="khgfhhtuhf" localSheetId="5" hidden="1">{#N/A,#N/A,FALSE,"Plan1";#N/A,#N/A,FALSE,"Plan2"}</definedName>
    <definedName name="khgfhhtuhf" localSheetId="4" hidden="1">{#N/A,#N/A,FALSE,"Plan1";#N/A,#N/A,FALSE,"Plan2"}</definedName>
    <definedName name="khgfhhtuhf" localSheetId="9">{#N/A,#N/A,FALSE,"Plan1";#N/A,#N/A,FALSE,"Plan2"}</definedName>
    <definedName name="khgfhhtuhf" localSheetId="10" hidden="1">{#N/A,#N/A,FALSE,"Plan1";#N/A,#N/A,FALSE,"Plan2"}</definedName>
    <definedName name="khgfhhtuhf" localSheetId="1" hidden="1">{#N/A,#N/A,FALSE,"Plan1";#N/A,#N/A,FALSE,"Plan2"}</definedName>
    <definedName name="khgfhhtuhf" localSheetId="0">{#N/A,#N/A,FALSE,"Plan1";#N/A,#N/A,FALSE,"Plan2"}</definedName>
    <definedName name="khgfhhtuhf" localSheetId="11" hidden="1">{#N/A,#N/A,FALSE,"Plan1";#N/A,#N/A,FALSE,"Plan2"}</definedName>
    <definedName name="khgfhhtuhf" localSheetId="12" hidden="1">{#N/A,#N/A,FALSE,"Plan1";#N/A,#N/A,FALSE,"Plan2"}</definedName>
    <definedName name="khgfhhtuhf" hidden="1">{#N/A,#N/A,FALSE,"Plan1";#N/A,#N/A,FALSE,"Plan2"}</definedName>
    <definedName name="khjkh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h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HJKLSDF" localSheetId="3" hidden="1">{#N/A,#N/A,FALSE,"Plan1";#N/A,#N/A,FALSE,"Plan2"}</definedName>
    <definedName name="KHJKLSDF" localSheetId="8">{#N/A,#N/A,FALSE,"Plan1";#N/A,#N/A,FALSE,"Plan2"}</definedName>
    <definedName name="KHJKLSDF" localSheetId="5" hidden="1">{#N/A,#N/A,FALSE,"Plan1";#N/A,#N/A,FALSE,"Plan2"}</definedName>
    <definedName name="KHJKLSDF" localSheetId="4" hidden="1">{#N/A,#N/A,FALSE,"Plan1";#N/A,#N/A,FALSE,"Plan2"}</definedName>
    <definedName name="KHJKLSDF" localSheetId="9">{#N/A,#N/A,FALSE,"Plan1";#N/A,#N/A,FALSE,"Plan2"}</definedName>
    <definedName name="KHJKLSDF" localSheetId="10" hidden="1">{#N/A,#N/A,FALSE,"Plan1";#N/A,#N/A,FALSE,"Plan2"}</definedName>
    <definedName name="KHJKLSDF" localSheetId="1" hidden="1">{#N/A,#N/A,FALSE,"Plan1";#N/A,#N/A,FALSE,"Plan2"}</definedName>
    <definedName name="KHJKLSDF" localSheetId="0">{#N/A,#N/A,FALSE,"Plan1";#N/A,#N/A,FALSE,"Plan2"}</definedName>
    <definedName name="KHJKLSDF" localSheetId="11" hidden="1">{#N/A,#N/A,FALSE,"Plan1";#N/A,#N/A,FALSE,"Plan2"}</definedName>
    <definedName name="KHJKLSDF" localSheetId="12" hidden="1">{#N/A,#N/A,FALSE,"Plan1";#N/A,#N/A,FALSE,"Plan2"}</definedName>
    <definedName name="KHJKLSDF" hidden="1">{#N/A,#N/A,FALSE,"Plan1";#N/A,#N/A,FALSE,"Plan2"}</definedName>
    <definedName name="kieret" localSheetId="3" hidden="1">{#N/A,#N/A,FALSE,"Plan1";#N/A,#N/A,FALSE,"Plan2"}</definedName>
    <definedName name="kieret" localSheetId="8">{#N/A,#N/A,FALSE,"Plan1";#N/A,#N/A,FALSE,"Plan2"}</definedName>
    <definedName name="kieret" localSheetId="5" hidden="1">{#N/A,#N/A,FALSE,"Plan1";#N/A,#N/A,FALSE,"Plan2"}</definedName>
    <definedName name="kieret" localSheetId="4" hidden="1">{#N/A,#N/A,FALSE,"Plan1";#N/A,#N/A,FALSE,"Plan2"}</definedName>
    <definedName name="kieret" localSheetId="9">{#N/A,#N/A,FALSE,"Plan1";#N/A,#N/A,FALSE,"Plan2"}</definedName>
    <definedName name="kieret" localSheetId="10" hidden="1">{#N/A,#N/A,FALSE,"Plan1";#N/A,#N/A,FALSE,"Plan2"}</definedName>
    <definedName name="kieret" localSheetId="1" hidden="1">{#N/A,#N/A,FALSE,"Plan1";#N/A,#N/A,FALSE,"Plan2"}</definedName>
    <definedName name="kieret" localSheetId="0">{#N/A,#N/A,FALSE,"Plan1";#N/A,#N/A,FALSE,"Plan2"}</definedName>
    <definedName name="kieret" localSheetId="11" hidden="1">{#N/A,#N/A,FALSE,"Plan1";#N/A,#N/A,FALSE,"Plan2"}</definedName>
    <definedName name="kieret" localSheetId="12" hidden="1">{#N/A,#N/A,FALSE,"Plan1";#N/A,#N/A,FALSE,"Plan2"}</definedName>
    <definedName name="kieret" hidden="1">{#N/A,#N/A,FALSE,"Plan1";#N/A,#N/A,FALSE,"Plan2"}</definedName>
    <definedName name="kiweokwr" localSheetId="8">#REF!</definedName>
    <definedName name="kiweokwr" localSheetId="5" hidden="1">#REF!</definedName>
    <definedName name="kiweokwr" localSheetId="9">#REF!</definedName>
    <definedName name="kiweokwr" localSheetId="10" hidden="1">#REF!</definedName>
    <definedName name="kiweokwr" localSheetId="1" hidden="1">#REF!</definedName>
    <definedName name="kiweokwr" localSheetId="0">#REF!</definedName>
    <definedName name="kiweokwr" localSheetId="11" hidden="1">#REF!</definedName>
    <definedName name="kiweokwr" localSheetId="12" hidden="1">#REF!</definedName>
    <definedName name="kiweokwr" hidden="1">#REF!</definedName>
    <definedName name="kjchkfhsezk" localSheetId="3" hidden="1">{#N/A,#N/A,FALSE,"Plan1";#N/A,#N/A,FALSE,"Plan2"}</definedName>
    <definedName name="kjchkfhsezk" localSheetId="8">{#N/A,#N/A,FALSE,"Plan1";#N/A,#N/A,FALSE,"Plan2"}</definedName>
    <definedName name="kjchkfhsezk" localSheetId="5" hidden="1">{#N/A,#N/A,FALSE,"Plan1";#N/A,#N/A,FALSE,"Plan2"}</definedName>
    <definedName name="kjchkfhsezk" localSheetId="4" hidden="1">{#N/A,#N/A,FALSE,"Plan1";#N/A,#N/A,FALSE,"Plan2"}</definedName>
    <definedName name="kjchkfhsezk" localSheetId="9">{#N/A,#N/A,FALSE,"Plan1";#N/A,#N/A,FALSE,"Plan2"}</definedName>
    <definedName name="kjchkfhsezk" localSheetId="10" hidden="1">{#N/A,#N/A,FALSE,"Plan1";#N/A,#N/A,FALSE,"Plan2"}</definedName>
    <definedName name="kjchkfhsezk" localSheetId="1" hidden="1">{#N/A,#N/A,FALSE,"Plan1";#N/A,#N/A,FALSE,"Plan2"}</definedName>
    <definedName name="kjchkfhsezk" localSheetId="0">{#N/A,#N/A,FALSE,"Plan1";#N/A,#N/A,FALSE,"Plan2"}</definedName>
    <definedName name="kjchkfhsezk" localSheetId="11" hidden="1">{#N/A,#N/A,FALSE,"Plan1";#N/A,#N/A,FALSE,"Plan2"}</definedName>
    <definedName name="kjchkfhsezk" localSheetId="12" hidden="1">{#N/A,#N/A,FALSE,"Plan1";#N/A,#N/A,FALSE,"Plan2"}</definedName>
    <definedName name="kjchkfhsezk" hidden="1">{#N/A,#N/A,FALSE,"Plan1";#N/A,#N/A,FALSE,"Plan2"}</definedName>
    <definedName name="kjdghksef" localSheetId="3" hidden="1">{#N/A,#N/A,FALSE,"Plan1";#N/A,#N/A,FALSE,"Plan2"}</definedName>
    <definedName name="kjdghksef" localSheetId="8">{#N/A,#N/A,FALSE,"Plan1";#N/A,#N/A,FALSE,"Plan2"}</definedName>
    <definedName name="kjdghksef" localSheetId="5" hidden="1">{#N/A,#N/A,FALSE,"Plan1";#N/A,#N/A,FALSE,"Plan2"}</definedName>
    <definedName name="kjdghksef" localSheetId="4" hidden="1">{#N/A,#N/A,FALSE,"Plan1";#N/A,#N/A,FALSE,"Plan2"}</definedName>
    <definedName name="kjdghksef" localSheetId="9">{#N/A,#N/A,FALSE,"Plan1";#N/A,#N/A,FALSE,"Plan2"}</definedName>
    <definedName name="kjdghksef" localSheetId="10" hidden="1">{#N/A,#N/A,FALSE,"Plan1";#N/A,#N/A,FALSE,"Plan2"}</definedName>
    <definedName name="kjdghksef" localSheetId="1" hidden="1">{#N/A,#N/A,FALSE,"Plan1";#N/A,#N/A,FALSE,"Plan2"}</definedName>
    <definedName name="kjdghksef" localSheetId="0">{#N/A,#N/A,FALSE,"Plan1";#N/A,#N/A,FALSE,"Plan2"}</definedName>
    <definedName name="kjdghksef" localSheetId="11" hidden="1">{#N/A,#N/A,FALSE,"Plan1";#N/A,#N/A,FALSE,"Plan2"}</definedName>
    <definedName name="kjdghksef" localSheetId="12" hidden="1">{#N/A,#N/A,FALSE,"Plan1";#N/A,#N/A,FALSE,"Plan2"}</definedName>
    <definedName name="kjdghksef" hidden="1">{#N/A,#N/A,FALSE,"Plan1";#N/A,#N/A,FALSE,"Plan2"}</definedName>
    <definedName name="kjdkftyhtert" localSheetId="3" hidden="1">{#N/A,#N/A,FALSE,"Plan1";#N/A,#N/A,FALSE,"Plan2"}</definedName>
    <definedName name="kjdkftyhtert" localSheetId="8">{#N/A,#N/A,FALSE,"Plan1";#N/A,#N/A,FALSE,"Plan2"}</definedName>
    <definedName name="kjdkftyhtert" localSheetId="5" hidden="1">{#N/A,#N/A,FALSE,"Plan1";#N/A,#N/A,FALSE,"Plan2"}</definedName>
    <definedName name="kjdkftyhtert" localSheetId="4" hidden="1">{#N/A,#N/A,FALSE,"Plan1";#N/A,#N/A,FALSE,"Plan2"}</definedName>
    <definedName name="kjdkftyhtert" localSheetId="9">{#N/A,#N/A,FALSE,"Plan1";#N/A,#N/A,FALSE,"Plan2"}</definedName>
    <definedName name="kjdkftyhtert" localSheetId="10" hidden="1">{#N/A,#N/A,FALSE,"Plan1";#N/A,#N/A,FALSE,"Plan2"}</definedName>
    <definedName name="kjdkftyhtert" localSheetId="1" hidden="1">{#N/A,#N/A,FALSE,"Plan1";#N/A,#N/A,FALSE,"Plan2"}</definedName>
    <definedName name="kjdkftyhtert" localSheetId="0">{#N/A,#N/A,FALSE,"Plan1";#N/A,#N/A,FALSE,"Plan2"}</definedName>
    <definedName name="kjdkftyhtert" localSheetId="11" hidden="1">{#N/A,#N/A,FALSE,"Plan1";#N/A,#N/A,FALSE,"Plan2"}</definedName>
    <definedName name="kjdkftyhtert" localSheetId="12" hidden="1">{#N/A,#N/A,FALSE,"Plan1";#N/A,#N/A,FALSE,"Plan2"}</definedName>
    <definedName name="kjdkftyhtert" hidden="1">{#N/A,#N/A,FALSE,"Plan1";#N/A,#N/A,FALSE,"Plan2"}</definedName>
    <definedName name="kjdlfkjds" localSheetId="3" hidden="1">{#N/A,#N/A,FALSE,"Plan1";#N/A,#N/A,FALSE,"Plan2"}</definedName>
    <definedName name="kjdlfkjds" localSheetId="8">{#N/A,#N/A,FALSE,"Plan1";#N/A,#N/A,FALSE,"Plan2"}</definedName>
    <definedName name="kjdlfkjds" localSheetId="5" hidden="1">{#N/A,#N/A,FALSE,"Plan1";#N/A,#N/A,FALSE,"Plan2"}</definedName>
    <definedName name="kjdlfkjds" localSheetId="4" hidden="1">{#N/A,#N/A,FALSE,"Plan1";#N/A,#N/A,FALSE,"Plan2"}</definedName>
    <definedName name="kjdlfkjds" localSheetId="9">{#N/A,#N/A,FALSE,"Plan1";#N/A,#N/A,FALSE,"Plan2"}</definedName>
    <definedName name="kjdlfkjds" localSheetId="10" hidden="1">{#N/A,#N/A,FALSE,"Plan1";#N/A,#N/A,FALSE,"Plan2"}</definedName>
    <definedName name="kjdlfkjds" localSheetId="1" hidden="1">{#N/A,#N/A,FALSE,"Plan1";#N/A,#N/A,FALSE,"Plan2"}</definedName>
    <definedName name="kjdlfkjds" localSheetId="0">{#N/A,#N/A,FALSE,"Plan1";#N/A,#N/A,FALSE,"Plan2"}</definedName>
    <definedName name="kjdlfkjds" localSheetId="11" hidden="1">{#N/A,#N/A,FALSE,"Plan1";#N/A,#N/A,FALSE,"Plan2"}</definedName>
    <definedName name="kjdlfkjds" localSheetId="12" hidden="1">{#N/A,#N/A,FALSE,"Plan1";#N/A,#N/A,FALSE,"Plan2"}</definedName>
    <definedName name="kjdlfkjds" hidden="1">{#N/A,#N/A,FALSE,"Plan1";#N/A,#N/A,FALSE,"Plan2"}</definedName>
    <definedName name="kjdzhfytrfy" localSheetId="3" hidden="1">{#N/A,#N/A,FALSE,"Plan1";#N/A,#N/A,FALSE,"Plan2"}</definedName>
    <definedName name="kjdzhfytrfy" localSheetId="8">{#N/A,#N/A,FALSE,"Plan1";#N/A,#N/A,FALSE,"Plan2"}</definedName>
    <definedName name="kjdzhfytrfy" localSheetId="5" hidden="1">{#N/A,#N/A,FALSE,"Plan1";#N/A,#N/A,FALSE,"Plan2"}</definedName>
    <definedName name="kjdzhfytrfy" localSheetId="4" hidden="1">{#N/A,#N/A,FALSE,"Plan1";#N/A,#N/A,FALSE,"Plan2"}</definedName>
    <definedName name="kjdzhfytrfy" localSheetId="9">{#N/A,#N/A,FALSE,"Plan1";#N/A,#N/A,FALSE,"Plan2"}</definedName>
    <definedName name="kjdzhfytrfy" localSheetId="10" hidden="1">{#N/A,#N/A,FALSE,"Plan1";#N/A,#N/A,FALSE,"Plan2"}</definedName>
    <definedName name="kjdzhfytrfy" localSheetId="1" hidden="1">{#N/A,#N/A,FALSE,"Plan1";#N/A,#N/A,FALSE,"Plan2"}</definedName>
    <definedName name="kjdzhfytrfy" localSheetId="0">{#N/A,#N/A,FALSE,"Plan1";#N/A,#N/A,FALSE,"Plan2"}</definedName>
    <definedName name="kjdzhfytrfy" localSheetId="11" hidden="1">{#N/A,#N/A,FALSE,"Plan1";#N/A,#N/A,FALSE,"Plan2"}</definedName>
    <definedName name="kjdzhfytrfy" localSheetId="12" hidden="1">{#N/A,#N/A,FALSE,"Plan1";#N/A,#N/A,FALSE,"Plan2"}</definedName>
    <definedName name="kjdzhfytrfy" hidden="1">{#N/A,#N/A,FALSE,"Plan1";#N/A,#N/A,FALSE,"Plan2"}</definedName>
    <definedName name="kjhdfgjthdft" localSheetId="3" hidden="1">{#N/A,#N/A,FALSE,"Plan1";#N/A,#N/A,FALSE,"Plan2"}</definedName>
    <definedName name="kjhdfgjthdft" localSheetId="8">{#N/A,#N/A,FALSE,"Plan1";#N/A,#N/A,FALSE,"Plan2"}</definedName>
    <definedName name="kjhdfgjthdft" localSheetId="5" hidden="1">{#N/A,#N/A,FALSE,"Plan1";#N/A,#N/A,FALSE,"Plan2"}</definedName>
    <definedName name="kjhdfgjthdft" localSheetId="4" hidden="1">{#N/A,#N/A,FALSE,"Plan1";#N/A,#N/A,FALSE,"Plan2"}</definedName>
    <definedName name="kjhdfgjthdft" localSheetId="9">{#N/A,#N/A,FALSE,"Plan1";#N/A,#N/A,FALSE,"Plan2"}</definedName>
    <definedName name="kjhdfgjthdft" localSheetId="10" hidden="1">{#N/A,#N/A,FALSE,"Plan1";#N/A,#N/A,FALSE,"Plan2"}</definedName>
    <definedName name="kjhdfgjthdft" localSheetId="1" hidden="1">{#N/A,#N/A,FALSE,"Plan1";#N/A,#N/A,FALSE,"Plan2"}</definedName>
    <definedName name="kjhdfgjthdft" localSheetId="0">{#N/A,#N/A,FALSE,"Plan1";#N/A,#N/A,FALSE,"Plan2"}</definedName>
    <definedName name="kjhdfgjthdft" localSheetId="11" hidden="1">{#N/A,#N/A,FALSE,"Plan1";#N/A,#N/A,FALSE,"Plan2"}</definedName>
    <definedName name="kjhdfgjthdft" localSheetId="12" hidden="1">{#N/A,#N/A,FALSE,"Plan1";#N/A,#N/A,FALSE,"Plan2"}</definedName>
    <definedName name="kjhdfgjthdft" hidden="1">{#N/A,#N/A,FALSE,"Plan1";#N/A,#N/A,FALSE,"Plan2"}</definedName>
    <definedName name="kjhsdf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df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hsiorf" localSheetId="3" hidden="1">{#N/A,#N/A,FALSE,"Plan1";#N/A,#N/A,FALSE,"Plan2"}</definedName>
    <definedName name="kjhsiorf" localSheetId="8">{#N/A,#N/A,FALSE,"Plan1";#N/A,#N/A,FALSE,"Plan2"}</definedName>
    <definedName name="kjhsiorf" localSheetId="5" hidden="1">{#N/A,#N/A,FALSE,"Plan1";#N/A,#N/A,FALSE,"Plan2"}</definedName>
    <definedName name="kjhsiorf" localSheetId="4" hidden="1">{#N/A,#N/A,FALSE,"Plan1";#N/A,#N/A,FALSE,"Plan2"}</definedName>
    <definedName name="kjhsiorf" localSheetId="9">{#N/A,#N/A,FALSE,"Plan1";#N/A,#N/A,FALSE,"Plan2"}</definedName>
    <definedName name="kjhsiorf" localSheetId="10" hidden="1">{#N/A,#N/A,FALSE,"Plan1";#N/A,#N/A,FALSE,"Plan2"}</definedName>
    <definedName name="kjhsiorf" localSheetId="1" hidden="1">{#N/A,#N/A,FALSE,"Plan1";#N/A,#N/A,FALSE,"Plan2"}</definedName>
    <definedName name="kjhsiorf" localSheetId="0">{#N/A,#N/A,FALSE,"Plan1";#N/A,#N/A,FALSE,"Plan2"}</definedName>
    <definedName name="kjhsiorf" localSheetId="11" hidden="1">{#N/A,#N/A,FALSE,"Plan1";#N/A,#N/A,FALSE,"Plan2"}</definedName>
    <definedName name="kjhsiorf" localSheetId="12" hidden="1">{#N/A,#N/A,FALSE,"Plan1";#N/A,#N/A,FALSE,"Plan2"}</definedName>
    <definedName name="kjhsiorf" hidden="1">{#N/A,#N/A,FALSE,"Plan1";#N/A,#N/A,FALSE,"Plan2"}</definedName>
    <definedName name="KJ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jjwww" localSheetId="3" hidden="1">{#N/A,#N/A,FALSE,"Plan1";#N/A,#N/A,FALSE,"Plan2"}</definedName>
    <definedName name="kjjwww" localSheetId="8">{#N/A,#N/A,FALSE,"Plan1";#N/A,#N/A,FALSE,"Plan2"}</definedName>
    <definedName name="kjjwww" localSheetId="5" hidden="1">{#N/A,#N/A,FALSE,"Plan1";#N/A,#N/A,FALSE,"Plan2"}</definedName>
    <definedName name="kjjwww" localSheetId="4" hidden="1">{#N/A,#N/A,FALSE,"Plan1";#N/A,#N/A,FALSE,"Plan2"}</definedName>
    <definedName name="kjjwww" localSheetId="9">{#N/A,#N/A,FALSE,"Plan1";#N/A,#N/A,FALSE,"Plan2"}</definedName>
    <definedName name="kjjwww" localSheetId="10" hidden="1">{#N/A,#N/A,FALSE,"Plan1";#N/A,#N/A,FALSE,"Plan2"}</definedName>
    <definedName name="kjjwww" localSheetId="1" hidden="1">{#N/A,#N/A,FALSE,"Plan1";#N/A,#N/A,FALSE,"Plan2"}</definedName>
    <definedName name="kjjwww" localSheetId="0">{#N/A,#N/A,FALSE,"Plan1";#N/A,#N/A,FALSE,"Plan2"}</definedName>
    <definedName name="kjjwww" localSheetId="11" hidden="1">{#N/A,#N/A,FALSE,"Plan1";#N/A,#N/A,FALSE,"Plan2"}</definedName>
    <definedName name="kjjwww" localSheetId="12" hidden="1">{#N/A,#N/A,FALSE,"Plan1";#N/A,#N/A,FALSE,"Plan2"}</definedName>
    <definedName name="kjjwww" hidden="1">{#N/A,#N/A,FALSE,"Plan1";#N/A,#N/A,FALSE,"Plan2"}</definedName>
    <definedName name="kjl" localSheetId="3" hidden="1">{#N/A,#N/A,FALSE,"ENG'G(보호계전기)"}</definedName>
    <definedName name="kjl" localSheetId="8">{#N/A,#N/A,FALSE,"ENG'G(보호계전기)"}</definedName>
    <definedName name="kjl" localSheetId="5" hidden="1">{#N/A,#N/A,FALSE,"ENG'G(보호계전기)"}</definedName>
    <definedName name="kjl" localSheetId="4" hidden="1">{#N/A,#N/A,FALSE,"ENG'G(보호계전기)"}</definedName>
    <definedName name="kjl" localSheetId="9">{#N/A,#N/A,FALSE,"ENG'G(보호계전기)"}</definedName>
    <definedName name="kjl" localSheetId="10" hidden="1">{#N/A,#N/A,FALSE,"ENG'G(보호계전기)"}</definedName>
    <definedName name="kjl" localSheetId="1" hidden="1">{#N/A,#N/A,FALSE,"ENG'G(보호계전기)"}</definedName>
    <definedName name="kjl" localSheetId="0">{#N/A,#N/A,FALSE,"ENG'G(보호계전기)"}</definedName>
    <definedName name="kjl" localSheetId="11" hidden="1">{#N/A,#N/A,FALSE,"ENG'G(보호계전기)"}</definedName>
    <definedName name="kjl" localSheetId="12" hidden="1">{#N/A,#N/A,FALSE,"ENG'G(보호계전기)"}</definedName>
    <definedName name="kjl" hidden="1">{#N/A,#N/A,FALSE,"ENG'G(보호계전기)"}</definedName>
    <definedName name="KJOI" localSheetId="3" hidden="1">{#N/A,#N/A,FALSE,"Plan1";#N/A,#N/A,FALSE,"Plan2"}</definedName>
    <definedName name="KJOI" localSheetId="8">{#N/A,#N/A,FALSE,"Plan1";#N/A,#N/A,FALSE,"Plan2"}</definedName>
    <definedName name="KJOI" localSheetId="5" hidden="1">{#N/A,#N/A,FALSE,"Plan1";#N/A,#N/A,FALSE,"Plan2"}</definedName>
    <definedName name="KJOI" localSheetId="4" hidden="1">{#N/A,#N/A,FALSE,"Plan1";#N/A,#N/A,FALSE,"Plan2"}</definedName>
    <definedName name="KJOI" localSheetId="9">{#N/A,#N/A,FALSE,"Plan1";#N/A,#N/A,FALSE,"Plan2"}</definedName>
    <definedName name="KJOI" localSheetId="10" hidden="1">{#N/A,#N/A,FALSE,"Plan1";#N/A,#N/A,FALSE,"Plan2"}</definedName>
    <definedName name="KJOI" localSheetId="1" hidden="1">{#N/A,#N/A,FALSE,"Plan1";#N/A,#N/A,FALSE,"Plan2"}</definedName>
    <definedName name="KJOI" localSheetId="0">{#N/A,#N/A,FALSE,"Plan1";#N/A,#N/A,FALSE,"Plan2"}</definedName>
    <definedName name="KJOI" localSheetId="11" hidden="1">{#N/A,#N/A,FALSE,"Plan1";#N/A,#N/A,FALSE,"Plan2"}</definedName>
    <definedName name="KJOI" localSheetId="12" hidden="1">{#N/A,#N/A,FALSE,"Plan1";#N/A,#N/A,FALSE,"Plan2"}</definedName>
    <definedName name="KJOI" hidden="1">{#N/A,#N/A,FALSE,"Plan1";#N/A,#N/A,FALSE,"Plan2"}</definedName>
    <definedName name="kjqwerw" localSheetId="3" hidden="1">{#N/A,#N/A,FALSE,"Plan1";#N/A,#N/A,FALSE,"Plan2"}</definedName>
    <definedName name="kjqwerw" localSheetId="8">{#N/A,#N/A,FALSE,"Plan1";#N/A,#N/A,FALSE,"Plan2"}</definedName>
    <definedName name="kjqwerw" localSheetId="5" hidden="1">{#N/A,#N/A,FALSE,"Plan1";#N/A,#N/A,FALSE,"Plan2"}</definedName>
    <definedName name="kjqwerw" localSheetId="4" hidden="1">{#N/A,#N/A,FALSE,"Plan1";#N/A,#N/A,FALSE,"Plan2"}</definedName>
    <definedName name="kjqwerw" localSheetId="9">{#N/A,#N/A,FALSE,"Plan1";#N/A,#N/A,FALSE,"Plan2"}</definedName>
    <definedName name="kjqwerw" localSheetId="10" hidden="1">{#N/A,#N/A,FALSE,"Plan1";#N/A,#N/A,FALSE,"Plan2"}</definedName>
    <definedName name="kjqwerw" localSheetId="1" hidden="1">{#N/A,#N/A,FALSE,"Plan1";#N/A,#N/A,FALSE,"Plan2"}</definedName>
    <definedName name="kjqwerw" localSheetId="0">{#N/A,#N/A,FALSE,"Plan1";#N/A,#N/A,FALSE,"Plan2"}</definedName>
    <definedName name="kjqwerw" localSheetId="11" hidden="1">{#N/A,#N/A,FALSE,"Plan1";#N/A,#N/A,FALSE,"Plan2"}</definedName>
    <definedName name="kjqwerw" localSheetId="12" hidden="1">{#N/A,#N/A,FALSE,"Plan1";#N/A,#N/A,FALSE,"Plan2"}</definedName>
    <definedName name="kjqwerw" hidden="1">{#N/A,#N/A,FALSE,"Plan1";#N/A,#N/A,FALSE,"Plan2"}</definedName>
    <definedName name="kjsfert" localSheetId="3" hidden="1">{#N/A,#N/A,FALSE,"Plan1";#N/A,#N/A,FALSE,"Plan2"}</definedName>
    <definedName name="kjsfert" localSheetId="8">{#N/A,#N/A,FALSE,"Plan1";#N/A,#N/A,FALSE,"Plan2"}</definedName>
    <definedName name="kjsfert" localSheetId="5" hidden="1">{#N/A,#N/A,FALSE,"Plan1";#N/A,#N/A,FALSE,"Plan2"}</definedName>
    <definedName name="kjsfert" localSheetId="4" hidden="1">{#N/A,#N/A,FALSE,"Plan1";#N/A,#N/A,FALSE,"Plan2"}</definedName>
    <definedName name="kjsfert" localSheetId="9">{#N/A,#N/A,FALSE,"Plan1";#N/A,#N/A,FALSE,"Plan2"}</definedName>
    <definedName name="kjsfert" localSheetId="10" hidden="1">{#N/A,#N/A,FALSE,"Plan1";#N/A,#N/A,FALSE,"Plan2"}</definedName>
    <definedName name="kjsfert" localSheetId="1" hidden="1">{#N/A,#N/A,FALSE,"Plan1";#N/A,#N/A,FALSE,"Plan2"}</definedName>
    <definedName name="kjsfert" localSheetId="0">{#N/A,#N/A,FALSE,"Plan1";#N/A,#N/A,FALSE,"Plan2"}</definedName>
    <definedName name="kjsfert" localSheetId="11" hidden="1">{#N/A,#N/A,FALSE,"Plan1";#N/A,#N/A,FALSE,"Plan2"}</definedName>
    <definedName name="kjsfert" localSheetId="12" hidden="1">{#N/A,#N/A,FALSE,"Plan1";#N/A,#N/A,FALSE,"Plan2"}</definedName>
    <definedName name="kjsfert" hidden="1">{#N/A,#N/A,FALSE,"Plan1";#N/A,#N/A,FALSE,"Plan2"}</definedName>
    <definedName name="KJXCFKR" localSheetId="3" hidden="1">{#N/A,#N/A,FALSE,"Plan1";#N/A,#N/A,FALSE,"Plan2"}</definedName>
    <definedName name="KJXCFKR" localSheetId="8">{#N/A,#N/A,FALSE,"Plan1";#N/A,#N/A,FALSE,"Plan2"}</definedName>
    <definedName name="KJXCFKR" localSheetId="5" hidden="1">{#N/A,#N/A,FALSE,"Plan1";#N/A,#N/A,FALSE,"Plan2"}</definedName>
    <definedName name="KJXCFKR" localSheetId="4" hidden="1">{#N/A,#N/A,FALSE,"Plan1";#N/A,#N/A,FALSE,"Plan2"}</definedName>
    <definedName name="KJXCFKR" localSheetId="9">{#N/A,#N/A,FALSE,"Plan1";#N/A,#N/A,FALSE,"Plan2"}</definedName>
    <definedName name="KJXCFKR" localSheetId="10" hidden="1">{#N/A,#N/A,FALSE,"Plan1";#N/A,#N/A,FALSE,"Plan2"}</definedName>
    <definedName name="KJXCFKR" localSheetId="1" hidden="1">{#N/A,#N/A,FALSE,"Plan1";#N/A,#N/A,FALSE,"Plan2"}</definedName>
    <definedName name="KJXCFKR" localSheetId="0">{#N/A,#N/A,FALSE,"Plan1";#N/A,#N/A,FALSE,"Plan2"}</definedName>
    <definedName name="KJXCFKR" localSheetId="11" hidden="1">{#N/A,#N/A,FALSE,"Plan1";#N/A,#N/A,FALSE,"Plan2"}</definedName>
    <definedName name="KJXCFKR" localSheetId="12" hidden="1">{#N/A,#N/A,FALSE,"Plan1";#N/A,#N/A,FALSE,"Plan2"}</definedName>
    <definedName name="KJXCFKR" hidden="1">{#N/A,#N/A,FALSE,"Plan1";#N/A,#N/A,FALSE,"Plan2"}</definedName>
    <definedName name="KJXDFD" localSheetId="3" hidden="1">{#N/A,#N/A,FALSE,"Plan1";#N/A,#N/A,FALSE,"Plan2"}</definedName>
    <definedName name="KJXDFD" localSheetId="8">{#N/A,#N/A,FALSE,"Plan1";#N/A,#N/A,FALSE,"Plan2"}</definedName>
    <definedName name="KJXDFD" localSheetId="5" hidden="1">{#N/A,#N/A,FALSE,"Plan1";#N/A,#N/A,FALSE,"Plan2"}</definedName>
    <definedName name="KJXDFD" localSheetId="4" hidden="1">{#N/A,#N/A,FALSE,"Plan1";#N/A,#N/A,FALSE,"Plan2"}</definedName>
    <definedName name="KJXDFD" localSheetId="9">{#N/A,#N/A,FALSE,"Plan1";#N/A,#N/A,FALSE,"Plan2"}</definedName>
    <definedName name="KJXDFD" localSheetId="10" hidden="1">{#N/A,#N/A,FALSE,"Plan1";#N/A,#N/A,FALSE,"Plan2"}</definedName>
    <definedName name="KJXDFD" localSheetId="1" hidden="1">{#N/A,#N/A,FALSE,"Plan1";#N/A,#N/A,FALSE,"Plan2"}</definedName>
    <definedName name="KJXDFD" localSheetId="0">{#N/A,#N/A,FALSE,"Plan1";#N/A,#N/A,FALSE,"Plan2"}</definedName>
    <definedName name="KJXDFD" localSheetId="11" hidden="1">{#N/A,#N/A,FALSE,"Plan1";#N/A,#N/A,FALSE,"Plan2"}</definedName>
    <definedName name="KJXDFD" localSheetId="12" hidden="1">{#N/A,#N/A,FALSE,"Plan1";#N/A,#N/A,FALSE,"Plan2"}</definedName>
    <definedName name="KJXDFD" hidden="1">{#N/A,#N/A,FALSE,"Plan1";#N/A,#N/A,FALSE,"Plan2"}</definedName>
    <definedName name="kjydhfkjghkjfh" localSheetId="8">#REF!</definedName>
    <definedName name="kjydhfkjghkjfh" localSheetId="5" hidden="1">#REF!</definedName>
    <definedName name="kjydhfkjghkjfh" localSheetId="9">#REF!</definedName>
    <definedName name="kjydhfkjghkjfh" localSheetId="10" hidden="1">#REF!</definedName>
    <definedName name="kjydhfkjghkjfh" localSheetId="1" hidden="1">#REF!</definedName>
    <definedName name="kjydhfkjghkjfh" localSheetId="0">#REF!</definedName>
    <definedName name="kjydhfkjghkjfh" localSheetId="11" hidden="1">#REF!</definedName>
    <definedName name="kjydhfkjghkjfh" localSheetId="12" hidden="1">#REF!</definedName>
    <definedName name="kjydhfkjghkjfh" hidden="1">#REF!</definedName>
    <definedName name="kk" localSheetId="8">#REF!</definedName>
    <definedName name="kk" localSheetId="5">#REF!</definedName>
    <definedName name="kk" localSheetId="9">#REF!</definedName>
    <definedName name="kk" localSheetId="10">#REF!</definedName>
    <definedName name="kk" localSheetId="0">#REF!</definedName>
    <definedName name="kk" localSheetId="11">#REF!</definedName>
    <definedName name="kk" localSheetId="12">#REF!</definedName>
    <definedName name="kk">#REF!</definedName>
    <definedName name="kk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k" localSheetId="3" hidden="1">{#N/A,#N/A,FALSE,"Plan1";#N/A,#N/A,FALSE,"Plan2"}</definedName>
    <definedName name="kkk" localSheetId="8">{#N/A,#N/A,FALSE,"Plan1";#N/A,#N/A,FALSE,"Plan2"}</definedName>
    <definedName name="kkk" localSheetId="5" hidden="1">{#N/A,#N/A,FALSE,"Plan1";#N/A,#N/A,FALSE,"Plan2"}</definedName>
    <definedName name="kkk" localSheetId="4" hidden="1">{#N/A,#N/A,FALSE,"Plan1";#N/A,#N/A,FALSE,"Plan2"}</definedName>
    <definedName name="kkk" localSheetId="9">{#N/A,#N/A,FALSE,"Plan1";#N/A,#N/A,FALSE,"Plan2"}</definedName>
    <definedName name="kkk" localSheetId="10" hidden="1">{#N/A,#N/A,FALSE,"Plan1";#N/A,#N/A,FALSE,"Plan2"}</definedName>
    <definedName name="kkk" localSheetId="1" hidden="1">{#N/A,#N/A,FALSE,"Plan1";#N/A,#N/A,FALSE,"Plan2"}</definedName>
    <definedName name="kkk" localSheetId="0">{#N/A,#N/A,FALSE,"Plan1";#N/A,#N/A,FALSE,"Plan2"}</definedName>
    <definedName name="kkk" localSheetId="11" hidden="1">{#N/A,#N/A,FALSE,"Plan1";#N/A,#N/A,FALSE,"Plan2"}</definedName>
    <definedName name="kkk" localSheetId="12" hidden="1">{#N/A,#N/A,FALSE,"Plan1";#N/A,#N/A,FALSE,"Plan2"}</definedName>
    <definedName name="kkk" hidden="1">{#N/A,#N/A,FALSE,"Plan1";#N/A,#N/A,FALSE,"Plan2"}</definedName>
    <definedName name="kkkkk" localSheetId="3" hidden="1">{#N/A,#N/A,FALSE,"Plan1";#N/A,#N/A,FALSE,"Plan2"}</definedName>
    <definedName name="kkkkk" localSheetId="8">{#N/A,#N/A,FALSE,"Plan1";#N/A,#N/A,FALSE,"Plan2"}</definedName>
    <definedName name="kkkkk" localSheetId="5" hidden="1">{#N/A,#N/A,FALSE,"Plan1";#N/A,#N/A,FALSE,"Plan2"}</definedName>
    <definedName name="kkkkk" localSheetId="4" hidden="1">{#N/A,#N/A,FALSE,"Plan1";#N/A,#N/A,FALSE,"Plan2"}</definedName>
    <definedName name="kkkkk" localSheetId="9">{#N/A,#N/A,FALSE,"Plan1";#N/A,#N/A,FALSE,"Plan2"}</definedName>
    <definedName name="kkkkk" localSheetId="10" hidden="1">{#N/A,#N/A,FALSE,"Plan1";#N/A,#N/A,FALSE,"Plan2"}</definedName>
    <definedName name="kkkkk" localSheetId="1" hidden="1">{#N/A,#N/A,FALSE,"Plan1";#N/A,#N/A,FALSE,"Plan2"}</definedName>
    <definedName name="kkkkk" localSheetId="0">{#N/A,#N/A,FALSE,"Plan1";#N/A,#N/A,FALSE,"Plan2"}</definedName>
    <definedName name="kkkkk" localSheetId="11" hidden="1">{#N/A,#N/A,FALSE,"Plan1";#N/A,#N/A,FALSE,"Plan2"}</definedName>
    <definedName name="kkkkk" localSheetId="12" hidden="1">{#N/A,#N/A,FALSE,"Plan1";#N/A,#N/A,FALSE,"Plan2"}</definedName>
    <definedName name="kkkkk" hidden="1">{#N/A,#N/A,FALSE,"Plan1";#N/A,#N/A,FALSE,"Plan2"}</definedName>
    <definedName name="kkkkkk" localSheetId="3" hidden="1">{#N/A,#N/A,FALSE,"Plan1";#N/A,#N/A,FALSE,"Plan2"}</definedName>
    <definedName name="kkkkkk" localSheetId="8">{#N/A,#N/A,FALSE,"Plan1";#N/A,#N/A,FALSE,"Plan2"}</definedName>
    <definedName name="kkkkkk" localSheetId="5" hidden="1">{#N/A,#N/A,FALSE,"Plan1";#N/A,#N/A,FALSE,"Plan2"}</definedName>
    <definedName name="kkkkkk" localSheetId="4" hidden="1">{#N/A,#N/A,FALSE,"Plan1";#N/A,#N/A,FALSE,"Plan2"}</definedName>
    <definedName name="kkkkkk" localSheetId="9">{#N/A,#N/A,FALSE,"Plan1";#N/A,#N/A,FALSE,"Plan2"}</definedName>
    <definedName name="kkkkkk" localSheetId="10" hidden="1">{#N/A,#N/A,FALSE,"Plan1";#N/A,#N/A,FALSE,"Plan2"}</definedName>
    <definedName name="kkkkkk" localSheetId="1" hidden="1">{#N/A,#N/A,FALSE,"Plan1";#N/A,#N/A,FALSE,"Plan2"}</definedName>
    <definedName name="kkkkkk" localSheetId="0">{#N/A,#N/A,FALSE,"Plan1";#N/A,#N/A,FALSE,"Plan2"}</definedName>
    <definedName name="kkkkkk" localSheetId="11" hidden="1">{#N/A,#N/A,FALSE,"Plan1";#N/A,#N/A,FALSE,"Plan2"}</definedName>
    <definedName name="kkkkkk" localSheetId="12" hidden="1">{#N/A,#N/A,FALSE,"Plan1";#N/A,#N/A,FALSE,"Plan2"}</definedName>
    <definedName name="kkkkkk" hidden="1">{#N/A,#N/A,FALSE,"Plan1";#N/A,#N/A,FALSE,"Plan2"}</definedName>
    <definedName name="kk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ksaklçer" localSheetId="3" hidden="1">{#N/A,#N/A,FALSE,"Plan1";#N/A,#N/A,FALSE,"Plan2"}</definedName>
    <definedName name="kksaklçer" localSheetId="8">{#N/A,#N/A,FALSE,"Plan1";#N/A,#N/A,FALSE,"Plan2"}</definedName>
    <definedName name="kksaklçer" localSheetId="5" hidden="1">{#N/A,#N/A,FALSE,"Plan1";#N/A,#N/A,FALSE,"Plan2"}</definedName>
    <definedName name="kksaklçer" localSheetId="4" hidden="1">{#N/A,#N/A,FALSE,"Plan1";#N/A,#N/A,FALSE,"Plan2"}</definedName>
    <definedName name="kksaklçer" localSheetId="9">{#N/A,#N/A,FALSE,"Plan1";#N/A,#N/A,FALSE,"Plan2"}</definedName>
    <definedName name="kksaklçer" localSheetId="10" hidden="1">{#N/A,#N/A,FALSE,"Plan1";#N/A,#N/A,FALSE,"Plan2"}</definedName>
    <definedName name="kksaklçer" localSheetId="1" hidden="1">{#N/A,#N/A,FALSE,"Plan1";#N/A,#N/A,FALSE,"Plan2"}</definedName>
    <definedName name="kksaklçer" localSheetId="0">{#N/A,#N/A,FALSE,"Plan1";#N/A,#N/A,FALSE,"Plan2"}</definedName>
    <definedName name="kksaklçer" localSheetId="11" hidden="1">{#N/A,#N/A,FALSE,"Plan1";#N/A,#N/A,FALSE,"Plan2"}</definedName>
    <definedName name="kksaklçer" localSheetId="12" hidden="1">{#N/A,#N/A,FALSE,"Plan1";#N/A,#N/A,FALSE,"Plan2"}</definedName>
    <definedName name="kksaklçer" hidden="1">{#N/A,#N/A,FALSE,"Plan1";#N/A,#N/A,FALSE,"Plan2"}</definedName>
    <definedName name="kksarde" localSheetId="3" hidden="1">{#N/A,#N/A,FALSE,"Plan1";#N/A,#N/A,FALSE,"Plan2"}</definedName>
    <definedName name="kksarde" localSheetId="8">{#N/A,#N/A,FALSE,"Plan1";#N/A,#N/A,FALSE,"Plan2"}</definedName>
    <definedName name="kksarde" localSheetId="5" hidden="1">{#N/A,#N/A,FALSE,"Plan1";#N/A,#N/A,FALSE,"Plan2"}</definedName>
    <definedName name="kksarde" localSheetId="4" hidden="1">{#N/A,#N/A,FALSE,"Plan1";#N/A,#N/A,FALSE,"Plan2"}</definedName>
    <definedName name="kksarde" localSheetId="9">{#N/A,#N/A,FALSE,"Plan1";#N/A,#N/A,FALSE,"Plan2"}</definedName>
    <definedName name="kksarde" localSheetId="10" hidden="1">{#N/A,#N/A,FALSE,"Plan1";#N/A,#N/A,FALSE,"Plan2"}</definedName>
    <definedName name="kksarde" localSheetId="1" hidden="1">{#N/A,#N/A,FALSE,"Plan1";#N/A,#N/A,FALSE,"Plan2"}</definedName>
    <definedName name="kksarde" localSheetId="0">{#N/A,#N/A,FALSE,"Plan1";#N/A,#N/A,FALSE,"Plan2"}</definedName>
    <definedName name="kksarde" localSheetId="11" hidden="1">{#N/A,#N/A,FALSE,"Plan1";#N/A,#N/A,FALSE,"Plan2"}</definedName>
    <definedName name="kksarde" localSheetId="12" hidden="1">{#N/A,#N/A,FALSE,"Plan1";#N/A,#N/A,FALSE,"Plan2"}</definedName>
    <definedName name="kksarde" hidden="1">{#N/A,#N/A,FALSE,"Plan1";#N/A,#N/A,FALSE,"Plan2"}</definedName>
    <definedName name="klaskldjsw" localSheetId="3" hidden="1">{#N/A,#N/A,FALSE,"Plan1";#N/A,#N/A,FALSE,"Plan2"}</definedName>
    <definedName name="klaskldjsw" localSheetId="8">{#N/A,#N/A,FALSE,"Plan1";#N/A,#N/A,FALSE,"Plan2"}</definedName>
    <definedName name="klaskldjsw" localSheetId="5" hidden="1">{#N/A,#N/A,FALSE,"Plan1";#N/A,#N/A,FALSE,"Plan2"}</definedName>
    <definedName name="klaskldjsw" localSheetId="4" hidden="1">{#N/A,#N/A,FALSE,"Plan1";#N/A,#N/A,FALSE,"Plan2"}</definedName>
    <definedName name="klaskldjsw" localSheetId="9">{#N/A,#N/A,FALSE,"Plan1";#N/A,#N/A,FALSE,"Plan2"}</definedName>
    <definedName name="klaskldjsw" localSheetId="10" hidden="1">{#N/A,#N/A,FALSE,"Plan1";#N/A,#N/A,FALSE,"Plan2"}</definedName>
    <definedName name="klaskldjsw" localSheetId="1" hidden="1">{#N/A,#N/A,FALSE,"Plan1";#N/A,#N/A,FALSE,"Plan2"}</definedName>
    <definedName name="klaskldjsw" localSheetId="0">{#N/A,#N/A,FALSE,"Plan1";#N/A,#N/A,FALSE,"Plan2"}</definedName>
    <definedName name="klaskldjsw" localSheetId="11" hidden="1">{#N/A,#N/A,FALSE,"Plan1";#N/A,#N/A,FALSE,"Plan2"}</definedName>
    <definedName name="klaskldjsw" localSheetId="12" hidden="1">{#N/A,#N/A,FALSE,"Plan1";#N/A,#N/A,FALSE,"Plan2"}</definedName>
    <definedName name="klaskldjsw" hidden="1">{#N/A,#N/A,FALSE,"Plan1";#N/A,#N/A,FALSE,"Plan2"}</definedName>
    <definedName name="klçkop" localSheetId="3" hidden="1">{#N/A,#N/A,FALSE,"Plan1";#N/A,#N/A,FALSE,"Plan2"}</definedName>
    <definedName name="klçkop" localSheetId="8">{#N/A,#N/A,FALSE,"Plan1";#N/A,#N/A,FALSE,"Plan2"}</definedName>
    <definedName name="klçkop" localSheetId="5" hidden="1">{#N/A,#N/A,FALSE,"Plan1";#N/A,#N/A,FALSE,"Plan2"}</definedName>
    <definedName name="klçkop" localSheetId="4" hidden="1">{#N/A,#N/A,FALSE,"Plan1";#N/A,#N/A,FALSE,"Plan2"}</definedName>
    <definedName name="klçkop" localSheetId="9">{#N/A,#N/A,FALSE,"Plan1";#N/A,#N/A,FALSE,"Plan2"}</definedName>
    <definedName name="klçkop" localSheetId="10" hidden="1">{#N/A,#N/A,FALSE,"Plan1";#N/A,#N/A,FALSE,"Plan2"}</definedName>
    <definedName name="klçkop" localSheetId="1" hidden="1">{#N/A,#N/A,FALSE,"Plan1";#N/A,#N/A,FALSE,"Plan2"}</definedName>
    <definedName name="klçkop" localSheetId="0">{#N/A,#N/A,FALSE,"Plan1";#N/A,#N/A,FALSE,"Plan2"}</definedName>
    <definedName name="klçkop" localSheetId="11" hidden="1">{#N/A,#N/A,FALSE,"Plan1";#N/A,#N/A,FALSE,"Plan2"}</definedName>
    <definedName name="klçkop" localSheetId="12" hidden="1">{#N/A,#N/A,FALSE,"Plan1";#N/A,#N/A,FALSE,"Plan2"}</definedName>
    <definedName name="klçkop" hidden="1">{#N/A,#N/A,FALSE,"Plan1";#N/A,#N/A,FALSE,"Plan2"}</definedName>
    <definedName name="KLDFNTRDT" localSheetId="3" hidden="1">{#N/A,#N/A,FALSE,"Plan1";#N/A,#N/A,FALSE,"Plan2"}</definedName>
    <definedName name="KLDFNTRDT" localSheetId="8">{#N/A,#N/A,FALSE,"Plan1";#N/A,#N/A,FALSE,"Plan2"}</definedName>
    <definedName name="KLDFNTRDT" localSheetId="5" hidden="1">{#N/A,#N/A,FALSE,"Plan1";#N/A,#N/A,FALSE,"Plan2"}</definedName>
    <definedName name="KLDFNTRDT" localSheetId="4" hidden="1">{#N/A,#N/A,FALSE,"Plan1";#N/A,#N/A,FALSE,"Plan2"}</definedName>
    <definedName name="KLDFNTRDT" localSheetId="9">{#N/A,#N/A,FALSE,"Plan1";#N/A,#N/A,FALSE,"Plan2"}</definedName>
    <definedName name="KLDFNTRDT" localSheetId="10" hidden="1">{#N/A,#N/A,FALSE,"Plan1";#N/A,#N/A,FALSE,"Plan2"}</definedName>
    <definedName name="KLDFNTRDT" localSheetId="1" hidden="1">{#N/A,#N/A,FALSE,"Plan1";#N/A,#N/A,FALSE,"Plan2"}</definedName>
    <definedName name="KLDFNTRDT" localSheetId="0">{#N/A,#N/A,FALSE,"Plan1";#N/A,#N/A,FALSE,"Plan2"}</definedName>
    <definedName name="KLDFNTRDT" localSheetId="11" hidden="1">{#N/A,#N/A,FALSE,"Plan1";#N/A,#N/A,FALSE,"Plan2"}</definedName>
    <definedName name="KLDFNTRDT" localSheetId="12" hidden="1">{#N/A,#N/A,FALSE,"Plan1";#N/A,#N/A,FALSE,"Plan2"}</definedName>
    <definedName name="KLDFNTRDT" hidden="1">{#N/A,#N/A,FALSE,"Plan1";#N/A,#N/A,FALSE,"Plan2"}</definedName>
    <definedName name="klhjsdklhdf" localSheetId="3" hidden="1">{#N/A,#N/A,FALSE,"Plan1";#N/A,#N/A,FALSE,"Plan2"}</definedName>
    <definedName name="klhjsdklhdf" localSheetId="8">{#N/A,#N/A,FALSE,"Plan1";#N/A,#N/A,FALSE,"Plan2"}</definedName>
    <definedName name="klhjsdklhdf" localSheetId="5" hidden="1">{#N/A,#N/A,FALSE,"Plan1";#N/A,#N/A,FALSE,"Plan2"}</definedName>
    <definedName name="klhjsdklhdf" localSheetId="4" hidden="1">{#N/A,#N/A,FALSE,"Plan1";#N/A,#N/A,FALSE,"Plan2"}</definedName>
    <definedName name="klhjsdklhdf" localSheetId="9">{#N/A,#N/A,FALSE,"Plan1";#N/A,#N/A,FALSE,"Plan2"}</definedName>
    <definedName name="klhjsdklhdf" localSheetId="10" hidden="1">{#N/A,#N/A,FALSE,"Plan1";#N/A,#N/A,FALSE,"Plan2"}</definedName>
    <definedName name="klhjsdklhdf" localSheetId="1" hidden="1">{#N/A,#N/A,FALSE,"Plan1";#N/A,#N/A,FALSE,"Plan2"}</definedName>
    <definedName name="klhjsdklhdf" localSheetId="0">{#N/A,#N/A,FALSE,"Plan1";#N/A,#N/A,FALSE,"Plan2"}</definedName>
    <definedName name="klhjsdklhdf" localSheetId="11" hidden="1">{#N/A,#N/A,FALSE,"Plan1";#N/A,#N/A,FALSE,"Plan2"}</definedName>
    <definedName name="klhjsdklhdf" localSheetId="12" hidden="1">{#N/A,#N/A,FALSE,"Plan1";#N/A,#N/A,FALSE,"Plan2"}</definedName>
    <definedName name="klhjsdklhdf" hidden="1">{#N/A,#N/A,FALSE,"Plan1";#N/A,#N/A,FALSE,"Plan2"}</definedName>
    <definedName name="KLHSKLRHWE" localSheetId="3" hidden="1">{#N/A,#N/A,FALSE,"Plan1";#N/A,#N/A,FALSE,"Plan2"}</definedName>
    <definedName name="KLHSKLRHWE" localSheetId="8">{#N/A,#N/A,FALSE,"Plan1";#N/A,#N/A,FALSE,"Plan2"}</definedName>
    <definedName name="KLHSKLRHWE" localSheetId="5" hidden="1">{#N/A,#N/A,FALSE,"Plan1";#N/A,#N/A,FALSE,"Plan2"}</definedName>
    <definedName name="KLHSKLRHWE" localSheetId="4" hidden="1">{#N/A,#N/A,FALSE,"Plan1";#N/A,#N/A,FALSE,"Plan2"}</definedName>
    <definedName name="KLHSKLRHWE" localSheetId="9">{#N/A,#N/A,FALSE,"Plan1";#N/A,#N/A,FALSE,"Plan2"}</definedName>
    <definedName name="KLHSKLRHWE" localSheetId="10" hidden="1">{#N/A,#N/A,FALSE,"Plan1";#N/A,#N/A,FALSE,"Plan2"}</definedName>
    <definedName name="KLHSKLRHWE" localSheetId="1" hidden="1">{#N/A,#N/A,FALSE,"Plan1";#N/A,#N/A,FALSE,"Plan2"}</definedName>
    <definedName name="KLHSKLRHWE" localSheetId="0">{#N/A,#N/A,FALSE,"Plan1";#N/A,#N/A,FALSE,"Plan2"}</definedName>
    <definedName name="KLHSKLRHWE" localSheetId="11" hidden="1">{#N/A,#N/A,FALSE,"Plan1";#N/A,#N/A,FALSE,"Plan2"}</definedName>
    <definedName name="KLHSKLRHWE" localSheetId="12" hidden="1">{#N/A,#N/A,FALSE,"Plan1";#N/A,#N/A,FALSE,"Plan2"}</definedName>
    <definedName name="KLHSKLRHWE" hidden="1">{#N/A,#N/A,FALSE,"Plan1";#N/A,#N/A,FALSE,"Plan2"}</definedName>
    <definedName name="KLJASKJD" localSheetId="3" hidden="1">{#N/A,#N/A,FALSE,"Plan1";#N/A,#N/A,FALSE,"Plan2"}</definedName>
    <definedName name="KLJASKJD" localSheetId="8">{#N/A,#N/A,FALSE,"Plan1";#N/A,#N/A,FALSE,"Plan2"}</definedName>
    <definedName name="KLJASKJD" localSheetId="5" hidden="1">{#N/A,#N/A,FALSE,"Plan1";#N/A,#N/A,FALSE,"Plan2"}</definedName>
    <definedName name="KLJASKJD" localSheetId="4" hidden="1">{#N/A,#N/A,FALSE,"Plan1";#N/A,#N/A,FALSE,"Plan2"}</definedName>
    <definedName name="KLJASKJD" localSheetId="9">{#N/A,#N/A,FALSE,"Plan1";#N/A,#N/A,FALSE,"Plan2"}</definedName>
    <definedName name="KLJASKJD" localSheetId="10" hidden="1">{#N/A,#N/A,FALSE,"Plan1";#N/A,#N/A,FALSE,"Plan2"}</definedName>
    <definedName name="KLJASKJD" localSheetId="1" hidden="1">{#N/A,#N/A,FALSE,"Plan1";#N/A,#N/A,FALSE,"Plan2"}</definedName>
    <definedName name="KLJASKJD" localSheetId="0">{#N/A,#N/A,FALSE,"Plan1";#N/A,#N/A,FALSE,"Plan2"}</definedName>
    <definedName name="KLJASKJD" localSheetId="11" hidden="1">{#N/A,#N/A,FALSE,"Plan1";#N/A,#N/A,FALSE,"Plan2"}</definedName>
    <definedName name="KLJASKJD" localSheetId="12" hidden="1">{#N/A,#N/A,FALSE,"Plan1";#N/A,#N/A,FALSE,"Plan2"}</definedName>
    <definedName name="KLJASKJD" hidden="1">{#N/A,#N/A,FALSE,"Plan1";#N/A,#N/A,FALSE,"Plan2"}</definedName>
    <definedName name="KLJDXLG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DXLG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ljeflwr" localSheetId="3" hidden="1">{#N/A,#N/A,FALSE,"Plan1";#N/A,#N/A,FALSE,"Plan2"}</definedName>
    <definedName name="kljeflwr" localSheetId="8">{#N/A,#N/A,FALSE,"Plan1";#N/A,#N/A,FALSE,"Plan2"}</definedName>
    <definedName name="kljeflwr" localSheetId="5" hidden="1">{#N/A,#N/A,FALSE,"Plan1";#N/A,#N/A,FALSE,"Plan2"}</definedName>
    <definedName name="kljeflwr" localSheetId="4" hidden="1">{#N/A,#N/A,FALSE,"Plan1";#N/A,#N/A,FALSE,"Plan2"}</definedName>
    <definedName name="kljeflwr" localSheetId="9">{#N/A,#N/A,FALSE,"Plan1";#N/A,#N/A,FALSE,"Plan2"}</definedName>
    <definedName name="kljeflwr" localSheetId="10" hidden="1">{#N/A,#N/A,FALSE,"Plan1";#N/A,#N/A,FALSE,"Plan2"}</definedName>
    <definedName name="kljeflwr" localSheetId="1" hidden="1">{#N/A,#N/A,FALSE,"Plan1";#N/A,#N/A,FALSE,"Plan2"}</definedName>
    <definedName name="kljeflwr" localSheetId="0">{#N/A,#N/A,FALSE,"Plan1";#N/A,#N/A,FALSE,"Plan2"}</definedName>
    <definedName name="kljeflwr" localSheetId="11" hidden="1">{#N/A,#N/A,FALSE,"Plan1";#N/A,#N/A,FALSE,"Plan2"}</definedName>
    <definedName name="kljeflwr" localSheetId="12" hidden="1">{#N/A,#N/A,FALSE,"Plan1";#N/A,#N/A,FALSE,"Plan2"}</definedName>
    <definedName name="kljeflwr" hidden="1">{#N/A,#N/A,FALSE,"Plan1";#N/A,#N/A,FALSE,"Plan2"}</definedName>
    <definedName name="kljflgjrf" localSheetId="3" hidden="1">{#N/A,#N/A,FALSE,"Plan1";#N/A,#N/A,FALSE,"Plan2"}</definedName>
    <definedName name="kljflgjrf" localSheetId="8">{#N/A,#N/A,FALSE,"Plan1";#N/A,#N/A,FALSE,"Plan2"}</definedName>
    <definedName name="kljflgjrf" localSheetId="5" hidden="1">{#N/A,#N/A,FALSE,"Plan1";#N/A,#N/A,FALSE,"Plan2"}</definedName>
    <definedName name="kljflgjrf" localSheetId="4" hidden="1">{#N/A,#N/A,FALSE,"Plan1";#N/A,#N/A,FALSE,"Plan2"}</definedName>
    <definedName name="kljflgjrf" localSheetId="9">{#N/A,#N/A,FALSE,"Plan1";#N/A,#N/A,FALSE,"Plan2"}</definedName>
    <definedName name="kljflgjrf" localSheetId="10" hidden="1">{#N/A,#N/A,FALSE,"Plan1";#N/A,#N/A,FALSE,"Plan2"}</definedName>
    <definedName name="kljflgjrf" localSheetId="1" hidden="1">{#N/A,#N/A,FALSE,"Plan1";#N/A,#N/A,FALSE,"Plan2"}</definedName>
    <definedName name="kljflgjrf" localSheetId="0">{#N/A,#N/A,FALSE,"Plan1";#N/A,#N/A,FALSE,"Plan2"}</definedName>
    <definedName name="kljflgjrf" localSheetId="11" hidden="1">{#N/A,#N/A,FALSE,"Plan1";#N/A,#N/A,FALSE,"Plan2"}</definedName>
    <definedName name="kljflgjrf" localSheetId="12" hidden="1">{#N/A,#N/A,FALSE,"Plan1";#N/A,#N/A,FALSE,"Plan2"}</definedName>
    <definedName name="kljflgjrf" hidden="1">{#N/A,#N/A,FALSE,"Plan1";#N/A,#N/A,FALSE,"Plan2"}</definedName>
    <definedName name="kljgfdfr" localSheetId="3" hidden="1">{#N/A,#N/A,FALSE,"Plan1";#N/A,#N/A,FALSE,"Plan2"}</definedName>
    <definedName name="kljgfdfr" localSheetId="8">{#N/A,#N/A,FALSE,"Plan1";#N/A,#N/A,FALSE,"Plan2"}</definedName>
    <definedName name="kljgfdfr" localSheetId="5" hidden="1">{#N/A,#N/A,FALSE,"Plan1";#N/A,#N/A,FALSE,"Plan2"}</definedName>
    <definedName name="kljgfdfr" localSheetId="4" hidden="1">{#N/A,#N/A,FALSE,"Plan1";#N/A,#N/A,FALSE,"Plan2"}</definedName>
    <definedName name="kljgfdfr" localSheetId="9">{#N/A,#N/A,FALSE,"Plan1";#N/A,#N/A,FALSE,"Plan2"}</definedName>
    <definedName name="kljgfdfr" localSheetId="10" hidden="1">{#N/A,#N/A,FALSE,"Plan1";#N/A,#N/A,FALSE,"Plan2"}</definedName>
    <definedName name="kljgfdfr" localSheetId="1" hidden="1">{#N/A,#N/A,FALSE,"Plan1";#N/A,#N/A,FALSE,"Plan2"}</definedName>
    <definedName name="kljgfdfr" localSheetId="0">{#N/A,#N/A,FALSE,"Plan1";#N/A,#N/A,FALSE,"Plan2"}</definedName>
    <definedName name="kljgfdfr" localSheetId="11" hidden="1">{#N/A,#N/A,FALSE,"Plan1";#N/A,#N/A,FALSE,"Plan2"}</definedName>
    <definedName name="kljgfdfr" localSheetId="12" hidden="1">{#N/A,#N/A,FALSE,"Plan1";#N/A,#N/A,FALSE,"Plan2"}</definedName>
    <definedName name="kljgfdfr" hidden="1">{#N/A,#N/A,FALSE,"Plan1";#N/A,#N/A,FALSE,"Plan2"}</definedName>
    <definedName name="kljgfjrt" localSheetId="3" hidden="1">{#N/A,#N/A,FALSE,"Plan1";#N/A,#N/A,FALSE,"Plan2"}</definedName>
    <definedName name="kljgfjrt" localSheetId="8">{#N/A,#N/A,FALSE,"Plan1";#N/A,#N/A,FALSE,"Plan2"}</definedName>
    <definedName name="kljgfjrt" localSheetId="5" hidden="1">{#N/A,#N/A,FALSE,"Plan1";#N/A,#N/A,FALSE,"Plan2"}</definedName>
    <definedName name="kljgfjrt" localSheetId="4" hidden="1">{#N/A,#N/A,FALSE,"Plan1";#N/A,#N/A,FALSE,"Plan2"}</definedName>
    <definedName name="kljgfjrt" localSheetId="9">{#N/A,#N/A,FALSE,"Plan1";#N/A,#N/A,FALSE,"Plan2"}</definedName>
    <definedName name="kljgfjrt" localSheetId="10" hidden="1">{#N/A,#N/A,FALSE,"Plan1";#N/A,#N/A,FALSE,"Plan2"}</definedName>
    <definedName name="kljgfjrt" localSheetId="1" hidden="1">{#N/A,#N/A,FALSE,"Plan1";#N/A,#N/A,FALSE,"Plan2"}</definedName>
    <definedName name="kljgfjrt" localSheetId="0">{#N/A,#N/A,FALSE,"Plan1";#N/A,#N/A,FALSE,"Plan2"}</definedName>
    <definedName name="kljgfjrt" localSheetId="11" hidden="1">{#N/A,#N/A,FALSE,"Plan1";#N/A,#N/A,FALSE,"Plan2"}</definedName>
    <definedName name="kljgfjrt" localSheetId="12" hidden="1">{#N/A,#N/A,FALSE,"Plan1";#N/A,#N/A,FALSE,"Plan2"}</definedName>
    <definedName name="kljgfjrt" hidden="1">{#N/A,#N/A,FALSE,"Plan1";#N/A,#N/A,FALSE,"Plan2"}</definedName>
    <definedName name="kljlkdfj" localSheetId="3" hidden="1">{#N/A,#N/A,FALSE,"Plan1";#N/A,#N/A,FALSE,"Plan2"}</definedName>
    <definedName name="kljlkdfj" localSheetId="8">{#N/A,#N/A,FALSE,"Plan1";#N/A,#N/A,FALSE,"Plan2"}</definedName>
    <definedName name="kljlkdfj" localSheetId="5" hidden="1">{#N/A,#N/A,FALSE,"Plan1";#N/A,#N/A,FALSE,"Plan2"}</definedName>
    <definedName name="kljlkdfj" localSheetId="4" hidden="1">{#N/A,#N/A,FALSE,"Plan1";#N/A,#N/A,FALSE,"Plan2"}</definedName>
    <definedName name="kljlkdfj" localSheetId="9">{#N/A,#N/A,FALSE,"Plan1";#N/A,#N/A,FALSE,"Plan2"}</definedName>
    <definedName name="kljlkdfj" localSheetId="10" hidden="1">{#N/A,#N/A,FALSE,"Plan1";#N/A,#N/A,FALSE,"Plan2"}</definedName>
    <definedName name="kljlkdfj" localSheetId="1" hidden="1">{#N/A,#N/A,FALSE,"Plan1";#N/A,#N/A,FALSE,"Plan2"}</definedName>
    <definedName name="kljlkdfj" localSheetId="0">{#N/A,#N/A,FALSE,"Plan1";#N/A,#N/A,FALSE,"Plan2"}</definedName>
    <definedName name="kljlkdfj" localSheetId="11" hidden="1">{#N/A,#N/A,FALSE,"Plan1";#N/A,#N/A,FALSE,"Plan2"}</definedName>
    <definedName name="kljlkdfj" localSheetId="12" hidden="1">{#N/A,#N/A,FALSE,"Plan1";#N/A,#N/A,FALSE,"Plan2"}</definedName>
    <definedName name="kljlkdfj" hidden="1">{#N/A,#N/A,FALSE,"Plan1";#N/A,#N/A,FALSE,"Plan2"}</definedName>
    <definedName name="kljsakjfr" localSheetId="3" hidden="1">{#N/A,#N/A,FALSE,"Plan1";#N/A,#N/A,FALSE,"Plan2"}</definedName>
    <definedName name="kljsakjfr" localSheetId="8">{#N/A,#N/A,FALSE,"Plan1";#N/A,#N/A,FALSE,"Plan2"}</definedName>
    <definedName name="kljsakjfr" localSheetId="5" hidden="1">{#N/A,#N/A,FALSE,"Plan1";#N/A,#N/A,FALSE,"Plan2"}</definedName>
    <definedName name="kljsakjfr" localSheetId="4" hidden="1">{#N/A,#N/A,FALSE,"Plan1";#N/A,#N/A,FALSE,"Plan2"}</definedName>
    <definedName name="kljsakjfr" localSheetId="9">{#N/A,#N/A,FALSE,"Plan1";#N/A,#N/A,FALSE,"Plan2"}</definedName>
    <definedName name="kljsakjfr" localSheetId="10" hidden="1">{#N/A,#N/A,FALSE,"Plan1";#N/A,#N/A,FALSE,"Plan2"}</definedName>
    <definedName name="kljsakjfr" localSheetId="1" hidden="1">{#N/A,#N/A,FALSE,"Plan1";#N/A,#N/A,FALSE,"Plan2"}</definedName>
    <definedName name="kljsakjfr" localSheetId="0">{#N/A,#N/A,FALSE,"Plan1";#N/A,#N/A,FALSE,"Plan2"}</definedName>
    <definedName name="kljsakjfr" localSheetId="11" hidden="1">{#N/A,#N/A,FALSE,"Plan1";#N/A,#N/A,FALSE,"Plan2"}</definedName>
    <definedName name="kljsakjfr" localSheetId="12" hidden="1">{#N/A,#N/A,FALSE,"Plan1";#N/A,#N/A,FALSE,"Plan2"}</definedName>
    <definedName name="kljsakjfr" hidden="1">{#N/A,#N/A,FALSE,"Plan1";#N/A,#N/A,FALSE,"Plan2"}</definedName>
    <definedName name="kljsdje" localSheetId="3" hidden="1">{#N/A,#N/A,FALSE,"Plan1";#N/A,#N/A,FALSE,"Plan2"}</definedName>
    <definedName name="kljsdje" localSheetId="8">{#N/A,#N/A,FALSE,"Plan1";#N/A,#N/A,FALSE,"Plan2"}</definedName>
    <definedName name="kljsdje" localSheetId="5" hidden="1">{#N/A,#N/A,FALSE,"Plan1";#N/A,#N/A,FALSE,"Plan2"}</definedName>
    <definedName name="kljsdje" localSheetId="4" hidden="1">{#N/A,#N/A,FALSE,"Plan1";#N/A,#N/A,FALSE,"Plan2"}</definedName>
    <definedName name="kljsdje" localSheetId="9">{#N/A,#N/A,FALSE,"Plan1";#N/A,#N/A,FALSE,"Plan2"}</definedName>
    <definedName name="kljsdje" localSheetId="10" hidden="1">{#N/A,#N/A,FALSE,"Plan1";#N/A,#N/A,FALSE,"Plan2"}</definedName>
    <definedName name="kljsdje" localSheetId="1" hidden="1">{#N/A,#N/A,FALSE,"Plan1";#N/A,#N/A,FALSE,"Plan2"}</definedName>
    <definedName name="kljsdje" localSheetId="0">{#N/A,#N/A,FALSE,"Plan1";#N/A,#N/A,FALSE,"Plan2"}</definedName>
    <definedName name="kljsdje" localSheetId="11" hidden="1">{#N/A,#N/A,FALSE,"Plan1";#N/A,#N/A,FALSE,"Plan2"}</definedName>
    <definedName name="kljsdje" localSheetId="12" hidden="1">{#N/A,#N/A,FALSE,"Plan1";#N/A,#N/A,FALSE,"Plan2"}</definedName>
    <definedName name="kljsdje" hidden="1">{#N/A,#N/A,FALSE,"Plan1";#N/A,#N/A,FALSE,"Plan2"}</definedName>
    <definedName name="kljsfwe" localSheetId="3" hidden="1">{#N/A,#N/A,FALSE,"Plan1";#N/A,#N/A,FALSE,"Plan2"}</definedName>
    <definedName name="kljsfwe" localSheetId="8">{#N/A,#N/A,FALSE,"Plan1";#N/A,#N/A,FALSE,"Plan2"}</definedName>
    <definedName name="kljsfwe" localSheetId="5" hidden="1">{#N/A,#N/A,FALSE,"Plan1";#N/A,#N/A,FALSE,"Plan2"}</definedName>
    <definedName name="kljsfwe" localSheetId="4" hidden="1">{#N/A,#N/A,FALSE,"Plan1";#N/A,#N/A,FALSE,"Plan2"}</definedName>
    <definedName name="kljsfwe" localSheetId="9">{#N/A,#N/A,FALSE,"Plan1";#N/A,#N/A,FALSE,"Plan2"}</definedName>
    <definedName name="kljsfwe" localSheetId="10" hidden="1">{#N/A,#N/A,FALSE,"Plan1";#N/A,#N/A,FALSE,"Plan2"}</definedName>
    <definedName name="kljsfwe" localSheetId="1" hidden="1">{#N/A,#N/A,FALSE,"Plan1";#N/A,#N/A,FALSE,"Plan2"}</definedName>
    <definedName name="kljsfwe" localSheetId="0">{#N/A,#N/A,FALSE,"Plan1";#N/A,#N/A,FALSE,"Plan2"}</definedName>
    <definedName name="kljsfwe" localSheetId="11" hidden="1">{#N/A,#N/A,FALSE,"Plan1";#N/A,#N/A,FALSE,"Plan2"}</definedName>
    <definedName name="kljsfwe" localSheetId="12" hidden="1">{#N/A,#N/A,FALSE,"Plan1";#N/A,#N/A,FALSE,"Plan2"}</definedName>
    <definedName name="kljsfwe" hidden="1">{#N/A,#N/A,FALSE,"Plan1";#N/A,#N/A,FALSE,"Plan2"}</definedName>
    <definedName name="klk" localSheetId="3" hidden="1">{#N/A,#N/A,FALSE,"Plan1";#N/A,#N/A,FALSE,"Plan2"}</definedName>
    <definedName name="klk" localSheetId="8">{#N/A,#N/A,FALSE,"Plan1";#N/A,#N/A,FALSE,"Plan2"}</definedName>
    <definedName name="klk" localSheetId="5" hidden="1">{#N/A,#N/A,FALSE,"Plan1";#N/A,#N/A,FALSE,"Plan2"}</definedName>
    <definedName name="klk" localSheetId="4" hidden="1">{#N/A,#N/A,FALSE,"Plan1";#N/A,#N/A,FALSE,"Plan2"}</definedName>
    <definedName name="klk" localSheetId="9">{#N/A,#N/A,FALSE,"Plan1";#N/A,#N/A,FALSE,"Plan2"}</definedName>
    <definedName name="klk" localSheetId="10" hidden="1">{#N/A,#N/A,FALSE,"Plan1";#N/A,#N/A,FALSE,"Plan2"}</definedName>
    <definedName name="klk" localSheetId="1" hidden="1">{#N/A,#N/A,FALSE,"Plan1";#N/A,#N/A,FALSE,"Plan2"}</definedName>
    <definedName name="klk" localSheetId="0">{#N/A,#N/A,FALSE,"Plan1";#N/A,#N/A,FALSE,"Plan2"}</definedName>
    <definedName name="klk" localSheetId="11" hidden="1">{#N/A,#N/A,FALSE,"Plan1";#N/A,#N/A,FALSE,"Plan2"}</definedName>
    <definedName name="klk" localSheetId="12" hidden="1">{#N/A,#N/A,FALSE,"Plan1";#N/A,#N/A,FALSE,"Plan2"}</definedName>
    <definedName name="klk" hidden="1">{#N/A,#N/A,FALSE,"Plan1";#N/A,#N/A,FALSE,"Plan2"}</definedName>
    <definedName name="KLKKLKÇJÇ" localSheetId="3" hidden="1">{#N/A,#N/A,FALSE,"Plan1";#N/A,#N/A,FALSE,"Plan2"}</definedName>
    <definedName name="KLKKLKÇJÇ" localSheetId="8">{#N/A,#N/A,FALSE,"Plan1";#N/A,#N/A,FALSE,"Plan2"}</definedName>
    <definedName name="KLKKLKÇJÇ" localSheetId="5" hidden="1">{#N/A,#N/A,FALSE,"Plan1";#N/A,#N/A,FALSE,"Plan2"}</definedName>
    <definedName name="KLKKLKÇJÇ" localSheetId="4" hidden="1">{#N/A,#N/A,FALSE,"Plan1";#N/A,#N/A,FALSE,"Plan2"}</definedName>
    <definedName name="KLKKLKÇJÇ" localSheetId="9">{#N/A,#N/A,FALSE,"Plan1";#N/A,#N/A,FALSE,"Plan2"}</definedName>
    <definedName name="KLKKLKÇJÇ" localSheetId="10" hidden="1">{#N/A,#N/A,FALSE,"Plan1";#N/A,#N/A,FALSE,"Plan2"}</definedName>
    <definedName name="KLKKLKÇJÇ" localSheetId="1" hidden="1">{#N/A,#N/A,FALSE,"Plan1";#N/A,#N/A,FALSE,"Plan2"}</definedName>
    <definedName name="KLKKLKÇJÇ" localSheetId="0">{#N/A,#N/A,FALSE,"Plan1";#N/A,#N/A,FALSE,"Plan2"}</definedName>
    <definedName name="KLKKLKÇJÇ" localSheetId="11" hidden="1">{#N/A,#N/A,FALSE,"Plan1";#N/A,#N/A,FALSE,"Plan2"}</definedName>
    <definedName name="KLKKLKÇJÇ" localSheetId="12" hidden="1">{#N/A,#N/A,FALSE,"Plan1";#N/A,#N/A,FALSE,"Plan2"}</definedName>
    <definedName name="KLKKLKÇJÇ" hidden="1">{#N/A,#N/A,FALSE,"Plan1";#N/A,#N/A,FALSE,"Plan2"}</definedName>
    <definedName name="KLSDFT" localSheetId="3" hidden="1">{#N/A,#N/A,FALSE,"Plan1";#N/A,#N/A,FALSE,"Plan2"}</definedName>
    <definedName name="KLSDFT" localSheetId="8">{#N/A,#N/A,FALSE,"Plan1";#N/A,#N/A,FALSE,"Plan2"}</definedName>
    <definedName name="KLSDFT" localSheetId="5" hidden="1">{#N/A,#N/A,FALSE,"Plan1";#N/A,#N/A,FALSE,"Plan2"}</definedName>
    <definedName name="KLSDFT" localSheetId="4" hidden="1">{#N/A,#N/A,FALSE,"Plan1";#N/A,#N/A,FALSE,"Plan2"}</definedName>
    <definedName name="KLSDFT" localSheetId="9">{#N/A,#N/A,FALSE,"Plan1";#N/A,#N/A,FALSE,"Plan2"}</definedName>
    <definedName name="KLSDFT" localSheetId="10" hidden="1">{#N/A,#N/A,FALSE,"Plan1";#N/A,#N/A,FALSE,"Plan2"}</definedName>
    <definedName name="KLSDFT" localSheetId="1" hidden="1">{#N/A,#N/A,FALSE,"Plan1";#N/A,#N/A,FALSE,"Plan2"}</definedName>
    <definedName name="KLSDFT" localSheetId="0">{#N/A,#N/A,FALSE,"Plan1";#N/A,#N/A,FALSE,"Plan2"}</definedName>
    <definedName name="KLSDFT" localSheetId="11" hidden="1">{#N/A,#N/A,FALSE,"Plan1";#N/A,#N/A,FALSE,"Plan2"}</definedName>
    <definedName name="KLSDFT" localSheetId="12" hidden="1">{#N/A,#N/A,FALSE,"Plan1";#N/A,#N/A,FALSE,"Plan2"}</definedName>
    <definedName name="KLSDFT" hidden="1">{#N/A,#N/A,FALSE,"Plan1";#N/A,#N/A,FALSE,"Plan2"}</definedName>
    <definedName name="KLSDHSJKHF" localSheetId="3" hidden="1">{#N/A,#N/A,FALSE,"Plan1";#N/A,#N/A,FALSE,"Plan2"}</definedName>
    <definedName name="KLSDHSJKHF" localSheetId="8">{#N/A,#N/A,FALSE,"Plan1";#N/A,#N/A,FALSE,"Plan2"}</definedName>
    <definedName name="KLSDHSJKHF" localSheetId="5" hidden="1">{#N/A,#N/A,FALSE,"Plan1";#N/A,#N/A,FALSE,"Plan2"}</definedName>
    <definedName name="KLSDHSJKHF" localSheetId="4" hidden="1">{#N/A,#N/A,FALSE,"Plan1";#N/A,#N/A,FALSE,"Plan2"}</definedName>
    <definedName name="KLSDHSJKHF" localSheetId="9">{#N/A,#N/A,FALSE,"Plan1";#N/A,#N/A,FALSE,"Plan2"}</definedName>
    <definedName name="KLSDHSJKHF" localSheetId="10" hidden="1">{#N/A,#N/A,FALSE,"Plan1";#N/A,#N/A,FALSE,"Plan2"}</definedName>
    <definedName name="KLSDHSJKHF" localSheetId="1" hidden="1">{#N/A,#N/A,FALSE,"Plan1";#N/A,#N/A,FALSE,"Plan2"}</definedName>
    <definedName name="KLSDHSJKHF" localSheetId="0">{#N/A,#N/A,FALSE,"Plan1";#N/A,#N/A,FALSE,"Plan2"}</definedName>
    <definedName name="KLSDHSJKHF" localSheetId="11" hidden="1">{#N/A,#N/A,FALSE,"Plan1";#N/A,#N/A,FALSE,"Plan2"}</definedName>
    <definedName name="KLSDHSJKHF" localSheetId="12" hidden="1">{#N/A,#N/A,FALSE,"Plan1";#N/A,#N/A,FALSE,"Plan2"}</definedName>
    <definedName name="KLSDHSJKHF" hidden="1">{#N/A,#N/A,FALSE,"Plan1";#N/A,#N/A,FALSE,"Plan2"}</definedName>
    <definedName name="klsdkre" localSheetId="3" hidden="1">{#N/A,#N/A,FALSE,"Plan1";#N/A,#N/A,FALSE,"Plan2"}</definedName>
    <definedName name="klsdkre" localSheetId="8">{#N/A,#N/A,FALSE,"Plan1";#N/A,#N/A,FALSE,"Plan2"}</definedName>
    <definedName name="klsdkre" localSheetId="5" hidden="1">{#N/A,#N/A,FALSE,"Plan1";#N/A,#N/A,FALSE,"Plan2"}</definedName>
    <definedName name="klsdkre" localSheetId="4" hidden="1">{#N/A,#N/A,FALSE,"Plan1";#N/A,#N/A,FALSE,"Plan2"}</definedName>
    <definedName name="klsdkre" localSheetId="9">{#N/A,#N/A,FALSE,"Plan1";#N/A,#N/A,FALSE,"Plan2"}</definedName>
    <definedName name="klsdkre" localSheetId="10" hidden="1">{#N/A,#N/A,FALSE,"Plan1";#N/A,#N/A,FALSE,"Plan2"}</definedName>
    <definedName name="klsdkre" localSheetId="1" hidden="1">{#N/A,#N/A,FALSE,"Plan1";#N/A,#N/A,FALSE,"Plan2"}</definedName>
    <definedName name="klsdkre" localSheetId="0">{#N/A,#N/A,FALSE,"Plan1";#N/A,#N/A,FALSE,"Plan2"}</definedName>
    <definedName name="klsdkre" localSheetId="11" hidden="1">{#N/A,#N/A,FALSE,"Plan1";#N/A,#N/A,FALSE,"Plan2"}</definedName>
    <definedName name="klsdkre" localSheetId="12" hidden="1">{#N/A,#N/A,FALSE,"Plan1";#N/A,#N/A,FALSE,"Plan2"}</definedName>
    <definedName name="klsdkre" hidden="1">{#N/A,#N/A,FALSE,"Plan1";#N/A,#N/A,FALSE,"Plan2"}</definedName>
    <definedName name="KLSIDJE" localSheetId="3" hidden="1">{#N/A,#N/A,FALSE,"Plan1";#N/A,#N/A,FALSE,"Plan2"}</definedName>
    <definedName name="KLSIDJE" localSheetId="8">{#N/A,#N/A,FALSE,"Plan1";#N/A,#N/A,FALSE,"Plan2"}</definedName>
    <definedName name="KLSIDJE" localSheetId="5" hidden="1">{#N/A,#N/A,FALSE,"Plan1";#N/A,#N/A,FALSE,"Plan2"}</definedName>
    <definedName name="KLSIDJE" localSheetId="4" hidden="1">{#N/A,#N/A,FALSE,"Plan1";#N/A,#N/A,FALSE,"Plan2"}</definedName>
    <definedName name="KLSIDJE" localSheetId="9">{#N/A,#N/A,FALSE,"Plan1";#N/A,#N/A,FALSE,"Plan2"}</definedName>
    <definedName name="KLSIDJE" localSheetId="10" hidden="1">{#N/A,#N/A,FALSE,"Plan1";#N/A,#N/A,FALSE,"Plan2"}</definedName>
    <definedName name="KLSIDJE" localSheetId="1" hidden="1">{#N/A,#N/A,FALSE,"Plan1";#N/A,#N/A,FALSE,"Plan2"}</definedName>
    <definedName name="KLSIDJE" localSheetId="0">{#N/A,#N/A,FALSE,"Plan1";#N/A,#N/A,FALSE,"Plan2"}</definedName>
    <definedName name="KLSIDJE" localSheetId="11" hidden="1">{#N/A,#N/A,FALSE,"Plan1";#N/A,#N/A,FALSE,"Plan2"}</definedName>
    <definedName name="KLSIDJE" localSheetId="12" hidden="1">{#N/A,#N/A,FALSE,"Plan1";#N/A,#N/A,FALSE,"Plan2"}</definedName>
    <definedName name="KLSIDJE" hidden="1">{#N/A,#N/A,FALSE,"Plan1";#N/A,#N/A,FALSE,"Plan2"}</definedName>
    <definedName name="klsjarsf" localSheetId="3" hidden="1">{#N/A,#N/A,FALSE,"Plan1";#N/A,#N/A,FALSE,"Plan2"}</definedName>
    <definedName name="klsjarsf" localSheetId="8">{#N/A,#N/A,FALSE,"Plan1";#N/A,#N/A,FALSE,"Plan2"}</definedName>
    <definedName name="klsjarsf" localSheetId="5" hidden="1">{#N/A,#N/A,FALSE,"Plan1";#N/A,#N/A,FALSE,"Plan2"}</definedName>
    <definedName name="klsjarsf" localSheetId="4" hidden="1">{#N/A,#N/A,FALSE,"Plan1";#N/A,#N/A,FALSE,"Plan2"}</definedName>
    <definedName name="klsjarsf" localSheetId="9">{#N/A,#N/A,FALSE,"Plan1";#N/A,#N/A,FALSE,"Plan2"}</definedName>
    <definedName name="klsjarsf" localSheetId="10" hidden="1">{#N/A,#N/A,FALSE,"Plan1";#N/A,#N/A,FALSE,"Plan2"}</definedName>
    <definedName name="klsjarsf" localSheetId="1" hidden="1">{#N/A,#N/A,FALSE,"Plan1";#N/A,#N/A,FALSE,"Plan2"}</definedName>
    <definedName name="klsjarsf" localSheetId="0">{#N/A,#N/A,FALSE,"Plan1";#N/A,#N/A,FALSE,"Plan2"}</definedName>
    <definedName name="klsjarsf" localSheetId="11" hidden="1">{#N/A,#N/A,FALSE,"Plan1";#N/A,#N/A,FALSE,"Plan2"}</definedName>
    <definedName name="klsjarsf" localSheetId="12" hidden="1">{#N/A,#N/A,FALSE,"Plan1";#N/A,#N/A,FALSE,"Plan2"}</definedName>
    <definedName name="klsjarsf" hidden="1">{#N/A,#N/A,FALSE,"Plan1";#N/A,#N/A,FALSE,"Plan2"}</definedName>
    <definedName name="klsjdwe" localSheetId="8">#REF!</definedName>
    <definedName name="klsjdwe" localSheetId="5" hidden="1">#REF!</definedName>
    <definedName name="klsjdwe" localSheetId="9">#REF!</definedName>
    <definedName name="klsjdwe" localSheetId="10" hidden="1">#REF!</definedName>
    <definedName name="klsjdwe" localSheetId="1" hidden="1">#REF!</definedName>
    <definedName name="klsjdwe" localSheetId="0">#REF!</definedName>
    <definedName name="klsjdwe" localSheetId="11" hidden="1">#REF!</definedName>
    <definedName name="klsjdwe" localSheetId="12" hidden="1">#REF!</definedName>
    <definedName name="klsjdwe" hidden="1">#REF!</definedName>
    <definedName name="klxhjfdkhser" localSheetId="3" hidden="1">{#N/A,#N/A,FALSE,"Plan1";#N/A,#N/A,FALSE,"Plan2"}</definedName>
    <definedName name="klxhjfdkhser" localSheetId="8">{#N/A,#N/A,FALSE,"Plan1";#N/A,#N/A,FALSE,"Plan2"}</definedName>
    <definedName name="klxhjfdkhser" localSheetId="5" hidden="1">{#N/A,#N/A,FALSE,"Plan1";#N/A,#N/A,FALSE,"Plan2"}</definedName>
    <definedName name="klxhjfdkhser" localSheetId="4" hidden="1">{#N/A,#N/A,FALSE,"Plan1";#N/A,#N/A,FALSE,"Plan2"}</definedName>
    <definedName name="klxhjfdkhser" localSheetId="9">{#N/A,#N/A,FALSE,"Plan1";#N/A,#N/A,FALSE,"Plan2"}</definedName>
    <definedName name="klxhjfdkhser" localSheetId="10" hidden="1">{#N/A,#N/A,FALSE,"Plan1";#N/A,#N/A,FALSE,"Plan2"}</definedName>
    <definedName name="klxhjfdkhser" localSheetId="1" hidden="1">{#N/A,#N/A,FALSE,"Plan1";#N/A,#N/A,FALSE,"Plan2"}</definedName>
    <definedName name="klxhjfdkhser" localSheetId="0">{#N/A,#N/A,FALSE,"Plan1";#N/A,#N/A,FALSE,"Plan2"}</definedName>
    <definedName name="klxhjfdkhser" localSheetId="11" hidden="1">{#N/A,#N/A,FALSE,"Plan1";#N/A,#N/A,FALSE,"Plan2"}</definedName>
    <definedName name="klxhjfdkhser" localSheetId="12" hidden="1">{#N/A,#N/A,FALSE,"Plan1";#N/A,#N/A,FALSE,"Plan2"}</definedName>
    <definedName name="klxhjfdkhser" hidden="1">{#N/A,#N/A,FALSE,"Plan1";#N/A,#N/A,FALSE,"Plan2"}</definedName>
    <definedName name="kopipnsdfne" localSheetId="3" hidden="1">{#N/A,#N/A,FALSE,"Plan1";#N/A,#N/A,FALSE,"Plan2"}</definedName>
    <definedName name="kopipnsdfne" localSheetId="8">{#N/A,#N/A,FALSE,"Plan1";#N/A,#N/A,FALSE,"Plan2"}</definedName>
    <definedName name="kopipnsdfne" localSheetId="5" hidden="1">{#N/A,#N/A,FALSE,"Plan1";#N/A,#N/A,FALSE,"Plan2"}</definedName>
    <definedName name="kopipnsdfne" localSheetId="4" hidden="1">{#N/A,#N/A,FALSE,"Plan1";#N/A,#N/A,FALSE,"Plan2"}</definedName>
    <definedName name="kopipnsdfne" localSheetId="9">{#N/A,#N/A,FALSE,"Plan1";#N/A,#N/A,FALSE,"Plan2"}</definedName>
    <definedName name="kopipnsdfne" localSheetId="10" hidden="1">{#N/A,#N/A,FALSE,"Plan1";#N/A,#N/A,FALSE,"Plan2"}</definedName>
    <definedName name="kopipnsdfne" localSheetId="1" hidden="1">{#N/A,#N/A,FALSE,"Plan1";#N/A,#N/A,FALSE,"Plan2"}</definedName>
    <definedName name="kopipnsdfne" localSheetId="0">{#N/A,#N/A,FALSE,"Plan1";#N/A,#N/A,FALSE,"Plan2"}</definedName>
    <definedName name="kopipnsdfne" localSheetId="11" hidden="1">{#N/A,#N/A,FALSE,"Plan1";#N/A,#N/A,FALSE,"Plan2"}</definedName>
    <definedName name="kopipnsdfne" localSheetId="12" hidden="1">{#N/A,#N/A,FALSE,"Plan1";#N/A,#N/A,FALSE,"Plan2"}</definedName>
    <definedName name="kopipnsdfne" hidden="1">{#N/A,#N/A,FALSE,"Plan1";#N/A,#N/A,FALSE,"Plan2"}</definedName>
    <definedName name="kp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p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ÇKSÇ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KSDLDF" localSheetId="3" hidden="1">{#N/A,#N/A,FALSE,"Plan1";#N/A,#N/A,FALSE,"Plan2"}</definedName>
    <definedName name="KSDLDF" localSheetId="8">{#N/A,#N/A,FALSE,"Plan1";#N/A,#N/A,FALSE,"Plan2"}</definedName>
    <definedName name="KSDLDF" localSheetId="5" hidden="1">{#N/A,#N/A,FALSE,"Plan1";#N/A,#N/A,FALSE,"Plan2"}</definedName>
    <definedName name="KSDLDF" localSheetId="4" hidden="1">{#N/A,#N/A,FALSE,"Plan1";#N/A,#N/A,FALSE,"Plan2"}</definedName>
    <definedName name="KSDLDF" localSheetId="9">{#N/A,#N/A,FALSE,"Plan1";#N/A,#N/A,FALSE,"Plan2"}</definedName>
    <definedName name="KSDLDF" localSheetId="10" hidden="1">{#N/A,#N/A,FALSE,"Plan1";#N/A,#N/A,FALSE,"Plan2"}</definedName>
    <definedName name="KSDLDF" localSheetId="1" hidden="1">{#N/A,#N/A,FALSE,"Plan1";#N/A,#N/A,FALSE,"Plan2"}</definedName>
    <definedName name="KSDLDF" localSheetId="0">{#N/A,#N/A,FALSE,"Plan1";#N/A,#N/A,FALSE,"Plan2"}</definedName>
    <definedName name="KSDLDF" localSheetId="11" hidden="1">{#N/A,#N/A,FALSE,"Plan1";#N/A,#N/A,FALSE,"Plan2"}</definedName>
    <definedName name="KSDLDF" localSheetId="12" hidden="1">{#N/A,#N/A,FALSE,"Plan1";#N/A,#N/A,FALSE,"Plan2"}</definedName>
    <definedName name="KSDLDF" hidden="1">{#N/A,#N/A,FALSE,"Plan1";#N/A,#N/A,FALSE,"Plan2"}</definedName>
    <definedName name="ksdlkfsçzd" localSheetId="3" hidden="1">{#N/A,#N/A,FALSE,"Plan1";#N/A,#N/A,FALSE,"Plan2"}</definedName>
    <definedName name="ksdlkfsçzd" localSheetId="8">{#N/A,#N/A,FALSE,"Plan1";#N/A,#N/A,FALSE,"Plan2"}</definedName>
    <definedName name="ksdlkfsçzd" localSheetId="5" hidden="1">{#N/A,#N/A,FALSE,"Plan1";#N/A,#N/A,FALSE,"Plan2"}</definedName>
    <definedName name="ksdlkfsçzd" localSheetId="4" hidden="1">{#N/A,#N/A,FALSE,"Plan1";#N/A,#N/A,FALSE,"Plan2"}</definedName>
    <definedName name="ksdlkfsçzd" localSheetId="9">{#N/A,#N/A,FALSE,"Plan1";#N/A,#N/A,FALSE,"Plan2"}</definedName>
    <definedName name="ksdlkfsçzd" localSheetId="10" hidden="1">{#N/A,#N/A,FALSE,"Plan1";#N/A,#N/A,FALSE,"Plan2"}</definedName>
    <definedName name="ksdlkfsçzd" localSheetId="1" hidden="1">{#N/A,#N/A,FALSE,"Plan1";#N/A,#N/A,FALSE,"Plan2"}</definedName>
    <definedName name="ksdlkfsçzd" localSheetId="0">{#N/A,#N/A,FALSE,"Plan1";#N/A,#N/A,FALSE,"Plan2"}</definedName>
    <definedName name="ksdlkfsçzd" localSheetId="11" hidden="1">{#N/A,#N/A,FALSE,"Plan1";#N/A,#N/A,FALSE,"Plan2"}</definedName>
    <definedName name="ksdlkfsçzd" localSheetId="12" hidden="1">{#N/A,#N/A,FALSE,"Plan1";#N/A,#N/A,FALSE,"Plan2"}</definedName>
    <definedName name="ksdlkfsçzd" hidden="1">{#N/A,#N/A,FALSE,"Plan1";#N/A,#N/A,FALSE,"Plan2"}</definedName>
    <definedName name="KSDNFK" localSheetId="8">#REF!</definedName>
    <definedName name="KSDNFK" localSheetId="5">#REF!</definedName>
    <definedName name="KSDNFK" localSheetId="9">#REF!</definedName>
    <definedName name="KSDNFK" localSheetId="10">#REF!</definedName>
    <definedName name="KSDNFK" localSheetId="0">#REF!</definedName>
    <definedName name="KSDNFK" localSheetId="11">#REF!</definedName>
    <definedName name="KSDNFK" localSheetId="12">#REF!</definedName>
    <definedName name="KSDNFK">#REF!</definedName>
    <definedName name="ksdoçierfe" localSheetId="3" hidden="1">{#N/A,#N/A,FALSE,"Plan1";#N/A,#N/A,FALSE,"Plan2"}</definedName>
    <definedName name="ksdoçierfe" localSheetId="8">{#N/A,#N/A,FALSE,"Plan1";#N/A,#N/A,FALSE,"Plan2"}</definedName>
    <definedName name="ksdoçierfe" localSheetId="5" hidden="1">{#N/A,#N/A,FALSE,"Plan1";#N/A,#N/A,FALSE,"Plan2"}</definedName>
    <definedName name="ksdoçierfe" localSheetId="4" hidden="1">{#N/A,#N/A,FALSE,"Plan1";#N/A,#N/A,FALSE,"Plan2"}</definedName>
    <definedName name="ksdoçierfe" localSheetId="9">{#N/A,#N/A,FALSE,"Plan1";#N/A,#N/A,FALSE,"Plan2"}</definedName>
    <definedName name="ksdoçierfe" localSheetId="10" hidden="1">{#N/A,#N/A,FALSE,"Plan1";#N/A,#N/A,FALSE,"Plan2"}</definedName>
    <definedName name="ksdoçierfe" localSheetId="1" hidden="1">{#N/A,#N/A,FALSE,"Plan1";#N/A,#N/A,FALSE,"Plan2"}</definedName>
    <definedName name="ksdoçierfe" localSheetId="0">{#N/A,#N/A,FALSE,"Plan1";#N/A,#N/A,FALSE,"Plan2"}</definedName>
    <definedName name="ksdoçierfe" localSheetId="11" hidden="1">{#N/A,#N/A,FALSE,"Plan1";#N/A,#N/A,FALSE,"Plan2"}</definedName>
    <definedName name="ksdoçierfe" localSheetId="12" hidden="1">{#N/A,#N/A,FALSE,"Plan1";#N/A,#N/A,FALSE,"Plan2"}</definedName>
    <definedName name="ksdoçierfe" hidden="1">{#N/A,#N/A,FALSE,"Plan1";#N/A,#N/A,FALSE,"Plan2"}</definedName>
    <definedName name="ksdtrdrkf" localSheetId="3" hidden="1">{#N/A,#N/A,FALSE,"Plan1";#N/A,#N/A,FALSE,"Plan2"}</definedName>
    <definedName name="ksdtrdrkf" localSheetId="8">{#N/A,#N/A,FALSE,"Plan1";#N/A,#N/A,FALSE,"Plan2"}</definedName>
    <definedName name="ksdtrdrkf" localSheetId="5" hidden="1">{#N/A,#N/A,FALSE,"Plan1";#N/A,#N/A,FALSE,"Plan2"}</definedName>
    <definedName name="ksdtrdrkf" localSheetId="4" hidden="1">{#N/A,#N/A,FALSE,"Plan1";#N/A,#N/A,FALSE,"Plan2"}</definedName>
    <definedName name="ksdtrdrkf" localSheetId="9">{#N/A,#N/A,FALSE,"Plan1";#N/A,#N/A,FALSE,"Plan2"}</definedName>
    <definedName name="ksdtrdrkf" localSheetId="10" hidden="1">{#N/A,#N/A,FALSE,"Plan1";#N/A,#N/A,FALSE,"Plan2"}</definedName>
    <definedName name="ksdtrdrkf" localSheetId="1" hidden="1">{#N/A,#N/A,FALSE,"Plan1";#N/A,#N/A,FALSE,"Plan2"}</definedName>
    <definedName name="ksdtrdrkf" localSheetId="0">{#N/A,#N/A,FALSE,"Plan1";#N/A,#N/A,FALSE,"Plan2"}</definedName>
    <definedName name="ksdtrdrkf" localSheetId="11" hidden="1">{#N/A,#N/A,FALSE,"Plan1";#N/A,#N/A,FALSE,"Plan2"}</definedName>
    <definedName name="ksdtrdrkf" localSheetId="12" hidden="1">{#N/A,#N/A,FALSE,"Plan1";#N/A,#N/A,FALSE,"Plan2"}</definedName>
    <definedName name="ksdtrdrkf" hidden="1">{#N/A,#N/A,FALSE,"Plan1";#N/A,#N/A,FALSE,"Plan2"}</definedName>
    <definedName name="KSFÇJDFJL" localSheetId="3" hidden="1">{#N/A,#N/A,FALSE,"Plan1";#N/A,#N/A,FALSE,"Plan2"}</definedName>
    <definedName name="KSFÇJDFJL" localSheetId="8">{#N/A,#N/A,FALSE,"Plan1";#N/A,#N/A,FALSE,"Plan2"}</definedName>
    <definedName name="KSFÇJDFJL" localSheetId="5" hidden="1">{#N/A,#N/A,FALSE,"Plan1";#N/A,#N/A,FALSE,"Plan2"}</definedName>
    <definedName name="KSFÇJDFJL" localSheetId="4" hidden="1">{#N/A,#N/A,FALSE,"Plan1";#N/A,#N/A,FALSE,"Plan2"}</definedName>
    <definedName name="KSFÇJDFJL" localSheetId="9">{#N/A,#N/A,FALSE,"Plan1";#N/A,#N/A,FALSE,"Plan2"}</definedName>
    <definedName name="KSFÇJDFJL" localSheetId="10" hidden="1">{#N/A,#N/A,FALSE,"Plan1";#N/A,#N/A,FALSE,"Plan2"}</definedName>
    <definedName name="KSFÇJDFJL" localSheetId="1" hidden="1">{#N/A,#N/A,FALSE,"Plan1";#N/A,#N/A,FALSE,"Plan2"}</definedName>
    <definedName name="KSFÇJDFJL" localSheetId="0">{#N/A,#N/A,FALSE,"Plan1";#N/A,#N/A,FALSE,"Plan2"}</definedName>
    <definedName name="KSFÇJDFJL" localSheetId="11" hidden="1">{#N/A,#N/A,FALSE,"Plan1";#N/A,#N/A,FALSE,"Plan2"}</definedName>
    <definedName name="KSFÇJDFJL" localSheetId="12" hidden="1">{#N/A,#N/A,FALSE,"Plan1";#N/A,#N/A,FALSE,"Plan2"}</definedName>
    <definedName name="KSFÇJDFJL" hidden="1">{#N/A,#N/A,FALSE,"Plan1";#N/A,#N/A,FALSE,"Plan2"}</definedName>
    <definedName name="ksfhse" localSheetId="3" hidden="1">{#N/A,#N/A,FALSE,"Plan1";#N/A,#N/A,FALSE,"Plan2"}</definedName>
    <definedName name="ksfhse" localSheetId="8">{#N/A,#N/A,FALSE,"Plan1";#N/A,#N/A,FALSE,"Plan2"}</definedName>
    <definedName name="ksfhse" localSheetId="5" hidden="1">{#N/A,#N/A,FALSE,"Plan1";#N/A,#N/A,FALSE,"Plan2"}</definedName>
    <definedName name="ksfhse" localSheetId="4" hidden="1">{#N/A,#N/A,FALSE,"Plan1";#N/A,#N/A,FALSE,"Plan2"}</definedName>
    <definedName name="ksfhse" localSheetId="9">{#N/A,#N/A,FALSE,"Plan1";#N/A,#N/A,FALSE,"Plan2"}</definedName>
    <definedName name="ksfhse" localSheetId="10" hidden="1">{#N/A,#N/A,FALSE,"Plan1";#N/A,#N/A,FALSE,"Plan2"}</definedName>
    <definedName name="ksfhse" localSheetId="1" hidden="1">{#N/A,#N/A,FALSE,"Plan1";#N/A,#N/A,FALSE,"Plan2"}</definedName>
    <definedName name="ksfhse" localSheetId="0">{#N/A,#N/A,FALSE,"Plan1";#N/A,#N/A,FALSE,"Plan2"}</definedName>
    <definedName name="ksfhse" localSheetId="11" hidden="1">{#N/A,#N/A,FALSE,"Plan1";#N/A,#N/A,FALSE,"Plan2"}</definedName>
    <definedName name="ksfhse" localSheetId="12" hidden="1">{#N/A,#N/A,FALSE,"Plan1";#N/A,#N/A,FALSE,"Plan2"}</definedName>
    <definedName name="ksfhse" hidden="1">{#N/A,#N/A,FALSE,"Plan1";#N/A,#N/A,FALSE,"Plan2"}</definedName>
    <definedName name="KSRKOE" localSheetId="3" hidden="1">{#N/A,#N/A,FALSE,"Plan1";#N/A,#N/A,FALSE,"Plan2"}</definedName>
    <definedName name="KSRKOE" localSheetId="8">{#N/A,#N/A,FALSE,"Plan1";#N/A,#N/A,FALSE,"Plan2"}</definedName>
    <definedName name="KSRKOE" localSheetId="5" hidden="1">{#N/A,#N/A,FALSE,"Plan1";#N/A,#N/A,FALSE,"Plan2"}</definedName>
    <definedName name="KSRKOE" localSheetId="4" hidden="1">{#N/A,#N/A,FALSE,"Plan1";#N/A,#N/A,FALSE,"Plan2"}</definedName>
    <definedName name="KSRKOE" localSheetId="9">{#N/A,#N/A,FALSE,"Plan1";#N/A,#N/A,FALSE,"Plan2"}</definedName>
    <definedName name="KSRKOE" localSheetId="10" hidden="1">{#N/A,#N/A,FALSE,"Plan1";#N/A,#N/A,FALSE,"Plan2"}</definedName>
    <definedName name="KSRKOE" localSheetId="1" hidden="1">{#N/A,#N/A,FALSE,"Plan1";#N/A,#N/A,FALSE,"Plan2"}</definedName>
    <definedName name="KSRKOE" localSheetId="0">{#N/A,#N/A,FALSE,"Plan1";#N/A,#N/A,FALSE,"Plan2"}</definedName>
    <definedName name="KSRKOE" localSheetId="11" hidden="1">{#N/A,#N/A,FALSE,"Plan1";#N/A,#N/A,FALSE,"Plan2"}</definedName>
    <definedName name="KSRKOE" localSheetId="12" hidden="1">{#N/A,#N/A,FALSE,"Plan1";#N/A,#N/A,FALSE,"Plan2"}</definedName>
    <definedName name="KSRKOE" hidden="1">{#N/A,#N/A,FALSE,"Plan1";#N/A,#N/A,FALSE,"Plan2"}</definedName>
    <definedName name="KSWKE" localSheetId="3" hidden="1">{#N/A,#N/A,FALSE,"Plan1";#N/A,#N/A,FALSE,"Plan2"}</definedName>
    <definedName name="KSWKE" localSheetId="8">{#N/A,#N/A,FALSE,"Plan1";#N/A,#N/A,FALSE,"Plan2"}</definedName>
    <definedName name="KSWKE" localSheetId="5" hidden="1">{#N/A,#N/A,FALSE,"Plan1";#N/A,#N/A,FALSE,"Plan2"}</definedName>
    <definedName name="KSWKE" localSheetId="4" hidden="1">{#N/A,#N/A,FALSE,"Plan1";#N/A,#N/A,FALSE,"Plan2"}</definedName>
    <definedName name="KSWKE" localSheetId="9">{#N/A,#N/A,FALSE,"Plan1";#N/A,#N/A,FALSE,"Plan2"}</definedName>
    <definedName name="KSWKE" localSheetId="10" hidden="1">{#N/A,#N/A,FALSE,"Plan1";#N/A,#N/A,FALSE,"Plan2"}</definedName>
    <definedName name="KSWKE" localSheetId="1" hidden="1">{#N/A,#N/A,FALSE,"Plan1";#N/A,#N/A,FALSE,"Plan2"}</definedName>
    <definedName name="KSWKE" localSheetId="0">{#N/A,#N/A,FALSE,"Plan1";#N/A,#N/A,FALSE,"Plan2"}</definedName>
    <definedName name="KSWKE" localSheetId="11" hidden="1">{#N/A,#N/A,FALSE,"Plan1";#N/A,#N/A,FALSE,"Plan2"}</definedName>
    <definedName name="KSWKE" localSheetId="12" hidden="1">{#N/A,#N/A,FALSE,"Plan1";#N/A,#N/A,FALSE,"Plan2"}</definedName>
    <definedName name="KSWKE" hidden="1">{#N/A,#N/A,FALSE,"Plan1";#N/A,#N/A,FALSE,"Plan2"}</definedName>
    <definedName name="kubus" localSheetId="8">#REF!</definedName>
    <definedName name="kubus" localSheetId="5">#REF!</definedName>
    <definedName name="kubus" localSheetId="9">#REF!</definedName>
    <definedName name="kubus" localSheetId="10">#REF!</definedName>
    <definedName name="kubus" localSheetId="0">#REF!</definedName>
    <definedName name="kubus" localSheetId="11">#REF!</definedName>
    <definedName name="kubus" localSheetId="12">#REF!</definedName>
    <definedName name="kubus">#REF!</definedName>
    <definedName name="kubus1" localSheetId="8">#REF!</definedName>
    <definedName name="kubus1" localSheetId="5">#REF!</definedName>
    <definedName name="kubus1" localSheetId="9">#REF!</definedName>
    <definedName name="kubus1" localSheetId="10">#REF!</definedName>
    <definedName name="kubus1" localSheetId="0">#REF!</definedName>
    <definedName name="kubus1" localSheetId="11">#REF!</definedName>
    <definedName name="kubus1" localSheetId="12">#REF!</definedName>
    <definedName name="kubus1">#REF!</definedName>
    <definedName name="kysdusf" localSheetId="3" hidden="1">{#N/A,#N/A,FALSE,"Plan1";#N/A,#N/A,FALSE,"Plan2"}</definedName>
    <definedName name="kysdusf" localSheetId="8">{#N/A,#N/A,FALSE,"Plan1";#N/A,#N/A,FALSE,"Plan2"}</definedName>
    <definedName name="kysdusf" localSheetId="5" hidden="1">{#N/A,#N/A,FALSE,"Plan1";#N/A,#N/A,FALSE,"Plan2"}</definedName>
    <definedName name="kysdusf" localSheetId="4" hidden="1">{#N/A,#N/A,FALSE,"Plan1";#N/A,#N/A,FALSE,"Plan2"}</definedName>
    <definedName name="kysdusf" localSheetId="9">{#N/A,#N/A,FALSE,"Plan1";#N/A,#N/A,FALSE,"Plan2"}</definedName>
    <definedName name="kysdusf" localSheetId="10" hidden="1">{#N/A,#N/A,FALSE,"Plan1";#N/A,#N/A,FALSE,"Plan2"}</definedName>
    <definedName name="kysdusf" localSheetId="1" hidden="1">{#N/A,#N/A,FALSE,"Plan1";#N/A,#N/A,FALSE,"Plan2"}</definedName>
    <definedName name="kysdusf" localSheetId="0">{#N/A,#N/A,FALSE,"Plan1";#N/A,#N/A,FALSE,"Plan2"}</definedName>
    <definedName name="kysdusf" localSheetId="11" hidden="1">{#N/A,#N/A,FALSE,"Plan1";#N/A,#N/A,FALSE,"Plan2"}</definedName>
    <definedName name="kysdusf" localSheetId="12" hidden="1">{#N/A,#N/A,FALSE,"Plan1";#N/A,#N/A,FALSE,"Plan2"}</definedName>
    <definedName name="kysdusf" hidden="1">{#N/A,#N/A,FALSE,"Plan1";#N/A,#N/A,FALSE,"Plan2"}</definedName>
    <definedName name="kzslçdkçle" localSheetId="3" hidden="1">{#N/A,#N/A,FALSE,"Plan1";#N/A,#N/A,FALSE,"Plan2"}</definedName>
    <definedName name="kzslçdkçle" localSheetId="8">{#N/A,#N/A,FALSE,"Plan1";#N/A,#N/A,FALSE,"Plan2"}</definedName>
    <definedName name="kzslçdkçle" localSheetId="5" hidden="1">{#N/A,#N/A,FALSE,"Plan1";#N/A,#N/A,FALSE,"Plan2"}</definedName>
    <definedName name="kzslçdkçle" localSheetId="4" hidden="1">{#N/A,#N/A,FALSE,"Plan1";#N/A,#N/A,FALSE,"Plan2"}</definedName>
    <definedName name="kzslçdkçle" localSheetId="9">{#N/A,#N/A,FALSE,"Plan1";#N/A,#N/A,FALSE,"Plan2"}</definedName>
    <definedName name="kzslçdkçle" localSheetId="10" hidden="1">{#N/A,#N/A,FALSE,"Plan1";#N/A,#N/A,FALSE,"Plan2"}</definedName>
    <definedName name="kzslçdkçle" localSheetId="1" hidden="1">{#N/A,#N/A,FALSE,"Plan1";#N/A,#N/A,FALSE,"Plan2"}</definedName>
    <definedName name="kzslçdkçle" localSheetId="0">{#N/A,#N/A,FALSE,"Plan1";#N/A,#N/A,FALSE,"Plan2"}</definedName>
    <definedName name="kzslçdkçle" localSheetId="11" hidden="1">{#N/A,#N/A,FALSE,"Plan1";#N/A,#N/A,FALSE,"Plan2"}</definedName>
    <definedName name="kzslçdkçle" localSheetId="12" hidden="1">{#N/A,#N/A,FALSE,"Plan1";#N/A,#N/A,FALSE,"Plan2"}</definedName>
    <definedName name="kzslçdkçle" hidden="1">{#N/A,#N/A,FALSE,"Plan1";#N/A,#N/A,FALSE,"Plan2"}</definedName>
    <definedName name="L_" localSheetId="8">#REF!</definedName>
    <definedName name="L_" localSheetId="5">#REF!</definedName>
    <definedName name="L_" localSheetId="9">#REF!</definedName>
    <definedName name="L_" localSheetId="10">#REF!</definedName>
    <definedName name="L_" localSheetId="0">#REF!</definedName>
    <definedName name="L_" localSheetId="11">#REF!</definedName>
    <definedName name="L_" localSheetId="12">#REF!</definedName>
    <definedName name="L_">#REF!</definedName>
    <definedName name="LAEKWRK" localSheetId="3" hidden="1">{#N/A,#N/A,FALSE,"Plan1";#N/A,#N/A,FALSE,"Plan2"}</definedName>
    <definedName name="LAEKWRK" localSheetId="8">{#N/A,#N/A,FALSE,"Plan1";#N/A,#N/A,FALSE,"Plan2"}</definedName>
    <definedName name="LAEKWRK" localSheetId="5" hidden="1">{#N/A,#N/A,FALSE,"Plan1";#N/A,#N/A,FALSE,"Plan2"}</definedName>
    <definedName name="LAEKWRK" localSheetId="4" hidden="1">{#N/A,#N/A,FALSE,"Plan1";#N/A,#N/A,FALSE,"Plan2"}</definedName>
    <definedName name="LAEKWRK" localSheetId="9">{#N/A,#N/A,FALSE,"Plan1";#N/A,#N/A,FALSE,"Plan2"}</definedName>
    <definedName name="LAEKWRK" localSheetId="10" hidden="1">{#N/A,#N/A,FALSE,"Plan1";#N/A,#N/A,FALSE,"Plan2"}</definedName>
    <definedName name="LAEKWRK" localSheetId="1" hidden="1">{#N/A,#N/A,FALSE,"Plan1";#N/A,#N/A,FALSE,"Plan2"}</definedName>
    <definedName name="LAEKWRK" localSheetId="0">{#N/A,#N/A,FALSE,"Plan1";#N/A,#N/A,FALSE,"Plan2"}</definedName>
    <definedName name="LAEKWRK" localSheetId="11" hidden="1">{#N/A,#N/A,FALSE,"Plan1";#N/A,#N/A,FALSE,"Plan2"}</definedName>
    <definedName name="LAEKWRK" localSheetId="12" hidden="1">{#N/A,#N/A,FALSE,"Plan1";#N/A,#N/A,FALSE,"Plan2"}</definedName>
    <definedName name="LAEKWRK" hidden="1">{#N/A,#N/A,FALSE,"Plan1";#N/A,#N/A,FALSE,"Plan2"}</definedName>
    <definedName name="laeqwep" localSheetId="8">#REF!</definedName>
    <definedName name="laeqwep" localSheetId="5" hidden="1">#REF!</definedName>
    <definedName name="laeqwep" localSheetId="9">#REF!</definedName>
    <definedName name="laeqwep" localSheetId="10" hidden="1">#REF!</definedName>
    <definedName name="laeqwep" localSheetId="1" hidden="1">#REF!</definedName>
    <definedName name="laeqwep" localSheetId="0">#REF!</definedName>
    <definedName name="laeqwep" localSheetId="11" hidden="1">#REF!</definedName>
    <definedName name="laeqwep" localSheetId="12" hidden="1">#REF!</definedName>
    <definedName name="laeqwep" hidden="1">#REF!</definedName>
    <definedName name="LAKDEWRF" localSheetId="3" hidden="1">{#N/A,#N/A,FALSE,"Plan1";#N/A,#N/A,FALSE,"Plan2"}</definedName>
    <definedName name="LAKDEWRF" localSheetId="8">{#N/A,#N/A,FALSE,"Plan1";#N/A,#N/A,FALSE,"Plan2"}</definedName>
    <definedName name="LAKDEWRF" localSheetId="5" hidden="1">{#N/A,#N/A,FALSE,"Plan1";#N/A,#N/A,FALSE,"Plan2"}</definedName>
    <definedName name="LAKDEWRF" localSheetId="4" hidden="1">{#N/A,#N/A,FALSE,"Plan1";#N/A,#N/A,FALSE,"Plan2"}</definedName>
    <definedName name="LAKDEWRF" localSheetId="9">{#N/A,#N/A,FALSE,"Plan1";#N/A,#N/A,FALSE,"Plan2"}</definedName>
    <definedName name="LAKDEWRF" localSheetId="10" hidden="1">{#N/A,#N/A,FALSE,"Plan1";#N/A,#N/A,FALSE,"Plan2"}</definedName>
    <definedName name="LAKDEWRF" localSheetId="1" hidden="1">{#N/A,#N/A,FALSE,"Plan1";#N/A,#N/A,FALSE,"Plan2"}</definedName>
    <definedName name="LAKDEWRF" localSheetId="0">{#N/A,#N/A,FALSE,"Plan1";#N/A,#N/A,FALSE,"Plan2"}</definedName>
    <definedName name="LAKDEWRF" localSheetId="11" hidden="1">{#N/A,#N/A,FALSE,"Plan1";#N/A,#N/A,FALSE,"Plan2"}</definedName>
    <definedName name="LAKDEWRF" localSheetId="12" hidden="1">{#N/A,#N/A,FALSE,"Plan1";#N/A,#N/A,FALSE,"Plan2"}</definedName>
    <definedName name="LAKDEWRF" hidden="1">{#N/A,#N/A,FALSE,"Plan1";#N/A,#N/A,FALSE,"Plan2"}</definedName>
    <definedName name="Lancamentos" localSheetId="8">#REF!</definedName>
    <definedName name="Lancamentos" localSheetId="5">#REF!</definedName>
    <definedName name="Lancamentos" localSheetId="9">#REF!</definedName>
    <definedName name="Lancamentos" localSheetId="10">#REF!</definedName>
    <definedName name="Lancamentos" localSheetId="0">#REF!</definedName>
    <definedName name="Lancamentos" localSheetId="11">#REF!</definedName>
    <definedName name="Lancamentos" localSheetId="12">#REF!</definedName>
    <definedName name="Lancamentos">#REF!</definedName>
    <definedName name="LARGURA" localSheetId="8">#REF!</definedName>
    <definedName name="LARGURA" localSheetId="5">#REF!</definedName>
    <definedName name="LARGURA" localSheetId="9">#REF!</definedName>
    <definedName name="LARGURA" localSheetId="10">#REF!</definedName>
    <definedName name="LARGURA" localSheetId="0">#REF!</definedName>
    <definedName name="LARGURA" localSheetId="11">#REF!</definedName>
    <definedName name="LARGURA" localSheetId="12">#REF!</definedName>
    <definedName name="LARGURA">#REF!</definedName>
    <definedName name="LASÇDSRLF" localSheetId="3" hidden="1">{#N/A,#N/A,FALSE,"Plan1";#N/A,#N/A,FALSE,"Plan2"}</definedName>
    <definedName name="LASÇDSRLF" localSheetId="8">{#N/A,#N/A,FALSE,"Plan1";#N/A,#N/A,FALSE,"Plan2"}</definedName>
    <definedName name="LASÇDSRLF" localSheetId="5" hidden="1">{#N/A,#N/A,FALSE,"Plan1";#N/A,#N/A,FALSE,"Plan2"}</definedName>
    <definedName name="LASÇDSRLF" localSheetId="4" hidden="1">{#N/A,#N/A,FALSE,"Plan1";#N/A,#N/A,FALSE,"Plan2"}</definedName>
    <definedName name="LASÇDSRLF" localSheetId="9">{#N/A,#N/A,FALSE,"Plan1";#N/A,#N/A,FALSE,"Plan2"}</definedName>
    <definedName name="LASÇDSRLF" localSheetId="10" hidden="1">{#N/A,#N/A,FALSE,"Plan1";#N/A,#N/A,FALSE,"Plan2"}</definedName>
    <definedName name="LASÇDSRLF" localSheetId="1" hidden="1">{#N/A,#N/A,FALSE,"Plan1";#N/A,#N/A,FALSE,"Plan2"}</definedName>
    <definedName name="LASÇDSRLF" localSheetId="0">{#N/A,#N/A,FALSE,"Plan1";#N/A,#N/A,FALSE,"Plan2"}</definedName>
    <definedName name="LASÇDSRLF" localSheetId="11" hidden="1">{#N/A,#N/A,FALSE,"Plan1";#N/A,#N/A,FALSE,"Plan2"}</definedName>
    <definedName name="LASÇDSRLF" localSheetId="12" hidden="1">{#N/A,#N/A,FALSE,"Plan1";#N/A,#N/A,FALSE,"Plan2"}</definedName>
    <definedName name="LASÇDSRLF" hidden="1">{#N/A,#N/A,FALSE,"Plan1";#N/A,#N/A,FALSE,"Plan2"}</definedName>
    <definedName name="LASDAKWE" hidden="1">25</definedName>
    <definedName name="lasrlswer" localSheetId="3" hidden="1">{#N/A,#N/A,FALSE,"Plan1";#N/A,#N/A,FALSE,"Plan2"}</definedName>
    <definedName name="lasrlswer" localSheetId="8">{#N/A,#N/A,FALSE,"Plan1";#N/A,#N/A,FALSE,"Plan2"}</definedName>
    <definedName name="lasrlswer" localSheetId="5" hidden="1">{#N/A,#N/A,FALSE,"Plan1";#N/A,#N/A,FALSE,"Plan2"}</definedName>
    <definedName name="lasrlswer" localSheetId="4" hidden="1">{#N/A,#N/A,FALSE,"Plan1";#N/A,#N/A,FALSE,"Plan2"}</definedName>
    <definedName name="lasrlswer" localSheetId="9">{#N/A,#N/A,FALSE,"Plan1";#N/A,#N/A,FALSE,"Plan2"}</definedName>
    <definedName name="lasrlswer" localSheetId="10" hidden="1">{#N/A,#N/A,FALSE,"Plan1";#N/A,#N/A,FALSE,"Plan2"}</definedName>
    <definedName name="lasrlswer" localSheetId="1" hidden="1">{#N/A,#N/A,FALSE,"Plan1";#N/A,#N/A,FALSE,"Plan2"}</definedName>
    <definedName name="lasrlswer" localSheetId="0">{#N/A,#N/A,FALSE,"Plan1";#N/A,#N/A,FALSE,"Plan2"}</definedName>
    <definedName name="lasrlswer" localSheetId="11" hidden="1">{#N/A,#N/A,FALSE,"Plan1";#N/A,#N/A,FALSE,"Plan2"}</definedName>
    <definedName name="lasrlswer" localSheetId="12" hidden="1">{#N/A,#N/A,FALSE,"Plan1";#N/A,#N/A,FALSE,"Plan2"}</definedName>
    <definedName name="lasrlswer" hidden="1">{#N/A,#N/A,FALSE,"Plan1";#N/A,#N/A,FALSE,"Plan2"}</definedName>
    <definedName name="LAZER" localSheetId="8">#REF!</definedName>
    <definedName name="LAZER" localSheetId="5">#REF!</definedName>
    <definedName name="LAZER" localSheetId="9">#REF!</definedName>
    <definedName name="LAZER" localSheetId="10">#REF!</definedName>
    <definedName name="LAZER" localSheetId="0">#REF!</definedName>
    <definedName name="LAZER" localSheetId="11">#REF!</definedName>
    <definedName name="LAZER" localSheetId="12">#REF!</definedName>
    <definedName name="LAZER">#REF!</definedName>
    <definedName name="lbla1" localSheetId="8">#REF!</definedName>
    <definedName name="lbla1" localSheetId="5" hidden="1">#REF!</definedName>
    <definedName name="lbla1" localSheetId="9">#REF!</definedName>
    <definedName name="lbla1" localSheetId="10" hidden="1">#REF!</definedName>
    <definedName name="lbla1" localSheetId="0">#REF!</definedName>
    <definedName name="lbla1" localSheetId="11" hidden="1">#REF!</definedName>
    <definedName name="lbla1" localSheetId="12" hidden="1">#REF!</definedName>
    <definedName name="lbla1" hidden="1">#REF!</definedName>
    <definedName name="lbla10" localSheetId="8">#REF!</definedName>
    <definedName name="lbla10" localSheetId="5" hidden="1">#REF!</definedName>
    <definedName name="lbla10" localSheetId="9">#REF!</definedName>
    <definedName name="lbla10" localSheetId="10" hidden="1">#REF!</definedName>
    <definedName name="lbla10" localSheetId="0">#REF!</definedName>
    <definedName name="lbla10" localSheetId="11" hidden="1">#REF!</definedName>
    <definedName name="lbla10" localSheetId="12" hidden="1">#REF!</definedName>
    <definedName name="lbla10" hidden="1">#REF!</definedName>
    <definedName name="lbla11" localSheetId="8">#REF!</definedName>
    <definedName name="lbla11" localSheetId="5" hidden="1">#REF!</definedName>
    <definedName name="lbla11" localSheetId="10" hidden="1">#REF!</definedName>
    <definedName name="lbla11" localSheetId="11" hidden="1">#REF!</definedName>
    <definedName name="lbla11" localSheetId="12" hidden="1">#REF!</definedName>
    <definedName name="lbla11" hidden="1">#REF!</definedName>
    <definedName name="lbla12" localSheetId="8">#REF!</definedName>
    <definedName name="lbla12" hidden="1">#REF!</definedName>
    <definedName name="lbla13" localSheetId="8">#REF!</definedName>
    <definedName name="lbla13" hidden="1">#REF!</definedName>
    <definedName name="lbla14" localSheetId="8">#REF!</definedName>
    <definedName name="lbla14" hidden="1">#REF!</definedName>
    <definedName name="lbla15" localSheetId="8">#REF!</definedName>
    <definedName name="lbla15" hidden="1">#REF!</definedName>
    <definedName name="lbla16" localSheetId="8">#REF!</definedName>
    <definedName name="lbla16" hidden="1">#REF!</definedName>
    <definedName name="lbla17" localSheetId="8">#REF!</definedName>
    <definedName name="lbla17" hidden="1">#REF!</definedName>
    <definedName name="lbla18" localSheetId="8">#REF!</definedName>
    <definedName name="lbla18" hidden="1">#REF!</definedName>
    <definedName name="lbla19" localSheetId="8">#REF!</definedName>
    <definedName name="lbla19" hidden="1">#REF!</definedName>
    <definedName name="lbla2" localSheetId="8">#REF!</definedName>
    <definedName name="lbla2" hidden="1">#REF!</definedName>
    <definedName name="lbla20" localSheetId="8">#REF!</definedName>
    <definedName name="lbla20" hidden="1">#REF!</definedName>
    <definedName name="lbla21" localSheetId="8">#REF!</definedName>
    <definedName name="lbla21" hidden="1">#REF!</definedName>
    <definedName name="lbla22" localSheetId="8">#REF!</definedName>
    <definedName name="lbla22" hidden="1">#REF!</definedName>
    <definedName name="lbla23" localSheetId="8">#REF!</definedName>
    <definedName name="lbla23" hidden="1">#REF!</definedName>
    <definedName name="lbla24" localSheetId="8">#REF!</definedName>
    <definedName name="lbla24" hidden="1">#REF!</definedName>
    <definedName name="lbla25" localSheetId="8">#REF!</definedName>
    <definedName name="lbla25" hidden="1">#REF!</definedName>
    <definedName name="lbla27" localSheetId="8">#REF!</definedName>
    <definedName name="lbla27" hidden="1">#REF!</definedName>
    <definedName name="lbla28" localSheetId="8">#REF!</definedName>
    <definedName name="lbla28" hidden="1">#REF!</definedName>
    <definedName name="lçadple4r" localSheetId="3" hidden="1">{#N/A,#N/A,FALSE,"Plan1";#N/A,#N/A,FALSE,"Plan2"}</definedName>
    <definedName name="lçadple4r" localSheetId="8">{#N/A,#N/A,FALSE,"Plan1";#N/A,#N/A,FALSE,"Plan2"}</definedName>
    <definedName name="lçadple4r" localSheetId="5" hidden="1">{#N/A,#N/A,FALSE,"Plan1";#N/A,#N/A,FALSE,"Plan2"}</definedName>
    <definedName name="lçadple4r" localSheetId="4" hidden="1">{#N/A,#N/A,FALSE,"Plan1";#N/A,#N/A,FALSE,"Plan2"}</definedName>
    <definedName name="lçadple4r" localSheetId="9">{#N/A,#N/A,FALSE,"Plan1";#N/A,#N/A,FALSE,"Plan2"}</definedName>
    <definedName name="lçadple4r" localSheetId="10" hidden="1">{#N/A,#N/A,FALSE,"Plan1";#N/A,#N/A,FALSE,"Plan2"}</definedName>
    <definedName name="lçadple4r" localSheetId="1" hidden="1">{#N/A,#N/A,FALSE,"Plan1";#N/A,#N/A,FALSE,"Plan2"}</definedName>
    <definedName name="lçadple4r" localSheetId="0">{#N/A,#N/A,FALSE,"Plan1";#N/A,#N/A,FALSE,"Plan2"}</definedName>
    <definedName name="lçadple4r" localSheetId="11" hidden="1">{#N/A,#N/A,FALSE,"Plan1";#N/A,#N/A,FALSE,"Plan2"}</definedName>
    <definedName name="lçadple4r" localSheetId="12" hidden="1">{#N/A,#N/A,FALSE,"Plan1";#N/A,#N/A,FALSE,"Plan2"}</definedName>
    <definedName name="lçadple4r" hidden="1">{#N/A,#N/A,FALSE,"Plan1";#N/A,#N/A,FALSE,"Plan2"}</definedName>
    <definedName name="lçasser" localSheetId="3" hidden="1">{#N/A,#N/A,FALSE,"Plan1";#N/A,#N/A,FALSE,"Plan2"}</definedName>
    <definedName name="lçasser" localSheetId="8">{#N/A,#N/A,FALSE,"Plan1";#N/A,#N/A,FALSE,"Plan2"}</definedName>
    <definedName name="lçasser" localSheetId="5" hidden="1">{#N/A,#N/A,FALSE,"Plan1";#N/A,#N/A,FALSE,"Plan2"}</definedName>
    <definedName name="lçasser" localSheetId="4" hidden="1">{#N/A,#N/A,FALSE,"Plan1";#N/A,#N/A,FALSE,"Plan2"}</definedName>
    <definedName name="lçasser" localSheetId="9">{#N/A,#N/A,FALSE,"Plan1";#N/A,#N/A,FALSE,"Plan2"}</definedName>
    <definedName name="lçasser" localSheetId="10" hidden="1">{#N/A,#N/A,FALSE,"Plan1";#N/A,#N/A,FALSE,"Plan2"}</definedName>
    <definedName name="lçasser" localSheetId="1" hidden="1">{#N/A,#N/A,FALSE,"Plan1";#N/A,#N/A,FALSE,"Plan2"}</definedName>
    <definedName name="lçasser" localSheetId="0">{#N/A,#N/A,FALSE,"Plan1";#N/A,#N/A,FALSE,"Plan2"}</definedName>
    <definedName name="lçasser" localSheetId="11" hidden="1">{#N/A,#N/A,FALSE,"Plan1";#N/A,#N/A,FALSE,"Plan2"}</definedName>
    <definedName name="lçasser" localSheetId="12" hidden="1">{#N/A,#N/A,FALSE,"Plan1";#N/A,#N/A,FALSE,"Plan2"}</definedName>
    <definedName name="lçasser" hidden="1">{#N/A,#N/A,FALSE,"Plan1";#N/A,#N/A,FALSE,"Plan2"}</definedName>
    <definedName name="lcdgjtklfrn" localSheetId="3" hidden="1">{#N/A,#N/A,FALSE,"Plan1";#N/A,#N/A,FALSE,"Plan2"}</definedName>
    <definedName name="lcdgjtklfrn" localSheetId="8">{#N/A,#N/A,FALSE,"Plan1";#N/A,#N/A,FALSE,"Plan2"}</definedName>
    <definedName name="lcdgjtklfrn" localSheetId="5" hidden="1">{#N/A,#N/A,FALSE,"Plan1";#N/A,#N/A,FALSE,"Plan2"}</definedName>
    <definedName name="lcdgjtklfrn" localSheetId="4" hidden="1">{#N/A,#N/A,FALSE,"Plan1";#N/A,#N/A,FALSE,"Plan2"}</definedName>
    <definedName name="lcdgjtklfrn" localSheetId="9">{#N/A,#N/A,FALSE,"Plan1";#N/A,#N/A,FALSE,"Plan2"}</definedName>
    <definedName name="lcdgjtklfrn" localSheetId="10" hidden="1">{#N/A,#N/A,FALSE,"Plan1";#N/A,#N/A,FALSE,"Plan2"}</definedName>
    <definedName name="lcdgjtklfrn" localSheetId="1" hidden="1">{#N/A,#N/A,FALSE,"Plan1";#N/A,#N/A,FALSE,"Plan2"}</definedName>
    <definedName name="lcdgjtklfrn" localSheetId="0">{#N/A,#N/A,FALSE,"Plan1";#N/A,#N/A,FALSE,"Plan2"}</definedName>
    <definedName name="lcdgjtklfrn" localSheetId="11" hidden="1">{#N/A,#N/A,FALSE,"Plan1";#N/A,#N/A,FALSE,"Plan2"}</definedName>
    <definedName name="lcdgjtklfrn" localSheetId="12" hidden="1">{#N/A,#N/A,FALSE,"Plan1";#N/A,#N/A,FALSE,"Plan2"}</definedName>
    <definedName name="lcdgjtklfrn" hidden="1">{#N/A,#N/A,FALSE,"Plan1";#N/A,#N/A,FALSE,"Plan2"}</definedName>
    <definedName name="lçfklsdkçaer" localSheetId="3" hidden="1">{#N/A,#N/A,FALSE,"Plan1";#N/A,#N/A,FALSE,"Plan2"}</definedName>
    <definedName name="lçfklsdkçaer" localSheetId="8">{#N/A,#N/A,FALSE,"Plan1";#N/A,#N/A,FALSE,"Plan2"}</definedName>
    <definedName name="lçfklsdkçaer" localSheetId="5" hidden="1">{#N/A,#N/A,FALSE,"Plan1";#N/A,#N/A,FALSE,"Plan2"}</definedName>
    <definedName name="lçfklsdkçaer" localSheetId="4" hidden="1">{#N/A,#N/A,FALSE,"Plan1";#N/A,#N/A,FALSE,"Plan2"}</definedName>
    <definedName name="lçfklsdkçaer" localSheetId="9">{#N/A,#N/A,FALSE,"Plan1";#N/A,#N/A,FALSE,"Plan2"}</definedName>
    <definedName name="lçfklsdkçaer" localSheetId="10" hidden="1">{#N/A,#N/A,FALSE,"Plan1";#N/A,#N/A,FALSE,"Plan2"}</definedName>
    <definedName name="lçfklsdkçaer" localSheetId="1" hidden="1">{#N/A,#N/A,FALSE,"Plan1";#N/A,#N/A,FALSE,"Plan2"}</definedName>
    <definedName name="lçfklsdkçaer" localSheetId="0">{#N/A,#N/A,FALSE,"Plan1";#N/A,#N/A,FALSE,"Plan2"}</definedName>
    <definedName name="lçfklsdkçaer" localSheetId="11" hidden="1">{#N/A,#N/A,FALSE,"Plan1";#N/A,#N/A,FALSE,"Plan2"}</definedName>
    <definedName name="lçfklsdkçaer" localSheetId="12" hidden="1">{#N/A,#N/A,FALSE,"Plan1";#N/A,#N/A,FALSE,"Plan2"}</definedName>
    <definedName name="lçfklsdkçaer" hidden="1">{#N/A,#N/A,FALSE,"Plan1";#N/A,#N/A,FALSE,"Plan2"}</definedName>
    <definedName name="lçjkgf" localSheetId="3" hidden="1">{#N/A,#N/A,FALSE,"Plan1";#N/A,#N/A,FALSE,"Plan2"}</definedName>
    <definedName name="lçjkgf" localSheetId="8">{#N/A,#N/A,FALSE,"Plan1";#N/A,#N/A,FALSE,"Plan2"}</definedName>
    <definedName name="lçjkgf" localSheetId="5" hidden="1">{#N/A,#N/A,FALSE,"Plan1";#N/A,#N/A,FALSE,"Plan2"}</definedName>
    <definedName name="lçjkgf" localSheetId="4" hidden="1">{#N/A,#N/A,FALSE,"Plan1";#N/A,#N/A,FALSE,"Plan2"}</definedName>
    <definedName name="lçjkgf" localSheetId="9">{#N/A,#N/A,FALSE,"Plan1";#N/A,#N/A,FALSE,"Plan2"}</definedName>
    <definedName name="lçjkgf" localSheetId="10" hidden="1">{#N/A,#N/A,FALSE,"Plan1";#N/A,#N/A,FALSE,"Plan2"}</definedName>
    <definedName name="lçjkgf" localSheetId="1" hidden="1">{#N/A,#N/A,FALSE,"Plan1";#N/A,#N/A,FALSE,"Plan2"}</definedName>
    <definedName name="lçjkgf" localSheetId="0">{#N/A,#N/A,FALSE,"Plan1";#N/A,#N/A,FALSE,"Plan2"}</definedName>
    <definedName name="lçjkgf" localSheetId="11" hidden="1">{#N/A,#N/A,FALSE,"Plan1";#N/A,#N/A,FALSE,"Plan2"}</definedName>
    <definedName name="lçjkgf" localSheetId="12" hidden="1">{#N/A,#N/A,FALSE,"Plan1";#N/A,#N/A,FALSE,"Plan2"}</definedName>
    <definedName name="lçjkgf" hidden="1">{#N/A,#N/A,FALSE,"Plan1";#N/A,#N/A,FALSE,"Plan2"}</definedName>
    <definedName name="LÇJSLDFJ" localSheetId="3" hidden="1">{#N/A,#N/A,FALSE,"Plan1";#N/A,#N/A,FALSE,"Plan2"}</definedName>
    <definedName name="LÇJSLDFJ" localSheetId="8">{#N/A,#N/A,FALSE,"Plan1";#N/A,#N/A,FALSE,"Plan2"}</definedName>
    <definedName name="LÇJSLDFJ" localSheetId="5" hidden="1">{#N/A,#N/A,FALSE,"Plan1";#N/A,#N/A,FALSE,"Plan2"}</definedName>
    <definedName name="LÇJSLDFJ" localSheetId="4" hidden="1">{#N/A,#N/A,FALSE,"Plan1";#N/A,#N/A,FALSE,"Plan2"}</definedName>
    <definedName name="LÇJSLDFJ" localSheetId="9">{#N/A,#N/A,FALSE,"Plan1";#N/A,#N/A,FALSE,"Plan2"}</definedName>
    <definedName name="LÇJSLDFJ" localSheetId="10" hidden="1">{#N/A,#N/A,FALSE,"Plan1";#N/A,#N/A,FALSE,"Plan2"}</definedName>
    <definedName name="LÇJSLDFJ" localSheetId="1" hidden="1">{#N/A,#N/A,FALSE,"Plan1";#N/A,#N/A,FALSE,"Plan2"}</definedName>
    <definedName name="LÇJSLDFJ" localSheetId="0">{#N/A,#N/A,FALSE,"Plan1";#N/A,#N/A,FALSE,"Plan2"}</definedName>
    <definedName name="LÇJSLDFJ" localSheetId="11" hidden="1">{#N/A,#N/A,FALSE,"Plan1";#N/A,#N/A,FALSE,"Plan2"}</definedName>
    <definedName name="LÇJSLDFJ" localSheetId="12" hidden="1">{#N/A,#N/A,FALSE,"Plan1";#N/A,#N/A,FALSE,"Plan2"}</definedName>
    <definedName name="LÇJSLDFJ" hidden="1">{#N/A,#N/A,FALSE,"Plan1";#N/A,#N/A,FALSE,"Plan2"}</definedName>
    <definedName name="LÇKÇSDRLK" localSheetId="3" hidden="1">{#N/A,#N/A,FALSE,"Plan1";#N/A,#N/A,FALSE,"Plan2"}</definedName>
    <definedName name="LÇKÇSDRLK" localSheetId="8">{#N/A,#N/A,FALSE,"Plan1";#N/A,#N/A,FALSE,"Plan2"}</definedName>
    <definedName name="LÇKÇSDRLK" localSheetId="5" hidden="1">{#N/A,#N/A,FALSE,"Plan1";#N/A,#N/A,FALSE,"Plan2"}</definedName>
    <definedName name="LÇKÇSDRLK" localSheetId="4" hidden="1">{#N/A,#N/A,FALSE,"Plan1";#N/A,#N/A,FALSE,"Plan2"}</definedName>
    <definedName name="LÇKÇSDRLK" localSheetId="9">{#N/A,#N/A,FALSE,"Plan1";#N/A,#N/A,FALSE,"Plan2"}</definedName>
    <definedName name="LÇKÇSDRLK" localSheetId="10" hidden="1">{#N/A,#N/A,FALSE,"Plan1";#N/A,#N/A,FALSE,"Plan2"}</definedName>
    <definedName name="LÇKÇSDRLK" localSheetId="1" hidden="1">{#N/A,#N/A,FALSE,"Plan1";#N/A,#N/A,FALSE,"Plan2"}</definedName>
    <definedName name="LÇKÇSDRLK" localSheetId="0">{#N/A,#N/A,FALSE,"Plan1";#N/A,#N/A,FALSE,"Plan2"}</definedName>
    <definedName name="LÇKÇSDRLK" localSheetId="11" hidden="1">{#N/A,#N/A,FALSE,"Plan1";#N/A,#N/A,FALSE,"Plan2"}</definedName>
    <definedName name="LÇKÇSDRLK" localSheetId="12" hidden="1">{#N/A,#N/A,FALSE,"Plan1";#N/A,#N/A,FALSE,"Plan2"}</definedName>
    <definedName name="LÇKÇSDRLK" hidden="1">{#N/A,#N/A,FALSE,"Plan1";#N/A,#N/A,FALSE,"Plan2"}</definedName>
    <definedName name="lçkdfkdstkre" hidden="1">25</definedName>
    <definedName name="lçk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k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çlfklçdglfdgt" localSheetId="3" hidden="1">{#N/A,#N/A,FALSE,"Plan1";#N/A,#N/A,FALSE,"Plan2"}</definedName>
    <definedName name="lçlfklçdglfdgt" localSheetId="8">{#N/A,#N/A,FALSE,"Plan1";#N/A,#N/A,FALSE,"Plan2"}</definedName>
    <definedName name="lçlfklçdglfdgt" localSheetId="5" hidden="1">{#N/A,#N/A,FALSE,"Plan1";#N/A,#N/A,FALSE,"Plan2"}</definedName>
    <definedName name="lçlfklçdglfdgt" localSheetId="4" hidden="1">{#N/A,#N/A,FALSE,"Plan1";#N/A,#N/A,FALSE,"Plan2"}</definedName>
    <definedName name="lçlfklçdglfdgt" localSheetId="9">{#N/A,#N/A,FALSE,"Plan1";#N/A,#N/A,FALSE,"Plan2"}</definedName>
    <definedName name="lçlfklçdglfdgt" localSheetId="10" hidden="1">{#N/A,#N/A,FALSE,"Plan1";#N/A,#N/A,FALSE,"Plan2"}</definedName>
    <definedName name="lçlfklçdglfdgt" localSheetId="1" hidden="1">{#N/A,#N/A,FALSE,"Plan1";#N/A,#N/A,FALSE,"Plan2"}</definedName>
    <definedName name="lçlfklçdglfdgt" localSheetId="0">{#N/A,#N/A,FALSE,"Plan1";#N/A,#N/A,FALSE,"Plan2"}</definedName>
    <definedName name="lçlfklçdglfdgt" localSheetId="11" hidden="1">{#N/A,#N/A,FALSE,"Plan1";#N/A,#N/A,FALSE,"Plan2"}</definedName>
    <definedName name="lçlfklçdglfdgt" localSheetId="12" hidden="1">{#N/A,#N/A,FALSE,"Plan1";#N/A,#N/A,FALSE,"Plan2"}</definedName>
    <definedName name="lçlfklçdglfdgt" hidden="1">{#N/A,#N/A,FALSE,"Plan1";#N/A,#N/A,FALSE,"Plan2"}</definedName>
    <definedName name="lçslrr4r" localSheetId="3" hidden="1">{#N/A,#N/A,FALSE,"Plan1";#N/A,#N/A,FALSE,"Plan2"}</definedName>
    <definedName name="lçslrr4r" localSheetId="8">{#N/A,#N/A,FALSE,"Plan1";#N/A,#N/A,FALSE,"Plan2"}</definedName>
    <definedName name="lçslrr4r" localSheetId="5" hidden="1">{#N/A,#N/A,FALSE,"Plan1";#N/A,#N/A,FALSE,"Plan2"}</definedName>
    <definedName name="lçslrr4r" localSheetId="4" hidden="1">{#N/A,#N/A,FALSE,"Plan1";#N/A,#N/A,FALSE,"Plan2"}</definedName>
    <definedName name="lçslrr4r" localSheetId="9">{#N/A,#N/A,FALSE,"Plan1";#N/A,#N/A,FALSE,"Plan2"}</definedName>
    <definedName name="lçslrr4r" localSheetId="10" hidden="1">{#N/A,#N/A,FALSE,"Plan1";#N/A,#N/A,FALSE,"Plan2"}</definedName>
    <definedName name="lçslrr4r" localSheetId="1" hidden="1">{#N/A,#N/A,FALSE,"Plan1";#N/A,#N/A,FALSE,"Plan2"}</definedName>
    <definedName name="lçslrr4r" localSheetId="0">{#N/A,#N/A,FALSE,"Plan1";#N/A,#N/A,FALSE,"Plan2"}</definedName>
    <definedName name="lçslrr4r" localSheetId="11" hidden="1">{#N/A,#N/A,FALSE,"Plan1";#N/A,#N/A,FALSE,"Plan2"}</definedName>
    <definedName name="lçslrr4r" localSheetId="12" hidden="1">{#N/A,#N/A,FALSE,"Plan1";#N/A,#N/A,FALSE,"Plan2"}</definedName>
    <definedName name="lçslrr4r" hidden="1">{#N/A,#N/A,FALSE,"Plan1";#N/A,#N/A,FALSE,"Plan2"}</definedName>
    <definedName name="ldfjgry" localSheetId="3" hidden="1">{#N/A,#N/A,FALSE,"Plan1";#N/A,#N/A,FALSE,"Plan2"}</definedName>
    <definedName name="ldfjgry" localSheetId="8">{#N/A,#N/A,FALSE,"Plan1";#N/A,#N/A,FALSE,"Plan2"}</definedName>
    <definedName name="ldfjgry" localSheetId="5" hidden="1">{#N/A,#N/A,FALSE,"Plan1";#N/A,#N/A,FALSE,"Plan2"}</definedName>
    <definedName name="ldfjgry" localSheetId="4" hidden="1">{#N/A,#N/A,FALSE,"Plan1";#N/A,#N/A,FALSE,"Plan2"}</definedName>
    <definedName name="ldfjgry" localSheetId="9">{#N/A,#N/A,FALSE,"Plan1";#N/A,#N/A,FALSE,"Plan2"}</definedName>
    <definedName name="ldfjgry" localSheetId="10" hidden="1">{#N/A,#N/A,FALSE,"Plan1";#N/A,#N/A,FALSE,"Plan2"}</definedName>
    <definedName name="ldfjgry" localSheetId="1" hidden="1">{#N/A,#N/A,FALSE,"Plan1";#N/A,#N/A,FALSE,"Plan2"}</definedName>
    <definedName name="ldfjgry" localSheetId="0">{#N/A,#N/A,FALSE,"Plan1";#N/A,#N/A,FALSE,"Plan2"}</definedName>
    <definedName name="ldfjgry" localSheetId="11" hidden="1">{#N/A,#N/A,FALSE,"Plan1";#N/A,#N/A,FALSE,"Plan2"}</definedName>
    <definedName name="ldfjgry" localSheetId="12" hidden="1">{#N/A,#N/A,FALSE,"Plan1";#N/A,#N/A,FALSE,"Plan2"}</definedName>
    <definedName name="ldfjgry" hidden="1">{#N/A,#N/A,FALSE,"Plan1";#N/A,#N/A,FALSE,"Plan2"}</definedName>
    <definedName name="ldfjgtilrf" localSheetId="3" hidden="1">{#N/A,#N/A,FALSE,"Plan1";#N/A,#N/A,FALSE,"Plan2"}</definedName>
    <definedName name="ldfjgtilrf" localSheetId="8">{#N/A,#N/A,FALSE,"Plan1";#N/A,#N/A,FALSE,"Plan2"}</definedName>
    <definedName name="ldfjgtilrf" localSheetId="5" hidden="1">{#N/A,#N/A,FALSE,"Plan1";#N/A,#N/A,FALSE,"Plan2"}</definedName>
    <definedName name="ldfjgtilrf" localSheetId="4" hidden="1">{#N/A,#N/A,FALSE,"Plan1";#N/A,#N/A,FALSE,"Plan2"}</definedName>
    <definedName name="ldfjgtilrf" localSheetId="9">{#N/A,#N/A,FALSE,"Plan1";#N/A,#N/A,FALSE,"Plan2"}</definedName>
    <definedName name="ldfjgtilrf" localSheetId="10" hidden="1">{#N/A,#N/A,FALSE,"Plan1";#N/A,#N/A,FALSE,"Plan2"}</definedName>
    <definedName name="ldfjgtilrf" localSheetId="1" hidden="1">{#N/A,#N/A,FALSE,"Plan1";#N/A,#N/A,FALSE,"Plan2"}</definedName>
    <definedName name="ldfjgtilrf" localSheetId="0">{#N/A,#N/A,FALSE,"Plan1";#N/A,#N/A,FALSE,"Plan2"}</definedName>
    <definedName name="ldfjgtilrf" localSheetId="11" hidden="1">{#N/A,#N/A,FALSE,"Plan1";#N/A,#N/A,FALSE,"Plan2"}</definedName>
    <definedName name="ldfjgtilrf" localSheetId="12" hidden="1">{#N/A,#N/A,FALSE,"Plan1";#N/A,#N/A,FALSE,"Plan2"}</definedName>
    <definedName name="ldfjgtilrf" hidden="1">{#N/A,#N/A,FALSE,"Plan1";#N/A,#N/A,FALSE,"Plan2"}</definedName>
    <definedName name="ldk" localSheetId="3" hidden="1">{#N/A,#N/A,FALSE,"Plan1";#N/A,#N/A,FALSE,"Plan2"}</definedName>
    <definedName name="ldk" localSheetId="8">{#N/A,#N/A,FALSE,"Plan1";#N/A,#N/A,FALSE,"Plan2"}</definedName>
    <definedName name="ldk" localSheetId="5" hidden="1">{#N/A,#N/A,FALSE,"Plan1";#N/A,#N/A,FALSE,"Plan2"}</definedName>
    <definedName name="ldk" localSheetId="4" hidden="1">{#N/A,#N/A,FALSE,"Plan1";#N/A,#N/A,FALSE,"Plan2"}</definedName>
    <definedName name="ldk" localSheetId="9">{#N/A,#N/A,FALSE,"Plan1";#N/A,#N/A,FALSE,"Plan2"}</definedName>
    <definedName name="ldk" localSheetId="10" hidden="1">{#N/A,#N/A,FALSE,"Plan1";#N/A,#N/A,FALSE,"Plan2"}</definedName>
    <definedName name="ldk" localSheetId="1" hidden="1">{#N/A,#N/A,FALSE,"Plan1";#N/A,#N/A,FALSE,"Plan2"}</definedName>
    <definedName name="ldk" localSheetId="0">{#N/A,#N/A,FALSE,"Plan1";#N/A,#N/A,FALSE,"Plan2"}</definedName>
    <definedName name="ldk" localSheetId="11" hidden="1">{#N/A,#N/A,FALSE,"Plan1";#N/A,#N/A,FALSE,"Plan2"}</definedName>
    <definedName name="ldk" localSheetId="12" hidden="1">{#N/A,#N/A,FALSE,"Plan1";#N/A,#N/A,FALSE,"Plan2"}</definedName>
    <definedName name="ldk" hidden="1">{#N/A,#N/A,FALSE,"Plan1";#N/A,#N/A,FALSE,"Plan2"}</definedName>
    <definedName name="ldkgkdfjgkh" localSheetId="3" hidden="1">{#N/A,#N/A,FALSE,"Plan1";#N/A,#N/A,FALSE,"Plan2"}</definedName>
    <definedName name="ldkgkdfjgkh" localSheetId="8">{#N/A,#N/A,FALSE,"Plan1";#N/A,#N/A,FALSE,"Plan2"}</definedName>
    <definedName name="ldkgkdfjgkh" localSheetId="5" hidden="1">{#N/A,#N/A,FALSE,"Plan1";#N/A,#N/A,FALSE,"Plan2"}</definedName>
    <definedName name="ldkgkdfjgkh" localSheetId="4" hidden="1">{#N/A,#N/A,FALSE,"Plan1";#N/A,#N/A,FALSE,"Plan2"}</definedName>
    <definedName name="ldkgkdfjgkh" localSheetId="9">{#N/A,#N/A,FALSE,"Plan1";#N/A,#N/A,FALSE,"Plan2"}</definedName>
    <definedName name="ldkgkdfjgkh" localSheetId="10" hidden="1">{#N/A,#N/A,FALSE,"Plan1";#N/A,#N/A,FALSE,"Plan2"}</definedName>
    <definedName name="ldkgkdfjgkh" localSheetId="1" hidden="1">{#N/A,#N/A,FALSE,"Plan1";#N/A,#N/A,FALSE,"Plan2"}</definedName>
    <definedName name="ldkgkdfjgkh" localSheetId="0">{#N/A,#N/A,FALSE,"Plan1";#N/A,#N/A,FALSE,"Plan2"}</definedName>
    <definedName name="ldkgkdfjgkh" localSheetId="11" hidden="1">{#N/A,#N/A,FALSE,"Plan1";#N/A,#N/A,FALSE,"Plan2"}</definedName>
    <definedName name="ldkgkdfjgkh" localSheetId="12" hidden="1">{#N/A,#N/A,FALSE,"Plan1";#N/A,#N/A,FALSE,"Plan2"}</definedName>
    <definedName name="ldkgkdfjgkh" hidden="1">{#N/A,#N/A,FALSE,"Plan1";#N/A,#N/A,FALSE,"Plan2"}</definedName>
    <definedName name="LDTJGR" localSheetId="3" hidden="1">{#N/A,#N/A,FALSE,"Plan1";#N/A,#N/A,FALSE,"Plan2"}</definedName>
    <definedName name="LDTJGR" localSheetId="8">{#N/A,#N/A,FALSE,"Plan1";#N/A,#N/A,FALSE,"Plan2"}</definedName>
    <definedName name="LDTJGR" localSheetId="5" hidden="1">{#N/A,#N/A,FALSE,"Plan1";#N/A,#N/A,FALSE,"Plan2"}</definedName>
    <definedName name="LDTJGR" localSheetId="4" hidden="1">{#N/A,#N/A,FALSE,"Plan1";#N/A,#N/A,FALSE,"Plan2"}</definedName>
    <definedName name="LDTJGR" localSheetId="9">{#N/A,#N/A,FALSE,"Plan1";#N/A,#N/A,FALSE,"Plan2"}</definedName>
    <definedName name="LDTJGR" localSheetId="10" hidden="1">{#N/A,#N/A,FALSE,"Plan1";#N/A,#N/A,FALSE,"Plan2"}</definedName>
    <definedName name="LDTJGR" localSheetId="1" hidden="1">{#N/A,#N/A,FALSE,"Plan1";#N/A,#N/A,FALSE,"Plan2"}</definedName>
    <definedName name="LDTJGR" localSheetId="0">{#N/A,#N/A,FALSE,"Plan1";#N/A,#N/A,FALSE,"Plan2"}</definedName>
    <definedName name="LDTJGR" localSheetId="11" hidden="1">{#N/A,#N/A,FALSE,"Plan1";#N/A,#N/A,FALSE,"Plan2"}</definedName>
    <definedName name="LDTJGR" localSheetId="12" hidden="1">{#N/A,#N/A,FALSE,"Plan1";#N/A,#N/A,FALSE,"Plan2"}</definedName>
    <definedName name="LDTJGR" hidden="1">{#N/A,#N/A,FALSE,"Plan1";#N/A,#N/A,FALSE,"Plan2"}</definedName>
    <definedName name="Leg" localSheetId="8">#REF!</definedName>
    <definedName name="Leg" localSheetId="5" hidden="1">#REF!</definedName>
    <definedName name="Leg" localSheetId="9">#REF!</definedName>
    <definedName name="Leg" localSheetId="10" hidden="1">#REF!</definedName>
    <definedName name="Leg" localSheetId="1" hidden="1">#REF!</definedName>
    <definedName name="Leg" localSheetId="0">#REF!</definedName>
    <definedName name="Leg" localSheetId="11" hidden="1">#REF!</definedName>
    <definedName name="Leg" localSheetId="12" hidden="1">#REF!</definedName>
    <definedName name="Leg" hidden="1">#REF!</definedName>
    <definedName name="legr_cdi" localSheetId="8">#REF!</definedName>
    <definedName name="legr_cdi" localSheetId="5">#REF!</definedName>
    <definedName name="legr_cdi" localSheetId="9">#REF!</definedName>
    <definedName name="legr_cdi" localSheetId="10">#REF!</definedName>
    <definedName name="legr_cdi" localSheetId="0">#REF!</definedName>
    <definedName name="legr_cdi" localSheetId="11">#REF!</definedName>
    <definedName name="legr_cdi" localSheetId="12">#REF!</definedName>
    <definedName name="legr_cdi">#REF!</definedName>
    <definedName name="legr_hist" localSheetId="8">#REF!</definedName>
    <definedName name="legr_hist" localSheetId="5">#REF!</definedName>
    <definedName name="legr_hist" localSheetId="9">#REF!</definedName>
    <definedName name="legr_hist" localSheetId="10">#REF!</definedName>
    <definedName name="legr_hist" localSheetId="0">#REF!</definedName>
    <definedName name="legr_hist" localSheetId="11">#REF!</definedName>
    <definedName name="legr_hist" localSheetId="12">#REF!</definedName>
    <definedName name="legr_hist">#REF!</definedName>
    <definedName name="legr_uss" localSheetId="8">#REF!</definedName>
    <definedName name="legr_uss" localSheetId="5">#REF!</definedName>
    <definedName name="legr_uss" localSheetId="10">#REF!</definedName>
    <definedName name="legr_uss" localSheetId="11">#REF!</definedName>
    <definedName name="legr_uss" localSheetId="12">#REF!</definedName>
    <definedName name="legr_uss">#REF!</definedName>
    <definedName name="LEKG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KG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EVANTAMENTO" localSheetId="8">#REF!</definedName>
    <definedName name="LEVANTAMENTO" localSheetId="5">#REF!</definedName>
    <definedName name="LEVANTAMENTO" localSheetId="9">#REF!</definedName>
    <definedName name="LEVANTAMENTO" localSheetId="10">#REF!</definedName>
    <definedName name="LEVANTAMENTO" localSheetId="0">#REF!</definedName>
    <definedName name="LEVANTAMENTO" localSheetId="11">#REF!</definedName>
    <definedName name="LEVANTAMENTO" localSheetId="12">#REF!</definedName>
    <definedName name="LEVANTAMENTO">#REF!</definedName>
    <definedName name="lfjdjrt" localSheetId="3" hidden="1">{#N/A,#N/A,FALSE,"Plan1";#N/A,#N/A,FALSE,"Plan2"}</definedName>
    <definedName name="lfjdjrt" localSheetId="8">{#N/A,#N/A,FALSE,"Plan1";#N/A,#N/A,FALSE,"Plan2"}</definedName>
    <definedName name="lfjdjrt" localSheetId="5" hidden="1">{#N/A,#N/A,FALSE,"Plan1";#N/A,#N/A,FALSE,"Plan2"}</definedName>
    <definedName name="lfjdjrt" localSheetId="4" hidden="1">{#N/A,#N/A,FALSE,"Plan1";#N/A,#N/A,FALSE,"Plan2"}</definedName>
    <definedName name="lfjdjrt" localSheetId="9">{#N/A,#N/A,FALSE,"Plan1";#N/A,#N/A,FALSE,"Plan2"}</definedName>
    <definedName name="lfjdjrt" localSheetId="10" hidden="1">{#N/A,#N/A,FALSE,"Plan1";#N/A,#N/A,FALSE,"Plan2"}</definedName>
    <definedName name="lfjdjrt" localSheetId="1" hidden="1">{#N/A,#N/A,FALSE,"Plan1";#N/A,#N/A,FALSE,"Plan2"}</definedName>
    <definedName name="lfjdjrt" localSheetId="0">{#N/A,#N/A,FALSE,"Plan1";#N/A,#N/A,FALSE,"Plan2"}</definedName>
    <definedName name="lfjdjrt" localSheetId="11" hidden="1">{#N/A,#N/A,FALSE,"Plan1";#N/A,#N/A,FALSE,"Plan2"}</definedName>
    <definedName name="lfjdjrt" localSheetId="12" hidden="1">{#N/A,#N/A,FALSE,"Plan1";#N/A,#N/A,FALSE,"Plan2"}</definedName>
    <definedName name="lfjdjrt" hidden="1">{#N/A,#N/A,FALSE,"Plan1";#N/A,#N/A,FALSE,"Plan2"}</definedName>
    <definedName name="LI" localSheetId="8">#REF!</definedName>
    <definedName name="LI" localSheetId="5">#REF!</definedName>
    <definedName name="LI" localSheetId="9">#REF!</definedName>
    <definedName name="LI" localSheetId="10">#REF!</definedName>
    <definedName name="LI" localSheetId="0">#REF!</definedName>
    <definedName name="LI" localSheetId="11">#REF!</definedName>
    <definedName name="LI" localSheetId="12">#REF!</definedName>
    <definedName name="LI">#REF!</definedName>
    <definedName name="LIDER_OPER" localSheetId="8">#REF!</definedName>
    <definedName name="LIDER_OPER" localSheetId="5">#REF!</definedName>
    <definedName name="LIDER_OPER" localSheetId="9">#REF!</definedName>
    <definedName name="LIDER_OPER" localSheetId="10">#REF!</definedName>
    <definedName name="LIDER_OPER" localSheetId="0">#REF!</definedName>
    <definedName name="LIDER_OPER" localSheetId="11">#REF!</definedName>
    <definedName name="LIDER_OPER" localSheetId="12">#REF!</definedName>
    <definedName name="LIDER_OPER">#REF!</definedName>
    <definedName name="lidfjgklruf" localSheetId="3" hidden="1">{#N/A,#N/A,FALSE,"Plan1";#N/A,#N/A,FALSE,"Plan2"}</definedName>
    <definedName name="lidfjgklruf" localSheetId="8">{#N/A,#N/A,FALSE,"Plan1";#N/A,#N/A,FALSE,"Plan2"}</definedName>
    <definedName name="lidfjgklruf" localSheetId="5" hidden="1">{#N/A,#N/A,FALSE,"Plan1";#N/A,#N/A,FALSE,"Plan2"}</definedName>
    <definedName name="lidfjgklruf" localSheetId="4" hidden="1">{#N/A,#N/A,FALSE,"Plan1";#N/A,#N/A,FALSE,"Plan2"}</definedName>
    <definedName name="lidfjgklruf" localSheetId="9">{#N/A,#N/A,FALSE,"Plan1";#N/A,#N/A,FALSE,"Plan2"}</definedName>
    <definedName name="lidfjgklruf" localSheetId="10" hidden="1">{#N/A,#N/A,FALSE,"Plan1";#N/A,#N/A,FALSE,"Plan2"}</definedName>
    <definedName name="lidfjgklruf" localSheetId="1" hidden="1">{#N/A,#N/A,FALSE,"Plan1";#N/A,#N/A,FALSE,"Plan2"}</definedName>
    <definedName name="lidfjgklruf" localSheetId="0">{#N/A,#N/A,FALSE,"Plan1";#N/A,#N/A,FALSE,"Plan2"}</definedName>
    <definedName name="lidfjgklruf" localSheetId="11" hidden="1">{#N/A,#N/A,FALSE,"Plan1";#N/A,#N/A,FALSE,"Plan2"}</definedName>
    <definedName name="lidfjgklruf" localSheetId="12" hidden="1">{#N/A,#N/A,FALSE,"Plan1";#N/A,#N/A,FALSE,"Plan2"}</definedName>
    <definedName name="lidfjgklruf" hidden="1">{#N/A,#N/A,FALSE,"Plan1";#N/A,#N/A,FALSE,"Plan2"}</definedName>
    <definedName name="LII" localSheetId="8">#REF!</definedName>
    <definedName name="LII" localSheetId="5">#REF!</definedName>
    <definedName name="LII" localSheetId="9">#REF!</definedName>
    <definedName name="LII" localSheetId="10">#REF!</definedName>
    <definedName name="LII" localSheetId="0">#REF!</definedName>
    <definedName name="LII" localSheetId="11">#REF!</definedName>
    <definedName name="LII" localSheetId="12">#REF!</definedName>
    <definedName name="LII">#REF!</definedName>
    <definedName name="LIII" localSheetId="8">#REF!</definedName>
    <definedName name="LIII" localSheetId="5">#REF!</definedName>
    <definedName name="LIII" localSheetId="9">#REF!</definedName>
    <definedName name="LIII" localSheetId="10">#REF!</definedName>
    <definedName name="LIII" localSheetId="0">#REF!</definedName>
    <definedName name="LIII" localSheetId="11">#REF!</definedName>
    <definedName name="LIII" localSheetId="12">#REF!</definedName>
    <definedName name="LIII">#REF!</definedName>
    <definedName name="LIMBO" localSheetId="8">#REF!</definedName>
    <definedName name="LIMBO" localSheetId="5">#REF!</definedName>
    <definedName name="LIMBO" localSheetId="9">#REF!</definedName>
    <definedName name="LIMBO" localSheetId="10">#REF!</definedName>
    <definedName name="LIMBO" localSheetId="0">#REF!</definedName>
    <definedName name="LIMBO" localSheetId="11">#REF!</definedName>
    <definedName name="LIMBO" localSheetId="12">#REF!</definedName>
    <definedName name="LIMBO">#REF!</definedName>
    <definedName name="limcount" hidden="1">3</definedName>
    <definedName name="LIN" localSheetId="8">#REF!</definedName>
    <definedName name="LIN" localSheetId="5">#REF!</definedName>
    <definedName name="LIN" localSheetId="9">#REF!</definedName>
    <definedName name="LIN" localSheetId="10">#REF!</definedName>
    <definedName name="LIN" localSheetId="0">#REF!</definedName>
    <definedName name="LIN" localSheetId="11">#REF!</definedName>
    <definedName name="LIN" localSheetId="12">#REF!</definedName>
    <definedName name="LIN">#REF!</definedName>
    <definedName name="lis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A" localSheetId="8">#REF!</definedName>
    <definedName name="LISTA" localSheetId="5">#REF!</definedName>
    <definedName name="LISTA" localSheetId="9">#REF!</definedName>
    <definedName name="LISTA" localSheetId="10">#REF!</definedName>
    <definedName name="LISTA" localSheetId="0">#REF!</definedName>
    <definedName name="LISTA" localSheetId="11">#REF!</definedName>
    <definedName name="LISTA" localSheetId="12">#REF!</definedName>
    <definedName name="LISTA">#REF!</definedName>
    <definedName name="LISTA_CONTAS" localSheetId="8">#REF!</definedName>
    <definedName name="LISTA_CONTAS" localSheetId="5">#REF!</definedName>
    <definedName name="LISTA_CONTAS" localSheetId="9">#REF!</definedName>
    <definedName name="LISTA_CONTAS" localSheetId="10">#REF!</definedName>
    <definedName name="LISTA_CONTAS" localSheetId="0">#REF!</definedName>
    <definedName name="LISTA_CONTAS" localSheetId="11">#REF!</definedName>
    <definedName name="LISTA_CONTAS" localSheetId="12">#REF!</definedName>
    <definedName name="LISTA_CONTAS">#REF!</definedName>
    <definedName name="lista_empresa" localSheetId="8">OFFSET(INDEX(#REF!,MATCH(#REF!,#REF!,0)),1,0,COUNTA(#REF!)-1)</definedName>
    <definedName name="lista_empresa" localSheetId="5">OFFSET(INDEX(#REF!,MATCH(#REF!,#REF!,0)),1,0,COUNTA(#REF!)-1)</definedName>
    <definedName name="lista_empresa" localSheetId="9">OFFSET(INDEX(#REF!,MATCH(#REF!,#REF!,0)),1,0,COUNTA(#REF!)-1)</definedName>
    <definedName name="lista_empresa" localSheetId="10">OFFSET(INDEX(#REF!,MATCH(#REF!,#REF!,0)),1,0,COUNTA(#REF!)-1)</definedName>
    <definedName name="lista_empresa" localSheetId="0">OFFSET(INDEX(#REF!,MATCH(#REF!,#REF!,0)),1,0,COUNTA(#REF!)-1)</definedName>
    <definedName name="lista_empresa" localSheetId="11">OFFSET(INDEX(#REF!,MATCH(#REF!,#REF!,0)),1,0,COUNTA(#REF!)-1)</definedName>
    <definedName name="lista_empresa" localSheetId="12">OFFSET(INDEX(#REF!,MATCH(#REF!,#REF!,0)),1,0,COUNTA(#REF!)-1)</definedName>
    <definedName name="lista_empresa">OFFSET(INDEX(#REF!,MATCH(#REF!,#REF!,0)),1,0,COUNTA(#REF!)-1)</definedName>
    <definedName name="LISTA_FORNECEDORES" localSheetId="8">#REF!</definedName>
    <definedName name="LISTA_FORNECEDORES" localSheetId="5">#REF!</definedName>
    <definedName name="LISTA_FORNECEDORES" localSheetId="9">#REF!</definedName>
    <definedName name="LISTA_FORNECEDORES" localSheetId="10">#REF!</definedName>
    <definedName name="LISTA_FORNECEDORES" localSheetId="0">#REF!</definedName>
    <definedName name="LISTA_FORNECEDORES" localSheetId="11">#REF!</definedName>
    <definedName name="LISTA_FORNECEDORES" localSheetId="12">#REF!</definedName>
    <definedName name="LISTA_FORNECEDORES">#REF!</definedName>
    <definedName name="LISTSEL" localSheetId="8">#REF!</definedName>
    <definedName name="LISTSEL" localSheetId="5">#REF!</definedName>
    <definedName name="LISTSEL" localSheetId="9">#REF!</definedName>
    <definedName name="LISTSEL" localSheetId="10">#REF!</definedName>
    <definedName name="LISTSEL" localSheetId="0">#REF!</definedName>
    <definedName name="LISTSEL" localSheetId="11">#REF!</definedName>
    <definedName name="LISTSEL" localSheetId="12">#REF!</definedName>
    <definedName name="LISTSEL">#REF!</definedName>
    <definedName name="listt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stt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LIV" localSheetId="8">#REF!</definedName>
    <definedName name="LIV" localSheetId="5">#REF!</definedName>
    <definedName name="LIV" localSheetId="9">#REF!</definedName>
    <definedName name="LIV" localSheetId="10">#REF!</definedName>
    <definedName name="LIV" localSheetId="0">#REF!</definedName>
    <definedName name="LIV" localSheetId="11">#REF!</definedName>
    <definedName name="LIV" localSheetId="12">#REF!</definedName>
    <definedName name="LIV">#REF!</definedName>
    <definedName name="LIX" localSheetId="8">#REF!</definedName>
    <definedName name="LIX" localSheetId="5">#REF!</definedName>
    <definedName name="LIX" localSheetId="9">#REF!</definedName>
    <definedName name="LIX" localSheetId="10">#REF!</definedName>
    <definedName name="LIX" localSheetId="0">#REF!</definedName>
    <definedName name="LIX" localSheetId="11">#REF!</definedName>
    <definedName name="LIX" localSheetId="12">#REF!</definedName>
    <definedName name="LIX">#REF!</definedName>
    <definedName name="ljdfkgyt" localSheetId="3" hidden="1">{#N/A,#N/A,FALSE,"Plan1";#N/A,#N/A,FALSE,"Plan2"}</definedName>
    <definedName name="ljdfkgyt" localSheetId="8">{#N/A,#N/A,FALSE,"Plan1";#N/A,#N/A,FALSE,"Plan2"}</definedName>
    <definedName name="ljdfkgyt" localSheetId="5" hidden="1">{#N/A,#N/A,FALSE,"Plan1";#N/A,#N/A,FALSE,"Plan2"}</definedName>
    <definedName name="ljdfkgyt" localSheetId="4" hidden="1">{#N/A,#N/A,FALSE,"Plan1";#N/A,#N/A,FALSE,"Plan2"}</definedName>
    <definedName name="ljdfkgyt" localSheetId="9">{#N/A,#N/A,FALSE,"Plan1";#N/A,#N/A,FALSE,"Plan2"}</definedName>
    <definedName name="ljdfkgyt" localSheetId="10" hidden="1">{#N/A,#N/A,FALSE,"Plan1";#N/A,#N/A,FALSE,"Plan2"}</definedName>
    <definedName name="ljdfkgyt" localSheetId="1" hidden="1">{#N/A,#N/A,FALSE,"Plan1";#N/A,#N/A,FALSE,"Plan2"}</definedName>
    <definedName name="ljdfkgyt" localSheetId="0">{#N/A,#N/A,FALSE,"Plan1";#N/A,#N/A,FALSE,"Plan2"}</definedName>
    <definedName name="ljdfkgyt" localSheetId="11" hidden="1">{#N/A,#N/A,FALSE,"Plan1";#N/A,#N/A,FALSE,"Plan2"}</definedName>
    <definedName name="ljdfkgyt" localSheetId="12" hidden="1">{#N/A,#N/A,FALSE,"Plan1";#N/A,#N/A,FALSE,"Plan2"}</definedName>
    <definedName name="ljdfkgyt" hidden="1">{#N/A,#N/A,FALSE,"Plan1";#N/A,#N/A,FALSE,"Plan2"}</definedName>
    <definedName name="LJDFLJRL" localSheetId="3" hidden="1">{#N/A,#N/A,FALSE,"Plan1";#N/A,#N/A,FALSE,"Plan2"}</definedName>
    <definedName name="LJDFLJRL" localSheetId="8">{#N/A,#N/A,FALSE,"Plan1";#N/A,#N/A,FALSE,"Plan2"}</definedName>
    <definedName name="LJDFLJRL" localSheetId="5" hidden="1">{#N/A,#N/A,FALSE,"Plan1";#N/A,#N/A,FALSE,"Plan2"}</definedName>
    <definedName name="LJDFLJRL" localSheetId="4" hidden="1">{#N/A,#N/A,FALSE,"Plan1";#N/A,#N/A,FALSE,"Plan2"}</definedName>
    <definedName name="LJDFLJRL" localSheetId="9">{#N/A,#N/A,FALSE,"Plan1";#N/A,#N/A,FALSE,"Plan2"}</definedName>
    <definedName name="LJDFLJRL" localSheetId="10" hidden="1">{#N/A,#N/A,FALSE,"Plan1";#N/A,#N/A,FALSE,"Plan2"}</definedName>
    <definedName name="LJDFLJRL" localSheetId="1" hidden="1">{#N/A,#N/A,FALSE,"Plan1";#N/A,#N/A,FALSE,"Plan2"}</definedName>
    <definedName name="LJDFLJRL" localSheetId="0">{#N/A,#N/A,FALSE,"Plan1";#N/A,#N/A,FALSE,"Plan2"}</definedName>
    <definedName name="LJDFLJRL" localSheetId="11" hidden="1">{#N/A,#N/A,FALSE,"Plan1";#N/A,#N/A,FALSE,"Plan2"}</definedName>
    <definedName name="LJDFLJRL" localSheetId="12" hidden="1">{#N/A,#N/A,FALSE,"Plan1";#N/A,#N/A,FALSE,"Plan2"}</definedName>
    <definedName name="LJDFLJRL" hidden="1">{#N/A,#N/A,FALSE,"Plan1";#N/A,#N/A,FALSE,"Plan2"}</definedName>
    <definedName name="ljsdfrd" localSheetId="3" hidden="1">{#N/A,#N/A,FALSE,"Plan1";#N/A,#N/A,FALSE,"Plan2"}</definedName>
    <definedName name="ljsdfrd" localSheetId="8">{#N/A,#N/A,FALSE,"Plan1";#N/A,#N/A,FALSE,"Plan2"}</definedName>
    <definedName name="ljsdfrd" localSheetId="5" hidden="1">{#N/A,#N/A,FALSE,"Plan1";#N/A,#N/A,FALSE,"Plan2"}</definedName>
    <definedName name="ljsdfrd" localSheetId="4" hidden="1">{#N/A,#N/A,FALSE,"Plan1";#N/A,#N/A,FALSE,"Plan2"}</definedName>
    <definedName name="ljsdfrd" localSheetId="9">{#N/A,#N/A,FALSE,"Plan1";#N/A,#N/A,FALSE,"Plan2"}</definedName>
    <definedName name="ljsdfrd" localSheetId="10" hidden="1">{#N/A,#N/A,FALSE,"Plan1";#N/A,#N/A,FALSE,"Plan2"}</definedName>
    <definedName name="ljsdfrd" localSheetId="1" hidden="1">{#N/A,#N/A,FALSE,"Plan1";#N/A,#N/A,FALSE,"Plan2"}</definedName>
    <definedName name="ljsdfrd" localSheetId="0">{#N/A,#N/A,FALSE,"Plan1";#N/A,#N/A,FALSE,"Plan2"}</definedName>
    <definedName name="ljsdfrd" localSheetId="11" hidden="1">{#N/A,#N/A,FALSE,"Plan1";#N/A,#N/A,FALSE,"Plan2"}</definedName>
    <definedName name="ljsdfrd" localSheetId="12" hidden="1">{#N/A,#N/A,FALSE,"Plan1";#N/A,#N/A,FALSE,"Plan2"}</definedName>
    <definedName name="ljsdfrd" hidden="1">{#N/A,#N/A,FALSE,"Plan1";#N/A,#N/A,FALSE,"Plan2"}</definedName>
    <definedName name="LJSFLDJDLKFJG" localSheetId="8">#REF!</definedName>
    <definedName name="LJSFLDJDLKFJG" localSheetId="5" hidden="1">#REF!</definedName>
    <definedName name="LJSFLDJDLKFJG" localSheetId="9">#REF!</definedName>
    <definedName name="LJSFLDJDLKFJG" localSheetId="10" hidden="1">#REF!</definedName>
    <definedName name="LJSFLDJDLKFJG" localSheetId="1" hidden="1">#REF!</definedName>
    <definedName name="LJSFLDJDLKFJG" localSheetId="0">#REF!</definedName>
    <definedName name="LJSFLDJDLKFJG" localSheetId="11" hidden="1">#REF!</definedName>
    <definedName name="LJSFLDJDLKFJG" localSheetId="12" hidden="1">#REF!</definedName>
    <definedName name="LJSFLDJDLKFJG" hidden="1">#REF!</definedName>
    <definedName name="LK" localSheetId="3" hidden="1">{#N/A,#N/A,TRUE,"Quinzena 01 à 15-04-98 "}</definedName>
    <definedName name="LK" localSheetId="8">{#N/A,#N/A,TRUE,"Quinzena 01 à 15-04-98 "}</definedName>
    <definedName name="LK" localSheetId="5" hidden="1">{#N/A,#N/A,TRUE,"Quinzena 01 à 15-04-98 "}</definedName>
    <definedName name="LK" localSheetId="4" hidden="1">{#N/A,#N/A,TRUE,"Quinzena 01 à 15-04-98 "}</definedName>
    <definedName name="LK" localSheetId="9">{#N/A,#N/A,TRUE,"Quinzena 01 à 15-04-98 "}</definedName>
    <definedName name="LK" localSheetId="10" hidden="1">{#N/A,#N/A,TRUE,"Quinzena 01 à 15-04-98 "}</definedName>
    <definedName name="LK" localSheetId="1" hidden="1">{#N/A,#N/A,TRUE,"Quinzena 01 à 15-04-98 "}</definedName>
    <definedName name="LK" localSheetId="0">{#N/A,#N/A,TRUE,"Quinzena 01 à 15-04-98 "}</definedName>
    <definedName name="LK" localSheetId="11" hidden="1">{#N/A,#N/A,TRUE,"Quinzena 01 à 15-04-98 "}</definedName>
    <definedName name="LK" localSheetId="12" hidden="1">{#N/A,#N/A,TRUE,"Quinzena 01 à 15-04-98 "}</definedName>
    <definedName name="LK" hidden="1">{#N/A,#N/A,TRUE,"Quinzena 01 à 15-04-98 "}</definedName>
    <definedName name="lkasdkeo" localSheetId="3" hidden="1">{#N/A,#N/A,FALSE,"Plan1";#N/A,#N/A,FALSE,"Plan2"}</definedName>
    <definedName name="lkasdkeo" localSheetId="8">{#N/A,#N/A,FALSE,"Plan1";#N/A,#N/A,FALSE,"Plan2"}</definedName>
    <definedName name="lkasdkeo" localSheetId="5" hidden="1">{#N/A,#N/A,FALSE,"Plan1";#N/A,#N/A,FALSE,"Plan2"}</definedName>
    <definedName name="lkasdkeo" localSheetId="4" hidden="1">{#N/A,#N/A,FALSE,"Plan1";#N/A,#N/A,FALSE,"Plan2"}</definedName>
    <definedName name="lkasdkeo" localSheetId="9">{#N/A,#N/A,FALSE,"Plan1";#N/A,#N/A,FALSE,"Plan2"}</definedName>
    <definedName name="lkasdkeo" localSheetId="10" hidden="1">{#N/A,#N/A,FALSE,"Plan1";#N/A,#N/A,FALSE,"Plan2"}</definedName>
    <definedName name="lkasdkeo" localSheetId="1" hidden="1">{#N/A,#N/A,FALSE,"Plan1";#N/A,#N/A,FALSE,"Plan2"}</definedName>
    <definedName name="lkasdkeo" localSheetId="0">{#N/A,#N/A,FALSE,"Plan1";#N/A,#N/A,FALSE,"Plan2"}</definedName>
    <definedName name="lkasdkeo" localSheetId="11" hidden="1">{#N/A,#N/A,FALSE,"Plan1";#N/A,#N/A,FALSE,"Plan2"}</definedName>
    <definedName name="lkasdkeo" localSheetId="12" hidden="1">{#N/A,#N/A,FALSE,"Plan1";#N/A,#N/A,FALSE,"Plan2"}</definedName>
    <definedName name="lkasdkeo" hidden="1">{#N/A,#N/A,FALSE,"Plan1";#N/A,#N/A,FALSE,"Plan2"}</definedName>
    <definedName name="lkdeas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eas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kdzxfsdrf" localSheetId="3" hidden="1">{#N/A,#N/A,FALSE,"Plan1";#N/A,#N/A,FALSE,"Plan2"}</definedName>
    <definedName name="lkdzxfsdrf" localSheetId="8">{#N/A,#N/A,FALSE,"Plan1";#N/A,#N/A,FALSE,"Plan2"}</definedName>
    <definedName name="lkdzxfsdrf" localSheetId="5" hidden="1">{#N/A,#N/A,FALSE,"Plan1";#N/A,#N/A,FALSE,"Plan2"}</definedName>
    <definedName name="lkdzxfsdrf" localSheetId="4" hidden="1">{#N/A,#N/A,FALSE,"Plan1";#N/A,#N/A,FALSE,"Plan2"}</definedName>
    <definedName name="lkdzxfsdrf" localSheetId="9">{#N/A,#N/A,FALSE,"Plan1";#N/A,#N/A,FALSE,"Plan2"}</definedName>
    <definedName name="lkdzxfsdrf" localSheetId="10" hidden="1">{#N/A,#N/A,FALSE,"Plan1";#N/A,#N/A,FALSE,"Plan2"}</definedName>
    <definedName name="lkdzxfsdrf" localSheetId="1" hidden="1">{#N/A,#N/A,FALSE,"Plan1";#N/A,#N/A,FALSE,"Plan2"}</definedName>
    <definedName name="lkdzxfsdrf" localSheetId="0">{#N/A,#N/A,FALSE,"Plan1";#N/A,#N/A,FALSE,"Plan2"}</definedName>
    <definedName name="lkdzxfsdrf" localSheetId="11" hidden="1">{#N/A,#N/A,FALSE,"Plan1";#N/A,#N/A,FALSE,"Plan2"}</definedName>
    <definedName name="lkdzxfsdrf" localSheetId="12" hidden="1">{#N/A,#N/A,FALSE,"Plan1";#N/A,#N/A,FALSE,"Plan2"}</definedName>
    <definedName name="lkdzxfsdrf" hidden="1">{#N/A,#N/A,FALSE,"Plan1";#N/A,#N/A,FALSE,"Plan2"}</definedName>
    <definedName name="lkfdkçtktr" localSheetId="3" hidden="1">{#N/A,#N/A,FALSE,"Plan1";#N/A,#N/A,FALSE,"Plan2"}</definedName>
    <definedName name="lkfdkçtktr" localSheetId="8">{#N/A,#N/A,FALSE,"Plan1";#N/A,#N/A,FALSE,"Plan2"}</definedName>
    <definedName name="lkfdkçtktr" localSheetId="5" hidden="1">{#N/A,#N/A,FALSE,"Plan1";#N/A,#N/A,FALSE,"Plan2"}</definedName>
    <definedName name="lkfdkçtktr" localSheetId="4" hidden="1">{#N/A,#N/A,FALSE,"Plan1";#N/A,#N/A,FALSE,"Plan2"}</definedName>
    <definedName name="lkfdkçtktr" localSheetId="9">{#N/A,#N/A,FALSE,"Plan1";#N/A,#N/A,FALSE,"Plan2"}</definedName>
    <definedName name="lkfdkçtktr" localSheetId="10" hidden="1">{#N/A,#N/A,FALSE,"Plan1";#N/A,#N/A,FALSE,"Plan2"}</definedName>
    <definedName name="lkfdkçtktr" localSheetId="1" hidden="1">{#N/A,#N/A,FALSE,"Plan1";#N/A,#N/A,FALSE,"Plan2"}</definedName>
    <definedName name="lkfdkçtktr" localSheetId="0">{#N/A,#N/A,FALSE,"Plan1";#N/A,#N/A,FALSE,"Plan2"}</definedName>
    <definedName name="lkfdkçtktr" localSheetId="11" hidden="1">{#N/A,#N/A,FALSE,"Plan1";#N/A,#N/A,FALSE,"Plan2"}</definedName>
    <definedName name="lkfdkçtktr" localSheetId="12" hidden="1">{#N/A,#N/A,FALSE,"Plan1";#N/A,#N/A,FALSE,"Plan2"}</definedName>
    <definedName name="lkfdkçtktr" hidden="1">{#N/A,#N/A,FALSE,"Plan1";#N/A,#N/A,FALSE,"Plan2"}</definedName>
    <definedName name="lkjr4" hidden="1">17</definedName>
    <definedName name="LKSSDKÇ\E" localSheetId="3" hidden="1">{#N/A,#N/A,FALSE,"Plan1";#N/A,#N/A,FALSE,"Plan2"}</definedName>
    <definedName name="LKSSDKÇ\E" localSheetId="5" hidden="1">{#N/A,#N/A,FALSE,"Plan1";#N/A,#N/A,FALSE,"Plan2"}</definedName>
    <definedName name="LKSSDKÇ\E" localSheetId="4" hidden="1">{#N/A,#N/A,FALSE,"Plan1";#N/A,#N/A,FALSE,"Plan2"}</definedName>
    <definedName name="LKSSDKÇ\E" localSheetId="10" hidden="1">{#N/A,#N/A,FALSE,"Plan1";#N/A,#N/A,FALSE,"Plan2"}</definedName>
    <definedName name="LKSSDKÇ\E" localSheetId="1" hidden="1">{#N/A,#N/A,FALSE,"Plan1";#N/A,#N/A,FALSE,"Plan2"}</definedName>
    <definedName name="LKSSDKÇ\E" localSheetId="0" hidden="1">{#N/A,#N/A,FALSE,"Plan1";#N/A,#N/A,FALSE,"Plan2"}</definedName>
    <definedName name="LKSSDKÇ\E" localSheetId="11" hidden="1">{#N/A,#N/A,FALSE,"Plan1";#N/A,#N/A,FALSE,"Plan2"}</definedName>
    <definedName name="LKSSDKÇ\E" localSheetId="12" hidden="1">{#N/A,#N/A,FALSE,"Plan1";#N/A,#N/A,FALSE,"Plan2"}</definedName>
    <definedName name="LKSSDKÇ\E" hidden="1">{#N/A,#N/A,FALSE,"Plan1";#N/A,#N/A,FALSE,"Plan2"}</definedName>
    <definedName name="lkt" localSheetId="3" hidden="1">{#N/A,#N/A,FALSE,"Plan1";#N/A,#N/A,FALSE,"Plan2"}</definedName>
    <definedName name="lkt" localSheetId="8">{#N/A,#N/A,FALSE,"Plan1";#N/A,#N/A,FALSE,"Plan2"}</definedName>
    <definedName name="lkt" localSheetId="5" hidden="1">{#N/A,#N/A,FALSE,"Plan1";#N/A,#N/A,FALSE,"Plan2"}</definedName>
    <definedName name="lkt" localSheetId="4" hidden="1">{#N/A,#N/A,FALSE,"Plan1";#N/A,#N/A,FALSE,"Plan2"}</definedName>
    <definedName name="lkt" localSheetId="9">{#N/A,#N/A,FALSE,"Plan1";#N/A,#N/A,FALSE,"Plan2"}</definedName>
    <definedName name="lkt" localSheetId="10" hidden="1">{#N/A,#N/A,FALSE,"Plan1";#N/A,#N/A,FALSE,"Plan2"}</definedName>
    <definedName name="lkt" localSheetId="1" hidden="1">{#N/A,#N/A,FALSE,"Plan1";#N/A,#N/A,FALSE,"Plan2"}</definedName>
    <definedName name="lkt" localSheetId="0">{#N/A,#N/A,FALSE,"Plan1";#N/A,#N/A,FALSE,"Plan2"}</definedName>
    <definedName name="lkt" localSheetId="11" hidden="1">{#N/A,#N/A,FALSE,"Plan1";#N/A,#N/A,FALSE,"Plan2"}</definedName>
    <definedName name="lkt" localSheetId="12" hidden="1">{#N/A,#N/A,FALSE,"Plan1";#N/A,#N/A,FALSE,"Plan2"}</definedName>
    <definedName name="lkt" hidden="1">{#N/A,#N/A,FALSE,"Plan1";#N/A,#N/A,FALSE,"Plan2"}</definedName>
    <definedName name="lktlyklt" localSheetId="3" hidden="1">{#N/A,#N/A,FALSE,"Plan1";#N/A,#N/A,FALSE,"Plan2"}</definedName>
    <definedName name="lktlyklt" localSheetId="8">{#N/A,#N/A,FALSE,"Plan1";#N/A,#N/A,FALSE,"Plan2"}</definedName>
    <definedName name="lktlyklt" localSheetId="5" hidden="1">{#N/A,#N/A,FALSE,"Plan1";#N/A,#N/A,FALSE,"Plan2"}</definedName>
    <definedName name="lktlyklt" localSheetId="4" hidden="1">{#N/A,#N/A,FALSE,"Plan1";#N/A,#N/A,FALSE,"Plan2"}</definedName>
    <definedName name="lktlyklt" localSheetId="9">{#N/A,#N/A,FALSE,"Plan1";#N/A,#N/A,FALSE,"Plan2"}</definedName>
    <definedName name="lktlyklt" localSheetId="10" hidden="1">{#N/A,#N/A,FALSE,"Plan1";#N/A,#N/A,FALSE,"Plan2"}</definedName>
    <definedName name="lktlyklt" localSheetId="1" hidden="1">{#N/A,#N/A,FALSE,"Plan1";#N/A,#N/A,FALSE,"Plan2"}</definedName>
    <definedName name="lktlyklt" localSheetId="0">{#N/A,#N/A,FALSE,"Plan1";#N/A,#N/A,FALSE,"Plan2"}</definedName>
    <definedName name="lktlyklt" localSheetId="11" hidden="1">{#N/A,#N/A,FALSE,"Plan1";#N/A,#N/A,FALSE,"Plan2"}</definedName>
    <definedName name="lktlyklt" localSheetId="12" hidden="1">{#N/A,#N/A,FALSE,"Plan1";#N/A,#N/A,FALSE,"Plan2"}</definedName>
    <definedName name="lktlyklt" hidden="1">{#N/A,#N/A,FALSE,"Plan1";#N/A,#N/A,FALSE,"Plan2"}</definedName>
    <definedName name="LKTTYT" localSheetId="3" hidden="1">{#N/A,#N/A,FALSE,"Plan1";#N/A,#N/A,FALSE,"Plan2"}</definedName>
    <definedName name="LKTTYT" localSheetId="8">{#N/A,#N/A,FALSE,"Plan1";#N/A,#N/A,FALSE,"Plan2"}</definedName>
    <definedName name="LKTTYT" localSheetId="5" hidden="1">{#N/A,#N/A,FALSE,"Plan1";#N/A,#N/A,FALSE,"Plan2"}</definedName>
    <definedName name="LKTTYT" localSheetId="4" hidden="1">{#N/A,#N/A,FALSE,"Plan1";#N/A,#N/A,FALSE,"Plan2"}</definedName>
    <definedName name="LKTTYT" localSheetId="9">{#N/A,#N/A,FALSE,"Plan1";#N/A,#N/A,FALSE,"Plan2"}</definedName>
    <definedName name="LKTTYT" localSheetId="10" hidden="1">{#N/A,#N/A,FALSE,"Plan1";#N/A,#N/A,FALSE,"Plan2"}</definedName>
    <definedName name="LKTTYT" localSheetId="1" hidden="1">{#N/A,#N/A,FALSE,"Plan1";#N/A,#N/A,FALSE,"Plan2"}</definedName>
    <definedName name="LKTTYT" localSheetId="0">{#N/A,#N/A,FALSE,"Plan1";#N/A,#N/A,FALSE,"Plan2"}</definedName>
    <definedName name="LKTTYT" localSheetId="11" hidden="1">{#N/A,#N/A,FALSE,"Plan1";#N/A,#N/A,FALSE,"Plan2"}</definedName>
    <definedName name="LKTTYT" localSheetId="12" hidden="1">{#N/A,#N/A,FALSE,"Plan1";#N/A,#N/A,FALSE,"Plan2"}</definedName>
    <definedName name="LKTTYT" hidden="1">{#N/A,#N/A,FALSE,"Plan1";#N/A,#N/A,FALSE,"Plan2"}</definedName>
    <definedName name="llgg" localSheetId="3" hidden="1">{#N/A,#N/A,FALSE,"Plan1";#N/A,#N/A,FALSE,"Plan2"}</definedName>
    <definedName name="llgg" localSheetId="8">{#N/A,#N/A,FALSE,"Plan1";#N/A,#N/A,FALSE,"Plan2"}</definedName>
    <definedName name="llgg" localSheetId="5" hidden="1">{#N/A,#N/A,FALSE,"Plan1";#N/A,#N/A,FALSE,"Plan2"}</definedName>
    <definedName name="llgg" localSheetId="4" hidden="1">{#N/A,#N/A,FALSE,"Plan1";#N/A,#N/A,FALSE,"Plan2"}</definedName>
    <definedName name="llgg" localSheetId="9">{#N/A,#N/A,FALSE,"Plan1";#N/A,#N/A,FALSE,"Plan2"}</definedName>
    <definedName name="llgg" localSheetId="10" hidden="1">{#N/A,#N/A,FALSE,"Plan1";#N/A,#N/A,FALSE,"Plan2"}</definedName>
    <definedName name="llgg" localSheetId="1" hidden="1">{#N/A,#N/A,FALSE,"Plan1";#N/A,#N/A,FALSE,"Plan2"}</definedName>
    <definedName name="llgg" localSheetId="0">{#N/A,#N/A,FALSE,"Plan1";#N/A,#N/A,FALSE,"Plan2"}</definedName>
    <definedName name="llgg" localSheetId="11" hidden="1">{#N/A,#N/A,FALSE,"Plan1";#N/A,#N/A,FALSE,"Plan2"}</definedName>
    <definedName name="llgg" localSheetId="12" hidden="1">{#N/A,#N/A,FALSE,"Plan1";#N/A,#N/A,FALSE,"Plan2"}</definedName>
    <definedName name="llgg" hidden="1">{#N/A,#N/A,FALSE,"Plan1";#N/A,#N/A,FALSE,"Plan2"}</definedName>
    <definedName name="LLL" localSheetId="3" hidden="1">{#N/A,#N/A,FALSE,"Plan1";#N/A,#N/A,FALSE,"Plan2"}</definedName>
    <definedName name="LLL" localSheetId="8">{#N/A,#N/A,FALSE,"Plan1";#N/A,#N/A,FALSE,"Plan2"}</definedName>
    <definedName name="LLL" localSheetId="5" hidden="1">{#N/A,#N/A,FALSE,"Plan1";#N/A,#N/A,FALSE,"Plan2"}</definedName>
    <definedName name="LLL" localSheetId="4" hidden="1">{#N/A,#N/A,FALSE,"Plan1";#N/A,#N/A,FALSE,"Plan2"}</definedName>
    <definedName name="LLL" localSheetId="9">{#N/A,#N/A,FALSE,"Plan1";#N/A,#N/A,FALSE,"Plan2"}</definedName>
    <definedName name="LLL" localSheetId="10" hidden="1">{#N/A,#N/A,FALSE,"Plan1";#N/A,#N/A,FALSE,"Plan2"}</definedName>
    <definedName name="LLL" localSheetId="1" hidden="1">{#N/A,#N/A,FALSE,"Plan1";#N/A,#N/A,FALSE,"Plan2"}</definedName>
    <definedName name="LLL" localSheetId="0">{#N/A,#N/A,FALSE,"Plan1";#N/A,#N/A,FALSE,"Plan2"}</definedName>
    <definedName name="LLL" localSheetId="11" hidden="1">{#N/A,#N/A,FALSE,"Plan1";#N/A,#N/A,FALSE,"Plan2"}</definedName>
    <definedName name="LLL" localSheetId="12" hidden="1">{#N/A,#N/A,FALSE,"Plan1";#N/A,#N/A,FALSE,"Plan2"}</definedName>
    <definedName name="LLL" hidden="1">{#N/A,#N/A,FALSE,"Plan1";#N/A,#N/A,FALSE,"Plan2"}</definedName>
    <definedName name="LM_AR" localSheetId="3" hidden="1">{#N/A,#N/A,FALSE,"F-01"}</definedName>
    <definedName name="LM_AR" localSheetId="8">{#N/A,#N/A,FALSE,"F-01"}</definedName>
    <definedName name="LM_AR" localSheetId="5" hidden="1">{#N/A,#N/A,FALSE,"F-01"}</definedName>
    <definedName name="LM_AR" localSheetId="4" hidden="1">{#N/A,#N/A,FALSE,"F-01"}</definedName>
    <definedName name="LM_AR" localSheetId="9">{#N/A,#N/A,FALSE,"F-01"}</definedName>
    <definedName name="LM_AR" localSheetId="10" hidden="1">{#N/A,#N/A,FALSE,"F-01"}</definedName>
    <definedName name="LM_AR" localSheetId="1" hidden="1">{#N/A,#N/A,FALSE,"F-01"}</definedName>
    <definedName name="LM_AR" localSheetId="0">{#N/A,#N/A,FALSE,"F-01"}</definedName>
    <definedName name="LM_AR" localSheetId="11" hidden="1">{#N/A,#N/A,FALSE,"F-01"}</definedName>
    <definedName name="LM_AR" localSheetId="12" hidden="1">{#N/A,#N/A,FALSE,"F-01"}</definedName>
    <definedName name="LM_AR" hidden="1">{#N/A,#N/A,FALSE,"F-01"}</definedName>
    <definedName name="LM_AT" localSheetId="3" hidden="1">{#N/A,#N/A,FALSE,"F-01"}</definedName>
    <definedName name="LM_AT" localSheetId="8">{#N/A,#N/A,FALSE,"F-01"}</definedName>
    <definedName name="LM_AT" localSheetId="5" hidden="1">{#N/A,#N/A,FALSE,"F-01"}</definedName>
    <definedName name="LM_AT" localSheetId="4" hidden="1">{#N/A,#N/A,FALSE,"F-01"}</definedName>
    <definedName name="LM_AT" localSheetId="9">{#N/A,#N/A,FALSE,"F-01"}</definedName>
    <definedName name="LM_AT" localSheetId="10" hidden="1">{#N/A,#N/A,FALSE,"F-01"}</definedName>
    <definedName name="LM_AT" localSheetId="1" hidden="1">{#N/A,#N/A,FALSE,"F-01"}</definedName>
    <definedName name="LM_AT" localSheetId="0">{#N/A,#N/A,FALSE,"F-01"}</definedName>
    <definedName name="LM_AT" localSheetId="11" hidden="1">{#N/A,#N/A,FALSE,"F-01"}</definedName>
    <definedName name="LM_AT" localSheetId="12" hidden="1">{#N/A,#N/A,FALSE,"F-01"}</definedName>
    <definedName name="LM_AT" hidden="1">{#N/A,#N/A,FALSE,"F-01"}</definedName>
    <definedName name="LM_INC" localSheetId="3" hidden="1">{#N/A,#N/A,FALSE,"F-01"}</definedName>
    <definedName name="LM_INC" localSheetId="8">{#N/A,#N/A,FALSE,"F-01"}</definedName>
    <definedName name="LM_INC" localSheetId="5" hidden="1">{#N/A,#N/A,FALSE,"F-01"}</definedName>
    <definedName name="LM_INC" localSheetId="4" hidden="1">{#N/A,#N/A,FALSE,"F-01"}</definedName>
    <definedName name="LM_INC" localSheetId="9">{#N/A,#N/A,FALSE,"F-01"}</definedName>
    <definedName name="LM_INC" localSheetId="10" hidden="1">{#N/A,#N/A,FALSE,"F-01"}</definedName>
    <definedName name="LM_INC" localSheetId="1" hidden="1">{#N/A,#N/A,FALSE,"F-01"}</definedName>
    <definedName name="LM_INC" localSheetId="0">{#N/A,#N/A,FALSE,"F-01"}</definedName>
    <definedName name="LM_INC" localSheetId="11" hidden="1">{#N/A,#N/A,FALSE,"F-01"}</definedName>
    <definedName name="LM_INC" localSheetId="12" hidden="1">{#N/A,#N/A,FALSE,"F-01"}</definedName>
    <definedName name="LM_INC" hidden="1">{#N/A,#N/A,FALSE,"F-01"}</definedName>
    <definedName name="LMPAS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MPAS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OCALMENU" localSheetId="8">#REF!</definedName>
    <definedName name="LOCALMENU" localSheetId="5">#REF!</definedName>
    <definedName name="LOCALMENU" localSheetId="9">#REF!</definedName>
    <definedName name="LOCALMENU" localSheetId="10">#REF!</definedName>
    <definedName name="LOCALMENU" localSheetId="0">#REF!</definedName>
    <definedName name="LOCALMENU" localSheetId="11">#REF!</definedName>
    <definedName name="LOCALMENU" localSheetId="12">#REF!</definedName>
    <definedName name="LOCALMENU">#REF!</definedName>
    <definedName name="LOCALOBRA" localSheetId="8">#REF!</definedName>
    <definedName name="LOCALOBRA" localSheetId="5">#REF!</definedName>
    <definedName name="LOCALOBRA" localSheetId="9">#REF!</definedName>
    <definedName name="LOCALOBRA" localSheetId="10">#REF!</definedName>
    <definedName name="LOCALOBRA" localSheetId="0">#REF!</definedName>
    <definedName name="LOCALOBRA" localSheetId="11">#REF!</definedName>
    <definedName name="LOCALOBRA" localSheetId="12">#REF!</definedName>
    <definedName name="LOCALOBRA">#REF!</definedName>
    <definedName name="LS" localSheetId="8">'[1]M.O.'!#REF!</definedName>
    <definedName name="LS" localSheetId="5">'[1]M.O.'!#REF!</definedName>
    <definedName name="LS" localSheetId="9">'[1]M.O.'!#REF!</definedName>
    <definedName name="LS" localSheetId="10">'[1]M.O.'!#REF!</definedName>
    <definedName name="LS" localSheetId="1">'[1]M.O.'!#REF!</definedName>
    <definedName name="LS" localSheetId="0">'[1]M.O.'!#REF!</definedName>
    <definedName name="LS" localSheetId="11">'[1]M.O.'!#REF!</definedName>
    <definedName name="LS" localSheetId="12">'[1]M.O.'!#REF!</definedName>
    <definedName name="LS">'[1]M.O.'!#REF!</definedName>
    <definedName name="LSDFKLDKFTR" localSheetId="3" hidden="1">{#N/A,#N/A,FALSE,"Plan1";#N/A,#N/A,FALSE,"Plan2"}</definedName>
    <definedName name="LSDFKLDKFTR" localSheetId="8">{#N/A,#N/A,FALSE,"Plan1";#N/A,#N/A,FALSE,"Plan2"}</definedName>
    <definedName name="LSDFKLDKFTR" localSheetId="5" hidden="1">{#N/A,#N/A,FALSE,"Plan1";#N/A,#N/A,FALSE,"Plan2"}</definedName>
    <definedName name="LSDFKLDKFTR" localSheetId="4" hidden="1">{#N/A,#N/A,FALSE,"Plan1";#N/A,#N/A,FALSE,"Plan2"}</definedName>
    <definedName name="LSDFKLDKFTR" localSheetId="9">{#N/A,#N/A,FALSE,"Plan1";#N/A,#N/A,FALSE,"Plan2"}</definedName>
    <definedName name="LSDFKLDKFTR" localSheetId="10" hidden="1">{#N/A,#N/A,FALSE,"Plan1";#N/A,#N/A,FALSE,"Plan2"}</definedName>
    <definedName name="LSDFKLDKFTR" localSheetId="1" hidden="1">{#N/A,#N/A,FALSE,"Plan1";#N/A,#N/A,FALSE,"Plan2"}</definedName>
    <definedName name="LSDFKLDKFTR" localSheetId="0">{#N/A,#N/A,FALSE,"Plan1";#N/A,#N/A,FALSE,"Plan2"}</definedName>
    <definedName name="LSDFKLDKFTR" localSheetId="11" hidden="1">{#N/A,#N/A,FALSE,"Plan1";#N/A,#N/A,FALSE,"Plan2"}</definedName>
    <definedName name="LSDFKLDKFTR" localSheetId="12" hidden="1">{#N/A,#N/A,FALSE,"Plan1";#N/A,#N/A,FALSE,"Plan2"}</definedName>
    <definedName name="LSDFKLDKFTR" hidden="1">{#N/A,#N/A,FALSE,"Plan1";#N/A,#N/A,FALSE,"Plan2"}</definedName>
    <definedName name="lsdjs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js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lsdkljfkg" localSheetId="3" hidden="1">{#N/A,#N/A,FALSE,"Plan1";#N/A,#N/A,FALSE,"Plan2"}</definedName>
    <definedName name="lsdkljfkg" localSheetId="8">{#N/A,#N/A,FALSE,"Plan1";#N/A,#N/A,FALSE,"Plan2"}</definedName>
    <definedName name="lsdkljfkg" localSheetId="5" hidden="1">{#N/A,#N/A,FALSE,"Plan1";#N/A,#N/A,FALSE,"Plan2"}</definedName>
    <definedName name="lsdkljfkg" localSheetId="4" hidden="1">{#N/A,#N/A,FALSE,"Plan1";#N/A,#N/A,FALSE,"Plan2"}</definedName>
    <definedName name="lsdkljfkg" localSheetId="9">{#N/A,#N/A,FALSE,"Plan1";#N/A,#N/A,FALSE,"Plan2"}</definedName>
    <definedName name="lsdkljfkg" localSheetId="10" hidden="1">{#N/A,#N/A,FALSE,"Plan1";#N/A,#N/A,FALSE,"Plan2"}</definedName>
    <definedName name="lsdkljfkg" localSheetId="1" hidden="1">{#N/A,#N/A,FALSE,"Plan1";#N/A,#N/A,FALSE,"Plan2"}</definedName>
    <definedName name="lsdkljfkg" localSheetId="0">{#N/A,#N/A,FALSE,"Plan1";#N/A,#N/A,FALSE,"Plan2"}</definedName>
    <definedName name="lsdkljfkg" localSheetId="11" hidden="1">{#N/A,#N/A,FALSE,"Plan1";#N/A,#N/A,FALSE,"Plan2"}</definedName>
    <definedName name="lsdkljfkg" localSheetId="12" hidden="1">{#N/A,#N/A,FALSE,"Plan1";#N/A,#N/A,FALSE,"Plan2"}</definedName>
    <definedName name="lsdkljfkg" hidden="1">{#N/A,#N/A,FALSE,"Plan1";#N/A,#N/A,FALSE,"Plan2"}</definedName>
    <definedName name="lsdsder" localSheetId="3" hidden="1">{#N/A,#N/A,FALSE,"Plan1";#N/A,#N/A,FALSE,"Plan2"}</definedName>
    <definedName name="lsdsder" localSheetId="8">{#N/A,#N/A,FALSE,"Plan1";#N/A,#N/A,FALSE,"Plan2"}</definedName>
    <definedName name="lsdsder" localSheetId="5" hidden="1">{#N/A,#N/A,FALSE,"Plan1";#N/A,#N/A,FALSE,"Plan2"}</definedName>
    <definedName name="lsdsder" localSheetId="4" hidden="1">{#N/A,#N/A,FALSE,"Plan1";#N/A,#N/A,FALSE,"Plan2"}</definedName>
    <definedName name="lsdsder" localSheetId="9">{#N/A,#N/A,FALSE,"Plan1";#N/A,#N/A,FALSE,"Plan2"}</definedName>
    <definedName name="lsdsder" localSheetId="10" hidden="1">{#N/A,#N/A,FALSE,"Plan1";#N/A,#N/A,FALSE,"Plan2"}</definedName>
    <definedName name="lsdsder" localSheetId="1" hidden="1">{#N/A,#N/A,FALSE,"Plan1";#N/A,#N/A,FALSE,"Plan2"}</definedName>
    <definedName name="lsdsder" localSheetId="0">{#N/A,#N/A,FALSE,"Plan1";#N/A,#N/A,FALSE,"Plan2"}</definedName>
    <definedName name="lsdsder" localSheetId="11" hidden="1">{#N/A,#N/A,FALSE,"Plan1";#N/A,#N/A,FALSE,"Plan2"}</definedName>
    <definedName name="lsdsder" localSheetId="12" hidden="1">{#N/A,#N/A,FALSE,"Plan1";#N/A,#N/A,FALSE,"Plan2"}</definedName>
    <definedName name="lsdsder" hidden="1">{#N/A,#N/A,FALSE,"Plan1";#N/A,#N/A,FALSE,"Plan2"}</definedName>
    <definedName name="ltj6ljyhdjhngças" localSheetId="3" hidden="1">{#N/A,#N/A,FALSE,"Plan1";#N/A,#N/A,FALSE,"Plan2"}</definedName>
    <definedName name="ltj6ljyhdjhngças" localSheetId="8">{#N/A,#N/A,FALSE,"Plan1";#N/A,#N/A,FALSE,"Plan2"}</definedName>
    <definedName name="ltj6ljyhdjhngças" localSheetId="5" hidden="1">{#N/A,#N/A,FALSE,"Plan1";#N/A,#N/A,FALSE,"Plan2"}</definedName>
    <definedName name="ltj6ljyhdjhngças" localSheetId="4" hidden="1">{#N/A,#N/A,FALSE,"Plan1";#N/A,#N/A,FALSE,"Plan2"}</definedName>
    <definedName name="ltj6ljyhdjhngças" localSheetId="9">{#N/A,#N/A,FALSE,"Plan1";#N/A,#N/A,FALSE,"Plan2"}</definedName>
    <definedName name="ltj6ljyhdjhngças" localSheetId="10" hidden="1">{#N/A,#N/A,FALSE,"Plan1";#N/A,#N/A,FALSE,"Plan2"}</definedName>
    <definedName name="ltj6ljyhdjhngças" localSheetId="1" hidden="1">{#N/A,#N/A,FALSE,"Plan1";#N/A,#N/A,FALSE,"Plan2"}</definedName>
    <definedName name="ltj6ljyhdjhngças" localSheetId="0">{#N/A,#N/A,FALSE,"Plan1";#N/A,#N/A,FALSE,"Plan2"}</definedName>
    <definedName name="ltj6ljyhdjhngças" localSheetId="11" hidden="1">{#N/A,#N/A,FALSE,"Plan1";#N/A,#N/A,FALSE,"Plan2"}</definedName>
    <definedName name="ltj6ljyhdjhngças" localSheetId="12" hidden="1">{#N/A,#N/A,FALSE,"Plan1";#N/A,#N/A,FALSE,"Plan2"}</definedName>
    <definedName name="ltj6ljyhdjhngças" hidden="1">{#N/A,#N/A,FALSE,"Plan1";#N/A,#N/A,FALSE,"Plan2"}</definedName>
    <definedName name="LUCRO" localSheetId="8">#REF!</definedName>
    <definedName name="LUCRO" localSheetId="5">#REF!</definedName>
    <definedName name="LUCRO" localSheetId="9">#REF!</definedName>
    <definedName name="LUCRO" localSheetId="10">#REF!</definedName>
    <definedName name="LUCRO" localSheetId="0">#REF!</definedName>
    <definedName name="LUCRO" localSheetId="11">#REF!</definedName>
    <definedName name="LUCRO" localSheetId="12">#REF!</definedName>
    <definedName name="LUCRO">#REF!</definedName>
    <definedName name="luis_cdi" localSheetId="8">#REF!</definedName>
    <definedName name="luis_cdi" localSheetId="5">#REF!</definedName>
    <definedName name="luis_cdi" localSheetId="9">#REF!</definedName>
    <definedName name="luis_cdi" localSheetId="10">#REF!</definedName>
    <definedName name="luis_cdi" localSheetId="0">#REF!</definedName>
    <definedName name="luis_cdi" localSheetId="11">#REF!</definedName>
    <definedName name="luis_cdi" localSheetId="12">#REF!</definedName>
    <definedName name="luis_cdi">#REF!</definedName>
    <definedName name="luis_hist" localSheetId="8">#REF!</definedName>
    <definedName name="luis_hist" localSheetId="5">#REF!</definedName>
    <definedName name="luis_hist" localSheetId="9">#REF!</definedName>
    <definedName name="luis_hist" localSheetId="10">#REF!</definedName>
    <definedName name="luis_hist" localSheetId="0">#REF!</definedName>
    <definedName name="luis_hist" localSheetId="11">#REF!</definedName>
    <definedName name="luis_hist" localSheetId="12">#REF!</definedName>
    <definedName name="luis_hist">#REF!</definedName>
    <definedName name="luis_uss" localSheetId="8">#REF!</definedName>
    <definedName name="luis_uss" localSheetId="5">#REF!</definedName>
    <definedName name="luis_uss" localSheetId="10">#REF!</definedName>
    <definedName name="luis_uss" localSheetId="11">#REF!</definedName>
    <definedName name="luis_uss" localSheetId="12">#REF!</definedName>
    <definedName name="luis_uss">#REF!</definedName>
    <definedName name="LV" localSheetId="8">#REF!</definedName>
    <definedName name="LV" localSheetId="5">#REF!</definedName>
    <definedName name="LV" localSheetId="10">#REF!</definedName>
    <definedName name="LV" localSheetId="11">#REF!</definedName>
    <definedName name="LV" localSheetId="12">#REF!</definedName>
    <definedName name="LV">#REF!</definedName>
    <definedName name="LVI" localSheetId="8">#REF!</definedName>
    <definedName name="LVI" localSheetId="5">#REF!</definedName>
    <definedName name="LVI" localSheetId="10">#REF!</definedName>
    <definedName name="LVI" localSheetId="11">#REF!</definedName>
    <definedName name="LVI" localSheetId="12">#REF!</definedName>
    <definedName name="LVI">#REF!</definedName>
    <definedName name="LVII" localSheetId="8">#REF!</definedName>
    <definedName name="LVII" localSheetId="5">#REF!</definedName>
    <definedName name="LVII" localSheetId="10">#REF!</definedName>
    <definedName name="LVII" localSheetId="11">#REF!</definedName>
    <definedName name="LVII" localSheetId="12">#REF!</definedName>
    <definedName name="LVII">#REF!</definedName>
    <definedName name="LVIII" localSheetId="8">#REF!</definedName>
    <definedName name="LVIII" localSheetId="5">#REF!</definedName>
    <definedName name="LVIII" localSheetId="10">#REF!</definedName>
    <definedName name="LVIII" localSheetId="11">#REF!</definedName>
    <definedName name="LVIII" localSheetId="12">#REF!</definedName>
    <definedName name="LVIII">#REF!</definedName>
    <definedName name="lwaeddew" localSheetId="8">#REF!</definedName>
    <definedName name="lwaeddew" localSheetId="1" hidden="1">#REF!</definedName>
    <definedName name="lwaeddew" hidden="1">#REF!</definedName>
    <definedName name="LXX" localSheetId="8">#REF!</definedName>
    <definedName name="LXX" localSheetId="5">#REF!</definedName>
    <definedName name="LXX" localSheetId="10">#REF!</definedName>
    <definedName name="LXX" localSheetId="11">#REF!</definedName>
    <definedName name="LXX" localSheetId="12">#REF!</definedName>
    <definedName name="LXX">#REF!</definedName>
    <definedName name="LXXI" localSheetId="8">#REF!</definedName>
    <definedName name="LXXI" localSheetId="5">#REF!</definedName>
    <definedName name="LXXI" localSheetId="10">#REF!</definedName>
    <definedName name="LXXI" localSheetId="11">#REF!</definedName>
    <definedName name="LXXI" localSheetId="12">#REF!</definedName>
    <definedName name="LXXI">#REF!</definedName>
    <definedName name="LXXII" localSheetId="8">#REF!</definedName>
    <definedName name="LXXII" localSheetId="5">#REF!</definedName>
    <definedName name="LXXII" localSheetId="10">#REF!</definedName>
    <definedName name="LXXII" localSheetId="11">#REF!</definedName>
    <definedName name="LXXII" localSheetId="12">#REF!</definedName>
    <definedName name="LXXII">#REF!</definedName>
    <definedName name="LXXIII" localSheetId="8">#REF!</definedName>
    <definedName name="LXXIII" localSheetId="5">#REF!</definedName>
    <definedName name="LXXIII" localSheetId="10">#REF!</definedName>
    <definedName name="LXXIII" localSheetId="11">#REF!</definedName>
    <definedName name="LXXIII" localSheetId="12">#REF!</definedName>
    <definedName name="LXXIII">#REF!</definedName>
    <definedName name="LXXIV" localSheetId="8">#REF!</definedName>
    <definedName name="LXXIV" localSheetId="5">#REF!</definedName>
    <definedName name="LXXIV" localSheetId="10">#REF!</definedName>
    <definedName name="LXXIV" localSheetId="11">#REF!</definedName>
    <definedName name="LXXIV" localSheetId="12">#REF!</definedName>
    <definedName name="LXXIV">#REF!</definedName>
    <definedName name="LXXIX" localSheetId="8">#REF!</definedName>
    <definedName name="LXXIX" localSheetId="5">#REF!</definedName>
    <definedName name="LXXIX" localSheetId="10">#REF!</definedName>
    <definedName name="LXXIX" localSheetId="11">#REF!</definedName>
    <definedName name="LXXIX" localSheetId="12">#REF!</definedName>
    <definedName name="LXXIX">#REF!</definedName>
    <definedName name="LXXV" localSheetId="8">#REF!</definedName>
    <definedName name="LXXV" localSheetId="5">#REF!</definedName>
    <definedName name="LXXV" localSheetId="10">#REF!</definedName>
    <definedName name="LXXV" localSheetId="11">#REF!</definedName>
    <definedName name="LXXV" localSheetId="12">#REF!</definedName>
    <definedName name="LXXV">#REF!</definedName>
    <definedName name="LXXVI" localSheetId="8">#REF!</definedName>
    <definedName name="LXXVI" localSheetId="5">#REF!</definedName>
    <definedName name="LXXVI" localSheetId="10">#REF!</definedName>
    <definedName name="LXXVI" localSheetId="11">#REF!</definedName>
    <definedName name="LXXVI" localSheetId="12">#REF!</definedName>
    <definedName name="LXXVI">#REF!</definedName>
    <definedName name="LXXVII" localSheetId="8">#REF!</definedName>
    <definedName name="LXXVII" localSheetId="5">#REF!</definedName>
    <definedName name="LXXVII" localSheetId="10">#REF!</definedName>
    <definedName name="LXXVII" localSheetId="11">#REF!</definedName>
    <definedName name="LXXVII" localSheetId="12">#REF!</definedName>
    <definedName name="LXXVII">#REF!</definedName>
    <definedName name="LXXVIII" localSheetId="8">#REF!</definedName>
    <definedName name="LXXVIII" localSheetId="5">#REF!</definedName>
    <definedName name="LXXVIII" localSheetId="10">#REF!</definedName>
    <definedName name="LXXVIII" localSheetId="11">#REF!</definedName>
    <definedName name="LXXVIII" localSheetId="12">#REF!</definedName>
    <definedName name="LXXVIII">#REF!</definedName>
    <definedName name="LXXX" localSheetId="8">#REF!</definedName>
    <definedName name="LXXX" localSheetId="5">#REF!</definedName>
    <definedName name="LXXX" localSheetId="10">#REF!</definedName>
    <definedName name="LXXX" localSheetId="11">#REF!</definedName>
    <definedName name="LXXX" localSheetId="12">#REF!</definedName>
    <definedName name="LXXX">#REF!</definedName>
    <definedName name="LXXXI" localSheetId="8">#REF!</definedName>
    <definedName name="LXXXI" localSheetId="5">#REF!</definedName>
    <definedName name="LXXXI" localSheetId="10">#REF!</definedName>
    <definedName name="LXXXI" localSheetId="11">#REF!</definedName>
    <definedName name="LXXXI" localSheetId="12">#REF!</definedName>
    <definedName name="LXXXI">#REF!</definedName>
    <definedName name="LXXXII" localSheetId="8">#REF!</definedName>
    <definedName name="LXXXII" localSheetId="5">#REF!</definedName>
    <definedName name="LXXXII" localSheetId="10">#REF!</definedName>
    <definedName name="LXXXII" localSheetId="11">#REF!</definedName>
    <definedName name="LXXXII" localSheetId="12">#REF!</definedName>
    <definedName name="LXXXII">#REF!</definedName>
    <definedName name="LXXXIII" localSheetId="8">#REF!</definedName>
    <definedName name="LXXXIII" localSheetId="5">#REF!</definedName>
    <definedName name="LXXXIII" localSheetId="10">#REF!</definedName>
    <definedName name="LXXXIII" localSheetId="11">#REF!</definedName>
    <definedName name="LXXXIII" localSheetId="12">#REF!</definedName>
    <definedName name="LXXXIII">#REF!</definedName>
    <definedName name="LXXXIV" localSheetId="8">#REF!</definedName>
    <definedName name="LXXXIV" localSheetId="5">#REF!</definedName>
    <definedName name="LXXXIV" localSheetId="10">#REF!</definedName>
    <definedName name="LXXXIV" localSheetId="11">#REF!</definedName>
    <definedName name="LXXXIV" localSheetId="12">#REF!</definedName>
    <definedName name="LXXXIV">#REF!</definedName>
    <definedName name="LXXXV" localSheetId="8">#REF!</definedName>
    <definedName name="LXXXV" localSheetId="5">#REF!</definedName>
    <definedName name="LXXXV" localSheetId="10">#REF!</definedName>
    <definedName name="LXXXV" localSheetId="11">#REF!</definedName>
    <definedName name="LXXXV" localSheetId="12">#REF!</definedName>
    <definedName name="LXXXV">#REF!</definedName>
    <definedName name="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ADRI" localSheetId="8">#REF!</definedName>
    <definedName name="MADRI" localSheetId="5">#REF!</definedName>
    <definedName name="MADRI" localSheetId="9">#REF!</definedName>
    <definedName name="MADRI" localSheetId="10">#REF!</definedName>
    <definedName name="MADRI" localSheetId="0">#REF!</definedName>
    <definedName name="MADRI" localSheetId="11">#REF!</definedName>
    <definedName name="MADRI" localSheetId="12">#REF!</definedName>
    <definedName name="MADRI">#REF!</definedName>
    <definedName name="mai17RJ" localSheetId="8">#REF!</definedName>
    <definedName name="mai17RJ" localSheetId="5">#REF!</definedName>
    <definedName name="mai17RJ" localSheetId="9">#REF!</definedName>
    <definedName name="mai17RJ" localSheetId="10">#REF!</definedName>
    <definedName name="mai17RJ" localSheetId="0">#REF!</definedName>
    <definedName name="mai17RJ" localSheetId="11">#REF!</definedName>
    <definedName name="mai17RJ" localSheetId="12">#REF!</definedName>
    <definedName name="mai17RJ">#REF!</definedName>
    <definedName name="MAIO" localSheetId="8">#REF!</definedName>
    <definedName name="MAIO" localSheetId="5">#REF!</definedName>
    <definedName name="MAIO" localSheetId="9">#REF!</definedName>
    <definedName name="MAIO" localSheetId="10">#REF!</definedName>
    <definedName name="MAIO" localSheetId="0">#REF!</definedName>
    <definedName name="MAIO" localSheetId="11">#REF!</definedName>
    <definedName name="MAIO" localSheetId="12">#REF!</definedName>
    <definedName name="MAIO">#REF!</definedName>
    <definedName name="MAIO2001" localSheetId="8">#REF!</definedName>
    <definedName name="MAIO2001" localSheetId="5">#REF!</definedName>
    <definedName name="MAIO2001" localSheetId="10">#REF!</definedName>
    <definedName name="MAIO2001" localSheetId="11">#REF!</definedName>
    <definedName name="MAIO2001" localSheetId="12">#REF!</definedName>
    <definedName name="MAIO2001">#REF!</definedName>
    <definedName name="MAISAP" localSheetId="3" hidden="1">{#N/A,#N/A,FALSE,"Plan1";#N/A,#N/A,FALSE,"Plan2"}</definedName>
    <definedName name="MAISAP" localSheetId="8">{#N/A,#N/A,FALSE,"Plan1";#N/A,#N/A,FALSE,"Plan2"}</definedName>
    <definedName name="MAISAP" localSheetId="5" hidden="1">{#N/A,#N/A,FALSE,"Plan1";#N/A,#N/A,FALSE,"Plan2"}</definedName>
    <definedName name="MAISAP" localSheetId="4" hidden="1">{#N/A,#N/A,FALSE,"Plan1";#N/A,#N/A,FALSE,"Plan2"}</definedName>
    <definedName name="MAISAP" localSheetId="9">{#N/A,#N/A,FALSE,"Plan1";#N/A,#N/A,FALSE,"Plan2"}</definedName>
    <definedName name="MAISAP" localSheetId="10" hidden="1">{#N/A,#N/A,FALSE,"Plan1";#N/A,#N/A,FALSE,"Plan2"}</definedName>
    <definedName name="MAISAP" localSheetId="1" hidden="1">{#N/A,#N/A,FALSE,"Plan1";#N/A,#N/A,FALSE,"Plan2"}</definedName>
    <definedName name="MAISAP" localSheetId="0">{#N/A,#N/A,FALSE,"Plan1";#N/A,#N/A,FALSE,"Plan2"}</definedName>
    <definedName name="MAISAP" localSheetId="11" hidden="1">{#N/A,#N/A,FALSE,"Plan1";#N/A,#N/A,FALSE,"Plan2"}</definedName>
    <definedName name="MAISAP" localSheetId="12" hidden="1">{#N/A,#N/A,FALSE,"Plan1";#N/A,#N/A,FALSE,"Plan2"}</definedName>
    <definedName name="MAISAP" hidden="1">{#N/A,#N/A,FALSE,"Plan1";#N/A,#N/A,FALSE,"Plan2"}</definedName>
    <definedName name="MANTO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O_DE_OBRA" localSheetId="8">#REF!</definedName>
    <definedName name="MAO_DE_OBRA" localSheetId="5">#REF!</definedName>
    <definedName name="MAO_DE_OBRA" localSheetId="9">#REF!</definedName>
    <definedName name="MAO_DE_OBRA" localSheetId="10">#REF!</definedName>
    <definedName name="MAO_DE_OBRA" localSheetId="0">#REF!</definedName>
    <definedName name="MAO_DE_OBRA" localSheetId="11">#REF!</definedName>
    <definedName name="MAO_DE_OBRA" localSheetId="12">#REF!</definedName>
    <definedName name="MAO_DE_OBRA">#REF!</definedName>
    <definedName name="mar17RJ" localSheetId="8">#REF!</definedName>
    <definedName name="mar17RJ" localSheetId="5">#REF!</definedName>
    <definedName name="mar17RJ" localSheetId="9">#REF!</definedName>
    <definedName name="mar17RJ" localSheetId="10">#REF!</definedName>
    <definedName name="mar17RJ" localSheetId="0">#REF!</definedName>
    <definedName name="mar17RJ" localSheetId="11">#REF!</definedName>
    <definedName name="mar17RJ" localSheetId="12">#REF!</definedName>
    <definedName name="mar17RJ">#REF!</definedName>
    <definedName name="MARCAX" localSheetId="8">#REF!</definedName>
    <definedName name="MARCAX" localSheetId="5">#REF!</definedName>
    <definedName name="MARCAX" localSheetId="9">#REF!</definedName>
    <definedName name="MARCAX" localSheetId="10">#REF!</definedName>
    <definedName name="MARCAX" localSheetId="0">#REF!</definedName>
    <definedName name="MARCAX" localSheetId="11">#REF!</definedName>
    <definedName name="MARCAX" localSheetId="12">#REF!</definedName>
    <definedName name="MARCAX">#REF!</definedName>
    <definedName name="MARÇO" localSheetId="8">#REF!</definedName>
    <definedName name="MARÇO" localSheetId="5">#REF!</definedName>
    <definedName name="MARÇO" localSheetId="10">#REF!</definedName>
    <definedName name="MARÇO" localSheetId="11">#REF!</definedName>
    <definedName name="MARÇO" localSheetId="12">#REF!</definedName>
    <definedName name="MARÇO">#REF!</definedName>
    <definedName name="MARÇO2001" localSheetId="8">#REF!</definedName>
    <definedName name="MARÇO2001" localSheetId="5">#REF!</definedName>
    <definedName name="MARÇO2001" localSheetId="10">#REF!</definedName>
    <definedName name="MARÇO2001" localSheetId="11">#REF!</definedName>
    <definedName name="MARÇO2001" localSheetId="12">#REF!</definedName>
    <definedName name="MARÇO2001">#REF!</definedName>
    <definedName name="martha" localSheetId="8">#REF!</definedName>
    <definedName name="martha" localSheetId="5">#REF!</definedName>
    <definedName name="martha" localSheetId="10">#REF!</definedName>
    <definedName name="martha" localSheetId="11">#REF!</definedName>
    <definedName name="martha" localSheetId="12">#REF!</definedName>
    <definedName name="martha">#REF!</definedName>
    <definedName name="MASTER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ERIAL" localSheetId="8">#REF!</definedName>
    <definedName name="MATERIAL" localSheetId="5">#REF!</definedName>
    <definedName name="MATERIAL" localSheetId="9">#REF!</definedName>
    <definedName name="MATERIAL" localSheetId="10">#REF!</definedName>
    <definedName name="MATERIAL" localSheetId="0">#REF!</definedName>
    <definedName name="MATERIAL" localSheetId="11">#REF!</definedName>
    <definedName name="MATERIAL" localSheetId="12">#REF!</definedName>
    <definedName name="MATERIAL">#REF!</definedName>
    <definedName name="mattubcu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tubcu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URILIO" localSheetId="3" hidden="1">{#N/A,#N/A,FALSE,"Plan1";#N/A,#N/A,FALSE,"Plan2"}</definedName>
    <definedName name="MAURILIO" localSheetId="8">{#N/A,#N/A,FALSE,"Plan1";#N/A,#N/A,FALSE,"Plan2"}</definedName>
    <definedName name="MAURILIO" localSheetId="5" hidden="1">{#N/A,#N/A,FALSE,"Plan1";#N/A,#N/A,FALSE,"Plan2"}</definedName>
    <definedName name="MAURILIO" localSheetId="4" hidden="1">{#N/A,#N/A,FALSE,"Plan1";#N/A,#N/A,FALSE,"Plan2"}</definedName>
    <definedName name="MAURILIO" localSheetId="9">{#N/A,#N/A,FALSE,"Plan1";#N/A,#N/A,FALSE,"Plan2"}</definedName>
    <definedName name="MAURILIO" localSheetId="10" hidden="1">{#N/A,#N/A,FALSE,"Plan1";#N/A,#N/A,FALSE,"Plan2"}</definedName>
    <definedName name="MAURILIO" localSheetId="1" hidden="1">{#N/A,#N/A,FALSE,"Plan1";#N/A,#N/A,FALSE,"Plan2"}</definedName>
    <definedName name="MAURILIO" localSheetId="0">{#N/A,#N/A,FALSE,"Plan1";#N/A,#N/A,FALSE,"Plan2"}</definedName>
    <definedName name="MAURILIO" localSheetId="11" hidden="1">{#N/A,#N/A,FALSE,"Plan1";#N/A,#N/A,FALSE,"Plan2"}</definedName>
    <definedName name="MAURILIO" localSheetId="12" hidden="1">{#N/A,#N/A,FALSE,"Plan1";#N/A,#N/A,FALSE,"Plan2"}</definedName>
    <definedName name="MAURILIO" hidden="1">{#N/A,#N/A,FALSE,"Plan1";#N/A,#N/A,FALSE,"Plan2"}</definedName>
    <definedName name="MC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V" localSheetId="8">#REF!</definedName>
    <definedName name="MCMV" localSheetId="5">#REF!</definedName>
    <definedName name="MCMV" localSheetId="9">#REF!</definedName>
    <definedName name="MCMV" localSheetId="10">#REF!</definedName>
    <definedName name="MCMV" localSheetId="0">#REF!</definedName>
    <definedName name="MCMV" localSheetId="11">#REF!</definedName>
    <definedName name="MCMV" localSheetId="12">#REF!</definedName>
    <definedName name="MCMV">#REF!</definedName>
    <definedName name="mdfgtr" localSheetId="3" hidden="1">{#N/A,#N/A,FALSE,"Plan1";#N/A,#N/A,FALSE,"Plan2"}</definedName>
    <definedName name="mdfgtr" localSheetId="8">{#N/A,#N/A,FALSE,"Plan1";#N/A,#N/A,FALSE,"Plan2"}</definedName>
    <definedName name="mdfgtr" localSheetId="5" hidden="1">{#N/A,#N/A,FALSE,"Plan1";#N/A,#N/A,FALSE,"Plan2"}</definedName>
    <definedName name="mdfgtr" localSheetId="4" hidden="1">{#N/A,#N/A,FALSE,"Plan1";#N/A,#N/A,FALSE,"Plan2"}</definedName>
    <definedName name="mdfgtr" localSheetId="9">{#N/A,#N/A,FALSE,"Plan1";#N/A,#N/A,FALSE,"Plan2"}</definedName>
    <definedName name="mdfgtr" localSheetId="10" hidden="1">{#N/A,#N/A,FALSE,"Plan1";#N/A,#N/A,FALSE,"Plan2"}</definedName>
    <definedName name="mdfgtr" localSheetId="1" hidden="1">{#N/A,#N/A,FALSE,"Plan1";#N/A,#N/A,FALSE,"Plan2"}</definedName>
    <definedName name="mdfgtr" localSheetId="0">{#N/A,#N/A,FALSE,"Plan1";#N/A,#N/A,FALSE,"Plan2"}</definedName>
    <definedName name="mdfgtr" localSheetId="11" hidden="1">{#N/A,#N/A,FALSE,"Plan1";#N/A,#N/A,FALSE,"Plan2"}</definedName>
    <definedName name="mdfgtr" localSheetId="12" hidden="1">{#N/A,#N/A,FALSE,"Plan1";#N/A,#N/A,FALSE,"Plan2"}</definedName>
    <definedName name="mdfgtr" hidden="1">{#N/A,#N/A,FALSE,"Plan1";#N/A,#N/A,FALSE,"Plan2"}</definedName>
    <definedName name="MDSÇLFJKJSD" localSheetId="3" hidden="1">{#N/A,#N/A,FALSE,"Plan1";#N/A,#N/A,FALSE,"Plan2"}</definedName>
    <definedName name="MDSÇLFJKJSD" localSheetId="8">{#N/A,#N/A,FALSE,"Plan1";#N/A,#N/A,FALSE,"Plan2"}</definedName>
    <definedName name="MDSÇLFJKJSD" localSheetId="5" hidden="1">{#N/A,#N/A,FALSE,"Plan1";#N/A,#N/A,FALSE,"Plan2"}</definedName>
    <definedName name="MDSÇLFJKJSD" localSheetId="4" hidden="1">{#N/A,#N/A,FALSE,"Plan1";#N/A,#N/A,FALSE,"Plan2"}</definedName>
    <definedName name="MDSÇLFJKJSD" localSheetId="9">{#N/A,#N/A,FALSE,"Plan1";#N/A,#N/A,FALSE,"Plan2"}</definedName>
    <definedName name="MDSÇLFJKJSD" localSheetId="10" hidden="1">{#N/A,#N/A,FALSE,"Plan1";#N/A,#N/A,FALSE,"Plan2"}</definedName>
    <definedName name="MDSÇLFJKJSD" localSheetId="1" hidden="1">{#N/A,#N/A,FALSE,"Plan1";#N/A,#N/A,FALSE,"Plan2"}</definedName>
    <definedName name="MDSÇLFJKJSD" localSheetId="0">{#N/A,#N/A,FALSE,"Plan1";#N/A,#N/A,FALSE,"Plan2"}</definedName>
    <definedName name="MDSÇLFJKJSD" localSheetId="11" hidden="1">{#N/A,#N/A,FALSE,"Plan1";#N/A,#N/A,FALSE,"Plan2"}</definedName>
    <definedName name="MDSÇLFJKJSD" localSheetId="12" hidden="1">{#N/A,#N/A,FALSE,"Plan1";#N/A,#N/A,FALSE,"Plan2"}</definedName>
    <definedName name="MDSÇLFJKJSD" hidden="1">{#N/A,#N/A,FALSE,"Plan1";#N/A,#N/A,FALSE,"Plan2"}</definedName>
    <definedName name="ME" localSheetId="3" hidden="1">{"HW",#N/A,FALSE,"1998"}</definedName>
    <definedName name="ME" localSheetId="8">{"HW",#N/A,FALSE,"1998"}</definedName>
    <definedName name="ME" localSheetId="5" hidden="1">{"HW",#N/A,FALSE,"1998"}</definedName>
    <definedName name="ME" localSheetId="4" hidden="1">{"HW",#N/A,FALSE,"1998"}</definedName>
    <definedName name="ME" localSheetId="9">{"HW",#N/A,FALSE,"1998"}</definedName>
    <definedName name="ME" localSheetId="10" hidden="1">{"HW",#N/A,FALSE,"1998"}</definedName>
    <definedName name="ME" localSheetId="1" hidden="1">{"HW",#N/A,FALSE,"1998"}</definedName>
    <definedName name="ME" localSheetId="0">{"HW",#N/A,FALSE,"1998"}</definedName>
    <definedName name="ME" localSheetId="11" hidden="1">{"HW",#N/A,FALSE,"1998"}</definedName>
    <definedName name="ME" localSheetId="12" hidden="1">{"HW",#N/A,FALSE,"1998"}</definedName>
    <definedName name="ME" hidden="1">{"HW",#N/A,FALSE,"1998"}</definedName>
    <definedName name="Medido_Fin_Medições" localSheetId="8">#REF!</definedName>
    <definedName name="Medido_Fin_Medições" localSheetId="5">#REF!</definedName>
    <definedName name="Medido_Fin_Medições" localSheetId="9">#REF!</definedName>
    <definedName name="Medido_Fin_Medições" localSheetId="10">#REF!</definedName>
    <definedName name="Medido_Fin_Medições" localSheetId="0">#REF!</definedName>
    <definedName name="Medido_Fin_Medições" localSheetId="11">#REF!</definedName>
    <definedName name="Medido_Fin_Medições" localSheetId="12">#REF!</definedName>
    <definedName name="Medido_Fin_Medições">#REF!</definedName>
    <definedName name="melo_cdi" localSheetId="8">#REF!</definedName>
    <definedName name="melo_cdi" localSheetId="5">#REF!</definedName>
    <definedName name="melo_cdi" localSheetId="9">#REF!</definedName>
    <definedName name="melo_cdi" localSheetId="10">#REF!</definedName>
    <definedName name="melo_cdi" localSheetId="0">#REF!</definedName>
    <definedName name="melo_cdi" localSheetId="11">#REF!</definedName>
    <definedName name="melo_cdi" localSheetId="12">#REF!</definedName>
    <definedName name="melo_cdi">#REF!</definedName>
    <definedName name="melo_hist" localSheetId="8">#REF!</definedName>
    <definedName name="melo_hist" localSheetId="5">#REF!</definedName>
    <definedName name="melo_hist" localSheetId="9">#REF!</definedName>
    <definedName name="melo_hist" localSheetId="10">#REF!</definedName>
    <definedName name="melo_hist" localSheetId="0">#REF!</definedName>
    <definedName name="melo_hist" localSheetId="11">#REF!</definedName>
    <definedName name="melo_hist" localSheetId="12">#REF!</definedName>
    <definedName name="melo_hist">#REF!</definedName>
    <definedName name="melo_uss" localSheetId="8">#REF!</definedName>
    <definedName name="melo_uss" localSheetId="5">#REF!</definedName>
    <definedName name="melo_uss" localSheetId="10">#REF!</definedName>
    <definedName name="melo_uss" localSheetId="11">#REF!</definedName>
    <definedName name="melo_uss" localSheetId="12">#REF!</definedName>
    <definedName name="melo_uss">#REF!</definedName>
    <definedName name="MEMÓRIA" localSheetId="8">#REF!</definedName>
    <definedName name="MEMÓRIA" localSheetId="5">#REF!</definedName>
    <definedName name="MEMÓRIA" localSheetId="10">#REF!</definedName>
    <definedName name="MEMÓRIA" localSheetId="11">#REF!</definedName>
    <definedName name="MEMÓRIA" localSheetId="12">#REF!</definedName>
    <definedName name="MEMÓRIA">#REF!</definedName>
    <definedName name="memória2" localSheetId="8">#REF!</definedName>
    <definedName name="memória2" localSheetId="5">#REF!</definedName>
    <definedName name="memória2" localSheetId="10">#REF!</definedName>
    <definedName name="memória2" localSheetId="11">#REF!</definedName>
    <definedName name="memória2" localSheetId="12">#REF!</definedName>
    <definedName name="memória2">#REF!</definedName>
    <definedName name="mensal" localSheetId="8">#REF!</definedName>
    <definedName name="mensal" localSheetId="5">#REF!</definedName>
    <definedName name="mensal" localSheetId="10">#REF!</definedName>
    <definedName name="mensal" localSheetId="11">#REF!</definedName>
    <definedName name="mensal" localSheetId="12">#REF!</definedName>
    <definedName name="mensal">#REF!</definedName>
    <definedName name="MENU" localSheetId="8">#REF!</definedName>
    <definedName name="MENU" localSheetId="5">#REF!</definedName>
    <definedName name="MENU" localSheetId="10">#REF!</definedName>
    <definedName name="MENU" localSheetId="1">#REF!</definedName>
    <definedName name="MENU" localSheetId="11">#REF!</definedName>
    <definedName name="MENU" localSheetId="12">#REF!</definedName>
    <definedName name="MENU">#REF!</definedName>
    <definedName name="MENU1" localSheetId="8">#REF!</definedName>
    <definedName name="MENU1" localSheetId="5">#REF!</definedName>
    <definedName name="MENU1" localSheetId="10">#REF!</definedName>
    <definedName name="MENU1" localSheetId="1">#REF!</definedName>
    <definedName name="MENU1" localSheetId="11">#REF!</definedName>
    <definedName name="MENU1" localSheetId="12">#REF!</definedName>
    <definedName name="MENU1">#REF!</definedName>
    <definedName name="MENU2" localSheetId="8">#REF!</definedName>
    <definedName name="MENU2" localSheetId="5">#REF!</definedName>
    <definedName name="MENU2" localSheetId="10">#REF!</definedName>
    <definedName name="MENU2" localSheetId="1">#REF!</definedName>
    <definedName name="MENU2" localSheetId="11">#REF!</definedName>
    <definedName name="MENU2" localSheetId="12">#REF!</definedName>
    <definedName name="MENU2">#REF!</definedName>
    <definedName name="MENU3" localSheetId="8">#REF!</definedName>
    <definedName name="MENU3" localSheetId="5">#REF!</definedName>
    <definedName name="MENU3" localSheetId="10">#REF!</definedName>
    <definedName name="MENU3" localSheetId="1">#REF!</definedName>
    <definedName name="MENU3" localSheetId="11">#REF!</definedName>
    <definedName name="MENU3" localSheetId="12">#REF!</definedName>
    <definedName name="MENU3">#REF!</definedName>
    <definedName name="MENU4" localSheetId="8">#REF!</definedName>
    <definedName name="MENU4" localSheetId="5">#REF!</definedName>
    <definedName name="MENU4" localSheetId="10">#REF!</definedName>
    <definedName name="MENU4" localSheetId="1">#REF!</definedName>
    <definedName name="MENU4" localSheetId="11">#REF!</definedName>
    <definedName name="MENU4" localSheetId="12">#REF!</definedName>
    <definedName name="MENU4">#REF!</definedName>
    <definedName name="MENU5" localSheetId="8">#REF!</definedName>
    <definedName name="MENU5" localSheetId="5">#REF!</definedName>
    <definedName name="MENU5" localSheetId="10">#REF!</definedName>
    <definedName name="MENU5" localSheetId="1">#REF!</definedName>
    <definedName name="MENU5" localSheetId="11">#REF!</definedName>
    <definedName name="MENU5" localSheetId="12">#REF!</definedName>
    <definedName name="MENU5">#REF!</definedName>
    <definedName name="MENU6" localSheetId="8">#REF!</definedName>
    <definedName name="MENU6" localSheetId="5">#REF!</definedName>
    <definedName name="MENU6" localSheetId="10">#REF!</definedName>
    <definedName name="MENU6" localSheetId="1">#REF!</definedName>
    <definedName name="MENU6" localSheetId="11">#REF!</definedName>
    <definedName name="MENU6" localSheetId="12">#REF!</definedName>
    <definedName name="MENU6">#REF!</definedName>
    <definedName name="MENUBOM" localSheetId="8">#REF!</definedName>
    <definedName name="MENUBOM" localSheetId="5">#REF!</definedName>
    <definedName name="MENUBOM" localSheetId="10">#REF!</definedName>
    <definedName name="MENUBOM" localSheetId="11">#REF!</definedName>
    <definedName name="MENUBOM" localSheetId="12">#REF!</definedName>
    <definedName name="MENUBOM">#REF!</definedName>
    <definedName name="MENUEQP" localSheetId="8">#REF!</definedName>
    <definedName name="MENUEQP" localSheetId="5">#REF!</definedName>
    <definedName name="MENUEQP" localSheetId="10">#REF!</definedName>
    <definedName name="MENUEQP" localSheetId="11">#REF!</definedName>
    <definedName name="MENUEQP" localSheetId="12">#REF!</definedName>
    <definedName name="MENUEQP">#REF!</definedName>
    <definedName name="MENUFIM" localSheetId="8">#REF!</definedName>
    <definedName name="MENUFIM" localSheetId="5">#REF!</definedName>
    <definedName name="MENUFIM" localSheetId="10">#REF!</definedName>
    <definedName name="MENUFIM" localSheetId="11">#REF!</definedName>
    <definedName name="MENUFIM" localSheetId="12">#REF!</definedName>
    <definedName name="MENUFIM">#REF!</definedName>
    <definedName name="MENUMED" localSheetId="8">#REF!</definedName>
    <definedName name="MENUMED" localSheetId="5">#REF!</definedName>
    <definedName name="MENUMED" localSheetId="10">#REF!</definedName>
    <definedName name="MENUMED" localSheetId="11">#REF!</definedName>
    <definedName name="MENUMED" localSheetId="12">#REF!</definedName>
    <definedName name="MENUMED">#REF!</definedName>
    <definedName name="MENUOBRA" localSheetId="8">#REF!</definedName>
    <definedName name="MENUOBRA" localSheetId="5">#REF!</definedName>
    <definedName name="MENUOBRA" localSheetId="10">#REF!</definedName>
    <definedName name="MENUOBRA" localSheetId="11">#REF!</definedName>
    <definedName name="MENUOBRA" localSheetId="12">#REF!</definedName>
    <definedName name="MENUOBRA">#REF!</definedName>
    <definedName name="MENUOUT" localSheetId="8">#REF!</definedName>
    <definedName name="MENUOUT" localSheetId="5">#REF!</definedName>
    <definedName name="MENUOUT" localSheetId="10">#REF!</definedName>
    <definedName name="MENUOUT" localSheetId="11">#REF!</definedName>
    <definedName name="MENUOUT" localSheetId="12">#REF!</definedName>
    <definedName name="MENUOUT">#REF!</definedName>
    <definedName name="MENUOUTRO" localSheetId="8">#REF!</definedName>
    <definedName name="MENUOUTRO" localSheetId="5">#REF!</definedName>
    <definedName name="MENUOUTRO" localSheetId="10">#REF!</definedName>
    <definedName name="MENUOUTRO" localSheetId="11">#REF!</definedName>
    <definedName name="MENUOUTRO" localSheetId="12">#REF!</definedName>
    <definedName name="MENUOUTRO">#REF!</definedName>
    <definedName name="menures" localSheetId="8">#REF!</definedName>
    <definedName name="menures" localSheetId="5">#REF!</definedName>
    <definedName name="menures" localSheetId="10">#REF!</definedName>
    <definedName name="menures" localSheetId="11">#REF!</definedName>
    <definedName name="menures" localSheetId="12">#REF!</definedName>
    <definedName name="menures">#REF!</definedName>
    <definedName name="Mês_data_base" localSheetId="8">#REF!</definedName>
    <definedName name="Mês_data_base" localSheetId="5">#REF!</definedName>
    <definedName name="Mês_data_base" localSheetId="10">#REF!</definedName>
    <definedName name="Mês_data_base" localSheetId="11">#REF!</definedName>
    <definedName name="Mês_data_base" localSheetId="12">#REF!</definedName>
    <definedName name="Mês_data_base">#REF!</definedName>
    <definedName name="Mês_Medição_Fin_Medições" localSheetId="8">#REF!</definedName>
    <definedName name="Mês_Medição_Fin_Medições" localSheetId="5">#REF!</definedName>
    <definedName name="Mês_Medição_Fin_Medições" localSheetId="10">#REF!</definedName>
    <definedName name="Mês_Medição_Fin_Medições" localSheetId="11">#REF!</definedName>
    <definedName name="Mês_Medição_Fin_Medições" localSheetId="12">#REF!</definedName>
    <definedName name="Mês_Medição_Fin_Medições">#REF!</definedName>
    <definedName name="mes_relatorio" localSheetId="8">#REF!</definedName>
    <definedName name="mes_relatorio" localSheetId="5">#REF!</definedName>
    <definedName name="mes_relatorio" localSheetId="10">#REF!</definedName>
    <definedName name="mes_relatorio" localSheetId="11">#REF!</definedName>
    <definedName name="mes_relatorio" localSheetId="12">#REF!</definedName>
    <definedName name="mes_relatorio">#REF!</definedName>
    <definedName name="Meses" localSheetId="8">#REF!</definedName>
    <definedName name="Meses" localSheetId="5">#REF!</definedName>
    <definedName name="Meses" localSheetId="10">#REF!</definedName>
    <definedName name="Meses" localSheetId="11">#REF!</definedName>
    <definedName name="Meses" localSheetId="12">#REF!</definedName>
    <definedName name="Meses">#REF!</definedName>
    <definedName name="MESTRE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a_venda" localSheetId="8">#REF!</definedName>
    <definedName name="meta_venda" localSheetId="5">#REF!</definedName>
    <definedName name="meta_venda" localSheetId="9">#REF!</definedName>
    <definedName name="meta_venda" localSheetId="10">#REF!</definedName>
    <definedName name="meta_venda" localSheetId="0">#REF!</definedName>
    <definedName name="meta_venda" localSheetId="11">#REF!</definedName>
    <definedName name="meta_venda" localSheetId="12">#REF!</definedName>
    <definedName name="meta_venda">#REF!</definedName>
    <definedName name="MetaBP" localSheetId="8">#REF!</definedName>
    <definedName name="MetaBP" localSheetId="5">#REF!</definedName>
    <definedName name="MetaBP" localSheetId="9">#REF!</definedName>
    <definedName name="MetaBP" localSheetId="10">#REF!</definedName>
    <definedName name="MetaBP" localSheetId="0">#REF!</definedName>
    <definedName name="MetaBP" localSheetId="11">#REF!</definedName>
    <definedName name="MetaBP" localSheetId="12">#REF!</definedName>
    <definedName name="MetaBP">#REF!</definedName>
    <definedName name="MILENA" localSheetId="8">#REF!</definedName>
    <definedName name="MILENA" localSheetId="9">#REF!</definedName>
    <definedName name="MILENA" localSheetId="10" hidden="1">#REF!</definedName>
    <definedName name="MILENA" localSheetId="1" hidden="1">#REF!</definedName>
    <definedName name="MILENA" localSheetId="0">#REF!</definedName>
    <definedName name="MILENA" localSheetId="11" hidden="1">#REF!</definedName>
    <definedName name="MILENA" localSheetId="12" hidden="1">#REF!</definedName>
    <definedName name="MILENA" hidden="1">#REF!</definedName>
    <definedName name="Minha_Casa_Minha_Vida" localSheetId="8">#REF!</definedName>
    <definedName name="Minha_Casa_Minha_Vida" localSheetId="5">#REF!</definedName>
    <definedName name="Minha_Casa_Minha_Vida" localSheetId="10">#REF!</definedName>
    <definedName name="Minha_Casa_Minha_Vida" localSheetId="11">#REF!</definedName>
    <definedName name="Minha_Casa_Minha_Vida" localSheetId="12">#REF!</definedName>
    <definedName name="Minha_Casa_Minha_Vida">#REF!</definedName>
    <definedName name="MLMÇLKJKI" localSheetId="3" hidden="1">{#N/A,#N/A,FALSE,"Plan1";#N/A,#N/A,FALSE,"Plan2"}</definedName>
    <definedName name="MLMÇLKJKI" localSheetId="8">{#N/A,#N/A,FALSE,"Plan1";#N/A,#N/A,FALSE,"Plan2"}</definedName>
    <definedName name="MLMÇLKJKI" localSheetId="5" hidden="1">{#N/A,#N/A,FALSE,"Plan1";#N/A,#N/A,FALSE,"Plan2"}</definedName>
    <definedName name="MLMÇLKJKI" localSheetId="4" hidden="1">{#N/A,#N/A,FALSE,"Plan1";#N/A,#N/A,FALSE,"Plan2"}</definedName>
    <definedName name="MLMÇLKJKI" localSheetId="9">{#N/A,#N/A,FALSE,"Plan1";#N/A,#N/A,FALSE,"Plan2"}</definedName>
    <definedName name="MLMÇLKJKI" localSheetId="10" hidden="1">{#N/A,#N/A,FALSE,"Plan1";#N/A,#N/A,FALSE,"Plan2"}</definedName>
    <definedName name="MLMÇLKJKI" localSheetId="1" hidden="1">{#N/A,#N/A,FALSE,"Plan1";#N/A,#N/A,FALSE,"Plan2"}</definedName>
    <definedName name="MLMÇLKJKI" localSheetId="0">{#N/A,#N/A,FALSE,"Plan1";#N/A,#N/A,FALSE,"Plan2"}</definedName>
    <definedName name="MLMÇLKJKI" localSheetId="11" hidden="1">{#N/A,#N/A,FALSE,"Plan1";#N/A,#N/A,FALSE,"Plan2"}</definedName>
    <definedName name="MLMÇLKJKI" localSheetId="12" hidden="1">{#N/A,#N/A,FALSE,"Plan1";#N/A,#N/A,FALSE,"Plan2"}</definedName>
    <definedName name="MLMÇLKJKI" hidden="1">{#N/A,#N/A,FALSE,"Plan1";#N/A,#N/A,FALSE,"Plan2"}</definedName>
    <definedName name="MM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" localSheetId="3" hidden="1">{"tabela",#N/A,FALSE,"Tabela";"decoração",#N/A,FALSE,"Decor.";"Informações",#N/A,FALSE,"Inform."}</definedName>
    <definedName name="mmmmm" localSheetId="8">{"tabela",#N/A,FALSE,"Tabela";"decoração",#N/A,FALSE,"Decor.";"Informações",#N/A,FALSE,"Inform."}</definedName>
    <definedName name="mmmmm" localSheetId="5" hidden="1">{"tabela",#N/A,FALSE,"Tabela";"decoração",#N/A,FALSE,"Decor.";"Informações",#N/A,FALSE,"Inform."}</definedName>
    <definedName name="mmmmm" localSheetId="4" hidden="1">{"tabela",#N/A,FALSE,"Tabela";"decoração",#N/A,FALSE,"Decor.";"Informações",#N/A,FALSE,"Inform."}</definedName>
    <definedName name="mmmmm" localSheetId="9">{"tabela",#N/A,FALSE,"Tabela";"decoração",#N/A,FALSE,"Decor.";"Informações",#N/A,FALSE,"Inform."}</definedName>
    <definedName name="mmmmm" localSheetId="10" hidden="1">{"tabela",#N/A,FALSE,"Tabela";"decoração",#N/A,FALSE,"Decor.";"Informações",#N/A,FALSE,"Inform."}</definedName>
    <definedName name="mmmmm" localSheetId="1" hidden="1">{"tabela",#N/A,FALSE,"Tabela";"decoração",#N/A,FALSE,"Decor.";"Informações",#N/A,FALSE,"Inform."}</definedName>
    <definedName name="mmmmm" localSheetId="0">{"tabela",#N/A,FALSE,"Tabela";"decoração",#N/A,FALSE,"Decor.";"Informações",#N/A,FALSE,"Inform."}</definedName>
    <definedName name="mmmmm" localSheetId="11" hidden="1">{"tabela",#N/A,FALSE,"Tabela";"decoração",#N/A,FALSE,"Decor.";"Informações",#N/A,FALSE,"Inform."}</definedName>
    <definedName name="mmmmm" localSheetId="12" hidden="1">{"tabela",#N/A,FALSE,"Tabela";"decoração",#N/A,FALSE,"Decor.";"Informações",#N/A,FALSE,"Inform."}</definedName>
    <definedName name="mmmmm" hidden="1">{"tabela",#N/A,FALSE,"Tabela";"decoração",#N/A,FALSE,"Decor.";"Informações",#N/A,FALSE,"Inform."}</definedName>
    <definedName name="mmmmmmm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mmmmmm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mmmmmmm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MNBXFKGS" localSheetId="3" hidden="1">{#N/A,#N/A,FALSE,"Plan1";#N/A,#N/A,FALSE,"Plan2"}</definedName>
    <definedName name="MNBXFKGS" localSheetId="8">{#N/A,#N/A,FALSE,"Plan1";#N/A,#N/A,FALSE,"Plan2"}</definedName>
    <definedName name="MNBXFKGS" localSheetId="5" hidden="1">{#N/A,#N/A,FALSE,"Plan1";#N/A,#N/A,FALSE,"Plan2"}</definedName>
    <definedName name="MNBXFKGS" localSheetId="4" hidden="1">{#N/A,#N/A,FALSE,"Plan1";#N/A,#N/A,FALSE,"Plan2"}</definedName>
    <definedName name="MNBXFKGS" localSheetId="9">{#N/A,#N/A,FALSE,"Plan1";#N/A,#N/A,FALSE,"Plan2"}</definedName>
    <definedName name="MNBXFKGS" localSheetId="10" hidden="1">{#N/A,#N/A,FALSE,"Plan1";#N/A,#N/A,FALSE,"Plan2"}</definedName>
    <definedName name="MNBXFKGS" localSheetId="1" hidden="1">{#N/A,#N/A,FALSE,"Plan1";#N/A,#N/A,FALSE,"Plan2"}</definedName>
    <definedName name="MNBXFKGS" localSheetId="0">{#N/A,#N/A,FALSE,"Plan1";#N/A,#N/A,FALSE,"Plan2"}</definedName>
    <definedName name="MNBXFKGS" localSheetId="11" hidden="1">{#N/A,#N/A,FALSE,"Plan1";#N/A,#N/A,FALSE,"Plan2"}</definedName>
    <definedName name="MNBXFKGS" localSheetId="12" hidden="1">{#N/A,#N/A,FALSE,"Plan1";#N/A,#N/A,FALSE,"Plan2"}</definedName>
    <definedName name="MNBXFKGS" hidden="1">{#N/A,#N/A,FALSE,"Plan1";#N/A,#N/A,FALSE,"Plan2"}</definedName>
    <definedName name="mncvbgcvmc" localSheetId="3" hidden="1">{#N/A,#N/A,FALSE,"Plan1";#N/A,#N/A,FALSE,"Plan2"}</definedName>
    <definedName name="mncvbgcvmc" localSheetId="8">{#N/A,#N/A,FALSE,"Plan1";#N/A,#N/A,FALSE,"Plan2"}</definedName>
    <definedName name="mncvbgcvmc" localSheetId="5" hidden="1">{#N/A,#N/A,FALSE,"Plan1";#N/A,#N/A,FALSE,"Plan2"}</definedName>
    <definedName name="mncvbgcvmc" localSheetId="4" hidden="1">{#N/A,#N/A,FALSE,"Plan1";#N/A,#N/A,FALSE,"Plan2"}</definedName>
    <definedName name="mncvbgcvmc" localSheetId="9">{#N/A,#N/A,FALSE,"Plan1";#N/A,#N/A,FALSE,"Plan2"}</definedName>
    <definedName name="mncvbgcvmc" localSheetId="10" hidden="1">{#N/A,#N/A,FALSE,"Plan1";#N/A,#N/A,FALSE,"Plan2"}</definedName>
    <definedName name="mncvbgcvmc" localSheetId="1" hidden="1">{#N/A,#N/A,FALSE,"Plan1";#N/A,#N/A,FALSE,"Plan2"}</definedName>
    <definedName name="mncvbgcvmc" localSheetId="0">{#N/A,#N/A,FALSE,"Plan1";#N/A,#N/A,FALSE,"Plan2"}</definedName>
    <definedName name="mncvbgcvmc" localSheetId="11" hidden="1">{#N/A,#N/A,FALSE,"Plan1";#N/A,#N/A,FALSE,"Plan2"}</definedName>
    <definedName name="mncvbgcvmc" localSheetId="12" hidden="1">{#N/A,#N/A,FALSE,"Plan1";#N/A,#N/A,FALSE,"Plan2"}</definedName>
    <definedName name="mncvbgcvmc" hidden="1">{#N/A,#N/A,FALSE,"Plan1";#N/A,#N/A,FALSE,"Plan2"}</definedName>
    <definedName name="MNDKZSFNCEA" localSheetId="3" hidden="1">{#N/A,#N/A,FALSE,"Plan1";#N/A,#N/A,FALSE,"Plan2"}</definedName>
    <definedName name="MNDKZSFNCEA" localSheetId="8">{#N/A,#N/A,FALSE,"Plan1";#N/A,#N/A,FALSE,"Plan2"}</definedName>
    <definedName name="MNDKZSFNCEA" localSheetId="5" hidden="1">{#N/A,#N/A,FALSE,"Plan1";#N/A,#N/A,FALSE,"Plan2"}</definedName>
    <definedName name="MNDKZSFNCEA" localSheetId="4" hidden="1">{#N/A,#N/A,FALSE,"Plan1";#N/A,#N/A,FALSE,"Plan2"}</definedName>
    <definedName name="MNDKZSFNCEA" localSheetId="9">{#N/A,#N/A,FALSE,"Plan1";#N/A,#N/A,FALSE,"Plan2"}</definedName>
    <definedName name="MNDKZSFNCEA" localSheetId="10" hidden="1">{#N/A,#N/A,FALSE,"Plan1";#N/A,#N/A,FALSE,"Plan2"}</definedName>
    <definedName name="MNDKZSFNCEA" localSheetId="1" hidden="1">{#N/A,#N/A,FALSE,"Plan1";#N/A,#N/A,FALSE,"Plan2"}</definedName>
    <definedName name="MNDKZSFNCEA" localSheetId="0">{#N/A,#N/A,FALSE,"Plan1";#N/A,#N/A,FALSE,"Plan2"}</definedName>
    <definedName name="MNDKZSFNCEA" localSheetId="11" hidden="1">{#N/A,#N/A,FALSE,"Plan1";#N/A,#N/A,FALSE,"Plan2"}</definedName>
    <definedName name="MNDKZSFNCEA" localSheetId="12" hidden="1">{#N/A,#N/A,FALSE,"Plan1";#N/A,#N/A,FALSE,"Plan2"}</definedName>
    <definedName name="MNDKZSFNCEA" hidden="1">{#N/A,#N/A,FALSE,"Plan1";#N/A,#N/A,FALSE,"Plan2"}</definedName>
    <definedName name="mnhdshfgfhd" localSheetId="3" hidden="1">{#N/A,#N/A,FALSE,"Plan1";#N/A,#N/A,FALSE,"Plan2"}</definedName>
    <definedName name="mnhdshfgfhd" localSheetId="8">{#N/A,#N/A,FALSE,"Plan1";#N/A,#N/A,FALSE,"Plan2"}</definedName>
    <definedName name="mnhdshfgfhd" localSheetId="5" hidden="1">{#N/A,#N/A,FALSE,"Plan1";#N/A,#N/A,FALSE,"Plan2"}</definedName>
    <definedName name="mnhdshfgfhd" localSheetId="4" hidden="1">{#N/A,#N/A,FALSE,"Plan1";#N/A,#N/A,FALSE,"Plan2"}</definedName>
    <definedName name="mnhdshfgfhd" localSheetId="9">{#N/A,#N/A,FALSE,"Plan1";#N/A,#N/A,FALSE,"Plan2"}</definedName>
    <definedName name="mnhdshfgfhd" localSheetId="10" hidden="1">{#N/A,#N/A,FALSE,"Plan1";#N/A,#N/A,FALSE,"Plan2"}</definedName>
    <definedName name="mnhdshfgfhd" localSheetId="1" hidden="1">{#N/A,#N/A,FALSE,"Plan1";#N/A,#N/A,FALSE,"Plan2"}</definedName>
    <definedName name="mnhdshfgfhd" localSheetId="0">{#N/A,#N/A,FALSE,"Plan1";#N/A,#N/A,FALSE,"Plan2"}</definedName>
    <definedName name="mnhdshfgfhd" localSheetId="11" hidden="1">{#N/A,#N/A,FALSE,"Plan1";#N/A,#N/A,FALSE,"Plan2"}</definedName>
    <definedName name="mnhdshfgfhd" localSheetId="12" hidden="1">{#N/A,#N/A,FALSE,"Plan1";#N/A,#N/A,FALSE,"Plan2"}</definedName>
    <definedName name="mnhdshfgfhd" hidden="1">{#N/A,#N/A,FALSE,"Plan1";#N/A,#N/A,FALSE,"Plan2"}</definedName>
    <definedName name="mo" localSheetId="8">#REF!</definedName>
    <definedName name="mo" localSheetId="5">#REF!</definedName>
    <definedName name="mo" localSheetId="9">#REF!</definedName>
    <definedName name="mo" localSheetId="10">#REF!</definedName>
    <definedName name="mo" localSheetId="1">#REF!</definedName>
    <definedName name="mo" localSheetId="0">#REF!</definedName>
    <definedName name="mo" localSheetId="11">#REF!</definedName>
    <definedName name="mo" localSheetId="12">#REF!</definedName>
    <definedName name="mo">#REF!</definedName>
    <definedName name="mobr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br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odelo1" localSheetId="3" hidden="1">{#N/A,#N/A,FALSE,"cdi";#N/A,#N/A,FALSE,"debent";#N/A,#N/A,FALSE,"fdos";#N/A,#N/A,FALSE,"resumo"}</definedName>
    <definedName name="Modelo1" localSheetId="8">{#N/A,#N/A,FALSE,"cdi";#N/A,#N/A,FALSE,"debent";#N/A,#N/A,FALSE,"fdos";#N/A,#N/A,FALSE,"resumo"}</definedName>
    <definedName name="Modelo1" localSheetId="5" hidden="1">{#N/A,#N/A,FALSE,"cdi";#N/A,#N/A,FALSE,"debent";#N/A,#N/A,FALSE,"fdos";#N/A,#N/A,FALSE,"resumo"}</definedName>
    <definedName name="Modelo1" localSheetId="4" hidden="1">{#N/A,#N/A,FALSE,"cdi";#N/A,#N/A,FALSE,"debent";#N/A,#N/A,FALSE,"fdos";#N/A,#N/A,FALSE,"resumo"}</definedName>
    <definedName name="Modelo1" localSheetId="9">{#N/A,#N/A,FALSE,"cdi";#N/A,#N/A,FALSE,"debent";#N/A,#N/A,FALSE,"fdos";#N/A,#N/A,FALSE,"resumo"}</definedName>
    <definedName name="Modelo1" localSheetId="10" hidden="1">{#N/A,#N/A,FALSE,"cdi";#N/A,#N/A,FALSE,"debent";#N/A,#N/A,FALSE,"fdos";#N/A,#N/A,FALSE,"resumo"}</definedName>
    <definedName name="Modelo1" localSheetId="1" hidden="1">{#N/A,#N/A,FALSE,"cdi";#N/A,#N/A,FALSE,"debent";#N/A,#N/A,FALSE,"fdos";#N/A,#N/A,FALSE,"resumo"}</definedName>
    <definedName name="Modelo1" localSheetId="0">{#N/A,#N/A,FALSE,"cdi";#N/A,#N/A,FALSE,"debent";#N/A,#N/A,FALSE,"fdos";#N/A,#N/A,FALSE,"resumo"}</definedName>
    <definedName name="Modelo1" localSheetId="11" hidden="1">{#N/A,#N/A,FALSE,"cdi";#N/A,#N/A,FALSE,"debent";#N/A,#N/A,FALSE,"fdos";#N/A,#N/A,FALSE,"resumo"}</definedName>
    <definedName name="Modelo1" localSheetId="12" hidden="1">{#N/A,#N/A,FALSE,"cdi";#N/A,#N/A,FALSE,"debent";#N/A,#N/A,FALSE,"fdos";#N/A,#N/A,FALSE,"resumo"}</definedName>
    <definedName name="Modelo1" hidden="1">{#N/A,#N/A,FALSE,"cdi";#N/A,#N/A,FALSE,"debent";#N/A,#N/A,FALSE,"fdos";#N/A,#N/A,FALSE,"resumo"}</definedName>
    <definedName name="Modelo1a" localSheetId="3" hidden="1">{#N/A,#N/A,FALSE,"cdi";#N/A,#N/A,FALSE,"debent";#N/A,#N/A,FALSE,"fdos";#N/A,#N/A,FALSE,"resumo"}</definedName>
    <definedName name="Modelo1a" localSheetId="8">{#N/A,#N/A,FALSE,"cdi";#N/A,#N/A,FALSE,"debent";#N/A,#N/A,FALSE,"fdos";#N/A,#N/A,FALSE,"resumo"}</definedName>
    <definedName name="Modelo1a" localSheetId="5" hidden="1">{#N/A,#N/A,FALSE,"cdi";#N/A,#N/A,FALSE,"debent";#N/A,#N/A,FALSE,"fdos";#N/A,#N/A,FALSE,"resumo"}</definedName>
    <definedName name="Modelo1a" localSheetId="4" hidden="1">{#N/A,#N/A,FALSE,"cdi";#N/A,#N/A,FALSE,"debent";#N/A,#N/A,FALSE,"fdos";#N/A,#N/A,FALSE,"resumo"}</definedName>
    <definedName name="Modelo1a" localSheetId="9">{#N/A,#N/A,FALSE,"cdi";#N/A,#N/A,FALSE,"debent";#N/A,#N/A,FALSE,"fdos";#N/A,#N/A,FALSE,"resumo"}</definedName>
    <definedName name="Modelo1a" localSheetId="10" hidden="1">{#N/A,#N/A,FALSE,"cdi";#N/A,#N/A,FALSE,"debent";#N/A,#N/A,FALSE,"fdos";#N/A,#N/A,FALSE,"resumo"}</definedName>
    <definedName name="Modelo1a" localSheetId="1" hidden="1">{#N/A,#N/A,FALSE,"cdi";#N/A,#N/A,FALSE,"debent";#N/A,#N/A,FALSE,"fdos";#N/A,#N/A,FALSE,"resumo"}</definedName>
    <definedName name="Modelo1a" localSheetId="0">{#N/A,#N/A,FALSE,"cdi";#N/A,#N/A,FALSE,"debent";#N/A,#N/A,FALSE,"fdos";#N/A,#N/A,FALSE,"resumo"}</definedName>
    <definedName name="Modelo1a" localSheetId="11" hidden="1">{#N/A,#N/A,FALSE,"cdi";#N/A,#N/A,FALSE,"debent";#N/A,#N/A,FALSE,"fdos";#N/A,#N/A,FALSE,"resumo"}</definedName>
    <definedName name="Modelo1a" localSheetId="12" hidden="1">{#N/A,#N/A,FALSE,"cdi";#N/A,#N/A,FALSE,"debent";#N/A,#N/A,FALSE,"fdos";#N/A,#N/A,FALSE,"resumo"}</definedName>
    <definedName name="Modelo1a" hidden="1">{#N/A,#N/A,FALSE,"cdi";#N/A,#N/A,FALSE,"debent";#N/A,#N/A,FALSE,"fdos";#N/A,#N/A,FALSE,"resumo"}</definedName>
    <definedName name="Modelo2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odelo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módulo" localSheetId="8">#REF!</definedName>
    <definedName name="módulo" localSheetId="5">#REF!</definedName>
    <definedName name="módulo" localSheetId="9">#REF!</definedName>
    <definedName name="módulo" localSheetId="10">#REF!</definedName>
    <definedName name="módulo" localSheetId="0">#REF!</definedName>
    <definedName name="módulo" localSheetId="11">#REF!</definedName>
    <definedName name="módulo" localSheetId="12">#REF!</definedName>
    <definedName name="módulo">#REF!</definedName>
    <definedName name="mond_cdi" localSheetId="8">#REF!</definedName>
    <definedName name="mond_cdi" localSheetId="5">#REF!</definedName>
    <definedName name="mond_cdi" localSheetId="9">#REF!</definedName>
    <definedName name="mond_cdi" localSheetId="10">#REF!</definedName>
    <definedName name="mond_cdi" localSheetId="0">#REF!</definedName>
    <definedName name="mond_cdi" localSheetId="11">#REF!</definedName>
    <definedName name="mond_cdi" localSheetId="12">#REF!</definedName>
    <definedName name="mond_cdi">#REF!</definedName>
    <definedName name="mond_hist" localSheetId="8">#REF!</definedName>
    <definedName name="mond_hist" localSheetId="5">#REF!</definedName>
    <definedName name="mond_hist" localSheetId="9">#REF!</definedName>
    <definedName name="mond_hist" localSheetId="10">#REF!</definedName>
    <definedName name="mond_hist" localSheetId="0">#REF!</definedName>
    <definedName name="mond_hist" localSheetId="11">#REF!</definedName>
    <definedName name="mond_hist" localSheetId="12">#REF!</definedName>
    <definedName name="mond_hist">#REF!</definedName>
    <definedName name="mond_uss" localSheetId="8">#REF!</definedName>
    <definedName name="mond_uss" localSheetId="5">#REF!</definedName>
    <definedName name="mond_uss" localSheetId="10">#REF!</definedName>
    <definedName name="mond_uss" localSheetId="11">#REF!</definedName>
    <definedName name="mond_uss" localSheetId="12">#REF!</definedName>
    <definedName name="mond_uss">#REF!</definedName>
    <definedName name="MP" localSheetId="3" hidden="1">{#N/A,#N/A,FALSE,"CCTV"}</definedName>
    <definedName name="MP" localSheetId="8">{#N/A,#N/A,FALSE,"CCTV"}</definedName>
    <definedName name="MP" localSheetId="5" hidden="1">{#N/A,#N/A,FALSE,"CCTV"}</definedName>
    <definedName name="MP" localSheetId="4" hidden="1">{#N/A,#N/A,FALSE,"CCTV"}</definedName>
    <definedName name="MP" localSheetId="9">{#N/A,#N/A,FALSE,"CCTV"}</definedName>
    <definedName name="MP" localSheetId="10" hidden="1">{#N/A,#N/A,FALSE,"CCTV"}</definedName>
    <definedName name="MP" localSheetId="1" hidden="1">{#N/A,#N/A,FALSE,"CCTV"}</definedName>
    <definedName name="MP" localSheetId="0">{#N/A,#N/A,FALSE,"CCTV"}</definedName>
    <definedName name="MP" localSheetId="11" hidden="1">{#N/A,#N/A,FALSE,"CCTV"}</definedName>
    <definedName name="MP" localSheetId="12" hidden="1">{#N/A,#N/A,FALSE,"CCTV"}</definedName>
    <definedName name="MP" hidden="1">{#N/A,#N/A,FALSE,"CCTV"}</definedName>
    <definedName name="MSDFJKDT" hidden="1">25</definedName>
    <definedName name="MSDRFSWER" localSheetId="3" hidden="1">{"Econ Consolidado",#N/A,FALSE,"Econ Consol";"Fluxo de Caixa",#N/A,FALSE,"Fluxo Caixa";"Investimentos",#N/A,FALSE,"Investimentos"}</definedName>
    <definedName name="MSDRFSWER" localSheetId="8">{"Econ Consolidado",#N/A,FALSE,"Econ Consol";"Fluxo de Caixa",#N/A,FALSE,"Fluxo Caixa";"Investimentos",#N/A,FALSE,"Investimentos"}</definedName>
    <definedName name="MSDRFSWER" localSheetId="5" hidden="1">{"Econ Consolidado",#N/A,FALSE,"Econ Consol";"Fluxo de Caixa",#N/A,FALSE,"Fluxo Caixa";"Investimentos",#N/A,FALSE,"Investimentos"}</definedName>
    <definedName name="MSDRFSWER" localSheetId="4" hidden="1">{"Econ Consolidado",#N/A,FALSE,"Econ Consol";"Fluxo de Caixa",#N/A,FALSE,"Fluxo Caixa";"Investimentos",#N/A,FALSE,"Investimentos"}</definedName>
    <definedName name="MSDRFSWER" localSheetId="9">{"Econ Consolidado",#N/A,FALSE,"Econ Consol";"Fluxo de Caixa",#N/A,FALSE,"Fluxo Caixa";"Investimentos",#N/A,FALSE,"Investimentos"}</definedName>
    <definedName name="MSDRFSWER" localSheetId="10" hidden="1">{"Econ Consolidado",#N/A,FALSE,"Econ Consol";"Fluxo de Caixa",#N/A,FALSE,"Fluxo Caixa";"Investimentos",#N/A,FALSE,"Investimentos"}</definedName>
    <definedName name="MSDRFSWER" localSheetId="1" hidden="1">{"Econ Consolidado",#N/A,FALSE,"Econ Consol";"Fluxo de Caixa",#N/A,FALSE,"Fluxo Caixa";"Investimentos",#N/A,FALSE,"Investimentos"}</definedName>
    <definedName name="MSDRFSWER" localSheetId="0">{"Econ Consolidado",#N/A,FALSE,"Econ Consol";"Fluxo de Caixa",#N/A,FALSE,"Fluxo Caixa";"Investimentos",#N/A,FALSE,"Investimentos"}</definedName>
    <definedName name="MSDRFSWER" localSheetId="11" hidden="1">{"Econ Consolidado",#N/A,FALSE,"Econ Consol";"Fluxo de Caixa",#N/A,FALSE,"Fluxo Caixa";"Investimentos",#N/A,FALSE,"Investimentos"}</definedName>
    <definedName name="MSDRFSWER" localSheetId="12" hidden="1">{"Econ Consolidado",#N/A,FALSE,"Econ Consol";"Fluxo de Caixa",#N/A,FALSE,"Fluxo Caixa";"Investimentos",#N/A,FALSE,"Investimentos"}</definedName>
    <definedName name="MSDRFSWER" hidden="1">{"Econ Consolidado",#N/A,FALSE,"Econ Consol";"Fluxo de Caixa",#N/A,FALSE,"Fluxo Caixa";"Investimentos",#N/A,FALSE,"Investimentos"}</definedName>
    <definedName name="MURBOMB" localSheetId="8">#REF!</definedName>
    <definedName name="MURBOMB" localSheetId="5">#REF!</definedName>
    <definedName name="MURBOMB" localSheetId="9">#REF!</definedName>
    <definedName name="MURBOMB" localSheetId="10">#REF!</definedName>
    <definedName name="MURBOMB" localSheetId="0">#REF!</definedName>
    <definedName name="MURBOMB" localSheetId="11">#REF!</definedName>
    <definedName name="MURBOMB" localSheetId="12">#REF!</definedName>
    <definedName name="MURBOMB">#REF!</definedName>
    <definedName name="mzshdjshjs" localSheetId="3" hidden="1">{#N/A,#N/A,FALSE,"Plan1";#N/A,#N/A,FALSE,"Plan2"}</definedName>
    <definedName name="mzshdjshjs" localSheetId="8">{#N/A,#N/A,FALSE,"Plan1";#N/A,#N/A,FALSE,"Plan2"}</definedName>
    <definedName name="mzshdjshjs" localSheetId="5" hidden="1">{#N/A,#N/A,FALSE,"Plan1";#N/A,#N/A,FALSE,"Plan2"}</definedName>
    <definedName name="mzshdjshjs" localSheetId="4" hidden="1">{#N/A,#N/A,FALSE,"Plan1";#N/A,#N/A,FALSE,"Plan2"}</definedName>
    <definedName name="mzshdjshjs" localSheetId="9">{#N/A,#N/A,FALSE,"Plan1";#N/A,#N/A,FALSE,"Plan2"}</definedName>
    <definedName name="mzshdjshjs" localSheetId="10" hidden="1">{#N/A,#N/A,FALSE,"Plan1";#N/A,#N/A,FALSE,"Plan2"}</definedName>
    <definedName name="mzshdjshjs" localSheetId="1" hidden="1">{#N/A,#N/A,FALSE,"Plan1";#N/A,#N/A,FALSE,"Plan2"}</definedName>
    <definedName name="mzshdjshjs" localSheetId="0">{#N/A,#N/A,FALSE,"Plan1";#N/A,#N/A,FALSE,"Plan2"}</definedName>
    <definedName name="mzshdjshjs" localSheetId="11" hidden="1">{#N/A,#N/A,FALSE,"Plan1";#N/A,#N/A,FALSE,"Plan2"}</definedName>
    <definedName name="mzshdjshjs" localSheetId="12" hidden="1">{#N/A,#N/A,FALSE,"Plan1";#N/A,#N/A,FALSE,"Plan2"}</definedName>
    <definedName name="mzshdjshjs" hidden="1">{#N/A,#N/A,FALSE,"Plan1";#N/A,#N/A,FALSE,"Plan2"}</definedName>
    <definedName name="na" localSheetId="3" hidden="1">{#N/A,#N/A,FALSE,"$170M Cash";#N/A,#N/A,FALSE,"$250M Cash";#N/A,#N/A,FALSE,"$325M Cash"}</definedName>
    <definedName name="na" localSheetId="8">{#N/A,#N/A,FALSE,"$170M Cash";#N/A,#N/A,FALSE,"$250M Cash";#N/A,#N/A,FALSE,"$325M Cash"}</definedName>
    <definedName name="na" localSheetId="5" hidden="1">{#N/A,#N/A,FALSE,"$170M Cash";#N/A,#N/A,FALSE,"$250M Cash";#N/A,#N/A,FALSE,"$325M Cash"}</definedName>
    <definedName name="na" localSheetId="4" hidden="1">{#N/A,#N/A,FALSE,"$170M Cash";#N/A,#N/A,FALSE,"$250M Cash";#N/A,#N/A,FALSE,"$325M Cash"}</definedName>
    <definedName name="na" localSheetId="9">{#N/A,#N/A,FALSE,"$170M Cash";#N/A,#N/A,FALSE,"$250M Cash";#N/A,#N/A,FALSE,"$325M Cash"}</definedName>
    <definedName name="na" localSheetId="10" hidden="1">{#N/A,#N/A,FALSE,"$170M Cash";#N/A,#N/A,FALSE,"$250M Cash";#N/A,#N/A,FALSE,"$325M Cash"}</definedName>
    <definedName name="na" localSheetId="1" hidden="1">{#N/A,#N/A,FALSE,"$170M Cash";#N/A,#N/A,FALSE,"$250M Cash";#N/A,#N/A,FALSE,"$325M Cash"}</definedName>
    <definedName name="na" localSheetId="0">{#N/A,#N/A,FALSE,"$170M Cash";#N/A,#N/A,FALSE,"$250M Cash";#N/A,#N/A,FALSE,"$325M Cash"}</definedName>
    <definedName name="na" localSheetId="11" hidden="1">{#N/A,#N/A,FALSE,"$170M Cash";#N/A,#N/A,FALSE,"$250M Cash";#N/A,#N/A,FALSE,"$325M Cash"}</definedName>
    <definedName name="na" localSheetId="12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cdgrdhrtg" localSheetId="3" hidden="1">{#N/A,#N/A,FALSE,"Plan1";#N/A,#N/A,FALSE,"Plan2"}</definedName>
    <definedName name="ncdgrdhrtg" localSheetId="8">{#N/A,#N/A,FALSE,"Plan1";#N/A,#N/A,FALSE,"Plan2"}</definedName>
    <definedName name="ncdgrdhrtg" localSheetId="5" hidden="1">{#N/A,#N/A,FALSE,"Plan1";#N/A,#N/A,FALSE,"Plan2"}</definedName>
    <definedName name="ncdgrdhrtg" localSheetId="4" hidden="1">{#N/A,#N/A,FALSE,"Plan1";#N/A,#N/A,FALSE,"Plan2"}</definedName>
    <definedName name="ncdgrdhrtg" localSheetId="9">{#N/A,#N/A,FALSE,"Plan1";#N/A,#N/A,FALSE,"Plan2"}</definedName>
    <definedName name="ncdgrdhrtg" localSheetId="10" hidden="1">{#N/A,#N/A,FALSE,"Plan1";#N/A,#N/A,FALSE,"Plan2"}</definedName>
    <definedName name="ncdgrdhrtg" localSheetId="1" hidden="1">{#N/A,#N/A,FALSE,"Plan1";#N/A,#N/A,FALSE,"Plan2"}</definedName>
    <definedName name="ncdgrdhrtg" localSheetId="0">{#N/A,#N/A,FALSE,"Plan1";#N/A,#N/A,FALSE,"Plan2"}</definedName>
    <definedName name="ncdgrdhrtg" localSheetId="11" hidden="1">{#N/A,#N/A,FALSE,"Plan1";#N/A,#N/A,FALSE,"Plan2"}</definedName>
    <definedName name="ncdgrdhrtg" localSheetId="12" hidden="1">{#N/A,#N/A,FALSE,"Plan1";#N/A,#N/A,FALSE,"Plan2"}</definedName>
    <definedName name="ncdgrdhrtg" hidden="1">{#N/A,#N/A,FALSE,"Plan1";#N/A,#N/A,FALSE,"Plan2"}</definedName>
    <definedName name="nchngdfhgdh" localSheetId="3" hidden="1">{#N/A,#N/A,FALSE,"Plan1";#N/A,#N/A,FALSE,"Plan2"}</definedName>
    <definedName name="nchngdfhgdh" localSheetId="8">{#N/A,#N/A,FALSE,"Plan1";#N/A,#N/A,FALSE,"Plan2"}</definedName>
    <definedName name="nchngdfhgdh" localSheetId="5" hidden="1">{#N/A,#N/A,FALSE,"Plan1";#N/A,#N/A,FALSE,"Plan2"}</definedName>
    <definedName name="nchngdfhgdh" localSheetId="4" hidden="1">{#N/A,#N/A,FALSE,"Plan1";#N/A,#N/A,FALSE,"Plan2"}</definedName>
    <definedName name="nchngdfhgdh" localSheetId="9">{#N/A,#N/A,FALSE,"Plan1";#N/A,#N/A,FALSE,"Plan2"}</definedName>
    <definedName name="nchngdfhgdh" localSheetId="10" hidden="1">{#N/A,#N/A,FALSE,"Plan1";#N/A,#N/A,FALSE,"Plan2"}</definedName>
    <definedName name="nchngdfhgdh" localSheetId="1" hidden="1">{#N/A,#N/A,FALSE,"Plan1";#N/A,#N/A,FALSE,"Plan2"}</definedName>
    <definedName name="nchngdfhgdh" localSheetId="0">{#N/A,#N/A,FALSE,"Plan1";#N/A,#N/A,FALSE,"Plan2"}</definedName>
    <definedName name="nchngdfhgdh" localSheetId="11" hidden="1">{#N/A,#N/A,FALSE,"Plan1";#N/A,#N/A,FALSE,"Plan2"}</definedName>
    <definedName name="nchngdfhgdh" localSheetId="12" hidden="1">{#N/A,#N/A,FALSE,"Plan1";#N/A,#N/A,FALSE,"Plan2"}</definedName>
    <definedName name="nchngdfhgdh" hidden="1">{#N/A,#N/A,FALSE,"Plan1";#N/A,#N/A,FALSE,"Plan2"}</definedName>
    <definedName name="NCJFKNGJHF" localSheetId="3" hidden="1">{#N/A,#N/A,FALSE,"Plan1";#N/A,#N/A,FALSE,"Plan2"}</definedName>
    <definedName name="NCJFKNGJHF" localSheetId="8">{#N/A,#N/A,FALSE,"Plan1";#N/A,#N/A,FALSE,"Plan2"}</definedName>
    <definedName name="NCJFKNGJHF" localSheetId="5" hidden="1">{#N/A,#N/A,FALSE,"Plan1";#N/A,#N/A,FALSE,"Plan2"}</definedName>
    <definedName name="NCJFKNGJHF" localSheetId="4" hidden="1">{#N/A,#N/A,FALSE,"Plan1";#N/A,#N/A,FALSE,"Plan2"}</definedName>
    <definedName name="NCJFKNGJHF" localSheetId="9">{#N/A,#N/A,FALSE,"Plan1";#N/A,#N/A,FALSE,"Plan2"}</definedName>
    <definedName name="NCJFKNGJHF" localSheetId="10" hidden="1">{#N/A,#N/A,FALSE,"Plan1";#N/A,#N/A,FALSE,"Plan2"}</definedName>
    <definedName name="NCJFKNGJHF" localSheetId="1" hidden="1">{#N/A,#N/A,FALSE,"Plan1";#N/A,#N/A,FALSE,"Plan2"}</definedName>
    <definedName name="NCJFKNGJHF" localSheetId="0">{#N/A,#N/A,FALSE,"Plan1";#N/A,#N/A,FALSE,"Plan2"}</definedName>
    <definedName name="NCJFKNGJHF" localSheetId="11" hidden="1">{#N/A,#N/A,FALSE,"Plan1";#N/A,#N/A,FALSE,"Plan2"}</definedName>
    <definedName name="NCJFKNGJHF" localSheetId="12" hidden="1">{#N/A,#N/A,FALSE,"Plan1";#N/A,#N/A,FALSE,"Plan2"}</definedName>
    <definedName name="NCJFKNGJHF" hidden="1">{#N/A,#N/A,FALSE,"Plan1";#N/A,#N/A,FALSE,"Plan2"}</definedName>
    <definedName name="NDATA" localSheetId="8">#REF!</definedName>
    <definedName name="NDATA" localSheetId="5">#REF!</definedName>
    <definedName name="NDATA" localSheetId="9">#REF!</definedName>
    <definedName name="NDATA" localSheetId="10">#REF!</definedName>
    <definedName name="NDATA" localSheetId="0">#REF!</definedName>
    <definedName name="NDATA" localSheetId="11">#REF!</definedName>
    <definedName name="NDATA" localSheetId="12">#REF!</definedName>
    <definedName name="NDATA">#REF!</definedName>
    <definedName name="ndcxhgdhf" localSheetId="3" hidden="1">{#N/A,#N/A,FALSE,"Plan1";#N/A,#N/A,FALSE,"Plan2"}</definedName>
    <definedName name="ndcxhgdhf" localSheetId="8">{#N/A,#N/A,FALSE,"Plan1";#N/A,#N/A,FALSE,"Plan2"}</definedName>
    <definedName name="ndcxhgdhf" localSheetId="5" hidden="1">{#N/A,#N/A,FALSE,"Plan1";#N/A,#N/A,FALSE,"Plan2"}</definedName>
    <definedName name="ndcxhgdhf" localSheetId="4" hidden="1">{#N/A,#N/A,FALSE,"Plan1";#N/A,#N/A,FALSE,"Plan2"}</definedName>
    <definedName name="ndcxhgdhf" localSheetId="9">{#N/A,#N/A,FALSE,"Plan1";#N/A,#N/A,FALSE,"Plan2"}</definedName>
    <definedName name="ndcxhgdhf" localSheetId="10" hidden="1">{#N/A,#N/A,FALSE,"Plan1";#N/A,#N/A,FALSE,"Plan2"}</definedName>
    <definedName name="ndcxhgdhf" localSheetId="1" hidden="1">{#N/A,#N/A,FALSE,"Plan1";#N/A,#N/A,FALSE,"Plan2"}</definedName>
    <definedName name="ndcxhgdhf" localSheetId="0">{#N/A,#N/A,FALSE,"Plan1";#N/A,#N/A,FALSE,"Plan2"}</definedName>
    <definedName name="ndcxhgdhf" localSheetId="11" hidden="1">{#N/A,#N/A,FALSE,"Plan1";#N/A,#N/A,FALSE,"Plan2"}</definedName>
    <definedName name="ndcxhgdhf" localSheetId="12" hidden="1">{#N/A,#N/A,FALSE,"Plan1";#N/A,#N/A,FALSE,"Plan2"}</definedName>
    <definedName name="ndcxhgdhf" hidden="1">{#N/A,#N/A,FALSE,"Plan1";#N/A,#N/A,FALSE,"Plan2"}</definedName>
    <definedName name="ndfjnjkrhdgt" localSheetId="3" hidden="1">{#N/A,#N/A,FALSE,"Plan1";#N/A,#N/A,FALSE,"Plan2"}</definedName>
    <definedName name="ndfjnjkrhdgt" localSheetId="8">{#N/A,#N/A,FALSE,"Plan1";#N/A,#N/A,FALSE,"Plan2"}</definedName>
    <definedName name="ndfjnjkrhdgt" localSheetId="5" hidden="1">{#N/A,#N/A,FALSE,"Plan1";#N/A,#N/A,FALSE,"Plan2"}</definedName>
    <definedName name="ndfjnjkrhdgt" localSheetId="4" hidden="1">{#N/A,#N/A,FALSE,"Plan1";#N/A,#N/A,FALSE,"Plan2"}</definedName>
    <definedName name="ndfjnjkrhdgt" localSheetId="9">{#N/A,#N/A,FALSE,"Plan1";#N/A,#N/A,FALSE,"Plan2"}</definedName>
    <definedName name="ndfjnjkrhdgt" localSheetId="10" hidden="1">{#N/A,#N/A,FALSE,"Plan1";#N/A,#N/A,FALSE,"Plan2"}</definedName>
    <definedName name="ndfjnjkrhdgt" localSheetId="1" hidden="1">{#N/A,#N/A,FALSE,"Plan1";#N/A,#N/A,FALSE,"Plan2"}</definedName>
    <definedName name="ndfjnjkrhdgt" localSheetId="0">{#N/A,#N/A,FALSE,"Plan1";#N/A,#N/A,FALSE,"Plan2"}</definedName>
    <definedName name="ndfjnjkrhdgt" localSheetId="11" hidden="1">{#N/A,#N/A,FALSE,"Plan1";#N/A,#N/A,FALSE,"Plan2"}</definedName>
    <definedName name="ndfjnjkrhdgt" localSheetId="12" hidden="1">{#N/A,#N/A,FALSE,"Plan1";#N/A,#N/A,FALSE,"Plan2"}</definedName>
    <definedName name="ndfjnjkrhdgt" hidden="1">{#N/A,#N/A,FALSE,"Plan1";#N/A,#N/A,FALSE,"Plan2"}</definedName>
    <definedName name="ndfkghkjthfyst" localSheetId="3" hidden="1">{#N/A,#N/A,FALSE,"Plan1";#N/A,#N/A,FALSE,"Plan2"}</definedName>
    <definedName name="ndfkghkjthfyst" localSheetId="8">{#N/A,#N/A,FALSE,"Plan1";#N/A,#N/A,FALSE,"Plan2"}</definedName>
    <definedName name="ndfkghkjthfyst" localSheetId="5" hidden="1">{#N/A,#N/A,FALSE,"Plan1";#N/A,#N/A,FALSE,"Plan2"}</definedName>
    <definedName name="ndfkghkjthfyst" localSheetId="4" hidden="1">{#N/A,#N/A,FALSE,"Plan1";#N/A,#N/A,FALSE,"Plan2"}</definedName>
    <definedName name="ndfkghkjthfyst" localSheetId="9">{#N/A,#N/A,FALSE,"Plan1";#N/A,#N/A,FALSE,"Plan2"}</definedName>
    <definedName name="ndfkghkjthfyst" localSheetId="10" hidden="1">{#N/A,#N/A,FALSE,"Plan1";#N/A,#N/A,FALSE,"Plan2"}</definedName>
    <definedName name="ndfkghkjthfyst" localSheetId="1" hidden="1">{#N/A,#N/A,FALSE,"Plan1";#N/A,#N/A,FALSE,"Plan2"}</definedName>
    <definedName name="ndfkghkjthfyst" localSheetId="0">{#N/A,#N/A,FALSE,"Plan1";#N/A,#N/A,FALSE,"Plan2"}</definedName>
    <definedName name="ndfkghkjthfyst" localSheetId="11" hidden="1">{#N/A,#N/A,FALSE,"Plan1";#N/A,#N/A,FALSE,"Plan2"}</definedName>
    <definedName name="ndfkghkjthfyst" localSheetId="12" hidden="1">{#N/A,#N/A,FALSE,"Plan1";#N/A,#N/A,FALSE,"Plan2"}</definedName>
    <definedName name="ndfkghkjthfyst" hidden="1">{#N/A,#N/A,FALSE,"Plan1";#N/A,#N/A,FALSE,"Plan2"}</definedName>
    <definedName name="ndfldslvjnvberugberqubquierbv" localSheetId="8">#REF!</definedName>
    <definedName name="ndfldslvjnvberugberqubquierbv" localSheetId="5">#REF!</definedName>
    <definedName name="ndfldslvjnvberugberqubquierbv" localSheetId="9">#REF!</definedName>
    <definedName name="ndfldslvjnvberugberqubquierbv" localSheetId="10">#REF!</definedName>
    <definedName name="ndfldslvjnvberugberqubquierbv" localSheetId="0">#REF!</definedName>
    <definedName name="ndfldslvjnvberugberqubquierbv" localSheetId="11">#REF!</definedName>
    <definedName name="ndfldslvjnvberugberqubquierbv" localSheetId="12">#REF!</definedName>
    <definedName name="ndfldslvjnvberugberqubquierbv">#REF!</definedName>
    <definedName name="NDJGKFKGHUFG" localSheetId="3" hidden="1">{#N/A,#N/A,FALSE,"Plan1";#N/A,#N/A,FALSE,"Plan2"}</definedName>
    <definedName name="NDJGKFKGHUFG" localSheetId="8">{#N/A,#N/A,FALSE,"Plan1";#N/A,#N/A,FALSE,"Plan2"}</definedName>
    <definedName name="NDJGKFKGHUFG" localSheetId="5" hidden="1">{#N/A,#N/A,FALSE,"Plan1";#N/A,#N/A,FALSE,"Plan2"}</definedName>
    <definedName name="NDJGKFKGHUFG" localSheetId="4" hidden="1">{#N/A,#N/A,FALSE,"Plan1";#N/A,#N/A,FALSE,"Plan2"}</definedName>
    <definedName name="NDJGKFKGHUFG" localSheetId="9">{#N/A,#N/A,FALSE,"Plan1";#N/A,#N/A,FALSE,"Plan2"}</definedName>
    <definedName name="NDJGKFKGHUFG" localSheetId="10" hidden="1">{#N/A,#N/A,FALSE,"Plan1";#N/A,#N/A,FALSE,"Plan2"}</definedName>
    <definedName name="NDJGKFKGHUFG" localSheetId="1" hidden="1">{#N/A,#N/A,FALSE,"Plan1";#N/A,#N/A,FALSE,"Plan2"}</definedName>
    <definedName name="NDJGKFKGHUFG" localSheetId="0">{#N/A,#N/A,FALSE,"Plan1";#N/A,#N/A,FALSE,"Plan2"}</definedName>
    <definedName name="NDJGKFKGHUFG" localSheetId="11" hidden="1">{#N/A,#N/A,FALSE,"Plan1";#N/A,#N/A,FALSE,"Plan2"}</definedName>
    <definedName name="NDJGKFKGHUFG" localSheetId="12" hidden="1">{#N/A,#N/A,FALSE,"Plan1";#N/A,#N/A,FALSE,"Plan2"}</definedName>
    <definedName name="NDJGKFKGHUFG" hidden="1">{#N/A,#N/A,FALSE,"Plan1";#N/A,#N/A,FALSE,"Plan2"}</definedName>
    <definedName name="ndrjkt" localSheetId="3" hidden="1">{#N/A,#N/A,FALSE,"Plan1";#N/A,#N/A,FALSE,"Plan2"}</definedName>
    <definedName name="ndrjkt" localSheetId="8">{#N/A,#N/A,FALSE,"Plan1";#N/A,#N/A,FALSE,"Plan2"}</definedName>
    <definedName name="ndrjkt" localSheetId="5" hidden="1">{#N/A,#N/A,FALSE,"Plan1";#N/A,#N/A,FALSE,"Plan2"}</definedName>
    <definedName name="ndrjkt" localSheetId="4" hidden="1">{#N/A,#N/A,FALSE,"Plan1";#N/A,#N/A,FALSE,"Plan2"}</definedName>
    <definedName name="ndrjkt" localSheetId="9">{#N/A,#N/A,FALSE,"Plan1";#N/A,#N/A,FALSE,"Plan2"}</definedName>
    <definedName name="ndrjkt" localSheetId="10" hidden="1">{#N/A,#N/A,FALSE,"Plan1";#N/A,#N/A,FALSE,"Plan2"}</definedName>
    <definedName name="ndrjkt" localSheetId="1" hidden="1">{#N/A,#N/A,FALSE,"Plan1";#N/A,#N/A,FALSE,"Plan2"}</definedName>
    <definedName name="ndrjkt" localSheetId="0">{#N/A,#N/A,FALSE,"Plan1";#N/A,#N/A,FALSE,"Plan2"}</definedName>
    <definedName name="ndrjkt" localSheetId="11" hidden="1">{#N/A,#N/A,FALSE,"Plan1";#N/A,#N/A,FALSE,"Plan2"}</definedName>
    <definedName name="ndrjkt" localSheetId="12" hidden="1">{#N/A,#N/A,FALSE,"Plan1";#N/A,#N/A,FALSE,"Plan2"}</definedName>
    <definedName name="ndrjkt" hidden="1">{#N/A,#N/A,FALSE,"Plan1";#N/A,#N/A,FALSE,"Plan2"}</definedName>
    <definedName name="new" localSheetId="3" hidden="1">{#N/A,#N/A,FALSE,"Global by BU";#N/A,#N/A,FALSE,"U.S. by BU";#N/A,#N/A,FALSE,"Canada by BU";#N/A,#N/A,FALSE,"Europe by BU";#N/A,#N/A,FALSE,"Asia by BU";#N/A,#N/A,FALSE,"Cala by BU"}</definedName>
    <definedName name="new" localSheetId="8">{#N/A,#N/A,FALSE,"Global by BU";#N/A,#N/A,FALSE,"U.S. by BU";#N/A,#N/A,FALSE,"Canada by BU";#N/A,#N/A,FALSE,"Europe by BU";#N/A,#N/A,FALSE,"Asia by BU";#N/A,#N/A,FALSE,"Cala by BU"}</definedName>
    <definedName name="new" localSheetId="5" hidden="1">{#N/A,#N/A,FALSE,"Global by BU";#N/A,#N/A,FALSE,"U.S. by BU";#N/A,#N/A,FALSE,"Canada by BU";#N/A,#N/A,FALSE,"Europe by BU";#N/A,#N/A,FALSE,"Asia by BU";#N/A,#N/A,FALSE,"Cala by BU"}</definedName>
    <definedName name="new" localSheetId="4" hidden="1">{#N/A,#N/A,FALSE,"Global by BU";#N/A,#N/A,FALSE,"U.S. by BU";#N/A,#N/A,FALSE,"Canada by BU";#N/A,#N/A,FALSE,"Europe by BU";#N/A,#N/A,FALSE,"Asia by BU";#N/A,#N/A,FALSE,"Cala by BU"}</definedName>
    <definedName name="new" localSheetId="9">{#N/A,#N/A,FALSE,"Global by BU";#N/A,#N/A,FALSE,"U.S. by BU";#N/A,#N/A,FALSE,"Canada by BU";#N/A,#N/A,FALSE,"Europe by BU";#N/A,#N/A,FALSE,"Asia by BU";#N/A,#N/A,FALSE,"Cala by BU"}</definedName>
    <definedName name="new" localSheetId="10" hidden="1">{#N/A,#N/A,FALSE,"Global by BU";#N/A,#N/A,FALSE,"U.S. by BU";#N/A,#N/A,FALSE,"Canada by BU";#N/A,#N/A,FALSE,"Europe by BU";#N/A,#N/A,FALSE,"Asia by BU";#N/A,#N/A,FALSE,"Cala by BU"}</definedName>
    <definedName name="new" localSheetId="1" hidden="1">{#N/A,#N/A,FALSE,"Global by BU";#N/A,#N/A,FALSE,"U.S. by BU";#N/A,#N/A,FALSE,"Canada by BU";#N/A,#N/A,FALSE,"Europe by BU";#N/A,#N/A,FALSE,"Asia by BU";#N/A,#N/A,FALSE,"Cala by BU"}</definedName>
    <definedName name="new" localSheetId="0">{#N/A,#N/A,FALSE,"Global by BU";#N/A,#N/A,FALSE,"U.S. by BU";#N/A,#N/A,FALSE,"Canada by BU";#N/A,#N/A,FALSE,"Europe by BU";#N/A,#N/A,FALSE,"Asia by BU";#N/A,#N/A,FALSE,"Cala by BU"}</definedName>
    <definedName name="new" localSheetId="11" hidden="1">{#N/A,#N/A,FALSE,"Global by BU";#N/A,#N/A,FALSE,"U.S. by BU";#N/A,#N/A,FALSE,"Canada by BU";#N/A,#N/A,FALSE,"Europe by BU";#N/A,#N/A,FALSE,"Asia by BU";#N/A,#N/A,FALSE,"Cala by BU"}</definedName>
    <definedName name="new" localSheetId="12" hidden="1">{#N/A,#N/A,FALSE,"Global by BU";#N/A,#N/A,FALSE,"U.S. by BU";#N/A,#N/A,FALSE,"Canada by BU";#N/A,#N/A,FALSE,"Europe by BU";#N/A,#N/A,FALSE,"Asia by BU";#N/A,#N/A,FALSE,"Cala by BU"}</definedName>
    <definedName name="new" hidden="1">{#N/A,#N/A,FALSE,"Global by BU";#N/A,#N/A,FALSE,"U.S. by BU";#N/A,#N/A,FALSE,"Canada by BU";#N/A,#N/A,FALSE,"Europe by BU";#N/A,#N/A,FALSE,"Asia by BU";#N/A,#N/A,FALSE,"Cala by BU"}</definedName>
    <definedName name="NEWNAME" localSheetId="3" hidden="1">{#N/A,#N/A,FALSE,"CCTV"}</definedName>
    <definedName name="NEWNAME" localSheetId="8">{#N/A,#N/A,FALSE,"CCTV"}</definedName>
    <definedName name="NEWNAME" localSheetId="5" hidden="1">{#N/A,#N/A,FALSE,"CCTV"}</definedName>
    <definedName name="NEWNAME" localSheetId="4" hidden="1">{#N/A,#N/A,FALSE,"CCTV"}</definedName>
    <definedName name="NEWNAME" localSheetId="9">{#N/A,#N/A,FALSE,"CCTV"}</definedName>
    <definedName name="NEWNAME" localSheetId="10" hidden="1">{#N/A,#N/A,FALSE,"CCTV"}</definedName>
    <definedName name="NEWNAME" localSheetId="1" hidden="1">{#N/A,#N/A,FALSE,"CCTV"}</definedName>
    <definedName name="NEWNAME" localSheetId="0">{#N/A,#N/A,FALSE,"CCTV"}</definedName>
    <definedName name="NEWNAME" localSheetId="11" hidden="1">{#N/A,#N/A,FALSE,"CCTV"}</definedName>
    <definedName name="NEWNAME" localSheetId="12" hidden="1">{#N/A,#N/A,FALSE,"CCTV"}</definedName>
    <definedName name="NEWNAME" hidden="1">{#N/A,#N/A,FALSE,"CCTV"}</definedName>
    <definedName name="nfgjkhvhfghn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gjkhvhfghn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fkhdjkthde" localSheetId="3" hidden="1">{#N/A,#N/A,FALSE,"Plan1";#N/A,#N/A,FALSE,"Plan2"}</definedName>
    <definedName name="nfkhdjkthde" localSheetId="8">{#N/A,#N/A,FALSE,"Plan1";#N/A,#N/A,FALSE,"Plan2"}</definedName>
    <definedName name="nfkhdjkthde" localSheetId="5" hidden="1">{#N/A,#N/A,FALSE,"Plan1";#N/A,#N/A,FALSE,"Plan2"}</definedName>
    <definedName name="nfkhdjkthde" localSheetId="4" hidden="1">{#N/A,#N/A,FALSE,"Plan1";#N/A,#N/A,FALSE,"Plan2"}</definedName>
    <definedName name="nfkhdjkthde" localSheetId="9">{#N/A,#N/A,FALSE,"Plan1";#N/A,#N/A,FALSE,"Plan2"}</definedName>
    <definedName name="nfkhdjkthde" localSheetId="10" hidden="1">{#N/A,#N/A,FALSE,"Plan1";#N/A,#N/A,FALSE,"Plan2"}</definedName>
    <definedName name="nfkhdjkthde" localSheetId="1" hidden="1">{#N/A,#N/A,FALSE,"Plan1";#N/A,#N/A,FALSE,"Plan2"}</definedName>
    <definedName name="nfkhdjkthde" localSheetId="0">{#N/A,#N/A,FALSE,"Plan1";#N/A,#N/A,FALSE,"Plan2"}</definedName>
    <definedName name="nfkhdjkthde" localSheetId="11" hidden="1">{#N/A,#N/A,FALSE,"Plan1";#N/A,#N/A,FALSE,"Plan2"}</definedName>
    <definedName name="nfkhdjkthde" localSheetId="12" hidden="1">{#N/A,#N/A,FALSE,"Plan1";#N/A,#N/A,FALSE,"Plan2"}</definedName>
    <definedName name="nfkhdjkthde" hidden="1">{#N/A,#N/A,FALSE,"Plan1";#N/A,#N/A,FALSE,"Plan2"}</definedName>
    <definedName name="nh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HJHFDSHF" localSheetId="3" hidden="1">{#N/A,#N/A,FALSE,"Plan1";#N/A,#N/A,FALSE,"Plan2"}</definedName>
    <definedName name="NHJHFDSHF" localSheetId="8">{#N/A,#N/A,FALSE,"Plan1";#N/A,#N/A,FALSE,"Plan2"}</definedName>
    <definedName name="NHJHFDSHF" localSheetId="5" hidden="1">{#N/A,#N/A,FALSE,"Plan1";#N/A,#N/A,FALSE,"Plan2"}</definedName>
    <definedName name="NHJHFDSHF" localSheetId="4" hidden="1">{#N/A,#N/A,FALSE,"Plan1";#N/A,#N/A,FALSE,"Plan2"}</definedName>
    <definedName name="NHJHFDSHF" localSheetId="9">{#N/A,#N/A,FALSE,"Plan1";#N/A,#N/A,FALSE,"Plan2"}</definedName>
    <definedName name="NHJHFDSHF" localSheetId="10" hidden="1">{#N/A,#N/A,FALSE,"Plan1";#N/A,#N/A,FALSE,"Plan2"}</definedName>
    <definedName name="NHJHFDSHF" localSheetId="1" hidden="1">{#N/A,#N/A,FALSE,"Plan1";#N/A,#N/A,FALSE,"Plan2"}</definedName>
    <definedName name="NHJHFDSHF" localSheetId="0">{#N/A,#N/A,FALSE,"Plan1";#N/A,#N/A,FALSE,"Plan2"}</definedName>
    <definedName name="NHJHFDSHF" localSheetId="11" hidden="1">{#N/A,#N/A,FALSE,"Plan1";#N/A,#N/A,FALSE,"Plan2"}</definedName>
    <definedName name="NHJHFDSHF" localSheetId="12" hidden="1">{#N/A,#N/A,FALSE,"Plan1";#N/A,#N/A,FALSE,"Plan2"}</definedName>
    <definedName name="NHJHFDSHF" hidden="1">{#N/A,#N/A,FALSE,"Plan1";#N/A,#N/A,FALSE,"Plan2"}</definedName>
    <definedName name="NJSDFHERTG" localSheetId="3" hidden="1">{#N/A,#N/A,FALSE,"Plan1";#N/A,#N/A,FALSE,"Plan2"}</definedName>
    <definedName name="NJSDFHERTG" localSheetId="8">{#N/A,#N/A,FALSE,"Plan1";#N/A,#N/A,FALSE,"Plan2"}</definedName>
    <definedName name="NJSDFHERTG" localSheetId="5" hidden="1">{#N/A,#N/A,FALSE,"Plan1";#N/A,#N/A,FALSE,"Plan2"}</definedName>
    <definedName name="NJSDFHERTG" localSheetId="4" hidden="1">{#N/A,#N/A,FALSE,"Plan1";#N/A,#N/A,FALSE,"Plan2"}</definedName>
    <definedName name="NJSDFHERTG" localSheetId="9">{#N/A,#N/A,FALSE,"Plan1";#N/A,#N/A,FALSE,"Plan2"}</definedName>
    <definedName name="NJSDFHERTG" localSheetId="10" hidden="1">{#N/A,#N/A,FALSE,"Plan1";#N/A,#N/A,FALSE,"Plan2"}</definedName>
    <definedName name="NJSDFHERTG" localSheetId="1" hidden="1">{#N/A,#N/A,FALSE,"Plan1";#N/A,#N/A,FALSE,"Plan2"}</definedName>
    <definedName name="NJSDFHERTG" localSheetId="0">{#N/A,#N/A,FALSE,"Plan1";#N/A,#N/A,FALSE,"Plan2"}</definedName>
    <definedName name="NJSDFHERTG" localSheetId="11" hidden="1">{#N/A,#N/A,FALSE,"Plan1";#N/A,#N/A,FALSE,"Plan2"}</definedName>
    <definedName name="NJSDFHERTG" localSheetId="12" hidden="1">{#N/A,#N/A,FALSE,"Plan1";#N/A,#N/A,FALSE,"Plan2"}</definedName>
    <definedName name="NJSDFHERTG" hidden="1">{#N/A,#N/A,FALSE,"Plan1";#N/A,#N/A,FALSE,"Plan2"}</definedName>
    <definedName name="nkfnsskdn" localSheetId="3" hidden="1">{#N/A,#N/A,FALSE,"Plan1";#N/A,#N/A,FALSE,"Plan2"}</definedName>
    <definedName name="nkfnsskdn" localSheetId="8">{#N/A,#N/A,FALSE,"Plan1";#N/A,#N/A,FALSE,"Plan2"}</definedName>
    <definedName name="nkfnsskdn" localSheetId="5" hidden="1">{#N/A,#N/A,FALSE,"Plan1";#N/A,#N/A,FALSE,"Plan2"}</definedName>
    <definedName name="nkfnsskdn" localSheetId="4" hidden="1">{#N/A,#N/A,FALSE,"Plan1";#N/A,#N/A,FALSE,"Plan2"}</definedName>
    <definedName name="nkfnsskdn" localSheetId="9">{#N/A,#N/A,FALSE,"Plan1";#N/A,#N/A,FALSE,"Plan2"}</definedName>
    <definedName name="nkfnsskdn" localSheetId="10" hidden="1">{#N/A,#N/A,FALSE,"Plan1";#N/A,#N/A,FALSE,"Plan2"}</definedName>
    <definedName name="nkfnsskdn" localSheetId="1" hidden="1">{#N/A,#N/A,FALSE,"Plan1";#N/A,#N/A,FALSE,"Plan2"}</definedName>
    <definedName name="nkfnsskdn" localSheetId="0">{#N/A,#N/A,FALSE,"Plan1";#N/A,#N/A,FALSE,"Plan2"}</definedName>
    <definedName name="nkfnsskdn" localSheetId="11" hidden="1">{#N/A,#N/A,FALSE,"Plan1";#N/A,#N/A,FALSE,"Plan2"}</definedName>
    <definedName name="nkfnsskdn" localSheetId="12" hidden="1">{#N/A,#N/A,FALSE,"Plan1";#N/A,#N/A,FALSE,"Plan2"}</definedName>
    <definedName name="nkfnsskdn" hidden="1">{#N/A,#N/A,FALSE,"Plan1";#N/A,#N/A,FALSE,"Plan2"}</definedName>
    <definedName name="NKJL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KJL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nl" localSheetId="8">#REF!</definedName>
    <definedName name="nl" localSheetId="5">#REF!</definedName>
    <definedName name="nl" localSheetId="9">#REF!</definedName>
    <definedName name="nl" localSheetId="10">#REF!</definedName>
    <definedName name="nl" localSheetId="0">#REF!</definedName>
    <definedName name="nl" localSheetId="11">#REF!</definedName>
    <definedName name="nl" localSheetId="12">#REF!</definedName>
    <definedName name="nl">#REF!</definedName>
    <definedName name="nlaksjdwe" localSheetId="3" hidden="1">{#N/A,#N/A,FALSE,"Plan1";#N/A,#N/A,FALSE,"Plan2"}</definedName>
    <definedName name="nlaksjdwe" localSheetId="8">{#N/A,#N/A,FALSE,"Plan1";#N/A,#N/A,FALSE,"Plan2"}</definedName>
    <definedName name="nlaksjdwe" localSheetId="5" hidden="1">{#N/A,#N/A,FALSE,"Plan1";#N/A,#N/A,FALSE,"Plan2"}</definedName>
    <definedName name="nlaksjdwe" localSheetId="4" hidden="1">{#N/A,#N/A,FALSE,"Plan1";#N/A,#N/A,FALSE,"Plan2"}</definedName>
    <definedName name="nlaksjdwe" localSheetId="9">{#N/A,#N/A,FALSE,"Plan1";#N/A,#N/A,FALSE,"Plan2"}</definedName>
    <definedName name="nlaksjdwe" localSheetId="10" hidden="1">{#N/A,#N/A,FALSE,"Plan1";#N/A,#N/A,FALSE,"Plan2"}</definedName>
    <definedName name="nlaksjdwe" localSheetId="1" hidden="1">{#N/A,#N/A,FALSE,"Plan1";#N/A,#N/A,FALSE,"Plan2"}</definedName>
    <definedName name="nlaksjdwe" localSheetId="0">{#N/A,#N/A,FALSE,"Plan1";#N/A,#N/A,FALSE,"Plan2"}</definedName>
    <definedName name="nlaksjdwe" localSheetId="11" hidden="1">{#N/A,#N/A,FALSE,"Plan1";#N/A,#N/A,FALSE,"Plan2"}</definedName>
    <definedName name="nlaksjdwe" localSheetId="12" hidden="1">{#N/A,#N/A,FALSE,"Plan1";#N/A,#N/A,FALSE,"Plan2"}</definedName>
    <definedName name="nlaksjdwe" hidden="1">{#N/A,#N/A,FALSE,"Plan1";#N/A,#N/A,FALSE,"Plan2"}</definedName>
    <definedName name="nljsdfljfdsfr" localSheetId="3" hidden="1">{#N/A,#N/A,FALSE,"Plan1";#N/A,#N/A,FALSE,"Plan2"}</definedName>
    <definedName name="nljsdfljfdsfr" localSheetId="8">{#N/A,#N/A,FALSE,"Plan1";#N/A,#N/A,FALSE,"Plan2"}</definedName>
    <definedName name="nljsdfljfdsfr" localSheetId="5" hidden="1">{#N/A,#N/A,FALSE,"Plan1";#N/A,#N/A,FALSE,"Plan2"}</definedName>
    <definedName name="nljsdfljfdsfr" localSheetId="4" hidden="1">{#N/A,#N/A,FALSE,"Plan1";#N/A,#N/A,FALSE,"Plan2"}</definedName>
    <definedName name="nljsdfljfdsfr" localSheetId="9">{#N/A,#N/A,FALSE,"Plan1";#N/A,#N/A,FALSE,"Plan2"}</definedName>
    <definedName name="nljsdfljfdsfr" localSheetId="10" hidden="1">{#N/A,#N/A,FALSE,"Plan1";#N/A,#N/A,FALSE,"Plan2"}</definedName>
    <definedName name="nljsdfljfdsfr" localSheetId="1" hidden="1">{#N/A,#N/A,FALSE,"Plan1";#N/A,#N/A,FALSE,"Plan2"}</definedName>
    <definedName name="nljsdfljfdsfr" localSheetId="0">{#N/A,#N/A,FALSE,"Plan1";#N/A,#N/A,FALSE,"Plan2"}</definedName>
    <definedName name="nljsdfljfdsfr" localSheetId="11" hidden="1">{#N/A,#N/A,FALSE,"Plan1";#N/A,#N/A,FALSE,"Plan2"}</definedName>
    <definedName name="nljsdfljfdsfr" localSheetId="12" hidden="1">{#N/A,#N/A,FALSE,"Plan1";#N/A,#N/A,FALSE,"Plan2"}</definedName>
    <definedName name="nljsdfljfdsfr" hidden="1">{#N/A,#N/A,FALSE,"Plan1";#N/A,#N/A,FALSE,"Plan2"}</definedName>
    <definedName name="nm_k1" localSheetId="8">#REF!</definedName>
    <definedName name="nm_k1" localSheetId="5">#REF!</definedName>
    <definedName name="nm_k1" localSheetId="9">#REF!</definedName>
    <definedName name="nm_k1" localSheetId="10">#REF!</definedName>
    <definedName name="nm_k1" localSheetId="0">#REF!</definedName>
    <definedName name="nm_k1" localSheetId="11">#REF!</definedName>
    <definedName name="nm_k1" localSheetId="12">#REF!</definedName>
    <definedName name="nm_k1">#REF!</definedName>
    <definedName name="nm_k2" localSheetId="8">#REF!</definedName>
    <definedName name="nm_k2" localSheetId="5">#REF!</definedName>
    <definedName name="nm_k2" localSheetId="9">#REF!</definedName>
    <definedName name="nm_k2" localSheetId="10">#REF!</definedName>
    <definedName name="nm_k2" localSheetId="0">#REF!</definedName>
    <definedName name="nm_k2" localSheetId="11">#REF!</definedName>
    <definedName name="nm_k2" localSheetId="12">#REF!</definedName>
    <definedName name="nm_k2">#REF!</definedName>
    <definedName name="nm_k3" localSheetId="8">#REF!</definedName>
    <definedName name="nm_k3" localSheetId="5">#REF!</definedName>
    <definedName name="nm_k3" localSheetId="9">#REF!</definedName>
    <definedName name="nm_k3" localSheetId="10">#REF!</definedName>
    <definedName name="nm_k3" localSheetId="0">#REF!</definedName>
    <definedName name="nm_k3" localSheetId="11">#REF!</definedName>
    <definedName name="nm_k3" localSheetId="12">#REF!</definedName>
    <definedName name="nm_k3">#REF!</definedName>
    <definedName name="nmjdfhxj" localSheetId="3" hidden="1">{#N/A,#N/A,FALSE,"Plan1";#N/A,#N/A,FALSE,"Plan2"}</definedName>
    <definedName name="nmjdfhxj" localSheetId="8">{#N/A,#N/A,FALSE,"Plan1";#N/A,#N/A,FALSE,"Plan2"}</definedName>
    <definedName name="nmjdfhxj" localSheetId="5" hidden="1">{#N/A,#N/A,FALSE,"Plan1";#N/A,#N/A,FALSE,"Plan2"}</definedName>
    <definedName name="nmjdfhxj" localSheetId="4" hidden="1">{#N/A,#N/A,FALSE,"Plan1";#N/A,#N/A,FALSE,"Plan2"}</definedName>
    <definedName name="nmjdfhxj" localSheetId="9">{#N/A,#N/A,FALSE,"Plan1";#N/A,#N/A,FALSE,"Plan2"}</definedName>
    <definedName name="nmjdfhxj" localSheetId="10" hidden="1">{#N/A,#N/A,FALSE,"Plan1";#N/A,#N/A,FALSE,"Plan2"}</definedName>
    <definedName name="nmjdfhxj" localSheetId="1" hidden="1">{#N/A,#N/A,FALSE,"Plan1";#N/A,#N/A,FALSE,"Plan2"}</definedName>
    <definedName name="nmjdfhxj" localSheetId="0">{#N/A,#N/A,FALSE,"Plan1";#N/A,#N/A,FALSE,"Plan2"}</definedName>
    <definedName name="nmjdfhxj" localSheetId="11" hidden="1">{#N/A,#N/A,FALSE,"Plan1";#N/A,#N/A,FALSE,"Plan2"}</definedName>
    <definedName name="nmjdfhxj" localSheetId="12" hidden="1">{#N/A,#N/A,FALSE,"Plan1";#N/A,#N/A,FALSE,"Plan2"}</definedName>
    <definedName name="nmjdfhxj" hidden="1">{#N/A,#N/A,FALSE,"Plan1";#N/A,#N/A,FALSE,"Plan2"}</definedName>
    <definedName name="nnmn" localSheetId="3" hidden="1">{#N/A,#N/A,FALSE,"Plan1";#N/A,#N/A,FALSE,"Plan2"}</definedName>
    <definedName name="nnmn" localSheetId="8">{#N/A,#N/A,FALSE,"Plan1";#N/A,#N/A,FALSE,"Plan2"}</definedName>
    <definedName name="nnmn" localSheetId="5" hidden="1">{#N/A,#N/A,FALSE,"Plan1";#N/A,#N/A,FALSE,"Plan2"}</definedName>
    <definedName name="nnmn" localSheetId="4" hidden="1">{#N/A,#N/A,FALSE,"Plan1";#N/A,#N/A,FALSE,"Plan2"}</definedName>
    <definedName name="nnmn" localSheetId="9">{#N/A,#N/A,FALSE,"Plan1";#N/A,#N/A,FALSE,"Plan2"}</definedName>
    <definedName name="nnmn" localSheetId="10" hidden="1">{#N/A,#N/A,FALSE,"Plan1";#N/A,#N/A,FALSE,"Plan2"}</definedName>
    <definedName name="nnmn" localSheetId="1" hidden="1">{#N/A,#N/A,FALSE,"Plan1";#N/A,#N/A,FALSE,"Plan2"}</definedName>
    <definedName name="nnmn" localSheetId="0">{#N/A,#N/A,FALSE,"Plan1";#N/A,#N/A,FALSE,"Plan2"}</definedName>
    <definedName name="nnmn" localSheetId="11" hidden="1">{#N/A,#N/A,FALSE,"Plan1";#N/A,#N/A,FALSE,"Plan2"}</definedName>
    <definedName name="nnmn" localSheetId="12" hidden="1">{#N/A,#N/A,FALSE,"Plan1";#N/A,#N/A,FALSE,"Plan2"}</definedName>
    <definedName name="nnmn" hidden="1">{#N/A,#N/A,FALSE,"Plan1";#N/A,#N/A,FALSE,"Plan2"}</definedName>
    <definedName name="nnn" localSheetId="3" hidden="1">{#N/A,#N/A,FALSE,"$170M Cash";#N/A,#N/A,FALSE,"$250M Cash";#N/A,#N/A,FALSE,"$325M Cash"}</definedName>
    <definedName name="nnn" localSheetId="8">{#N/A,#N/A,FALSE,"Plan1";#N/A,#N/A,FALSE,"Plan2"}</definedName>
    <definedName name="nnn" localSheetId="5" hidden="1">{#N/A,#N/A,FALSE,"Plan1";#N/A,#N/A,FALSE,"Plan2"}</definedName>
    <definedName name="nnn" localSheetId="4" hidden="1">{#N/A,#N/A,FALSE,"$170M Cash";#N/A,#N/A,FALSE,"$250M Cash";#N/A,#N/A,FALSE,"$325M Cash"}</definedName>
    <definedName name="nnn" localSheetId="9">{#N/A,#N/A,FALSE,"Plan1";#N/A,#N/A,FALSE,"Plan2"}</definedName>
    <definedName name="nnn" localSheetId="10" hidden="1">{#N/A,#N/A,FALSE,"$170M Cash";#N/A,#N/A,FALSE,"$250M Cash";#N/A,#N/A,FALSE,"$325M Cash"}</definedName>
    <definedName name="nnn" localSheetId="1" hidden="1">{#N/A,#N/A,FALSE,"Plan1";#N/A,#N/A,FALSE,"Plan2"}</definedName>
    <definedName name="nnn" localSheetId="0">{#N/A,#N/A,FALSE,"Plan1";#N/A,#N/A,FALSE,"Plan2"}</definedName>
    <definedName name="nnn" localSheetId="11" hidden="1">{#N/A,#N/A,FALSE,"$170M Cash";#N/A,#N/A,FALSE,"$250M Cash";#N/A,#N/A,FALSE,"$325M Cash"}</definedName>
    <definedName name="nnn" localSheetId="12" hidden="1">{#N/A,#N/A,FALSE,"$170M Cash";#N/A,#N/A,FALSE,"$250M Cash";#N/A,#N/A,FALSE,"$325M Cash"}</definedName>
    <definedName name="nnn" hidden="1">{#N/A,#N/A,FALSE,"Plan1";#N/A,#N/A,FALSE,"Plan2"}</definedName>
    <definedName name="nnnnnnnnnnn" localSheetId="3" hidden="1">{"HW",#N/A,FALSE,"1998"}</definedName>
    <definedName name="nnnnnnnnnnn" localSheetId="8">{"HW",#N/A,FALSE,"1998"}</definedName>
    <definedName name="nnnnnnnnnnn" localSheetId="5" hidden="1">{"HW",#N/A,FALSE,"1998"}</definedName>
    <definedName name="nnnnnnnnnnn" localSheetId="4" hidden="1">{"HW",#N/A,FALSE,"1998"}</definedName>
    <definedName name="nnnnnnnnnnn" localSheetId="9">{"HW",#N/A,FALSE,"1998"}</definedName>
    <definedName name="nnnnnnnnnnn" localSheetId="10" hidden="1">{"HW",#N/A,FALSE,"1998"}</definedName>
    <definedName name="nnnnnnnnnnn" localSheetId="1" hidden="1">{"HW",#N/A,FALSE,"1998"}</definedName>
    <definedName name="nnnnnnnnnnn" localSheetId="0">{"HW",#N/A,FALSE,"1998"}</definedName>
    <definedName name="nnnnnnnnnnn" localSheetId="11" hidden="1">{"HW",#N/A,FALSE,"1998"}</definedName>
    <definedName name="nnnnnnnnnnn" localSheetId="12" hidden="1">{"HW",#N/A,FALSE,"1998"}</definedName>
    <definedName name="nnnnnnnnnnn" hidden="1">{"HW",#N/A,FALSE,"1998"}</definedName>
    <definedName name="NNNNNNNNNNNNNNN" localSheetId="3" hidden="1">{#N/A,#N/A,FALSE,"Plan1";#N/A,#N/A,FALSE,"Plan2"}</definedName>
    <definedName name="NNNNNNNNNNNNNNN" localSheetId="8">{#N/A,#N/A,FALSE,"Plan1";#N/A,#N/A,FALSE,"Plan2"}</definedName>
    <definedName name="NNNNNNNNNNNNNNN" localSheetId="5" hidden="1">{#N/A,#N/A,FALSE,"Plan1";#N/A,#N/A,FALSE,"Plan2"}</definedName>
    <definedName name="NNNNNNNNNNNNNNN" localSheetId="4" hidden="1">{#N/A,#N/A,FALSE,"Plan1";#N/A,#N/A,FALSE,"Plan2"}</definedName>
    <definedName name="NNNNNNNNNNNNNNN" localSheetId="9">{#N/A,#N/A,FALSE,"Plan1";#N/A,#N/A,FALSE,"Plan2"}</definedName>
    <definedName name="NNNNNNNNNNNNNNN" localSheetId="10" hidden="1">{#N/A,#N/A,FALSE,"Plan1";#N/A,#N/A,FALSE,"Plan2"}</definedName>
    <definedName name="NNNNNNNNNNNNNNN" localSheetId="1" hidden="1">{#N/A,#N/A,FALSE,"Plan1";#N/A,#N/A,FALSE,"Plan2"}</definedName>
    <definedName name="NNNNNNNNNNNNNNN" localSheetId="0">{#N/A,#N/A,FALSE,"Plan1";#N/A,#N/A,FALSE,"Plan2"}</definedName>
    <definedName name="NNNNNNNNNNNNNNN" localSheetId="11" hidden="1">{#N/A,#N/A,FALSE,"Plan1";#N/A,#N/A,FALSE,"Plan2"}</definedName>
    <definedName name="NNNNNNNNNNNNNNN" localSheetId="12" hidden="1">{#N/A,#N/A,FALSE,"Plan1";#N/A,#N/A,FALSE,"Plan2"}</definedName>
    <definedName name="NNNNNNNNNNNNNNN" hidden="1">{#N/A,#N/A,FALSE,"Plan1";#N/A,#N/A,FALSE,"Plan2"}</definedName>
    <definedName name="nnnnnnnnnnnnnnnnnnnn" localSheetId="3" hidden="1">{#N/A,#N/A,FALSE,"Plan1";#N/A,#N/A,FALSE,"Plan2"}</definedName>
    <definedName name="nnnnnnnnnnnnnnnnnnnn" localSheetId="8">{#N/A,#N/A,FALSE,"Plan1";#N/A,#N/A,FALSE,"Plan2"}</definedName>
    <definedName name="nnnnnnnnnnnnnnnnnnnn" localSheetId="5" hidden="1">{#N/A,#N/A,FALSE,"Plan1";#N/A,#N/A,FALSE,"Plan2"}</definedName>
    <definedName name="nnnnnnnnnnnnnnnnnnnn" localSheetId="4" hidden="1">{#N/A,#N/A,FALSE,"Plan1";#N/A,#N/A,FALSE,"Plan2"}</definedName>
    <definedName name="nnnnnnnnnnnnnnnnnnnn" localSheetId="9">{#N/A,#N/A,FALSE,"Plan1";#N/A,#N/A,FALSE,"Plan2"}</definedName>
    <definedName name="nnnnnnnnnnnnnnnnnnnn" localSheetId="10" hidden="1">{#N/A,#N/A,FALSE,"Plan1";#N/A,#N/A,FALSE,"Plan2"}</definedName>
    <definedName name="nnnnnnnnnnnnnnnnnnnn" localSheetId="1" hidden="1">{#N/A,#N/A,FALSE,"Plan1";#N/A,#N/A,FALSE,"Plan2"}</definedName>
    <definedName name="nnnnnnnnnnnnnnnnnnnn" localSheetId="0">{#N/A,#N/A,FALSE,"Plan1";#N/A,#N/A,FALSE,"Plan2"}</definedName>
    <definedName name="nnnnnnnnnnnnnnnnnnnn" localSheetId="11" hidden="1">{#N/A,#N/A,FALSE,"Plan1";#N/A,#N/A,FALSE,"Plan2"}</definedName>
    <definedName name="nnnnnnnnnnnnnnnnnnnn" localSheetId="12" hidden="1">{#N/A,#N/A,FALSE,"Plan1";#N/A,#N/A,FALSE,"Plan2"}</definedName>
    <definedName name="nnnnnnnnnnnnnnnnnnnn" hidden="1">{#N/A,#N/A,FALSE,"Plan1";#N/A,#N/A,FALSE,"Plan2"}</definedName>
    <definedName name="NNXFT" localSheetId="3" hidden="1">{#N/A,#N/A,FALSE,"Plan1";#N/A,#N/A,FALSE,"Plan2"}</definedName>
    <definedName name="NNXFT" localSheetId="8">{#N/A,#N/A,FALSE,"Plan1";#N/A,#N/A,FALSE,"Plan2"}</definedName>
    <definedName name="NNXFT" localSheetId="5" hidden="1">{#N/A,#N/A,FALSE,"Plan1";#N/A,#N/A,FALSE,"Plan2"}</definedName>
    <definedName name="NNXFT" localSheetId="4" hidden="1">{#N/A,#N/A,FALSE,"Plan1";#N/A,#N/A,FALSE,"Plan2"}</definedName>
    <definedName name="NNXFT" localSheetId="9">{#N/A,#N/A,FALSE,"Plan1";#N/A,#N/A,FALSE,"Plan2"}</definedName>
    <definedName name="NNXFT" localSheetId="10" hidden="1">{#N/A,#N/A,FALSE,"Plan1";#N/A,#N/A,FALSE,"Plan2"}</definedName>
    <definedName name="NNXFT" localSheetId="1" hidden="1">{#N/A,#N/A,FALSE,"Plan1";#N/A,#N/A,FALSE,"Plan2"}</definedName>
    <definedName name="NNXFT" localSheetId="0">{#N/A,#N/A,FALSE,"Plan1";#N/A,#N/A,FALSE,"Plan2"}</definedName>
    <definedName name="NNXFT" localSheetId="11" hidden="1">{#N/A,#N/A,FALSE,"Plan1";#N/A,#N/A,FALSE,"Plan2"}</definedName>
    <definedName name="NNXFT" localSheetId="12" hidden="1">{#N/A,#N/A,FALSE,"Plan1";#N/A,#N/A,FALSE,"Plan2"}</definedName>
    <definedName name="NNXFT" hidden="1">{#N/A,#N/A,FALSE,"Plan1";#N/A,#N/A,FALSE,"Plan2"}</definedName>
    <definedName name="no" localSheetId="8">#REF!</definedName>
    <definedName name="no" localSheetId="5">#REF!</definedName>
    <definedName name="no" localSheetId="9">#REF!</definedName>
    <definedName name="no" localSheetId="10">#REF!</definedName>
    <definedName name="no" localSheetId="0">#REF!</definedName>
    <definedName name="no" localSheetId="11">#REF!</definedName>
    <definedName name="no" localSheetId="12">#REF!</definedName>
    <definedName name="no">#REF!</definedName>
    <definedName name="NOME" localSheetId="8">#REF!</definedName>
    <definedName name="NOME" localSheetId="5">#REF!</definedName>
    <definedName name="NOME" localSheetId="9">#REF!</definedName>
    <definedName name="NOME" localSheetId="10">#REF!</definedName>
    <definedName name="NOME" localSheetId="0">#REF!</definedName>
    <definedName name="NOME" localSheetId="11">#REF!</definedName>
    <definedName name="NOME" localSheetId="12">#REF!</definedName>
    <definedName name="NOME">#REF!</definedName>
    <definedName name="nome2" localSheetId="8">#REF!</definedName>
    <definedName name="nome2" localSheetId="5">#REF!</definedName>
    <definedName name="nome2" localSheetId="9">#REF!</definedName>
    <definedName name="nome2" localSheetId="10">#REF!</definedName>
    <definedName name="nome2" localSheetId="0">#REF!</definedName>
    <definedName name="nome2" localSheetId="11">#REF!</definedName>
    <definedName name="nome2" localSheetId="12">#REF!</definedName>
    <definedName name="nome2">#REF!</definedName>
    <definedName name="NOMEITEM" localSheetId="8">#REF!</definedName>
    <definedName name="NOMEITEM" localSheetId="5">#REF!</definedName>
    <definedName name="NOMEITEM" localSheetId="10">#REF!</definedName>
    <definedName name="NOMEITEM" localSheetId="11">#REF!</definedName>
    <definedName name="NOMEITEM" localSheetId="12">#REF!</definedName>
    <definedName name="NOMEITEM">#REF!</definedName>
    <definedName name="NOMEOBRA" localSheetId="8">#REF!</definedName>
    <definedName name="NOMEOBRA" localSheetId="5">#REF!</definedName>
    <definedName name="NOMEOBRA" localSheetId="10">#REF!</definedName>
    <definedName name="NOMEOBRA" localSheetId="11">#REF!</definedName>
    <definedName name="NOMEOBRA" localSheetId="12">#REF!</definedName>
    <definedName name="NOMEOBRA">#REF!</definedName>
    <definedName name="nov17RJ" localSheetId="8">#REF!</definedName>
    <definedName name="nov17RJ" localSheetId="5">#REF!</definedName>
    <definedName name="nov17RJ" localSheetId="10">#REF!</definedName>
    <definedName name="nov17RJ" localSheetId="11">#REF!</definedName>
    <definedName name="nov17RJ" localSheetId="12">#REF!</definedName>
    <definedName name="nov17RJ">#REF!</definedName>
    <definedName name="NOVE" localSheetId="8">#REF!</definedName>
    <definedName name="NOVE" localSheetId="5">#REF!</definedName>
    <definedName name="NOVE" localSheetId="10">#REF!</definedName>
    <definedName name="NOVE" localSheetId="11">#REF!</definedName>
    <definedName name="NOVE" localSheetId="12">#REF!</definedName>
    <definedName name="NOVE">#REF!</definedName>
    <definedName name="NOVEMBRO" localSheetId="8">#REF!</definedName>
    <definedName name="NOVEMBRO" localSheetId="5">#REF!</definedName>
    <definedName name="NOVEMBRO" localSheetId="10">#REF!</definedName>
    <definedName name="NOVEMBRO" localSheetId="11">#REF!</definedName>
    <definedName name="NOVEMBRO" localSheetId="12">#REF!</definedName>
    <definedName name="NOVEMBRO">#REF!</definedName>
    <definedName name="nsdkfndgfdnatf" localSheetId="3" hidden="1">{#N/A,#N/A,FALSE,"Plan1";#N/A,#N/A,FALSE,"Plan2"}</definedName>
    <definedName name="nsdkfndgfdnatf" localSheetId="8">{#N/A,#N/A,FALSE,"Plan1";#N/A,#N/A,FALSE,"Plan2"}</definedName>
    <definedName name="nsdkfndgfdnatf" localSheetId="5" hidden="1">{#N/A,#N/A,FALSE,"Plan1";#N/A,#N/A,FALSE,"Plan2"}</definedName>
    <definedName name="nsdkfndgfdnatf" localSheetId="4" hidden="1">{#N/A,#N/A,FALSE,"Plan1";#N/A,#N/A,FALSE,"Plan2"}</definedName>
    <definedName name="nsdkfndgfdnatf" localSheetId="9">{#N/A,#N/A,FALSE,"Plan1";#N/A,#N/A,FALSE,"Plan2"}</definedName>
    <definedName name="nsdkfndgfdnatf" localSheetId="10" hidden="1">{#N/A,#N/A,FALSE,"Plan1";#N/A,#N/A,FALSE,"Plan2"}</definedName>
    <definedName name="nsdkfndgfdnatf" localSheetId="1" hidden="1">{#N/A,#N/A,FALSE,"Plan1";#N/A,#N/A,FALSE,"Plan2"}</definedName>
    <definedName name="nsdkfndgfdnatf" localSheetId="0">{#N/A,#N/A,FALSE,"Plan1";#N/A,#N/A,FALSE,"Plan2"}</definedName>
    <definedName name="nsdkfndgfdnatf" localSheetId="11" hidden="1">{#N/A,#N/A,FALSE,"Plan1";#N/A,#N/A,FALSE,"Plan2"}</definedName>
    <definedName name="nsdkfndgfdnatf" localSheetId="12" hidden="1">{#N/A,#N/A,FALSE,"Plan1";#N/A,#N/A,FALSE,"Plan2"}</definedName>
    <definedName name="nsdkfndgfdnatf" hidden="1">{#N/A,#N/A,FALSE,"Plan1";#N/A,#N/A,FALSE,"Plan2"}</definedName>
    <definedName name="nsfljdiljrf" localSheetId="3" hidden="1">{#N/A,#N/A,FALSE,"Plan1";#N/A,#N/A,FALSE,"Plan2"}</definedName>
    <definedName name="nsfljdiljrf" localSheetId="8">{#N/A,#N/A,FALSE,"Plan1";#N/A,#N/A,FALSE,"Plan2"}</definedName>
    <definedName name="nsfljdiljrf" localSheetId="5" hidden="1">{#N/A,#N/A,FALSE,"Plan1";#N/A,#N/A,FALSE,"Plan2"}</definedName>
    <definedName name="nsfljdiljrf" localSheetId="4" hidden="1">{#N/A,#N/A,FALSE,"Plan1";#N/A,#N/A,FALSE,"Plan2"}</definedName>
    <definedName name="nsfljdiljrf" localSheetId="9">{#N/A,#N/A,FALSE,"Plan1";#N/A,#N/A,FALSE,"Plan2"}</definedName>
    <definedName name="nsfljdiljrf" localSheetId="10" hidden="1">{#N/A,#N/A,FALSE,"Plan1";#N/A,#N/A,FALSE,"Plan2"}</definedName>
    <definedName name="nsfljdiljrf" localSheetId="1" hidden="1">{#N/A,#N/A,FALSE,"Plan1";#N/A,#N/A,FALSE,"Plan2"}</definedName>
    <definedName name="nsfljdiljrf" localSheetId="0">{#N/A,#N/A,FALSE,"Plan1";#N/A,#N/A,FALSE,"Plan2"}</definedName>
    <definedName name="nsfljdiljrf" localSheetId="11" hidden="1">{#N/A,#N/A,FALSE,"Plan1";#N/A,#N/A,FALSE,"Plan2"}</definedName>
    <definedName name="nsfljdiljrf" localSheetId="12" hidden="1">{#N/A,#N/A,FALSE,"Plan1";#N/A,#N/A,FALSE,"Plan2"}</definedName>
    <definedName name="nsfljdiljrf" hidden="1">{#N/A,#N/A,FALSE,"Plan1";#N/A,#N/A,FALSE,"Plan2"}</definedName>
    <definedName name="NUCOPIAS" localSheetId="8">#REF!</definedName>
    <definedName name="NUCOPIAS" localSheetId="5">#REF!</definedName>
    <definedName name="NUCOPIAS" localSheetId="9">#REF!</definedName>
    <definedName name="NUCOPIAS" localSheetId="10">#REF!</definedName>
    <definedName name="NUCOPIAS" localSheetId="0">#REF!</definedName>
    <definedName name="NUCOPIAS" localSheetId="11">#REF!</definedName>
    <definedName name="NUCOPIAS" localSheetId="12">#REF!</definedName>
    <definedName name="NUCOPIAS">#REF!</definedName>
    <definedName name="NUMOBRA" localSheetId="8">#REF!</definedName>
    <definedName name="NUMOBRA" localSheetId="5">#REF!</definedName>
    <definedName name="NUMOBRA" localSheetId="9">#REF!</definedName>
    <definedName name="NUMOBRA" localSheetId="10">#REF!</definedName>
    <definedName name="NUMOBRA" localSheetId="0">#REF!</definedName>
    <definedName name="NUMOBRA" localSheetId="11">#REF!</definedName>
    <definedName name="NUMOBRA" localSheetId="12">#REF!</definedName>
    <definedName name="NUMOBRA">#REF!</definedName>
    <definedName name="NutN" localSheetId="8">#REF!</definedName>
    <definedName name="NutN" localSheetId="5">#REF!</definedName>
    <definedName name="NutN" localSheetId="9">#REF!</definedName>
    <definedName name="NutN" localSheetId="10">#REF!</definedName>
    <definedName name="NutN" localSheetId="0">#REF!</definedName>
    <definedName name="NutN" localSheetId="11">#REF!</definedName>
    <definedName name="NutN" localSheetId="12">#REF!</definedName>
    <definedName name="NutN">#REF!</definedName>
    <definedName name="nzxcnnjkd" localSheetId="3" hidden="1">{#N/A,#N/A,FALSE,"Plan1";#N/A,#N/A,FALSE,"Plan2"}</definedName>
    <definedName name="nzxcnnjkd" localSheetId="8">{#N/A,#N/A,FALSE,"Plan1";#N/A,#N/A,FALSE,"Plan2"}</definedName>
    <definedName name="nzxcnnjkd" localSheetId="5" hidden="1">{#N/A,#N/A,FALSE,"Plan1";#N/A,#N/A,FALSE,"Plan2"}</definedName>
    <definedName name="nzxcnnjkd" localSheetId="4" hidden="1">{#N/A,#N/A,FALSE,"Plan1";#N/A,#N/A,FALSE,"Plan2"}</definedName>
    <definedName name="nzxcnnjkd" localSheetId="9">{#N/A,#N/A,FALSE,"Plan1";#N/A,#N/A,FALSE,"Plan2"}</definedName>
    <definedName name="nzxcnnjkd" localSheetId="10" hidden="1">{#N/A,#N/A,FALSE,"Plan1";#N/A,#N/A,FALSE,"Plan2"}</definedName>
    <definedName name="nzxcnnjkd" localSheetId="1" hidden="1">{#N/A,#N/A,FALSE,"Plan1";#N/A,#N/A,FALSE,"Plan2"}</definedName>
    <definedName name="nzxcnnjkd" localSheetId="0">{#N/A,#N/A,FALSE,"Plan1";#N/A,#N/A,FALSE,"Plan2"}</definedName>
    <definedName name="nzxcnnjkd" localSheetId="11" hidden="1">{#N/A,#N/A,FALSE,"Plan1";#N/A,#N/A,FALSE,"Plan2"}</definedName>
    <definedName name="nzxcnnjkd" localSheetId="12" hidden="1">{#N/A,#N/A,FALSE,"Plan1";#N/A,#N/A,FALSE,"Plan2"}</definedName>
    <definedName name="nzxcnnjkd" hidden="1">{#N/A,#N/A,FALSE,"Plan1";#N/A,#N/A,FALSE,"Plan2"}</definedName>
    <definedName name="OAE" localSheetId="8">#REF!</definedName>
    <definedName name="OAE" localSheetId="5">#REF!</definedName>
    <definedName name="OAE" localSheetId="9">#REF!</definedName>
    <definedName name="OAE" localSheetId="10">#REF!</definedName>
    <definedName name="OAE" localSheetId="1">#REF!</definedName>
    <definedName name="OAE" localSheetId="0">#REF!</definedName>
    <definedName name="OAE" localSheetId="11">#REF!</definedName>
    <definedName name="OAE" localSheetId="12">#REF!</definedName>
    <definedName name="OAE">#REF!</definedName>
    <definedName name="OBRA" localSheetId="8">#REF!</definedName>
    <definedName name="OBRA" localSheetId="5">#REF!</definedName>
    <definedName name="OBRA" localSheetId="9">#REF!</definedName>
    <definedName name="OBRA" localSheetId="10">#REF!</definedName>
    <definedName name="OBRA" localSheetId="0">#REF!</definedName>
    <definedName name="OBRA" localSheetId="11">#REF!</definedName>
    <definedName name="OBRA" localSheetId="12">#REF!</definedName>
    <definedName name="OBRA">#REF!</definedName>
    <definedName name="Obra_Fin_Medição" localSheetId="8">#REF!</definedName>
    <definedName name="Obra_Fin_Medição" localSheetId="5">#REF!</definedName>
    <definedName name="Obra_Fin_Medição" localSheetId="9">#REF!</definedName>
    <definedName name="Obra_Fin_Medição" localSheetId="10">#REF!</definedName>
    <definedName name="Obra_Fin_Medição" localSheetId="0">#REF!</definedName>
    <definedName name="Obra_Fin_Medição" localSheetId="11">#REF!</definedName>
    <definedName name="Obra_Fin_Medição" localSheetId="12">#REF!</definedName>
    <definedName name="Obra_Fin_Medição">#REF!</definedName>
    <definedName name="OBRA_PROJETADO" localSheetId="8">#REF!</definedName>
    <definedName name="OBRA_PROJETADO" localSheetId="5">#REF!</definedName>
    <definedName name="OBRA_PROJETADO" localSheetId="10">#REF!</definedName>
    <definedName name="OBRA_PROJETADO" localSheetId="11">#REF!</definedName>
    <definedName name="OBRA_PROJETADO" localSheetId="12">#REF!</definedName>
    <definedName name="OBRA_PROJETADO">#REF!</definedName>
    <definedName name="Obra_Rel_Controladoria" localSheetId="8">#REF!</definedName>
    <definedName name="Obra_Rel_Controladoria" localSheetId="5">#REF!</definedName>
    <definedName name="Obra_Rel_Controladoria" localSheetId="10">#REF!</definedName>
    <definedName name="Obra_Rel_Controladoria" localSheetId="11">#REF!</definedName>
    <definedName name="Obra_Rel_Controladoria" localSheetId="12">#REF!</definedName>
    <definedName name="Obra_Rel_Controladoria">#REF!</definedName>
    <definedName name="Obra_Sienge" localSheetId="8">#REF!</definedName>
    <definedName name="Obra_Sienge" localSheetId="5">#REF!</definedName>
    <definedName name="Obra_Sienge" localSheetId="10">#REF!</definedName>
    <definedName name="Obra_Sienge" localSheetId="11">#REF!</definedName>
    <definedName name="Obra_Sienge" localSheetId="12">#REF!</definedName>
    <definedName name="Obra_Sienge">#REF!</definedName>
    <definedName name="Obra2_Fin_Medição" localSheetId="8">#REF!</definedName>
    <definedName name="Obra2_Fin_Medição" localSheetId="5">#REF!</definedName>
    <definedName name="Obra2_Fin_Medição" localSheetId="10">#REF!</definedName>
    <definedName name="Obra2_Fin_Medição" localSheetId="11">#REF!</definedName>
    <definedName name="Obra2_Fin_Medição" localSheetId="12">#REF!</definedName>
    <definedName name="Obra2_Fin_Medição">#REF!</definedName>
    <definedName name="OBRALOC" localSheetId="8">#REF!</definedName>
    <definedName name="OBRALOC" localSheetId="5">#REF!</definedName>
    <definedName name="OBRALOC" localSheetId="10">#REF!</definedName>
    <definedName name="OBRALOC" localSheetId="11">#REF!</definedName>
    <definedName name="OBRALOC" localSheetId="12">#REF!</definedName>
    <definedName name="OBRALOC">#REF!</definedName>
    <definedName name="OBRAS" localSheetId="8">#REF!</definedName>
    <definedName name="OBRAS" localSheetId="5">#REF!</definedName>
    <definedName name="OBRAS" localSheetId="10">#REF!</definedName>
    <definedName name="OBRAS" localSheetId="11">#REF!</definedName>
    <definedName name="OBRAS" localSheetId="12">#REF!</definedName>
    <definedName name="OBRAS">#REF!</definedName>
    <definedName name="Obras_Apoio_Rel_Controladoria" localSheetId="8">#REF!</definedName>
    <definedName name="Obras_Apoio_Rel_Controladoria" localSheetId="5">#REF!</definedName>
    <definedName name="Obras_Apoio_Rel_Controladoria" localSheetId="10">#REF!</definedName>
    <definedName name="Obras_Apoio_Rel_Controladoria" localSheetId="11">#REF!</definedName>
    <definedName name="Obras_Apoio_Rel_Controladoria" localSheetId="12">#REF!</definedName>
    <definedName name="Obras_Apoio_Rel_Controladoria">#REF!</definedName>
    <definedName name="OBRAS_REALIZADO" localSheetId="8">#REF!</definedName>
    <definedName name="OBRAS_REALIZADO" localSheetId="5">#REF!</definedName>
    <definedName name="OBRAS_REALIZADO" localSheetId="10">#REF!</definedName>
    <definedName name="OBRAS_REALIZADO" localSheetId="11">#REF!</definedName>
    <definedName name="OBRAS_REALIZADO" localSheetId="12">#REF!</definedName>
    <definedName name="OBRAS_REALIZADO">#REF!</definedName>
    <definedName name="OBRASEL" localSheetId="8">#REF!</definedName>
    <definedName name="OBRASEL" localSheetId="5">#REF!</definedName>
    <definedName name="OBRASEL" localSheetId="10">#REF!</definedName>
    <definedName name="OBRASEL" localSheetId="11">#REF!</definedName>
    <definedName name="OBRASEL" localSheetId="12">#REF!</definedName>
    <definedName name="OBRASEL">#REF!</definedName>
    <definedName name="odflgj" hidden="1">25</definedName>
    <definedName name="odfuudor" localSheetId="3" hidden="1">{#N/A,#N/A,FALSE,"Plan1";#N/A,#N/A,FALSE,"Plan2"}</definedName>
    <definedName name="odfuudor" localSheetId="8">{#N/A,#N/A,FALSE,"Plan1";#N/A,#N/A,FALSE,"Plan2"}</definedName>
    <definedName name="odfuudor" localSheetId="5" hidden="1">{#N/A,#N/A,FALSE,"Plan1";#N/A,#N/A,FALSE,"Plan2"}</definedName>
    <definedName name="odfuudor" localSheetId="4" hidden="1">{#N/A,#N/A,FALSE,"Plan1";#N/A,#N/A,FALSE,"Plan2"}</definedName>
    <definedName name="odfuudor" localSheetId="9">{#N/A,#N/A,FALSE,"Plan1";#N/A,#N/A,FALSE,"Plan2"}</definedName>
    <definedName name="odfuudor" localSheetId="10" hidden="1">{#N/A,#N/A,FALSE,"Plan1";#N/A,#N/A,FALSE,"Plan2"}</definedName>
    <definedName name="odfuudor" localSheetId="1" hidden="1">{#N/A,#N/A,FALSE,"Plan1";#N/A,#N/A,FALSE,"Plan2"}</definedName>
    <definedName name="odfuudor" localSheetId="0">{#N/A,#N/A,FALSE,"Plan1";#N/A,#N/A,FALSE,"Plan2"}</definedName>
    <definedName name="odfuudor" localSheetId="11" hidden="1">{#N/A,#N/A,FALSE,"Plan1";#N/A,#N/A,FALSE,"Plan2"}</definedName>
    <definedName name="odfuudor" localSheetId="12" hidden="1">{#N/A,#N/A,FALSE,"Plan1";#N/A,#N/A,FALSE,"Plan2"}</definedName>
    <definedName name="odfuudor" hidden="1">{#N/A,#N/A,FALSE,"Plan1";#N/A,#N/A,FALSE,"Plan2"}</definedName>
    <definedName name="ODH" localSheetId="8">#REF!</definedName>
    <definedName name="ODH" localSheetId="5" hidden="1">#REF!</definedName>
    <definedName name="ODH" localSheetId="9">#REF!</definedName>
    <definedName name="ODH" localSheetId="10" hidden="1">#REF!</definedName>
    <definedName name="ODH" localSheetId="1" hidden="1">#REF!</definedName>
    <definedName name="ODH" localSheetId="0">#REF!</definedName>
    <definedName name="ODH" localSheetId="11" hidden="1">#REF!</definedName>
    <definedName name="ODH" localSheetId="12" hidden="1">#REF!</definedName>
    <definedName name="ODH" hidden="1">#REF!</definedName>
    <definedName name="oficial_mes" localSheetId="8">#REF!</definedName>
    <definedName name="oficial_mes" localSheetId="5">#REF!</definedName>
    <definedName name="oficial_mes" localSheetId="9">#REF!</definedName>
    <definedName name="oficial_mes" localSheetId="10">#REF!</definedName>
    <definedName name="oficial_mes" localSheetId="0">#REF!</definedName>
    <definedName name="oficial_mes" localSheetId="11">#REF!</definedName>
    <definedName name="oficial_mes" localSheetId="12">#REF!</definedName>
    <definedName name="oficial_mes">#REF!</definedName>
    <definedName name="oficial2_mes" localSheetId="8">#REF!</definedName>
    <definedName name="oficial2_mes" localSheetId="5">#REF!</definedName>
    <definedName name="oficial2_mes" localSheetId="9">#REF!</definedName>
    <definedName name="oficial2_mes" localSheetId="10">#REF!</definedName>
    <definedName name="oficial2_mes" localSheetId="0">#REF!</definedName>
    <definedName name="oficial2_mes" localSheetId="11">#REF!</definedName>
    <definedName name="oficial2_mes" localSheetId="12">#REF!</definedName>
    <definedName name="oficial2_mes">#REF!</definedName>
    <definedName name="oiditrot" localSheetId="3" hidden="1">{#N/A,#N/A,FALSE,"Plan1";#N/A,#N/A,FALSE,"Plan2"}</definedName>
    <definedName name="oiditrot" localSheetId="8">{#N/A,#N/A,FALSE,"Plan1";#N/A,#N/A,FALSE,"Plan2"}</definedName>
    <definedName name="oiditrot" localSheetId="5" hidden="1">{#N/A,#N/A,FALSE,"Plan1";#N/A,#N/A,FALSE,"Plan2"}</definedName>
    <definedName name="oiditrot" localSheetId="4" hidden="1">{#N/A,#N/A,FALSE,"Plan1";#N/A,#N/A,FALSE,"Plan2"}</definedName>
    <definedName name="oiditrot" localSheetId="9">{#N/A,#N/A,FALSE,"Plan1";#N/A,#N/A,FALSE,"Plan2"}</definedName>
    <definedName name="oiditrot" localSheetId="10" hidden="1">{#N/A,#N/A,FALSE,"Plan1";#N/A,#N/A,FALSE,"Plan2"}</definedName>
    <definedName name="oiditrot" localSheetId="1" hidden="1">{#N/A,#N/A,FALSE,"Plan1";#N/A,#N/A,FALSE,"Plan2"}</definedName>
    <definedName name="oiditrot" localSheetId="0">{#N/A,#N/A,FALSE,"Plan1";#N/A,#N/A,FALSE,"Plan2"}</definedName>
    <definedName name="oiditrot" localSheetId="11" hidden="1">{#N/A,#N/A,FALSE,"Plan1";#N/A,#N/A,FALSE,"Plan2"}</definedName>
    <definedName name="oiditrot" localSheetId="12" hidden="1">{#N/A,#N/A,FALSE,"Plan1";#N/A,#N/A,FALSE,"Plan2"}</definedName>
    <definedName name="oiditrot" hidden="1">{#N/A,#N/A,FALSE,"Plan1";#N/A,#N/A,FALSE,"Plan2"}</definedName>
    <definedName name="oio" localSheetId="3" hidden="1">{#N/A,#N/A,FALSE,"Plan1";#N/A,#N/A,FALSE,"Plan2"}</definedName>
    <definedName name="oio" localSheetId="8">{#N/A,#N/A,FALSE,"Plan1";#N/A,#N/A,FALSE,"Plan2"}</definedName>
    <definedName name="oio" localSheetId="5" hidden="1">{#N/A,#N/A,FALSE,"Plan1";#N/A,#N/A,FALSE,"Plan2"}</definedName>
    <definedName name="oio" localSheetId="4" hidden="1">{#N/A,#N/A,FALSE,"Plan1";#N/A,#N/A,FALSE,"Plan2"}</definedName>
    <definedName name="oio" localSheetId="9">{#N/A,#N/A,FALSE,"Plan1";#N/A,#N/A,FALSE,"Plan2"}</definedName>
    <definedName name="oio" localSheetId="10" hidden="1">{#N/A,#N/A,FALSE,"Plan1";#N/A,#N/A,FALSE,"Plan2"}</definedName>
    <definedName name="oio" localSheetId="1" hidden="1">{#N/A,#N/A,FALSE,"Plan1";#N/A,#N/A,FALSE,"Plan2"}</definedName>
    <definedName name="oio" localSheetId="0">{#N/A,#N/A,FALSE,"Plan1";#N/A,#N/A,FALSE,"Plan2"}</definedName>
    <definedName name="oio" localSheetId="11" hidden="1">{#N/A,#N/A,FALSE,"Plan1";#N/A,#N/A,FALSE,"Plan2"}</definedName>
    <definedName name="oio" localSheetId="12" hidden="1">{#N/A,#N/A,FALSE,"Plan1";#N/A,#N/A,FALSE,"Plan2"}</definedName>
    <definedName name="oio" hidden="1">{#N/A,#N/A,FALSE,"Plan1";#N/A,#N/A,FALSE,"Plan2"}</definedName>
    <definedName name="OITO" localSheetId="8">#REF!</definedName>
    <definedName name="OITO" localSheetId="5">#REF!</definedName>
    <definedName name="OITO" localSheetId="9">#REF!</definedName>
    <definedName name="OITO" localSheetId="10">#REF!</definedName>
    <definedName name="OITO" localSheetId="0">#REF!</definedName>
    <definedName name="OITO" localSheetId="11">#REF!</definedName>
    <definedName name="OITO" localSheetId="12">#REF!</definedName>
    <definedName name="OITO">#REF!</definedName>
    <definedName name="oiufioorif" localSheetId="8">#REF!</definedName>
    <definedName name="oiufioorif" localSheetId="9">#REF!</definedName>
    <definedName name="oiufioorif" localSheetId="10" hidden="1">#REF!</definedName>
    <definedName name="oiufioorif" localSheetId="1" hidden="1">#REF!</definedName>
    <definedName name="oiufioorif" localSheetId="0">#REF!</definedName>
    <definedName name="oiufioorif" localSheetId="11" hidden="1">#REF!</definedName>
    <definedName name="oiufioorif" localSheetId="12" hidden="1">#REF!</definedName>
    <definedName name="oiufioorif" hidden="1">#REF!</definedName>
    <definedName name="OJÇLJ" localSheetId="3" hidden="1">{#N/A,#N/A,FALSE,"Plan1";#N/A,#N/A,FALSE,"Plan2"}</definedName>
    <definedName name="OJÇLJ" localSheetId="8">{#N/A,#N/A,FALSE,"Plan1";#N/A,#N/A,FALSE,"Plan2"}</definedName>
    <definedName name="OJÇLJ" localSheetId="5" hidden="1">{#N/A,#N/A,FALSE,"Plan1";#N/A,#N/A,FALSE,"Plan2"}</definedName>
    <definedName name="OJÇLJ" localSheetId="4" hidden="1">{#N/A,#N/A,FALSE,"Plan1";#N/A,#N/A,FALSE,"Plan2"}</definedName>
    <definedName name="OJÇLJ" localSheetId="9">{#N/A,#N/A,FALSE,"Plan1";#N/A,#N/A,FALSE,"Plan2"}</definedName>
    <definedName name="OJÇLJ" localSheetId="10" hidden="1">{#N/A,#N/A,FALSE,"Plan1";#N/A,#N/A,FALSE,"Plan2"}</definedName>
    <definedName name="OJÇLJ" localSheetId="1" hidden="1">{#N/A,#N/A,FALSE,"Plan1";#N/A,#N/A,FALSE,"Plan2"}</definedName>
    <definedName name="OJÇLJ" localSheetId="0">{#N/A,#N/A,FALSE,"Plan1";#N/A,#N/A,FALSE,"Plan2"}</definedName>
    <definedName name="OJÇLJ" localSheetId="11" hidden="1">{#N/A,#N/A,FALSE,"Plan1";#N/A,#N/A,FALSE,"Plan2"}</definedName>
    <definedName name="OJÇLJ" localSheetId="12" hidden="1">{#N/A,#N/A,FALSE,"Plan1";#N/A,#N/A,FALSE,"Plan2"}</definedName>
    <definedName name="OJÇLJ" hidden="1">{#N/A,#N/A,FALSE,"Plan1";#N/A,#N/A,FALSE,"Plan2"}</definedName>
    <definedName name="ojkdfit" localSheetId="3" hidden="1">{#N/A,#N/A,FALSE,"Plan1";#N/A,#N/A,FALSE,"Plan2"}</definedName>
    <definedName name="ojkdfit" localSheetId="8">{#N/A,#N/A,FALSE,"Plan1";#N/A,#N/A,FALSE,"Plan2"}</definedName>
    <definedName name="ojkdfit" localSheetId="5" hidden="1">{#N/A,#N/A,FALSE,"Plan1";#N/A,#N/A,FALSE,"Plan2"}</definedName>
    <definedName name="ojkdfit" localSheetId="4" hidden="1">{#N/A,#N/A,FALSE,"Plan1";#N/A,#N/A,FALSE,"Plan2"}</definedName>
    <definedName name="ojkdfit" localSheetId="9">{#N/A,#N/A,FALSE,"Plan1";#N/A,#N/A,FALSE,"Plan2"}</definedName>
    <definedName name="ojkdfit" localSheetId="10" hidden="1">{#N/A,#N/A,FALSE,"Plan1";#N/A,#N/A,FALSE,"Plan2"}</definedName>
    <definedName name="ojkdfit" localSheetId="1" hidden="1">{#N/A,#N/A,FALSE,"Plan1";#N/A,#N/A,FALSE,"Plan2"}</definedName>
    <definedName name="ojkdfit" localSheetId="0">{#N/A,#N/A,FALSE,"Plan1";#N/A,#N/A,FALSE,"Plan2"}</definedName>
    <definedName name="ojkdfit" localSheetId="11" hidden="1">{#N/A,#N/A,FALSE,"Plan1";#N/A,#N/A,FALSE,"Plan2"}</definedName>
    <definedName name="ojkdfit" localSheetId="12" hidden="1">{#N/A,#N/A,FALSE,"Plan1";#N/A,#N/A,FALSE,"Plan2"}</definedName>
    <definedName name="ojkdfit" hidden="1">{#N/A,#N/A,FALSE,"Plan1";#N/A,#N/A,FALSE,"Plan2"}</definedName>
    <definedName name="oMISSOS" localSheetId="8">#REF!</definedName>
    <definedName name="oMISSOS" localSheetId="9">#REF!</definedName>
    <definedName name="oMISSOS" localSheetId="10" hidden="1">#REF!</definedName>
    <definedName name="oMISSOS" localSheetId="1" hidden="1">#REF!</definedName>
    <definedName name="oMISSOS" localSheetId="0">#REF!</definedName>
    <definedName name="oMISSOS" localSheetId="11" hidden="1">#REF!</definedName>
    <definedName name="oMISSOS" localSheetId="12" hidden="1">#REF!</definedName>
    <definedName name="oMISSOS" hidden="1">#REF!</definedName>
    <definedName name="ONZE" localSheetId="8">#REF!</definedName>
    <definedName name="ONZE" localSheetId="5">#REF!</definedName>
    <definedName name="ONZE" localSheetId="9">#REF!</definedName>
    <definedName name="ONZE" localSheetId="10">#REF!</definedName>
    <definedName name="ONZE" localSheetId="0">#REF!</definedName>
    <definedName name="ONZE" localSheetId="11">#REF!</definedName>
    <definedName name="ONZE" localSheetId="12">#REF!</definedName>
    <definedName name="ONZE">#REF!</definedName>
    <definedName name="ooo" localSheetId="3" hidden="1">{#N/A,#N/A,FALSE,"Plan1";#N/A,#N/A,FALSE,"Plan2"}</definedName>
    <definedName name="ooo" localSheetId="8">{#N/A,#N/A,FALSE,"Plan1";#N/A,#N/A,FALSE,"Plan2"}</definedName>
    <definedName name="ooo" localSheetId="5" hidden="1">{#N/A,#N/A,FALSE,"Plan1";#N/A,#N/A,FALSE,"Plan2"}</definedName>
    <definedName name="ooo" localSheetId="4" hidden="1">{#N/A,#N/A,FALSE,"Plan1";#N/A,#N/A,FALSE,"Plan2"}</definedName>
    <definedName name="ooo" localSheetId="9">{#N/A,#N/A,FALSE,"Plan1";#N/A,#N/A,FALSE,"Plan2"}</definedName>
    <definedName name="ooo" localSheetId="10" hidden="1">{#N/A,#N/A,FALSE,"Plan1";#N/A,#N/A,FALSE,"Plan2"}</definedName>
    <definedName name="ooo" localSheetId="1" hidden="1">{#N/A,#N/A,FALSE,"Plan1";#N/A,#N/A,FALSE,"Plan2"}</definedName>
    <definedName name="ooo" localSheetId="0">{#N/A,#N/A,FALSE,"Plan1";#N/A,#N/A,FALSE,"Plan2"}</definedName>
    <definedName name="ooo" localSheetId="11" hidden="1">{#N/A,#N/A,FALSE,"Plan1";#N/A,#N/A,FALSE,"Plan2"}</definedName>
    <definedName name="ooo" localSheetId="12" hidden="1">{#N/A,#N/A,FALSE,"Plan1";#N/A,#N/A,FALSE,"Plan2"}</definedName>
    <definedName name="ooo" hidden="1">{#N/A,#N/A,FALSE,"Plan1";#N/A,#N/A,FALSE,"Plan2"}</definedName>
    <definedName name="OPASEDWED" localSheetId="3" hidden="1">{"Econ Consolidado",#N/A,FALSE,"Econ Consol";"Fluxo de Caixa",#N/A,FALSE,"Fluxo Caixa";"Investimentos",#N/A,FALSE,"Investimentos"}</definedName>
    <definedName name="OPASEDWED" localSheetId="8">{"Econ Consolidado",#N/A,FALSE,"Econ Consol";"Fluxo de Caixa",#N/A,FALSE,"Fluxo Caixa";"Investimentos",#N/A,FALSE,"Investimentos"}</definedName>
    <definedName name="OPASEDWED" localSheetId="5" hidden="1">{"Econ Consolidado",#N/A,FALSE,"Econ Consol";"Fluxo de Caixa",#N/A,FALSE,"Fluxo Caixa";"Investimentos",#N/A,FALSE,"Investimentos"}</definedName>
    <definedName name="OPASEDWED" localSheetId="4" hidden="1">{"Econ Consolidado",#N/A,FALSE,"Econ Consol";"Fluxo de Caixa",#N/A,FALSE,"Fluxo Caixa";"Investimentos",#N/A,FALSE,"Investimentos"}</definedName>
    <definedName name="OPASEDWED" localSheetId="9">{"Econ Consolidado",#N/A,FALSE,"Econ Consol";"Fluxo de Caixa",#N/A,FALSE,"Fluxo Caixa";"Investimentos",#N/A,FALSE,"Investimentos"}</definedName>
    <definedName name="OPASEDWED" localSheetId="10" hidden="1">{"Econ Consolidado",#N/A,FALSE,"Econ Consol";"Fluxo de Caixa",#N/A,FALSE,"Fluxo Caixa";"Investimentos",#N/A,FALSE,"Investimentos"}</definedName>
    <definedName name="OPASEDWED" localSheetId="1" hidden="1">{"Econ Consolidado",#N/A,FALSE,"Econ Consol";"Fluxo de Caixa",#N/A,FALSE,"Fluxo Caixa";"Investimentos",#N/A,FALSE,"Investimentos"}</definedName>
    <definedName name="OPASEDWED" localSheetId="0">{"Econ Consolidado",#N/A,FALSE,"Econ Consol";"Fluxo de Caixa",#N/A,FALSE,"Fluxo Caixa";"Investimentos",#N/A,FALSE,"Investimentos"}</definedName>
    <definedName name="OPASEDWED" localSheetId="11" hidden="1">{"Econ Consolidado",#N/A,FALSE,"Econ Consol";"Fluxo de Caixa",#N/A,FALSE,"Fluxo Caixa";"Investimentos",#N/A,FALSE,"Investimentos"}</definedName>
    <definedName name="OPASEDWED" localSheetId="12" hidden="1">{"Econ Consolidado",#N/A,FALSE,"Econ Consol";"Fluxo de Caixa",#N/A,FALSE,"Fluxo Caixa";"Investimentos",#N/A,FALSE,"Investimentos"}</definedName>
    <definedName name="OPASEDWED" hidden="1">{"Econ Consolidado",#N/A,FALSE,"Econ Consol";"Fluxo de Caixa",#N/A,FALSE,"Fluxo Caixa";"Investimentos",#N/A,FALSE,"Investimentos"}</definedName>
    <definedName name="opcao_taxa_desconto" localSheetId="8">#REF!</definedName>
    <definedName name="opcao_taxa_desconto" localSheetId="5">#REF!</definedName>
    <definedName name="opcao_taxa_desconto" localSheetId="9">#REF!</definedName>
    <definedName name="opcao_taxa_desconto" localSheetId="10">#REF!</definedName>
    <definedName name="opcao_taxa_desconto" localSheetId="0">#REF!</definedName>
    <definedName name="opcao_taxa_desconto" localSheetId="11">#REF!</definedName>
    <definedName name="opcao_taxa_desconto" localSheetId="12">#REF!</definedName>
    <definedName name="opcao_taxa_desconto">#REF!</definedName>
    <definedName name="opções" localSheetId="8">#REF!</definedName>
    <definedName name="opções" localSheetId="5">#REF!</definedName>
    <definedName name="opções" localSheetId="9">#REF!</definedName>
    <definedName name="opções" localSheetId="10">#REF!</definedName>
    <definedName name="opções" localSheetId="0">#REF!</definedName>
    <definedName name="opções" localSheetId="11">#REF!</definedName>
    <definedName name="opções" localSheetId="12">#REF!</definedName>
    <definedName name="opções">#REF!</definedName>
    <definedName name="opiwre" localSheetId="3" hidden="1">{#N/A,#N/A,FALSE,"Plan1";#N/A,#N/A,FALSE,"Plan2"}</definedName>
    <definedName name="opiwre" localSheetId="8">{#N/A,#N/A,FALSE,"Plan1";#N/A,#N/A,FALSE,"Plan2"}</definedName>
    <definedName name="opiwre" localSheetId="5" hidden="1">{#N/A,#N/A,FALSE,"Plan1";#N/A,#N/A,FALSE,"Plan2"}</definedName>
    <definedName name="opiwre" localSheetId="4" hidden="1">{#N/A,#N/A,FALSE,"Plan1";#N/A,#N/A,FALSE,"Plan2"}</definedName>
    <definedName name="opiwre" localSheetId="9">{#N/A,#N/A,FALSE,"Plan1";#N/A,#N/A,FALSE,"Plan2"}</definedName>
    <definedName name="opiwre" localSheetId="10" hidden="1">{#N/A,#N/A,FALSE,"Plan1";#N/A,#N/A,FALSE,"Plan2"}</definedName>
    <definedName name="opiwre" localSheetId="1" hidden="1">{#N/A,#N/A,FALSE,"Plan1";#N/A,#N/A,FALSE,"Plan2"}</definedName>
    <definedName name="opiwre" localSheetId="0">{#N/A,#N/A,FALSE,"Plan1";#N/A,#N/A,FALSE,"Plan2"}</definedName>
    <definedName name="opiwre" localSheetId="11" hidden="1">{#N/A,#N/A,FALSE,"Plan1";#N/A,#N/A,FALSE,"Plan2"}</definedName>
    <definedName name="opiwre" localSheetId="12" hidden="1">{#N/A,#N/A,FALSE,"Plan1";#N/A,#N/A,FALSE,"Plan2"}</definedName>
    <definedName name="opiwre" hidden="1">{#N/A,#N/A,FALSE,"Plan1";#N/A,#N/A,FALSE,"Plan2"}</definedName>
    <definedName name="ORCAMEN" localSheetId="8">#REF!</definedName>
    <definedName name="ORCAMEN" localSheetId="5">#REF!</definedName>
    <definedName name="ORCAMEN" localSheetId="9">#REF!</definedName>
    <definedName name="ORCAMEN" localSheetId="10">#REF!</definedName>
    <definedName name="ORCAMEN" localSheetId="0">#REF!</definedName>
    <definedName name="ORCAMEN" localSheetId="11">#REF!</definedName>
    <definedName name="ORCAMEN" localSheetId="12">#REF!</definedName>
    <definedName name="ORCAMEN">#REF!</definedName>
    <definedName name="Orcamentistas" localSheetId="8">#REF!</definedName>
    <definedName name="Orcamentistas" localSheetId="5">#REF!</definedName>
    <definedName name="Orcamentistas" localSheetId="9">#REF!</definedName>
    <definedName name="Orcamentistas" localSheetId="10">#REF!</definedName>
    <definedName name="Orcamentistas" localSheetId="0">#REF!</definedName>
    <definedName name="Orcamentistas" localSheetId="11">#REF!</definedName>
    <definedName name="Orcamentistas" localSheetId="12">#REF!</definedName>
    <definedName name="Orcamentistas">#REF!</definedName>
    <definedName name="origem_recebiveis" localSheetId="8">#REF!</definedName>
    <definedName name="origem_recebiveis" localSheetId="5">#REF!</definedName>
    <definedName name="origem_recebiveis" localSheetId="9">#REF!</definedName>
    <definedName name="origem_recebiveis" localSheetId="10">#REF!</definedName>
    <definedName name="origem_recebiveis" localSheetId="0">#REF!</definedName>
    <definedName name="origem_recebiveis" localSheetId="11">#REF!</definedName>
    <definedName name="origem_recebiveis" localSheetId="12">#REF!</definedName>
    <definedName name="origem_recebiveis">#REF!</definedName>
    <definedName name="origem_unidades" localSheetId="8">#REF!</definedName>
    <definedName name="origem_unidades" localSheetId="5">#REF!</definedName>
    <definedName name="origem_unidades" localSheetId="10">#REF!</definedName>
    <definedName name="origem_unidades" localSheetId="11">#REF!</definedName>
    <definedName name="origem_unidades" localSheetId="12">#REF!</definedName>
    <definedName name="origem_unidades">#REF!</definedName>
    <definedName name="Origem2_Recebimento_Fin_Medições" localSheetId="8">#REF!</definedName>
    <definedName name="Origem2_Recebimento_Fin_Medições" localSheetId="5">#REF!</definedName>
    <definedName name="Origem2_Recebimento_Fin_Medições" localSheetId="10">#REF!</definedName>
    <definedName name="Origem2_Recebimento_Fin_Medições" localSheetId="11">#REF!</definedName>
    <definedName name="Origem2_Recebimento_Fin_Medições" localSheetId="12">#REF!</definedName>
    <definedName name="Origem2_Recebimento_Fin_Medições">#REF!</definedName>
    <definedName name="os" localSheetId="3" hidden="1">{#N/A,#N/A,FALSE,"TABLE"}</definedName>
    <definedName name="os" localSheetId="8">{#N/A,#N/A,FALSE,"TABLE"}</definedName>
    <definedName name="os" localSheetId="5" hidden="1">{#N/A,#N/A,FALSE,"TABLE"}</definedName>
    <definedName name="os" localSheetId="4" hidden="1">{#N/A,#N/A,FALSE,"TABLE"}</definedName>
    <definedName name="os" localSheetId="9">{#N/A,#N/A,FALSE,"TABLE"}</definedName>
    <definedName name="os" localSheetId="10" hidden="1">{#N/A,#N/A,FALSE,"TABLE"}</definedName>
    <definedName name="os" localSheetId="1" hidden="1">{#N/A,#N/A,FALSE,"TABLE"}</definedName>
    <definedName name="os" localSheetId="0">{#N/A,#N/A,FALSE,"TABLE"}</definedName>
    <definedName name="os" localSheetId="11" hidden="1">{#N/A,#N/A,FALSE,"TABLE"}</definedName>
    <definedName name="os" localSheetId="12" hidden="1">{#N/A,#N/A,FALSE,"TABLE"}</definedName>
    <definedName name="os" hidden="1">{#N/A,#N/A,FALSE,"TABLE"}</definedName>
    <definedName name="osca_cdi" localSheetId="8">#REF!</definedName>
    <definedName name="osca_cdi" localSheetId="5">#REF!</definedName>
    <definedName name="osca_cdi" localSheetId="9">#REF!</definedName>
    <definedName name="osca_cdi" localSheetId="10">#REF!</definedName>
    <definedName name="osca_cdi" localSheetId="0">#REF!</definedName>
    <definedName name="osca_cdi" localSheetId="11">#REF!</definedName>
    <definedName name="osca_cdi" localSheetId="12">#REF!</definedName>
    <definedName name="osca_cdi">#REF!</definedName>
    <definedName name="osca_hist" localSheetId="8">#REF!</definedName>
    <definedName name="osca_hist" localSheetId="5">#REF!</definedName>
    <definedName name="osca_hist" localSheetId="9">#REF!</definedName>
    <definedName name="osca_hist" localSheetId="10">#REF!</definedName>
    <definedName name="osca_hist" localSheetId="0">#REF!</definedName>
    <definedName name="osca_hist" localSheetId="11">#REF!</definedName>
    <definedName name="osca_hist" localSheetId="12">#REF!</definedName>
    <definedName name="osca_hist">#REF!</definedName>
    <definedName name="osca_uss" localSheetId="8">#REF!</definedName>
    <definedName name="osca_uss" localSheetId="5">#REF!</definedName>
    <definedName name="osca_uss" localSheetId="9">#REF!</definedName>
    <definedName name="osca_uss" localSheetId="10">#REF!</definedName>
    <definedName name="osca_uss" localSheetId="0">#REF!</definedName>
    <definedName name="osca_uss" localSheetId="11">#REF!</definedName>
    <definedName name="osca_uss" localSheetId="12">#REF!</definedName>
    <definedName name="osca_uss">#REF!</definedName>
    <definedName name="otodgkrjglsrd" localSheetId="3" hidden="1">{#N/A,#N/A,FALSE,"Plan1";#N/A,#N/A,FALSE,"Plan2"}</definedName>
    <definedName name="otodgkrjglsrd" localSheetId="8">{#N/A,#N/A,FALSE,"Plan1";#N/A,#N/A,FALSE,"Plan2"}</definedName>
    <definedName name="otodgkrjglsrd" localSheetId="5" hidden="1">{#N/A,#N/A,FALSE,"Plan1";#N/A,#N/A,FALSE,"Plan2"}</definedName>
    <definedName name="otodgkrjglsrd" localSheetId="4" hidden="1">{#N/A,#N/A,FALSE,"Plan1";#N/A,#N/A,FALSE,"Plan2"}</definedName>
    <definedName name="otodgkrjglsrd" localSheetId="9">{#N/A,#N/A,FALSE,"Plan1";#N/A,#N/A,FALSE,"Plan2"}</definedName>
    <definedName name="otodgkrjglsrd" localSheetId="10" hidden="1">{#N/A,#N/A,FALSE,"Plan1";#N/A,#N/A,FALSE,"Plan2"}</definedName>
    <definedName name="otodgkrjglsrd" localSheetId="1" hidden="1">{#N/A,#N/A,FALSE,"Plan1";#N/A,#N/A,FALSE,"Plan2"}</definedName>
    <definedName name="otodgkrjglsrd" localSheetId="0">{#N/A,#N/A,FALSE,"Plan1";#N/A,#N/A,FALSE,"Plan2"}</definedName>
    <definedName name="otodgkrjglsrd" localSheetId="11" hidden="1">{#N/A,#N/A,FALSE,"Plan1";#N/A,#N/A,FALSE,"Plan2"}</definedName>
    <definedName name="otodgkrjglsrd" localSheetId="12" hidden="1">{#N/A,#N/A,FALSE,"Plan1";#N/A,#N/A,FALSE,"Plan2"}</definedName>
    <definedName name="otodgkrjglsrd" hidden="1">{#N/A,#N/A,FALSE,"Plan1";#N/A,#N/A,FALSE,"Plan2"}</definedName>
    <definedName name="OUERWRSR" localSheetId="3" hidden="1">{#N/A,#N/A,FALSE,"Plan1";#N/A,#N/A,FALSE,"Plan2"}</definedName>
    <definedName name="OUERWRSR" localSheetId="8">{#N/A,#N/A,FALSE,"Plan1";#N/A,#N/A,FALSE,"Plan2"}</definedName>
    <definedName name="OUERWRSR" localSheetId="5" hidden="1">{#N/A,#N/A,FALSE,"Plan1";#N/A,#N/A,FALSE,"Plan2"}</definedName>
    <definedName name="OUERWRSR" localSheetId="4" hidden="1">{#N/A,#N/A,FALSE,"Plan1";#N/A,#N/A,FALSE,"Plan2"}</definedName>
    <definedName name="OUERWRSR" localSheetId="9">{#N/A,#N/A,FALSE,"Plan1";#N/A,#N/A,FALSE,"Plan2"}</definedName>
    <definedName name="OUERWRSR" localSheetId="10" hidden="1">{#N/A,#N/A,FALSE,"Plan1";#N/A,#N/A,FALSE,"Plan2"}</definedName>
    <definedName name="OUERWRSR" localSheetId="1" hidden="1">{#N/A,#N/A,FALSE,"Plan1";#N/A,#N/A,FALSE,"Plan2"}</definedName>
    <definedName name="OUERWRSR" localSheetId="0">{#N/A,#N/A,FALSE,"Plan1";#N/A,#N/A,FALSE,"Plan2"}</definedName>
    <definedName name="OUERWRSR" localSheetId="11" hidden="1">{#N/A,#N/A,FALSE,"Plan1";#N/A,#N/A,FALSE,"Plan2"}</definedName>
    <definedName name="OUERWRSR" localSheetId="12" hidden="1">{#N/A,#N/A,FALSE,"Plan1";#N/A,#N/A,FALSE,"Plan2"}</definedName>
    <definedName name="OUERWRSR" hidden="1">{#N/A,#N/A,FALSE,"Plan1";#N/A,#N/A,FALSE,"Plan2"}</definedName>
    <definedName name="out17RJ" localSheetId="8">#REF!</definedName>
    <definedName name="out17RJ" localSheetId="5">#REF!</definedName>
    <definedName name="out17RJ" localSheetId="9">#REF!</definedName>
    <definedName name="out17RJ" localSheetId="10">#REF!</definedName>
    <definedName name="out17RJ" localSheetId="0">#REF!</definedName>
    <definedName name="out17RJ" localSheetId="11">#REF!</definedName>
    <definedName name="out17RJ" localSheetId="12">#REF!</definedName>
    <definedName name="out17RJ">#REF!</definedName>
    <definedName name="outro" localSheetId="8">#REF!</definedName>
    <definedName name="outro" localSheetId="5" hidden="1">#REF!</definedName>
    <definedName name="outro" localSheetId="9">#REF!</definedName>
    <definedName name="outro" localSheetId="10" hidden="1">#REF!</definedName>
    <definedName name="outro" localSheetId="1" hidden="1">#REF!</definedName>
    <definedName name="outro" localSheetId="0">#REF!</definedName>
    <definedName name="outro" localSheetId="11" hidden="1">#REF!</definedName>
    <definedName name="outro" localSheetId="12" hidden="1">#REF!</definedName>
    <definedName name="outro" hidden="1">#REF!</definedName>
    <definedName name="OUTROS" localSheetId="8">#REF!</definedName>
    <definedName name="OUTROS" localSheetId="5">#REF!</definedName>
    <definedName name="OUTROS" localSheetId="9">#REF!</definedName>
    <definedName name="OUTROS" localSheetId="10">#REF!</definedName>
    <definedName name="OUTROS" localSheetId="0">#REF!</definedName>
    <definedName name="OUTROS" localSheetId="11">#REF!</definedName>
    <definedName name="OUTROS" localSheetId="12">#REF!</definedName>
    <definedName name="OUTROS">#REF!</definedName>
    <definedName name="OUTROS_CCUSTO" localSheetId="8">#REF!</definedName>
    <definedName name="OUTROS_CCUSTO" localSheetId="5">#REF!</definedName>
    <definedName name="OUTROS_CCUSTO" localSheetId="10">#REF!</definedName>
    <definedName name="OUTROS_CCUSTO" localSheetId="11">#REF!</definedName>
    <definedName name="OUTROS_CCUSTO" localSheetId="12">#REF!</definedName>
    <definedName name="OUTROS_CCUSTO">#REF!</definedName>
    <definedName name="Outros_Pisos" localSheetId="8">#REF!</definedName>
    <definedName name="Outros_Pisos" localSheetId="5">#REF!</definedName>
    <definedName name="Outros_Pisos" localSheetId="10">#REF!</definedName>
    <definedName name="Outros_Pisos" localSheetId="11">#REF!</definedName>
    <definedName name="Outros_Pisos" localSheetId="12">#REF!</definedName>
    <definedName name="Outros_Pisos">#REF!</definedName>
    <definedName name="Outros1" localSheetId="8">#REF!</definedName>
    <definedName name="Outros1" localSheetId="5">#REF!</definedName>
    <definedName name="Outros1" localSheetId="10">#REF!</definedName>
    <definedName name="Outros1" localSheetId="11">#REF!</definedName>
    <definedName name="Outros1" localSheetId="12">#REF!</definedName>
    <definedName name="Outros1">#REF!</definedName>
    <definedName name="OUTUBRO" localSheetId="8">#REF!</definedName>
    <definedName name="OUTUBRO" localSheetId="5">#REF!</definedName>
    <definedName name="OUTUBRO" localSheetId="10">#REF!</definedName>
    <definedName name="OUTUBRO" localSheetId="11">#REF!</definedName>
    <definedName name="OUTUBRO" localSheetId="12">#REF!</definedName>
    <definedName name="OUTUBRO">#REF!</definedName>
    <definedName name="overhau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verhau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oxfo_cdi" localSheetId="8">#REF!</definedName>
    <definedName name="oxfo_cdi" localSheetId="5">#REF!</definedName>
    <definedName name="oxfo_cdi" localSheetId="9">#REF!</definedName>
    <definedName name="oxfo_cdi" localSheetId="10">#REF!</definedName>
    <definedName name="oxfo_cdi" localSheetId="0">#REF!</definedName>
    <definedName name="oxfo_cdi" localSheetId="11">#REF!</definedName>
    <definedName name="oxfo_cdi" localSheetId="12">#REF!</definedName>
    <definedName name="oxfo_cdi">#REF!</definedName>
    <definedName name="oxfo_hist" localSheetId="8">#REF!</definedName>
    <definedName name="oxfo_hist" localSheetId="5">#REF!</definedName>
    <definedName name="oxfo_hist" localSheetId="9">#REF!</definedName>
    <definedName name="oxfo_hist" localSheetId="10">#REF!</definedName>
    <definedName name="oxfo_hist" localSheetId="0">#REF!</definedName>
    <definedName name="oxfo_hist" localSheetId="11">#REF!</definedName>
    <definedName name="oxfo_hist" localSheetId="12">#REF!</definedName>
    <definedName name="oxfo_hist">#REF!</definedName>
    <definedName name="oxfo_uss" localSheetId="8">#REF!</definedName>
    <definedName name="oxfo_uss" localSheetId="5">#REF!</definedName>
    <definedName name="oxfo_uss" localSheetId="9">#REF!</definedName>
    <definedName name="oxfo_uss" localSheetId="10">#REF!</definedName>
    <definedName name="oxfo_uss" localSheetId="0">#REF!</definedName>
    <definedName name="oxfo_uss" localSheetId="11">#REF!</definedName>
    <definedName name="oxfo_uss" localSheetId="12">#REF!</definedName>
    <definedName name="oxfo_uss">#REF!</definedName>
    <definedName name="P" localSheetId="8">#REF!</definedName>
    <definedName name="P" localSheetId="5">#REF!</definedName>
    <definedName name="P" localSheetId="10">#REF!</definedName>
    <definedName name="P" localSheetId="11">#REF!</definedName>
    <definedName name="P" localSheetId="12">#REF!</definedName>
    <definedName name="P">#REF!</definedName>
    <definedName name="PA" localSheetId="8">#REF!</definedName>
    <definedName name="PA" localSheetId="5">#REF!</definedName>
    <definedName name="PA" localSheetId="10">#REF!</definedName>
    <definedName name="PA" localSheetId="11">#REF!</definedName>
    <definedName name="PA" localSheetId="12">#REF!</definedName>
    <definedName name="PA">#REF!</definedName>
    <definedName name="Padrao_A" localSheetId="8">#REF!</definedName>
    <definedName name="Padrao_A" localSheetId="5">#REF!</definedName>
    <definedName name="Padrao_A" localSheetId="10">#REF!</definedName>
    <definedName name="Padrao_A" localSheetId="11">#REF!</definedName>
    <definedName name="Padrao_A" localSheetId="12">#REF!</definedName>
    <definedName name="Padrao_A">#REF!</definedName>
    <definedName name="Padrao_B" localSheetId="8">#REF!</definedName>
    <definedName name="Padrao_B" localSheetId="5">#REF!</definedName>
    <definedName name="Padrao_B" localSheetId="10">#REF!</definedName>
    <definedName name="Padrao_B" localSheetId="11">#REF!</definedName>
    <definedName name="Padrao_B" localSheetId="12">#REF!</definedName>
    <definedName name="Padrao_B">#REF!</definedName>
    <definedName name="Padrao_C" localSheetId="8">#REF!</definedName>
    <definedName name="Padrao_C" localSheetId="5">#REF!</definedName>
    <definedName name="Padrao_C" localSheetId="10">#REF!</definedName>
    <definedName name="Padrao_C" localSheetId="11">#REF!</definedName>
    <definedName name="Padrao_C" localSheetId="12">#REF!</definedName>
    <definedName name="Padrao_C">#REF!</definedName>
    <definedName name="Padrao_D" localSheetId="8">#REF!</definedName>
    <definedName name="Padrao_D" localSheetId="5">#REF!</definedName>
    <definedName name="Padrao_D" localSheetId="10">#REF!</definedName>
    <definedName name="Padrao_D" localSheetId="11">#REF!</definedName>
    <definedName name="Padrao_D" localSheetId="12">#REF!</definedName>
    <definedName name="Padrao_D">#REF!</definedName>
    <definedName name="Padrao_E" localSheetId="8">#REF!</definedName>
    <definedName name="Padrao_E" localSheetId="5">#REF!</definedName>
    <definedName name="Padrao_E" localSheetId="10">#REF!</definedName>
    <definedName name="Padrao_E" localSheetId="11">#REF!</definedName>
    <definedName name="Padrao_E" localSheetId="12">#REF!</definedName>
    <definedName name="Padrao_E">#REF!</definedName>
    <definedName name="Padrao_F" localSheetId="8">#REF!</definedName>
    <definedName name="Padrao_F" localSheetId="5">#REF!</definedName>
    <definedName name="Padrao_F" localSheetId="10">#REF!</definedName>
    <definedName name="Padrao_F" localSheetId="11">#REF!</definedName>
    <definedName name="Padrao_F" localSheetId="12">#REF!</definedName>
    <definedName name="Padrao_F">#REF!</definedName>
    <definedName name="Pagamento_Num" localSheetId="3">ROW()-Linha_Cabeçalho</definedName>
    <definedName name="Pagamento_Num" localSheetId="8">ROW()-Linha_Cabeçalho</definedName>
    <definedName name="Pagamento_Num" localSheetId="5">ROW()-Linha_Cabeçalho</definedName>
    <definedName name="Pagamento_Num" localSheetId="4">ROW()-Linha_Cabeçalho</definedName>
    <definedName name="Pagamento_Num" localSheetId="9">ROW()-Linha_Cabeçalho</definedName>
    <definedName name="Pagamento_Num" localSheetId="10">ROW()-Linha_Cabeçalho</definedName>
    <definedName name="Pagamento_Num" localSheetId="1">ROW()-Linha_Cabeçalho</definedName>
    <definedName name="Pagamento_Num" localSheetId="0">ROW()-Linha_Cabeçalho</definedName>
    <definedName name="Pagamento_Num" localSheetId="11">ROW()-Linha_Cabeçalho</definedName>
    <definedName name="Pagamento_Num" localSheetId="12">ROW()-Linha_Cabeçalho</definedName>
    <definedName name="Pagamento_Num">ROW()-Linha_Cabeçalho</definedName>
    <definedName name="Pago_Até_2015_Controladoria" localSheetId="8">#REF!</definedName>
    <definedName name="Pago_Até_2015_Controladoria" localSheetId="5">#REF!</definedName>
    <definedName name="Pago_Até_2015_Controladoria" localSheetId="9">#REF!</definedName>
    <definedName name="Pago_Até_2015_Controladoria" localSheetId="10">#REF!</definedName>
    <definedName name="Pago_Até_2015_Controladoria" localSheetId="0">#REF!</definedName>
    <definedName name="Pago_Até_2015_Controladoria" localSheetId="11">#REF!</definedName>
    <definedName name="Pago_Até_2015_Controladoria" localSheetId="12">#REF!</definedName>
    <definedName name="Pago_Até_2015_Controladoria">#REF!</definedName>
    <definedName name="Pal_Workbook_GUID" hidden="1">"3HURD34M2XKWJ5V6M4BWCR5Q"</definedName>
    <definedName name="PAP" localSheetId="8">#REF!</definedName>
    <definedName name="PAP" localSheetId="5">#REF!</definedName>
    <definedName name="PAP" localSheetId="9">#REF!</definedName>
    <definedName name="PAP" localSheetId="10">#REF!</definedName>
    <definedName name="PAP" localSheetId="0">#REF!</definedName>
    <definedName name="PAP" localSheetId="11">#REF!</definedName>
    <definedName name="PAP" localSheetId="12">#REF!</definedName>
    <definedName name="PAP">#REF!</definedName>
    <definedName name="PARAM_FIS_1" localSheetId="8">#REF!</definedName>
    <definedName name="PARAM_FIS_1" localSheetId="5">#REF!</definedName>
    <definedName name="PARAM_FIS_1" localSheetId="9">#REF!</definedName>
    <definedName name="PARAM_FIS_1" localSheetId="10">#REF!</definedName>
    <definedName name="PARAM_FIS_1" localSheetId="0">#REF!</definedName>
    <definedName name="PARAM_FIS_1" localSheetId="11">#REF!</definedName>
    <definedName name="PARAM_FIS_1" localSheetId="12">#REF!</definedName>
    <definedName name="PARAM_FIS_1">#REF!</definedName>
    <definedName name="PARAM_FIS_2" localSheetId="8">#REF!</definedName>
    <definedName name="PARAM_FIS_2" localSheetId="5">#REF!</definedName>
    <definedName name="PARAM_FIS_2" localSheetId="9">#REF!</definedName>
    <definedName name="PARAM_FIS_2" localSheetId="10">#REF!</definedName>
    <definedName name="PARAM_FIS_2" localSheetId="0">#REF!</definedName>
    <definedName name="PARAM_FIS_2" localSheetId="11">#REF!</definedName>
    <definedName name="PARAM_FIS_2" localSheetId="12">#REF!</definedName>
    <definedName name="PARAM_FIS_2">#REF!</definedName>
    <definedName name="ParamValues1" localSheetId="3">[3]ParamValues!$A$1:$A$39</definedName>
    <definedName name="ParamValues1" localSheetId="8">[3]ParamValues!$A$1:$A$39</definedName>
    <definedName name="ParamValues1" localSheetId="5">#REF!</definedName>
    <definedName name="ParamValues1" localSheetId="4">[3]ParamValues!$A$1:$A$39</definedName>
    <definedName name="ParamValues1" localSheetId="9">#REF!</definedName>
    <definedName name="ParamValues1" localSheetId="10">[3]ParamValues!$A$1:$A$39</definedName>
    <definedName name="ParamValues1" localSheetId="1">[3]ParamValues!$A$1:$A$39</definedName>
    <definedName name="ParamValues1" localSheetId="0">#REF!</definedName>
    <definedName name="ParamValues1" localSheetId="11">[3]ParamValues!$A$1:$A$39</definedName>
    <definedName name="ParamValues1" localSheetId="12">[3]ParamValues!$A$1:$A$39</definedName>
    <definedName name="ParamValues1">#REF!</definedName>
    <definedName name="ParamValues2" localSheetId="8">#REF!</definedName>
    <definedName name="ParamValues2" localSheetId="5">#REF!</definedName>
    <definedName name="ParamValues2" localSheetId="10">#REF!</definedName>
    <definedName name="ParamValues2" localSheetId="11">#REF!</definedName>
    <definedName name="ParamValues2" localSheetId="12">#REF!</definedName>
    <definedName name="ParamValues2">#REF!</definedName>
    <definedName name="Parao_E" localSheetId="8">#REF!</definedName>
    <definedName name="Parao_E" localSheetId="5">#REF!</definedName>
    <definedName name="Parao_E" localSheetId="10">#REF!</definedName>
    <definedName name="Parao_E" localSheetId="11">#REF!</definedName>
    <definedName name="Parao_E" localSheetId="12">#REF!</definedName>
    <definedName name="Parao_E">#REF!</definedName>
    <definedName name="Parede1" localSheetId="8">#REF!</definedName>
    <definedName name="Parede1" localSheetId="5">#REF!</definedName>
    <definedName name="Parede1" localSheetId="10">#REF!</definedName>
    <definedName name="Parede1" localSheetId="11">#REF!</definedName>
    <definedName name="Parede1" localSheetId="12">#REF!</definedName>
    <definedName name="Parede1">#REF!</definedName>
    <definedName name="Parede2" localSheetId="8">#REF!</definedName>
    <definedName name="Parede2" localSheetId="5">#REF!</definedName>
    <definedName name="Parede2" localSheetId="10">#REF!</definedName>
    <definedName name="Parede2" localSheetId="11">#REF!</definedName>
    <definedName name="Parede2" localSheetId="12">#REF!</definedName>
    <definedName name="Parede2">#REF!</definedName>
    <definedName name="PAREDES" localSheetId="8">#REF!</definedName>
    <definedName name="PAREDES" localSheetId="5">#REF!</definedName>
    <definedName name="PAREDES" localSheetId="10">#REF!</definedName>
    <definedName name="PAREDES" localSheetId="11">#REF!</definedName>
    <definedName name="PAREDES" localSheetId="12">#REF!</definedName>
    <definedName name="PAREDES">#REF!</definedName>
    <definedName name="PAV" localSheetId="8">#REF!</definedName>
    <definedName name="PAV" localSheetId="5">#REF!</definedName>
    <definedName name="PAV" localSheetId="10">#REF!</definedName>
    <definedName name="PAV" localSheetId="1">#REF!</definedName>
    <definedName name="PAV" localSheetId="11">#REF!</definedName>
    <definedName name="PAV" localSheetId="12">#REF!</definedName>
    <definedName name="PAV">#REF!</definedName>
    <definedName name="PAVILHAO" localSheetId="8">#REF!</definedName>
    <definedName name="PAVILHAO" localSheetId="5">#REF!</definedName>
    <definedName name="PAVILHAO" localSheetId="10">#REF!</definedName>
    <definedName name="PAVILHAO" localSheetId="11">#REF!</definedName>
    <definedName name="PAVILHAO" localSheetId="12">#REF!</definedName>
    <definedName name="PAVILHAO">#REF!</definedName>
    <definedName name="PAVT" localSheetId="8">#REF!</definedName>
    <definedName name="PAVT" localSheetId="5">#REF!</definedName>
    <definedName name="PAVT" localSheetId="10">#REF!</definedName>
    <definedName name="PAVT" localSheetId="11">#REF!</definedName>
    <definedName name="PAVT" localSheetId="12">#REF!</definedName>
    <definedName name="PAVT">#REF!</definedName>
    <definedName name="pçgktr" localSheetId="8">#REF!</definedName>
    <definedName name="pçgktr" hidden="1">#REF!</definedName>
    <definedName name="PDER" localSheetId="8">#REF!</definedName>
    <definedName name="PDER" localSheetId="5">#REF!</definedName>
    <definedName name="PDER" localSheetId="10">#REF!</definedName>
    <definedName name="PDER" localSheetId="11">#REF!</definedName>
    <definedName name="PDER" localSheetId="12">#REF!</definedName>
    <definedName name="PDER">#REF!</definedName>
    <definedName name="PDIVERS" localSheetId="8">#REF!</definedName>
    <definedName name="PDIVERS" localSheetId="5">#REF!</definedName>
    <definedName name="PDIVERS" localSheetId="10">#REF!</definedName>
    <definedName name="PDIVERS" localSheetId="11">#REF!</definedName>
    <definedName name="PDIVERS" localSheetId="12">#REF!</definedName>
    <definedName name="PDIVERS">#REF!</definedName>
    <definedName name="PE" localSheetId="8">#REF!</definedName>
    <definedName name="PE" localSheetId="5">#REF!</definedName>
    <definedName name="PE" localSheetId="10">#REF!</definedName>
    <definedName name="PE" localSheetId="11">#REF!</definedName>
    <definedName name="PE" localSheetId="12">#REF!</definedName>
    <definedName name="PE">#REF!</definedName>
    <definedName name="PEMD" localSheetId="8">#REF!</definedName>
    <definedName name="PEMD" localSheetId="5">#REF!</definedName>
    <definedName name="PEMD" localSheetId="10">#REF!</definedName>
    <definedName name="PEMD" localSheetId="11">#REF!</definedName>
    <definedName name="PEMD" localSheetId="12">#REF!</definedName>
    <definedName name="PEMD">#REF!</definedName>
    <definedName name="Pendencias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rfura" localSheetId="8">#REF!</definedName>
    <definedName name="perfura" localSheetId="5">#REF!</definedName>
    <definedName name="perfura" localSheetId="9">#REF!</definedName>
    <definedName name="perfura" localSheetId="10">#REF!</definedName>
    <definedName name="perfura" localSheetId="0">#REF!</definedName>
    <definedName name="perfura" localSheetId="11">#REF!</definedName>
    <definedName name="perfura" localSheetId="12">#REF!</definedName>
    <definedName name="perfura">#REF!</definedName>
    <definedName name="Perímetro_lajão" localSheetId="8">#REF!</definedName>
    <definedName name="Perímetro_lajão" localSheetId="5">#REF!</definedName>
    <definedName name="Perímetro_lajão" localSheetId="9">#REF!</definedName>
    <definedName name="Perímetro_lajão" localSheetId="10">#REF!</definedName>
    <definedName name="Perímetro_lajão" localSheetId="1">#REF!</definedName>
    <definedName name="Perímetro_lajão" localSheetId="0">#REF!</definedName>
    <definedName name="Perímetro_lajão" localSheetId="11">#REF!</definedName>
    <definedName name="Perímetro_lajão" localSheetId="12">#REF!</definedName>
    <definedName name="Perímetro_lajão">#REF!</definedName>
    <definedName name="Perímetro_Terreno" localSheetId="8">#REF!</definedName>
    <definedName name="Perímetro_Terreno" localSheetId="5">#REF!</definedName>
    <definedName name="Perímetro_Terreno" localSheetId="9">#REF!</definedName>
    <definedName name="Perímetro_Terreno" localSheetId="10">#REF!</definedName>
    <definedName name="Perímetro_Terreno" localSheetId="1">#REF!</definedName>
    <definedName name="Perímetro_Terreno" localSheetId="0">#REF!</definedName>
    <definedName name="Perímetro_Terreno" localSheetId="11">#REF!</definedName>
    <definedName name="Perímetro_Terreno" localSheetId="12">#REF!</definedName>
    <definedName name="Perímetro_Terreno">#REF!</definedName>
    <definedName name="Perímetro_torre" localSheetId="8">#REF!</definedName>
    <definedName name="Perímetro_torre" localSheetId="5">#REF!</definedName>
    <definedName name="Perímetro_torre" localSheetId="10">#REF!</definedName>
    <definedName name="Perímetro_torre" localSheetId="1">#REF!</definedName>
    <definedName name="Perímetro_torre" localSheetId="11">#REF!</definedName>
    <definedName name="Perímetro_torre" localSheetId="12">#REF!</definedName>
    <definedName name="Perímetro_torre">#REF!</definedName>
    <definedName name="pessoal" localSheetId="8">#REF!</definedName>
    <definedName name="pessoal" localSheetId="5">#REF!</definedName>
    <definedName name="pessoal" localSheetId="10">#REF!</definedName>
    <definedName name="pessoal" localSheetId="11">#REF!</definedName>
    <definedName name="pessoal" localSheetId="12">#REF!</definedName>
    <definedName name="pessoal">#REF!</definedName>
    <definedName name="petro2" localSheetId="8">#REF!</definedName>
    <definedName name="petro2" hidden="1">#REF!</definedName>
    <definedName name="PhyG" localSheetId="8">#REF!</definedName>
    <definedName name="PhyG" localSheetId="5">#REF!</definedName>
    <definedName name="PhyG" localSheetId="10">#REF!</definedName>
    <definedName name="PhyG" localSheetId="11">#REF!</definedName>
    <definedName name="PhyG" localSheetId="12">#REF!</definedName>
    <definedName name="PhyG">#REF!</definedName>
    <definedName name="PhyGS" localSheetId="8">#REF!</definedName>
    <definedName name="PhyGS" localSheetId="5">#REF!</definedName>
    <definedName name="PhyGS" localSheetId="10">#REF!</definedName>
    <definedName name="PhyGS" localSheetId="11">#REF!</definedName>
    <definedName name="PhyGS" localSheetId="12">#REF!</definedName>
    <definedName name="PhyGS">#REF!</definedName>
    <definedName name="PI" localSheetId="8">#REF!</definedName>
    <definedName name="PI" localSheetId="5">#REF!</definedName>
    <definedName name="PI" localSheetId="10">#REF!</definedName>
    <definedName name="PI" localSheetId="11">#REF!</definedName>
    <definedName name="PI" localSheetId="12">#REF!</definedName>
    <definedName name="PI">#REF!</definedName>
    <definedName name="piaz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az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IEQUIP" localSheetId="8">#REF!</definedName>
    <definedName name="PIEQUIP" localSheetId="5">#REF!</definedName>
    <definedName name="PIEQUIP" localSheetId="9">#REF!</definedName>
    <definedName name="PIEQUIP" localSheetId="10">#REF!</definedName>
    <definedName name="PIEQUIP" localSheetId="0">#REF!</definedName>
    <definedName name="PIEQUIP" localSheetId="11">#REF!</definedName>
    <definedName name="PIEQUIP" localSheetId="12">#REF!</definedName>
    <definedName name="PIEQUIP">#REF!</definedName>
    <definedName name="Pintura" localSheetId="8">'[1]M.O.'!#REF!</definedName>
    <definedName name="Pintura" localSheetId="5">'[1]M.O.'!#REF!</definedName>
    <definedName name="Pintura" localSheetId="10">'[1]M.O.'!#REF!</definedName>
    <definedName name="Pintura" localSheetId="11">'[1]M.O.'!#REF!</definedName>
    <definedName name="Pintura" localSheetId="12">'[1]M.O.'!#REF!</definedName>
    <definedName name="Pintura">'[1]M.O.'!#REF!</definedName>
    <definedName name="PIS_COFINS" localSheetId="8">#REF!</definedName>
    <definedName name="PIS_COFINS" localSheetId="5">#REF!</definedName>
    <definedName name="PIS_COFINS" localSheetId="9">#REF!</definedName>
    <definedName name="PIS_COFINS" localSheetId="10">#REF!</definedName>
    <definedName name="PIS_COFINS" localSheetId="0">#REF!</definedName>
    <definedName name="PIS_COFINS" localSheetId="11">#REF!</definedName>
    <definedName name="PIS_COFINS" localSheetId="12">#REF!</definedName>
    <definedName name="PIS_COFINS">#REF!</definedName>
    <definedName name="PisCofins" localSheetId="8">#REF!</definedName>
    <definedName name="PisCofins" localSheetId="5">#REF!</definedName>
    <definedName name="PisCofins" localSheetId="9">#REF!</definedName>
    <definedName name="PisCofins" localSheetId="10">#REF!</definedName>
    <definedName name="PisCofins" localSheetId="0">#REF!</definedName>
    <definedName name="PisCofins" localSheetId="11">#REF!</definedName>
    <definedName name="PisCofins" localSheetId="12">#REF!</definedName>
    <definedName name="PisCofins">#REF!</definedName>
    <definedName name="Piso1" localSheetId="8">#REF!</definedName>
    <definedName name="Piso1" localSheetId="5">#REF!</definedName>
    <definedName name="Piso1" localSheetId="9">#REF!</definedName>
    <definedName name="Piso1" localSheetId="10">#REF!</definedName>
    <definedName name="Piso1" localSheetId="0">#REF!</definedName>
    <definedName name="Piso1" localSheetId="11">#REF!</definedName>
    <definedName name="Piso1" localSheetId="12">#REF!</definedName>
    <definedName name="Piso1">#REF!</definedName>
    <definedName name="Piso2" localSheetId="8">#REF!</definedName>
    <definedName name="Piso2" localSheetId="5">#REF!</definedName>
    <definedName name="Piso2" localSheetId="10">#REF!</definedName>
    <definedName name="Piso2" localSheetId="11">#REF!</definedName>
    <definedName name="Piso2" localSheetId="12">#REF!</definedName>
    <definedName name="Piso2">#REF!</definedName>
    <definedName name="PISOS" localSheetId="8">#REF!</definedName>
    <definedName name="PISOS" localSheetId="5">#REF!</definedName>
    <definedName name="PISOS" localSheetId="10">#REF!</definedName>
    <definedName name="PISOS" localSheetId="11">#REF!</definedName>
    <definedName name="PISOS" localSheetId="12">#REF!</definedName>
    <definedName name="PISOS">#REF!</definedName>
    <definedName name="PL" localSheetId="8">#REF!</definedName>
    <definedName name="PL" localSheetId="5">#REF!</definedName>
    <definedName name="PL" localSheetId="10">#REF!</definedName>
    <definedName name="PL" localSheetId="11">#REF!</definedName>
    <definedName name="PL" localSheetId="12">#REF!</definedName>
    <definedName name="PL">#REF!</definedName>
    <definedName name="PLACAS" localSheetId="3" hidden="1">{#N/A,#N/A,TRUE,"Quinzena 01 à 15-04-98 "}</definedName>
    <definedName name="PLACAS" localSheetId="8">{#N/A,#N/A,TRUE,"Quinzena 01 à 15-04-98 "}</definedName>
    <definedName name="PLACAS" localSheetId="5" hidden="1">{#N/A,#N/A,TRUE,"Quinzena 01 à 15-04-98 "}</definedName>
    <definedName name="PLACAS" localSheetId="4" hidden="1">{#N/A,#N/A,TRUE,"Quinzena 01 à 15-04-98 "}</definedName>
    <definedName name="PLACAS" localSheetId="9">{#N/A,#N/A,TRUE,"Quinzena 01 à 15-04-98 "}</definedName>
    <definedName name="PLACAS" localSheetId="10" hidden="1">{#N/A,#N/A,TRUE,"Quinzena 01 à 15-04-98 "}</definedName>
    <definedName name="PLACAS" localSheetId="1" hidden="1">{#N/A,#N/A,TRUE,"Quinzena 01 à 15-04-98 "}</definedName>
    <definedName name="PLACAS" localSheetId="0">{#N/A,#N/A,TRUE,"Quinzena 01 à 15-04-98 "}</definedName>
    <definedName name="PLACAS" localSheetId="11" hidden="1">{#N/A,#N/A,TRUE,"Quinzena 01 à 15-04-98 "}</definedName>
    <definedName name="PLACAS" localSheetId="12" hidden="1">{#N/A,#N/A,TRUE,"Quinzena 01 à 15-04-98 "}</definedName>
    <definedName name="PLACAS" hidden="1">{#N/A,#N/A,TRUE,"Quinzena 01 à 15-04-98 "}</definedName>
    <definedName name="Placas_Areas" localSheetId="3" hidden="1">{#N/A,#N/A,TRUE,"Quinzena 01 à 15-04-98 "}</definedName>
    <definedName name="Placas_Areas" localSheetId="8">{#N/A,#N/A,TRUE,"Quinzena 01 à 15-04-98 "}</definedName>
    <definedName name="Placas_Areas" localSheetId="5" hidden="1">{#N/A,#N/A,TRUE,"Quinzena 01 à 15-04-98 "}</definedName>
    <definedName name="Placas_Areas" localSheetId="4" hidden="1">{#N/A,#N/A,TRUE,"Quinzena 01 à 15-04-98 "}</definedName>
    <definedName name="Placas_Areas" localSheetId="9">{#N/A,#N/A,TRUE,"Quinzena 01 à 15-04-98 "}</definedName>
    <definedName name="Placas_Areas" localSheetId="10" hidden="1">{#N/A,#N/A,TRUE,"Quinzena 01 à 15-04-98 "}</definedName>
    <definedName name="Placas_Areas" localSheetId="1" hidden="1">{#N/A,#N/A,TRUE,"Quinzena 01 à 15-04-98 "}</definedName>
    <definedName name="Placas_Areas" localSheetId="0">{#N/A,#N/A,TRUE,"Quinzena 01 à 15-04-98 "}</definedName>
    <definedName name="Placas_Areas" localSheetId="11" hidden="1">{#N/A,#N/A,TRUE,"Quinzena 01 à 15-04-98 "}</definedName>
    <definedName name="Placas_Areas" localSheetId="12" hidden="1">{#N/A,#N/A,TRUE,"Quinzena 01 à 15-04-98 "}</definedName>
    <definedName name="Placas_Areas" hidden="1">{#N/A,#N/A,TRUE,"Quinzena 01 à 15-04-98 "}</definedName>
    <definedName name="plan" localSheetId="8">#REF!</definedName>
    <definedName name="PLAN" localSheetId="5">#REF!</definedName>
    <definedName name="PLAN" localSheetId="9">#REF!</definedName>
    <definedName name="plan" localSheetId="10" hidden="1">#REF!</definedName>
    <definedName name="plan" localSheetId="1" hidden="1">#REF!</definedName>
    <definedName name="PLAN" localSheetId="0">#REF!</definedName>
    <definedName name="plan" localSheetId="11" hidden="1">#REF!</definedName>
    <definedName name="plan" localSheetId="12" hidden="1">#REF!</definedName>
    <definedName name="PLAN">#REF!</definedName>
    <definedName name="plan2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PLANILHA" localSheetId="8">#REF!</definedName>
    <definedName name="PLANILHA" localSheetId="5">#REF!</definedName>
    <definedName name="PLANILHA" localSheetId="9">#REF!</definedName>
    <definedName name="PLANILHA" localSheetId="10">#REF!</definedName>
    <definedName name="PLANILHA" localSheetId="0">#REF!</definedName>
    <definedName name="PLANILHA" localSheetId="11">#REF!</definedName>
    <definedName name="PLANILHA" localSheetId="12">#REF!</definedName>
    <definedName name="PLANILHA">#REF!</definedName>
    <definedName name="Planilha2" localSheetId="8">#REF!</definedName>
    <definedName name="Planilha2" localSheetId="5">#REF!</definedName>
    <definedName name="Planilha2" localSheetId="9">#REF!</definedName>
    <definedName name="Planilha2" localSheetId="10">#REF!</definedName>
    <definedName name="Planilha2" localSheetId="0">#REF!</definedName>
    <definedName name="Planilha2" localSheetId="11">#REF!</definedName>
    <definedName name="Planilha2" localSheetId="12">#REF!</definedName>
    <definedName name="Planilha2">#REF!</definedName>
    <definedName name="plasçdeaw" localSheetId="3" hidden="1">{#N/A,#N/A,FALSE,"Plan1";#N/A,#N/A,FALSE,"Plan2"}</definedName>
    <definedName name="plasçdeaw" localSheetId="8">{#N/A,#N/A,FALSE,"Plan1";#N/A,#N/A,FALSE,"Plan2"}</definedName>
    <definedName name="plasçdeaw" localSheetId="5" hidden="1">{#N/A,#N/A,FALSE,"Plan1";#N/A,#N/A,FALSE,"Plan2"}</definedName>
    <definedName name="plasçdeaw" localSheetId="4" hidden="1">{#N/A,#N/A,FALSE,"Plan1";#N/A,#N/A,FALSE,"Plan2"}</definedName>
    <definedName name="plasçdeaw" localSheetId="9">{#N/A,#N/A,FALSE,"Plan1";#N/A,#N/A,FALSE,"Plan2"}</definedName>
    <definedName name="plasçdeaw" localSheetId="10" hidden="1">{#N/A,#N/A,FALSE,"Plan1";#N/A,#N/A,FALSE,"Plan2"}</definedName>
    <definedName name="plasçdeaw" localSheetId="1" hidden="1">{#N/A,#N/A,FALSE,"Plan1";#N/A,#N/A,FALSE,"Plan2"}</definedName>
    <definedName name="plasçdeaw" localSheetId="0">{#N/A,#N/A,FALSE,"Plan1";#N/A,#N/A,FALSE,"Plan2"}</definedName>
    <definedName name="plasçdeaw" localSheetId="11" hidden="1">{#N/A,#N/A,FALSE,"Plan1";#N/A,#N/A,FALSE,"Plan2"}</definedName>
    <definedName name="plasçdeaw" localSheetId="12" hidden="1">{#N/A,#N/A,FALSE,"Plan1";#N/A,#N/A,FALSE,"Plan2"}</definedName>
    <definedName name="plasçdeaw" hidden="1">{#N/A,#N/A,FALSE,"Plan1";#N/A,#N/A,FALSE,"Plan2"}</definedName>
    <definedName name="plaslrswe" localSheetId="3" hidden="1">{#N/A,#N/A,FALSE,"Plan1";#N/A,#N/A,FALSE,"Plan2"}</definedName>
    <definedName name="plaslrswe" localSheetId="8">{#N/A,#N/A,FALSE,"Plan1";#N/A,#N/A,FALSE,"Plan2"}</definedName>
    <definedName name="plaslrswe" localSheetId="5" hidden="1">{#N/A,#N/A,FALSE,"Plan1";#N/A,#N/A,FALSE,"Plan2"}</definedName>
    <definedName name="plaslrswe" localSheetId="4" hidden="1">{#N/A,#N/A,FALSE,"Plan1";#N/A,#N/A,FALSE,"Plan2"}</definedName>
    <definedName name="plaslrswe" localSheetId="9">{#N/A,#N/A,FALSE,"Plan1";#N/A,#N/A,FALSE,"Plan2"}</definedName>
    <definedName name="plaslrswe" localSheetId="10" hidden="1">{#N/A,#N/A,FALSE,"Plan1";#N/A,#N/A,FALSE,"Plan2"}</definedName>
    <definedName name="plaslrswe" localSheetId="1" hidden="1">{#N/A,#N/A,FALSE,"Plan1";#N/A,#N/A,FALSE,"Plan2"}</definedName>
    <definedName name="plaslrswe" localSheetId="0">{#N/A,#N/A,FALSE,"Plan1";#N/A,#N/A,FALSE,"Plan2"}</definedName>
    <definedName name="plaslrswe" localSheetId="11" hidden="1">{#N/A,#N/A,FALSE,"Plan1";#N/A,#N/A,FALSE,"Plan2"}</definedName>
    <definedName name="plaslrswe" localSheetId="12" hidden="1">{#N/A,#N/A,FALSE,"Plan1";#N/A,#N/A,FALSE,"Plan2"}</definedName>
    <definedName name="plaslrswe" hidden="1">{#N/A,#N/A,FALSE,"Plan1";#N/A,#N/A,FALSE,"Plan2"}</definedName>
    <definedName name="pls" localSheetId="8">#REF!</definedName>
    <definedName name="pls" localSheetId="5" hidden="1">#REF!</definedName>
    <definedName name="pls" localSheetId="9">#REF!</definedName>
    <definedName name="pls" localSheetId="10" hidden="1">#REF!</definedName>
    <definedName name="pls" localSheetId="1" hidden="1">#REF!</definedName>
    <definedName name="pls" localSheetId="0">#REF!</definedName>
    <definedName name="pls" localSheetId="11" hidden="1">#REF!</definedName>
    <definedName name="pls" localSheetId="12" hidden="1">#REF!</definedName>
    <definedName name="pls" hidden="1">#REF!</definedName>
    <definedName name="plsearpef" localSheetId="3" hidden="1">{#N/A,#N/A,FALSE,"Plan1";#N/A,#N/A,FALSE,"Plan2"}</definedName>
    <definedName name="plsearpef" localSheetId="8">{#N/A,#N/A,FALSE,"Plan1";#N/A,#N/A,FALSE,"Plan2"}</definedName>
    <definedName name="plsearpef" localSheetId="5" hidden="1">{#N/A,#N/A,FALSE,"Plan1";#N/A,#N/A,FALSE,"Plan2"}</definedName>
    <definedName name="plsearpef" localSheetId="4" hidden="1">{#N/A,#N/A,FALSE,"Plan1";#N/A,#N/A,FALSE,"Plan2"}</definedName>
    <definedName name="plsearpef" localSheetId="9">{#N/A,#N/A,FALSE,"Plan1";#N/A,#N/A,FALSE,"Plan2"}</definedName>
    <definedName name="plsearpef" localSheetId="10" hidden="1">{#N/A,#N/A,FALSE,"Plan1";#N/A,#N/A,FALSE,"Plan2"}</definedName>
    <definedName name="plsearpef" localSheetId="1" hidden="1">{#N/A,#N/A,FALSE,"Plan1";#N/A,#N/A,FALSE,"Plan2"}</definedName>
    <definedName name="plsearpef" localSheetId="0">{#N/A,#N/A,FALSE,"Plan1";#N/A,#N/A,FALSE,"Plan2"}</definedName>
    <definedName name="plsearpef" localSheetId="11" hidden="1">{#N/A,#N/A,FALSE,"Plan1";#N/A,#N/A,FALSE,"Plan2"}</definedName>
    <definedName name="plsearpef" localSheetId="12" hidden="1">{#N/A,#N/A,FALSE,"Plan1";#N/A,#N/A,FALSE,"Plan2"}</definedName>
    <definedName name="plsearpef" hidden="1">{#N/A,#N/A,FALSE,"Plan1";#N/A,#N/A,FALSE,"Plan2"}</definedName>
    <definedName name="plss" localSheetId="3" hidden="1">{#N/A,#N/A,FALSE,"Plan1";#N/A,#N/A,FALSE,"Plan2"}</definedName>
    <definedName name="plss" localSheetId="8">{#N/A,#N/A,FALSE,"Plan1";#N/A,#N/A,FALSE,"Plan2"}</definedName>
    <definedName name="plss" localSheetId="5" hidden="1">{#N/A,#N/A,FALSE,"Plan1";#N/A,#N/A,FALSE,"Plan2"}</definedName>
    <definedName name="plss" localSheetId="4" hidden="1">{#N/A,#N/A,FALSE,"Plan1";#N/A,#N/A,FALSE,"Plan2"}</definedName>
    <definedName name="plss" localSheetId="9">{#N/A,#N/A,FALSE,"Plan1";#N/A,#N/A,FALSE,"Plan2"}</definedName>
    <definedName name="plss" localSheetId="10" hidden="1">{#N/A,#N/A,FALSE,"Plan1";#N/A,#N/A,FALSE,"Plan2"}</definedName>
    <definedName name="plss" localSheetId="1" hidden="1">{#N/A,#N/A,FALSE,"Plan1";#N/A,#N/A,FALSE,"Plan2"}</definedName>
    <definedName name="plss" localSheetId="0">{#N/A,#N/A,FALSE,"Plan1";#N/A,#N/A,FALSE,"Plan2"}</definedName>
    <definedName name="plss" localSheetId="11" hidden="1">{#N/A,#N/A,FALSE,"Plan1";#N/A,#N/A,FALSE,"Plan2"}</definedName>
    <definedName name="plss" localSheetId="12" hidden="1">{#N/A,#N/A,FALSE,"Plan1";#N/A,#N/A,FALSE,"Plan2"}</definedName>
    <definedName name="plss" hidden="1">{#N/A,#N/A,FALSE,"Plan1";#N/A,#N/A,FALSE,"Plan2"}</definedName>
    <definedName name="PMUR" localSheetId="8">#REF!</definedName>
    <definedName name="PMUR" localSheetId="5">#REF!</definedName>
    <definedName name="PMUR" localSheetId="9">#REF!</definedName>
    <definedName name="PMUR" localSheetId="10">#REF!</definedName>
    <definedName name="PMUR" localSheetId="0">#REF!</definedName>
    <definedName name="PMUR" localSheetId="11">#REF!</definedName>
    <definedName name="PMUR" localSheetId="12">#REF!</definedName>
    <definedName name="PMUR">#REF!</definedName>
    <definedName name="PN2건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건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기계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N2배관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Ponderações" localSheetId="8">#REF!</definedName>
    <definedName name="Ponderações" localSheetId="5">#REF!</definedName>
    <definedName name="Ponderações" localSheetId="9">#REF!</definedName>
    <definedName name="Ponderações" localSheetId="10">#REF!</definedName>
    <definedName name="Ponderações" localSheetId="0">#REF!</definedName>
    <definedName name="Ponderações" localSheetId="11">#REF!</definedName>
    <definedName name="Ponderações" localSheetId="12">#REF!</definedName>
    <definedName name="Ponderações">#REF!</definedName>
    <definedName name="Pós_Chaves" localSheetId="8">#REF!</definedName>
    <definedName name="Pós_Chaves" localSheetId="5">#REF!</definedName>
    <definedName name="Pós_Chaves" localSheetId="9">#REF!</definedName>
    <definedName name="Pós_Chaves" localSheetId="10">#REF!</definedName>
    <definedName name="Pós_Chaves" localSheetId="0">#REF!</definedName>
    <definedName name="Pós_Chaves" localSheetId="11">#REF!</definedName>
    <definedName name="Pós_Chaves" localSheetId="12">#REF!</definedName>
    <definedName name="Pós_Chaves">#REF!</definedName>
    <definedName name="pr" localSheetId="8">#REF!</definedName>
    <definedName name="pr" localSheetId="5">#REF!</definedName>
    <definedName name="pr" localSheetId="9">#REF!</definedName>
    <definedName name="pr" localSheetId="10">#REF!</definedName>
    <definedName name="pr" localSheetId="1">#REF!</definedName>
    <definedName name="pr" localSheetId="0">#REF!</definedName>
    <definedName name="pr" localSheetId="11">#REF!</definedName>
    <definedName name="pr" localSheetId="12">#REF!</definedName>
    <definedName name="pr">#REF!</definedName>
    <definedName name="PRAZO" localSheetId="8">#REF!</definedName>
    <definedName name="PRAZO" localSheetId="5">#REF!</definedName>
    <definedName name="PRAZO" localSheetId="10">#REF!</definedName>
    <definedName name="PRAZO" localSheetId="11">#REF!</definedName>
    <definedName name="PRAZO" localSheetId="12">#REF!</definedName>
    <definedName name="PRAZO">#REF!</definedName>
    <definedName name="Prazo_da_Estrutura" localSheetId="8">#REF!</definedName>
    <definedName name="Prazo_da_Estrutura" localSheetId="5">#REF!</definedName>
    <definedName name="Prazo_da_Estrutura" localSheetId="10">#REF!</definedName>
    <definedName name="Prazo_da_Estrutura" localSheetId="1">#REF!</definedName>
    <definedName name="Prazo_da_Estrutura" localSheetId="11">#REF!</definedName>
    <definedName name="Prazo_da_Estrutura" localSheetId="12">#REF!</definedName>
    <definedName name="Prazo_da_Estrutura">#REF!</definedName>
    <definedName name="PRAZO_EDITAL" localSheetId="8">#REF!</definedName>
    <definedName name="PRAZO_EDITAL" localSheetId="5">#REF!</definedName>
    <definedName name="PRAZO_EDITAL" localSheetId="10">#REF!</definedName>
    <definedName name="PRAZO_EDITAL" localSheetId="11">#REF!</definedName>
    <definedName name="PRAZO_EDITAL" localSheetId="12">#REF!</definedName>
    <definedName name="PRAZO_EDITAL">#REF!</definedName>
    <definedName name="Prazo_Obra" localSheetId="8">#REF!</definedName>
    <definedName name="Prazo_Obra" localSheetId="5">#REF!</definedName>
    <definedName name="Prazo_Obra" localSheetId="10">#REF!</definedName>
    <definedName name="Prazo_Obra" localSheetId="1">#REF!</definedName>
    <definedName name="Prazo_Obra" localSheetId="11">#REF!</definedName>
    <definedName name="Prazo_Obra" localSheetId="12">#REF!</definedName>
    <definedName name="Prazo_Obra">#REF!</definedName>
    <definedName name="PRAZO_ORC" localSheetId="8">#REF!</definedName>
    <definedName name="PRAZO_ORC" localSheetId="5">#REF!</definedName>
    <definedName name="PRAZO_ORC" localSheetId="10">#REF!</definedName>
    <definedName name="PRAZO_ORC" localSheetId="11">#REF!</definedName>
    <definedName name="PRAZO_ORC" localSheetId="12">#REF!</definedName>
    <definedName name="PRAZO_ORC">#REF!</definedName>
    <definedName name="prazo2" localSheetId="8">#REF!</definedName>
    <definedName name="prazo2" localSheetId="5">#REF!</definedName>
    <definedName name="prazo2" localSheetId="10">#REF!</definedName>
    <definedName name="prazo2" localSheetId="11">#REF!</definedName>
    <definedName name="prazo2" localSheetId="12">#REF!</definedName>
    <definedName name="prazo2">#REF!</definedName>
    <definedName name="PRE" localSheetId="8">#REF!</definedName>
    <definedName name="PRE" localSheetId="5">#REF!</definedName>
    <definedName name="PRE" localSheetId="10">#REF!</definedName>
    <definedName name="PRE" localSheetId="1">#REF!</definedName>
    <definedName name="PRE" localSheetId="11">#REF!</definedName>
    <definedName name="PRE" localSheetId="12">#REF!</definedName>
    <definedName name="PRE">#REF!</definedName>
    <definedName name="PREÇ" localSheetId="8">OFFSET(#REF!,0,0,COUNTA(#REF!),1)</definedName>
    <definedName name="PREÇ" localSheetId="5">OFFSET(#REF!,0,0,COUNTA(#REF!),1)</definedName>
    <definedName name="PREÇ" localSheetId="9">OFFSET(#REF!,0,0,COUNTA(#REF!),1)</definedName>
    <definedName name="PREÇ" localSheetId="10">OFFSET(#REF!,0,0,COUNTA(#REF!),1)</definedName>
    <definedName name="PREÇ" localSheetId="0">OFFSET(#REF!,0,0,COUNTA(#REF!),1)</definedName>
    <definedName name="PREÇ" localSheetId="11">OFFSET(#REF!,0,0,COUNTA(#REF!),1)</definedName>
    <definedName name="PREÇ" localSheetId="12">OFFSET(#REF!,0,0,COUNTA(#REF!),1)</definedName>
    <definedName name="PREÇ">OFFSET(#REF!,0,0,COUNTA(#REF!),1)</definedName>
    <definedName name="Previsão_Inicial_abr_16" localSheetId="8">#REF!</definedName>
    <definedName name="Previsão_Inicial_abr_16" localSheetId="5">#REF!</definedName>
    <definedName name="Previsão_Inicial_abr_16" localSheetId="9">#REF!</definedName>
    <definedName name="Previsão_Inicial_abr_16" localSheetId="10">#REF!</definedName>
    <definedName name="Previsão_Inicial_abr_16" localSheetId="0">#REF!</definedName>
    <definedName name="Previsão_Inicial_abr_16" localSheetId="11">#REF!</definedName>
    <definedName name="Previsão_Inicial_abr_16" localSheetId="12">#REF!</definedName>
    <definedName name="Previsão_Inicial_abr_16">#REF!</definedName>
    <definedName name="Previsão_Inicial_ago_16" localSheetId="8">#REF!</definedName>
    <definedName name="Previsão_Inicial_ago_16" localSheetId="5">#REF!</definedName>
    <definedName name="Previsão_Inicial_ago_16" localSheetId="9">#REF!</definedName>
    <definedName name="Previsão_Inicial_ago_16" localSheetId="10">#REF!</definedName>
    <definedName name="Previsão_Inicial_ago_16" localSheetId="0">#REF!</definedName>
    <definedName name="Previsão_Inicial_ago_16" localSheetId="11">#REF!</definedName>
    <definedName name="Previsão_Inicial_ago_16" localSheetId="12">#REF!</definedName>
    <definedName name="Previsão_Inicial_ago_16">#REF!</definedName>
    <definedName name="Previsão_Inicial_dez_16" localSheetId="8">#REF!</definedName>
    <definedName name="Previsão_Inicial_dez_16" localSheetId="5">#REF!</definedName>
    <definedName name="Previsão_Inicial_dez_16" localSheetId="9">#REF!</definedName>
    <definedName name="Previsão_Inicial_dez_16" localSheetId="10">#REF!</definedName>
    <definedName name="Previsão_Inicial_dez_16" localSheetId="0">#REF!</definedName>
    <definedName name="Previsão_Inicial_dez_16" localSheetId="11">#REF!</definedName>
    <definedName name="Previsão_Inicial_dez_16" localSheetId="12">#REF!</definedName>
    <definedName name="Previsão_Inicial_dez_16">#REF!</definedName>
    <definedName name="Previsão_Inicial_fev_16" localSheetId="8">#REF!</definedName>
    <definedName name="Previsão_Inicial_fev_16" localSheetId="5">#REF!</definedName>
    <definedName name="Previsão_Inicial_fev_16" localSheetId="10">#REF!</definedName>
    <definedName name="Previsão_Inicial_fev_16" localSheetId="11">#REF!</definedName>
    <definedName name="Previsão_Inicial_fev_16" localSheetId="12">#REF!</definedName>
    <definedName name="Previsão_Inicial_fev_16">#REF!</definedName>
    <definedName name="Previsão_Inicial_jan_16" localSheetId="8">#REF!</definedName>
    <definedName name="Previsão_Inicial_jan_16" localSheetId="5">#REF!</definedName>
    <definedName name="Previsão_Inicial_jan_16" localSheetId="10">#REF!</definedName>
    <definedName name="Previsão_Inicial_jan_16" localSheetId="11">#REF!</definedName>
    <definedName name="Previsão_Inicial_jan_16" localSheetId="12">#REF!</definedName>
    <definedName name="Previsão_Inicial_jan_16">#REF!</definedName>
    <definedName name="Previsão_Inicial_jul_16" localSheetId="8">#REF!</definedName>
    <definedName name="Previsão_Inicial_jul_16" localSheetId="5">#REF!</definedName>
    <definedName name="Previsão_Inicial_jul_16" localSheetId="10">#REF!</definedName>
    <definedName name="Previsão_Inicial_jul_16" localSheetId="11">#REF!</definedName>
    <definedName name="Previsão_Inicial_jul_16" localSheetId="12">#REF!</definedName>
    <definedName name="Previsão_Inicial_jul_16">#REF!</definedName>
    <definedName name="Previsão_Inicial_jun_16" localSheetId="8">#REF!</definedName>
    <definedName name="Previsão_Inicial_jun_16" localSheetId="5">#REF!</definedName>
    <definedName name="Previsão_Inicial_jun_16" localSheetId="10">#REF!</definedName>
    <definedName name="Previsão_Inicial_jun_16" localSheetId="11">#REF!</definedName>
    <definedName name="Previsão_Inicial_jun_16" localSheetId="12">#REF!</definedName>
    <definedName name="Previsão_Inicial_jun_16">#REF!</definedName>
    <definedName name="Previsão_Inicial_mai_16" localSheetId="8">#REF!</definedName>
    <definedName name="Previsão_Inicial_mai_16" localSheetId="5">#REF!</definedName>
    <definedName name="Previsão_Inicial_mai_16" localSheetId="10">#REF!</definedName>
    <definedName name="Previsão_Inicial_mai_16" localSheetId="11">#REF!</definedName>
    <definedName name="Previsão_Inicial_mai_16" localSheetId="12">#REF!</definedName>
    <definedName name="Previsão_Inicial_mai_16">#REF!</definedName>
    <definedName name="Previsão_Inicial_mar_16" localSheetId="8">#REF!</definedName>
    <definedName name="Previsão_Inicial_mar_16" localSheetId="5">#REF!</definedName>
    <definedName name="Previsão_Inicial_mar_16" localSheetId="10">#REF!</definedName>
    <definedName name="Previsão_Inicial_mar_16" localSheetId="11">#REF!</definedName>
    <definedName name="Previsão_Inicial_mar_16" localSheetId="12">#REF!</definedName>
    <definedName name="Previsão_Inicial_mar_16">#REF!</definedName>
    <definedName name="Previsão_Inicial_nov_16" localSheetId="8">#REF!</definedName>
    <definedName name="Previsão_Inicial_nov_16" localSheetId="5">#REF!</definedName>
    <definedName name="Previsão_Inicial_nov_16" localSheetId="10">#REF!</definedName>
    <definedName name="Previsão_Inicial_nov_16" localSheetId="11">#REF!</definedName>
    <definedName name="Previsão_Inicial_nov_16" localSheetId="12">#REF!</definedName>
    <definedName name="Previsão_Inicial_nov_16">#REF!</definedName>
    <definedName name="Previsão_Inicial_out_16" localSheetId="8">#REF!</definedName>
    <definedName name="Previsão_Inicial_out_16" localSheetId="5">#REF!</definedName>
    <definedName name="Previsão_Inicial_out_16" localSheetId="10">#REF!</definedName>
    <definedName name="Previsão_Inicial_out_16" localSheetId="11">#REF!</definedName>
    <definedName name="Previsão_Inicial_out_16" localSheetId="12">#REF!</definedName>
    <definedName name="Previsão_Inicial_out_16">#REF!</definedName>
    <definedName name="Previsão_Inicial_set_16" localSheetId="8">#REF!</definedName>
    <definedName name="Previsão_Inicial_set_16" localSheetId="5">#REF!</definedName>
    <definedName name="Previsão_Inicial_set_16" localSheetId="10">#REF!</definedName>
    <definedName name="Previsão_Inicial_set_16" localSheetId="11">#REF!</definedName>
    <definedName name="Previsão_Inicial_set_16" localSheetId="12">#REF!</definedName>
    <definedName name="Previsão_Inicial_set_16">#REF!</definedName>
    <definedName name="Previsão_Vento1" localSheetId="8">#REF!</definedName>
    <definedName name="Previsão_Vento1" localSheetId="5">#REF!</definedName>
    <definedName name="Previsão_Vento1" localSheetId="10">#REF!</definedName>
    <definedName name="Previsão_Vento1" localSheetId="11">#REF!</definedName>
    <definedName name="Previsão_Vento1" localSheetId="12">#REF!</definedName>
    <definedName name="Previsão_Vento1">#REF!</definedName>
    <definedName name="Previsto_a_medir_Fin_Medições" localSheetId="8">#REF!</definedName>
    <definedName name="Previsto_a_medir_Fin_Medições" localSheetId="5">#REF!</definedName>
    <definedName name="Previsto_a_medir_Fin_Medições" localSheetId="10">#REF!</definedName>
    <definedName name="Previsto_a_medir_Fin_Medições" localSheetId="11">#REF!</definedName>
    <definedName name="Previsto_a_medir_Fin_Medições" localSheetId="12">#REF!</definedName>
    <definedName name="Previsto_a_medir_Fin_Medições">#REF!</definedName>
    <definedName name="print" localSheetId="3" hidden="1">{#N/A,#N/A,FALSE,"$170M Cash";#N/A,#N/A,FALSE,"$250M Cash";#N/A,#N/A,FALSE,"$325M Cash"}</definedName>
    <definedName name="print" localSheetId="8">{#N/A,#N/A,FALSE,"$170M Cash";#N/A,#N/A,FALSE,"$250M Cash";#N/A,#N/A,FALSE,"$325M Cash"}</definedName>
    <definedName name="print" localSheetId="5" hidden="1">{#N/A,#N/A,FALSE,"$170M Cash";#N/A,#N/A,FALSE,"$250M Cash";#N/A,#N/A,FALSE,"$325M Cash"}</definedName>
    <definedName name="print" localSheetId="4" hidden="1">{#N/A,#N/A,FALSE,"$170M Cash";#N/A,#N/A,FALSE,"$250M Cash";#N/A,#N/A,FALSE,"$325M Cash"}</definedName>
    <definedName name="print" localSheetId="9">{#N/A,#N/A,FALSE,"$170M Cash";#N/A,#N/A,FALSE,"$250M Cash";#N/A,#N/A,FALSE,"$325M Cash"}</definedName>
    <definedName name="print" localSheetId="10" hidden="1">{#N/A,#N/A,FALSE,"$170M Cash";#N/A,#N/A,FALSE,"$250M Cash";#N/A,#N/A,FALSE,"$325M Cash"}</definedName>
    <definedName name="print" localSheetId="1" hidden="1">{#N/A,#N/A,FALSE,"$170M Cash";#N/A,#N/A,FALSE,"$250M Cash";#N/A,#N/A,FALSE,"$325M Cash"}</definedName>
    <definedName name="print" localSheetId="0">{#N/A,#N/A,FALSE,"$170M Cash";#N/A,#N/A,FALSE,"$250M Cash";#N/A,#N/A,FALSE,"$325M Cash"}</definedName>
    <definedName name="print" localSheetId="11" hidden="1">{#N/A,#N/A,FALSE,"$170M Cash";#N/A,#N/A,FALSE,"$250M Cash";#N/A,#N/A,FALSE,"$325M Cash"}</definedName>
    <definedName name="print" localSheetId="12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int_Area" localSheetId="8">#REF!</definedName>
    <definedName name="Print_Area" localSheetId="5">#REF!</definedName>
    <definedName name="Print_Area" localSheetId="9">#REF!</definedName>
    <definedName name="Print_Area" localSheetId="10">MOBILIÁRIO!$B$4:$G$422</definedName>
    <definedName name="Print_Area" localSheetId="0">#REF!</definedName>
    <definedName name="Print_Area" localSheetId="11">REVESTIMENTOS!$B$4:$G$155</definedName>
    <definedName name="Print_Area" localSheetId="12">TOTAL!$B$4:$G$25</definedName>
    <definedName name="Print_Area">#REF!</definedName>
    <definedName name="Print_Area_MI" localSheetId="8">#REF!</definedName>
    <definedName name="Print_Area_MI" localSheetId="5">#REF!</definedName>
    <definedName name="Print_Area_MI" localSheetId="9">#REF!</definedName>
    <definedName name="Print_Area_MI" localSheetId="10">#REF!</definedName>
    <definedName name="Print_Area_MI" localSheetId="1">#REF!</definedName>
    <definedName name="Print_Area_MI" localSheetId="0">#REF!</definedName>
    <definedName name="Print_Area_MI" localSheetId="11">#REF!</definedName>
    <definedName name="Print_Area_MI" localSheetId="12">#REF!</definedName>
    <definedName name="Print_Area_MI">#REF!</definedName>
    <definedName name="Print_Titles" localSheetId="5">#REF!</definedName>
    <definedName name="Print_Titles" localSheetId="9">#REF!</definedName>
    <definedName name="Print_Titles" localSheetId="10">#REF!</definedName>
    <definedName name="Print_Titles" localSheetId="0">#REF!</definedName>
    <definedName name="Print_Titles" localSheetId="11">#REF!</definedName>
    <definedName name="Print_Titles" localSheetId="12">#REF!</definedName>
    <definedName name="Print_Titles">#REF!</definedName>
    <definedName name="PRINT_TITLES_MI" localSheetId="8">#REF!</definedName>
    <definedName name="PRINT_TITLES_MI" localSheetId="5">#REF!</definedName>
    <definedName name="PRINT_TITLES_MI" localSheetId="10">#REF!</definedName>
    <definedName name="PRINT_TITLES_MI" localSheetId="11">#REF!</definedName>
    <definedName name="PRINT_TITLES_MI" localSheetId="12">#REF!</definedName>
    <definedName name="PRINT_TITLES_MI">#REF!</definedName>
    <definedName name="programa" localSheetId="8">#REF!</definedName>
    <definedName name="programa" localSheetId="5">#REF!</definedName>
    <definedName name="programa" localSheetId="10">#REF!</definedName>
    <definedName name="programa" localSheetId="11">#REF!</definedName>
    <definedName name="programa" localSheetId="12">#REF!</definedName>
    <definedName name="programa">#REF!</definedName>
    <definedName name="Programaa" localSheetId="8">#REF!</definedName>
    <definedName name="Programaa" localSheetId="5">#REF!</definedName>
    <definedName name="Programaa" localSheetId="10">#REF!</definedName>
    <definedName name="Programaa" localSheetId="11">#REF!</definedName>
    <definedName name="Programaa" localSheetId="12">#REF!</definedName>
    <definedName name="Programaa">#REF!</definedName>
    <definedName name="Projeção_torre" localSheetId="8">#REF!</definedName>
    <definedName name="Projeção_torre" localSheetId="5">#REF!</definedName>
    <definedName name="Projeção_torre" localSheetId="10">#REF!</definedName>
    <definedName name="Projeção_torre" localSheetId="1">#REF!</definedName>
    <definedName name="Projeção_torre" localSheetId="11">#REF!</definedName>
    <definedName name="Projeção_torre" localSheetId="12">#REF!</definedName>
    <definedName name="Projeção_torre">#REF!</definedName>
    <definedName name="projeto_nome_com" localSheetId="8">IF((COUNTA(#REF!)-2)&gt;1,"TERRENO "&amp;VLOOKUP(#REF!,#REF!,8,0),VLOOKUP(#REF!,#REF!,3,0))</definedName>
    <definedName name="projeto_nome_com" localSheetId="5">IF((COUNTA(#REF!)-2)&gt;1,"TERRENO "&amp;VLOOKUP(#REF!,#REF!,8,0),VLOOKUP(#REF!,#REF!,3,0))</definedName>
    <definedName name="projeto_nome_com" localSheetId="9">IF((COUNTA(#REF!)-2)&gt;1,"TERRENO "&amp;VLOOKUP(#REF!,#REF!,8,0),VLOOKUP(#REF!,#REF!,3,0))</definedName>
    <definedName name="projeto_nome_com" localSheetId="10">IF((COUNTA(#REF!)-2)&gt;1,"TERRENO "&amp;VLOOKUP(#REF!,#REF!,8,0),VLOOKUP(#REF!,#REF!,3,0))</definedName>
    <definedName name="projeto_nome_com" localSheetId="0">IF((COUNTA(#REF!)-2)&gt;1,"TERRENO "&amp;VLOOKUP(#REF!,#REF!,8,0),VLOOKUP(#REF!,#REF!,3,0))</definedName>
    <definedName name="projeto_nome_com" localSheetId="11">IF((COUNTA(#REF!)-2)&gt;1,"TERRENO "&amp;VLOOKUP(#REF!,#REF!,8,0),VLOOKUP(#REF!,#REF!,3,0))</definedName>
    <definedName name="projeto_nome_com" localSheetId="12">IF((COUNTA(#REF!)-2)&gt;1,"TERRENO "&amp;VLOOKUP(#REF!,#REF!,8,0),VLOOKUP(#REF!,#REF!,3,0))</definedName>
    <definedName name="projeto_nome_com">IF((COUNTA(#REF!)-2)&gt;1,"TERRENO "&amp;VLOOKUP(#REF!,#REF!,8,0),VLOOKUP(#REF!,#REF!,3,0))</definedName>
    <definedName name="PROPAGANDA" localSheetId="8">#REF!</definedName>
    <definedName name="PROPAGANDA" localSheetId="5">#REF!</definedName>
    <definedName name="PROPAGANDA" localSheetId="9">#REF!</definedName>
    <definedName name="PROPAGANDA" localSheetId="10">#REF!</definedName>
    <definedName name="PROPAGANDA" localSheetId="0">#REF!</definedName>
    <definedName name="PROPAGANDA" localSheetId="11">#REF!</definedName>
    <definedName name="PROPAGANDA" localSheetId="12">#REF!</definedName>
    <definedName name="PROPAGANDA">#REF!</definedName>
    <definedName name="ptirigyiotut" localSheetId="3" hidden="1">{#N/A,#N/A,FALSE,"Plan1";#N/A,#N/A,FALSE,"Plan2"}</definedName>
    <definedName name="ptirigyiotut" localSheetId="8">{#N/A,#N/A,FALSE,"Plan1";#N/A,#N/A,FALSE,"Plan2"}</definedName>
    <definedName name="ptirigyiotut" localSheetId="5" hidden="1">{#N/A,#N/A,FALSE,"Plan1";#N/A,#N/A,FALSE,"Plan2"}</definedName>
    <definedName name="ptirigyiotut" localSheetId="4" hidden="1">{#N/A,#N/A,FALSE,"Plan1";#N/A,#N/A,FALSE,"Plan2"}</definedName>
    <definedName name="ptirigyiotut" localSheetId="9">{#N/A,#N/A,FALSE,"Plan1";#N/A,#N/A,FALSE,"Plan2"}</definedName>
    <definedName name="ptirigyiotut" localSheetId="10" hidden="1">{#N/A,#N/A,FALSE,"Plan1";#N/A,#N/A,FALSE,"Plan2"}</definedName>
    <definedName name="ptirigyiotut" localSheetId="1" hidden="1">{#N/A,#N/A,FALSE,"Plan1";#N/A,#N/A,FALSE,"Plan2"}</definedName>
    <definedName name="ptirigyiotut" localSheetId="0">{#N/A,#N/A,FALSE,"Plan1";#N/A,#N/A,FALSE,"Plan2"}</definedName>
    <definedName name="ptirigyiotut" localSheetId="11" hidden="1">{#N/A,#N/A,FALSE,"Plan1";#N/A,#N/A,FALSE,"Plan2"}</definedName>
    <definedName name="ptirigyiotut" localSheetId="12" hidden="1">{#N/A,#N/A,FALSE,"Plan1";#N/A,#N/A,FALSE,"Plan2"}</definedName>
    <definedName name="ptirigyiotut" hidden="1">{#N/A,#N/A,FALSE,"Plan1";#N/A,#N/A,FALSE,"Plan2"}</definedName>
    <definedName name="PWER3" localSheetId="3" hidden="1">{#N/A,#N/A,FALSE,"Plan1";#N/A,#N/A,FALSE,"Plan2"}</definedName>
    <definedName name="PWER3" localSheetId="8">{#N/A,#N/A,FALSE,"Plan1";#N/A,#N/A,FALSE,"Plan2"}</definedName>
    <definedName name="PWER3" localSheetId="5" hidden="1">{#N/A,#N/A,FALSE,"Plan1";#N/A,#N/A,FALSE,"Plan2"}</definedName>
    <definedName name="PWER3" localSheetId="4" hidden="1">{#N/A,#N/A,FALSE,"Plan1";#N/A,#N/A,FALSE,"Plan2"}</definedName>
    <definedName name="PWER3" localSheetId="9">{#N/A,#N/A,FALSE,"Plan1";#N/A,#N/A,FALSE,"Plan2"}</definedName>
    <definedName name="PWER3" localSheetId="10" hidden="1">{#N/A,#N/A,FALSE,"Plan1";#N/A,#N/A,FALSE,"Plan2"}</definedName>
    <definedName name="PWER3" localSheetId="1" hidden="1">{#N/A,#N/A,FALSE,"Plan1";#N/A,#N/A,FALSE,"Plan2"}</definedName>
    <definedName name="PWER3" localSheetId="0">{#N/A,#N/A,FALSE,"Plan1";#N/A,#N/A,FALSE,"Plan2"}</definedName>
    <definedName name="PWER3" localSheetId="11" hidden="1">{#N/A,#N/A,FALSE,"Plan1";#N/A,#N/A,FALSE,"Plan2"}</definedName>
    <definedName name="PWER3" localSheetId="12" hidden="1">{#N/A,#N/A,FALSE,"Plan1";#N/A,#N/A,FALSE,"Plan2"}</definedName>
    <definedName name="PWER3" hidden="1">{#N/A,#N/A,FALSE,"Plan1";#N/A,#N/A,FALSE,"Plan2"}</definedName>
    <definedName name="q" localSheetId="8">#REF!</definedName>
    <definedName name="q" localSheetId="5">#REF!</definedName>
    <definedName name="q" localSheetId="9">#REF!</definedName>
    <definedName name="q" localSheetId="10" hidden="1">#REF!</definedName>
    <definedName name="q" localSheetId="1" hidden="1">#REF!</definedName>
    <definedName name="q" localSheetId="0">#REF!</definedName>
    <definedName name="q" localSheetId="11" hidden="1">#REF!</definedName>
    <definedName name="q" localSheetId="12" hidden="1">#REF!</definedName>
    <definedName name="q">#REF!</definedName>
    <definedName name="QCLIENTE_PCLIENTE" localSheetId="8">#REF!</definedName>
    <definedName name="QCLIENTE_PCLIENTE" localSheetId="5">#REF!</definedName>
    <definedName name="QCLIENTE_PCLIENTE" localSheetId="9">#REF!</definedName>
    <definedName name="QCLIENTE_PCLIENTE" localSheetId="10">#REF!</definedName>
    <definedName name="QCLIENTE_PCLIENTE" localSheetId="0">#REF!</definedName>
    <definedName name="QCLIENTE_PCLIENTE" localSheetId="11">#REF!</definedName>
    <definedName name="QCLIENTE_PCLIENTE" localSheetId="12">#REF!</definedName>
    <definedName name="QCLIENTE_PCLIENTE">#REF!</definedName>
    <definedName name="QCliente_PCliente1" localSheetId="8">#REF!</definedName>
    <definedName name="QCliente_PCliente1" localSheetId="5">#REF!</definedName>
    <definedName name="QCliente_PCliente1" localSheetId="9">#REF!</definedName>
    <definedName name="QCliente_PCliente1" localSheetId="10">#REF!</definedName>
    <definedName name="QCliente_PCliente1" localSheetId="0">#REF!</definedName>
    <definedName name="QCliente_PCliente1" localSheetId="11">#REF!</definedName>
    <definedName name="QCliente_PCliente1" localSheetId="12">#REF!</definedName>
    <definedName name="QCliente_PCliente1">#REF!</definedName>
    <definedName name="qe" localSheetId="8">#REF!</definedName>
    <definedName name="qe" localSheetId="5">#REF!</definedName>
    <definedName name="qe" localSheetId="10">#REF!</definedName>
    <definedName name="qe" localSheetId="1">#REF!</definedName>
    <definedName name="qe" localSheetId="11">#REF!</definedName>
    <definedName name="qe" localSheetId="12">#REF!</definedName>
    <definedName name="qe">#REF!</definedName>
    <definedName name="qee" localSheetId="8">#REF!</definedName>
    <definedName name="qee" localSheetId="5">#REF!</definedName>
    <definedName name="qee" localSheetId="10">#REF!</definedName>
    <definedName name="qee" localSheetId="1">#REF!</definedName>
    <definedName name="qee" localSheetId="11">#REF!</definedName>
    <definedName name="qee" localSheetId="12">#REF!</definedName>
    <definedName name="qee">#REF!</definedName>
    <definedName name="qkqh1" localSheetId="3" hidden="1">{#N/A,#N/A,FALSE,"명세표"}</definedName>
    <definedName name="qkqh1" localSheetId="8">{#N/A,#N/A,FALSE,"명세표"}</definedName>
    <definedName name="qkqh1" localSheetId="5" hidden="1">{#N/A,#N/A,FALSE,"명세표"}</definedName>
    <definedName name="qkqh1" localSheetId="4" hidden="1">{#N/A,#N/A,FALSE,"명세표"}</definedName>
    <definedName name="qkqh1" localSheetId="9">{#N/A,#N/A,FALSE,"명세표"}</definedName>
    <definedName name="qkqh1" localSheetId="10" hidden="1">{#N/A,#N/A,FALSE,"명세표"}</definedName>
    <definedName name="qkqh1" localSheetId="1" hidden="1">{#N/A,#N/A,FALSE,"명세표"}</definedName>
    <definedName name="qkqh1" localSheetId="0">{#N/A,#N/A,FALSE,"명세표"}</definedName>
    <definedName name="qkqh1" localSheetId="11" hidden="1">{#N/A,#N/A,FALSE,"명세표"}</definedName>
    <definedName name="qkqh1" localSheetId="12" hidden="1">{#N/A,#N/A,FALSE,"명세표"}</definedName>
    <definedName name="qkqh1" hidden="1">{#N/A,#N/A,FALSE,"명세표"}</definedName>
    <definedName name="QOAS_POAS" localSheetId="8">#REF!</definedName>
    <definedName name="QOAS_POAS" localSheetId="5">#REF!</definedName>
    <definedName name="QOAS_POAS" localSheetId="9">#REF!</definedName>
    <definedName name="QOAS_POAS" localSheetId="10">#REF!</definedName>
    <definedName name="QOAS_POAS" localSheetId="0">#REF!</definedName>
    <definedName name="QOAS_POAS" localSheetId="11">#REF!</definedName>
    <definedName name="QOAS_POAS" localSheetId="12">#REF!</definedName>
    <definedName name="QOAS_POAS">#REF!</definedName>
    <definedName name="Q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QQQ" localSheetId="8">#REF!:#REF!</definedName>
    <definedName name="QQQ" localSheetId="5">#REF!:#REF!</definedName>
    <definedName name="QQQ" localSheetId="9">#REF!:#REF!</definedName>
    <definedName name="QQQ" localSheetId="10">#REF!:#REF!</definedName>
    <definedName name="QQQ" localSheetId="0">#REF!:#REF!</definedName>
    <definedName name="QQQ" localSheetId="11">#REF!:#REF!</definedName>
    <definedName name="QQQ" localSheetId="12">#REF!:#REF!</definedName>
    <definedName name="QQQ">#REF!:#REF!</definedName>
    <definedName name="QQQQQQQQ" localSheetId="8">#REF!</definedName>
    <definedName name="QQQQQQQQ" localSheetId="5" hidden="1">#REF!</definedName>
    <definedName name="QQQQQQQQ" localSheetId="9">#REF!</definedName>
    <definedName name="QQQQQQQQ" localSheetId="10" hidden="1">#REF!</definedName>
    <definedName name="QQQQQQQQ" localSheetId="1" hidden="1">#REF!</definedName>
    <definedName name="QQQQQQQQ" localSheetId="0">#REF!</definedName>
    <definedName name="QQQQQQQQ" localSheetId="11" hidden="1">#REF!</definedName>
    <definedName name="QQQQQQQQ" localSheetId="12" hidden="1">#REF!</definedName>
    <definedName name="QQQQQQQQ" hidden="1">#REF!</definedName>
    <definedName name="QREAL_PCLIENTE" localSheetId="8">#REF!</definedName>
    <definedName name="QREAL_PCLIENTE" localSheetId="5">#REF!</definedName>
    <definedName name="QREAL_PCLIENTE" localSheetId="9">#REF!</definedName>
    <definedName name="QREAL_PCLIENTE" localSheetId="10">#REF!</definedName>
    <definedName name="QREAL_PCLIENTE" localSheetId="0">#REF!</definedName>
    <definedName name="QREAL_PCLIENTE" localSheetId="11">#REF!</definedName>
    <definedName name="QREAL_PCLIENTE" localSheetId="12">#REF!</definedName>
    <definedName name="QREAL_PCLIENTE">#REF!</definedName>
    <definedName name="QReal_PCliente1" localSheetId="8">#REF!</definedName>
    <definedName name="QReal_PCliente1" localSheetId="5">#REF!</definedName>
    <definedName name="QReal_PCliente1" localSheetId="9">#REF!</definedName>
    <definedName name="QReal_PCliente1" localSheetId="10">#REF!</definedName>
    <definedName name="QReal_PCliente1" localSheetId="0">#REF!</definedName>
    <definedName name="QReal_PCliente1" localSheetId="11">#REF!</definedName>
    <definedName name="QReal_PCliente1" localSheetId="12">#REF!</definedName>
    <definedName name="QReal_PCliente1">#REF!</definedName>
    <definedName name="QSQWSE" localSheetId="3" hidden="1">{#N/A,#N/A,FALSE,"Plan1";#N/A,#N/A,FALSE,"Plan2"}</definedName>
    <definedName name="QSQWSE" localSheetId="8">{#N/A,#N/A,FALSE,"Plan1";#N/A,#N/A,FALSE,"Plan2"}</definedName>
    <definedName name="QSQWSE" localSheetId="5" hidden="1">{#N/A,#N/A,FALSE,"Plan1";#N/A,#N/A,FALSE,"Plan2"}</definedName>
    <definedName name="QSQWSE" localSheetId="4" hidden="1">{#N/A,#N/A,FALSE,"Plan1";#N/A,#N/A,FALSE,"Plan2"}</definedName>
    <definedName name="QSQWSE" localSheetId="9">{#N/A,#N/A,FALSE,"Plan1";#N/A,#N/A,FALSE,"Plan2"}</definedName>
    <definedName name="QSQWSE" localSheetId="10" hidden="1">{#N/A,#N/A,FALSE,"Plan1";#N/A,#N/A,FALSE,"Plan2"}</definedName>
    <definedName name="QSQWSE" localSheetId="1" hidden="1">{#N/A,#N/A,FALSE,"Plan1";#N/A,#N/A,FALSE,"Plan2"}</definedName>
    <definedName name="QSQWSE" localSheetId="0">{#N/A,#N/A,FALSE,"Plan1";#N/A,#N/A,FALSE,"Plan2"}</definedName>
    <definedName name="QSQWSE" localSheetId="11" hidden="1">{#N/A,#N/A,FALSE,"Plan1";#N/A,#N/A,FALSE,"Plan2"}</definedName>
    <definedName name="QSQWSE" localSheetId="12" hidden="1">{#N/A,#N/A,FALSE,"Plan1";#N/A,#N/A,FALSE,"Plan2"}</definedName>
    <definedName name="QSQWSE" hidden="1">{#N/A,#N/A,FALSE,"Plan1";#N/A,#N/A,FALSE,"Plan2"}</definedName>
    <definedName name="qtd_mensal" localSheetId="8">#REF!</definedName>
    <definedName name="qtd_mensal" localSheetId="5">#REF!</definedName>
    <definedName name="qtd_mensal" localSheetId="9">#REF!</definedName>
    <definedName name="qtd_mensal" localSheetId="10">#REF!</definedName>
    <definedName name="qtd_mensal" localSheetId="0">#REF!</definedName>
    <definedName name="qtd_mensal" localSheetId="11">#REF!</definedName>
    <definedName name="qtd_mensal" localSheetId="12">#REF!</definedName>
    <definedName name="qtd_mensal">#REF!</definedName>
    <definedName name="qtd3esta" localSheetId="8">#REF!</definedName>
    <definedName name="qtd3esta" localSheetId="5">#REF!</definedName>
    <definedName name="qtd3esta" localSheetId="9">#REF!</definedName>
    <definedName name="qtd3esta" localSheetId="10">#REF!</definedName>
    <definedName name="qtd3esta" localSheetId="0">#REF!</definedName>
    <definedName name="qtd3esta" localSheetId="11">#REF!</definedName>
    <definedName name="qtd3esta" localSheetId="12">#REF!</definedName>
    <definedName name="qtd3esta">#REF!</definedName>
    <definedName name="qtdbase" localSheetId="8">#REF!</definedName>
    <definedName name="qtdbase" localSheetId="5">#REF!</definedName>
    <definedName name="qtdbase" localSheetId="9">#REF!</definedName>
    <definedName name="qtdbase" localSheetId="10">#REF!</definedName>
    <definedName name="qtdbase" localSheetId="0">#REF!</definedName>
    <definedName name="qtdbase" localSheetId="11">#REF!</definedName>
    <definedName name="qtdbase" localSheetId="12">#REF!</definedName>
    <definedName name="qtdbase">#REF!</definedName>
    <definedName name="qtdbltub" localSheetId="8">#REF!</definedName>
    <definedName name="qtdbltub" localSheetId="5">#REF!</definedName>
    <definedName name="qtdbltub" localSheetId="10">#REF!</definedName>
    <definedName name="qtdbltub" localSheetId="11">#REF!</definedName>
    <definedName name="qtdbltub" localSheetId="12">#REF!</definedName>
    <definedName name="qtdbltub">#REF!</definedName>
    <definedName name="qtdestac" localSheetId="8">#REF!</definedName>
    <definedName name="qtdestac" localSheetId="5">#REF!</definedName>
    <definedName name="qtdestac" localSheetId="10">#REF!</definedName>
    <definedName name="qtdestac" localSheetId="11">#REF!</definedName>
    <definedName name="qtdestac" localSheetId="12">#REF!</definedName>
    <definedName name="qtdestac">#REF!</definedName>
    <definedName name="qtdsap" localSheetId="8">#REF!</definedName>
    <definedName name="qtdsap" localSheetId="5">#REF!</definedName>
    <definedName name="qtdsap" localSheetId="10">#REF!</definedName>
    <definedName name="qtdsap" localSheetId="11">#REF!</definedName>
    <definedName name="qtdsap" localSheetId="12">#REF!</definedName>
    <definedName name="qtdsap">#REF!</definedName>
    <definedName name="qtdtub" localSheetId="8">#REF!</definedName>
    <definedName name="qtdtub" localSheetId="5">#REF!</definedName>
    <definedName name="qtdtub" localSheetId="10">#REF!</definedName>
    <definedName name="qtdtub" localSheetId="11">#REF!</definedName>
    <definedName name="qtdtub" localSheetId="12">#REF!</definedName>
    <definedName name="qtdtub">#REF!</definedName>
    <definedName name="QTNULO" localSheetId="8">#REF!</definedName>
    <definedName name="QTNULO" localSheetId="5">#REF!</definedName>
    <definedName name="QTNULO" localSheetId="10">#REF!</definedName>
    <definedName name="QTNULO" localSheetId="11">#REF!</definedName>
    <definedName name="QTNULO" localSheetId="12">#REF!</definedName>
    <definedName name="QTNULO">#REF!</definedName>
    <definedName name="QTPADRAO" localSheetId="8">#REF!</definedName>
    <definedName name="QTPADRAO" localSheetId="5">#REF!</definedName>
    <definedName name="QTPADRAO" localSheetId="10">#REF!</definedName>
    <definedName name="QTPADRAO" localSheetId="11">#REF!</definedName>
    <definedName name="QTPADRAO" localSheetId="12">#REF!</definedName>
    <definedName name="QTPADRAO">#REF!</definedName>
    <definedName name="QTRES" localSheetId="8">#REF!</definedName>
    <definedName name="QTRES" localSheetId="5">#REF!</definedName>
    <definedName name="QTRES" localSheetId="10">#REF!</definedName>
    <definedName name="QTRES" localSheetId="11">#REF!</definedName>
    <definedName name="QTRES" localSheetId="12">#REF!</definedName>
    <definedName name="QTRES">#REF!</definedName>
    <definedName name="QuadraE" localSheetId="8">#REF!</definedName>
    <definedName name="QuadraE" localSheetId="5">#REF!</definedName>
    <definedName name="QuadraE" localSheetId="10">#REF!</definedName>
    <definedName name="QuadraE" localSheetId="11">#REF!</definedName>
    <definedName name="QuadraE" localSheetId="12">#REF!</definedName>
    <definedName name="QuadraE">#REF!</definedName>
    <definedName name="quadrocompar." localSheetId="8">#REF!</definedName>
    <definedName name="quadrocompar." localSheetId="5">#REF!</definedName>
    <definedName name="quadrocompar." localSheetId="10">#REF!</definedName>
    <definedName name="quadrocompar." localSheetId="11">#REF!</definedName>
    <definedName name="quadrocompar." localSheetId="12">#REF!</definedName>
    <definedName name="quadrocompar.">#REF!</definedName>
    <definedName name="QUANT" localSheetId="8">#REF!</definedName>
    <definedName name="QUANT" localSheetId="5">#REF!</definedName>
    <definedName name="QUANT" localSheetId="10">#REF!</definedName>
    <definedName name="QUANT" localSheetId="11">#REF!</definedName>
    <definedName name="QUANT" localSheetId="12">#REF!</definedName>
    <definedName name="QUANT">#REF!</definedName>
    <definedName name="Quant_Aptos" localSheetId="8">#REF!</definedName>
    <definedName name="Quant_Aptos" localSheetId="5">#REF!</definedName>
    <definedName name="Quant_Aptos" localSheetId="10">#REF!</definedName>
    <definedName name="Quant_Aptos" localSheetId="1">#REF!</definedName>
    <definedName name="Quant_Aptos" localSheetId="11">#REF!</definedName>
    <definedName name="Quant_Aptos" localSheetId="12">#REF!</definedName>
    <definedName name="Quant_Aptos">#REF!</definedName>
    <definedName name="Quant_Cremalheira" localSheetId="8">#REF!</definedName>
    <definedName name="Quant_Cremalheira" localSheetId="5">#REF!</definedName>
    <definedName name="Quant_Cremalheira" localSheetId="10">#REF!</definedName>
    <definedName name="Quant_Cremalheira" localSheetId="1">#REF!</definedName>
    <definedName name="Quant_Cremalheira" localSheetId="11">#REF!</definedName>
    <definedName name="Quant_Cremalheira" localSheetId="12">#REF!</definedName>
    <definedName name="Quant_Cremalheira">#REF!</definedName>
    <definedName name="Quant_grua" localSheetId="8">#REF!</definedName>
    <definedName name="Quant_grua" localSheetId="5">#REF!</definedName>
    <definedName name="Quant_grua" localSheetId="10">#REF!</definedName>
    <definedName name="Quant_grua" localSheetId="1">#REF!</definedName>
    <definedName name="Quant_grua" localSheetId="11">#REF!</definedName>
    <definedName name="Quant_grua" localSheetId="12">#REF!</definedName>
    <definedName name="Quant_grua">#REF!</definedName>
    <definedName name="Quant_pav_lajão" localSheetId="8">#REF!</definedName>
    <definedName name="Quant_pav_lajão" localSheetId="5">#REF!</definedName>
    <definedName name="Quant_pav_lajão" localSheetId="10">#REF!</definedName>
    <definedName name="Quant_pav_lajão" localSheetId="1">#REF!</definedName>
    <definedName name="Quant_pav_lajão" localSheetId="11">#REF!</definedName>
    <definedName name="Quant_pav_lajão" localSheetId="12">#REF!</definedName>
    <definedName name="Quant_pav_lajão">#REF!</definedName>
    <definedName name="Quant_tipo" localSheetId="8">#REF!</definedName>
    <definedName name="Quant_tipo" localSheetId="5">#REF!</definedName>
    <definedName name="Quant_tipo" localSheetId="10">#REF!</definedName>
    <definedName name="Quant_tipo" localSheetId="1">#REF!</definedName>
    <definedName name="Quant_tipo" localSheetId="11">#REF!</definedName>
    <definedName name="Quant_tipo" localSheetId="12">#REF!</definedName>
    <definedName name="Quant_tipo">#REF!</definedName>
    <definedName name="Quant_torres" localSheetId="8">#REF!</definedName>
    <definedName name="Quant_torres" localSheetId="5">#REF!</definedName>
    <definedName name="Quant_torres" localSheetId="10">#REF!</definedName>
    <definedName name="Quant_torres" localSheetId="1">#REF!</definedName>
    <definedName name="Quant_torres" localSheetId="11">#REF!</definedName>
    <definedName name="Quant_torres" localSheetId="12">#REF!</definedName>
    <definedName name="Quant_torres">#REF!</definedName>
    <definedName name="Quantidade_Elevadores" localSheetId="8">#REF!</definedName>
    <definedName name="Quantidade_Elevadores" localSheetId="5">#REF!</definedName>
    <definedName name="Quantidade_Elevadores" localSheetId="10">#REF!</definedName>
    <definedName name="Quantidade_Elevadores" localSheetId="1">#REF!</definedName>
    <definedName name="Quantidade_Elevadores" localSheetId="11">#REF!</definedName>
    <definedName name="Quantidade_Elevadores" localSheetId="12">#REF!</definedName>
    <definedName name="Quantidade_Elevadores">#REF!</definedName>
    <definedName name="QUANTP" localSheetId="8">#REF!</definedName>
    <definedName name="QUANTP" localSheetId="5">#REF!</definedName>
    <definedName name="QUANTP" localSheetId="10">#REF!</definedName>
    <definedName name="QUANTP" localSheetId="11">#REF!</definedName>
    <definedName name="QUANTP" localSheetId="12">#REF!</definedName>
    <definedName name="QUANTP">#REF!</definedName>
    <definedName name="QUATRO" localSheetId="8">#REF!</definedName>
    <definedName name="QUATRO" localSheetId="5">#REF!</definedName>
    <definedName name="QUATRO" localSheetId="10">#REF!</definedName>
    <definedName name="QUATRO" localSheetId="11">#REF!</definedName>
    <definedName name="QUATRO" localSheetId="12">#REF!</definedName>
    <definedName name="QUATRO">#REF!</definedName>
    <definedName name="QUINZE" localSheetId="8">#REF!</definedName>
    <definedName name="QUINZE" localSheetId="5">#REF!</definedName>
    <definedName name="QUINZE" localSheetId="10">#REF!</definedName>
    <definedName name="QUINZE" localSheetId="11">#REF!</definedName>
    <definedName name="QUINZE" localSheetId="12">#REF!</definedName>
    <definedName name="QUINZE">#REF!</definedName>
    <definedName name="qwdqw" localSheetId="3" hidden="1">{#N/A,#N/A,FALSE,"Plan1";#N/A,#N/A,FALSE,"Plan2"}</definedName>
    <definedName name="qwdqw" localSheetId="8">{#N/A,#N/A,FALSE,"Plan1";#N/A,#N/A,FALSE,"Plan2"}</definedName>
    <definedName name="qwdqw" localSheetId="5" hidden="1">{#N/A,#N/A,FALSE,"Plan1";#N/A,#N/A,FALSE,"Plan2"}</definedName>
    <definedName name="qwdqw" localSheetId="4" hidden="1">{#N/A,#N/A,FALSE,"Plan1";#N/A,#N/A,FALSE,"Plan2"}</definedName>
    <definedName name="qwdqw" localSheetId="9">{#N/A,#N/A,FALSE,"Plan1";#N/A,#N/A,FALSE,"Plan2"}</definedName>
    <definedName name="qwdqw" localSheetId="10" hidden="1">{#N/A,#N/A,FALSE,"Plan1";#N/A,#N/A,FALSE,"Plan2"}</definedName>
    <definedName name="qwdqw" localSheetId="1" hidden="1">{#N/A,#N/A,FALSE,"Plan1";#N/A,#N/A,FALSE,"Plan2"}</definedName>
    <definedName name="qwdqw" localSheetId="0">{#N/A,#N/A,FALSE,"Plan1";#N/A,#N/A,FALSE,"Plan2"}</definedName>
    <definedName name="qwdqw" localSheetId="11" hidden="1">{#N/A,#N/A,FALSE,"Plan1";#N/A,#N/A,FALSE,"Plan2"}</definedName>
    <definedName name="qwdqw" localSheetId="12" hidden="1">{#N/A,#N/A,FALSE,"Plan1";#N/A,#N/A,FALSE,"Plan2"}</definedName>
    <definedName name="qwdqw" hidden="1">{#N/A,#N/A,FALSE,"Plan1";#N/A,#N/A,FALSE,"Plan2"}</definedName>
    <definedName name="qweqwe" localSheetId="3" hidden="1">{#N/A,#N/A,FALSE,"Plan1";#N/A,#N/A,FALSE,"Plan2"}</definedName>
    <definedName name="qweqwe" localSheetId="8">{#N/A,#N/A,FALSE,"Plan1";#N/A,#N/A,FALSE,"Plan2"}</definedName>
    <definedName name="qweqwe" localSheetId="5" hidden="1">{#N/A,#N/A,FALSE,"Plan1";#N/A,#N/A,FALSE,"Plan2"}</definedName>
    <definedName name="qweqwe" localSheetId="4" hidden="1">{#N/A,#N/A,FALSE,"Plan1";#N/A,#N/A,FALSE,"Plan2"}</definedName>
    <definedName name="qweqwe" localSheetId="9">{#N/A,#N/A,FALSE,"Plan1";#N/A,#N/A,FALSE,"Plan2"}</definedName>
    <definedName name="qweqwe" localSheetId="10" hidden="1">{#N/A,#N/A,FALSE,"Plan1";#N/A,#N/A,FALSE,"Plan2"}</definedName>
    <definedName name="qweqwe" localSheetId="1" hidden="1">{#N/A,#N/A,FALSE,"Plan1";#N/A,#N/A,FALSE,"Plan2"}</definedName>
    <definedName name="qweqwe" localSheetId="0">{#N/A,#N/A,FALSE,"Plan1";#N/A,#N/A,FALSE,"Plan2"}</definedName>
    <definedName name="qweqwe" localSheetId="11" hidden="1">{#N/A,#N/A,FALSE,"Plan1";#N/A,#N/A,FALSE,"Plan2"}</definedName>
    <definedName name="qweqwe" localSheetId="12" hidden="1">{#N/A,#N/A,FALSE,"Plan1";#N/A,#N/A,FALSE,"Plan2"}</definedName>
    <definedName name="qweqwe" hidden="1">{#N/A,#N/A,FALSE,"Plan1";#N/A,#N/A,FALSE,"Plan2"}</definedName>
    <definedName name="qweqwe4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qwe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qwewqe" localSheetId="8">#REF!</definedName>
    <definedName name="qwewqe" localSheetId="5" hidden="1">#REF!</definedName>
    <definedName name="qwewqe" localSheetId="9">#REF!</definedName>
    <definedName name="qwewqe" localSheetId="10" hidden="1">#REF!</definedName>
    <definedName name="qwewqe" localSheetId="1" hidden="1">#REF!</definedName>
    <definedName name="qwewqe" localSheetId="0">#REF!</definedName>
    <definedName name="qwewqe" localSheetId="11" hidden="1">#REF!</definedName>
    <definedName name="qwewqe" localSheetId="12" hidden="1">#REF!</definedName>
    <definedName name="qwewqe" hidden="1">#REF!</definedName>
    <definedName name="qwqw" localSheetId="8">#REF!</definedName>
    <definedName name="qwqw" localSheetId="9">#REF!</definedName>
    <definedName name="qwqw" localSheetId="10" hidden="1">#REF!</definedName>
    <definedName name="qwqw" localSheetId="1" hidden="1">#REF!</definedName>
    <definedName name="qwqw" localSheetId="0">#REF!</definedName>
    <definedName name="qwqw" localSheetId="11" hidden="1">#REF!</definedName>
    <definedName name="qwqw" localSheetId="12" hidden="1">#REF!</definedName>
    <definedName name="qwqw" hidden="1">#REF!</definedName>
    <definedName name="R.imobAtualiz" localSheetId="8">#REF!</definedName>
    <definedName name="R.imobAtualiz" localSheetId="5">#REF!</definedName>
    <definedName name="R.imobAtualiz" localSheetId="9">#REF!</definedName>
    <definedName name="R.imobAtualiz" localSheetId="10">#REF!</definedName>
    <definedName name="R.imobAtualiz" localSheetId="0">#REF!</definedName>
    <definedName name="R.imobAtualiz" localSheetId="11">#REF!</definedName>
    <definedName name="R.imobAtualiz" localSheetId="12">#REF!</definedName>
    <definedName name="R.imobAtualiz">#REF!</definedName>
    <definedName name="R_CorretAtualiz" localSheetId="8">#REF!</definedName>
    <definedName name="R_CorretAtualiz" localSheetId="5">#REF!</definedName>
    <definedName name="R_CorretAtualiz" localSheetId="10">#REF!</definedName>
    <definedName name="R_CorretAtualiz" localSheetId="11">#REF!</definedName>
    <definedName name="R_CorretAtualiz" localSheetId="12">#REF!</definedName>
    <definedName name="R_CorretAtualiz">#REF!</definedName>
    <definedName name="R_G.Cobr.Atualiz" localSheetId="8">#REF!</definedName>
    <definedName name="R_G.Cobr.Atualiz" localSheetId="5">#REF!</definedName>
    <definedName name="R_G.Cobr.Atualiz" localSheetId="10">#REF!</definedName>
    <definedName name="R_G.Cobr.Atualiz" localSheetId="11">#REF!</definedName>
    <definedName name="R_G.Cobr.Atualiz" localSheetId="12">#REF!</definedName>
    <definedName name="R_G.Cobr.Atualiz">#REF!</definedName>
    <definedName name="R_PmaisJAtualiz" localSheetId="8">#REF!</definedName>
    <definedName name="R_PmaisJAtualiz" localSheetId="5">#REF!</definedName>
    <definedName name="R_PmaisJAtualiz" localSheetId="10">#REF!</definedName>
    <definedName name="R_PmaisJAtualiz" localSheetId="11">#REF!</definedName>
    <definedName name="R_PmaisJAtualiz" localSheetId="12">#REF!</definedName>
    <definedName name="R_PmaisJAtualiz">#REF!</definedName>
    <definedName name="R_Prev.PerdaAtualiz" localSheetId="8">#REF!</definedName>
    <definedName name="R_Prev.PerdaAtualiz" localSheetId="5">#REF!</definedName>
    <definedName name="R_Prev.PerdaAtualiz" localSheetId="10">#REF!</definedName>
    <definedName name="R_Prev.PerdaAtualiz" localSheetId="11">#REF!</definedName>
    <definedName name="R_Prev.PerdaAtualiz" localSheetId="12">#REF!</definedName>
    <definedName name="R_Prev.PerdaAtualiz">#REF!</definedName>
    <definedName name="RADIO" localSheetId="3" hidden="1">{"HW",#N/A,FALSE,"1998"}</definedName>
    <definedName name="RADIO" localSheetId="8">{"HW",#N/A,FALSE,"1998"}</definedName>
    <definedName name="RADIO" localSheetId="5" hidden="1">{"HW",#N/A,FALSE,"1998"}</definedName>
    <definedName name="RADIO" localSheetId="4" hidden="1">{"HW",#N/A,FALSE,"1998"}</definedName>
    <definedName name="RADIO" localSheetId="9">{"HW",#N/A,FALSE,"1998"}</definedName>
    <definedName name="RADIO" localSheetId="10" hidden="1">{"HW",#N/A,FALSE,"1998"}</definedName>
    <definedName name="RADIO" localSheetId="1" hidden="1">{"HW",#N/A,FALSE,"1998"}</definedName>
    <definedName name="RADIO" localSheetId="0">{"HW",#N/A,FALSE,"1998"}</definedName>
    <definedName name="RADIO" localSheetId="11" hidden="1">{"HW",#N/A,FALSE,"1998"}</definedName>
    <definedName name="RADIO" localSheetId="12" hidden="1">{"HW",#N/A,FALSE,"1998"}</definedName>
    <definedName name="RADIO" hidden="1">{"HW",#N/A,FALSE,"1998"}</definedName>
    <definedName name="RANGE" localSheetId="8">#REF!</definedName>
    <definedName name="RANGE" localSheetId="5">#REF!</definedName>
    <definedName name="RANGE" localSheetId="9">#REF!</definedName>
    <definedName name="RANGE" localSheetId="10">#REF!</definedName>
    <definedName name="RANGE" localSheetId="0">#REF!</definedName>
    <definedName name="RANGE" localSheetId="11">#REF!</definedName>
    <definedName name="RANGE" localSheetId="12">#REF!</definedName>
    <definedName name="RANGE">#REF!</definedName>
    <definedName name="RANGE1" localSheetId="8">#REF!</definedName>
    <definedName name="RANGE1" localSheetId="5">#REF!</definedName>
    <definedName name="RANGE1" localSheetId="9">#REF!</definedName>
    <definedName name="RANGE1" localSheetId="10">#REF!</definedName>
    <definedName name="RANGE1" localSheetId="0">#REF!</definedName>
    <definedName name="RANGE1" localSheetId="11">#REF!</definedName>
    <definedName name="RANGE1" localSheetId="12">#REF!</definedName>
    <definedName name="RANGE1">#REF!</definedName>
    <definedName name="RANGE2" localSheetId="8">#REF!</definedName>
    <definedName name="RANGE2" localSheetId="5">#REF!</definedName>
    <definedName name="RANGE2" localSheetId="9">#REF!</definedName>
    <definedName name="RANGE2" localSheetId="10">#REF!</definedName>
    <definedName name="RANGE2" localSheetId="0">#REF!</definedName>
    <definedName name="RANGE2" localSheetId="11">#REF!</definedName>
    <definedName name="RANGE2" localSheetId="12">#REF!</definedName>
    <definedName name="RANGE2">#REF!</definedName>
    <definedName name="RARQIMP" localSheetId="8">#REF!</definedName>
    <definedName name="RARQIMP" localSheetId="5">#REF!</definedName>
    <definedName name="RARQIMP" localSheetId="10">#REF!</definedName>
    <definedName name="RARQIMP" localSheetId="11">#REF!</definedName>
    <definedName name="RARQIMP" localSheetId="12">#REF!</definedName>
    <definedName name="RARQIMP">#REF!</definedName>
    <definedName name="RawData" localSheetId="8">#REF!</definedName>
    <definedName name="RawData" localSheetId="5">#REF!</definedName>
    <definedName name="RawData" localSheetId="10">#REF!</definedName>
    <definedName name="RawData" localSheetId="11">#REF!</definedName>
    <definedName name="RawData" localSheetId="12">#REF!</definedName>
    <definedName name="RawData">#REF!</definedName>
    <definedName name="RE" localSheetId="8">#REF!</definedName>
    <definedName name="RE" localSheetId="5">#REF!</definedName>
    <definedName name="RE" localSheetId="10">#REF!</definedName>
    <definedName name="RE" localSheetId="11">#REF!</definedName>
    <definedName name="RE" localSheetId="12">#REF!</definedName>
    <definedName name="RE">#REF!</definedName>
    <definedName name="RECADUC" localSheetId="8">#REF!</definedName>
    <definedName name="RECADUC" localSheetId="5">#REF!</definedName>
    <definedName name="RECADUC" localSheetId="10">#REF!</definedName>
    <definedName name="RECADUC" localSheetId="11">#REF!</definedName>
    <definedName name="RECADUC" localSheetId="12">#REF!</definedName>
    <definedName name="RECADUC">#REF!</definedName>
    <definedName name="Recebido_Acumulado_2015_Controladoria" localSheetId="8">#REF!</definedName>
    <definedName name="Recebido_Acumulado_2015_Controladoria" localSheetId="5">#REF!</definedName>
    <definedName name="Recebido_Acumulado_2015_Controladoria" localSheetId="10">#REF!</definedName>
    <definedName name="Recebido_Acumulado_2015_Controladoria" localSheetId="11">#REF!</definedName>
    <definedName name="Recebido_Acumulado_2015_Controladoria" localSheetId="12">#REF!</definedName>
    <definedName name="Recebido_Acumulado_2015_Controladoria">#REF!</definedName>
    <definedName name="RE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reforsu" localSheetId="8">#REF!</definedName>
    <definedName name="reforsu" localSheetId="5">#REF!</definedName>
    <definedName name="reforsu" localSheetId="9">#REF!</definedName>
    <definedName name="reforsu" localSheetId="10">#REF!</definedName>
    <definedName name="reforsu" localSheetId="1">#REF!</definedName>
    <definedName name="reforsu" localSheetId="0">#REF!</definedName>
    <definedName name="reforsu" localSheetId="11">#REF!</definedName>
    <definedName name="reforsu" localSheetId="12">#REF!</definedName>
    <definedName name="reforsu">#REF!</definedName>
    <definedName name="REL_RJ" localSheetId="8">#REF!</definedName>
    <definedName name="REL_RJ" localSheetId="5">#REF!</definedName>
    <definedName name="REL_RJ" localSheetId="9">#REF!</definedName>
    <definedName name="REL_RJ" localSheetId="10">#REF!</definedName>
    <definedName name="REL_RJ" localSheetId="0">#REF!</definedName>
    <definedName name="REL_RJ" localSheetId="11">#REF!</definedName>
    <definedName name="REL_RJ" localSheetId="12">#REF!</definedName>
    <definedName name="REL_RJ">#REF!</definedName>
    <definedName name="REL_SP" localSheetId="8">#REF!</definedName>
    <definedName name="REL_SP" localSheetId="5">#REF!</definedName>
    <definedName name="REL_SP" localSheetId="9">#REF!</definedName>
    <definedName name="REL_SP" localSheetId="10">#REF!</definedName>
    <definedName name="REL_SP" localSheetId="0">#REF!</definedName>
    <definedName name="REL_SP" localSheetId="11">#REF!</definedName>
    <definedName name="REL_SP" localSheetId="12">#REF!</definedName>
    <definedName name="REL_SP">#REF!</definedName>
    <definedName name="relat3" localSheetId="8">#REF!</definedName>
    <definedName name="relat3" localSheetId="5">#REF!</definedName>
    <definedName name="relat3" localSheetId="10">#REF!</definedName>
    <definedName name="relat3" localSheetId="11">#REF!</definedName>
    <definedName name="relat3" localSheetId="12">#REF!</definedName>
    <definedName name="relat3">#REF!</definedName>
    <definedName name="ren" localSheetId="8">#REF!</definedName>
    <definedName name="ren" localSheetId="5">#REF!</definedName>
    <definedName name="ren" localSheetId="10">#REF!</definedName>
    <definedName name="ren" localSheetId="1">#REF!</definedName>
    <definedName name="ren" localSheetId="11">#REF!</definedName>
    <definedName name="ren" localSheetId="12">#REF!</definedName>
    <definedName name="ren">#REF!</definedName>
    <definedName name="REPETIÇÃO" localSheetId="8">#REF!</definedName>
    <definedName name="REPETIÇÃO" localSheetId="5">#REF!</definedName>
    <definedName name="REPETIÇÃO" localSheetId="10">#REF!</definedName>
    <definedName name="REPETIÇÃO" localSheetId="11">#REF!</definedName>
    <definedName name="REPETIÇÃO" localSheetId="12">#REF!</definedName>
    <definedName name="REPETIÇÃO">#REF!</definedName>
    <definedName name="ReqC" localSheetId="8">#REF!</definedName>
    <definedName name="ReqC" localSheetId="5">#REF!</definedName>
    <definedName name="ReqC" localSheetId="10">#REF!</definedName>
    <definedName name="ReqC" localSheetId="11">#REF!</definedName>
    <definedName name="ReqC" localSheetId="12">#REF!</definedName>
    <definedName name="ReqC">#REF!</definedName>
    <definedName name="Responsável_Rel_Controladoria" localSheetId="8">#REF!</definedName>
    <definedName name="Responsável_Rel_Controladoria" localSheetId="5">#REF!</definedName>
    <definedName name="Responsável_Rel_Controladoria" localSheetId="10">#REF!</definedName>
    <definedName name="Responsável_Rel_Controladoria" localSheetId="11">#REF!</definedName>
    <definedName name="Responsável_Rel_Controladoria" localSheetId="12">#REF!</definedName>
    <definedName name="Responsável_Rel_Controladoria">#REF!</definedName>
    <definedName name="resum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O" localSheetId="8">#REF!</definedName>
    <definedName name="RESUMO" localSheetId="5">#REF!</definedName>
    <definedName name="RESUMO" localSheetId="9">#REF!</definedName>
    <definedName name="RESUMO" localSheetId="10">#REF!</definedName>
    <definedName name="RESUMO" localSheetId="0">#REF!</definedName>
    <definedName name="RESUMO" localSheetId="11">#REF!</definedName>
    <definedName name="RESUMO" localSheetId="12">#REF!</definedName>
    <definedName name="RESUMO">#REF!</definedName>
    <definedName name="RESUMO2" localSheetId="3" hidden="1">{#N/A,#N/A,TRUE,"Quinzena 01 à 15-04-98 "}</definedName>
    <definedName name="RESUMO2" localSheetId="8">{#N/A,#N/A,TRUE,"Quinzena 01 à 15-04-98 "}</definedName>
    <definedName name="RESUMO2" localSheetId="5" hidden="1">{#N/A,#N/A,TRUE,"Quinzena 01 à 15-04-98 "}</definedName>
    <definedName name="RESUMO2" localSheetId="4" hidden="1">{#N/A,#N/A,TRUE,"Quinzena 01 à 15-04-98 "}</definedName>
    <definedName name="RESUMO2" localSheetId="9">{#N/A,#N/A,TRUE,"Quinzena 01 à 15-04-98 "}</definedName>
    <definedName name="RESUMO2" localSheetId="10" hidden="1">{#N/A,#N/A,TRUE,"Quinzena 01 à 15-04-98 "}</definedName>
    <definedName name="RESUMO2" localSheetId="1" hidden="1">{#N/A,#N/A,TRUE,"Quinzena 01 à 15-04-98 "}</definedName>
    <definedName name="RESUMO2" localSheetId="0">{#N/A,#N/A,TRUE,"Quinzena 01 à 15-04-98 "}</definedName>
    <definedName name="RESUMO2" localSheetId="11" hidden="1">{#N/A,#N/A,TRUE,"Quinzena 01 à 15-04-98 "}</definedName>
    <definedName name="RESUMO2" localSheetId="12" hidden="1">{#N/A,#N/A,TRUE,"Quinzena 01 à 15-04-98 "}</definedName>
    <definedName name="RESUMO2" hidden="1">{#N/A,#N/A,TRUE,"Quinzena 01 à 15-04-98 "}</definedName>
    <definedName name="REV" localSheetId="8">#REF!</definedName>
    <definedName name="REV" localSheetId="5">#REF!</definedName>
    <definedName name="REV" localSheetId="9">#REF!</definedName>
    <definedName name="REV" localSheetId="10">#REF!</definedName>
    <definedName name="REV" localSheetId="1">#REF!</definedName>
    <definedName name="REV" localSheetId="0">#REF!</definedName>
    <definedName name="REV" localSheetId="11">#REF!</definedName>
    <definedName name="REV" localSheetId="12">#REF!</definedName>
    <definedName name="REV">#REF!</definedName>
    <definedName name="RF" localSheetId="3" hidden="1">{#N/A,#N/A,FALSE,"CCTV"}</definedName>
    <definedName name="RF" localSheetId="8">{#N/A,#N/A,FALSE,"CCTV"}</definedName>
    <definedName name="RF" localSheetId="5" hidden="1">{#N/A,#N/A,FALSE,"CCTV"}</definedName>
    <definedName name="RF" localSheetId="4" hidden="1">{#N/A,#N/A,FALSE,"CCTV"}</definedName>
    <definedName name="RF" localSheetId="9">{#N/A,#N/A,FALSE,"CCTV"}</definedName>
    <definedName name="RF" localSheetId="10" hidden="1">{#N/A,#N/A,FALSE,"CCTV"}</definedName>
    <definedName name="RF" localSheetId="1" hidden="1">{#N/A,#N/A,FALSE,"CCTV"}</definedName>
    <definedName name="RF" localSheetId="0">{#N/A,#N/A,FALSE,"CCTV"}</definedName>
    <definedName name="RF" localSheetId="11" hidden="1">{#N/A,#N/A,FALSE,"CCTV"}</definedName>
    <definedName name="RF" localSheetId="12" hidden="1">{#N/A,#N/A,FALSE,"CCTV"}</definedName>
    <definedName name="RF" hidden="1">{#N/A,#N/A,FALSE,"CCTV"}</definedName>
    <definedName name="rgedrfrgfdg" localSheetId="3" hidden="1">{#N/A,#N/A,FALSE,"Plan1";#N/A,#N/A,FALSE,"Plan2"}</definedName>
    <definedName name="rgedrfrgfdg" localSheetId="8">{#N/A,#N/A,FALSE,"Plan1";#N/A,#N/A,FALSE,"Plan2"}</definedName>
    <definedName name="rgedrfrgfdg" localSheetId="5" hidden="1">{#N/A,#N/A,FALSE,"Plan1";#N/A,#N/A,FALSE,"Plan2"}</definedName>
    <definedName name="rgedrfrgfdg" localSheetId="4" hidden="1">{#N/A,#N/A,FALSE,"Plan1";#N/A,#N/A,FALSE,"Plan2"}</definedName>
    <definedName name="rgedrfrgfdg" localSheetId="9">{#N/A,#N/A,FALSE,"Plan1";#N/A,#N/A,FALSE,"Plan2"}</definedName>
    <definedName name="rgedrfrgfdg" localSheetId="10" hidden="1">{#N/A,#N/A,FALSE,"Plan1";#N/A,#N/A,FALSE,"Plan2"}</definedName>
    <definedName name="rgedrfrgfdg" localSheetId="1" hidden="1">{#N/A,#N/A,FALSE,"Plan1";#N/A,#N/A,FALSE,"Plan2"}</definedName>
    <definedName name="rgedrfrgfdg" localSheetId="0">{#N/A,#N/A,FALSE,"Plan1";#N/A,#N/A,FALSE,"Plan2"}</definedName>
    <definedName name="rgedrfrgfdg" localSheetId="11" hidden="1">{#N/A,#N/A,FALSE,"Plan1";#N/A,#N/A,FALSE,"Plan2"}</definedName>
    <definedName name="rgedrfrgfdg" localSheetId="12" hidden="1">{#N/A,#N/A,FALSE,"Plan1";#N/A,#N/A,FALSE,"Plan2"}</definedName>
    <definedName name="rgedrfrgfdg" hidden="1">{#N/A,#N/A,FALSE,"Plan1";#N/A,#N/A,FALSE,"Plan2"}</definedName>
    <definedName name="rhdrmq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hdrmq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RI" localSheetId="8">#REF!</definedName>
    <definedName name="RI" localSheetId="5">#REF!</definedName>
    <definedName name="RI" localSheetId="9">#REF!</definedName>
    <definedName name="RI" localSheetId="10">#REF!</definedName>
    <definedName name="RI" localSheetId="0">#REF!</definedName>
    <definedName name="RI" localSheetId="11">#REF!</definedName>
    <definedName name="RI" localSheetId="12">#REF!</definedName>
    <definedName name="RI">#REF!</definedName>
    <definedName name="ridbeb" localSheetId="8">#REF!</definedName>
    <definedName name="ridbeb" localSheetId="5">#REF!</definedName>
    <definedName name="ridbeb" localSheetId="9">#REF!</definedName>
    <definedName name="ridbeb" localSheetId="10">#REF!</definedName>
    <definedName name="ridbeb" localSheetId="0">#REF!</definedName>
    <definedName name="ridbeb" localSheetId="11">#REF!</definedName>
    <definedName name="ridbeb" localSheetId="12">#REF!</definedName>
    <definedName name="ridbeb">#REF!</definedName>
    <definedName name="RIDCHAF" localSheetId="8">#REF!</definedName>
    <definedName name="RIDCHAF" localSheetId="5">#REF!</definedName>
    <definedName name="RIDCHAF" localSheetId="9">#REF!</definedName>
    <definedName name="RIDCHAF" localSheetId="10">#REF!</definedName>
    <definedName name="RIDCHAF" localSheetId="0">#REF!</definedName>
    <definedName name="RIDCHAF" localSheetId="11">#REF!</definedName>
    <definedName name="RIDCHAF" localSheetId="12">#REF!</definedName>
    <definedName name="RIDCHAF">#REF!</definedName>
    <definedName name="ridres05" localSheetId="8">#REF!</definedName>
    <definedName name="ridres05" localSheetId="5">#REF!</definedName>
    <definedName name="ridres05" localSheetId="10">#REF!</definedName>
    <definedName name="ridres05" localSheetId="11">#REF!</definedName>
    <definedName name="ridres05" localSheetId="12">#REF!</definedName>
    <definedName name="ridres05">#REF!</definedName>
    <definedName name="RIDRES10" localSheetId="8">#REF!</definedName>
    <definedName name="RIDRES10" localSheetId="5">#REF!</definedName>
    <definedName name="RIDRES10" localSheetId="10">#REF!</definedName>
    <definedName name="RIDRES10" localSheetId="11">#REF!</definedName>
    <definedName name="RIDRES10" localSheetId="12">#REF!</definedName>
    <definedName name="RIDRES10">#REF!</definedName>
    <definedName name="RIDRES15" localSheetId="8">#REF!</definedName>
    <definedName name="RIDRES15" localSheetId="5">#REF!</definedName>
    <definedName name="RIDRES15" localSheetId="10">#REF!</definedName>
    <definedName name="RIDRES15" localSheetId="11">#REF!</definedName>
    <definedName name="RIDRES15" localSheetId="12">#REF!</definedName>
    <definedName name="RIDRES15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SwapState" hidden="1">"True"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" localSheetId="8">#REF!</definedName>
    <definedName name="RO" localSheetId="5">#REF!</definedName>
    <definedName name="RO" localSheetId="9">#REF!</definedName>
    <definedName name="RO" localSheetId="10">#REF!</definedName>
    <definedName name="RO" localSheetId="0">#REF!</definedName>
    <definedName name="RO" localSheetId="11">#REF!</definedName>
    <definedName name="RO" localSheetId="12">#REF!</definedName>
    <definedName name="RO">#REF!</definedName>
    <definedName name="Rodapé" localSheetId="8">#REF!</definedName>
    <definedName name="Rodapé" localSheetId="5">#REF!</definedName>
    <definedName name="Rodapé" localSheetId="9">#REF!</definedName>
    <definedName name="Rodapé" localSheetId="10">#REF!</definedName>
    <definedName name="Rodapé" localSheetId="0">#REF!</definedName>
    <definedName name="Rodapé" localSheetId="11">#REF!</definedName>
    <definedName name="Rodapé" localSheetId="12">#REF!</definedName>
    <definedName name="Rodapé">#REF!</definedName>
    <definedName name="RODAPÉS" localSheetId="8">#REF!</definedName>
    <definedName name="RODAPÉS" localSheetId="5">#REF!</definedName>
    <definedName name="RODAPÉS" localSheetId="9">#REF!</definedName>
    <definedName name="RODAPÉS" localSheetId="10">#REF!</definedName>
    <definedName name="RODAPÉS" localSheetId="0">#REF!</definedName>
    <definedName name="RODAPÉS" localSheetId="11">#REF!</definedName>
    <definedName name="RODAPÉS" localSheetId="12">#REF!</definedName>
    <definedName name="RODAPÉS">#REF!</definedName>
    <definedName name="ROMANO" localSheetId="8">#REF!</definedName>
    <definedName name="ROMANO" localSheetId="5">#REF!</definedName>
    <definedName name="ROMANO" localSheetId="10">#REF!</definedName>
    <definedName name="ROMANO" localSheetId="11">#REF!</definedName>
    <definedName name="ROMANO" localSheetId="12">#REF!</definedName>
    <definedName name="ROMANO">#REF!</definedName>
    <definedName name="ROTCOMP" localSheetId="8">#REF!</definedName>
    <definedName name="ROTCOMP" localSheetId="5">#REF!</definedName>
    <definedName name="ROTCOMP" localSheetId="10">#REF!</definedName>
    <definedName name="ROTCOMP" localSheetId="11">#REF!</definedName>
    <definedName name="ROTCOMP" localSheetId="12">#REF!</definedName>
    <definedName name="ROTCOMP">#REF!</definedName>
    <definedName name="ROTIMP" localSheetId="8">#REF!</definedName>
    <definedName name="ROTIMP" localSheetId="5">#REF!</definedName>
    <definedName name="ROTIMP" localSheetId="10">#REF!</definedName>
    <definedName name="ROTIMP" localSheetId="11">#REF!</definedName>
    <definedName name="ROTIMP" localSheetId="12">#REF!</definedName>
    <definedName name="ROTIMP">#REF!</definedName>
    <definedName name="ROTRES" localSheetId="8">#REF!</definedName>
    <definedName name="ROTRES" localSheetId="5">#REF!</definedName>
    <definedName name="ROTRES" localSheetId="10">#REF!</definedName>
    <definedName name="ROTRES" localSheetId="11">#REF!</definedName>
    <definedName name="ROTRES" localSheetId="12">#REF!</definedName>
    <definedName name="ROTRES">#REF!</definedName>
    <definedName name="RQTADUC" localSheetId="8">#REF!</definedName>
    <definedName name="RQTADUC" localSheetId="5">#REF!</definedName>
    <definedName name="RQTADUC" localSheetId="10">#REF!</definedName>
    <definedName name="RQTADUC" localSheetId="11">#REF!</definedName>
    <definedName name="RQTADUC" localSheetId="12">#REF!</definedName>
    <definedName name="RQTADUC">#REF!</definedName>
    <definedName name="rqtbeb" localSheetId="8">#REF!</definedName>
    <definedName name="rqtbeb" localSheetId="5">#REF!</definedName>
    <definedName name="rqtbeb" localSheetId="10">#REF!</definedName>
    <definedName name="rqtbeb" localSheetId="11">#REF!</definedName>
    <definedName name="rqtbeb" localSheetId="12">#REF!</definedName>
    <definedName name="rqtbeb">#REF!</definedName>
    <definedName name="RQTCHAF" localSheetId="8">#REF!</definedName>
    <definedName name="RQTCHAF" localSheetId="5">#REF!</definedName>
    <definedName name="RQTCHAF" localSheetId="10">#REF!</definedName>
    <definedName name="RQTCHAF" localSheetId="11">#REF!</definedName>
    <definedName name="RQTCHAF" localSheetId="12">#REF!</definedName>
    <definedName name="RQTCHAF">#REF!</definedName>
    <definedName name="RQTDERV" localSheetId="8">#REF!</definedName>
    <definedName name="RQTDERV" localSheetId="5">#REF!</definedName>
    <definedName name="RQTDERV" localSheetId="10">#REF!</definedName>
    <definedName name="RQTDERV" localSheetId="11">#REF!</definedName>
    <definedName name="RQTDERV" localSheetId="12">#REF!</definedName>
    <definedName name="RQTDERV">#REF!</definedName>
    <definedName name="rres05" localSheetId="8">#REF!</definedName>
    <definedName name="rres05" localSheetId="5">#REF!</definedName>
    <definedName name="rres05" localSheetId="10">#REF!</definedName>
    <definedName name="rres05" localSheetId="11">#REF!</definedName>
    <definedName name="rres05" localSheetId="12">#REF!</definedName>
    <definedName name="rres05">#REF!</definedName>
    <definedName name="RRES10" localSheetId="8">#REF!</definedName>
    <definedName name="RRES10" localSheetId="5">#REF!</definedName>
    <definedName name="RRES10" localSheetId="10">#REF!</definedName>
    <definedName name="RRES10" localSheetId="11">#REF!</definedName>
    <definedName name="RRES10" localSheetId="12">#REF!</definedName>
    <definedName name="RRES10">#REF!</definedName>
    <definedName name="RRES15" localSheetId="8">#REF!</definedName>
    <definedName name="RRES15" localSheetId="5">#REF!</definedName>
    <definedName name="RRES15" localSheetId="10">#REF!</definedName>
    <definedName name="RRES15" localSheetId="11">#REF!</definedName>
    <definedName name="RRES15" localSheetId="12">#REF!</definedName>
    <definedName name="RRES15">#REF!</definedName>
    <definedName name="RRES20" localSheetId="8">#REF!</definedName>
    <definedName name="RRES20" localSheetId="5">#REF!</definedName>
    <definedName name="RRES20" localSheetId="10">#REF!</definedName>
    <definedName name="RRES20" localSheetId="11">#REF!</definedName>
    <definedName name="RRES20" localSheetId="12">#REF!</definedName>
    <definedName name="RRES20">#REF!</definedName>
    <definedName name="RRR" localSheetId="8">#REF!</definedName>
    <definedName name="RRR" localSheetId="1" hidden="1">#REF!</definedName>
    <definedName name="RRR" hidden="1">#REF!</definedName>
    <definedName name="rrrrr" localSheetId="3" hidden="1">{"'장비'!$A$3:$M$12"}</definedName>
    <definedName name="rrrrr" localSheetId="8">{"'장비'!$A$3:$M$12"}</definedName>
    <definedName name="rrrrr" localSheetId="5" hidden="1">{"'장비'!$A$3:$M$12"}</definedName>
    <definedName name="rrrrr" localSheetId="4" hidden="1">{"'장비'!$A$3:$M$12"}</definedName>
    <definedName name="rrrrr" localSheetId="9">{"'장비'!$A$3:$M$12"}</definedName>
    <definedName name="rrrrr" localSheetId="10" hidden="1">{"'장비'!$A$3:$M$12"}</definedName>
    <definedName name="rrrrr" localSheetId="1" hidden="1">{"'장비'!$A$3:$M$12"}</definedName>
    <definedName name="rrrrr" localSheetId="0">{"'장비'!$A$3:$M$12"}</definedName>
    <definedName name="rrrrr" localSheetId="11" hidden="1">{"'장비'!$A$3:$M$12"}</definedName>
    <definedName name="rrrrr" localSheetId="12" hidden="1">{"'장비'!$A$3:$M$12"}</definedName>
    <definedName name="rrrrr" hidden="1">{"'장비'!$A$3:$M$12"}</definedName>
    <definedName name="rrrrrrrr" localSheetId="3" hidden="1">{"'장비'!$A$3:$M$12"}</definedName>
    <definedName name="rrrrrrrr" localSheetId="8">{"'장비'!$A$3:$M$12"}</definedName>
    <definedName name="rrrrrrrr" localSheetId="5" hidden="1">{"'장비'!$A$3:$M$12"}</definedName>
    <definedName name="rrrrrrrr" localSheetId="4" hidden="1">{"'장비'!$A$3:$M$12"}</definedName>
    <definedName name="rrrrrrrr" localSheetId="9">{"'장비'!$A$3:$M$12"}</definedName>
    <definedName name="rrrrrrrr" localSheetId="10" hidden="1">{"'장비'!$A$3:$M$12"}</definedName>
    <definedName name="rrrrrrrr" localSheetId="1" hidden="1">{"'장비'!$A$3:$M$12"}</definedName>
    <definedName name="rrrrrrrr" localSheetId="0">{"'장비'!$A$3:$M$12"}</definedName>
    <definedName name="rrrrrrrr" localSheetId="11" hidden="1">{"'장비'!$A$3:$M$12"}</definedName>
    <definedName name="rrrrrrrr" localSheetId="12" hidden="1">{"'장비'!$A$3:$M$12"}</definedName>
    <definedName name="rrrrrrrr" hidden="1">{"'장비'!$A$3:$M$12"}</definedName>
    <definedName name="rrrrrrrrrrr" localSheetId="3" hidden="1">{#N/A,#N/A,TRUE,"Quinzena 01 à 15-04-98 "}</definedName>
    <definedName name="rrrrrrrrrrr" localSheetId="8">{#N/A,#N/A,TRUE,"Quinzena 01 à 15-04-98 "}</definedName>
    <definedName name="rrrrrrrrrrr" localSheetId="5" hidden="1">{#N/A,#N/A,TRUE,"Quinzena 01 à 15-04-98 "}</definedName>
    <definedName name="rrrrrrrrrrr" localSheetId="4" hidden="1">{#N/A,#N/A,TRUE,"Quinzena 01 à 15-04-98 "}</definedName>
    <definedName name="rrrrrrrrrrr" localSheetId="9">{#N/A,#N/A,TRUE,"Quinzena 01 à 15-04-98 "}</definedName>
    <definedName name="rrrrrrrrrrr" localSheetId="10" hidden="1">{#N/A,#N/A,TRUE,"Quinzena 01 à 15-04-98 "}</definedName>
    <definedName name="rrrrrrrrrrr" localSheetId="1" hidden="1">{#N/A,#N/A,TRUE,"Quinzena 01 à 15-04-98 "}</definedName>
    <definedName name="rrrrrrrrrrr" localSheetId="0">{#N/A,#N/A,TRUE,"Quinzena 01 à 15-04-98 "}</definedName>
    <definedName name="rrrrrrrrrrr" localSheetId="11" hidden="1">{#N/A,#N/A,TRUE,"Quinzena 01 à 15-04-98 "}</definedName>
    <definedName name="rrrrrrrrrrr" localSheetId="12" hidden="1">{#N/A,#N/A,TRUE,"Quinzena 01 à 15-04-98 "}</definedName>
    <definedName name="rrrrrrrrrrr" hidden="1">{#N/A,#N/A,TRUE,"Quinzena 01 à 15-04-98 "}</definedName>
    <definedName name="RSEQ" localSheetId="8">#REF!</definedName>
    <definedName name="RSEQ" localSheetId="5">#REF!</definedName>
    <definedName name="RSEQ" localSheetId="9">#REF!</definedName>
    <definedName name="RSEQ" localSheetId="10">#REF!</definedName>
    <definedName name="RSEQ" localSheetId="0">#REF!</definedName>
    <definedName name="RSEQ" localSheetId="11">#REF!</definedName>
    <definedName name="RSEQ" localSheetId="12">#REF!</definedName>
    <definedName name="RSEQ">#REF!</definedName>
    <definedName name="RSUBTOT" localSheetId="8">#REF!</definedName>
    <definedName name="RSUBTOT" localSheetId="5">#REF!</definedName>
    <definedName name="RSUBTOT" localSheetId="9">#REF!</definedName>
    <definedName name="RSUBTOT" localSheetId="10">#REF!</definedName>
    <definedName name="RSUBTOT" localSheetId="0">#REF!</definedName>
    <definedName name="RSUBTOT" localSheetId="11">#REF!</definedName>
    <definedName name="RSUBTOT" localSheetId="12">#REF!</definedName>
    <definedName name="RSUBTOT">#REF!</definedName>
    <definedName name="rtitbeb" localSheetId="8">#REF!</definedName>
    <definedName name="rtitbeb" localSheetId="5">#REF!</definedName>
    <definedName name="rtitbeb" localSheetId="9">#REF!</definedName>
    <definedName name="rtitbeb" localSheetId="10">#REF!</definedName>
    <definedName name="rtitbeb" localSheetId="0">#REF!</definedName>
    <definedName name="rtitbeb" localSheetId="11">#REF!</definedName>
    <definedName name="rtitbeb" localSheetId="12">#REF!</definedName>
    <definedName name="rtitbeb">#REF!</definedName>
    <definedName name="RTITCHAF" localSheetId="8">#REF!</definedName>
    <definedName name="RTITCHAF" localSheetId="5">#REF!</definedName>
    <definedName name="RTITCHAF" localSheetId="10">#REF!</definedName>
    <definedName name="RTITCHAF" localSheetId="11">#REF!</definedName>
    <definedName name="RTITCHAF" localSheetId="12">#REF!</definedName>
    <definedName name="RTITCHAF">#REF!</definedName>
    <definedName name="rtubos" localSheetId="8">#REF!</definedName>
    <definedName name="rtubos" localSheetId="5">#REF!</definedName>
    <definedName name="rtubos" localSheetId="10">#REF!</definedName>
    <definedName name="rtubos" localSheetId="11">#REF!</definedName>
    <definedName name="rtubos" localSheetId="12">#REF!</definedName>
    <definedName name="rtubos">#REF!</definedName>
    <definedName name="RTYE" localSheetId="3" hidden="1">{"'장비'!$A$3:$M$12"}</definedName>
    <definedName name="RTYE" localSheetId="8">{"'장비'!$A$3:$M$12"}</definedName>
    <definedName name="RTYE" localSheetId="5" hidden="1">{"'장비'!$A$3:$M$12"}</definedName>
    <definedName name="RTYE" localSheetId="4" hidden="1">{"'장비'!$A$3:$M$12"}</definedName>
    <definedName name="RTYE" localSheetId="9">{"'장비'!$A$3:$M$12"}</definedName>
    <definedName name="RTYE" localSheetId="10" hidden="1">{"'장비'!$A$3:$M$12"}</definedName>
    <definedName name="RTYE" localSheetId="1" hidden="1">{"'장비'!$A$3:$M$12"}</definedName>
    <definedName name="RTYE" localSheetId="0">{"'장비'!$A$3:$M$12"}</definedName>
    <definedName name="RTYE" localSheetId="11" hidden="1">{"'장비'!$A$3:$M$12"}</definedName>
    <definedName name="RTYE" localSheetId="12" hidden="1">{"'장비'!$A$3:$M$12"}</definedName>
    <definedName name="RTYE" hidden="1">{"'장비'!$A$3:$M$12"}</definedName>
    <definedName name="s" localSheetId="8">#REF!</definedName>
    <definedName name="s" localSheetId="5">#REF!</definedName>
    <definedName name="s" localSheetId="10">#REF!</definedName>
    <definedName name="s" localSheetId="11">#REF!</definedName>
    <definedName name="s" localSheetId="12">#REF!</definedName>
    <definedName name="s">#REF!</definedName>
    <definedName name="sa" localSheetId="3">#REF!</definedName>
    <definedName name="sa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4">#REF!</definedName>
    <definedName name="sa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0">#REF!</definedName>
    <definedName name="sa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" localSheetId="11">#REF!</definedName>
    <definedName name="sa" localSheetId="12">#REF!</definedName>
    <definedName name="sa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aa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asd" localSheetId="3" hidden="1">{#N/A,#N/A,FALSE,"Plan1";#N/A,#N/A,FALSE,"Plan2"}</definedName>
    <definedName name="sadasd" localSheetId="8">{#N/A,#N/A,FALSE,"Plan1";#N/A,#N/A,FALSE,"Plan2"}</definedName>
    <definedName name="sadasd" localSheetId="5" hidden="1">{#N/A,#N/A,FALSE,"Plan1";#N/A,#N/A,FALSE,"Plan2"}</definedName>
    <definedName name="sadasd" localSheetId="4" hidden="1">{#N/A,#N/A,FALSE,"Plan1";#N/A,#N/A,FALSE,"Plan2"}</definedName>
    <definedName name="sadasd" localSheetId="9">{#N/A,#N/A,FALSE,"Plan1";#N/A,#N/A,FALSE,"Plan2"}</definedName>
    <definedName name="sadasd" localSheetId="10" hidden="1">{#N/A,#N/A,FALSE,"Plan1";#N/A,#N/A,FALSE,"Plan2"}</definedName>
    <definedName name="sadasd" localSheetId="1" hidden="1">{#N/A,#N/A,FALSE,"Plan1";#N/A,#N/A,FALSE,"Plan2"}</definedName>
    <definedName name="sadasd" localSheetId="0">{#N/A,#N/A,FALSE,"Plan1";#N/A,#N/A,FALSE,"Plan2"}</definedName>
    <definedName name="sadasd" localSheetId="11" hidden="1">{#N/A,#N/A,FALSE,"Plan1";#N/A,#N/A,FALSE,"Plan2"}</definedName>
    <definedName name="sadasd" localSheetId="12" hidden="1">{#N/A,#N/A,FALSE,"Plan1";#N/A,#N/A,FALSE,"Plan2"}</definedName>
    <definedName name="sadasd" hidden="1">{#N/A,#N/A,FALSE,"Plan1";#N/A,#N/A,FALSE,"Plan2"}</definedName>
    <definedName name="sadke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e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adkrjkedft" localSheetId="3" hidden="1">{#N/A,#N/A,FALSE,"Plan1";#N/A,#N/A,FALSE,"Plan2"}</definedName>
    <definedName name="sadkrjkedft" localSheetId="8">{#N/A,#N/A,FALSE,"Plan1";#N/A,#N/A,FALSE,"Plan2"}</definedName>
    <definedName name="sadkrjkedft" localSheetId="5" hidden="1">{#N/A,#N/A,FALSE,"Plan1";#N/A,#N/A,FALSE,"Plan2"}</definedName>
    <definedName name="sadkrjkedft" localSheetId="4" hidden="1">{#N/A,#N/A,FALSE,"Plan1";#N/A,#N/A,FALSE,"Plan2"}</definedName>
    <definedName name="sadkrjkedft" localSheetId="9">{#N/A,#N/A,FALSE,"Plan1";#N/A,#N/A,FALSE,"Plan2"}</definedName>
    <definedName name="sadkrjkedft" localSheetId="10" hidden="1">{#N/A,#N/A,FALSE,"Plan1";#N/A,#N/A,FALSE,"Plan2"}</definedName>
    <definedName name="sadkrjkedft" localSheetId="1" hidden="1">{#N/A,#N/A,FALSE,"Plan1";#N/A,#N/A,FALSE,"Plan2"}</definedName>
    <definedName name="sadkrjkedft" localSheetId="0">{#N/A,#N/A,FALSE,"Plan1";#N/A,#N/A,FALSE,"Plan2"}</definedName>
    <definedName name="sadkrjkedft" localSheetId="11" hidden="1">{#N/A,#N/A,FALSE,"Plan1";#N/A,#N/A,FALSE,"Plan2"}</definedName>
    <definedName name="sadkrjkedft" localSheetId="12" hidden="1">{#N/A,#N/A,FALSE,"Plan1";#N/A,#N/A,FALSE,"Plan2"}</definedName>
    <definedName name="sadkrjkedft" hidden="1">{#N/A,#N/A,FALSE,"Plan1";#N/A,#N/A,FALSE,"Plan2"}</definedName>
    <definedName name="SADSRTR" localSheetId="3" hidden="1">{#N/A,#N/A,FALSE,"Plan1";#N/A,#N/A,FALSE,"Plan2"}</definedName>
    <definedName name="SADSRTR" localSheetId="8">{#N/A,#N/A,FALSE,"Plan1";#N/A,#N/A,FALSE,"Plan2"}</definedName>
    <definedName name="SADSRTR" localSheetId="5" hidden="1">{#N/A,#N/A,FALSE,"Plan1";#N/A,#N/A,FALSE,"Plan2"}</definedName>
    <definedName name="SADSRTR" localSheetId="4" hidden="1">{#N/A,#N/A,FALSE,"Plan1";#N/A,#N/A,FALSE,"Plan2"}</definedName>
    <definedName name="SADSRTR" localSheetId="9">{#N/A,#N/A,FALSE,"Plan1";#N/A,#N/A,FALSE,"Plan2"}</definedName>
    <definedName name="SADSRTR" localSheetId="10" hidden="1">{#N/A,#N/A,FALSE,"Plan1";#N/A,#N/A,FALSE,"Plan2"}</definedName>
    <definedName name="SADSRTR" localSheetId="1" hidden="1">{#N/A,#N/A,FALSE,"Plan1";#N/A,#N/A,FALSE,"Plan2"}</definedName>
    <definedName name="SADSRTR" localSheetId="0">{#N/A,#N/A,FALSE,"Plan1";#N/A,#N/A,FALSE,"Plan2"}</definedName>
    <definedName name="SADSRTR" localSheetId="11" hidden="1">{#N/A,#N/A,FALSE,"Plan1";#N/A,#N/A,FALSE,"Plan2"}</definedName>
    <definedName name="SADSRTR" localSheetId="12" hidden="1">{#N/A,#N/A,FALSE,"Plan1";#N/A,#N/A,FALSE,"Plan2"}</definedName>
    <definedName name="SADSRTR" hidden="1">{#N/A,#N/A,FALSE,"Plan1";#N/A,#N/A,FALSE,"Plan2"}</definedName>
    <definedName name="sadwde" localSheetId="3" hidden="1">{#N/A,#N/A,FALSE,"Plan1";#N/A,#N/A,FALSE,"Plan2"}</definedName>
    <definedName name="sadwde" localSheetId="8">{#N/A,#N/A,FALSE,"Plan1";#N/A,#N/A,FALSE,"Plan2"}</definedName>
    <definedName name="sadwde" localSheetId="5" hidden="1">{#N/A,#N/A,FALSE,"Plan1";#N/A,#N/A,FALSE,"Plan2"}</definedName>
    <definedName name="sadwde" localSheetId="4" hidden="1">{#N/A,#N/A,FALSE,"Plan1";#N/A,#N/A,FALSE,"Plan2"}</definedName>
    <definedName name="sadwde" localSheetId="9">{#N/A,#N/A,FALSE,"Plan1";#N/A,#N/A,FALSE,"Plan2"}</definedName>
    <definedName name="sadwde" localSheetId="10" hidden="1">{#N/A,#N/A,FALSE,"Plan1";#N/A,#N/A,FALSE,"Plan2"}</definedName>
    <definedName name="sadwde" localSheetId="1" hidden="1">{#N/A,#N/A,FALSE,"Plan1";#N/A,#N/A,FALSE,"Plan2"}</definedName>
    <definedName name="sadwde" localSheetId="0">{#N/A,#N/A,FALSE,"Plan1";#N/A,#N/A,FALSE,"Plan2"}</definedName>
    <definedName name="sadwde" localSheetId="11" hidden="1">{#N/A,#N/A,FALSE,"Plan1";#N/A,#N/A,FALSE,"Plan2"}</definedName>
    <definedName name="sadwde" localSheetId="12" hidden="1">{#N/A,#N/A,FALSE,"Plan1";#N/A,#N/A,FALSE,"Plan2"}</definedName>
    <definedName name="sadwde" hidden="1">{#N/A,#N/A,FALSE,"Plan1";#N/A,#N/A,FALSE,"Plan2"}</definedName>
    <definedName name="Salas" localSheetId="8">#REF!</definedName>
    <definedName name="Salas" localSheetId="5">#REF!</definedName>
    <definedName name="Salas" localSheetId="9">#REF!</definedName>
    <definedName name="Salas" localSheetId="10">#REF!</definedName>
    <definedName name="Salas" localSheetId="0">#REF!</definedName>
    <definedName name="Salas" localSheetId="11">#REF!</definedName>
    <definedName name="Salas" localSheetId="12">#REF!</definedName>
    <definedName name="Salas">#REF!</definedName>
    <definedName name="sanjay" localSheetId="3" hidden="1">{#N/A,#N/A,FALSE,"TABLE"}</definedName>
    <definedName name="sanjay" localSheetId="8">{#N/A,#N/A,FALSE,"TABLE"}</definedName>
    <definedName name="sanjay" localSheetId="5" hidden="1">{#N/A,#N/A,FALSE,"TABLE"}</definedName>
    <definedName name="sanjay" localSheetId="4" hidden="1">{#N/A,#N/A,FALSE,"TABLE"}</definedName>
    <definedName name="sanjay" localSheetId="9">{#N/A,#N/A,FALSE,"TABLE"}</definedName>
    <definedName name="sanjay" localSheetId="10" hidden="1">{#N/A,#N/A,FALSE,"TABLE"}</definedName>
    <definedName name="sanjay" localSheetId="1" hidden="1">{#N/A,#N/A,FALSE,"TABLE"}</definedName>
    <definedName name="sanjay" localSheetId="0">{#N/A,#N/A,FALSE,"TABLE"}</definedName>
    <definedName name="sanjay" localSheetId="11" hidden="1">{#N/A,#N/A,FALSE,"TABLE"}</definedName>
    <definedName name="sanjay" localSheetId="12" hidden="1">{#N/A,#N/A,FALSE,"TABLE"}</definedName>
    <definedName name="sanjay" hidden="1">{#N/A,#N/A,FALSE,"TABLE"}</definedName>
    <definedName name="sapata" localSheetId="8">#REF!</definedName>
    <definedName name="sapata" localSheetId="5">#REF!</definedName>
    <definedName name="sapata" localSheetId="9">#REF!</definedName>
    <definedName name="sapata" localSheetId="10">#REF!</definedName>
    <definedName name="sapata" localSheetId="0">#REF!</definedName>
    <definedName name="sapata" localSheetId="11">#REF!</definedName>
    <definedName name="sapata" localSheetId="12">#REF!</definedName>
    <definedName name="sapata">#REF!</definedName>
    <definedName name="SAPBEXrevision" hidden="1">14</definedName>
    <definedName name="SAPBEXsysID" hidden="1">"BW3"</definedName>
    <definedName name="SAPBEXwbID" hidden="1">"3SO04G3IWYENSZLK6QOKKYLB2"</definedName>
    <definedName name="SAS" localSheetId="3" hidden="1">{#N/A,#N/A,FALSE,"Plan1";#N/A,#N/A,FALSE,"Plan2"}</definedName>
    <definedName name="SAS" localSheetId="8">{#N/A,#N/A,FALSE,"Plan1";#N/A,#N/A,FALSE,"Plan2"}</definedName>
    <definedName name="SAS" localSheetId="5" hidden="1">{#N/A,#N/A,FALSE,"Plan1";#N/A,#N/A,FALSE,"Plan2"}</definedName>
    <definedName name="SAS" localSheetId="4" hidden="1">{#N/A,#N/A,FALSE,"Plan1";#N/A,#N/A,FALSE,"Plan2"}</definedName>
    <definedName name="SAS" localSheetId="9">{#N/A,#N/A,FALSE,"Plan1";#N/A,#N/A,FALSE,"Plan2"}</definedName>
    <definedName name="SAS" localSheetId="10" hidden="1">{#N/A,#N/A,FALSE,"Plan1";#N/A,#N/A,FALSE,"Plan2"}</definedName>
    <definedName name="SAS" localSheetId="1" hidden="1">{#N/A,#N/A,FALSE,"Plan1";#N/A,#N/A,FALSE,"Plan2"}</definedName>
    <definedName name="SAS" localSheetId="0">{#N/A,#N/A,FALSE,"Plan1";#N/A,#N/A,FALSE,"Plan2"}</definedName>
    <definedName name="SAS" localSheetId="11" hidden="1">{#N/A,#N/A,FALSE,"Plan1";#N/A,#N/A,FALSE,"Plan2"}</definedName>
    <definedName name="SAS" localSheetId="12" hidden="1">{#N/A,#N/A,FALSE,"Plan1";#N/A,#N/A,FALSE,"Plan2"}</definedName>
    <definedName name="SAS" hidden="1">{#N/A,#N/A,FALSE,"Plan1";#N/A,#N/A,FALSE,"Plan2"}</definedName>
    <definedName name="sasads" localSheetId="3" hidden="1">{#N/A,#N/A,FALSE,"Plan1";#N/A,#N/A,FALSE,"Plan2"}</definedName>
    <definedName name="sasads" localSheetId="8">{#N/A,#N/A,FALSE,"Plan1";#N/A,#N/A,FALSE,"Plan2"}</definedName>
    <definedName name="sasads" localSheetId="5" hidden="1">{#N/A,#N/A,FALSE,"Plan1";#N/A,#N/A,FALSE,"Plan2"}</definedName>
    <definedName name="sasads" localSheetId="4" hidden="1">{#N/A,#N/A,FALSE,"Plan1";#N/A,#N/A,FALSE,"Plan2"}</definedName>
    <definedName name="sasads" localSheetId="9">{#N/A,#N/A,FALSE,"Plan1";#N/A,#N/A,FALSE,"Plan2"}</definedName>
    <definedName name="sasads" localSheetId="10" hidden="1">{#N/A,#N/A,FALSE,"Plan1";#N/A,#N/A,FALSE,"Plan2"}</definedName>
    <definedName name="sasads" localSheetId="1" hidden="1">{#N/A,#N/A,FALSE,"Plan1";#N/A,#N/A,FALSE,"Plan2"}</definedName>
    <definedName name="sasads" localSheetId="0">{#N/A,#N/A,FALSE,"Plan1";#N/A,#N/A,FALSE,"Plan2"}</definedName>
    <definedName name="sasads" localSheetId="11" hidden="1">{#N/A,#N/A,FALSE,"Plan1";#N/A,#N/A,FALSE,"Plan2"}</definedName>
    <definedName name="sasads" localSheetId="12" hidden="1">{#N/A,#N/A,FALSE,"Plan1";#N/A,#N/A,FALSE,"Plan2"}</definedName>
    <definedName name="sasads" hidden="1">{#N/A,#N/A,FALSE,"Plan1";#N/A,#N/A,FALSE,"Plan2"}</definedName>
    <definedName name="SC" localSheetId="8">#REF!</definedName>
    <definedName name="SC" localSheetId="5" hidden="1">#REF!</definedName>
    <definedName name="SC" localSheetId="9">#REF!</definedName>
    <definedName name="SC" localSheetId="10" hidden="1">#REF!</definedName>
    <definedName name="SC" localSheetId="1" hidden="1">#REF!</definedName>
    <definedName name="SC" localSheetId="0">#REF!</definedName>
    <definedName name="SC" localSheetId="11" hidden="1">#REF!</definedName>
    <definedName name="SC" localSheetId="12" hidden="1">#REF!</definedName>
    <definedName name="SC" hidden="1">#REF!</definedName>
    <definedName name="sçadldfsfd" hidden="1">25</definedName>
    <definedName name="sda" localSheetId="8">#REF!</definedName>
    <definedName name="sda" localSheetId="5">#REF!</definedName>
    <definedName name="sda" localSheetId="9">#REF!</definedName>
    <definedName name="sda" localSheetId="10">#REF!</definedName>
    <definedName name="sda" localSheetId="0">#REF!</definedName>
    <definedName name="sda" localSheetId="11">#REF!</definedName>
    <definedName name="sda" localSheetId="12">#REF!</definedName>
    <definedName name="sda">#REF!</definedName>
    <definedName name="sda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AOTGFR" localSheetId="3" hidden="1">{#N/A,#N/A,FALSE,"Plan1";#N/A,#N/A,FALSE,"Plan2"}</definedName>
    <definedName name="SDAOTGFR" localSheetId="8">{#N/A,#N/A,FALSE,"Plan1";#N/A,#N/A,FALSE,"Plan2"}</definedName>
    <definedName name="SDAOTGFR" localSheetId="5" hidden="1">{#N/A,#N/A,FALSE,"Plan1";#N/A,#N/A,FALSE,"Plan2"}</definedName>
    <definedName name="SDAOTGFR" localSheetId="4" hidden="1">{#N/A,#N/A,FALSE,"Plan1";#N/A,#N/A,FALSE,"Plan2"}</definedName>
    <definedName name="SDAOTGFR" localSheetId="9">{#N/A,#N/A,FALSE,"Plan1";#N/A,#N/A,FALSE,"Plan2"}</definedName>
    <definedName name="SDAOTGFR" localSheetId="10" hidden="1">{#N/A,#N/A,FALSE,"Plan1";#N/A,#N/A,FALSE,"Plan2"}</definedName>
    <definedName name="SDAOTGFR" localSheetId="1" hidden="1">{#N/A,#N/A,FALSE,"Plan1";#N/A,#N/A,FALSE,"Plan2"}</definedName>
    <definedName name="SDAOTGFR" localSheetId="0">{#N/A,#N/A,FALSE,"Plan1";#N/A,#N/A,FALSE,"Plan2"}</definedName>
    <definedName name="SDAOTGFR" localSheetId="11" hidden="1">{#N/A,#N/A,FALSE,"Plan1";#N/A,#N/A,FALSE,"Plan2"}</definedName>
    <definedName name="SDAOTGFR" localSheetId="12" hidden="1">{#N/A,#N/A,FALSE,"Plan1";#N/A,#N/A,FALSE,"Plan2"}</definedName>
    <definedName name="SDAOTGFR" hidden="1">{#N/A,#N/A,FALSE,"Plan1";#N/A,#N/A,FALSE,"Plan2"}</definedName>
    <definedName name="sdckd" localSheetId="3" hidden="1">{#N/A,#N/A,FALSE,"Plan1";#N/A,#N/A,FALSE,"Plan2"}</definedName>
    <definedName name="sdckd" localSheetId="8">{#N/A,#N/A,FALSE,"Plan1";#N/A,#N/A,FALSE,"Plan2"}</definedName>
    <definedName name="sdckd" localSheetId="5" hidden="1">{#N/A,#N/A,FALSE,"Plan1";#N/A,#N/A,FALSE,"Plan2"}</definedName>
    <definedName name="sdckd" localSheetId="4" hidden="1">{#N/A,#N/A,FALSE,"Plan1";#N/A,#N/A,FALSE,"Plan2"}</definedName>
    <definedName name="sdckd" localSheetId="9">{#N/A,#N/A,FALSE,"Plan1";#N/A,#N/A,FALSE,"Plan2"}</definedName>
    <definedName name="sdckd" localSheetId="10" hidden="1">{#N/A,#N/A,FALSE,"Plan1";#N/A,#N/A,FALSE,"Plan2"}</definedName>
    <definedName name="sdckd" localSheetId="1" hidden="1">{#N/A,#N/A,FALSE,"Plan1";#N/A,#N/A,FALSE,"Plan2"}</definedName>
    <definedName name="sdckd" localSheetId="0">{#N/A,#N/A,FALSE,"Plan1";#N/A,#N/A,FALSE,"Plan2"}</definedName>
    <definedName name="sdckd" localSheetId="11" hidden="1">{#N/A,#N/A,FALSE,"Plan1";#N/A,#N/A,FALSE,"Plan2"}</definedName>
    <definedName name="sdckd" localSheetId="12" hidden="1">{#N/A,#N/A,FALSE,"Plan1";#N/A,#N/A,FALSE,"Plan2"}</definedName>
    <definedName name="sdckd" hidden="1">{#N/A,#N/A,FALSE,"Plan1";#N/A,#N/A,FALSE,"Plan2"}</definedName>
    <definedName name="SDDFKSEDE" localSheetId="3" hidden="1">{#N/A,#N/A,FALSE,"Plan1";#N/A,#N/A,FALSE,"Plan2"}</definedName>
    <definedName name="SDDFKSEDE" localSheetId="8">{#N/A,#N/A,FALSE,"Plan1";#N/A,#N/A,FALSE,"Plan2"}</definedName>
    <definedName name="SDDFKSEDE" localSheetId="5" hidden="1">{#N/A,#N/A,FALSE,"Plan1";#N/A,#N/A,FALSE,"Plan2"}</definedName>
    <definedName name="SDDFKSEDE" localSheetId="4" hidden="1">{#N/A,#N/A,FALSE,"Plan1";#N/A,#N/A,FALSE,"Plan2"}</definedName>
    <definedName name="SDDFKSEDE" localSheetId="9">{#N/A,#N/A,FALSE,"Plan1";#N/A,#N/A,FALSE,"Plan2"}</definedName>
    <definedName name="SDDFKSEDE" localSheetId="10" hidden="1">{#N/A,#N/A,FALSE,"Plan1";#N/A,#N/A,FALSE,"Plan2"}</definedName>
    <definedName name="SDDFKSEDE" localSheetId="1" hidden="1">{#N/A,#N/A,FALSE,"Plan1";#N/A,#N/A,FALSE,"Plan2"}</definedName>
    <definedName name="SDDFKSEDE" localSheetId="0">{#N/A,#N/A,FALSE,"Plan1";#N/A,#N/A,FALSE,"Plan2"}</definedName>
    <definedName name="SDDFKSEDE" localSheetId="11" hidden="1">{#N/A,#N/A,FALSE,"Plan1";#N/A,#N/A,FALSE,"Plan2"}</definedName>
    <definedName name="SDDFKSEDE" localSheetId="12" hidden="1">{#N/A,#N/A,FALSE,"Plan1";#N/A,#N/A,FALSE,"Plan2"}</definedName>
    <definedName name="SDDFKSEDE" hidden="1">{#N/A,#N/A,FALSE,"Plan1";#N/A,#N/A,FALSE,"Plan2"}</definedName>
    <definedName name="sddkslker" localSheetId="3" hidden="1">{#N/A,#N/A,FALSE,"Plan1";#N/A,#N/A,FALSE,"Plan2"}</definedName>
    <definedName name="sddkslker" localSheetId="8">{#N/A,#N/A,FALSE,"Plan1";#N/A,#N/A,FALSE,"Plan2"}</definedName>
    <definedName name="sddkslker" localSheetId="5" hidden="1">{#N/A,#N/A,FALSE,"Plan1";#N/A,#N/A,FALSE,"Plan2"}</definedName>
    <definedName name="sddkslker" localSheetId="4" hidden="1">{#N/A,#N/A,FALSE,"Plan1";#N/A,#N/A,FALSE,"Plan2"}</definedName>
    <definedName name="sddkslker" localSheetId="9">{#N/A,#N/A,FALSE,"Plan1";#N/A,#N/A,FALSE,"Plan2"}</definedName>
    <definedName name="sddkslker" localSheetId="10" hidden="1">{#N/A,#N/A,FALSE,"Plan1";#N/A,#N/A,FALSE,"Plan2"}</definedName>
    <definedName name="sddkslker" localSheetId="1" hidden="1">{#N/A,#N/A,FALSE,"Plan1";#N/A,#N/A,FALSE,"Plan2"}</definedName>
    <definedName name="sddkslker" localSheetId="0">{#N/A,#N/A,FALSE,"Plan1";#N/A,#N/A,FALSE,"Plan2"}</definedName>
    <definedName name="sddkslker" localSheetId="11" hidden="1">{#N/A,#N/A,FALSE,"Plan1";#N/A,#N/A,FALSE,"Plan2"}</definedName>
    <definedName name="sddkslker" localSheetId="12" hidden="1">{#N/A,#N/A,FALSE,"Plan1";#N/A,#N/A,FALSE,"Plan2"}</definedName>
    <definedName name="sddkslker" hidden="1">{#N/A,#N/A,FALSE,"Plan1";#N/A,#N/A,FALSE,"Plan2"}</definedName>
    <definedName name="sdefr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fr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ert" localSheetId="8">#REF!</definedName>
    <definedName name="sdert" localSheetId="5" hidden="1">#REF!</definedName>
    <definedName name="sdert" localSheetId="9">#REF!</definedName>
    <definedName name="sdert" localSheetId="10" hidden="1">#REF!</definedName>
    <definedName name="sdert" localSheetId="1" hidden="1">#REF!</definedName>
    <definedName name="sdert" localSheetId="0">#REF!</definedName>
    <definedName name="sdert" localSheetId="11" hidden="1">#REF!</definedName>
    <definedName name="sdert" localSheetId="12" hidden="1">#REF!</definedName>
    <definedName name="sdert" hidden="1">#REF!</definedName>
    <definedName name="sd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ds" localSheetId="3" hidden="1">{#N/A,#N/A,FALSE,"Plan1";#N/A,#N/A,FALSE,"Plan2"}</definedName>
    <definedName name="sdfdds" localSheetId="8">{#N/A,#N/A,FALSE,"Plan1";#N/A,#N/A,FALSE,"Plan2"}</definedName>
    <definedName name="sdfdds" localSheetId="5" hidden="1">{#N/A,#N/A,FALSE,"Plan1";#N/A,#N/A,FALSE,"Plan2"}</definedName>
    <definedName name="sdfdds" localSheetId="4" hidden="1">{#N/A,#N/A,FALSE,"Plan1";#N/A,#N/A,FALSE,"Plan2"}</definedName>
    <definedName name="sdfdds" localSheetId="9">{#N/A,#N/A,FALSE,"Plan1";#N/A,#N/A,FALSE,"Plan2"}</definedName>
    <definedName name="sdfdds" localSheetId="10" hidden="1">{#N/A,#N/A,FALSE,"Plan1";#N/A,#N/A,FALSE,"Plan2"}</definedName>
    <definedName name="sdfdds" localSheetId="1" hidden="1">{#N/A,#N/A,FALSE,"Plan1";#N/A,#N/A,FALSE,"Plan2"}</definedName>
    <definedName name="sdfdds" localSheetId="0">{#N/A,#N/A,FALSE,"Plan1";#N/A,#N/A,FALSE,"Plan2"}</definedName>
    <definedName name="sdfdds" localSheetId="11" hidden="1">{#N/A,#N/A,FALSE,"Plan1";#N/A,#N/A,FALSE,"Plan2"}</definedName>
    <definedName name="sdfdds" localSheetId="12" hidden="1">{#N/A,#N/A,FALSE,"Plan1";#N/A,#N/A,FALSE,"Plan2"}</definedName>
    <definedName name="sdfdds" hidden="1">{#N/A,#N/A,FALSE,"Plan1";#N/A,#N/A,FALSE,"Plan2"}</definedName>
    <definedName name="sdfdfc" localSheetId="3" hidden="1">{#N/A,#N/A,FALSE,"Plan1";#N/A,#N/A,FALSE,"Plan2"}</definedName>
    <definedName name="sdfdfc" localSheetId="8">{#N/A,#N/A,FALSE,"Plan1";#N/A,#N/A,FALSE,"Plan2"}</definedName>
    <definedName name="sdfdfc" localSheetId="5" hidden="1">{#N/A,#N/A,FALSE,"Plan1";#N/A,#N/A,FALSE,"Plan2"}</definedName>
    <definedName name="sdfdfc" localSheetId="4" hidden="1">{#N/A,#N/A,FALSE,"Plan1";#N/A,#N/A,FALSE,"Plan2"}</definedName>
    <definedName name="sdfdfc" localSheetId="9">{#N/A,#N/A,FALSE,"Plan1";#N/A,#N/A,FALSE,"Plan2"}</definedName>
    <definedName name="sdfdfc" localSheetId="10" hidden="1">{#N/A,#N/A,FALSE,"Plan1";#N/A,#N/A,FALSE,"Plan2"}</definedName>
    <definedName name="sdfdfc" localSheetId="1" hidden="1">{#N/A,#N/A,FALSE,"Plan1";#N/A,#N/A,FALSE,"Plan2"}</definedName>
    <definedName name="sdfdfc" localSheetId="0">{#N/A,#N/A,FALSE,"Plan1";#N/A,#N/A,FALSE,"Plan2"}</definedName>
    <definedName name="sdfdfc" localSheetId="11" hidden="1">{#N/A,#N/A,FALSE,"Plan1";#N/A,#N/A,FALSE,"Plan2"}</definedName>
    <definedName name="sdfdfc" localSheetId="12" hidden="1">{#N/A,#N/A,FALSE,"Plan1";#N/A,#N/A,FALSE,"Plan2"}</definedName>
    <definedName name="sdfdfc" hidden="1">{#N/A,#N/A,FALSE,"Plan1";#N/A,#N/A,FALSE,"Plan2"}</definedName>
    <definedName name="sdfdf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f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dgft" localSheetId="3" hidden="1">{#N/A,#N/A,FALSE,"Plan1";#N/A,#N/A,FALSE,"Plan2"}</definedName>
    <definedName name="sdfdgft" localSheetId="8">{#N/A,#N/A,FALSE,"Plan1";#N/A,#N/A,FALSE,"Plan2"}</definedName>
    <definedName name="sdfdgft" localSheetId="5" hidden="1">{#N/A,#N/A,FALSE,"Plan1";#N/A,#N/A,FALSE,"Plan2"}</definedName>
    <definedName name="sdfdgft" localSheetId="4" hidden="1">{#N/A,#N/A,FALSE,"Plan1";#N/A,#N/A,FALSE,"Plan2"}</definedName>
    <definedName name="sdfdgft" localSheetId="9">{#N/A,#N/A,FALSE,"Plan1";#N/A,#N/A,FALSE,"Plan2"}</definedName>
    <definedName name="sdfdgft" localSheetId="10" hidden="1">{#N/A,#N/A,FALSE,"Plan1";#N/A,#N/A,FALSE,"Plan2"}</definedName>
    <definedName name="sdfdgft" localSheetId="1" hidden="1">{#N/A,#N/A,FALSE,"Plan1";#N/A,#N/A,FALSE,"Plan2"}</definedName>
    <definedName name="sdfdgft" localSheetId="0">{#N/A,#N/A,FALSE,"Plan1";#N/A,#N/A,FALSE,"Plan2"}</definedName>
    <definedName name="sdfdgft" localSheetId="11" hidden="1">{#N/A,#N/A,FALSE,"Plan1";#N/A,#N/A,FALSE,"Plan2"}</definedName>
    <definedName name="sdfdgft" localSheetId="12" hidden="1">{#N/A,#N/A,FALSE,"Plan1";#N/A,#N/A,FALSE,"Plan2"}</definedName>
    <definedName name="sdfdgft" hidden="1">{#N/A,#N/A,FALSE,"Plan1";#N/A,#N/A,FALSE,"Plan2"}</definedName>
    <definedName name="sdfdsf" localSheetId="3" hidden="1">{#N/A,#N/A,FALSE,"Plan1";#N/A,#N/A,FALSE,"Plan2"}</definedName>
    <definedName name="sdfdsf" localSheetId="8">{#N/A,#N/A,FALSE,"Plan1";#N/A,#N/A,FALSE,"Plan2"}</definedName>
    <definedName name="sdfdsf" localSheetId="5" hidden="1">{#N/A,#N/A,FALSE,"Plan1";#N/A,#N/A,FALSE,"Plan2"}</definedName>
    <definedName name="sdfdsf" localSheetId="4" hidden="1">{#N/A,#N/A,FALSE,"Plan1";#N/A,#N/A,FALSE,"Plan2"}</definedName>
    <definedName name="sdfdsf" localSheetId="9">{#N/A,#N/A,FALSE,"Plan1";#N/A,#N/A,FALSE,"Plan2"}</definedName>
    <definedName name="sdfdsf" localSheetId="10" hidden="1">{#N/A,#N/A,FALSE,"Plan1";#N/A,#N/A,FALSE,"Plan2"}</definedName>
    <definedName name="sdfdsf" localSheetId="1" hidden="1">{#N/A,#N/A,FALSE,"Plan1";#N/A,#N/A,FALSE,"Plan2"}</definedName>
    <definedName name="sdfdsf" localSheetId="0">{#N/A,#N/A,FALSE,"Plan1";#N/A,#N/A,FALSE,"Plan2"}</definedName>
    <definedName name="sdfdsf" localSheetId="11" hidden="1">{#N/A,#N/A,FALSE,"Plan1";#N/A,#N/A,FALSE,"Plan2"}</definedName>
    <definedName name="sdfdsf" localSheetId="12" hidden="1">{#N/A,#N/A,FALSE,"Plan1";#N/A,#N/A,FALSE,"Plan2"}</definedName>
    <definedName name="sdfdsf" hidden="1">{#N/A,#N/A,FALSE,"Plan1";#N/A,#N/A,FALSE,"Plan2"}</definedName>
    <definedName name="sdfdsf\da" localSheetId="3" hidden="1">{#N/A,#N/A,FALSE,"Plan1";#N/A,#N/A,FALSE,"Plan2"}</definedName>
    <definedName name="sdfdsf\da" localSheetId="5" hidden="1">{#N/A,#N/A,FALSE,"Plan1";#N/A,#N/A,FALSE,"Plan2"}</definedName>
    <definedName name="sdfdsf\da" localSheetId="4" hidden="1">{#N/A,#N/A,FALSE,"Plan1";#N/A,#N/A,FALSE,"Plan2"}</definedName>
    <definedName name="sdfdsf\da" localSheetId="10" hidden="1">{#N/A,#N/A,FALSE,"Plan1";#N/A,#N/A,FALSE,"Plan2"}</definedName>
    <definedName name="sdfdsf\da" localSheetId="1" hidden="1">{#N/A,#N/A,FALSE,"Plan1";#N/A,#N/A,FALSE,"Plan2"}</definedName>
    <definedName name="sdfdsf\da" localSheetId="0" hidden="1">{#N/A,#N/A,FALSE,"Plan1";#N/A,#N/A,FALSE,"Plan2"}</definedName>
    <definedName name="sdfdsf\da" localSheetId="11" hidden="1">{#N/A,#N/A,FALSE,"Plan1";#N/A,#N/A,FALSE,"Plan2"}</definedName>
    <definedName name="sdfdsf\da" localSheetId="12" hidden="1">{#N/A,#N/A,FALSE,"Plan1";#N/A,#N/A,FALSE,"Plan2"}</definedName>
    <definedName name="sdfdsf\da" hidden="1">{#N/A,#N/A,FALSE,"Plan1";#N/A,#N/A,FALSE,"Plan2"}</definedName>
    <definedName name="SDFEDRT" localSheetId="3" hidden="1">{#N/A,#N/A,FALSE,"Plan1";#N/A,#N/A,FALSE,"Plan2"}</definedName>
    <definedName name="SDFEDRT" localSheetId="8">{#N/A,#N/A,FALSE,"Plan1";#N/A,#N/A,FALSE,"Plan2"}</definedName>
    <definedName name="SDFEDRT" localSheetId="5" hidden="1">{#N/A,#N/A,FALSE,"Plan1";#N/A,#N/A,FALSE,"Plan2"}</definedName>
    <definedName name="SDFEDRT" localSheetId="4" hidden="1">{#N/A,#N/A,FALSE,"Plan1";#N/A,#N/A,FALSE,"Plan2"}</definedName>
    <definedName name="SDFEDRT" localSheetId="9">{#N/A,#N/A,FALSE,"Plan1";#N/A,#N/A,FALSE,"Plan2"}</definedName>
    <definedName name="SDFEDRT" localSheetId="10" hidden="1">{#N/A,#N/A,FALSE,"Plan1";#N/A,#N/A,FALSE,"Plan2"}</definedName>
    <definedName name="SDFEDRT" localSheetId="1" hidden="1">{#N/A,#N/A,FALSE,"Plan1";#N/A,#N/A,FALSE,"Plan2"}</definedName>
    <definedName name="SDFEDRT" localSheetId="0">{#N/A,#N/A,FALSE,"Plan1";#N/A,#N/A,FALSE,"Plan2"}</definedName>
    <definedName name="SDFEDRT" localSheetId="11" hidden="1">{#N/A,#N/A,FALSE,"Plan1";#N/A,#N/A,FALSE,"Plan2"}</definedName>
    <definedName name="SDFEDRT" localSheetId="12" hidden="1">{#N/A,#N/A,FALSE,"Plan1";#N/A,#N/A,FALSE,"Plan2"}</definedName>
    <definedName name="SDFEDRT" hidden="1">{#N/A,#N/A,FALSE,"Plan1";#N/A,#N/A,FALSE,"Plan2"}</definedName>
    <definedName name="sdfer" localSheetId="3" hidden="1">{#N/A,#N/A,FALSE,"Plan1";#N/A,#N/A,FALSE,"Plan2"}</definedName>
    <definedName name="sdfer" localSheetId="8">{#N/A,#N/A,FALSE,"Plan1";#N/A,#N/A,FALSE,"Plan2"}</definedName>
    <definedName name="sdfer" localSheetId="5" hidden="1">{#N/A,#N/A,FALSE,"Plan1";#N/A,#N/A,FALSE,"Plan2"}</definedName>
    <definedName name="sdfer" localSheetId="4" hidden="1">{#N/A,#N/A,FALSE,"Plan1";#N/A,#N/A,FALSE,"Plan2"}</definedName>
    <definedName name="sdfer" localSheetId="9">{#N/A,#N/A,FALSE,"Plan1";#N/A,#N/A,FALSE,"Plan2"}</definedName>
    <definedName name="sdfer" localSheetId="10" hidden="1">{#N/A,#N/A,FALSE,"Plan1";#N/A,#N/A,FALSE,"Plan2"}</definedName>
    <definedName name="sdfer" localSheetId="1" hidden="1">{#N/A,#N/A,FALSE,"Plan1";#N/A,#N/A,FALSE,"Plan2"}</definedName>
    <definedName name="sdfer" localSheetId="0">{#N/A,#N/A,FALSE,"Plan1";#N/A,#N/A,FALSE,"Plan2"}</definedName>
    <definedName name="sdfer" localSheetId="11" hidden="1">{#N/A,#N/A,FALSE,"Plan1";#N/A,#N/A,FALSE,"Plan2"}</definedName>
    <definedName name="sdfer" localSheetId="12" hidden="1">{#N/A,#N/A,FALSE,"Plan1";#N/A,#N/A,FALSE,"Plan2"}</definedName>
    <definedName name="sdfer" hidden="1">{#N/A,#N/A,FALSE,"Plan1";#N/A,#N/A,FALSE,"Plan2"}</definedName>
    <definedName name="sdferr" localSheetId="3" hidden="1">{#N/A,#N/A,FALSE,"Plan1";#N/A,#N/A,FALSE,"Plan2"}</definedName>
    <definedName name="sdferr" localSheetId="8">{#N/A,#N/A,FALSE,"Plan1";#N/A,#N/A,FALSE,"Plan2"}</definedName>
    <definedName name="sdferr" localSheetId="5" hidden="1">{#N/A,#N/A,FALSE,"Plan1";#N/A,#N/A,FALSE,"Plan2"}</definedName>
    <definedName name="sdferr" localSheetId="4" hidden="1">{#N/A,#N/A,FALSE,"Plan1";#N/A,#N/A,FALSE,"Plan2"}</definedName>
    <definedName name="sdferr" localSheetId="9">{#N/A,#N/A,FALSE,"Plan1";#N/A,#N/A,FALSE,"Plan2"}</definedName>
    <definedName name="sdferr" localSheetId="10" hidden="1">{#N/A,#N/A,FALSE,"Plan1";#N/A,#N/A,FALSE,"Plan2"}</definedName>
    <definedName name="sdferr" localSheetId="1" hidden="1">{#N/A,#N/A,FALSE,"Plan1";#N/A,#N/A,FALSE,"Plan2"}</definedName>
    <definedName name="sdferr" localSheetId="0">{#N/A,#N/A,FALSE,"Plan1";#N/A,#N/A,FALSE,"Plan2"}</definedName>
    <definedName name="sdferr" localSheetId="11" hidden="1">{#N/A,#N/A,FALSE,"Plan1";#N/A,#N/A,FALSE,"Plan2"}</definedName>
    <definedName name="sdferr" localSheetId="12" hidden="1">{#N/A,#N/A,FALSE,"Plan1";#N/A,#N/A,FALSE,"Plan2"}</definedName>
    <definedName name="sdferr" hidden="1">{#N/A,#N/A,FALSE,"Plan1";#N/A,#N/A,FALSE,"Plan2"}</definedName>
    <definedName name="sdfe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e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GJFSRF" localSheetId="3" hidden="1">{#N/A,#N/A,FALSE,"Plan1";#N/A,#N/A,FALSE,"Plan2"}</definedName>
    <definedName name="SDFGJFSRF" localSheetId="8">{#N/A,#N/A,FALSE,"Plan1";#N/A,#N/A,FALSE,"Plan2"}</definedName>
    <definedName name="SDFGJFSRF" localSheetId="5" hidden="1">{#N/A,#N/A,FALSE,"Plan1";#N/A,#N/A,FALSE,"Plan2"}</definedName>
    <definedName name="SDFGJFSRF" localSheetId="4" hidden="1">{#N/A,#N/A,FALSE,"Plan1";#N/A,#N/A,FALSE,"Plan2"}</definedName>
    <definedName name="SDFGJFSRF" localSheetId="9">{#N/A,#N/A,FALSE,"Plan1";#N/A,#N/A,FALSE,"Plan2"}</definedName>
    <definedName name="SDFGJFSRF" localSheetId="10" hidden="1">{#N/A,#N/A,FALSE,"Plan1";#N/A,#N/A,FALSE,"Plan2"}</definedName>
    <definedName name="SDFGJFSRF" localSheetId="1" hidden="1">{#N/A,#N/A,FALSE,"Plan1";#N/A,#N/A,FALSE,"Plan2"}</definedName>
    <definedName name="SDFGJFSRF" localSheetId="0">{#N/A,#N/A,FALSE,"Plan1";#N/A,#N/A,FALSE,"Plan2"}</definedName>
    <definedName name="SDFGJFSRF" localSheetId="11" hidden="1">{#N/A,#N/A,FALSE,"Plan1";#N/A,#N/A,FALSE,"Plan2"}</definedName>
    <definedName name="SDFGJFSRF" localSheetId="12" hidden="1">{#N/A,#N/A,FALSE,"Plan1";#N/A,#N/A,FALSE,"Plan2"}</definedName>
    <definedName name="SDFGJFSRF" hidden="1">{#N/A,#N/A,FALSE,"Plan1";#N/A,#N/A,FALSE,"Plan2"}</definedName>
    <definedName name="sdfgtr" localSheetId="3" hidden="1">{#N/A,#N/A,FALSE,"Plan1";#N/A,#N/A,FALSE,"Plan2"}</definedName>
    <definedName name="sdfgtr" localSheetId="8">{#N/A,#N/A,FALSE,"Plan1";#N/A,#N/A,FALSE,"Plan2"}</definedName>
    <definedName name="sdfgtr" localSheetId="5" hidden="1">{#N/A,#N/A,FALSE,"Plan1";#N/A,#N/A,FALSE,"Plan2"}</definedName>
    <definedName name="sdfgtr" localSheetId="4" hidden="1">{#N/A,#N/A,FALSE,"Plan1";#N/A,#N/A,FALSE,"Plan2"}</definedName>
    <definedName name="sdfgtr" localSheetId="9">{#N/A,#N/A,FALSE,"Plan1";#N/A,#N/A,FALSE,"Plan2"}</definedName>
    <definedName name="sdfgtr" localSheetId="10" hidden="1">{#N/A,#N/A,FALSE,"Plan1";#N/A,#N/A,FALSE,"Plan2"}</definedName>
    <definedName name="sdfgtr" localSheetId="1" hidden="1">{#N/A,#N/A,FALSE,"Plan1";#N/A,#N/A,FALSE,"Plan2"}</definedName>
    <definedName name="sdfgtr" localSheetId="0">{#N/A,#N/A,FALSE,"Plan1";#N/A,#N/A,FALSE,"Plan2"}</definedName>
    <definedName name="sdfgtr" localSheetId="11" hidden="1">{#N/A,#N/A,FALSE,"Plan1";#N/A,#N/A,FALSE,"Plan2"}</definedName>
    <definedName name="sdfgtr" localSheetId="12" hidden="1">{#N/A,#N/A,FALSE,"Plan1";#N/A,#N/A,FALSE,"Plan2"}</definedName>
    <definedName name="sdfgtr" hidden="1">{#N/A,#N/A,FALSE,"Plan1";#N/A,#N/A,FALSE,"Plan2"}</definedName>
    <definedName name="sdfjdetrt" localSheetId="3" hidden="1">{#N/A,#N/A,FALSE,"Plan1";#N/A,#N/A,FALSE,"Plan2"}</definedName>
    <definedName name="sdfjdetrt" localSheetId="8">{#N/A,#N/A,FALSE,"Plan1";#N/A,#N/A,FALSE,"Plan2"}</definedName>
    <definedName name="sdfjdetrt" localSheetId="5" hidden="1">{#N/A,#N/A,FALSE,"Plan1";#N/A,#N/A,FALSE,"Plan2"}</definedName>
    <definedName name="sdfjdetrt" localSheetId="4" hidden="1">{#N/A,#N/A,FALSE,"Plan1";#N/A,#N/A,FALSE,"Plan2"}</definedName>
    <definedName name="sdfjdetrt" localSheetId="9">{#N/A,#N/A,FALSE,"Plan1";#N/A,#N/A,FALSE,"Plan2"}</definedName>
    <definedName name="sdfjdetrt" localSheetId="10" hidden="1">{#N/A,#N/A,FALSE,"Plan1";#N/A,#N/A,FALSE,"Plan2"}</definedName>
    <definedName name="sdfjdetrt" localSheetId="1" hidden="1">{#N/A,#N/A,FALSE,"Plan1";#N/A,#N/A,FALSE,"Plan2"}</definedName>
    <definedName name="sdfjdetrt" localSheetId="0">{#N/A,#N/A,FALSE,"Plan1";#N/A,#N/A,FALSE,"Plan2"}</definedName>
    <definedName name="sdfjdetrt" localSheetId="11" hidden="1">{#N/A,#N/A,FALSE,"Plan1";#N/A,#N/A,FALSE,"Plan2"}</definedName>
    <definedName name="sdfjdetrt" localSheetId="12" hidden="1">{#N/A,#N/A,FALSE,"Plan1";#N/A,#N/A,FALSE,"Plan2"}</definedName>
    <definedName name="sdfjdetrt" hidden="1">{#N/A,#N/A,FALSE,"Plan1";#N/A,#N/A,FALSE,"Plan2"}</definedName>
    <definedName name="SDFJDRTJEIDR" localSheetId="3" hidden="1">{#N/A,#N/A,FALSE,"Plan1";#N/A,#N/A,FALSE,"Plan2"}</definedName>
    <definedName name="SDFJDRTJEIDR" localSheetId="8">{#N/A,#N/A,FALSE,"Plan1";#N/A,#N/A,FALSE,"Plan2"}</definedName>
    <definedName name="SDFJDRTJEIDR" localSheetId="5" hidden="1">{#N/A,#N/A,FALSE,"Plan1";#N/A,#N/A,FALSE,"Plan2"}</definedName>
    <definedName name="SDFJDRTJEIDR" localSheetId="4" hidden="1">{#N/A,#N/A,FALSE,"Plan1";#N/A,#N/A,FALSE,"Plan2"}</definedName>
    <definedName name="SDFJDRTJEIDR" localSheetId="9">{#N/A,#N/A,FALSE,"Plan1";#N/A,#N/A,FALSE,"Plan2"}</definedName>
    <definedName name="SDFJDRTJEIDR" localSheetId="10" hidden="1">{#N/A,#N/A,FALSE,"Plan1";#N/A,#N/A,FALSE,"Plan2"}</definedName>
    <definedName name="SDFJDRTJEIDR" localSheetId="1" hidden="1">{#N/A,#N/A,FALSE,"Plan1";#N/A,#N/A,FALSE,"Plan2"}</definedName>
    <definedName name="SDFJDRTJEIDR" localSheetId="0">{#N/A,#N/A,FALSE,"Plan1";#N/A,#N/A,FALSE,"Plan2"}</definedName>
    <definedName name="SDFJDRTJEIDR" localSheetId="11" hidden="1">{#N/A,#N/A,FALSE,"Plan1";#N/A,#N/A,FALSE,"Plan2"}</definedName>
    <definedName name="SDFJDRTJEIDR" localSheetId="12" hidden="1">{#N/A,#N/A,FALSE,"Plan1";#N/A,#N/A,FALSE,"Plan2"}</definedName>
    <definedName name="SDFJDRTJEIDR" hidden="1">{#N/A,#N/A,FALSE,"Plan1";#N/A,#N/A,FALSE,"Plan2"}</definedName>
    <definedName name="sdfjergtij" localSheetId="3" hidden="1">{#N/A,#N/A,FALSE,"Plan1";#N/A,#N/A,FALSE,"Plan2"}</definedName>
    <definedName name="sdfjergtij" localSheetId="8">{#N/A,#N/A,FALSE,"Plan1";#N/A,#N/A,FALSE,"Plan2"}</definedName>
    <definedName name="sdfjergtij" localSheetId="5" hidden="1">{#N/A,#N/A,FALSE,"Plan1";#N/A,#N/A,FALSE,"Plan2"}</definedName>
    <definedName name="sdfjergtij" localSheetId="4" hidden="1">{#N/A,#N/A,FALSE,"Plan1";#N/A,#N/A,FALSE,"Plan2"}</definedName>
    <definedName name="sdfjergtij" localSheetId="9">{#N/A,#N/A,FALSE,"Plan1";#N/A,#N/A,FALSE,"Plan2"}</definedName>
    <definedName name="sdfjergtij" localSheetId="10" hidden="1">{#N/A,#N/A,FALSE,"Plan1";#N/A,#N/A,FALSE,"Plan2"}</definedName>
    <definedName name="sdfjergtij" localSheetId="1" hidden="1">{#N/A,#N/A,FALSE,"Plan1";#N/A,#N/A,FALSE,"Plan2"}</definedName>
    <definedName name="sdfjergtij" localSheetId="0">{#N/A,#N/A,FALSE,"Plan1";#N/A,#N/A,FALSE,"Plan2"}</definedName>
    <definedName name="sdfjergtij" localSheetId="11" hidden="1">{#N/A,#N/A,FALSE,"Plan1";#N/A,#N/A,FALSE,"Plan2"}</definedName>
    <definedName name="sdfjergtij" localSheetId="12" hidden="1">{#N/A,#N/A,FALSE,"Plan1";#N/A,#N/A,FALSE,"Plan2"}</definedName>
    <definedName name="sdfjergtij" hidden="1">{#N/A,#N/A,FALSE,"Plan1";#N/A,#N/A,FALSE,"Plan2"}</definedName>
    <definedName name="SDFOPJKWE" localSheetId="3" hidden="1">{#N/A,#N/A,FALSE,"Plan1";#N/A,#N/A,FALSE,"Plan2"}</definedName>
    <definedName name="SDFOPJKWE" localSheetId="8">{#N/A,#N/A,FALSE,"Plan1";#N/A,#N/A,FALSE,"Plan2"}</definedName>
    <definedName name="SDFOPJKWE" localSheetId="5" hidden="1">{#N/A,#N/A,FALSE,"Plan1";#N/A,#N/A,FALSE,"Plan2"}</definedName>
    <definedName name="SDFOPJKWE" localSheetId="4" hidden="1">{#N/A,#N/A,FALSE,"Plan1";#N/A,#N/A,FALSE,"Plan2"}</definedName>
    <definedName name="SDFOPJKWE" localSheetId="9">{#N/A,#N/A,FALSE,"Plan1";#N/A,#N/A,FALSE,"Plan2"}</definedName>
    <definedName name="SDFOPJKWE" localSheetId="10" hidden="1">{#N/A,#N/A,FALSE,"Plan1";#N/A,#N/A,FALSE,"Plan2"}</definedName>
    <definedName name="SDFOPJKWE" localSheetId="1" hidden="1">{#N/A,#N/A,FALSE,"Plan1";#N/A,#N/A,FALSE,"Plan2"}</definedName>
    <definedName name="SDFOPJKWE" localSheetId="0">{#N/A,#N/A,FALSE,"Plan1";#N/A,#N/A,FALSE,"Plan2"}</definedName>
    <definedName name="SDFOPJKWE" localSheetId="11" hidden="1">{#N/A,#N/A,FALSE,"Plan1";#N/A,#N/A,FALSE,"Plan2"}</definedName>
    <definedName name="SDFOPJKWE" localSheetId="12" hidden="1">{#N/A,#N/A,FALSE,"Plan1";#N/A,#N/A,FALSE,"Plan2"}</definedName>
    <definedName name="SDFOPJKWE" hidden="1">{#N/A,#N/A,FALSE,"Plan1";#N/A,#N/A,FALSE,"Plan2"}</definedName>
    <definedName name="sdfrdt5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dt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frt" localSheetId="3" hidden="1">{#N/A,#N/A,FALSE,"Plan1";#N/A,#N/A,FALSE,"Plan2"}</definedName>
    <definedName name="sdfrt" localSheetId="8">{#N/A,#N/A,FALSE,"Plan1";#N/A,#N/A,FALSE,"Plan2"}</definedName>
    <definedName name="sdfrt" localSheetId="5" hidden="1">{#N/A,#N/A,FALSE,"Plan1";#N/A,#N/A,FALSE,"Plan2"}</definedName>
    <definedName name="sdfrt" localSheetId="4" hidden="1">{#N/A,#N/A,FALSE,"Plan1";#N/A,#N/A,FALSE,"Plan2"}</definedName>
    <definedName name="sdfrt" localSheetId="9">{#N/A,#N/A,FALSE,"Plan1";#N/A,#N/A,FALSE,"Plan2"}</definedName>
    <definedName name="sdfrt" localSheetId="10" hidden="1">{#N/A,#N/A,FALSE,"Plan1";#N/A,#N/A,FALSE,"Plan2"}</definedName>
    <definedName name="sdfrt" localSheetId="1" hidden="1">{#N/A,#N/A,FALSE,"Plan1";#N/A,#N/A,FALSE,"Plan2"}</definedName>
    <definedName name="sdfrt" localSheetId="0">{#N/A,#N/A,FALSE,"Plan1";#N/A,#N/A,FALSE,"Plan2"}</definedName>
    <definedName name="sdfrt" localSheetId="11" hidden="1">{#N/A,#N/A,FALSE,"Plan1";#N/A,#N/A,FALSE,"Plan2"}</definedName>
    <definedName name="sdfrt" localSheetId="12" hidden="1">{#N/A,#N/A,FALSE,"Plan1";#N/A,#N/A,FALSE,"Plan2"}</definedName>
    <definedName name="sdfrt" hidden="1">{#N/A,#N/A,FALSE,"Plan1";#N/A,#N/A,FALSE,"Plan2"}</definedName>
    <definedName name="SDFRTKK" localSheetId="3" hidden="1">{#N/A,#N/A,FALSE,"Plan1";#N/A,#N/A,FALSE,"Plan2"}</definedName>
    <definedName name="SDFRTKK" localSheetId="8">{#N/A,#N/A,FALSE,"Plan1";#N/A,#N/A,FALSE,"Plan2"}</definedName>
    <definedName name="SDFRTKK" localSheetId="5" hidden="1">{#N/A,#N/A,FALSE,"Plan1";#N/A,#N/A,FALSE,"Plan2"}</definedName>
    <definedName name="SDFRTKK" localSheetId="4" hidden="1">{#N/A,#N/A,FALSE,"Plan1";#N/A,#N/A,FALSE,"Plan2"}</definedName>
    <definedName name="SDFRTKK" localSheetId="9">{#N/A,#N/A,FALSE,"Plan1";#N/A,#N/A,FALSE,"Plan2"}</definedName>
    <definedName name="SDFRTKK" localSheetId="10" hidden="1">{#N/A,#N/A,FALSE,"Plan1";#N/A,#N/A,FALSE,"Plan2"}</definedName>
    <definedName name="SDFRTKK" localSheetId="1" hidden="1">{#N/A,#N/A,FALSE,"Plan1";#N/A,#N/A,FALSE,"Plan2"}</definedName>
    <definedName name="SDFRTKK" localSheetId="0">{#N/A,#N/A,FALSE,"Plan1";#N/A,#N/A,FALSE,"Plan2"}</definedName>
    <definedName name="SDFRTKK" localSheetId="11" hidden="1">{#N/A,#N/A,FALSE,"Plan1";#N/A,#N/A,FALSE,"Plan2"}</definedName>
    <definedName name="SDFRTKK" localSheetId="12" hidden="1">{#N/A,#N/A,FALSE,"Plan1";#N/A,#N/A,FALSE,"Plan2"}</definedName>
    <definedName name="SDFRTKK" hidden="1">{#N/A,#N/A,FALSE,"Plan1";#N/A,#N/A,FALSE,"Plan2"}</definedName>
    <definedName name="SDFRTR" localSheetId="3" hidden="1">{#N/A,#N/A,FALSE,"Plan1";#N/A,#N/A,FALSE,"Plan2"}</definedName>
    <definedName name="SDFRTR" localSheetId="8">{#N/A,#N/A,FALSE,"Plan1";#N/A,#N/A,FALSE,"Plan2"}</definedName>
    <definedName name="SDFRTR" localSheetId="5" hidden="1">{#N/A,#N/A,FALSE,"Plan1";#N/A,#N/A,FALSE,"Plan2"}</definedName>
    <definedName name="SDFRTR" localSheetId="4" hidden="1">{#N/A,#N/A,FALSE,"Plan1";#N/A,#N/A,FALSE,"Plan2"}</definedName>
    <definedName name="SDFRTR" localSheetId="9">{#N/A,#N/A,FALSE,"Plan1";#N/A,#N/A,FALSE,"Plan2"}</definedName>
    <definedName name="SDFRTR" localSheetId="10" hidden="1">{#N/A,#N/A,FALSE,"Plan1";#N/A,#N/A,FALSE,"Plan2"}</definedName>
    <definedName name="SDFRTR" localSheetId="1" hidden="1">{#N/A,#N/A,FALSE,"Plan1";#N/A,#N/A,FALSE,"Plan2"}</definedName>
    <definedName name="SDFRTR" localSheetId="0">{#N/A,#N/A,FALSE,"Plan1";#N/A,#N/A,FALSE,"Plan2"}</definedName>
    <definedName name="SDFRTR" localSheetId="11" hidden="1">{#N/A,#N/A,FALSE,"Plan1";#N/A,#N/A,FALSE,"Plan2"}</definedName>
    <definedName name="SDFRTR" localSheetId="12" hidden="1">{#N/A,#N/A,FALSE,"Plan1";#N/A,#N/A,FALSE,"Plan2"}</definedName>
    <definedName name="SDFRTR" hidden="1">{#N/A,#N/A,FALSE,"Plan1";#N/A,#N/A,FALSE,"Plan2"}</definedName>
    <definedName name="sdfry6" localSheetId="3" hidden="1">{#N/A,#N/A,FALSE,"Plan1";#N/A,#N/A,FALSE,"Plan2"}</definedName>
    <definedName name="sdfry6" localSheetId="8">{#N/A,#N/A,FALSE,"Plan1";#N/A,#N/A,FALSE,"Plan2"}</definedName>
    <definedName name="sdfry6" localSheetId="5" hidden="1">{#N/A,#N/A,FALSE,"Plan1";#N/A,#N/A,FALSE,"Plan2"}</definedName>
    <definedName name="sdfry6" localSheetId="4" hidden="1">{#N/A,#N/A,FALSE,"Plan1";#N/A,#N/A,FALSE,"Plan2"}</definedName>
    <definedName name="sdfry6" localSheetId="9">{#N/A,#N/A,FALSE,"Plan1";#N/A,#N/A,FALSE,"Plan2"}</definedName>
    <definedName name="sdfry6" localSheetId="10" hidden="1">{#N/A,#N/A,FALSE,"Plan1";#N/A,#N/A,FALSE,"Plan2"}</definedName>
    <definedName name="sdfry6" localSheetId="1" hidden="1">{#N/A,#N/A,FALSE,"Plan1";#N/A,#N/A,FALSE,"Plan2"}</definedName>
    <definedName name="sdfry6" localSheetId="0">{#N/A,#N/A,FALSE,"Plan1";#N/A,#N/A,FALSE,"Plan2"}</definedName>
    <definedName name="sdfry6" localSheetId="11" hidden="1">{#N/A,#N/A,FALSE,"Plan1";#N/A,#N/A,FALSE,"Plan2"}</definedName>
    <definedName name="sdfry6" localSheetId="12" hidden="1">{#N/A,#N/A,FALSE,"Plan1";#N/A,#N/A,FALSE,"Plan2"}</definedName>
    <definedName name="sdfry6" hidden="1">{#N/A,#N/A,FALSE,"Plan1";#N/A,#N/A,FALSE,"Plan2"}</definedName>
    <definedName name="sdfsaf" localSheetId="3" hidden="1">{#N/A,#N/A,FALSE,"Plan1";#N/A,#N/A,FALSE,"Plan2"}</definedName>
    <definedName name="sdfsaf" localSheetId="8">{#N/A,#N/A,FALSE,"Plan1";#N/A,#N/A,FALSE,"Plan2"}</definedName>
    <definedName name="sdfsaf" localSheetId="5" hidden="1">{#N/A,#N/A,FALSE,"Plan1";#N/A,#N/A,FALSE,"Plan2"}</definedName>
    <definedName name="sdfsaf" localSheetId="4" hidden="1">{#N/A,#N/A,FALSE,"Plan1";#N/A,#N/A,FALSE,"Plan2"}</definedName>
    <definedName name="sdfsaf" localSheetId="9">{#N/A,#N/A,FALSE,"Plan1";#N/A,#N/A,FALSE,"Plan2"}</definedName>
    <definedName name="sdfsaf" localSheetId="10" hidden="1">{#N/A,#N/A,FALSE,"Plan1";#N/A,#N/A,FALSE,"Plan2"}</definedName>
    <definedName name="sdfsaf" localSheetId="1" hidden="1">{#N/A,#N/A,FALSE,"Plan1";#N/A,#N/A,FALSE,"Plan2"}</definedName>
    <definedName name="sdfsaf" localSheetId="0">{#N/A,#N/A,FALSE,"Plan1";#N/A,#N/A,FALSE,"Plan2"}</definedName>
    <definedName name="sdfsaf" localSheetId="11" hidden="1">{#N/A,#N/A,FALSE,"Plan1";#N/A,#N/A,FALSE,"Plan2"}</definedName>
    <definedName name="sdfsaf" localSheetId="12" hidden="1">{#N/A,#N/A,FALSE,"Plan1";#N/A,#N/A,FALSE,"Plan2"}</definedName>
    <definedName name="sdfsaf" hidden="1">{#N/A,#N/A,FALSE,"Plan1";#N/A,#N/A,FALSE,"Plan2"}</definedName>
    <definedName name="sdfsd" localSheetId="3" hidden="1">{"'Estimativa de Lançamento-JAN'!$A$1:$AI$85"}</definedName>
    <definedName name="sdfsd" localSheetId="8">{"'Estimativa de Lançamento-JAN'!$A$1:$AI$85"}</definedName>
    <definedName name="sdfsd" localSheetId="5" hidden="1">{"'Estimativa de Lançamento-JAN'!$A$1:$AI$85"}</definedName>
    <definedName name="sdfsd" localSheetId="4" hidden="1">{"'Estimativa de Lançamento-JAN'!$A$1:$AI$85"}</definedName>
    <definedName name="sdfsd" localSheetId="9">{"'Estimativa de Lançamento-JAN'!$A$1:$AI$85"}</definedName>
    <definedName name="sdfsd" localSheetId="10" hidden="1">{"'Estimativa de Lançamento-JAN'!$A$1:$AI$85"}</definedName>
    <definedName name="sdfsd" localSheetId="1" hidden="1">{"'Estimativa de Lançamento-JAN'!$A$1:$AI$85"}</definedName>
    <definedName name="sdfsd" localSheetId="0">{"'Estimativa de Lançamento-JAN'!$A$1:$AI$85"}</definedName>
    <definedName name="sdfsd" localSheetId="11" hidden="1">{"'Estimativa de Lançamento-JAN'!$A$1:$AI$85"}</definedName>
    <definedName name="sdfsd" localSheetId="12" hidden="1">{"'Estimativa de Lançamento-JAN'!$A$1:$AI$85"}</definedName>
    <definedName name="sdfsd" hidden="1">{"'Estimativa de Lançamento-JAN'!$A$1:$AI$85"}</definedName>
    <definedName name="sdfsdfg" localSheetId="3" hidden="1">{#N/A,#N/A,FALSE,"Plan1";#N/A,#N/A,FALSE,"Plan2"}</definedName>
    <definedName name="sdfsdfg" localSheetId="8">{#N/A,#N/A,FALSE,"Plan1";#N/A,#N/A,FALSE,"Plan2"}</definedName>
    <definedName name="sdfsdfg" localSheetId="5" hidden="1">{#N/A,#N/A,FALSE,"Plan1";#N/A,#N/A,FALSE,"Plan2"}</definedName>
    <definedName name="sdfsdfg" localSheetId="4" hidden="1">{#N/A,#N/A,FALSE,"Plan1";#N/A,#N/A,FALSE,"Plan2"}</definedName>
    <definedName name="sdfsdfg" localSheetId="9">{#N/A,#N/A,FALSE,"Plan1";#N/A,#N/A,FALSE,"Plan2"}</definedName>
    <definedName name="sdfsdfg" localSheetId="10" hidden="1">{#N/A,#N/A,FALSE,"Plan1";#N/A,#N/A,FALSE,"Plan2"}</definedName>
    <definedName name="sdfsdfg" localSheetId="1" hidden="1">{#N/A,#N/A,FALSE,"Plan1";#N/A,#N/A,FALSE,"Plan2"}</definedName>
    <definedName name="sdfsdfg" localSheetId="0">{#N/A,#N/A,FALSE,"Plan1";#N/A,#N/A,FALSE,"Plan2"}</definedName>
    <definedName name="sdfsdfg" localSheetId="11" hidden="1">{#N/A,#N/A,FALSE,"Plan1";#N/A,#N/A,FALSE,"Plan2"}</definedName>
    <definedName name="sdfsdfg" localSheetId="12" hidden="1">{#N/A,#N/A,FALSE,"Plan1";#N/A,#N/A,FALSE,"Plan2"}</definedName>
    <definedName name="sdfsdfg" hidden="1">{#N/A,#N/A,FALSE,"Plan1";#N/A,#N/A,FALSE,"Plan2"}</definedName>
    <definedName name="SDFSDFK" localSheetId="3" hidden="1">{#N/A,#N/A,FALSE,"Plan1";#N/A,#N/A,FALSE,"Plan2"}</definedName>
    <definedName name="SDFSDFK" localSheetId="8">{#N/A,#N/A,FALSE,"Plan1";#N/A,#N/A,FALSE,"Plan2"}</definedName>
    <definedName name="SDFSDFK" localSheetId="5" hidden="1">{#N/A,#N/A,FALSE,"Plan1";#N/A,#N/A,FALSE,"Plan2"}</definedName>
    <definedName name="SDFSDFK" localSheetId="4" hidden="1">{#N/A,#N/A,FALSE,"Plan1";#N/A,#N/A,FALSE,"Plan2"}</definedName>
    <definedName name="SDFSDFK" localSheetId="9">{#N/A,#N/A,FALSE,"Plan1";#N/A,#N/A,FALSE,"Plan2"}</definedName>
    <definedName name="SDFSDFK" localSheetId="10" hidden="1">{#N/A,#N/A,FALSE,"Plan1";#N/A,#N/A,FALSE,"Plan2"}</definedName>
    <definedName name="SDFSDFK" localSheetId="1" hidden="1">{#N/A,#N/A,FALSE,"Plan1";#N/A,#N/A,FALSE,"Plan2"}</definedName>
    <definedName name="SDFSDFK" localSheetId="0">{#N/A,#N/A,FALSE,"Plan1";#N/A,#N/A,FALSE,"Plan2"}</definedName>
    <definedName name="SDFSDFK" localSheetId="11" hidden="1">{#N/A,#N/A,FALSE,"Plan1";#N/A,#N/A,FALSE,"Plan2"}</definedName>
    <definedName name="SDFSDFK" localSheetId="12" hidden="1">{#N/A,#N/A,FALSE,"Plan1";#N/A,#N/A,FALSE,"Plan2"}</definedName>
    <definedName name="SDFSDFK" hidden="1">{#N/A,#N/A,FALSE,"Plan1";#N/A,#N/A,FALSE,"Plan2"}</definedName>
    <definedName name="sdfsdgftret" localSheetId="3" hidden="1">{#N/A,#N/A,FALSE,"Plan1";#N/A,#N/A,FALSE,"Plan2"}</definedName>
    <definedName name="sdfsdgftret" localSheetId="8">{#N/A,#N/A,FALSE,"Plan1";#N/A,#N/A,FALSE,"Plan2"}</definedName>
    <definedName name="sdfsdgftret" localSheetId="5" hidden="1">{#N/A,#N/A,FALSE,"Plan1";#N/A,#N/A,FALSE,"Plan2"}</definedName>
    <definedName name="sdfsdgftret" localSheetId="4" hidden="1">{#N/A,#N/A,FALSE,"Plan1";#N/A,#N/A,FALSE,"Plan2"}</definedName>
    <definedName name="sdfsdgftret" localSheetId="9">{#N/A,#N/A,FALSE,"Plan1";#N/A,#N/A,FALSE,"Plan2"}</definedName>
    <definedName name="sdfsdgftret" localSheetId="10" hidden="1">{#N/A,#N/A,FALSE,"Plan1";#N/A,#N/A,FALSE,"Plan2"}</definedName>
    <definedName name="sdfsdgftret" localSheetId="1" hidden="1">{#N/A,#N/A,FALSE,"Plan1";#N/A,#N/A,FALSE,"Plan2"}</definedName>
    <definedName name="sdfsdgftret" localSheetId="0">{#N/A,#N/A,FALSE,"Plan1";#N/A,#N/A,FALSE,"Plan2"}</definedName>
    <definedName name="sdfsdgftret" localSheetId="11" hidden="1">{#N/A,#N/A,FALSE,"Plan1";#N/A,#N/A,FALSE,"Plan2"}</definedName>
    <definedName name="sdfsdgftret" localSheetId="12" hidden="1">{#N/A,#N/A,FALSE,"Plan1";#N/A,#N/A,FALSE,"Plan2"}</definedName>
    <definedName name="sdfsdgftret" hidden="1">{#N/A,#N/A,FALSE,"Plan1";#N/A,#N/A,FALSE,"Plan2"}</definedName>
    <definedName name="sdfsdr" hidden="1">1</definedName>
    <definedName name="SDFSF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8">{#N/A,#N/A,FALSE,"Plan1";#N/A,#N/A,FALSE,"Plan2"}</definedName>
    <definedName name="sdfsf" localSheetId="5" hidden="1">{#N/A,#N/A,FALSE,"Plan1";#N/A,#N/A,FALSE,"Plan2"}</definedName>
    <definedName name="SDFSF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9">{#N/A,#N/A,FALSE,"Plan1";#N/A,#N/A,FALSE,"Plan2"}</definedName>
    <definedName name="SDFSF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" hidden="1">{#N/A,#N/A,FALSE,"Plan1";#N/A,#N/A,FALSE,"Plan2"}</definedName>
    <definedName name="sdfsf" localSheetId="0">{#N/A,#N/A,FALSE,"Plan1";#N/A,#N/A,FALSE,"Plan2"}</definedName>
    <definedName name="SDFSF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dfsf" hidden="1">{#N/A,#N/A,FALSE,"Plan1";#N/A,#N/A,FALSE,"Plan2"}</definedName>
    <definedName name="SDFSFRT" localSheetId="3" hidden="1">{"Econ Consolidado",#N/A,FALSE,"Econ Consol";"Fluxo de Caixa",#N/A,FALSE,"Fluxo Caixa";"Investimentos",#N/A,FALSE,"Investimentos"}</definedName>
    <definedName name="SDFSFRT" localSheetId="8">{"Econ Consolidado",#N/A,FALSE,"Econ Consol";"Fluxo de Caixa",#N/A,FALSE,"Fluxo Caixa";"Investimentos",#N/A,FALSE,"Investimentos"}</definedName>
    <definedName name="SDFSFRT" localSheetId="5" hidden="1">{"Econ Consolidado",#N/A,FALSE,"Econ Consol";"Fluxo de Caixa",#N/A,FALSE,"Fluxo Caixa";"Investimentos",#N/A,FALSE,"Investimentos"}</definedName>
    <definedName name="SDFSFRT" localSheetId="4" hidden="1">{"Econ Consolidado",#N/A,FALSE,"Econ Consol";"Fluxo de Caixa",#N/A,FALSE,"Fluxo Caixa";"Investimentos",#N/A,FALSE,"Investimentos"}</definedName>
    <definedName name="SDFSFRT" localSheetId="9">{"Econ Consolidado",#N/A,FALSE,"Econ Consol";"Fluxo de Caixa",#N/A,FALSE,"Fluxo Caixa";"Investimentos",#N/A,FALSE,"Investimentos"}</definedName>
    <definedName name="SDFSFRT" localSheetId="10" hidden="1">{"Econ Consolidado",#N/A,FALSE,"Econ Consol";"Fluxo de Caixa",#N/A,FALSE,"Fluxo Caixa";"Investimentos",#N/A,FALSE,"Investimentos"}</definedName>
    <definedName name="SDFSFRT" localSheetId="1" hidden="1">{"Econ Consolidado",#N/A,FALSE,"Econ Consol";"Fluxo de Caixa",#N/A,FALSE,"Fluxo Caixa";"Investimentos",#N/A,FALSE,"Investimentos"}</definedName>
    <definedName name="SDFSFRT" localSheetId="0">{"Econ Consolidado",#N/A,FALSE,"Econ Consol";"Fluxo de Caixa",#N/A,FALSE,"Fluxo Caixa";"Investimentos",#N/A,FALSE,"Investimentos"}</definedName>
    <definedName name="SDFSFRT" localSheetId="11" hidden="1">{"Econ Consolidado",#N/A,FALSE,"Econ Consol";"Fluxo de Caixa",#N/A,FALSE,"Fluxo Caixa";"Investimentos",#N/A,FALSE,"Investimentos"}</definedName>
    <definedName name="SDFSFRT" localSheetId="12" hidden="1">{"Econ Consolidado",#N/A,FALSE,"Econ Consol";"Fluxo de Caixa",#N/A,FALSE,"Fluxo Caixa";"Investimentos",#N/A,FALSE,"Investimentos"}</definedName>
    <definedName name="SDFSFRT" hidden="1">{"Econ Consolidado",#N/A,FALSE,"Econ Consol";"Fluxo de Caixa",#N/A,FALSE,"Fluxo Caixa";"Investimentos",#N/A,FALSE,"Investimentos"}</definedName>
    <definedName name="sdfsr" localSheetId="3" hidden="1">{#N/A,#N/A,FALSE,"Plan1";#N/A,#N/A,FALSE,"Plan2"}</definedName>
    <definedName name="sdfsr" localSheetId="8">{#N/A,#N/A,FALSE,"Plan1";#N/A,#N/A,FALSE,"Plan2"}</definedName>
    <definedName name="sdfsr" localSheetId="5" hidden="1">{#N/A,#N/A,FALSE,"Plan1";#N/A,#N/A,FALSE,"Plan2"}</definedName>
    <definedName name="sdfsr" localSheetId="4" hidden="1">{#N/A,#N/A,FALSE,"Plan1";#N/A,#N/A,FALSE,"Plan2"}</definedName>
    <definedName name="sdfsr" localSheetId="9">{#N/A,#N/A,FALSE,"Plan1";#N/A,#N/A,FALSE,"Plan2"}</definedName>
    <definedName name="sdfsr" localSheetId="10" hidden="1">{#N/A,#N/A,FALSE,"Plan1";#N/A,#N/A,FALSE,"Plan2"}</definedName>
    <definedName name="sdfsr" localSheetId="1" hidden="1">{#N/A,#N/A,FALSE,"Plan1";#N/A,#N/A,FALSE,"Plan2"}</definedName>
    <definedName name="sdfsr" localSheetId="0">{#N/A,#N/A,FALSE,"Plan1";#N/A,#N/A,FALSE,"Plan2"}</definedName>
    <definedName name="sdfsr" localSheetId="11" hidden="1">{#N/A,#N/A,FALSE,"Plan1";#N/A,#N/A,FALSE,"Plan2"}</definedName>
    <definedName name="sdfsr" localSheetId="12" hidden="1">{#N/A,#N/A,FALSE,"Plan1";#N/A,#N/A,FALSE,"Plan2"}</definedName>
    <definedName name="sdfsr" hidden="1">{#N/A,#N/A,FALSE,"Plan1";#N/A,#N/A,FALSE,"Plan2"}</definedName>
    <definedName name="sdfty" localSheetId="3" hidden="1">{#N/A,#N/A,FALSE,"Plan1";#N/A,#N/A,FALSE,"Plan2"}</definedName>
    <definedName name="sdfty" localSheetId="8">{#N/A,#N/A,FALSE,"Plan1";#N/A,#N/A,FALSE,"Plan2"}</definedName>
    <definedName name="sdfty" localSheetId="5" hidden="1">{#N/A,#N/A,FALSE,"Plan1";#N/A,#N/A,FALSE,"Plan2"}</definedName>
    <definedName name="sdfty" localSheetId="4" hidden="1">{#N/A,#N/A,FALSE,"Plan1";#N/A,#N/A,FALSE,"Plan2"}</definedName>
    <definedName name="sdfty" localSheetId="9">{#N/A,#N/A,FALSE,"Plan1";#N/A,#N/A,FALSE,"Plan2"}</definedName>
    <definedName name="sdfty" localSheetId="10" hidden="1">{#N/A,#N/A,FALSE,"Plan1";#N/A,#N/A,FALSE,"Plan2"}</definedName>
    <definedName name="sdfty" localSheetId="1" hidden="1">{#N/A,#N/A,FALSE,"Plan1";#N/A,#N/A,FALSE,"Plan2"}</definedName>
    <definedName name="sdfty" localSheetId="0">{#N/A,#N/A,FALSE,"Plan1";#N/A,#N/A,FALSE,"Plan2"}</definedName>
    <definedName name="sdfty" localSheetId="11" hidden="1">{#N/A,#N/A,FALSE,"Plan1";#N/A,#N/A,FALSE,"Plan2"}</definedName>
    <definedName name="sdfty" localSheetId="12" hidden="1">{#N/A,#N/A,FALSE,"Plan1";#N/A,#N/A,FALSE,"Plan2"}</definedName>
    <definedName name="sdfty" hidden="1">{#N/A,#N/A,FALSE,"Plan1";#N/A,#N/A,FALSE,"Plan2"}</definedName>
    <definedName name="sdgdf" localSheetId="3" hidden="1">{#N/A,#N/A,FALSE,"Plan1";#N/A,#N/A,FALSE,"Plan2"}</definedName>
    <definedName name="sdgdf" localSheetId="8">{#N/A,#N/A,FALSE,"Plan1";#N/A,#N/A,FALSE,"Plan2"}</definedName>
    <definedName name="sdgdf" localSheetId="5" hidden="1">{#N/A,#N/A,FALSE,"Plan1";#N/A,#N/A,FALSE,"Plan2"}</definedName>
    <definedName name="sdgdf" localSheetId="4" hidden="1">{#N/A,#N/A,FALSE,"Plan1";#N/A,#N/A,FALSE,"Plan2"}</definedName>
    <definedName name="sdgdf" localSheetId="9">{#N/A,#N/A,FALSE,"Plan1";#N/A,#N/A,FALSE,"Plan2"}</definedName>
    <definedName name="sdgdf" localSheetId="10" hidden="1">{#N/A,#N/A,FALSE,"Plan1";#N/A,#N/A,FALSE,"Plan2"}</definedName>
    <definedName name="sdgdf" localSheetId="1" hidden="1">{#N/A,#N/A,FALSE,"Plan1";#N/A,#N/A,FALSE,"Plan2"}</definedName>
    <definedName name="sdgdf" localSheetId="0">{#N/A,#N/A,FALSE,"Plan1";#N/A,#N/A,FALSE,"Plan2"}</definedName>
    <definedName name="sdgdf" localSheetId="11" hidden="1">{#N/A,#N/A,FALSE,"Plan1";#N/A,#N/A,FALSE,"Plan2"}</definedName>
    <definedName name="sdgdf" localSheetId="12" hidden="1">{#N/A,#N/A,FALSE,"Plan1";#N/A,#N/A,FALSE,"Plan2"}</definedName>
    <definedName name="sdgdf" hidden="1">{#N/A,#N/A,FALSE,"Plan1";#N/A,#N/A,FALSE,"Plan2"}</definedName>
    <definedName name="sdgfrt" localSheetId="3" hidden="1">{#N/A,#N/A,FALSE,"Plan1";#N/A,#N/A,FALSE,"Plan2"}</definedName>
    <definedName name="sdgfrt" localSheetId="8">{#N/A,#N/A,FALSE,"Plan1";#N/A,#N/A,FALSE,"Plan2"}</definedName>
    <definedName name="sdgfrt" localSheetId="5" hidden="1">{#N/A,#N/A,FALSE,"Plan1";#N/A,#N/A,FALSE,"Plan2"}</definedName>
    <definedName name="sdgfrt" localSheetId="4" hidden="1">{#N/A,#N/A,FALSE,"Plan1";#N/A,#N/A,FALSE,"Plan2"}</definedName>
    <definedName name="sdgfrt" localSheetId="9">{#N/A,#N/A,FALSE,"Plan1";#N/A,#N/A,FALSE,"Plan2"}</definedName>
    <definedName name="sdgfrt" localSheetId="10" hidden="1">{#N/A,#N/A,FALSE,"Plan1";#N/A,#N/A,FALSE,"Plan2"}</definedName>
    <definedName name="sdgfrt" localSheetId="1" hidden="1">{#N/A,#N/A,FALSE,"Plan1";#N/A,#N/A,FALSE,"Plan2"}</definedName>
    <definedName name="sdgfrt" localSheetId="0">{#N/A,#N/A,FALSE,"Plan1";#N/A,#N/A,FALSE,"Plan2"}</definedName>
    <definedName name="sdgfrt" localSheetId="11" hidden="1">{#N/A,#N/A,FALSE,"Plan1";#N/A,#N/A,FALSE,"Plan2"}</definedName>
    <definedName name="sdgfrt" localSheetId="12" hidden="1">{#N/A,#N/A,FALSE,"Plan1";#N/A,#N/A,FALSE,"Plan2"}</definedName>
    <definedName name="sdgfrt" hidden="1">{#N/A,#N/A,FALSE,"Plan1";#N/A,#N/A,FALSE,"Plan2"}</definedName>
    <definedName name="sdgft" localSheetId="3" hidden="1">{#N/A,#N/A,FALSE,"Plan1";#N/A,#N/A,FALSE,"Plan2"}</definedName>
    <definedName name="sdgft" localSheetId="8">{#N/A,#N/A,FALSE,"Plan1";#N/A,#N/A,FALSE,"Plan2"}</definedName>
    <definedName name="sdgft" localSheetId="5" hidden="1">{#N/A,#N/A,FALSE,"Plan1";#N/A,#N/A,FALSE,"Plan2"}</definedName>
    <definedName name="sdgft" localSheetId="4" hidden="1">{#N/A,#N/A,FALSE,"Plan1";#N/A,#N/A,FALSE,"Plan2"}</definedName>
    <definedName name="sdgft" localSheetId="9">{#N/A,#N/A,FALSE,"Plan1";#N/A,#N/A,FALSE,"Plan2"}</definedName>
    <definedName name="sdgft" localSheetId="10" hidden="1">{#N/A,#N/A,FALSE,"Plan1";#N/A,#N/A,FALSE,"Plan2"}</definedName>
    <definedName name="sdgft" localSheetId="1" hidden="1">{#N/A,#N/A,FALSE,"Plan1";#N/A,#N/A,FALSE,"Plan2"}</definedName>
    <definedName name="sdgft" localSheetId="0">{#N/A,#N/A,FALSE,"Plan1";#N/A,#N/A,FALSE,"Plan2"}</definedName>
    <definedName name="sdgft" localSheetId="11" hidden="1">{#N/A,#N/A,FALSE,"Plan1";#N/A,#N/A,FALSE,"Plan2"}</definedName>
    <definedName name="sdgft" localSheetId="12" hidden="1">{#N/A,#N/A,FALSE,"Plan1";#N/A,#N/A,FALSE,"Plan2"}</definedName>
    <definedName name="sdgft" hidden="1">{#N/A,#N/A,FALSE,"Plan1";#N/A,#N/A,FALSE,"Plan2"}</definedName>
    <definedName name="sdgt" localSheetId="3" hidden="1">{#N/A,#N/A,FALSE,"Plan1";#N/A,#N/A,FALSE,"Plan2"}</definedName>
    <definedName name="sdgt" localSheetId="8">{#N/A,#N/A,FALSE,"Plan1";#N/A,#N/A,FALSE,"Plan2"}</definedName>
    <definedName name="sdgt" localSheetId="5" hidden="1">{#N/A,#N/A,FALSE,"Plan1";#N/A,#N/A,FALSE,"Plan2"}</definedName>
    <definedName name="sdgt" localSheetId="4" hidden="1">{#N/A,#N/A,FALSE,"Plan1";#N/A,#N/A,FALSE,"Plan2"}</definedName>
    <definedName name="sdgt" localSheetId="9">{#N/A,#N/A,FALSE,"Plan1";#N/A,#N/A,FALSE,"Plan2"}</definedName>
    <definedName name="sdgt" localSheetId="10" hidden="1">{#N/A,#N/A,FALSE,"Plan1";#N/A,#N/A,FALSE,"Plan2"}</definedName>
    <definedName name="sdgt" localSheetId="1" hidden="1">{#N/A,#N/A,FALSE,"Plan1";#N/A,#N/A,FALSE,"Plan2"}</definedName>
    <definedName name="sdgt" localSheetId="0">{#N/A,#N/A,FALSE,"Plan1";#N/A,#N/A,FALSE,"Plan2"}</definedName>
    <definedName name="sdgt" localSheetId="11" hidden="1">{#N/A,#N/A,FALSE,"Plan1";#N/A,#N/A,FALSE,"Plan2"}</definedName>
    <definedName name="sdgt" localSheetId="12" hidden="1">{#N/A,#N/A,FALSE,"Plan1";#N/A,#N/A,FALSE,"Plan2"}</definedName>
    <definedName name="sdgt" hidden="1">{#N/A,#N/A,FALSE,"Plan1";#N/A,#N/A,FALSE,"Plan2"}</definedName>
    <definedName name="sdgtry" localSheetId="8">#REF!</definedName>
    <definedName name="sdgtry" localSheetId="5" hidden="1">#REF!</definedName>
    <definedName name="sdgtry" localSheetId="9">#REF!</definedName>
    <definedName name="sdgtry" localSheetId="10" hidden="1">#REF!</definedName>
    <definedName name="sdgtry" localSheetId="1" hidden="1">#REF!</definedName>
    <definedName name="sdgtry" localSheetId="0">#REF!</definedName>
    <definedName name="sdgtry" localSheetId="11" hidden="1">#REF!</definedName>
    <definedName name="sdgtry" localSheetId="12" hidden="1">#REF!</definedName>
    <definedName name="sdgtry" hidden="1">#REF!</definedName>
    <definedName name="sdhfghdsfg" localSheetId="3" hidden="1">{#N/A,#N/A,FALSE,"Plan1";#N/A,#N/A,FALSE,"Plan2"}</definedName>
    <definedName name="sdhfghdsfg" localSheetId="8">{#N/A,#N/A,FALSE,"Plan1";#N/A,#N/A,FALSE,"Plan2"}</definedName>
    <definedName name="sdhfghdsfg" localSheetId="5" hidden="1">{#N/A,#N/A,FALSE,"Plan1";#N/A,#N/A,FALSE,"Plan2"}</definedName>
    <definedName name="sdhfghdsfg" localSheetId="4" hidden="1">{#N/A,#N/A,FALSE,"Plan1";#N/A,#N/A,FALSE,"Plan2"}</definedName>
    <definedName name="sdhfghdsfg" localSheetId="9">{#N/A,#N/A,FALSE,"Plan1";#N/A,#N/A,FALSE,"Plan2"}</definedName>
    <definedName name="sdhfghdsfg" localSheetId="10" hidden="1">{#N/A,#N/A,FALSE,"Plan1";#N/A,#N/A,FALSE,"Plan2"}</definedName>
    <definedName name="sdhfghdsfg" localSheetId="1" hidden="1">{#N/A,#N/A,FALSE,"Plan1";#N/A,#N/A,FALSE,"Plan2"}</definedName>
    <definedName name="sdhfghdsfg" localSheetId="0">{#N/A,#N/A,FALSE,"Plan1";#N/A,#N/A,FALSE,"Plan2"}</definedName>
    <definedName name="sdhfghdsfg" localSheetId="11" hidden="1">{#N/A,#N/A,FALSE,"Plan1";#N/A,#N/A,FALSE,"Plan2"}</definedName>
    <definedName name="sdhfghdsfg" localSheetId="12" hidden="1">{#N/A,#N/A,FALSE,"Plan1";#N/A,#N/A,FALSE,"Plan2"}</definedName>
    <definedName name="sdhfghdsfg" hidden="1">{#N/A,#N/A,FALSE,"Plan1";#N/A,#N/A,FALSE,"Plan2"}</definedName>
    <definedName name="SDHFJKHDFJRE" localSheetId="3" hidden="1">{#N/A,#N/A,FALSE,"Plan1";#N/A,#N/A,FALSE,"Plan2"}</definedName>
    <definedName name="SDHFJKHDFJRE" localSheetId="8">{#N/A,#N/A,FALSE,"Plan1";#N/A,#N/A,FALSE,"Plan2"}</definedName>
    <definedName name="SDHFJKHDFJRE" localSheetId="5" hidden="1">{#N/A,#N/A,FALSE,"Plan1";#N/A,#N/A,FALSE,"Plan2"}</definedName>
    <definedName name="SDHFJKHDFJRE" localSheetId="4" hidden="1">{#N/A,#N/A,FALSE,"Plan1";#N/A,#N/A,FALSE,"Plan2"}</definedName>
    <definedName name="SDHFJKHDFJRE" localSheetId="9">{#N/A,#N/A,FALSE,"Plan1";#N/A,#N/A,FALSE,"Plan2"}</definedName>
    <definedName name="SDHFJKHDFJRE" localSheetId="10" hidden="1">{#N/A,#N/A,FALSE,"Plan1";#N/A,#N/A,FALSE,"Plan2"}</definedName>
    <definedName name="SDHFJKHDFJRE" localSheetId="1" hidden="1">{#N/A,#N/A,FALSE,"Plan1";#N/A,#N/A,FALSE,"Plan2"}</definedName>
    <definedName name="SDHFJKHDFJRE" localSheetId="0">{#N/A,#N/A,FALSE,"Plan1";#N/A,#N/A,FALSE,"Plan2"}</definedName>
    <definedName name="SDHFJKHDFJRE" localSheetId="11" hidden="1">{#N/A,#N/A,FALSE,"Plan1";#N/A,#N/A,FALSE,"Plan2"}</definedName>
    <definedName name="SDHFJKHDFJRE" localSheetId="12" hidden="1">{#N/A,#N/A,FALSE,"Plan1";#N/A,#N/A,FALSE,"Plan2"}</definedName>
    <definedName name="SDHFJKHDFJRE" hidden="1">{#N/A,#N/A,FALSE,"Plan1";#N/A,#N/A,FALSE,"Plan2"}</definedName>
    <definedName name="SDHKFDRKGTR" localSheetId="3" hidden="1">{#N/A,#N/A,FALSE,"Plan1";#N/A,#N/A,FALSE,"Plan2"}</definedName>
    <definedName name="SDHKFDRKGTR" localSheetId="8">{#N/A,#N/A,FALSE,"Plan1";#N/A,#N/A,FALSE,"Plan2"}</definedName>
    <definedName name="SDHKFDRKGTR" localSheetId="5" hidden="1">{#N/A,#N/A,FALSE,"Plan1";#N/A,#N/A,FALSE,"Plan2"}</definedName>
    <definedName name="SDHKFDRKGTR" localSheetId="4" hidden="1">{#N/A,#N/A,FALSE,"Plan1";#N/A,#N/A,FALSE,"Plan2"}</definedName>
    <definedName name="SDHKFDRKGTR" localSheetId="9">{#N/A,#N/A,FALSE,"Plan1";#N/A,#N/A,FALSE,"Plan2"}</definedName>
    <definedName name="SDHKFDRKGTR" localSheetId="10" hidden="1">{#N/A,#N/A,FALSE,"Plan1";#N/A,#N/A,FALSE,"Plan2"}</definedName>
    <definedName name="SDHKFDRKGTR" localSheetId="1" hidden="1">{#N/A,#N/A,FALSE,"Plan1";#N/A,#N/A,FALSE,"Plan2"}</definedName>
    <definedName name="SDHKFDRKGTR" localSheetId="0">{#N/A,#N/A,FALSE,"Plan1";#N/A,#N/A,FALSE,"Plan2"}</definedName>
    <definedName name="SDHKFDRKGTR" localSheetId="11" hidden="1">{#N/A,#N/A,FALSE,"Plan1";#N/A,#N/A,FALSE,"Plan2"}</definedName>
    <definedName name="SDHKFDRKGTR" localSheetId="12" hidden="1">{#N/A,#N/A,FALSE,"Plan1";#N/A,#N/A,FALSE,"Plan2"}</definedName>
    <definedName name="SDHKFDRKGTR" hidden="1">{#N/A,#N/A,FALSE,"Plan1";#N/A,#N/A,FALSE,"Plan2"}</definedName>
    <definedName name="sdjdswger" localSheetId="3" hidden="1">{#N/A,#N/A,FALSE,"Plan1";#N/A,#N/A,FALSE,"Plan2"}</definedName>
    <definedName name="sdjdswger" localSheetId="8">{#N/A,#N/A,FALSE,"Plan1";#N/A,#N/A,FALSE,"Plan2"}</definedName>
    <definedName name="sdjdswger" localSheetId="5" hidden="1">{#N/A,#N/A,FALSE,"Plan1";#N/A,#N/A,FALSE,"Plan2"}</definedName>
    <definedName name="sdjdswger" localSheetId="4" hidden="1">{#N/A,#N/A,FALSE,"Plan1";#N/A,#N/A,FALSE,"Plan2"}</definedName>
    <definedName name="sdjdswger" localSheetId="9">{#N/A,#N/A,FALSE,"Plan1";#N/A,#N/A,FALSE,"Plan2"}</definedName>
    <definedName name="sdjdswger" localSheetId="10" hidden="1">{#N/A,#N/A,FALSE,"Plan1";#N/A,#N/A,FALSE,"Plan2"}</definedName>
    <definedName name="sdjdswger" localSheetId="1" hidden="1">{#N/A,#N/A,FALSE,"Plan1";#N/A,#N/A,FALSE,"Plan2"}</definedName>
    <definedName name="sdjdswger" localSheetId="0">{#N/A,#N/A,FALSE,"Plan1";#N/A,#N/A,FALSE,"Plan2"}</definedName>
    <definedName name="sdjdswger" localSheetId="11" hidden="1">{#N/A,#N/A,FALSE,"Plan1";#N/A,#N/A,FALSE,"Plan2"}</definedName>
    <definedName name="sdjdswger" localSheetId="12" hidden="1">{#N/A,#N/A,FALSE,"Plan1";#N/A,#N/A,FALSE,"Plan2"}</definedName>
    <definedName name="sdjdswger" hidden="1">{#N/A,#N/A,FALSE,"Plan1";#N/A,#N/A,FALSE,"Plan2"}</definedName>
    <definedName name="sdjfdf" localSheetId="3" hidden="1">{#N/A,#N/A,FALSE,"Plan1";#N/A,#N/A,FALSE,"Plan2"}</definedName>
    <definedName name="sdjfdf" localSheetId="8">{#N/A,#N/A,FALSE,"Plan1";#N/A,#N/A,FALSE,"Plan2"}</definedName>
    <definedName name="sdjfdf" localSheetId="5" hidden="1">{#N/A,#N/A,FALSE,"Plan1";#N/A,#N/A,FALSE,"Plan2"}</definedName>
    <definedName name="sdjfdf" localSheetId="4" hidden="1">{#N/A,#N/A,FALSE,"Plan1";#N/A,#N/A,FALSE,"Plan2"}</definedName>
    <definedName name="sdjfdf" localSheetId="9">{#N/A,#N/A,FALSE,"Plan1";#N/A,#N/A,FALSE,"Plan2"}</definedName>
    <definedName name="sdjfdf" localSheetId="10" hidden="1">{#N/A,#N/A,FALSE,"Plan1";#N/A,#N/A,FALSE,"Plan2"}</definedName>
    <definedName name="sdjfdf" localSheetId="1" hidden="1">{#N/A,#N/A,FALSE,"Plan1";#N/A,#N/A,FALSE,"Plan2"}</definedName>
    <definedName name="sdjfdf" localSheetId="0">{#N/A,#N/A,FALSE,"Plan1";#N/A,#N/A,FALSE,"Plan2"}</definedName>
    <definedName name="sdjfdf" localSheetId="11" hidden="1">{#N/A,#N/A,FALSE,"Plan1";#N/A,#N/A,FALSE,"Plan2"}</definedName>
    <definedName name="sdjfdf" localSheetId="12" hidden="1">{#N/A,#N/A,FALSE,"Plan1";#N/A,#N/A,FALSE,"Plan2"}</definedName>
    <definedName name="sdjfdf" hidden="1">{#N/A,#N/A,FALSE,"Plan1";#N/A,#N/A,FALSE,"Plan2"}</definedName>
    <definedName name="sdjfhdjk" localSheetId="3" hidden="1">{#N/A,#N/A,FALSE,"Plan1";#N/A,#N/A,FALSE,"Plan2"}</definedName>
    <definedName name="sdjfhdjk" localSheetId="8">{#N/A,#N/A,FALSE,"Plan1";#N/A,#N/A,FALSE,"Plan2"}</definedName>
    <definedName name="sdjfhdjk" localSheetId="5" hidden="1">{#N/A,#N/A,FALSE,"Plan1";#N/A,#N/A,FALSE,"Plan2"}</definedName>
    <definedName name="sdjfhdjk" localSheetId="4" hidden="1">{#N/A,#N/A,FALSE,"Plan1";#N/A,#N/A,FALSE,"Plan2"}</definedName>
    <definedName name="sdjfhdjk" localSheetId="9">{#N/A,#N/A,FALSE,"Plan1";#N/A,#N/A,FALSE,"Plan2"}</definedName>
    <definedName name="sdjfhdjk" localSheetId="10" hidden="1">{#N/A,#N/A,FALSE,"Plan1";#N/A,#N/A,FALSE,"Plan2"}</definedName>
    <definedName name="sdjfhdjk" localSheetId="1" hidden="1">{#N/A,#N/A,FALSE,"Plan1";#N/A,#N/A,FALSE,"Plan2"}</definedName>
    <definedName name="sdjfhdjk" localSheetId="0">{#N/A,#N/A,FALSE,"Plan1";#N/A,#N/A,FALSE,"Plan2"}</definedName>
    <definedName name="sdjfhdjk" localSheetId="11" hidden="1">{#N/A,#N/A,FALSE,"Plan1";#N/A,#N/A,FALSE,"Plan2"}</definedName>
    <definedName name="sdjfhdjk" localSheetId="12" hidden="1">{#N/A,#N/A,FALSE,"Plan1";#N/A,#N/A,FALSE,"Plan2"}</definedName>
    <definedName name="sdjfhdjk" hidden="1">{#N/A,#N/A,FALSE,"Plan1";#N/A,#N/A,FALSE,"Plan2"}</definedName>
    <definedName name="SDJFJDER" localSheetId="3" hidden="1">{#N/A,#N/A,FALSE,"Plan1";#N/A,#N/A,FALSE,"Plan2"}</definedName>
    <definedName name="SDJFJDER" localSheetId="8">{#N/A,#N/A,FALSE,"Plan1";#N/A,#N/A,FALSE,"Plan2"}</definedName>
    <definedName name="SDJFJDER" localSheetId="5" hidden="1">{#N/A,#N/A,FALSE,"Plan1";#N/A,#N/A,FALSE,"Plan2"}</definedName>
    <definedName name="SDJFJDER" localSheetId="4" hidden="1">{#N/A,#N/A,FALSE,"Plan1";#N/A,#N/A,FALSE,"Plan2"}</definedName>
    <definedName name="SDJFJDER" localSheetId="9">{#N/A,#N/A,FALSE,"Plan1";#N/A,#N/A,FALSE,"Plan2"}</definedName>
    <definedName name="SDJFJDER" localSheetId="10" hidden="1">{#N/A,#N/A,FALSE,"Plan1";#N/A,#N/A,FALSE,"Plan2"}</definedName>
    <definedName name="SDJFJDER" localSheetId="1" hidden="1">{#N/A,#N/A,FALSE,"Plan1";#N/A,#N/A,FALSE,"Plan2"}</definedName>
    <definedName name="SDJFJDER" localSheetId="0">{#N/A,#N/A,FALSE,"Plan1";#N/A,#N/A,FALSE,"Plan2"}</definedName>
    <definedName name="SDJFJDER" localSheetId="11" hidden="1">{#N/A,#N/A,FALSE,"Plan1";#N/A,#N/A,FALSE,"Plan2"}</definedName>
    <definedName name="SDJFJDER" localSheetId="12" hidden="1">{#N/A,#N/A,FALSE,"Plan1";#N/A,#N/A,FALSE,"Plan2"}</definedName>
    <definedName name="SDJFJDER" hidden="1">{#N/A,#N/A,FALSE,"Plan1";#N/A,#N/A,FALSE,"Plan2"}</definedName>
    <definedName name="sdjflsdjfl" localSheetId="3" hidden="1">{#N/A,#N/A,FALSE,"Plan1";#N/A,#N/A,FALSE,"Plan2"}</definedName>
    <definedName name="sdjflsdjfl" localSheetId="8">{#N/A,#N/A,FALSE,"Plan1";#N/A,#N/A,FALSE,"Plan2"}</definedName>
    <definedName name="sdjflsdjfl" localSheetId="5" hidden="1">{#N/A,#N/A,FALSE,"Plan1";#N/A,#N/A,FALSE,"Plan2"}</definedName>
    <definedName name="sdjflsdjfl" localSheetId="4" hidden="1">{#N/A,#N/A,FALSE,"Plan1";#N/A,#N/A,FALSE,"Plan2"}</definedName>
    <definedName name="sdjflsdjfl" localSheetId="9">{#N/A,#N/A,FALSE,"Plan1";#N/A,#N/A,FALSE,"Plan2"}</definedName>
    <definedName name="sdjflsdjfl" localSheetId="10" hidden="1">{#N/A,#N/A,FALSE,"Plan1";#N/A,#N/A,FALSE,"Plan2"}</definedName>
    <definedName name="sdjflsdjfl" localSheetId="1" hidden="1">{#N/A,#N/A,FALSE,"Plan1";#N/A,#N/A,FALSE,"Plan2"}</definedName>
    <definedName name="sdjflsdjfl" localSheetId="0">{#N/A,#N/A,FALSE,"Plan1";#N/A,#N/A,FALSE,"Plan2"}</definedName>
    <definedName name="sdjflsdjfl" localSheetId="11" hidden="1">{#N/A,#N/A,FALSE,"Plan1";#N/A,#N/A,FALSE,"Plan2"}</definedName>
    <definedName name="sdjflsdjfl" localSheetId="12" hidden="1">{#N/A,#N/A,FALSE,"Plan1";#N/A,#N/A,FALSE,"Plan2"}</definedName>
    <definedName name="sdjflsdjfl" hidden="1">{#N/A,#N/A,FALSE,"Plan1";#N/A,#N/A,FALSE,"Plan2"}</definedName>
    <definedName name="SDJHF" localSheetId="3" hidden="1">{#N/A,#N/A,FALSE,"Plan1";#N/A,#N/A,FALSE,"Plan2"}</definedName>
    <definedName name="SDJHF" localSheetId="8">{#N/A,#N/A,FALSE,"Plan1";#N/A,#N/A,FALSE,"Plan2"}</definedName>
    <definedName name="SDJHF" localSheetId="5" hidden="1">{#N/A,#N/A,FALSE,"Plan1";#N/A,#N/A,FALSE,"Plan2"}</definedName>
    <definedName name="SDJHF" localSheetId="4" hidden="1">{#N/A,#N/A,FALSE,"Plan1";#N/A,#N/A,FALSE,"Plan2"}</definedName>
    <definedName name="SDJHF" localSheetId="9">{#N/A,#N/A,FALSE,"Plan1";#N/A,#N/A,FALSE,"Plan2"}</definedName>
    <definedName name="SDJHF" localSheetId="10" hidden="1">{#N/A,#N/A,FALSE,"Plan1";#N/A,#N/A,FALSE,"Plan2"}</definedName>
    <definedName name="SDJHF" localSheetId="1" hidden="1">{#N/A,#N/A,FALSE,"Plan1";#N/A,#N/A,FALSE,"Plan2"}</definedName>
    <definedName name="SDJHF" localSheetId="0">{#N/A,#N/A,FALSE,"Plan1";#N/A,#N/A,FALSE,"Plan2"}</definedName>
    <definedName name="SDJHF" localSheetId="11" hidden="1">{#N/A,#N/A,FALSE,"Plan1";#N/A,#N/A,FALSE,"Plan2"}</definedName>
    <definedName name="SDJHF" localSheetId="12" hidden="1">{#N/A,#N/A,FALSE,"Plan1";#N/A,#N/A,FALSE,"Plan2"}</definedName>
    <definedName name="SDJHF" hidden="1">{#N/A,#N/A,FALSE,"Plan1";#N/A,#N/A,FALSE,"Plan2"}</definedName>
    <definedName name="sdjrderertrr" localSheetId="3" hidden="1">{#N/A,#N/A,FALSE,"Plan1";#N/A,#N/A,FALSE,"Plan2"}</definedName>
    <definedName name="sdjrderertrr" localSheetId="8">{#N/A,#N/A,FALSE,"Plan1";#N/A,#N/A,FALSE,"Plan2"}</definedName>
    <definedName name="sdjrderertrr" localSheetId="5" hidden="1">{#N/A,#N/A,FALSE,"Plan1";#N/A,#N/A,FALSE,"Plan2"}</definedName>
    <definedName name="sdjrderertrr" localSheetId="4" hidden="1">{#N/A,#N/A,FALSE,"Plan1";#N/A,#N/A,FALSE,"Plan2"}</definedName>
    <definedName name="sdjrderertrr" localSheetId="9">{#N/A,#N/A,FALSE,"Plan1";#N/A,#N/A,FALSE,"Plan2"}</definedName>
    <definedName name="sdjrderertrr" localSheetId="10" hidden="1">{#N/A,#N/A,FALSE,"Plan1";#N/A,#N/A,FALSE,"Plan2"}</definedName>
    <definedName name="sdjrderertrr" localSheetId="1" hidden="1">{#N/A,#N/A,FALSE,"Plan1";#N/A,#N/A,FALSE,"Plan2"}</definedName>
    <definedName name="sdjrderertrr" localSheetId="0">{#N/A,#N/A,FALSE,"Plan1";#N/A,#N/A,FALSE,"Plan2"}</definedName>
    <definedName name="sdjrderertrr" localSheetId="11" hidden="1">{#N/A,#N/A,FALSE,"Plan1";#N/A,#N/A,FALSE,"Plan2"}</definedName>
    <definedName name="sdjrderertrr" localSheetId="12" hidden="1">{#N/A,#N/A,FALSE,"Plan1";#N/A,#N/A,FALSE,"Plan2"}</definedName>
    <definedName name="sdjrderertrr" hidden="1">{#N/A,#N/A,FALSE,"Plan1";#N/A,#N/A,FALSE,"Plan2"}</definedName>
    <definedName name="sdkdjk" localSheetId="3" hidden="1">{#N/A,#N/A,FALSE,"Plan1";#N/A,#N/A,FALSE,"Plan2"}</definedName>
    <definedName name="sdkdjk" localSheetId="8">{#N/A,#N/A,FALSE,"Plan1";#N/A,#N/A,FALSE,"Plan2"}</definedName>
    <definedName name="sdkdjk" localSheetId="5" hidden="1">{#N/A,#N/A,FALSE,"Plan1";#N/A,#N/A,FALSE,"Plan2"}</definedName>
    <definedName name="sdkdjk" localSheetId="4" hidden="1">{#N/A,#N/A,FALSE,"Plan1";#N/A,#N/A,FALSE,"Plan2"}</definedName>
    <definedName name="sdkdjk" localSheetId="9">{#N/A,#N/A,FALSE,"Plan1";#N/A,#N/A,FALSE,"Plan2"}</definedName>
    <definedName name="sdkdjk" localSheetId="10" hidden="1">{#N/A,#N/A,FALSE,"Plan1";#N/A,#N/A,FALSE,"Plan2"}</definedName>
    <definedName name="sdkdjk" localSheetId="1" hidden="1">{#N/A,#N/A,FALSE,"Plan1";#N/A,#N/A,FALSE,"Plan2"}</definedName>
    <definedName name="sdkdjk" localSheetId="0">{#N/A,#N/A,FALSE,"Plan1";#N/A,#N/A,FALSE,"Plan2"}</definedName>
    <definedName name="sdkdjk" localSheetId="11" hidden="1">{#N/A,#N/A,FALSE,"Plan1";#N/A,#N/A,FALSE,"Plan2"}</definedName>
    <definedName name="sdkdjk" localSheetId="12" hidden="1">{#N/A,#N/A,FALSE,"Plan1";#N/A,#N/A,FALSE,"Plan2"}</definedName>
    <definedName name="sdkdjk" hidden="1">{#N/A,#N/A,FALSE,"Plan1";#N/A,#N/A,FALSE,"Plan2"}</definedName>
    <definedName name="sdkfjhkdgfhk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jhkdgfhk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kfnjd" localSheetId="3" hidden="1">{#N/A,#N/A,FALSE,"Plan1";#N/A,#N/A,FALSE,"Plan2"}</definedName>
    <definedName name="sdkfnjd" localSheetId="8">{#N/A,#N/A,FALSE,"Plan1";#N/A,#N/A,FALSE,"Plan2"}</definedName>
    <definedName name="sdkfnjd" localSheetId="5" hidden="1">{#N/A,#N/A,FALSE,"Plan1";#N/A,#N/A,FALSE,"Plan2"}</definedName>
    <definedName name="sdkfnjd" localSheetId="4" hidden="1">{#N/A,#N/A,FALSE,"Plan1";#N/A,#N/A,FALSE,"Plan2"}</definedName>
    <definedName name="sdkfnjd" localSheetId="9">{#N/A,#N/A,FALSE,"Plan1";#N/A,#N/A,FALSE,"Plan2"}</definedName>
    <definedName name="sdkfnjd" localSheetId="10" hidden="1">{#N/A,#N/A,FALSE,"Plan1";#N/A,#N/A,FALSE,"Plan2"}</definedName>
    <definedName name="sdkfnjd" localSheetId="1" hidden="1">{#N/A,#N/A,FALSE,"Plan1";#N/A,#N/A,FALSE,"Plan2"}</definedName>
    <definedName name="sdkfnjd" localSheetId="0">{#N/A,#N/A,FALSE,"Plan1";#N/A,#N/A,FALSE,"Plan2"}</definedName>
    <definedName name="sdkfnjd" localSheetId="11" hidden="1">{#N/A,#N/A,FALSE,"Plan1";#N/A,#N/A,FALSE,"Plan2"}</definedName>
    <definedName name="sdkfnjd" localSheetId="12" hidden="1">{#N/A,#N/A,FALSE,"Plan1";#N/A,#N/A,FALSE,"Plan2"}</definedName>
    <definedName name="sdkfnjd" hidden="1">{#N/A,#N/A,FALSE,"Plan1";#N/A,#N/A,FALSE,"Plan2"}</definedName>
    <definedName name="sdkk" localSheetId="3" hidden="1">{#N/A,#N/A,FALSE,"Plan1";#N/A,#N/A,FALSE,"Plan2"}</definedName>
    <definedName name="sdkk" localSheetId="8">{#N/A,#N/A,FALSE,"Plan1";#N/A,#N/A,FALSE,"Plan2"}</definedName>
    <definedName name="sdkk" localSheetId="5" hidden="1">{#N/A,#N/A,FALSE,"Plan1";#N/A,#N/A,FALSE,"Plan2"}</definedName>
    <definedName name="sdkk" localSheetId="4" hidden="1">{#N/A,#N/A,FALSE,"Plan1";#N/A,#N/A,FALSE,"Plan2"}</definedName>
    <definedName name="sdkk" localSheetId="9">{#N/A,#N/A,FALSE,"Plan1";#N/A,#N/A,FALSE,"Plan2"}</definedName>
    <definedName name="sdkk" localSheetId="10" hidden="1">{#N/A,#N/A,FALSE,"Plan1";#N/A,#N/A,FALSE,"Plan2"}</definedName>
    <definedName name="sdkk" localSheetId="1" hidden="1">{#N/A,#N/A,FALSE,"Plan1";#N/A,#N/A,FALSE,"Plan2"}</definedName>
    <definedName name="sdkk" localSheetId="0">{#N/A,#N/A,FALSE,"Plan1";#N/A,#N/A,FALSE,"Plan2"}</definedName>
    <definedName name="sdkk" localSheetId="11" hidden="1">{#N/A,#N/A,FALSE,"Plan1";#N/A,#N/A,FALSE,"Plan2"}</definedName>
    <definedName name="sdkk" localSheetId="12" hidden="1">{#N/A,#N/A,FALSE,"Plan1";#N/A,#N/A,FALSE,"Plan2"}</definedName>
    <definedName name="sdkk" hidden="1">{#N/A,#N/A,FALSE,"Plan1";#N/A,#N/A,FALSE,"Plan2"}</definedName>
    <definedName name="sdlfsdflj" localSheetId="3" hidden="1">{#N/A,#N/A,FALSE,"Plan1";#N/A,#N/A,FALSE,"Plan2"}</definedName>
    <definedName name="sdlfsdflj" localSheetId="8">{#N/A,#N/A,FALSE,"Plan1";#N/A,#N/A,FALSE,"Plan2"}</definedName>
    <definedName name="sdlfsdflj" localSheetId="5" hidden="1">{#N/A,#N/A,FALSE,"Plan1";#N/A,#N/A,FALSE,"Plan2"}</definedName>
    <definedName name="sdlfsdflj" localSheetId="4" hidden="1">{#N/A,#N/A,FALSE,"Plan1";#N/A,#N/A,FALSE,"Plan2"}</definedName>
    <definedName name="sdlfsdflj" localSheetId="9">{#N/A,#N/A,FALSE,"Plan1";#N/A,#N/A,FALSE,"Plan2"}</definedName>
    <definedName name="sdlfsdflj" localSheetId="10" hidden="1">{#N/A,#N/A,FALSE,"Plan1";#N/A,#N/A,FALSE,"Plan2"}</definedName>
    <definedName name="sdlfsdflj" localSheetId="1" hidden="1">{#N/A,#N/A,FALSE,"Plan1";#N/A,#N/A,FALSE,"Plan2"}</definedName>
    <definedName name="sdlfsdflj" localSheetId="0">{#N/A,#N/A,FALSE,"Plan1";#N/A,#N/A,FALSE,"Plan2"}</definedName>
    <definedName name="sdlfsdflj" localSheetId="11" hidden="1">{#N/A,#N/A,FALSE,"Plan1";#N/A,#N/A,FALSE,"Plan2"}</definedName>
    <definedName name="sdlfsdflj" localSheetId="12" hidden="1">{#N/A,#N/A,FALSE,"Plan1";#N/A,#N/A,FALSE,"Plan2"}</definedName>
    <definedName name="sdlfsdflj" hidden="1">{#N/A,#N/A,FALSE,"Plan1";#N/A,#N/A,FALSE,"Plan2"}</definedName>
    <definedName name="sdmfmdfsgfd" localSheetId="3" hidden="1">{#N/A,#N/A,FALSE,"Plan1";#N/A,#N/A,FALSE,"Plan2"}</definedName>
    <definedName name="sdmfmdfsgfd" localSheetId="8">{#N/A,#N/A,FALSE,"Plan1";#N/A,#N/A,FALSE,"Plan2"}</definedName>
    <definedName name="sdmfmdfsgfd" localSheetId="5" hidden="1">{#N/A,#N/A,FALSE,"Plan1";#N/A,#N/A,FALSE,"Plan2"}</definedName>
    <definedName name="sdmfmdfsgfd" localSheetId="4" hidden="1">{#N/A,#N/A,FALSE,"Plan1";#N/A,#N/A,FALSE,"Plan2"}</definedName>
    <definedName name="sdmfmdfsgfd" localSheetId="9">{#N/A,#N/A,FALSE,"Plan1";#N/A,#N/A,FALSE,"Plan2"}</definedName>
    <definedName name="sdmfmdfsgfd" localSheetId="10" hidden="1">{#N/A,#N/A,FALSE,"Plan1";#N/A,#N/A,FALSE,"Plan2"}</definedName>
    <definedName name="sdmfmdfsgfd" localSheetId="1" hidden="1">{#N/A,#N/A,FALSE,"Plan1";#N/A,#N/A,FALSE,"Plan2"}</definedName>
    <definedName name="sdmfmdfsgfd" localSheetId="0">{#N/A,#N/A,FALSE,"Plan1";#N/A,#N/A,FALSE,"Plan2"}</definedName>
    <definedName name="sdmfmdfsgfd" localSheetId="11" hidden="1">{#N/A,#N/A,FALSE,"Plan1";#N/A,#N/A,FALSE,"Plan2"}</definedName>
    <definedName name="sdmfmdfsgfd" localSheetId="12" hidden="1">{#N/A,#N/A,FALSE,"Plan1";#N/A,#N/A,FALSE,"Plan2"}</definedName>
    <definedName name="sdmfmdfsgfd" hidden="1">{#N/A,#N/A,FALSE,"Plan1";#N/A,#N/A,FALSE,"Plan2"}</definedName>
    <definedName name="sd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rfgt" localSheetId="3" hidden="1">{#N/A,#N/A,FALSE,"Plan1";#N/A,#N/A,FALSE,"Plan2"}</definedName>
    <definedName name="sdrfgt" localSheetId="8">{#N/A,#N/A,FALSE,"Plan1";#N/A,#N/A,FALSE,"Plan2"}</definedName>
    <definedName name="sdrfgt" localSheetId="5" hidden="1">{#N/A,#N/A,FALSE,"Plan1";#N/A,#N/A,FALSE,"Plan2"}</definedName>
    <definedName name="sdrfgt" localSheetId="4" hidden="1">{#N/A,#N/A,FALSE,"Plan1";#N/A,#N/A,FALSE,"Plan2"}</definedName>
    <definedName name="sdrfgt" localSheetId="9">{#N/A,#N/A,FALSE,"Plan1";#N/A,#N/A,FALSE,"Plan2"}</definedName>
    <definedName name="sdrfgt" localSheetId="10" hidden="1">{#N/A,#N/A,FALSE,"Plan1";#N/A,#N/A,FALSE,"Plan2"}</definedName>
    <definedName name="sdrfgt" localSheetId="1" hidden="1">{#N/A,#N/A,FALSE,"Plan1";#N/A,#N/A,FALSE,"Plan2"}</definedName>
    <definedName name="sdrfgt" localSheetId="0">{#N/A,#N/A,FALSE,"Plan1";#N/A,#N/A,FALSE,"Plan2"}</definedName>
    <definedName name="sdrfgt" localSheetId="11" hidden="1">{#N/A,#N/A,FALSE,"Plan1";#N/A,#N/A,FALSE,"Plan2"}</definedName>
    <definedName name="sdrfgt" localSheetId="12" hidden="1">{#N/A,#N/A,FALSE,"Plan1";#N/A,#N/A,FALSE,"Plan2"}</definedName>
    <definedName name="sdrfgt" hidden="1">{#N/A,#N/A,FALSE,"Plan1";#N/A,#N/A,FALSE,"Plan2"}</definedName>
    <definedName name="sdsd" localSheetId="3" hidden="1">{#N/A,#N/A,FALSE,"Plan1";#N/A,#N/A,FALSE,"Plan2"}</definedName>
    <definedName name="sdsd" localSheetId="8">{#N/A,#N/A,FALSE,"Plan1";#N/A,#N/A,FALSE,"Plan2"}</definedName>
    <definedName name="sdsd" localSheetId="5" hidden="1">{#N/A,#N/A,FALSE,"Plan1";#N/A,#N/A,FALSE,"Plan2"}</definedName>
    <definedName name="sdsd" localSheetId="4" hidden="1">{#N/A,#N/A,FALSE,"Plan1";#N/A,#N/A,FALSE,"Plan2"}</definedName>
    <definedName name="sdsd" localSheetId="9">{#N/A,#N/A,FALSE,"Plan1";#N/A,#N/A,FALSE,"Plan2"}</definedName>
    <definedName name="sdsd" localSheetId="10" hidden="1">{#N/A,#N/A,FALSE,"Plan1";#N/A,#N/A,FALSE,"Plan2"}</definedName>
    <definedName name="sdsd" localSheetId="1" hidden="1">{#N/A,#N/A,FALSE,"Plan1";#N/A,#N/A,FALSE,"Plan2"}</definedName>
    <definedName name="sdsd" localSheetId="0">{#N/A,#N/A,FALSE,"Plan1";#N/A,#N/A,FALSE,"Plan2"}</definedName>
    <definedName name="sdsd" localSheetId="11" hidden="1">{#N/A,#N/A,FALSE,"Plan1";#N/A,#N/A,FALSE,"Plan2"}</definedName>
    <definedName name="sdsd" localSheetId="12" hidden="1">{#N/A,#N/A,FALSE,"Plan1";#N/A,#N/A,FALSE,"Plan2"}</definedName>
    <definedName name="sdsd" hidden="1">{#N/A,#N/A,FALSE,"Plan1";#N/A,#N/A,FALSE,"Plan2"}</definedName>
    <definedName name="sdser" localSheetId="3" hidden="1">{#N/A,#N/A,FALSE,"Plan1";#N/A,#N/A,FALSE,"Plan2"}</definedName>
    <definedName name="sdser" localSheetId="8">{#N/A,#N/A,FALSE,"Plan1";#N/A,#N/A,FALSE,"Plan2"}</definedName>
    <definedName name="sdser" localSheetId="5" hidden="1">{#N/A,#N/A,FALSE,"Plan1";#N/A,#N/A,FALSE,"Plan2"}</definedName>
    <definedName name="sdser" localSheetId="4" hidden="1">{#N/A,#N/A,FALSE,"Plan1";#N/A,#N/A,FALSE,"Plan2"}</definedName>
    <definedName name="sdser" localSheetId="9">{#N/A,#N/A,FALSE,"Plan1";#N/A,#N/A,FALSE,"Plan2"}</definedName>
    <definedName name="sdser" localSheetId="10" hidden="1">{#N/A,#N/A,FALSE,"Plan1";#N/A,#N/A,FALSE,"Plan2"}</definedName>
    <definedName name="sdser" localSheetId="1" hidden="1">{#N/A,#N/A,FALSE,"Plan1";#N/A,#N/A,FALSE,"Plan2"}</definedName>
    <definedName name="sdser" localSheetId="0">{#N/A,#N/A,FALSE,"Plan1";#N/A,#N/A,FALSE,"Plan2"}</definedName>
    <definedName name="sdser" localSheetId="11" hidden="1">{#N/A,#N/A,FALSE,"Plan1";#N/A,#N/A,FALSE,"Plan2"}</definedName>
    <definedName name="sdser" localSheetId="12" hidden="1">{#N/A,#N/A,FALSE,"Plan1";#N/A,#N/A,FALSE,"Plan2"}</definedName>
    <definedName name="sdser" hidden="1">{#N/A,#N/A,FALSE,"Plan1";#N/A,#N/A,FALSE,"Plan2"}</definedName>
    <definedName name="sdsre" localSheetId="3" hidden="1">{#N/A,#N/A,FALSE,"Plan1";#N/A,#N/A,FALSE,"Plan2"}</definedName>
    <definedName name="sdsre" localSheetId="8">{#N/A,#N/A,FALSE,"Plan1";#N/A,#N/A,FALSE,"Plan2"}</definedName>
    <definedName name="sdsre" localSheetId="5" hidden="1">{#N/A,#N/A,FALSE,"Plan1";#N/A,#N/A,FALSE,"Plan2"}</definedName>
    <definedName name="sdsre" localSheetId="4" hidden="1">{#N/A,#N/A,FALSE,"Plan1";#N/A,#N/A,FALSE,"Plan2"}</definedName>
    <definedName name="sdsre" localSheetId="9">{#N/A,#N/A,FALSE,"Plan1";#N/A,#N/A,FALSE,"Plan2"}</definedName>
    <definedName name="sdsre" localSheetId="10" hidden="1">{#N/A,#N/A,FALSE,"Plan1";#N/A,#N/A,FALSE,"Plan2"}</definedName>
    <definedName name="sdsre" localSheetId="1" hidden="1">{#N/A,#N/A,FALSE,"Plan1";#N/A,#N/A,FALSE,"Plan2"}</definedName>
    <definedName name="sdsre" localSheetId="0">{#N/A,#N/A,FALSE,"Plan1";#N/A,#N/A,FALSE,"Plan2"}</definedName>
    <definedName name="sdsre" localSheetId="11" hidden="1">{#N/A,#N/A,FALSE,"Plan1";#N/A,#N/A,FALSE,"Plan2"}</definedName>
    <definedName name="sdsre" localSheetId="12" hidden="1">{#N/A,#N/A,FALSE,"Plan1";#N/A,#N/A,FALSE,"Plan2"}</definedName>
    <definedName name="sdsre" hidden="1">{#N/A,#N/A,FALSE,"Plan1";#N/A,#N/A,FALSE,"Plan2"}</definedName>
    <definedName name="sdss" localSheetId="3" hidden="1">{#N/A,#N/A,FALSE,"Plan1";#N/A,#N/A,FALSE,"Plan2"}</definedName>
    <definedName name="sdss" localSheetId="8">{#N/A,#N/A,FALSE,"Plan1";#N/A,#N/A,FALSE,"Plan2"}</definedName>
    <definedName name="sdss" localSheetId="5" hidden="1">{#N/A,#N/A,FALSE,"Plan1";#N/A,#N/A,FALSE,"Plan2"}</definedName>
    <definedName name="sdss" localSheetId="4" hidden="1">{#N/A,#N/A,FALSE,"Plan1";#N/A,#N/A,FALSE,"Plan2"}</definedName>
    <definedName name="sdss" localSheetId="9">{#N/A,#N/A,FALSE,"Plan1";#N/A,#N/A,FALSE,"Plan2"}</definedName>
    <definedName name="sdss" localSheetId="10" hidden="1">{#N/A,#N/A,FALSE,"Plan1";#N/A,#N/A,FALSE,"Plan2"}</definedName>
    <definedName name="sdss" localSheetId="1" hidden="1">{#N/A,#N/A,FALSE,"Plan1";#N/A,#N/A,FALSE,"Plan2"}</definedName>
    <definedName name="sdss" localSheetId="0">{#N/A,#N/A,FALSE,"Plan1";#N/A,#N/A,FALSE,"Plan2"}</definedName>
    <definedName name="sdss" localSheetId="11" hidden="1">{#N/A,#N/A,FALSE,"Plan1";#N/A,#N/A,FALSE,"Plan2"}</definedName>
    <definedName name="sdss" localSheetId="12" hidden="1">{#N/A,#N/A,FALSE,"Plan1";#N/A,#N/A,FALSE,"Plan2"}</definedName>
    <definedName name="sdss" hidden="1">{#N/A,#N/A,FALSE,"Plan1";#N/A,#N/A,FALSE,"Plan2"}</definedName>
    <definedName name="sdtrtg" localSheetId="8">#REF!</definedName>
    <definedName name="sdtrtg" localSheetId="5" hidden="1">#REF!</definedName>
    <definedName name="sdtrtg" localSheetId="9">#REF!</definedName>
    <definedName name="sdtrtg" localSheetId="10" hidden="1">#REF!</definedName>
    <definedName name="sdtrtg" localSheetId="1" hidden="1">#REF!</definedName>
    <definedName name="sdtrtg" localSheetId="0">#REF!</definedName>
    <definedName name="sdtrtg" localSheetId="11" hidden="1">#REF!</definedName>
    <definedName name="sdtrtg" localSheetId="12" hidden="1">#REF!</definedName>
    <definedName name="sdtrtg" hidden="1">#REF!</definedName>
    <definedName name="sdusi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usi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DWER" localSheetId="3" hidden="1">{"Econ Consolidado",#N/A,FALSE,"Econ Consol";"Fluxo de Caixa",#N/A,FALSE,"Fluxo Caixa";"Investimentos",#N/A,FALSE,"Investimentos"}</definedName>
    <definedName name="SDWER" localSheetId="8">{"Econ Consolidado",#N/A,FALSE,"Econ Consol";"Fluxo de Caixa",#N/A,FALSE,"Fluxo Caixa";"Investimentos",#N/A,FALSE,"Investimentos"}</definedName>
    <definedName name="SDWER" localSheetId="5" hidden="1">{"Econ Consolidado",#N/A,FALSE,"Econ Consol";"Fluxo de Caixa",#N/A,FALSE,"Fluxo Caixa";"Investimentos",#N/A,FALSE,"Investimentos"}</definedName>
    <definedName name="SDWER" localSheetId="4" hidden="1">{"Econ Consolidado",#N/A,FALSE,"Econ Consol";"Fluxo de Caixa",#N/A,FALSE,"Fluxo Caixa";"Investimentos",#N/A,FALSE,"Investimentos"}</definedName>
    <definedName name="SDWER" localSheetId="9">{"Econ Consolidado",#N/A,FALSE,"Econ Consol";"Fluxo de Caixa",#N/A,FALSE,"Fluxo Caixa";"Investimentos",#N/A,FALSE,"Investimentos"}</definedName>
    <definedName name="SDWER" localSheetId="10" hidden="1">{"Econ Consolidado",#N/A,FALSE,"Econ Consol";"Fluxo de Caixa",#N/A,FALSE,"Fluxo Caixa";"Investimentos",#N/A,FALSE,"Investimentos"}</definedName>
    <definedName name="SDWER" localSheetId="1" hidden="1">{"Econ Consolidado",#N/A,FALSE,"Econ Consol";"Fluxo de Caixa",#N/A,FALSE,"Fluxo Caixa";"Investimentos",#N/A,FALSE,"Investimentos"}</definedName>
    <definedName name="SDWER" localSheetId="0">{"Econ Consolidado",#N/A,FALSE,"Econ Consol";"Fluxo de Caixa",#N/A,FALSE,"Fluxo Caixa";"Investimentos",#N/A,FALSE,"Investimentos"}</definedName>
    <definedName name="SDWER" localSheetId="11" hidden="1">{"Econ Consolidado",#N/A,FALSE,"Econ Consol";"Fluxo de Caixa",#N/A,FALSE,"Fluxo Caixa";"Investimentos",#N/A,FALSE,"Investimentos"}</definedName>
    <definedName name="SDWER" localSheetId="12" hidden="1">{"Econ Consolidado",#N/A,FALSE,"Econ Consol";"Fluxo de Caixa",#N/A,FALSE,"Fluxo Caixa";"Investimentos",#N/A,FALSE,"Investimentos"}</definedName>
    <definedName name="SDWER" hidden="1">{"Econ Consolidado",#N/A,FALSE,"Econ Consol";"Fluxo de Caixa",#N/A,FALSE,"Fluxo Caixa";"Investimentos",#N/A,FALSE,"Investimentos"}</definedName>
    <definedName name="sdxfrt" localSheetId="3" hidden="1">{#N/A,#N/A,FALSE,"Plan1";#N/A,#N/A,FALSE,"Plan2"}</definedName>
    <definedName name="sdxfrt" localSheetId="8">{#N/A,#N/A,FALSE,"Plan1";#N/A,#N/A,FALSE,"Plan2"}</definedName>
    <definedName name="sdxfrt" localSheetId="5" hidden="1">{#N/A,#N/A,FALSE,"Plan1";#N/A,#N/A,FALSE,"Plan2"}</definedName>
    <definedName name="sdxfrt" localSheetId="4" hidden="1">{#N/A,#N/A,FALSE,"Plan1";#N/A,#N/A,FALSE,"Plan2"}</definedName>
    <definedName name="sdxfrt" localSheetId="9">{#N/A,#N/A,FALSE,"Plan1";#N/A,#N/A,FALSE,"Plan2"}</definedName>
    <definedName name="sdxfrt" localSheetId="10" hidden="1">{#N/A,#N/A,FALSE,"Plan1";#N/A,#N/A,FALSE,"Plan2"}</definedName>
    <definedName name="sdxfrt" localSheetId="1" hidden="1">{#N/A,#N/A,FALSE,"Plan1";#N/A,#N/A,FALSE,"Plan2"}</definedName>
    <definedName name="sdxfrt" localSheetId="0">{#N/A,#N/A,FALSE,"Plan1";#N/A,#N/A,FALSE,"Plan2"}</definedName>
    <definedName name="sdxfrt" localSheetId="11" hidden="1">{#N/A,#N/A,FALSE,"Plan1";#N/A,#N/A,FALSE,"Plan2"}</definedName>
    <definedName name="sdxfrt" localSheetId="12" hidden="1">{#N/A,#N/A,FALSE,"Plan1";#N/A,#N/A,FALSE,"Plan2"}</definedName>
    <definedName name="sdxfrt" hidden="1">{#N/A,#N/A,FALSE,"Plan1";#N/A,#N/A,FALSE,"Plan2"}</definedName>
    <definedName name="SDZFERF" localSheetId="3" hidden="1">{#N/A,#N/A,FALSE,"Plan1";#N/A,#N/A,FALSE,"Plan2"}</definedName>
    <definedName name="SDZFERF" localSheetId="8">{#N/A,#N/A,FALSE,"Plan1";#N/A,#N/A,FALSE,"Plan2"}</definedName>
    <definedName name="SDZFERF" localSheetId="5" hidden="1">{#N/A,#N/A,FALSE,"Plan1";#N/A,#N/A,FALSE,"Plan2"}</definedName>
    <definedName name="SDZFERF" localSheetId="4" hidden="1">{#N/A,#N/A,FALSE,"Plan1";#N/A,#N/A,FALSE,"Plan2"}</definedName>
    <definedName name="SDZFERF" localSheetId="9">{#N/A,#N/A,FALSE,"Plan1";#N/A,#N/A,FALSE,"Plan2"}</definedName>
    <definedName name="SDZFERF" localSheetId="10" hidden="1">{#N/A,#N/A,FALSE,"Plan1";#N/A,#N/A,FALSE,"Plan2"}</definedName>
    <definedName name="SDZFERF" localSheetId="1" hidden="1">{#N/A,#N/A,FALSE,"Plan1";#N/A,#N/A,FALSE,"Plan2"}</definedName>
    <definedName name="SDZFERF" localSheetId="0">{#N/A,#N/A,FALSE,"Plan1";#N/A,#N/A,FALSE,"Plan2"}</definedName>
    <definedName name="SDZFERF" localSheetId="11" hidden="1">{#N/A,#N/A,FALSE,"Plan1";#N/A,#N/A,FALSE,"Plan2"}</definedName>
    <definedName name="SDZFERF" localSheetId="12" hidden="1">{#N/A,#N/A,FALSE,"Plan1";#N/A,#N/A,FALSE,"Plan2"}</definedName>
    <definedName name="SDZFERF" hidden="1">{#N/A,#N/A,FALSE,"Plan1";#N/A,#N/A,FALSE,"Plan2"}</definedName>
    <definedName name="se" localSheetId="8">#REF!</definedName>
    <definedName name="se" localSheetId="5">#REF!</definedName>
    <definedName name="se" localSheetId="9">#REF!</definedName>
    <definedName name="se" localSheetId="10">#REF!</definedName>
    <definedName name="se" localSheetId="0">#REF!</definedName>
    <definedName name="se" localSheetId="11">#REF!</definedName>
    <definedName name="se" localSheetId="12">#REF!</definedName>
    <definedName name="se">#REF!</definedName>
    <definedName name="SEDE" localSheetId="8">#REF!</definedName>
    <definedName name="SEDE" localSheetId="5">#REF!</definedName>
    <definedName name="SEDE" localSheetId="9">#REF!</definedName>
    <definedName name="SEDE" localSheetId="10">#REF!</definedName>
    <definedName name="SEDE" localSheetId="0">#REF!</definedName>
    <definedName name="SEDE" localSheetId="11">#REF!</definedName>
    <definedName name="SEDE" localSheetId="12">#REF!</definedName>
    <definedName name="SEDE">#REF!</definedName>
    <definedName name="sefret4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fret4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EG" localSheetId="8">#REF!</definedName>
    <definedName name="SEG" localSheetId="5">#REF!</definedName>
    <definedName name="SEG" localSheetId="9">#REF!</definedName>
    <definedName name="SEG" localSheetId="10">#REF!</definedName>
    <definedName name="SEG" localSheetId="1">#REF!</definedName>
    <definedName name="SEG" localSheetId="0">#REF!</definedName>
    <definedName name="SEG" localSheetId="11">#REF!</definedName>
    <definedName name="SEG" localSheetId="12">#REF!</definedName>
    <definedName name="SEG">#REF!</definedName>
    <definedName name="segftru" localSheetId="3" hidden="1">{#N/A,#N/A,FALSE,"Plan1";#N/A,#N/A,FALSE,"Plan2"}</definedName>
    <definedName name="segftru" localSheetId="8">{#N/A,#N/A,FALSE,"Plan1";#N/A,#N/A,FALSE,"Plan2"}</definedName>
    <definedName name="segftru" localSheetId="5" hidden="1">{#N/A,#N/A,FALSE,"Plan1";#N/A,#N/A,FALSE,"Plan2"}</definedName>
    <definedName name="segftru" localSheetId="4" hidden="1">{#N/A,#N/A,FALSE,"Plan1";#N/A,#N/A,FALSE,"Plan2"}</definedName>
    <definedName name="segftru" localSheetId="9">{#N/A,#N/A,FALSE,"Plan1";#N/A,#N/A,FALSE,"Plan2"}</definedName>
    <definedName name="segftru" localSheetId="10" hidden="1">{#N/A,#N/A,FALSE,"Plan1";#N/A,#N/A,FALSE,"Plan2"}</definedName>
    <definedName name="segftru" localSheetId="1" hidden="1">{#N/A,#N/A,FALSE,"Plan1";#N/A,#N/A,FALSE,"Plan2"}</definedName>
    <definedName name="segftru" localSheetId="0">{#N/A,#N/A,FALSE,"Plan1";#N/A,#N/A,FALSE,"Plan2"}</definedName>
    <definedName name="segftru" localSheetId="11" hidden="1">{#N/A,#N/A,FALSE,"Plan1";#N/A,#N/A,FALSE,"Plan2"}</definedName>
    <definedName name="segftru" localSheetId="12" hidden="1">{#N/A,#N/A,FALSE,"Plan1";#N/A,#N/A,FALSE,"Plan2"}</definedName>
    <definedName name="segftru" hidden="1">{#N/A,#N/A,FALSE,"Plan1";#N/A,#N/A,FALSE,"Plan2"}</definedName>
    <definedName name="SegmentaçãodeDados_UF1">""</definedName>
    <definedName name="SegmentaçãodeDados_UF11">""</definedName>
    <definedName name="SegmentaçãodeDados_UF12">""</definedName>
    <definedName name="SEIS" localSheetId="8">#REF!</definedName>
    <definedName name="SEIS" localSheetId="5">#REF!</definedName>
    <definedName name="SEIS" localSheetId="9">#REF!</definedName>
    <definedName name="SEIS" localSheetId="10">#REF!</definedName>
    <definedName name="SEIS" localSheetId="0">#REF!</definedName>
    <definedName name="SEIS" localSheetId="11">#REF!</definedName>
    <definedName name="SEIS" localSheetId="12">#REF!</definedName>
    <definedName name="SEIS">#REF!</definedName>
    <definedName name="sencount" localSheetId="3" hidden="1">1</definedName>
    <definedName name="sencount" localSheetId="5" hidden="1">3</definedName>
    <definedName name="sencount" localSheetId="4" hidden="1">1</definedName>
    <definedName name="sencount" localSheetId="10" hidden="1">1</definedName>
    <definedName name="sencount" localSheetId="1" hidden="1">3</definedName>
    <definedName name="sencount" localSheetId="11" hidden="1">1</definedName>
    <definedName name="sencount" localSheetId="12" hidden="1">1</definedName>
    <definedName name="sencount" hidden="1">3</definedName>
    <definedName name="SEQUENCIA" localSheetId="8">#REF!</definedName>
    <definedName name="SEQUENCIA" localSheetId="5">#REF!</definedName>
    <definedName name="SEQUENCIA" localSheetId="9">#REF!</definedName>
    <definedName name="SEQUENCIA" localSheetId="10">#REF!</definedName>
    <definedName name="SEQUENCIA" localSheetId="0">#REF!</definedName>
    <definedName name="SEQUENCIA" localSheetId="11">#REF!</definedName>
    <definedName name="SEQUENCIA" localSheetId="12">#REF!</definedName>
    <definedName name="SEQUENCIA">#REF!</definedName>
    <definedName name="SEREWRSWE" localSheetId="3" hidden="1">{"tabela",#N/A,FALSE,"Tabela";"decoração",#N/A,FALSE,"Decor.";"Informações",#N/A,FALSE,"Inform."}</definedName>
    <definedName name="SEREWRSWE" localSheetId="8">{"tabela",#N/A,FALSE,"Tabela";"decoração",#N/A,FALSE,"Decor.";"Informações",#N/A,FALSE,"Inform."}</definedName>
    <definedName name="SEREWRSWE" localSheetId="5" hidden="1">{"tabela",#N/A,FALSE,"Tabela";"decoração",#N/A,FALSE,"Decor.";"Informações",#N/A,FALSE,"Inform."}</definedName>
    <definedName name="SEREWRSWE" localSheetId="4" hidden="1">{"tabela",#N/A,FALSE,"Tabela";"decoração",#N/A,FALSE,"Decor.";"Informações",#N/A,FALSE,"Inform."}</definedName>
    <definedName name="SEREWRSWE" localSheetId="9">{"tabela",#N/A,FALSE,"Tabela";"decoração",#N/A,FALSE,"Decor.";"Informações",#N/A,FALSE,"Inform."}</definedName>
    <definedName name="SEREWRSWE" localSheetId="10" hidden="1">{"tabela",#N/A,FALSE,"Tabela";"decoração",#N/A,FALSE,"Decor.";"Informações",#N/A,FALSE,"Inform."}</definedName>
    <definedName name="SEREWRSWE" localSheetId="1" hidden="1">{"tabela",#N/A,FALSE,"Tabela";"decoração",#N/A,FALSE,"Decor.";"Informações",#N/A,FALSE,"Inform."}</definedName>
    <definedName name="SEREWRSWE" localSheetId="0">{"tabela",#N/A,FALSE,"Tabela";"decoração",#N/A,FALSE,"Decor.";"Informações",#N/A,FALSE,"Inform."}</definedName>
    <definedName name="SEREWRSWE" localSheetId="11" hidden="1">{"tabela",#N/A,FALSE,"Tabela";"decoração",#N/A,FALSE,"Decor.";"Informações",#N/A,FALSE,"Inform."}</definedName>
    <definedName name="SEREWRSWE" localSheetId="12" hidden="1">{"tabela",#N/A,FALSE,"Tabela";"decoração",#N/A,FALSE,"Decor.";"Informações",#N/A,FALSE,"Inform."}</definedName>
    <definedName name="SEREWRSWE" hidden="1">{"tabela",#N/A,FALSE,"Tabela";"decoração",#N/A,FALSE,"Decor.";"Informações",#N/A,FALSE,"Inform."}</definedName>
    <definedName name="Set_17" localSheetId="8">#REF!</definedName>
    <definedName name="Set_17" localSheetId="5">#REF!</definedName>
    <definedName name="Set_17" localSheetId="9">#REF!</definedName>
    <definedName name="Set_17" localSheetId="10">#REF!</definedName>
    <definedName name="Set_17" localSheetId="0">#REF!</definedName>
    <definedName name="Set_17" localSheetId="11">#REF!</definedName>
    <definedName name="Set_17" localSheetId="12">#REF!</definedName>
    <definedName name="Set_17">#REF!</definedName>
    <definedName name="SETE" localSheetId="8">#REF!</definedName>
    <definedName name="SETE" localSheetId="5">#REF!</definedName>
    <definedName name="SETE" localSheetId="9">#REF!</definedName>
    <definedName name="SETE" localSheetId="10">#REF!</definedName>
    <definedName name="SETE" localSheetId="0">#REF!</definedName>
    <definedName name="SETE" localSheetId="11">#REF!</definedName>
    <definedName name="SETE" localSheetId="12">#REF!</definedName>
    <definedName name="SETE">#REF!</definedName>
    <definedName name="SETEMBRO" localSheetId="8">#REF!</definedName>
    <definedName name="SETEMBRO" localSheetId="5">#REF!</definedName>
    <definedName name="SETEMBRO" localSheetId="9">#REF!</definedName>
    <definedName name="SETEMBRO" localSheetId="10">#REF!</definedName>
    <definedName name="SETEMBRO" localSheetId="0">#REF!</definedName>
    <definedName name="SETEMBRO" localSheetId="11">#REF!</definedName>
    <definedName name="SETEMBRO" localSheetId="12">#REF!</definedName>
    <definedName name="SETEMBRO">#REF!</definedName>
    <definedName name="setRJ17" localSheetId="8">#REF!</definedName>
    <definedName name="setRJ17" localSheetId="5">#REF!</definedName>
    <definedName name="setRJ17" localSheetId="10">#REF!</definedName>
    <definedName name="setRJ17" localSheetId="11">#REF!</definedName>
    <definedName name="setRJ17" localSheetId="12">#REF!</definedName>
    <definedName name="setRJ17">#REF!</definedName>
    <definedName name="severo" localSheetId="8">#REF!</definedName>
    <definedName name="severo" localSheetId="5">#REF!</definedName>
    <definedName name="severo" localSheetId="10">#REF!</definedName>
    <definedName name="severo" localSheetId="11">#REF!</definedName>
    <definedName name="severo" localSheetId="12">#REF!</definedName>
    <definedName name="severo">#REF!</definedName>
    <definedName name="sf" localSheetId="3" hidden="1">{#N/A,#N/A,FALSE,"Plan1";#N/A,#N/A,FALSE,"Plan2"}</definedName>
    <definedName name="sf" localSheetId="8">{#N/A,#N/A,FALSE,"Plan1";#N/A,#N/A,FALSE,"Plan2"}</definedName>
    <definedName name="sf" localSheetId="5" hidden="1">{#N/A,#N/A,FALSE,"Plan1";#N/A,#N/A,FALSE,"Plan2"}</definedName>
    <definedName name="sf" localSheetId="4" hidden="1">{#N/A,#N/A,FALSE,"Plan1";#N/A,#N/A,FALSE,"Plan2"}</definedName>
    <definedName name="sf" localSheetId="9">{#N/A,#N/A,FALSE,"Plan1";#N/A,#N/A,FALSE,"Plan2"}</definedName>
    <definedName name="sf" localSheetId="10" hidden="1">{#N/A,#N/A,FALSE,"Plan1";#N/A,#N/A,FALSE,"Plan2"}</definedName>
    <definedName name="sf" localSheetId="1" hidden="1">{#N/A,#N/A,FALSE,"Plan1";#N/A,#N/A,FALSE,"Plan2"}</definedName>
    <definedName name="sf" localSheetId="0">{#N/A,#N/A,FALSE,"Plan1";#N/A,#N/A,FALSE,"Plan2"}</definedName>
    <definedName name="sf" localSheetId="11" hidden="1">{#N/A,#N/A,FALSE,"Plan1";#N/A,#N/A,FALSE,"Plan2"}</definedName>
    <definedName name="sf" localSheetId="12" hidden="1">{#N/A,#N/A,FALSE,"Plan1";#N/A,#N/A,FALSE,"Plan2"}</definedName>
    <definedName name="sf" hidden="1">{#N/A,#N/A,FALSE,"Plan1";#N/A,#N/A,FALSE,"Plan2"}</definedName>
    <definedName name="sfcre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cre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fddfd" localSheetId="3" hidden="1">{#N/A,#N/A,FALSE,"Plan1";#N/A,#N/A,FALSE,"Plan2"}</definedName>
    <definedName name="sfddfd" localSheetId="8">{#N/A,#N/A,FALSE,"Plan1";#N/A,#N/A,FALSE,"Plan2"}</definedName>
    <definedName name="sfddfd" localSheetId="5" hidden="1">{#N/A,#N/A,FALSE,"Plan1";#N/A,#N/A,FALSE,"Plan2"}</definedName>
    <definedName name="sfddfd" localSheetId="4" hidden="1">{#N/A,#N/A,FALSE,"Plan1";#N/A,#N/A,FALSE,"Plan2"}</definedName>
    <definedName name="sfddfd" localSheetId="9">{#N/A,#N/A,FALSE,"Plan1";#N/A,#N/A,FALSE,"Plan2"}</definedName>
    <definedName name="sfddfd" localSheetId="10" hidden="1">{#N/A,#N/A,FALSE,"Plan1";#N/A,#N/A,FALSE,"Plan2"}</definedName>
    <definedName name="sfddfd" localSheetId="1" hidden="1">{#N/A,#N/A,FALSE,"Plan1";#N/A,#N/A,FALSE,"Plan2"}</definedName>
    <definedName name="sfddfd" localSheetId="0">{#N/A,#N/A,FALSE,"Plan1";#N/A,#N/A,FALSE,"Plan2"}</definedName>
    <definedName name="sfddfd" localSheetId="11" hidden="1">{#N/A,#N/A,FALSE,"Plan1";#N/A,#N/A,FALSE,"Plan2"}</definedName>
    <definedName name="sfddfd" localSheetId="12" hidden="1">{#N/A,#N/A,FALSE,"Plan1";#N/A,#N/A,FALSE,"Plan2"}</definedName>
    <definedName name="sfddfd" hidden="1">{#N/A,#N/A,FALSE,"Plan1";#N/A,#N/A,FALSE,"Plan2"}</definedName>
    <definedName name="sfds" localSheetId="3" hidden="1">{#N/A,#N/A,FALSE,"Plan1";#N/A,#N/A,FALSE,"Plan2"}</definedName>
    <definedName name="sfds" localSheetId="8">{#N/A,#N/A,FALSE,"Plan1";#N/A,#N/A,FALSE,"Plan2"}</definedName>
    <definedName name="sfds" localSheetId="5" hidden="1">{#N/A,#N/A,FALSE,"Plan1";#N/A,#N/A,FALSE,"Plan2"}</definedName>
    <definedName name="sfds" localSheetId="4" hidden="1">{#N/A,#N/A,FALSE,"Plan1";#N/A,#N/A,FALSE,"Plan2"}</definedName>
    <definedName name="sfds" localSheetId="9">{#N/A,#N/A,FALSE,"Plan1";#N/A,#N/A,FALSE,"Plan2"}</definedName>
    <definedName name="sfds" localSheetId="10" hidden="1">{#N/A,#N/A,FALSE,"Plan1";#N/A,#N/A,FALSE,"Plan2"}</definedName>
    <definedName name="sfds" localSheetId="1" hidden="1">{#N/A,#N/A,FALSE,"Plan1";#N/A,#N/A,FALSE,"Plan2"}</definedName>
    <definedName name="sfds" localSheetId="0">{#N/A,#N/A,FALSE,"Plan1";#N/A,#N/A,FALSE,"Plan2"}</definedName>
    <definedName name="sfds" localSheetId="11" hidden="1">{#N/A,#N/A,FALSE,"Plan1";#N/A,#N/A,FALSE,"Plan2"}</definedName>
    <definedName name="sfds" localSheetId="12" hidden="1">{#N/A,#N/A,FALSE,"Plan1";#N/A,#N/A,FALSE,"Plan2"}</definedName>
    <definedName name="sfds" hidden="1">{#N/A,#N/A,FALSE,"Plan1";#N/A,#N/A,FALSE,"Plan2"}</definedName>
    <definedName name="sfdsd" localSheetId="3" hidden="1">{#N/A,#N/A,FALSE,"Plan1";#N/A,#N/A,FALSE,"Plan2"}</definedName>
    <definedName name="sfdsd" localSheetId="8">{#N/A,#N/A,FALSE,"Plan1";#N/A,#N/A,FALSE,"Plan2"}</definedName>
    <definedName name="sfdsd" localSheetId="5" hidden="1">{#N/A,#N/A,FALSE,"Plan1";#N/A,#N/A,FALSE,"Plan2"}</definedName>
    <definedName name="sfdsd" localSheetId="4" hidden="1">{#N/A,#N/A,FALSE,"Plan1";#N/A,#N/A,FALSE,"Plan2"}</definedName>
    <definedName name="sfdsd" localSheetId="9">{#N/A,#N/A,FALSE,"Plan1";#N/A,#N/A,FALSE,"Plan2"}</definedName>
    <definedName name="sfdsd" localSheetId="10" hidden="1">{#N/A,#N/A,FALSE,"Plan1";#N/A,#N/A,FALSE,"Plan2"}</definedName>
    <definedName name="sfdsd" localSheetId="1" hidden="1">{#N/A,#N/A,FALSE,"Plan1";#N/A,#N/A,FALSE,"Plan2"}</definedName>
    <definedName name="sfdsd" localSheetId="0">{#N/A,#N/A,FALSE,"Plan1";#N/A,#N/A,FALSE,"Plan2"}</definedName>
    <definedName name="sfdsd" localSheetId="11" hidden="1">{#N/A,#N/A,FALSE,"Plan1";#N/A,#N/A,FALSE,"Plan2"}</definedName>
    <definedName name="sfdsd" localSheetId="12" hidden="1">{#N/A,#N/A,FALSE,"Plan1";#N/A,#N/A,FALSE,"Plan2"}</definedName>
    <definedName name="sfdsd" hidden="1">{#N/A,#N/A,FALSE,"Plan1";#N/A,#N/A,FALSE,"Plan2"}</definedName>
    <definedName name="SFDSF" hidden="1">34</definedName>
    <definedName name="sfrsdrgt" localSheetId="3" hidden="1">{#N/A,#N/A,FALSE,"Plan1";#N/A,#N/A,FALSE,"Plan2"}</definedName>
    <definedName name="sfrsdrgt" localSheetId="8">{#N/A,#N/A,FALSE,"Plan1";#N/A,#N/A,FALSE,"Plan2"}</definedName>
    <definedName name="sfrsdrgt" localSheetId="5" hidden="1">{#N/A,#N/A,FALSE,"Plan1";#N/A,#N/A,FALSE,"Plan2"}</definedName>
    <definedName name="sfrsdrgt" localSheetId="4" hidden="1">{#N/A,#N/A,FALSE,"Plan1";#N/A,#N/A,FALSE,"Plan2"}</definedName>
    <definedName name="sfrsdrgt" localSheetId="9">{#N/A,#N/A,FALSE,"Plan1";#N/A,#N/A,FALSE,"Plan2"}</definedName>
    <definedName name="sfrsdrgt" localSheetId="10" hidden="1">{#N/A,#N/A,FALSE,"Plan1";#N/A,#N/A,FALSE,"Plan2"}</definedName>
    <definedName name="sfrsdrgt" localSheetId="1" hidden="1">{#N/A,#N/A,FALSE,"Plan1";#N/A,#N/A,FALSE,"Plan2"}</definedName>
    <definedName name="sfrsdrgt" localSheetId="0">{#N/A,#N/A,FALSE,"Plan1";#N/A,#N/A,FALSE,"Plan2"}</definedName>
    <definedName name="sfrsdrgt" localSheetId="11" hidden="1">{#N/A,#N/A,FALSE,"Plan1";#N/A,#N/A,FALSE,"Plan2"}</definedName>
    <definedName name="sfrsdrgt" localSheetId="12" hidden="1">{#N/A,#N/A,FALSE,"Plan1";#N/A,#N/A,FALSE,"Plan2"}</definedName>
    <definedName name="sfrsdrgt" hidden="1">{#N/A,#N/A,FALSE,"Plan1";#N/A,#N/A,FALSE,"Plan2"}</definedName>
    <definedName name="SFRT" localSheetId="3" hidden="1">{#N/A,#N/A,FALSE,"Plan1";#N/A,#N/A,FALSE,"Plan2"}</definedName>
    <definedName name="SFRT" localSheetId="8">{#N/A,#N/A,FALSE,"Plan1";#N/A,#N/A,FALSE,"Plan2"}</definedName>
    <definedName name="SFRT" localSheetId="5" hidden="1">{#N/A,#N/A,FALSE,"Plan1";#N/A,#N/A,FALSE,"Plan2"}</definedName>
    <definedName name="SFRT" localSheetId="4" hidden="1">{#N/A,#N/A,FALSE,"Plan1";#N/A,#N/A,FALSE,"Plan2"}</definedName>
    <definedName name="SFRT" localSheetId="9">{#N/A,#N/A,FALSE,"Plan1";#N/A,#N/A,FALSE,"Plan2"}</definedName>
    <definedName name="SFRT" localSheetId="10" hidden="1">{#N/A,#N/A,FALSE,"Plan1";#N/A,#N/A,FALSE,"Plan2"}</definedName>
    <definedName name="SFRT" localSheetId="1" hidden="1">{#N/A,#N/A,FALSE,"Plan1";#N/A,#N/A,FALSE,"Plan2"}</definedName>
    <definedName name="SFRT" localSheetId="0">{#N/A,#N/A,FALSE,"Plan1";#N/A,#N/A,FALSE,"Plan2"}</definedName>
    <definedName name="SFRT" localSheetId="11" hidden="1">{#N/A,#N/A,FALSE,"Plan1";#N/A,#N/A,FALSE,"Plan2"}</definedName>
    <definedName name="SFRT" localSheetId="12" hidden="1">{#N/A,#N/A,FALSE,"Plan1";#N/A,#N/A,FALSE,"Plan2"}</definedName>
    <definedName name="SFRT" hidden="1">{#N/A,#N/A,FALSE,"Plan1";#N/A,#N/A,FALSE,"Plan2"}</definedName>
    <definedName name="sfsdferf" localSheetId="3" hidden="1">{#N/A,#N/A,FALSE,"Plan1";#N/A,#N/A,FALSE,"Plan2"}</definedName>
    <definedName name="sfsdferf" localSheetId="8">{#N/A,#N/A,FALSE,"Plan1";#N/A,#N/A,FALSE,"Plan2"}</definedName>
    <definedName name="sfsdferf" localSheetId="5" hidden="1">{#N/A,#N/A,FALSE,"Plan1";#N/A,#N/A,FALSE,"Plan2"}</definedName>
    <definedName name="sfsdferf" localSheetId="4" hidden="1">{#N/A,#N/A,FALSE,"Plan1";#N/A,#N/A,FALSE,"Plan2"}</definedName>
    <definedName name="sfsdferf" localSheetId="9">{#N/A,#N/A,FALSE,"Plan1";#N/A,#N/A,FALSE,"Plan2"}</definedName>
    <definedName name="sfsdferf" localSheetId="10" hidden="1">{#N/A,#N/A,FALSE,"Plan1";#N/A,#N/A,FALSE,"Plan2"}</definedName>
    <definedName name="sfsdferf" localSheetId="1" hidden="1">{#N/A,#N/A,FALSE,"Plan1";#N/A,#N/A,FALSE,"Plan2"}</definedName>
    <definedName name="sfsdferf" localSheetId="0">{#N/A,#N/A,FALSE,"Plan1";#N/A,#N/A,FALSE,"Plan2"}</definedName>
    <definedName name="sfsdferf" localSheetId="11" hidden="1">{#N/A,#N/A,FALSE,"Plan1";#N/A,#N/A,FALSE,"Plan2"}</definedName>
    <definedName name="sfsdferf" localSheetId="12" hidden="1">{#N/A,#N/A,FALSE,"Plan1";#N/A,#N/A,FALSE,"Plan2"}</definedName>
    <definedName name="sfsdferf" hidden="1">{#N/A,#N/A,FALSE,"Plan1";#N/A,#N/A,FALSE,"Plan2"}</definedName>
    <definedName name="sfsdfs" hidden="1">34</definedName>
    <definedName name="SFSDS" localSheetId="3" hidden="1">{#N/A,#N/A,FALSE,"Plan1";#N/A,#N/A,FALSE,"Plan2"}</definedName>
    <definedName name="SFSDS" localSheetId="8">{#N/A,#N/A,FALSE,"Plan1";#N/A,#N/A,FALSE,"Plan2"}</definedName>
    <definedName name="SFSDS" localSheetId="5" hidden="1">{#N/A,#N/A,FALSE,"Plan1";#N/A,#N/A,FALSE,"Plan2"}</definedName>
    <definedName name="SFSDS" localSheetId="4" hidden="1">{#N/A,#N/A,FALSE,"Plan1";#N/A,#N/A,FALSE,"Plan2"}</definedName>
    <definedName name="SFSDS" localSheetId="9">{#N/A,#N/A,FALSE,"Plan1";#N/A,#N/A,FALSE,"Plan2"}</definedName>
    <definedName name="SFSDS" localSheetId="10" hidden="1">{#N/A,#N/A,FALSE,"Plan1";#N/A,#N/A,FALSE,"Plan2"}</definedName>
    <definedName name="SFSDS" localSheetId="1" hidden="1">{#N/A,#N/A,FALSE,"Plan1";#N/A,#N/A,FALSE,"Plan2"}</definedName>
    <definedName name="SFSDS" localSheetId="0">{#N/A,#N/A,FALSE,"Plan1";#N/A,#N/A,FALSE,"Plan2"}</definedName>
    <definedName name="SFSDS" localSheetId="11" hidden="1">{#N/A,#N/A,FALSE,"Plan1";#N/A,#N/A,FALSE,"Plan2"}</definedName>
    <definedName name="SFSDS" localSheetId="12" hidden="1">{#N/A,#N/A,FALSE,"Plan1";#N/A,#N/A,FALSE,"Plan2"}</definedName>
    <definedName name="SFSDS" hidden="1">{#N/A,#N/A,FALSE,"Plan1";#N/A,#N/A,FALSE,"Plan2"}</definedName>
    <definedName name="SGarantia" localSheetId="8">#REF!</definedName>
    <definedName name="SGarantia" localSheetId="5">#REF!</definedName>
    <definedName name="SGarantia" localSheetId="9">#REF!</definedName>
    <definedName name="SGarantia" localSheetId="10">#REF!</definedName>
    <definedName name="SGarantia" localSheetId="0">#REF!</definedName>
    <definedName name="SGarantia" localSheetId="11">#REF!</definedName>
    <definedName name="SGarantia" localSheetId="12">#REF!</definedName>
    <definedName name="SGarantia">#REF!</definedName>
    <definedName name="sgtghty" localSheetId="3" hidden="1">{#N/A,#N/A,FALSE,"Plan1";#N/A,#N/A,FALSE,"Plan2"}</definedName>
    <definedName name="sgtghty" localSheetId="8">{#N/A,#N/A,FALSE,"Plan1";#N/A,#N/A,FALSE,"Plan2"}</definedName>
    <definedName name="sgtghty" localSheetId="5" hidden="1">{#N/A,#N/A,FALSE,"Plan1";#N/A,#N/A,FALSE,"Plan2"}</definedName>
    <definedName name="sgtghty" localSheetId="4" hidden="1">{#N/A,#N/A,FALSE,"Plan1";#N/A,#N/A,FALSE,"Plan2"}</definedName>
    <definedName name="sgtghty" localSheetId="9">{#N/A,#N/A,FALSE,"Plan1";#N/A,#N/A,FALSE,"Plan2"}</definedName>
    <definedName name="sgtghty" localSheetId="10" hidden="1">{#N/A,#N/A,FALSE,"Plan1";#N/A,#N/A,FALSE,"Plan2"}</definedName>
    <definedName name="sgtghty" localSheetId="1" hidden="1">{#N/A,#N/A,FALSE,"Plan1";#N/A,#N/A,FALSE,"Plan2"}</definedName>
    <definedName name="sgtghty" localSheetId="0">{#N/A,#N/A,FALSE,"Plan1";#N/A,#N/A,FALSE,"Plan2"}</definedName>
    <definedName name="sgtghty" localSheetId="11" hidden="1">{#N/A,#N/A,FALSE,"Plan1";#N/A,#N/A,FALSE,"Plan2"}</definedName>
    <definedName name="sgtghty" localSheetId="12" hidden="1">{#N/A,#N/A,FALSE,"Plan1";#N/A,#N/A,FALSE,"Plan2"}</definedName>
    <definedName name="sgtghty" hidden="1">{#N/A,#N/A,FALSE,"Plan1";#N/A,#N/A,FALSE,"Plan2"}</definedName>
    <definedName name="S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RED_FORMULA_0" localSheetId="8">#REF!</definedName>
    <definedName name="SHARED_FORMULA_0" localSheetId="9">#REF!</definedName>
    <definedName name="SHARED_FORMULA_0" localSheetId="0">#REF!</definedName>
    <definedName name="SHARED_FORMULA_0">#N/A</definedName>
    <definedName name="SHARED_FORMULA_1" localSheetId="8">#REF!</definedName>
    <definedName name="SHARED_FORMULA_1" localSheetId="9">#REF!</definedName>
    <definedName name="SHARED_FORMULA_1" localSheetId="0">#REF!</definedName>
    <definedName name="SHARED_FORMULA_1">#N/A</definedName>
    <definedName name="SHARED_FORMULA_10" localSheetId="8">#REF!</definedName>
    <definedName name="SHARED_FORMULA_10" localSheetId="9">#REF!</definedName>
    <definedName name="SHARED_FORMULA_10" localSheetId="0">#REF!</definedName>
    <definedName name="SHARED_FORMULA_10">#N/A</definedName>
    <definedName name="SHARED_FORMULA_11" localSheetId="8">#REF!</definedName>
    <definedName name="SHARED_FORMULA_11" localSheetId="9">#REF!</definedName>
    <definedName name="SHARED_FORMULA_11" localSheetId="0">#REF!</definedName>
    <definedName name="SHARED_FORMULA_11">#N/A</definedName>
    <definedName name="SHARED_FORMULA_12" localSheetId="8">#REF!</definedName>
    <definedName name="SHARED_FORMULA_12" localSheetId="9">#REF!</definedName>
    <definedName name="SHARED_FORMULA_12" localSheetId="0">#REF!</definedName>
    <definedName name="SHARED_FORMULA_12">#N/A</definedName>
    <definedName name="SHARED_FORMULA_13" localSheetId="8">#REF!</definedName>
    <definedName name="SHARED_FORMULA_13" localSheetId="9">#REF!</definedName>
    <definedName name="SHARED_FORMULA_13" localSheetId="0">#REF!</definedName>
    <definedName name="SHARED_FORMULA_13">#N/A</definedName>
    <definedName name="SHARED_FORMULA_14" localSheetId="8">#REF!</definedName>
    <definedName name="SHARED_FORMULA_14" localSheetId="9">#REF!</definedName>
    <definedName name="SHARED_FORMULA_14" localSheetId="0">#REF!</definedName>
    <definedName name="SHARED_FORMULA_14">#N/A</definedName>
    <definedName name="SHARED_FORMULA_15" localSheetId="8">#REF!</definedName>
    <definedName name="SHARED_FORMULA_15" localSheetId="9">#REF!</definedName>
    <definedName name="SHARED_FORMULA_15" localSheetId="0">#REF!</definedName>
    <definedName name="SHARED_FORMULA_15">#N/A</definedName>
    <definedName name="SHARED_FORMULA_16" localSheetId="8">#REF!</definedName>
    <definedName name="SHARED_FORMULA_16" localSheetId="9">#REF!</definedName>
    <definedName name="SHARED_FORMULA_16" localSheetId="0">#REF!</definedName>
    <definedName name="SHARED_FORMULA_16">#N/A</definedName>
    <definedName name="SHARED_FORMULA_17" localSheetId="8">#REF!</definedName>
    <definedName name="SHARED_FORMULA_17" localSheetId="9">#REF!</definedName>
    <definedName name="SHARED_FORMULA_17" localSheetId="0">#REF!</definedName>
    <definedName name="SHARED_FORMULA_17">#N/A</definedName>
    <definedName name="SHARED_FORMULA_18" localSheetId="8">#REF!</definedName>
    <definedName name="SHARED_FORMULA_18" localSheetId="9">#REF!</definedName>
    <definedName name="SHARED_FORMULA_18" localSheetId="0">#REF!</definedName>
    <definedName name="SHARED_FORMULA_18">#N/A</definedName>
    <definedName name="SHARED_FORMULA_19" localSheetId="8">#REF!</definedName>
    <definedName name="SHARED_FORMULA_19" localSheetId="9">#REF!</definedName>
    <definedName name="SHARED_FORMULA_19" localSheetId="0">#REF!</definedName>
    <definedName name="SHARED_FORMULA_19">#N/A</definedName>
    <definedName name="SHARED_FORMULA_2" localSheetId="8">#REF!</definedName>
    <definedName name="SHARED_FORMULA_2" localSheetId="9">#REF!</definedName>
    <definedName name="SHARED_FORMULA_2" localSheetId="0">#REF!</definedName>
    <definedName name="SHARED_FORMULA_2">#N/A</definedName>
    <definedName name="SHARED_FORMULA_20" localSheetId="8">#REF!</definedName>
    <definedName name="SHARED_FORMULA_20" localSheetId="9">#REF!</definedName>
    <definedName name="SHARED_FORMULA_20" localSheetId="0">#REF!</definedName>
    <definedName name="SHARED_FORMULA_20">#N/A</definedName>
    <definedName name="SHARED_FORMULA_21" localSheetId="8">#REF!</definedName>
    <definedName name="SHARED_FORMULA_21" localSheetId="9">#REF!</definedName>
    <definedName name="SHARED_FORMULA_21" localSheetId="0">#REF!</definedName>
    <definedName name="SHARED_FORMULA_21">#N/A</definedName>
    <definedName name="SHARED_FORMULA_22" localSheetId="8">#REF!</definedName>
    <definedName name="SHARED_FORMULA_22" localSheetId="9">#REF!</definedName>
    <definedName name="SHARED_FORMULA_22" localSheetId="0">#REF!</definedName>
    <definedName name="SHARED_FORMULA_22">#N/A</definedName>
    <definedName name="SHARED_FORMULA_23" localSheetId="8">#REF!</definedName>
    <definedName name="SHARED_FORMULA_23" localSheetId="9">#REF!</definedName>
    <definedName name="SHARED_FORMULA_23" localSheetId="0">#REF!</definedName>
    <definedName name="SHARED_FORMULA_23">#N/A</definedName>
    <definedName name="SHARED_FORMULA_24" localSheetId="8">#REF!</definedName>
    <definedName name="SHARED_FORMULA_24" localSheetId="9">#REF!</definedName>
    <definedName name="SHARED_FORMULA_24" localSheetId="0">#REF!</definedName>
    <definedName name="SHARED_FORMULA_24">#N/A</definedName>
    <definedName name="SHARED_FORMULA_25" localSheetId="8">#REF!</definedName>
    <definedName name="SHARED_FORMULA_25" localSheetId="9">#REF!</definedName>
    <definedName name="SHARED_FORMULA_25" localSheetId="0">#REF!</definedName>
    <definedName name="SHARED_FORMULA_25">#N/A</definedName>
    <definedName name="SHARED_FORMULA_26" localSheetId="8">#REF!</definedName>
    <definedName name="SHARED_FORMULA_26" localSheetId="9">#REF!</definedName>
    <definedName name="SHARED_FORMULA_26" localSheetId="0">#REF!</definedName>
    <definedName name="SHARED_FORMULA_26">#N/A</definedName>
    <definedName name="SHARED_FORMULA_27" localSheetId="8">#REF!</definedName>
    <definedName name="SHARED_FORMULA_27" localSheetId="9">#REF!</definedName>
    <definedName name="SHARED_FORMULA_27" localSheetId="0">#REF!</definedName>
    <definedName name="SHARED_FORMULA_27">#N/A</definedName>
    <definedName name="SHARED_FORMULA_28" localSheetId="8">#REF!</definedName>
    <definedName name="SHARED_FORMULA_28" localSheetId="9">#REF!</definedName>
    <definedName name="SHARED_FORMULA_28" localSheetId="0">#REF!</definedName>
    <definedName name="SHARED_FORMULA_28">#N/A</definedName>
    <definedName name="SHARED_FORMULA_29" localSheetId="8">#REF!</definedName>
    <definedName name="SHARED_FORMULA_29" localSheetId="9">#REF!</definedName>
    <definedName name="SHARED_FORMULA_29" localSheetId="0">#REF!</definedName>
    <definedName name="SHARED_FORMULA_29">#N/A</definedName>
    <definedName name="SHARED_FORMULA_3" localSheetId="8">#REF!</definedName>
    <definedName name="SHARED_FORMULA_3" localSheetId="9">#REF!</definedName>
    <definedName name="SHARED_FORMULA_3" localSheetId="0">#REF!</definedName>
    <definedName name="SHARED_FORMULA_3">#N/A</definedName>
    <definedName name="SHARED_FORMULA_30" localSheetId="8">#REF!</definedName>
    <definedName name="SHARED_FORMULA_30" localSheetId="9">#REF!</definedName>
    <definedName name="SHARED_FORMULA_30" localSheetId="0">#REF!</definedName>
    <definedName name="SHARED_FORMULA_30">#N/A</definedName>
    <definedName name="SHARED_FORMULA_31" localSheetId="8">#REF!</definedName>
    <definedName name="SHARED_FORMULA_31" localSheetId="9">#REF!</definedName>
    <definedName name="SHARED_FORMULA_31" localSheetId="0">#REF!</definedName>
    <definedName name="SHARED_FORMULA_31">#N/A</definedName>
    <definedName name="SHARED_FORMULA_32" localSheetId="8">#REF!</definedName>
    <definedName name="SHARED_FORMULA_32" localSheetId="9">#REF!</definedName>
    <definedName name="SHARED_FORMULA_32" localSheetId="0">#REF!</definedName>
    <definedName name="SHARED_FORMULA_32">#N/A</definedName>
    <definedName name="SHARED_FORMULA_33" localSheetId="8">#REF!</definedName>
    <definedName name="SHARED_FORMULA_33" localSheetId="9">#REF!</definedName>
    <definedName name="SHARED_FORMULA_33" localSheetId="0">#REF!</definedName>
    <definedName name="SHARED_FORMULA_33">#N/A</definedName>
    <definedName name="SHARED_FORMULA_34" localSheetId="8">#REF!</definedName>
    <definedName name="SHARED_FORMULA_34" localSheetId="9">#REF!</definedName>
    <definedName name="SHARED_FORMULA_34" localSheetId="0">#REF!</definedName>
    <definedName name="SHARED_FORMULA_34">#N/A</definedName>
    <definedName name="SHARED_FORMULA_35" localSheetId="8">#REF!</definedName>
    <definedName name="SHARED_FORMULA_35" localSheetId="9">#REF!</definedName>
    <definedName name="SHARED_FORMULA_35" localSheetId="0">#REF!</definedName>
    <definedName name="SHARED_FORMULA_35">#N/A</definedName>
    <definedName name="SHARED_FORMULA_36" localSheetId="8">#REF!</definedName>
    <definedName name="SHARED_FORMULA_36" localSheetId="9">#REF!</definedName>
    <definedName name="SHARED_FORMULA_36" localSheetId="0">#REF!</definedName>
    <definedName name="SHARED_FORMULA_36">#N/A</definedName>
    <definedName name="SHARED_FORMULA_37" localSheetId="8">#REF!</definedName>
    <definedName name="SHARED_FORMULA_37" localSheetId="9">#REF!</definedName>
    <definedName name="SHARED_FORMULA_37" localSheetId="0">#REF!</definedName>
    <definedName name="SHARED_FORMULA_37">#N/A</definedName>
    <definedName name="SHARED_FORMULA_38" localSheetId="8">#REF!</definedName>
    <definedName name="SHARED_FORMULA_38" localSheetId="9">#REF!</definedName>
    <definedName name="SHARED_FORMULA_38" localSheetId="0">#REF!</definedName>
    <definedName name="SHARED_FORMULA_38">#N/A</definedName>
    <definedName name="SHARED_FORMULA_39" localSheetId="8">#REF!</definedName>
    <definedName name="SHARED_FORMULA_39" localSheetId="9">#REF!</definedName>
    <definedName name="SHARED_FORMULA_39" localSheetId="0">#REF!</definedName>
    <definedName name="SHARED_FORMULA_39">#N/A</definedName>
    <definedName name="SHARED_FORMULA_4" localSheetId="8">#REF!</definedName>
    <definedName name="SHARED_FORMULA_4" localSheetId="9">#REF!</definedName>
    <definedName name="SHARED_FORMULA_4" localSheetId="0">#REF!</definedName>
    <definedName name="SHARED_FORMULA_4">#N/A</definedName>
    <definedName name="SHARED_FORMULA_40" localSheetId="8">#REF!</definedName>
    <definedName name="SHARED_FORMULA_40" localSheetId="9">#REF!</definedName>
    <definedName name="SHARED_FORMULA_40" localSheetId="0">#REF!</definedName>
    <definedName name="SHARED_FORMULA_40">#N/A</definedName>
    <definedName name="SHARED_FORMULA_41" localSheetId="8">#REF!</definedName>
    <definedName name="SHARED_FORMULA_41" localSheetId="9">#REF!</definedName>
    <definedName name="SHARED_FORMULA_41" localSheetId="0">#REF!</definedName>
    <definedName name="SHARED_FORMULA_41">#N/A</definedName>
    <definedName name="SHARED_FORMULA_42" localSheetId="8">#REF!</definedName>
    <definedName name="SHARED_FORMULA_42" localSheetId="9">#REF!</definedName>
    <definedName name="SHARED_FORMULA_42" localSheetId="0">#REF!</definedName>
    <definedName name="SHARED_FORMULA_42">#N/A</definedName>
    <definedName name="SHARED_FORMULA_43" localSheetId="8">#REF!</definedName>
    <definedName name="SHARED_FORMULA_43" localSheetId="9">#REF!</definedName>
    <definedName name="SHARED_FORMULA_43" localSheetId="0">#REF!</definedName>
    <definedName name="SHARED_FORMULA_43">#N/A</definedName>
    <definedName name="SHARED_FORMULA_44" localSheetId="8">#REF!</definedName>
    <definedName name="SHARED_FORMULA_44" localSheetId="9">#REF!</definedName>
    <definedName name="SHARED_FORMULA_44" localSheetId="0">#REF!</definedName>
    <definedName name="SHARED_FORMULA_44">#N/A</definedName>
    <definedName name="SHARED_FORMULA_45" localSheetId="8">#REF!</definedName>
    <definedName name="SHARED_FORMULA_45" localSheetId="9">#REF!</definedName>
    <definedName name="SHARED_FORMULA_45" localSheetId="0">#REF!</definedName>
    <definedName name="SHARED_FORMULA_45">#N/A</definedName>
    <definedName name="SHARED_FORMULA_46" localSheetId="8">#REF!</definedName>
    <definedName name="SHARED_FORMULA_46" localSheetId="9">#REF!</definedName>
    <definedName name="SHARED_FORMULA_46" localSheetId="0">#REF!</definedName>
    <definedName name="SHARED_FORMULA_46">#N/A</definedName>
    <definedName name="SHARED_FORMULA_47" localSheetId="8">#REF!</definedName>
    <definedName name="SHARED_FORMULA_47" localSheetId="9">#REF!</definedName>
    <definedName name="SHARED_FORMULA_47" localSheetId="0">#REF!</definedName>
    <definedName name="SHARED_FORMULA_47">#N/A</definedName>
    <definedName name="SHARED_FORMULA_48" localSheetId="8">#REF!</definedName>
    <definedName name="SHARED_FORMULA_48" localSheetId="9">#REF!</definedName>
    <definedName name="SHARED_FORMULA_48" localSheetId="0">#REF!</definedName>
    <definedName name="SHARED_FORMULA_48">#N/A</definedName>
    <definedName name="SHARED_FORMULA_49" localSheetId="8">#REF!</definedName>
    <definedName name="SHARED_FORMULA_49" localSheetId="9">#REF!</definedName>
    <definedName name="SHARED_FORMULA_49" localSheetId="0">#REF!</definedName>
    <definedName name="SHARED_FORMULA_49">#N/A</definedName>
    <definedName name="SHARED_FORMULA_5" localSheetId="8">#REF!</definedName>
    <definedName name="SHARED_FORMULA_5" localSheetId="9">#REF!</definedName>
    <definedName name="SHARED_FORMULA_5" localSheetId="0">#REF!</definedName>
    <definedName name="SHARED_FORMULA_5">#N/A</definedName>
    <definedName name="SHARED_FORMULA_50" localSheetId="8">#REF!</definedName>
    <definedName name="SHARED_FORMULA_50" localSheetId="9">#REF!</definedName>
    <definedName name="SHARED_FORMULA_50" localSheetId="0">#REF!</definedName>
    <definedName name="SHARED_FORMULA_50">#N/A</definedName>
    <definedName name="SHARED_FORMULA_51" localSheetId="8">#REF!</definedName>
    <definedName name="SHARED_FORMULA_51" localSheetId="9">#REF!</definedName>
    <definedName name="SHARED_FORMULA_51" localSheetId="0">#REF!</definedName>
    <definedName name="SHARED_FORMULA_51">#N/A</definedName>
    <definedName name="SHARED_FORMULA_52" localSheetId="8">#REF!</definedName>
    <definedName name="SHARED_FORMULA_52" localSheetId="9">#REF!</definedName>
    <definedName name="SHARED_FORMULA_52" localSheetId="0">#REF!</definedName>
    <definedName name="SHARED_FORMULA_52">#N/A</definedName>
    <definedName name="SHARED_FORMULA_53" localSheetId="8">#REF!</definedName>
    <definedName name="SHARED_FORMULA_53" localSheetId="9">#REF!</definedName>
    <definedName name="SHARED_FORMULA_53" localSheetId="0">#REF!</definedName>
    <definedName name="SHARED_FORMULA_53">#N/A</definedName>
    <definedName name="SHARED_FORMULA_54" localSheetId="8">#REF!</definedName>
    <definedName name="SHARED_FORMULA_54" localSheetId="9">#REF!</definedName>
    <definedName name="SHARED_FORMULA_54" localSheetId="0">#REF!</definedName>
    <definedName name="SHARED_FORMULA_54">#N/A</definedName>
    <definedName name="SHARED_FORMULA_55" localSheetId="8">#REF!</definedName>
    <definedName name="SHARED_FORMULA_55" localSheetId="9">#REF!</definedName>
    <definedName name="SHARED_FORMULA_55" localSheetId="0">#REF!</definedName>
    <definedName name="SHARED_FORMULA_55">#N/A</definedName>
    <definedName name="SHARED_FORMULA_56" localSheetId="8">#REF!</definedName>
    <definedName name="SHARED_FORMULA_56" localSheetId="9">#REF!</definedName>
    <definedName name="SHARED_FORMULA_56" localSheetId="0">#REF!</definedName>
    <definedName name="SHARED_FORMULA_56">#N/A</definedName>
    <definedName name="SHARED_FORMULA_57" localSheetId="8">#REF!</definedName>
    <definedName name="SHARED_FORMULA_57" localSheetId="9">#REF!</definedName>
    <definedName name="SHARED_FORMULA_57" localSheetId="0">#REF!</definedName>
    <definedName name="SHARED_FORMULA_57">#N/A</definedName>
    <definedName name="SHARED_FORMULA_58" localSheetId="8">#REF!</definedName>
    <definedName name="SHARED_FORMULA_58" localSheetId="9">#REF!</definedName>
    <definedName name="SHARED_FORMULA_58" localSheetId="0">#REF!</definedName>
    <definedName name="SHARED_FORMULA_58">#N/A</definedName>
    <definedName name="SHARED_FORMULA_59" localSheetId="8">#REF!</definedName>
    <definedName name="SHARED_FORMULA_59" localSheetId="9">#REF!</definedName>
    <definedName name="SHARED_FORMULA_59" localSheetId="0">#REF!</definedName>
    <definedName name="SHARED_FORMULA_59">#N/A</definedName>
    <definedName name="SHARED_FORMULA_6" localSheetId="8">#REF!</definedName>
    <definedName name="SHARED_FORMULA_6" localSheetId="9">#REF!</definedName>
    <definedName name="SHARED_FORMULA_6" localSheetId="0">#REF!</definedName>
    <definedName name="SHARED_FORMULA_6">#N/A</definedName>
    <definedName name="SHARED_FORMULA_60" localSheetId="8">#REF!</definedName>
    <definedName name="SHARED_FORMULA_60" localSheetId="9">#REF!</definedName>
    <definedName name="SHARED_FORMULA_60" localSheetId="0">#REF!</definedName>
    <definedName name="SHARED_FORMULA_60">#N/A</definedName>
    <definedName name="SHARED_FORMULA_61" localSheetId="8">#REF!</definedName>
    <definedName name="SHARED_FORMULA_61" localSheetId="9">#REF!</definedName>
    <definedName name="SHARED_FORMULA_61" localSheetId="0">#REF!</definedName>
    <definedName name="SHARED_FORMULA_61">#N/A</definedName>
    <definedName name="SHARED_FORMULA_62" localSheetId="8">#REF!</definedName>
    <definedName name="SHARED_FORMULA_62" localSheetId="9">#REF!</definedName>
    <definedName name="SHARED_FORMULA_62" localSheetId="0">#REF!</definedName>
    <definedName name="SHARED_FORMULA_62">#N/A</definedName>
    <definedName name="SHARED_FORMULA_7" localSheetId="8">#REF!</definedName>
    <definedName name="SHARED_FORMULA_7" localSheetId="9">#REF!</definedName>
    <definedName name="SHARED_FORMULA_7" localSheetId="0">#REF!</definedName>
    <definedName name="SHARED_FORMULA_7">#N/A</definedName>
    <definedName name="SHARED_FORMULA_8" localSheetId="8">#REF!</definedName>
    <definedName name="SHARED_FORMULA_8" localSheetId="9">#REF!</definedName>
    <definedName name="SHARED_FORMULA_8" localSheetId="0">#REF!</definedName>
    <definedName name="SHARED_FORMULA_8">#N/A</definedName>
    <definedName name="SHARED_FORMULA_9" localSheetId="8">#REF!</definedName>
    <definedName name="SHARED_FORMULA_9" localSheetId="9">#REF!</definedName>
    <definedName name="SHARED_FORMULA_9" localSheetId="0">#REF!</definedName>
    <definedName name="SHARED_FORMULA_9">#N/A</definedName>
    <definedName name="SIH" localSheetId="8">#REF!</definedName>
    <definedName name="SIH" localSheetId="5">#REF!</definedName>
    <definedName name="SIH" localSheetId="10">#REF!</definedName>
    <definedName name="SIH" localSheetId="1">#REF!</definedName>
    <definedName name="SIH" localSheetId="11">#REF!</definedName>
    <definedName name="SIH" localSheetId="12">#REF!</definedName>
    <definedName name="SIH">#REF!</definedName>
    <definedName name="SISTEM1" localSheetId="8">#REF!</definedName>
    <definedName name="SISTEM1" localSheetId="5">#REF!</definedName>
    <definedName name="SISTEM1" localSheetId="10">#REF!</definedName>
    <definedName name="SISTEM1" localSheetId="11">#REF!</definedName>
    <definedName name="SISTEM1" localSheetId="12">#REF!</definedName>
    <definedName name="SISTEM1">#REF!</definedName>
    <definedName name="SISTEM2" localSheetId="8">#REF!</definedName>
    <definedName name="SISTEM2" localSheetId="5">#REF!</definedName>
    <definedName name="SISTEM2" localSheetId="10">#REF!</definedName>
    <definedName name="SISTEM2" localSheetId="11">#REF!</definedName>
    <definedName name="SISTEM2" localSheetId="12">#REF!</definedName>
    <definedName name="SISTEM2">#REF!</definedName>
    <definedName name="SIV" localSheetId="8">#REF!</definedName>
    <definedName name="SIV" localSheetId="5">#REF!</definedName>
    <definedName name="SIV" localSheetId="10">#REF!</definedName>
    <definedName name="SIV" localSheetId="1">#REF!</definedName>
    <definedName name="SIV" localSheetId="11">#REF!</definedName>
    <definedName name="SIV" localSheetId="12">#REF!</definedName>
    <definedName name="SIV">#REF!</definedName>
    <definedName name="sjawe" localSheetId="3" hidden="1">{#N/A,#N/A,FALSE,"Plan1";#N/A,#N/A,FALSE,"Plan2"}</definedName>
    <definedName name="sjawe" localSheetId="8">{#N/A,#N/A,FALSE,"Plan1";#N/A,#N/A,FALSE,"Plan2"}</definedName>
    <definedName name="sjawe" localSheetId="5" hidden="1">{#N/A,#N/A,FALSE,"Plan1";#N/A,#N/A,FALSE,"Plan2"}</definedName>
    <definedName name="sjawe" localSheetId="4" hidden="1">{#N/A,#N/A,FALSE,"Plan1";#N/A,#N/A,FALSE,"Plan2"}</definedName>
    <definedName name="sjawe" localSheetId="9">{#N/A,#N/A,FALSE,"Plan1";#N/A,#N/A,FALSE,"Plan2"}</definedName>
    <definedName name="sjawe" localSheetId="10" hidden="1">{#N/A,#N/A,FALSE,"Plan1";#N/A,#N/A,FALSE,"Plan2"}</definedName>
    <definedName name="sjawe" localSheetId="1" hidden="1">{#N/A,#N/A,FALSE,"Plan1";#N/A,#N/A,FALSE,"Plan2"}</definedName>
    <definedName name="sjawe" localSheetId="0">{#N/A,#N/A,FALSE,"Plan1";#N/A,#N/A,FALSE,"Plan2"}</definedName>
    <definedName name="sjawe" localSheetId="11" hidden="1">{#N/A,#N/A,FALSE,"Plan1";#N/A,#N/A,FALSE,"Plan2"}</definedName>
    <definedName name="sjawe" localSheetId="12" hidden="1">{#N/A,#N/A,FALSE,"Plan1";#N/A,#N/A,FALSE,"Plan2"}</definedName>
    <definedName name="sjawe" hidden="1">{#N/A,#N/A,FALSE,"Plan1";#N/A,#N/A,FALSE,"Plan2"}</definedName>
    <definedName name="sjdffd" localSheetId="3" hidden="1">{#N/A,#N/A,FALSE,"Plan1";#N/A,#N/A,FALSE,"Plan2"}</definedName>
    <definedName name="sjdffd" localSheetId="8">{#N/A,#N/A,FALSE,"Plan1";#N/A,#N/A,FALSE,"Plan2"}</definedName>
    <definedName name="sjdffd" localSheetId="5" hidden="1">{#N/A,#N/A,FALSE,"Plan1";#N/A,#N/A,FALSE,"Plan2"}</definedName>
    <definedName name="sjdffd" localSheetId="4" hidden="1">{#N/A,#N/A,FALSE,"Plan1";#N/A,#N/A,FALSE,"Plan2"}</definedName>
    <definedName name="sjdffd" localSheetId="9">{#N/A,#N/A,FALSE,"Plan1";#N/A,#N/A,FALSE,"Plan2"}</definedName>
    <definedName name="sjdffd" localSheetId="10" hidden="1">{#N/A,#N/A,FALSE,"Plan1";#N/A,#N/A,FALSE,"Plan2"}</definedName>
    <definedName name="sjdffd" localSheetId="1" hidden="1">{#N/A,#N/A,FALSE,"Plan1";#N/A,#N/A,FALSE,"Plan2"}</definedName>
    <definedName name="sjdffd" localSheetId="0">{#N/A,#N/A,FALSE,"Plan1";#N/A,#N/A,FALSE,"Plan2"}</definedName>
    <definedName name="sjdffd" localSheetId="11" hidden="1">{#N/A,#N/A,FALSE,"Plan1";#N/A,#N/A,FALSE,"Plan2"}</definedName>
    <definedName name="sjdffd" localSheetId="12" hidden="1">{#N/A,#N/A,FALSE,"Plan1";#N/A,#N/A,FALSE,"Plan2"}</definedName>
    <definedName name="sjdffd" hidden="1">{#N/A,#N/A,FALSE,"Plan1";#N/A,#N/A,FALSE,"Plan2"}</definedName>
    <definedName name="SJDFHDJ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FHDJ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SJDHFHRE" localSheetId="3" hidden="1">{#N/A,#N/A,FALSE,"Plan1";#N/A,#N/A,FALSE,"Plan2"}</definedName>
    <definedName name="SJDHFHRE" localSheetId="8">{#N/A,#N/A,FALSE,"Plan1";#N/A,#N/A,FALSE,"Plan2"}</definedName>
    <definedName name="SJDHFHRE" localSheetId="5" hidden="1">{#N/A,#N/A,FALSE,"Plan1";#N/A,#N/A,FALSE,"Plan2"}</definedName>
    <definedName name="SJDHFHRE" localSheetId="4" hidden="1">{#N/A,#N/A,FALSE,"Plan1";#N/A,#N/A,FALSE,"Plan2"}</definedName>
    <definedName name="SJDHFHRE" localSheetId="9">{#N/A,#N/A,FALSE,"Plan1";#N/A,#N/A,FALSE,"Plan2"}</definedName>
    <definedName name="SJDHFHRE" localSheetId="10" hidden="1">{#N/A,#N/A,FALSE,"Plan1";#N/A,#N/A,FALSE,"Plan2"}</definedName>
    <definedName name="SJDHFHRE" localSheetId="1" hidden="1">{#N/A,#N/A,FALSE,"Plan1";#N/A,#N/A,FALSE,"Plan2"}</definedName>
    <definedName name="SJDHFHRE" localSheetId="0">{#N/A,#N/A,FALSE,"Plan1";#N/A,#N/A,FALSE,"Plan2"}</definedName>
    <definedName name="SJDHFHRE" localSheetId="11" hidden="1">{#N/A,#N/A,FALSE,"Plan1";#N/A,#N/A,FALSE,"Plan2"}</definedName>
    <definedName name="SJDHFHRE" localSheetId="12" hidden="1">{#N/A,#N/A,FALSE,"Plan1";#N/A,#N/A,FALSE,"Plan2"}</definedName>
    <definedName name="SJDHFHRE" hidden="1">{#N/A,#N/A,FALSE,"Plan1";#N/A,#N/A,FALSE,"Plan2"}</definedName>
    <definedName name="SJDKJDE" localSheetId="3" hidden="1">{"Econ Consolidado",#N/A,FALSE,"Econ Consol";"Fluxo de Caixa",#N/A,FALSE,"Fluxo Caixa";"Investimentos",#N/A,FALSE,"Investimentos"}</definedName>
    <definedName name="SJDKJDE" localSheetId="8">{"Econ Consolidado",#N/A,FALSE,"Econ Consol";"Fluxo de Caixa",#N/A,FALSE,"Fluxo Caixa";"Investimentos",#N/A,FALSE,"Investimentos"}</definedName>
    <definedName name="SJDKJDE" localSheetId="5" hidden="1">{"Econ Consolidado",#N/A,FALSE,"Econ Consol";"Fluxo de Caixa",#N/A,FALSE,"Fluxo Caixa";"Investimentos",#N/A,FALSE,"Investimentos"}</definedName>
    <definedName name="SJDKJDE" localSheetId="4" hidden="1">{"Econ Consolidado",#N/A,FALSE,"Econ Consol";"Fluxo de Caixa",#N/A,FALSE,"Fluxo Caixa";"Investimentos",#N/A,FALSE,"Investimentos"}</definedName>
    <definedName name="SJDKJDE" localSheetId="9">{"Econ Consolidado",#N/A,FALSE,"Econ Consol";"Fluxo de Caixa",#N/A,FALSE,"Fluxo Caixa";"Investimentos",#N/A,FALSE,"Investimentos"}</definedName>
    <definedName name="SJDKJDE" localSheetId="10" hidden="1">{"Econ Consolidado",#N/A,FALSE,"Econ Consol";"Fluxo de Caixa",#N/A,FALSE,"Fluxo Caixa";"Investimentos",#N/A,FALSE,"Investimentos"}</definedName>
    <definedName name="SJDKJDE" localSheetId="1" hidden="1">{"Econ Consolidado",#N/A,FALSE,"Econ Consol";"Fluxo de Caixa",#N/A,FALSE,"Fluxo Caixa";"Investimentos",#N/A,FALSE,"Investimentos"}</definedName>
    <definedName name="SJDKJDE" localSheetId="0">{"Econ Consolidado",#N/A,FALSE,"Econ Consol";"Fluxo de Caixa",#N/A,FALSE,"Fluxo Caixa";"Investimentos",#N/A,FALSE,"Investimentos"}</definedName>
    <definedName name="SJDKJDE" localSheetId="11" hidden="1">{"Econ Consolidado",#N/A,FALSE,"Econ Consol";"Fluxo de Caixa",#N/A,FALSE,"Fluxo Caixa";"Investimentos",#N/A,FALSE,"Investimentos"}</definedName>
    <definedName name="SJDKJDE" localSheetId="12" hidden="1">{"Econ Consolidado",#N/A,FALSE,"Econ Consol";"Fluxo de Caixa",#N/A,FALSE,"Fluxo Caixa";"Investimentos",#N/A,FALSE,"Investimentos"}</definedName>
    <definedName name="SJDKJDE" hidden="1">{"Econ Consolidado",#N/A,FALSE,"Econ Consol";"Fluxo de Caixa",#N/A,FALSE,"Fluxo Caixa";"Investimentos",#N/A,FALSE,"Investimentos"}</definedName>
    <definedName name="sjekwjri" localSheetId="3" hidden="1">{#N/A,#N/A,FALSE,"Plan1";#N/A,#N/A,FALSE,"Plan2"}</definedName>
    <definedName name="sjekwjri" localSheetId="8">{#N/A,#N/A,FALSE,"Plan1";#N/A,#N/A,FALSE,"Plan2"}</definedName>
    <definedName name="sjekwjri" localSheetId="5" hidden="1">{#N/A,#N/A,FALSE,"Plan1";#N/A,#N/A,FALSE,"Plan2"}</definedName>
    <definedName name="sjekwjri" localSheetId="4" hidden="1">{#N/A,#N/A,FALSE,"Plan1";#N/A,#N/A,FALSE,"Plan2"}</definedName>
    <definedName name="sjekwjri" localSheetId="9">{#N/A,#N/A,FALSE,"Plan1";#N/A,#N/A,FALSE,"Plan2"}</definedName>
    <definedName name="sjekwjri" localSheetId="10" hidden="1">{#N/A,#N/A,FALSE,"Plan1";#N/A,#N/A,FALSE,"Plan2"}</definedName>
    <definedName name="sjekwjri" localSheetId="1" hidden="1">{#N/A,#N/A,FALSE,"Plan1";#N/A,#N/A,FALSE,"Plan2"}</definedName>
    <definedName name="sjekwjri" localSheetId="0">{#N/A,#N/A,FALSE,"Plan1";#N/A,#N/A,FALSE,"Plan2"}</definedName>
    <definedName name="sjekwjri" localSheetId="11" hidden="1">{#N/A,#N/A,FALSE,"Plan1";#N/A,#N/A,FALSE,"Plan2"}</definedName>
    <definedName name="sjekwjri" localSheetId="12" hidden="1">{#N/A,#N/A,FALSE,"Plan1";#N/A,#N/A,FALSE,"Plan2"}</definedName>
    <definedName name="sjekwjri" hidden="1">{#N/A,#N/A,FALSE,"Plan1";#N/A,#N/A,FALSE,"Plan2"}</definedName>
    <definedName name="sjfkdhsfds" localSheetId="3" hidden="1">{#N/A,#N/A,FALSE,"Plan1";#N/A,#N/A,FALSE,"Plan2"}</definedName>
    <definedName name="sjfkdhsfds" localSheetId="8">{#N/A,#N/A,FALSE,"Plan1";#N/A,#N/A,FALSE,"Plan2"}</definedName>
    <definedName name="sjfkdhsfds" localSheetId="5" hidden="1">{#N/A,#N/A,FALSE,"Plan1";#N/A,#N/A,FALSE,"Plan2"}</definedName>
    <definedName name="sjfkdhsfds" localSheetId="4" hidden="1">{#N/A,#N/A,FALSE,"Plan1";#N/A,#N/A,FALSE,"Plan2"}</definedName>
    <definedName name="sjfkdhsfds" localSheetId="9">{#N/A,#N/A,FALSE,"Plan1";#N/A,#N/A,FALSE,"Plan2"}</definedName>
    <definedName name="sjfkdhsfds" localSheetId="10" hidden="1">{#N/A,#N/A,FALSE,"Plan1";#N/A,#N/A,FALSE,"Plan2"}</definedName>
    <definedName name="sjfkdhsfds" localSheetId="1" hidden="1">{#N/A,#N/A,FALSE,"Plan1";#N/A,#N/A,FALSE,"Plan2"}</definedName>
    <definedName name="sjfkdhsfds" localSheetId="0">{#N/A,#N/A,FALSE,"Plan1";#N/A,#N/A,FALSE,"Plan2"}</definedName>
    <definedName name="sjfkdhsfds" localSheetId="11" hidden="1">{#N/A,#N/A,FALSE,"Plan1";#N/A,#N/A,FALSE,"Plan2"}</definedName>
    <definedName name="sjfkdhsfds" localSheetId="12" hidden="1">{#N/A,#N/A,FALSE,"Plan1";#N/A,#N/A,FALSE,"Plan2"}</definedName>
    <definedName name="sjfkdhsfds" hidden="1">{#N/A,#N/A,FALSE,"Plan1";#N/A,#N/A,FALSE,"Plan2"}</definedName>
    <definedName name="sjkdljslkrje" localSheetId="3" hidden="1">{#N/A,#N/A,FALSE,"Plan1";#N/A,#N/A,FALSE,"Plan2"}</definedName>
    <definedName name="sjkdljslkrje" localSheetId="8">{#N/A,#N/A,FALSE,"Plan1";#N/A,#N/A,FALSE,"Plan2"}</definedName>
    <definedName name="sjkdljslkrje" localSheetId="5" hidden="1">{#N/A,#N/A,FALSE,"Plan1";#N/A,#N/A,FALSE,"Plan2"}</definedName>
    <definedName name="sjkdljslkrje" localSheetId="4" hidden="1">{#N/A,#N/A,FALSE,"Plan1";#N/A,#N/A,FALSE,"Plan2"}</definedName>
    <definedName name="sjkdljslkrje" localSheetId="9">{#N/A,#N/A,FALSE,"Plan1";#N/A,#N/A,FALSE,"Plan2"}</definedName>
    <definedName name="sjkdljslkrje" localSheetId="10" hidden="1">{#N/A,#N/A,FALSE,"Plan1";#N/A,#N/A,FALSE,"Plan2"}</definedName>
    <definedName name="sjkdljslkrje" localSheetId="1" hidden="1">{#N/A,#N/A,FALSE,"Plan1";#N/A,#N/A,FALSE,"Plan2"}</definedName>
    <definedName name="sjkdljslkrje" localSheetId="0">{#N/A,#N/A,FALSE,"Plan1";#N/A,#N/A,FALSE,"Plan2"}</definedName>
    <definedName name="sjkdljslkrje" localSheetId="11" hidden="1">{#N/A,#N/A,FALSE,"Plan1";#N/A,#N/A,FALSE,"Plan2"}</definedName>
    <definedName name="sjkdljslkrje" localSheetId="12" hidden="1">{#N/A,#N/A,FALSE,"Plan1";#N/A,#N/A,FALSE,"Plan2"}</definedName>
    <definedName name="sjkdljslkrje" hidden="1">{#N/A,#N/A,FALSE,"Plan1";#N/A,#N/A,FALSE,"Plan2"}</definedName>
    <definedName name="skadadaszs" localSheetId="3" hidden="1">{#N/A,#N/A,FALSE,"Plan1";#N/A,#N/A,FALSE,"Plan2"}</definedName>
    <definedName name="skadadaszs" localSheetId="8">{#N/A,#N/A,FALSE,"Plan1";#N/A,#N/A,FALSE,"Plan2"}</definedName>
    <definedName name="skadadaszs" localSheetId="5" hidden="1">{#N/A,#N/A,FALSE,"Plan1";#N/A,#N/A,FALSE,"Plan2"}</definedName>
    <definedName name="skadadaszs" localSheetId="4" hidden="1">{#N/A,#N/A,FALSE,"Plan1";#N/A,#N/A,FALSE,"Plan2"}</definedName>
    <definedName name="skadadaszs" localSheetId="9">{#N/A,#N/A,FALSE,"Plan1";#N/A,#N/A,FALSE,"Plan2"}</definedName>
    <definedName name="skadadaszs" localSheetId="10" hidden="1">{#N/A,#N/A,FALSE,"Plan1";#N/A,#N/A,FALSE,"Plan2"}</definedName>
    <definedName name="skadadaszs" localSheetId="1" hidden="1">{#N/A,#N/A,FALSE,"Plan1";#N/A,#N/A,FALSE,"Plan2"}</definedName>
    <definedName name="skadadaszs" localSheetId="0">{#N/A,#N/A,FALSE,"Plan1";#N/A,#N/A,FALSE,"Plan2"}</definedName>
    <definedName name="skadadaszs" localSheetId="11" hidden="1">{#N/A,#N/A,FALSE,"Plan1";#N/A,#N/A,FALSE,"Plan2"}</definedName>
    <definedName name="skadadaszs" localSheetId="12" hidden="1">{#N/A,#N/A,FALSE,"Plan1";#N/A,#N/A,FALSE,"Plan2"}</definedName>
    <definedName name="skadadaszs" hidden="1">{#N/A,#N/A,FALSE,"Plan1";#N/A,#N/A,FALSE,"Plan2"}</definedName>
    <definedName name="SKASH" localSheetId="3" hidden="1">{#N/A,#N/A,FALSE,"Plan1";#N/A,#N/A,FALSE,"Plan2"}</definedName>
    <definedName name="SKASH" localSheetId="8">{#N/A,#N/A,FALSE,"Plan1";#N/A,#N/A,FALSE,"Plan2"}</definedName>
    <definedName name="SKASH" localSheetId="5" hidden="1">{#N/A,#N/A,FALSE,"Plan1";#N/A,#N/A,FALSE,"Plan2"}</definedName>
    <definedName name="SKASH" localSheetId="4" hidden="1">{#N/A,#N/A,FALSE,"Plan1";#N/A,#N/A,FALSE,"Plan2"}</definedName>
    <definedName name="SKASH" localSheetId="9">{#N/A,#N/A,FALSE,"Plan1";#N/A,#N/A,FALSE,"Plan2"}</definedName>
    <definedName name="SKASH" localSheetId="10" hidden="1">{#N/A,#N/A,FALSE,"Plan1";#N/A,#N/A,FALSE,"Plan2"}</definedName>
    <definedName name="SKASH" localSheetId="1" hidden="1">{#N/A,#N/A,FALSE,"Plan1";#N/A,#N/A,FALSE,"Plan2"}</definedName>
    <definedName name="SKASH" localSheetId="0">{#N/A,#N/A,FALSE,"Plan1";#N/A,#N/A,FALSE,"Plan2"}</definedName>
    <definedName name="SKASH" localSheetId="11" hidden="1">{#N/A,#N/A,FALSE,"Plan1";#N/A,#N/A,FALSE,"Plan2"}</definedName>
    <definedName name="SKASH" localSheetId="12" hidden="1">{#N/A,#N/A,FALSE,"Plan1";#N/A,#N/A,FALSE,"Plan2"}</definedName>
    <definedName name="SKASH" hidden="1">{#N/A,#N/A,FALSE,"Plan1";#N/A,#N/A,FALSE,"Plan2"}</definedName>
    <definedName name="skldfrde" localSheetId="3" hidden="1">{#N/A,#N/A,FALSE,"Plan1";#N/A,#N/A,FALSE,"Plan2"}</definedName>
    <definedName name="skldfrde" localSheetId="8">{#N/A,#N/A,FALSE,"Plan1";#N/A,#N/A,FALSE,"Plan2"}</definedName>
    <definedName name="skldfrde" localSheetId="5" hidden="1">{#N/A,#N/A,FALSE,"Plan1";#N/A,#N/A,FALSE,"Plan2"}</definedName>
    <definedName name="skldfrde" localSheetId="4" hidden="1">{#N/A,#N/A,FALSE,"Plan1";#N/A,#N/A,FALSE,"Plan2"}</definedName>
    <definedName name="skldfrde" localSheetId="9">{#N/A,#N/A,FALSE,"Plan1";#N/A,#N/A,FALSE,"Plan2"}</definedName>
    <definedName name="skldfrde" localSheetId="10" hidden="1">{#N/A,#N/A,FALSE,"Plan1";#N/A,#N/A,FALSE,"Plan2"}</definedName>
    <definedName name="skldfrde" localSheetId="1" hidden="1">{#N/A,#N/A,FALSE,"Plan1";#N/A,#N/A,FALSE,"Plan2"}</definedName>
    <definedName name="skldfrde" localSheetId="0">{#N/A,#N/A,FALSE,"Plan1";#N/A,#N/A,FALSE,"Plan2"}</definedName>
    <definedName name="skldfrde" localSheetId="11" hidden="1">{#N/A,#N/A,FALSE,"Plan1";#N/A,#N/A,FALSE,"Plan2"}</definedName>
    <definedName name="skldfrde" localSheetId="12" hidden="1">{#N/A,#N/A,FALSE,"Plan1";#N/A,#N/A,FALSE,"Plan2"}</definedName>
    <definedName name="skldfrde" hidden="1">{#N/A,#N/A,FALSE,"Plan1";#N/A,#N/A,FALSE,"Plan2"}</definedName>
    <definedName name="skosroer" localSheetId="3" hidden="1">{#N/A,#N/A,FALSE,"Plan1";#N/A,#N/A,FALSE,"Plan2"}</definedName>
    <definedName name="skosroer" localSheetId="8">{#N/A,#N/A,FALSE,"Plan1";#N/A,#N/A,FALSE,"Plan2"}</definedName>
    <definedName name="skosroer" localSheetId="5" hidden="1">{#N/A,#N/A,FALSE,"Plan1";#N/A,#N/A,FALSE,"Plan2"}</definedName>
    <definedName name="skosroer" localSheetId="4" hidden="1">{#N/A,#N/A,FALSE,"Plan1";#N/A,#N/A,FALSE,"Plan2"}</definedName>
    <definedName name="skosroer" localSheetId="9">{#N/A,#N/A,FALSE,"Plan1";#N/A,#N/A,FALSE,"Plan2"}</definedName>
    <definedName name="skosroer" localSheetId="10" hidden="1">{#N/A,#N/A,FALSE,"Plan1";#N/A,#N/A,FALSE,"Plan2"}</definedName>
    <definedName name="skosroer" localSheetId="1" hidden="1">{#N/A,#N/A,FALSE,"Plan1";#N/A,#N/A,FALSE,"Plan2"}</definedName>
    <definedName name="skosroer" localSheetId="0">{#N/A,#N/A,FALSE,"Plan1";#N/A,#N/A,FALSE,"Plan2"}</definedName>
    <definedName name="skosroer" localSheetId="11" hidden="1">{#N/A,#N/A,FALSE,"Plan1";#N/A,#N/A,FALSE,"Plan2"}</definedName>
    <definedName name="skosroer" localSheetId="12" hidden="1">{#N/A,#N/A,FALSE,"Plan1";#N/A,#N/A,FALSE,"Plan2"}</definedName>
    <definedName name="skosroer" hidden="1">{#N/A,#N/A,FALSE,"Plan1";#N/A,#N/A,FALSE,"Plan2"}</definedName>
    <definedName name="SO" localSheetId="8">#REF!</definedName>
    <definedName name="SO" localSheetId="5">#REF!</definedName>
    <definedName name="SO" localSheetId="9">#REF!</definedName>
    <definedName name="SO" localSheetId="10">#REF!</definedName>
    <definedName name="SO" localSheetId="0">#REF!</definedName>
    <definedName name="SO" localSheetId="11">#REF!</definedName>
    <definedName name="SO" localSheetId="12">#REF!</definedName>
    <definedName name="SO">#REF!</definedName>
    <definedName name="solver_lin" hidden="1">0</definedName>
    <definedName name="solver_num" hidden="1">0</definedName>
    <definedName name="solver_rel1" hidden="1">3</definedName>
    <definedName name="solver_rhs1" hidden="1">0</definedName>
    <definedName name="solver_tmp" hidden="1">0</definedName>
    <definedName name="solver_typ" hidden="1">1</definedName>
    <definedName name="solver_val" hidden="1">0</definedName>
    <definedName name="soma" localSheetId="8">#REF!</definedName>
    <definedName name="soma" localSheetId="5">#REF!</definedName>
    <definedName name="soma" localSheetId="9">#REF!</definedName>
    <definedName name="soma" localSheetId="10">#REF!</definedName>
    <definedName name="soma" localSheetId="0">#REF!</definedName>
    <definedName name="soma" localSheetId="11">#REF!</definedName>
    <definedName name="soma" localSheetId="12">#REF!</definedName>
    <definedName name="soma">#REF!</definedName>
    <definedName name="sp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AR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pec구매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sQEWWE" localSheetId="3" hidden="1">{#N/A,#N/A,FALSE,"Plan1";#N/A,#N/A,FALSE,"Plan2"}</definedName>
    <definedName name="sQEWWE" localSheetId="8">{#N/A,#N/A,FALSE,"Plan1";#N/A,#N/A,FALSE,"Plan2"}</definedName>
    <definedName name="sQEWWE" localSheetId="5" hidden="1">{#N/A,#N/A,FALSE,"Plan1";#N/A,#N/A,FALSE,"Plan2"}</definedName>
    <definedName name="sQEWWE" localSheetId="4" hidden="1">{#N/A,#N/A,FALSE,"Plan1";#N/A,#N/A,FALSE,"Plan2"}</definedName>
    <definedName name="sQEWWE" localSheetId="9">{#N/A,#N/A,FALSE,"Plan1";#N/A,#N/A,FALSE,"Plan2"}</definedName>
    <definedName name="sQEWWE" localSheetId="10" hidden="1">{#N/A,#N/A,FALSE,"Plan1";#N/A,#N/A,FALSE,"Plan2"}</definedName>
    <definedName name="sQEWWE" localSheetId="1" hidden="1">{#N/A,#N/A,FALSE,"Plan1";#N/A,#N/A,FALSE,"Plan2"}</definedName>
    <definedName name="sQEWWE" localSheetId="0">{#N/A,#N/A,FALSE,"Plan1";#N/A,#N/A,FALSE,"Plan2"}</definedName>
    <definedName name="sQEWWE" localSheetId="11" hidden="1">{#N/A,#N/A,FALSE,"Plan1";#N/A,#N/A,FALSE,"Plan2"}</definedName>
    <definedName name="sQEWWE" localSheetId="12" hidden="1">{#N/A,#N/A,FALSE,"Plan1";#N/A,#N/A,FALSE,"Plan2"}</definedName>
    <definedName name="sQEWWE" hidden="1">{#N/A,#N/A,FALSE,"Plan1";#N/A,#N/A,FALSE,"Plan2"}</definedName>
    <definedName name="SR" localSheetId="8">#REF!</definedName>
    <definedName name="SR" localSheetId="5" hidden="1">#REF!</definedName>
    <definedName name="SR" localSheetId="9">#REF!</definedName>
    <definedName name="SR" localSheetId="10" hidden="1">#REF!</definedName>
    <definedName name="SR" localSheetId="1" hidden="1">#REF!</definedName>
    <definedName name="SR" localSheetId="0">#REF!</definedName>
    <definedName name="SR" localSheetId="11" hidden="1">#REF!</definedName>
    <definedName name="SR" localSheetId="12" hidden="1">#REF!</definedName>
    <definedName name="SR" hidden="1">#REF!</definedName>
    <definedName name="SRH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S" localSheetId="8">#REF!</definedName>
    <definedName name="SS" localSheetId="9">#REF!</definedName>
    <definedName name="ss" localSheetId="10">#REF!</definedName>
    <definedName name="SS" localSheetId="0">#REF!</definedName>
    <definedName name="ss" localSheetId="11">#REF!</definedName>
    <definedName name="ss" localSheetId="12">#REF!</definedName>
    <definedName name="SS" hidden="1">#REF!</definedName>
    <definedName name="sssss" localSheetId="8">#REF!</definedName>
    <definedName name="sssss" localSheetId="5" hidden="1">#REF!</definedName>
    <definedName name="sssss" localSheetId="9">#REF!</definedName>
    <definedName name="sssss" localSheetId="10" hidden="1">#REF!</definedName>
    <definedName name="sssss" localSheetId="1" hidden="1">#REF!</definedName>
    <definedName name="sssss" localSheetId="0">#REF!</definedName>
    <definedName name="sssss" localSheetId="11" hidden="1">#REF!</definedName>
    <definedName name="sssss" localSheetId="12" hidden="1">#REF!</definedName>
    <definedName name="sssss" hidden="1">#REF!</definedName>
    <definedName name="stake_cury" localSheetId="8">#REF!</definedName>
    <definedName name="stake_cury" localSheetId="5">#REF!</definedName>
    <definedName name="stake_cury" localSheetId="9">#REF!</definedName>
    <definedName name="stake_cury" localSheetId="10">#REF!</definedName>
    <definedName name="stake_cury" localSheetId="0">#REF!</definedName>
    <definedName name="stake_cury" localSheetId="11">#REF!</definedName>
    <definedName name="stake_cury" localSheetId="12">#REF!</definedName>
    <definedName name="stake_cury">#REF!</definedName>
    <definedName name="status_projeto" localSheetId="8">OFFSET(INDEX(#REF!,MATCH(#REF!,#REF!,0)),1,0,COUNTA(#REF!)-1)</definedName>
    <definedName name="status_projeto" localSheetId="5" hidden="1">OFFSET(INDEX(#REF!,MATCH(#REF!,#REF!,0)),1,0,COUNTA(#REF!)-1)</definedName>
    <definedName name="status_projeto" localSheetId="9">OFFSET(INDEX(#REF!,MATCH(#REF!,#REF!,0)),1,0,COUNTA(#REF!)-1)</definedName>
    <definedName name="status_projeto" localSheetId="10" hidden="1">OFFSET(INDEX(#REF!,MATCH(#REF!,#REF!,0)),1,0,COUNTA(#REF!)-1)</definedName>
    <definedName name="status_projeto" localSheetId="1" hidden="1">OFFSET(INDEX(#REF!,MATCH(#REF!,#REF!,0)),1,0,COUNTA(#REF!)-1)</definedName>
    <definedName name="status_projeto" localSheetId="0">OFFSET(INDEX(#REF!,MATCH(#REF!,#REF!,0)),1,0,COUNTA(#REF!)-1)</definedName>
    <definedName name="status_projeto" localSheetId="11" hidden="1">OFFSET(INDEX(#REF!,MATCH(#REF!,#REF!,0)),1,0,COUNTA(#REF!)-1)</definedName>
    <definedName name="status_projeto" localSheetId="12" hidden="1">OFFSET(INDEX(#REF!,MATCH(#REF!,#REF!,0)),1,0,COUNTA(#REF!)-1)</definedName>
    <definedName name="status_projeto" hidden="1">OFFSET(INDEX(#REF!,MATCH(#REF!,#REF!,0)),1,0,COUNTA(#REF!)-1)</definedName>
    <definedName name="SUB_TOTAL_1" localSheetId="8">#REF!</definedName>
    <definedName name="SUB_TOTAL_1" localSheetId="5">#REF!</definedName>
    <definedName name="SUB_TOTAL_1" localSheetId="9">#REF!</definedName>
    <definedName name="SUB_TOTAL_1" localSheetId="10">#REF!</definedName>
    <definedName name="SUB_TOTAL_1" localSheetId="0">#REF!</definedName>
    <definedName name="SUB_TOTAL_1" localSheetId="11">#REF!</definedName>
    <definedName name="SUB_TOTAL_1" localSheetId="12">#REF!</definedName>
    <definedName name="SUB_TOTAL_1">#REF!</definedName>
    <definedName name="SUBDER" localSheetId="8">#REF!</definedName>
    <definedName name="SUBDER" localSheetId="5">#REF!</definedName>
    <definedName name="SUBDER" localSheetId="9">#REF!</definedName>
    <definedName name="SUBDER" localSheetId="10">#REF!</definedName>
    <definedName name="SUBDER" localSheetId="0">#REF!</definedName>
    <definedName name="SUBDER" localSheetId="11">#REF!</definedName>
    <definedName name="SUBDER" localSheetId="12">#REF!</definedName>
    <definedName name="SUBDER">#REF!</definedName>
    <definedName name="SUBDIV" localSheetId="8">#REF!</definedName>
    <definedName name="SUBDIV" localSheetId="5">#REF!</definedName>
    <definedName name="SUBDIV" localSheetId="9">#REF!</definedName>
    <definedName name="SUBDIV" localSheetId="10">#REF!</definedName>
    <definedName name="SUBDIV" localSheetId="0">#REF!</definedName>
    <definedName name="SUBDIV" localSheetId="11">#REF!</definedName>
    <definedName name="SUBDIV" localSheetId="12">#REF!</definedName>
    <definedName name="SUBDIV">#REF!</definedName>
    <definedName name="SUBEQP" localSheetId="8">#REF!</definedName>
    <definedName name="SUBEQP" localSheetId="5">#REF!</definedName>
    <definedName name="SUBEQP" localSheetId="10">#REF!</definedName>
    <definedName name="SUBEQP" localSheetId="11">#REF!</definedName>
    <definedName name="SUBEQP" localSheetId="12">#REF!</definedName>
    <definedName name="SUBEQP">#REF!</definedName>
    <definedName name="SUBMUR" localSheetId="8">#REF!</definedName>
    <definedName name="SUBMUR" localSheetId="5">#REF!</definedName>
    <definedName name="SUBMUR" localSheetId="10">#REF!</definedName>
    <definedName name="SUBMUR" localSheetId="11">#REF!</definedName>
    <definedName name="SUBMUR" localSheetId="12">#REF!</definedName>
    <definedName name="SUBMUR">#REF!</definedName>
    <definedName name="summ" localSheetId="8">#REF!</definedName>
    <definedName name="summ" localSheetId="1" hidden="1">#REF!</definedName>
    <definedName name="summ" hidden="1">#REF!</definedName>
    <definedName name="susref" localSheetId="8">#REF!</definedName>
    <definedName name="susref" localSheetId="5">#REF!</definedName>
    <definedName name="susref" localSheetId="10">#REF!</definedName>
    <definedName name="susref" localSheetId="1">#REF!</definedName>
    <definedName name="susref" localSheetId="11">#REF!</definedName>
    <definedName name="susref" localSheetId="12">#REF!</definedName>
    <definedName name="susref">#REF!</definedName>
    <definedName name="Swvu.Características." localSheetId="8">#REF!</definedName>
    <definedName name="Swvu.Características." hidden="1">#REF!</definedName>
    <definedName name="Swvu.Ciclos." localSheetId="8">#REF!</definedName>
    <definedName name="Swvu.Ciclos." hidden="1">#REF!</definedName>
    <definedName name="Swvu.Custos." localSheetId="8">#REF!</definedName>
    <definedName name="Swvu.Custos." hidden="1">#REF!</definedName>
    <definedName name="Swvu.PLANILHA2." localSheetId="8">#REF!</definedName>
    <definedName name="Swvu.PLANILHA2." hidden="1">#REF!</definedName>
    <definedName name="Swvu.Recursos." localSheetId="8">#REF!</definedName>
    <definedName name="Swvu.Recursos." hidden="1">#REF!</definedName>
    <definedName name="T_actual" localSheetId="8">#REF!</definedName>
    <definedName name="T_actual" localSheetId="5">#REF!</definedName>
    <definedName name="T_actual" localSheetId="10">#REF!</definedName>
    <definedName name="T_actual" localSheetId="11">#REF!</definedName>
    <definedName name="T_actual" localSheetId="12">#REF!</definedName>
    <definedName name="T_actual">#REF!</definedName>
    <definedName name="t_cc" localSheetId="8">#REF!</definedName>
    <definedName name="t_cc" localSheetId="5">#REF!</definedName>
    <definedName name="t_cc" localSheetId="10">#REF!</definedName>
    <definedName name="t_cc" localSheetId="11">#REF!</definedName>
    <definedName name="t_cc" localSheetId="12">#REF!</definedName>
    <definedName name="t_cc">#REF!</definedName>
    <definedName name="t_KSB1_Transport" localSheetId="8">#REF!</definedName>
    <definedName name="t_KSB1_Transport" localSheetId="5">#REF!</definedName>
    <definedName name="t_KSB1_Transport" localSheetId="10">#REF!</definedName>
    <definedName name="t_KSB1_Transport" localSheetId="11">#REF!</definedName>
    <definedName name="t_KSB1_Transport" localSheetId="12">#REF!</definedName>
    <definedName name="t_KSB1_Transport">#REF!</definedName>
    <definedName name="tab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TAB_GASTOS" localSheetId="8">#REF!</definedName>
    <definedName name="TAB_GASTOS" localSheetId="5">#REF!</definedName>
    <definedName name="TAB_GASTOS" localSheetId="9">#REF!</definedName>
    <definedName name="TAB_GASTOS" localSheetId="10">#REF!</definedName>
    <definedName name="TAB_GASTOS" localSheetId="0">#REF!</definedName>
    <definedName name="TAB_GASTOS" localSheetId="11">#REF!</definedName>
    <definedName name="TAB_GASTOS" localSheetId="12">#REF!</definedName>
    <definedName name="TAB_GASTOS">#REF!</definedName>
    <definedName name="TABACABAMENTOS" localSheetId="8">#REF!</definedName>
    <definedName name="TABACABAMENTOS" localSheetId="5">#REF!</definedName>
    <definedName name="TABACABAMENTOS" localSheetId="9">#REF!</definedName>
    <definedName name="TABACABAMENTOS" localSheetId="10">#REF!</definedName>
    <definedName name="TABACABAMENTOS" localSheetId="0">#REF!</definedName>
    <definedName name="TABACABAMENTOS" localSheetId="11">#REF!</definedName>
    <definedName name="TABACABAMENTOS" localSheetId="12">#REF!</definedName>
    <definedName name="TABACABAMENTOS">#REF!</definedName>
    <definedName name="tabela" localSheetId="8">#REF!</definedName>
    <definedName name="tabela" localSheetId="5">#REF!</definedName>
    <definedName name="tabela" localSheetId="9">#REF!</definedName>
    <definedName name="tabela" localSheetId="10">#REF!</definedName>
    <definedName name="tabela" localSheetId="0">#REF!</definedName>
    <definedName name="tabela" localSheetId="11">#REF!</definedName>
    <definedName name="tabela" localSheetId="12">#REF!</definedName>
    <definedName name="tabela">#REF!</definedName>
    <definedName name="Tabela_Atribuição" localSheetId="8">#REF!</definedName>
    <definedName name="Tabela_Atribuição" localSheetId="5">#REF!</definedName>
    <definedName name="Tabela_Atribuição" localSheetId="10">#REF!</definedName>
    <definedName name="Tabela_Atribuição" localSheetId="11">#REF!</definedName>
    <definedName name="Tabela_Atribuição" localSheetId="12">#REF!</definedName>
    <definedName name="Tabela_Atribuição">#REF!</definedName>
    <definedName name="TABELA_DE_REVESTIMENTOS" localSheetId="8">#REF!</definedName>
    <definedName name="TABELA_DE_REVESTIMENTOS" localSheetId="5">#REF!</definedName>
    <definedName name="TABELA_DE_REVESTIMENTOS" localSheetId="10">#REF!</definedName>
    <definedName name="TABELA_DE_REVESTIMENTOS" localSheetId="11">#REF!</definedName>
    <definedName name="TABELA_DE_REVESTIMENTOS" localSheetId="12">#REF!</definedName>
    <definedName name="TABELA_DE_REVESTIMENTOS">#REF!</definedName>
    <definedName name="Tabela_Recursos" localSheetId="8">#REF!</definedName>
    <definedName name="Tabela_Recursos" localSheetId="5">#REF!</definedName>
    <definedName name="Tabela_Recursos" localSheetId="10">#REF!</definedName>
    <definedName name="Tabela_Recursos" localSheetId="11">#REF!</definedName>
    <definedName name="Tabela_Recursos" localSheetId="12">#REF!</definedName>
    <definedName name="Tabela_Recursos">#REF!</definedName>
    <definedName name="Tabela_Tarefas" localSheetId="8">#REF!</definedName>
    <definedName name="Tabela_Tarefas" localSheetId="5">#REF!</definedName>
    <definedName name="Tabela_Tarefas" localSheetId="10">#REF!</definedName>
    <definedName name="Tabela_Tarefas" localSheetId="11">#REF!</definedName>
    <definedName name="Tabela_Tarefas" localSheetId="12">#REF!</definedName>
    <definedName name="Tabela_Tarefas">#REF!</definedName>
    <definedName name="Tabela1" localSheetId="8">#REF!</definedName>
    <definedName name="Tabela1" localSheetId="5">#REF!</definedName>
    <definedName name="Tabela1" localSheetId="10">#REF!</definedName>
    <definedName name="Tabela1" localSheetId="11">#REF!</definedName>
    <definedName name="Tabela1" localSheetId="12">#REF!</definedName>
    <definedName name="Tabela1">#REF!</definedName>
    <definedName name="Tabela2" localSheetId="8">#REF!</definedName>
    <definedName name="Tabela2" localSheetId="5">#REF!</definedName>
    <definedName name="Tabela2" localSheetId="10">#REF!</definedName>
    <definedName name="Tabela2" localSheetId="11">#REF!</definedName>
    <definedName name="Tabela2" localSheetId="12">#REF!</definedName>
    <definedName name="Tabela2">#REF!</definedName>
    <definedName name="tabela3" localSheetId="8">#REF!</definedName>
    <definedName name="tabela3" localSheetId="5">#REF!</definedName>
    <definedName name="tabela3" localSheetId="10">#REF!</definedName>
    <definedName name="tabela3" localSheetId="11">#REF!</definedName>
    <definedName name="tabela3" localSheetId="12">#REF!</definedName>
    <definedName name="tabela3">#REF!</definedName>
    <definedName name="TABREF" localSheetId="8">#REF!</definedName>
    <definedName name="TABREF" localSheetId="5">#REF!</definedName>
    <definedName name="TABREF" localSheetId="10">#REF!</definedName>
    <definedName name="TABREF" localSheetId="11">#REF!</definedName>
    <definedName name="TABREF" localSheetId="12">#REF!</definedName>
    <definedName name="TABREF">#REF!</definedName>
    <definedName name="tania" localSheetId="8">#REF!</definedName>
    <definedName name="tania" localSheetId="5">#REF!</definedName>
    <definedName name="tania" localSheetId="10">#REF!</definedName>
    <definedName name="tania" localSheetId="1">#REF!</definedName>
    <definedName name="tania" localSheetId="11">#REF!</definedName>
    <definedName name="tania" localSheetId="12">#REF!</definedName>
    <definedName name="tania">#REF!</definedName>
    <definedName name="TAUX2" localSheetId="8">OFFSET(#REF!,0,0,COUNTA(#REF!)+1,1)</definedName>
    <definedName name="TAUX2" localSheetId="5">OFFSET(#REF!,0,0,COUNTA(#REF!)+1,1)</definedName>
    <definedName name="TAUX2" localSheetId="9">OFFSET(#REF!,0,0,COUNTA(#REF!)+1,1)</definedName>
    <definedName name="TAUX2" localSheetId="10">OFFSET(#REF!,0,0,COUNTA(#REF!)+1,1)</definedName>
    <definedName name="TAUX2" localSheetId="0">OFFSET(#REF!,0,0,COUNTA(#REF!)+1,1)</definedName>
    <definedName name="TAUX2" localSheetId="11">OFFSET(#REF!,0,0,COUNTA(#REF!)+1,1)</definedName>
    <definedName name="TAUX2" localSheetId="12">OFFSET(#REF!,0,0,COUNTA(#REF!)+1,1)</definedName>
    <definedName name="TAUX2">OFFSET(#REF!,0,0,COUNTA(#REF!)+1,1)</definedName>
    <definedName name="TAUX3" localSheetId="8">OFFSET(#REF!,0,0,COUNTA(#REF!)+1,1)</definedName>
    <definedName name="TAUX3" localSheetId="5">OFFSET(#REF!,0,0,COUNTA(#REF!)+1,1)</definedName>
    <definedName name="TAUX3" localSheetId="10">OFFSET(#REF!,0,0,COUNTA(#REF!)+1,1)</definedName>
    <definedName name="TAUX3" localSheetId="11">OFFSET(#REF!,0,0,COUNTA(#REF!)+1,1)</definedName>
    <definedName name="TAUX3" localSheetId="12">OFFSET(#REF!,0,0,COUNTA(#REF!)+1,1)</definedName>
    <definedName name="TAUX3">OFFSET(#REF!,0,0,COUNTA(#REF!)+1,1)</definedName>
    <definedName name="TAXA_VENTO" localSheetId="8">#REF!</definedName>
    <definedName name="TAXA_VENTO" localSheetId="5">#REF!</definedName>
    <definedName name="TAXA_VENTO" localSheetId="9">#REF!</definedName>
    <definedName name="TAXA_VENTO" localSheetId="10">#REF!</definedName>
    <definedName name="TAXA_VENTO" localSheetId="0">#REF!</definedName>
    <definedName name="TAXA_VENTO" localSheetId="11">#REF!</definedName>
    <definedName name="TAXA_VENTO" localSheetId="12">#REF!</definedName>
    <definedName name="TAXA_VENTO">#REF!</definedName>
    <definedName name="TAXAS" localSheetId="8">#REF!</definedName>
    <definedName name="TAXAS" localSheetId="5">#REF!</definedName>
    <definedName name="TAXAS" localSheetId="9">#REF!</definedName>
    <definedName name="TAXAS" localSheetId="10">#REF!</definedName>
    <definedName name="TAXAS" localSheetId="0">#REF!</definedName>
    <definedName name="TAXAS" localSheetId="11">#REF!</definedName>
    <definedName name="TAXAS" localSheetId="12">#REF!</definedName>
    <definedName name="TAXAS">#REF!</definedName>
    <definedName name="TbDin" localSheetId="8">OFFSET(#REF!,0,0,COUNTA(#REF!),13)</definedName>
    <definedName name="TbDin" localSheetId="5">OFFSET(#REF!,0,0,COUNTA(#REF!),13)</definedName>
    <definedName name="TbDin" localSheetId="9">OFFSET(#REF!,0,0,COUNTA(#REF!),13)</definedName>
    <definedName name="TbDin" localSheetId="10">OFFSET(#REF!,0,0,COUNTA(#REF!),13)</definedName>
    <definedName name="TbDin" localSheetId="0">OFFSET(#REF!,0,0,COUNTA(#REF!),13)</definedName>
    <definedName name="TbDin" localSheetId="11">OFFSET(#REF!,0,0,COUNTA(#REF!),13)</definedName>
    <definedName name="TbDin" localSheetId="12">OFFSET(#REF!,0,0,COUNTA(#REF!),13)</definedName>
    <definedName name="TbDin">OFFSET(#REF!,0,0,COUNTA(#REF!),13)</definedName>
    <definedName name="tc" localSheetId="8">#REF!</definedName>
    <definedName name="tc" localSheetId="5">#REF!</definedName>
    <definedName name="tc" localSheetId="9">#REF!</definedName>
    <definedName name="tc" localSheetId="10">#REF!</definedName>
    <definedName name="tc" localSheetId="1">#REF!</definedName>
    <definedName name="tc" localSheetId="0">#REF!</definedName>
    <definedName name="tc" localSheetId="11">#REF!</definedName>
    <definedName name="tc" localSheetId="12">#REF!</definedName>
    <definedName name="tc">#REF!</definedName>
    <definedName name="TE" localSheetId="8">#REF!</definedName>
    <definedName name="TE" localSheetId="5">#REF!</definedName>
    <definedName name="TE" localSheetId="9">#REF!</definedName>
    <definedName name="TE" localSheetId="10">#REF!</definedName>
    <definedName name="TE" localSheetId="0">#REF!</definedName>
    <definedName name="TE" localSheetId="11">#REF!</definedName>
    <definedName name="TE" localSheetId="12">#REF!</definedName>
    <definedName name="TE">#REF!</definedName>
    <definedName name="TECLA" localSheetId="8">#REF!</definedName>
    <definedName name="TECLA" localSheetId="5">#REF!</definedName>
    <definedName name="TECLA" localSheetId="9">#REF!</definedName>
    <definedName name="TECLA" localSheetId="10">#REF!</definedName>
    <definedName name="TECLA" localSheetId="0">#REF!</definedName>
    <definedName name="TECLA" localSheetId="11">#REF!</definedName>
    <definedName name="TECLA" localSheetId="12">#REF!</definedName>
    <definedName name="TECLA">#REF!</definedName>
    <definedName name="Tendência_Obra_Controladoria" localSheetId="8">#REF!</definedName>
    <definedName name="Tendência_Obra_Controladoria" localSheetId="5">#REF!</definedName>
    <definedName name="Tendência_Obra_Controladoria" localSheetId="10">#REF!</definedName>
    <definedName name="Tendência_Obra_Controladoria" localSheetId="11">#REF!</definedName>
    <definedName name="Tendência_Obra_Controladoria" localSheetId="12">#REF!</definedName>
    <definedName name="Tendência_Obra_Controladoria">#REF!</definedName>
    <definedName name="TERRENO" localSheetId="8">#REF!</definedName>
    <definedName name="TERRENO" localSheetId="5">#REF!</definedName>
    <definedName name="TERRENO" localSheetId="10">#REF!</definedName>
    <definedName name="TERRENO" localSheetId="11">#REF!</definedName>
    <definedName name="TERRENO" localSheetId="12">#REF!</definedName>
    <definedName name="TERRENO">#REF!</definedName>
    <definedName name="Test" localSheetId="3" hidden="1">{"'Edit'!$A$1:$V$2277"}</definedName>
    <definedName name="Test" localSheetId="8">{"'Edit'!$A$1:$V$2277"}</definedName>
    <definedName name="Test" localSheetId="5" hidden="1">{"'Edit'!$A$1:$V$2277"}</definedName>
    <definedName name="Test" localSheetId="4" hidden="1">{"'Edit'!$A$1:$V$2277"}</definedName>
    <definedName name="Test" localSheetId="9">{"'Edit'!$A$1:$V$2277"}</definedName>
    <definedName name="Test" localSheetId="10" hidden="1">{"'Edit'!$A$1:$V$2277"}</definedName>
    <definedName name="Test" localSheetId="1" hidden="1">{"'Edit'!$A$1:$V$2277"}</definedName>
    <definedName name="Test" localSheetId="0">{"'Edit'!$A$1:$V$2277"}</definedName>
    <definedName name="Test" localSheetId="11" hidden="1">{"'Edit'!$A$1:$V$2277"}</definedName>
    <definedName name="Test" localSheetId="12" hidden="1">{"'Edit'!$A$1:$V$2277"}</definedName>
    <definedName name="Test" hidden="1">{"'Edit'!$A$1:$V$2277"}</definedName>
    <definedName name="TESTANDO" localSheetId="3" hidden="1">{#N/A,#N/A,TRUE,"Quinzena 01 à 15-04-98 "}</definedName>
    <definedName name="TESTANDO" localSheetId="8">{#N/A,#N/A,TRUE,"Quinzena 01 à 15-04-98 "}</definedName>
    <definedName name="TESTANDO" localSheetId="5" hidden="1">{#N/A,#N/A,TRUE,"Quinzena 01 à 15-04-98 "}</definedName>
    <definedName name="TESTANDO" localSheetId="4" hidden="1">{#N/A,#N/A,TRUE,"Quinzena 01 à 15-04-98 "}</definedName>
    <definedName name="TESTANDO" localSheetId="9">{#N/A,#N/A,TRUE,"Quinzena 01 à 15-04-98 "}</definedName>
    <definedName name="TESTANDO" localSheetId="10" hidden="1">{#N/A,#N/A,TRUE,"Quinzena 01 à 15-04-98 "}</definedName>
    <definedName name="TESTANDO" localSheetId="1" hidden="1">{#N/A,#N/A,TRUE,"Quinzena 01 à 15-04-98 "}</definedName>
    <definedName name="TESTANDO" localSheetId="0">{#N/A,#N/A,TRUE,"Quinzena 01 à 15-04-98 "}</definedName>
    <definedName name="TESTANDO" localSheetId="11" hidden="1">{#N/A,#N/A,TRUE,"Quinzena 01 à 15-04-98 "}</definedName>
    <definedName name="TESTANDO" localSheetId="12" hidden="1">{#N/A,#N/A,TRUE,"Quinzena 01 à 15-04-98 "}</definedName>
    <definedName name="TESTANDO" hidden="1">{#N/A,#N/A,TRUE,"Quinzena 01 à 15-04-98 "}</definedName>
    <definedName name="teste" localSheetId="8">#REF!</definedName>
    <definedName name="teste" localSheetId="5">#REF!</definedName>
    <definedName name="teste" localSheetId="9">#REF!</definedName>
    <definedName name="teste" localSheetId="10">#REF!</definedName>
    <definedName name="teste" localSheetId="0">#REF!</definedName>
    <definedName name="teste" localSheetId="11">#REF!</definedName>
    <definedName name="teste" localSheetId="12">#REF!</definedName>
    <definedName name="teste">#REF!</definedName>
    <definedName name="teste1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3" localSheetId="8">#REF!</definedName>
    <definedName name="teste3" localSheetId="5">#REF!</definedName>
    <definedName name="teste3" localSheetId="9">#REF!</definedName>
    <definedName name="teste3" localSheetId="10">#REF!</definedName>
    <definedName name="teste3" localSheetId="0">#REF!</definedName>
    <definedName name="teste3" localSheetId="11">#REF!</definedName>
    <definedName name="teste3" localSheetId="12">#REF!</definedName>
    <definedName name="teste3">#REF!</definedName>
    <definedName name="TESTHKEY" localSheetId="8">#REF!</definedName>
    <definedName name="TESTHKEY" localSheetId="5">#REF!</definedName>
    <definedName name="TESTHKEY" localSheetId="9">#REF!</definedName>
    <definedName name="TESTHKEY" localSheetId="10">#REF!</definedName>
    <definedName name="TESTHKEY" localSheetId="0">#REF!</definedName>
    <definedName name="TESTHKEY" localSheetId="11">#REF!</definedName>
    <definedName name="TESTHKEY" localSheetId="12">#REF!</definedName>
    <definedName name="TESTHKEY">#REF!</definedName>
    <definedName name="teto1" localSheetId="8">#REF!</definedName>
    <definedName name="teto1" localSheetId="5">#REF!</definedName>
    <definedName name="teto1" localSheetId="9">#REF!</definedName>
    <definedName name="teto1" localSheetId="10">#REF!</definedName>
    <definedName name="teto1" localSheetId="0">#REF!</definedName>
    <definedName name="teto1" localSheetId="11">#REF!</definedName>
    <definedName name="teto1" localSheetId="12">#REF!</definedName>
    <definedName name="teto1">#REF!</definedName>
    <definedName name="Teto2" localSheetId="8">#REF!</definedName>
    <definedName name="Teto2" localSheetId="5">#REF!</definedName>
    <definedName name="Teto2" localSheetId="10">#REF!</definedName>
    <definedName name="Teto2" localSheetId="11">#REF!</definedName>
    <definedName name="Teto2" localSheetId="12">#REF!</definedName>
    <definedName name="Teto2">#REF!</definedName>
    <definedName name="tetuytw" localSheetId="8">#REF!</definedName>
    <definedName name="tetuytw" localSheetId="5">#REF!</definedName>
    <definedName name="tetuytw" localSheetId="10">#REF!</definedName>
    <definedName name="tetuytw" localSheetId="11">#REF!</definedName>
    <definedName name="tetuytw" localSheetId="12">#REF!</definedName>
    <definedName name="tetuytw">#REF!</definedName>
    <definedName name="TextRefCopyRangeCount" hidden="1">1</definedName>
    <definedName name="thjgsergsr" localSheetId="3" hidden="1">{#N/A,#N/A,FALSE,"Plan1";#N/A,#N/A,FALSE,"Plan2"}</definedName>
    <definedName name="thjgsergsr" localSheetId="8">{#N/A,#N/A,FALSE,"Plan1";#N/A,#N/A,FALSE,"Plan2"}</definedName>
    <definedName name="thjgsergsr" localSheetId="5" hidden="1">{#N/A,#N/A,FALSE,"Plan1";#N/A,#N/A,FALSE,"Plan2"}</definedName>
    <definedName name="thjgsergsr" localSheetId="4" hidden="1">{#N/A,#N/A,FALSE,"Plan1";#N/A,#N/A,FALSE,"Plan2"}</definedName>
    <definedName name="thjgsergsr" localSheetId="9">{#N/A,#N/A,FALSE,"Plan1";#N/A,#N/A,FALSE,"Plan2"}</definedName>
    <definedName name="thjgsergsr" localSheetId="10" hidden="1">{#N/A,#N/A,FALSE,"Plan1";#N/A,#N/A,FALSE,"Plan2"}</definedName>
    <definedName name="thjgsergsr" localSheetId="1" hidden="1">{#N/A,#N/A,FALSE,"Plan1";#N/A,#N/A,FALSE,"Plan2"}</definedName>
    <definedName name="thjgsergsr" localSheetId="0">{#N/A,#N/A,FALSE,"Plan1";#N/A,#N/A,FALSE,"Plan2"}</definedName>
    <definedName name="thjgsergsr" localSheetId="11" hidden="1">{#N/A,#N/A,FALSE,"Plan1";#N/A,#N/A,FALSE,"Plan2"}</definedName>
    <definedName name="thjgsergsr" localSheetId="12" hidden="1">{#N/A,#N/A,FALSE,"Plan1";#N/A,#N/A,FALSE,"Plan2"}</definedName>
    <definedName name="thjgsergsr" hidden="1">{#N/A,#N/A,FALSE,"Plan1";#N/A,#N/A,FALSE,"Plan2"}</definedName>
    <definedName name="THYJ" localSheetId="3" hidden="1">{#N/A,#N/A,FALSE,"Plan1";#N/A,#N/A,FALSE,"Plan2"}</definedName>
    <definedName name="THYJ" localSheetId="8">{#N/A,#N/A,FALSE,"Plan1";#N/A,#N/A,FALSE,"Plan2"}</definedName>
    <definedName name="THYJ" localSheetId="5" hidden="1">{#N/A,#N/A,FALSE,"Plan1";#N/A,#N/A,FALSE,"Plan2"}</definedName>
    <definedName name="THYJ" localSheetId="4" hidden="1">{#N/A,#N/A,FALSE,"Plan1";#N/A,#N/A,FALSE,"Plan2"}</definedName>
    <definedName name="THYJ" localSheetId="9">{#N/A,#N/A,FALSE,"Plan1";#N/A,#N/A,FALSE,"Plan2"}</definedName>
    <definedName name="THYJ" localSheetId="10" hidden="1">{#N/A,#N/A,FALSE,"Plan1";#N/A,#N/A,FALSE,"Plan2"}</definedName>
    <definedName name="THYJ" localSheetId="1" hidden="1">{#N/A,#N/A,FALSE,"Plan1";#N/A,#N/A,FALSE,"Plan2"}</definedName>
    <definedName name="THYJ" localSheetId="0">{#N/A,#N/A,FALSE,"Plan1";#N/A,#N/A,FALSE,"Plan2"}</definedName>
    <definedName name="THYJ" localSheetId="11" hidden="1">{#N/A,#N/A,FALSE,"Plan1";#N/A,#N/A,FALSE,"Plan2"}</definedName>
    <definedName name="THYJ" localSheetId="12" hidden="1">{#N/A,#N/A,FALSE,"Plan1";#N/A,#N/A,FALSE,"Plan2"}</definedName>
    <definedName name="THYJ" hidden="1">{#N/A,#N/A,FALSE,"Plan1";#N/A,#N/A,FALSE,"Plan2"}</definedName>
    <definedName name="tihjgih" localSheetId="3" hidden="1">{#N/A,#N/A,FALSE,"Plan1";#N/A,#N/A,FALSE,"Plan2"}</definedName>
    <definedName name="tihjgih" localSheetId="8">{#N/A,#N/A,FALSE,"Plan1";#N/A,#N/A,FALSE,"Plan2"}</definedName>
    <definedName name="tihjgih" localSheetId="5" hidden="1">{#N/A,#N/A,FALSE,"Plan1";#N/A,#N/A,FALSE,"Plan2"}</definedName>
    <definedName name="tihjgih" localSheetId="4" hidden="1">{#N/A,#N/A,FALSE,"Plan1";#N/A,#N/A,FALSE,"Plan2"}</definedName>
    <definedName name="tihjgih" localSheetId="9">{#N/A,#N/A,FALSE,"Plan1";#N/A,#N/A,FALSE,"Plan2"}</definedName>
    <definedName name="tihjgih" localSheetId="10" hidden="1">{#N/A,#N/A,FALSE,"Plan1";#N/A,#N/A,FALSE,"Plan2"}</definedName>
    <definedName name="tihjgih" localSheetId="1" hidden="1">{#N/A,#N/A,FALSE,"Plan1";#N/A,#N/A,FALSE,"Plan2"}</definedName>
    <definedName name="tihjgih" localSheetId="0">{#N/A,#N/A,FALSE,"Plan1";#N/A,#N/A,FALSE,"Plan2"}</definedName>
    <definedName name="tihjgih" localSheetId="11" hidden="1">{#N/A,#N/A,FALSE,"Plan1";#N/A,#N/A,FALSE,"Plan2"}</definedName>
    <definedName name="tihjgih" localSheetId="12" hidden="1">{#N/A,#N/A,FALSE,"Plan1";#N/A,#N/A,FALSE,"Plan2"}</definedName>
    <definedName name="tihjgih" hidden="1">{#N/A,#N/A,FALSE,"Plan1";#N/A,#N/A,FALSE,"Plan2"}</definedName>
    <definedName name="TIPO_CTT" localSheetId="8">#REF!</definedName>
    <definedName name="TIPO_CTT" localSheetId="5">#REF!</definedName>
    <definedName name="TIPO_CTT" localSheetId="9">#REF!</definedName>
    <definedName name="TIPO_CTT" localSheetId="10">#REF!</definedName>
    <definedName name="TIPO_CTT" localSheetId="0">#REF!</definedName>
    <definedName name="TIPO_CTT" localSheetId="11">#REF!</definedName>
    <definedName name="TIPO_CTT" localSheetId="12">#REF!</definedName>
    <definedName name="TIPO_CTT">#REF!</definedName>
    <definedName name="Tipo_de_Diretoria" localSheetId="8">#REF!</definedName>
    <definedName name="Tipo_de_Diretoria" localSheetId="5">#REF!</definedName>
    <definedName name="Tipo_de_Diretoria" localSheetId="9">#REF!</definedName>
    <definedName name="Tipo_de_Diretoria" localSheetId="10">#REF!</definedName>
    <definedName name="Tipo_de_Diretoria" localSheetId="0">#REF!</definedName>
    <definedName name="Tipo_de_Diretoria" localSheetId="11">#REF!</definedName>
    <definedName name="Tipo_de_Diretoria" localSheetId="12">#REF!</definedName>
    <definedName name="Tipo_de_Diretoria">#REF!</definedName>
    <definedName name="Tipo_de_Gestao" localSheetId="8">#REF!</definedName>
    <definedName name="Tipo_de_Gestao" localSheetId="5">#REF!</definedName>
    <definedName name="Tipo_de_Gestao" localSheetId="9">#REF!</definedName>
    <definedName name="Tipo_de_Gestao" localSheetId="10">#REF!</definedName>
    <definedName name="Tipo_de_Gestao" localSheetId="0">#REF!</definedName>
    <definedName name="Tipo_de_Gestao" localSheetId="11">#REF!</definedName>
    <definedName name="Tipo_de_Gestao" localSheetId="12">#REF!</definedName>
    <definedName name="Tipo_de_Gestao">#REF!</definedName>
    <definedName name="Tipo_de_Padrao" localSheetId="8">#REF!</definedName>
    <definedName name="Tipo_de_Padrao" localSheetId="5">#REF!</definedName>
    <definedName name="Tipo_de_Padrao" localSheetId="10">#REF!</definedName>
    <definedName name="Tipo_de_Padrao" localSheetId="11">#REF!</definedName>
    <definedName name="Tipo_de_Padrao" localSheetId="12">#REF!</definedName>
    <definedName name="Tipo_de_Padrao">#REF!</definedName>
    <definedName name="Tipo_de_Regiao" localSheetId="8">#REF!</definedName>
    <definedName name="Tipo_de_Regiao" localSheetId="5">#REF!</definedName>
    <definedName name="Tipo_de_Regiao" localSheetId="10">#REF!</definedName>
    <definedName name="Tipo_de_Regiao" localSheetId="11">#REF!</definedName>
    <definedName name="Tipo_de_Regiao" localSheetId="12">#REF!</definedName>
    <definedName name="Tipo_de_Regiao">#REF!</definedName>
    <definedName name="Tipo_de_Segmento" localSheetId="8">#REF!</definedName>
    <definedName name="Tipo_de_Segmento" localSheetId="5">#REF!</definedName>
    <definedName name="Tipo_de_Segmento" localSheetId="10">#REF!</definedName>
    <definedName name="Tipo_de_Segmento" localSheetId="11">#REF!</definedName>
    <definedName name="Tipo_de_Segmento" localSheetId="12">#REF!</definedName>
    <definedName name="Tipo_de_Segmento">#REF!</definedName>
    <definedName name="Tipo_de_Status" localSheetId="8">#REF!</definedName>
    <definedName name="Tipo_de_Status" localSheetId="5">#REF!</definedName>
    <definedName name="Tipo_de_Status" localSheetId="10">#REF!</definedName>
    <definedName name="Tipo_de_Status" localSheetId="11">#REF!</definedName>
    <definedName name="Tipo_de_Status" localSheetId="12">#REF!</definedName>
    <definedName name="Tipo_de_Status">#REF!</definedName>
    <definedName name="Tipo_de_UF" localSheetId="8">#REF!</definedName>
    <definedName name="Tipo_de_UF" localSheetId="5">#REF!</definedName>
    <definedName name="Tipo_de_UF" localSheetId="10">#REF!</definedName>
    <definedName name="Tipo_de_UF" localSheetId="11">#REF!</definedName>
    <definedName name="Tipo_de_UF" localSheetId="12">#REF!</definedName>
    <definedName name="Tipo_de_UF">#REF!</definedName>
    <definedName name="Tipo_de_Unidade_de_Negocio" localSheetId="8">#REF!</definedName>
    <definedName name="Tipo_de_Unidade_de_Negocio" localSheetId="5">#REF!</definedName>
    <definedName name="Tipo_de_Unidade_de_Negocio" localSheetId="10">#REF!</definedName>
    <definedName name="Tipo_de_Unidade_de_Negocio" localSheetId="11">#REF!</definedName>
    <definedName name="Tipo_de_Unidade_de_Negocio" localSheetId="12">#REF!</definedName>
    <definedName name="Tipo_de_Unidade_de_Negocio">#REF!</definedName>
    <definedName name="Tipo_do_cliente" localSheetId="8">#REF!</definedName>
    <definedName name="Tipo_do_cliente" localSheetId="5">#REF!</definedName>
    <definedName name="Tipo_do_cliente" localSheetId="10">#REF!</definedName>
    <definedName name="Tipo_do_cliente" localSheetId="11">#REF!</definedName>
    <definedName name="Tipo_do_cliente" localSheetId="12">#REF!</definedName>
    <definedName name="Tipo_do_cliente">#REF!</definedName>
    <definedName name="tipo_subtotal" localSheetId="8">#REF!</definedName>
    <definedName name="tipo_subtotal" localSheetId="5">#REF!</definedName>
    <definedName name="tipo_subtotal" localSheetId="10">#REF!</definedName>
    <definedName name="tipo_subtotal" localSheetId="11">#REF!</definedName>
    <definedName name="tipo_subtotal" localSheetId="12">#REF!</definedName>
    <definedName name="tipo_subtotal">#REF!</definedName>
    <definedName name="tipobloco" localSheetId="8">#REF!</definedName>
    <definedName name="tipobloco" localSheetId="5">#REF!</definedName>
    <definedName name="tipobloco" localSheetId="10">#REF!</definedName>
    <definedName name="tipobloco" localSheetId="11">#REF!</definedName>
    <definedName name="tipobloco" localSheetId="12">#REF!</definedName>
    <definedName name="tipobloco">#REF!</definedName>
    <definedName name="titbeb" localSheetId="8">#REF!</definedName>
    <definedName name="titbeb" localSheetId="5">#REF!</definedName>
    <definedName name="titbeb" localSheetId="10">#REF!</definedName>
    <definedName name="titbeb" localSheetId="11">#REF!</definedName>
    <definedName name="titbeb" localSheetId="12">#REF!</definedName>
    <definedName name="titbeb">#REF!</definedName>
    <definedName name="TITCHAF" localSheetId="8">#REF!</definedName>
    <definedName name="TITCHAF" localSheetId="5">#REF!</definedName>
    <definedName name="TITCHAF" localSheetId="10">#REF!</definedName>
    <definedName name="TITCHAF" localSheetId="11">#REF!</definedName>
    <definedName name="TITCHAF" localSheetId="12">#REF!</definedName>
    <definedName name="TITCHAF">#REF!</definedName>
    <definedName name="TituloMkt" localSheetId="8">#REF!</definedName>
    <definedName name="TituloMkt" localSheetId="5">#REF!</definedName>
    <definedName name="TituloMkt" localSheetId="10">#REF!</definedName>
    <definedName name="TituloMkt" localSheetId="11">#REF!</definedName>
    <definedName name="TituloMkt" localSheetId="12">#REF!</definedName>
    <definedName name="TituloMkt">#REF!</definedName>
    <definedName name="titulos" localSheetId="8">#REF!</definedName>
    <definedName name="titulos" localSheetId="5">#REF!</definedName>
    <definedName name="titulos" localSheetId="10">#REF!</definedName>
    <definedName name="titulos" localSheetId="1">#REF!</definedName>
    <definedName name="titulos" localSheetId="11">#REF!</definedName>
    <definedName name="titulos" localSheetId="12">#REF!</definedName>
    <definedName name="titulos">#REF!</definedName>
    <definedName name="_xlnm.Print_Titles" localSheetId="5">#REF!</definedName>
    <definedName name="_xlnm.Print_Titles" localSheetId="10">#REF!</definedName>
    <definedName name="_xlnm.Print_Titles" localSheetId="1">#REF!</definedName>
    <definedName name="_xlnm.Print_Titles" localSheetId="11">#REF!</definedName>
    <definedName name="_xlnm.Print_Titles" localSheetId="12">#REF!</definedName>
    <definedName name="_xlnm.Print_Titles">#REF!</definedName>
    <definedName name="Títulos_impressão_IM" localSheetId="8">#REF!</definedName>
    <definedName name="Títulos_impressão_IM" localSheetId="5">#REF!</definedName>
    <definedName name="Títulos_impressão_IM" localSheetId="10">#REF!</definedName>
    <definedName name="Títulos_impressão_IM" localSheetId="11">#REF!</definedName>
    <definedName name="Títulos_impressão_IM" localSheetId="12">#REF!</definedName>
    <definedName name="Títulos_impressão_IM">#REF!</definedName>
    <definedName name="TMO" localSheetId="8">#REF!</definedName>
    <definedName name="TMO" localSheetId="5">#REF!</definedName>
    <definedName name="TMO" localSheetId="10">#REF!</definedName>
    <definedName name="TMO" localSheetId="11">#REF!</definedName>
    <definedName name="TMO" localSheetId="12">#REF!</definedName>
    <definedName name="TMO">#REF!</definedName>
    <definedName name="TOLTAL2" localSheetId="8">#REF!</definedName>
    <definedName name="TOLTAL2" localSheetId="5">#REF!</definedName>
    <definedName name="TOLTAL2" localSheetId="10">#REF!</definedName>
    <definedName name="TOLTAL2" localSheetId="11">#REF!</definedName>
    <definedName name="TOLTAL2" localSheetId="12">#REF!</definedName>
    <definedName name="TOLTAL2">#REF!</definedName>
    <definedName name="TOT" localSheetId="8">#REF!</definedName>
    <definedName name="TOT" localSheetId="5">#REF!</definedName>
    <definedName name="TOT" localSheetId="10">#REF!</definedName>
    <definedName name="TOT" localSheetId="1">#REF!</definedName>
    <definedName name="TOT" localSheetId="11">#REF!</definedName>
    <definedName name="TOT" localSheetId="12">#REF!</definedName>
    <definedName name="TOT">#REF!</definedName>
    <definedName name="tot3estac" localSheetId="8">#REF!</definedName>
    <definedName name="tot3estac" localSheetId="5">#REF!</definedName>
    <definedName name="tot3estac" localSheetId="10">#REF!</definedName>
    <definedName name="tot3estac" localSheetId="11">#REF!</definedName>
    <definedName name="tot3estac" localSheetId="12">#REF!</definedName>
    <definedName name="tot3estac">#REF!</definedName>
    <definedName name="TOTAIS" localSheetId="8">#REF!</definedName>
    <definedName name="TOTAIS" localSheetId="5">#REF!</definedName>
    <definedName name="TOTAIS" localSheetId="10">#REF!</definedName>
    <definedName name="TOTAIS" localSheetId="11">#REF!</definedName>
    <definedName name="TOTAIS" localSheetId="12">#REF!</definedName>
    <definedName name="TOTAIS">#REF!</definedName>
    <definedName name="Total" localSheetId="8">#REF!</definedName>
    <definedName name="Total" localSheetId="5">#REF!</definedName>
    <definedName name="Total" localSheetId="10">#REF!</definedName>
    <definedName name="Total" localSheetId="1">#REF!</definedName>
    <definedName name="Total" localSheetId="11">#REF!</definedName>
    <definedName name="Total" localSheetId="12">#REF!</definedName>
    <definedName name="Total">#REF!</definedName>
    <definedName name="Total_2016_Rel_Controladoria" localSheetId="8">#REF!</definedName>
    <definedName name="Total_2016_Rel_Controladoria" localSheetId="5">#REF!</definedName>
    <definedName name="Total_2016_Rel_Controladoria" localSheetId="10">#REF!</definedName>
    <definedName name="Total_2016_Rel_Controladoria" localSheetId="11">#REF!</definedName>
    <definedName name="Total_2016_Rel_Controladoria" localSheetId="12">#REF!</definedName>
    <definedName name="Total_2016_Rel_Controladoria">#REF!</definedName>
    <definedName name="Total_Parcelas_MAP" localSheetId="8">#REF!</definedName>
    <definedName name="Total_Parcelas_MAP" localSheetId="5">#REF!</definedName>
    <definedName name="Total_Parcelas_MAP" localSheetId="10">#REF!</definedName>
    <definedName name="Total_Parcelas_MAP" localSheetId="11">#REF!</definedName>
    <definedName name="Total_Parcelas_MAP" localSheetId="12">#REF!</definedName>
    <definedName name="Total_Parcelas_MAP">#REF!</definedName>
    <definedName name="total_unid" localSheetId="8">#REF!</definedName>
    <definedName name="total_unid" localSheetId="5">#REF!</definedName>
    <definedName name="total_unid" localSheetId="10">#REF!</definedName>
    <definedName name="total_unid" localSheetId="11">#REF!</definedName>
    <definedName name="total_unid" localSheetId="12">#REF!</definedName>
    <definedName name="total_unid">#REF!</definedName>
    <definedName name="TOTAL1" localSheetId="8">#REF!</definedName>
    <definedName name="TOTAL1" localSheetId="5">#REF!</definedName>
    <definedName name="TOTAL1" localSheetId="10">#REF!</definedName>
    <definedName name="TOTAL1" localSheetId="11">#REF!</definedName>
    <definedName name="TOTAL1" localSheetId="12">#REF!</definedName>
    <definedName name="TOTAL1">#REF!</definedName>
    <definedName name="TOTAL10" localSheetId="8">#REF!</definedName>
    <definedName name="TOTAL10" localSheetId="5">#REF!</definedName>
    <definedName name="TOTAL10" localSheetId="10">#REF!</definedName>
    <definedName name="TOTAL10" localSheetId="11">#REF!</definedName>
    <definedName name="TOTAL10" localSheetId="12">#REF!</definedName>
    <definedName name="TOTAL10">#REF!</definedName>
    <definedName name="TOTAL11" localSheetId="8">#REF!</definedName>
    <definedName name="TOTAL11" localSheetId="5">#REF!</definedName>
    <definedName name="TOTAL11" localSheetId="10">#REF!</definedName>
    <definedName name="TOTAL11" localSheetId="11">#REF!</definedName>
    <definedName name="TOTAL11" localSheetId="12">#REF!</definedName>
    <definedName name="TOTAL11">#REF!</definedName>
    <definedName name="TOTAL12" localSheetId="8">#REF!</definedName>
    <definedName name="TOTAL12" localSheetId="5">#REF!</definedName>
    <definedName name="TOTAL12" localSheetId="10">#REF!</definedName>
    <definedName name="TOTAL12" localSheetId="11">#REF!</definedName>
    <definedName name="TOTAL12" localSheetId="12">#REF!</definedName>
    <definedName name="TOTAL12">#REF!</definedName>
    <definedName name="TOTAL13" localSheetId="8">#REF!</definedName>
    <definedName name="TOTAL13" localSheetId="5">#REF!</definedName>
    <definedName name="TOTAL13" localSheetId="10">#REF!</definedName>
    <definedName name="TOTAL13" localSheetId="11">#REF!</definedName>
    <definedName name="TOTAL13" localSheetId="12">#REF!</definedName>
    <definedName name="TOTAL13">#REF!</definedName>
    <definedName name="TOTAL14" localSheetId="8">#REF!</definedName>
    <definedName name="TOTAL14" localSheetId="5">#REF!</definedName>
    <definedName name="TOTAL14" localSheetId="10">#REF!</definedName>
    <definedName name="TOTAL14" localSheetId="11">#REF!</definedName>
    <definedName name="TOTAL14" localSheetId="12">#REF!</definedName>
    <definedName name="TOTAL14">#REF!</definedName>
    <definedName name="TOTAL15" localSheetId="8">#REF!</definedName>
    <definedName name="TOTAL15" localSheetId="5">#REF!</definedName>
    <definedName name="TOTAL15" localSheetId="10">#REF!</definedName>
    <definedName name="TOTAL15" localSheetId="11">#REF!</definedName>
    <definedName name="TOTAL15" localSheetId="12">#REF!</definedName>
    <definedName name="TOTAL15">#REF!</definedName>
    <definedName name="TOTAL16" localSheetId="8">#REF!</definedName>
    <definedName name="TOTAL16" localSheetId="5">#REF!</definedName>
    <definedName name="TOTAL16" localSheetId="10">#REF!</definedName>
    <definedName name="TOTAL16" localSheetId="11">#REF!</definedName>
    <definedName name="TOTAL16" localSheetId="12">#REF!</definedName>
    <definedName name="TOTAL16">#REF!</definedName>
    <definedName name="TOTAL2" localSheetId="8">#REF!</definedName>
    <definedName name="TOTAL2" localSheetId="5">#REF!</definedName>
    <definedName name="TOTAL2" localSheetId="10">#REF!</definedName>
    <definedName name="TOTAL2" localSheetId="11">#REF!</definedName>
    <definedName name="TOTAL2" localSheetId="12">#REF!</definedName>
    <definedName name="TOTAL2">#REF!</definedName>
    <definedName name="TOTAL3" localSheetId="8">#REF!</definedName>
    <definedName name="TOTAL3" localSheetId="5">#REF!</definedName>
    <definedName name="TOTAL3" localSheetId="10">#REF!</definedName>
    <definedName name="TOTAL3" localSheetId="11">#REF!</definedName>
    <definedName name="TOTAL3" localSheetId="12">#REF!</definedName>
    <definedName name="TOTAL3">#REF!</definedName>
    <definedName name="TOTAL4" localSheetId="8">#REF!</definedName>
    <definedName name="TOTAL4" localSheetId="5">#REF!</definedName>
    <definedName name="TOTAL4" localSheetId="10">#REF!</definedName>
    <definedName name="TOTAL4" localSheetId="11">#REF!</definedName>
    <definedName name="TOTAL4" localSheetId="12">#REF!</definedName>
    <definedName name="TOTAL4">#REF!</definedName>
    <definedName name="TOTAL5" localSheetId="8">#REF!</definedName>
    <definedName name="TOTAL5" localSheetId="5">#REF!</definedName>
    <definedName name="TOTAL5" localSheetId="10">#REF!</definedName>
    <definedName name="TOTAL5" localSheetId="11">#REF!</definedName>
    <definedName name="TOTAL5" localSheetId="12">#REF!</definedName>
    <definedName name="TOTAL5">#REF!</definedName>
    <definedName name="TOTAL6" localSheetId="8">#REF!</definedName>
    <definedName name="TOTAL6" localSheetId="5">#REF!</definedName>
    <definedName name="TOTAL6" localSheetId="10">#REF!</definedName>
    <definedName name="TOTAL6" localSheetId="11">#REF!</definedName>
    <definedName name="TOTAL6" localSheetId="12">#REF!</definedName>
    <definedName name="TOTAL6">#REF!</definedName>
    <definedName name="TOTAL7" localSheetId="8">#REF!</definedName>
    <definedName name="TOTAL7" localSheetId="5">#REF!</definedName>
    <definedName name="TOTAL7" localSheetId="10">#REF!</definedName>
    <definedName name="TOTAL7" localSheetId="11">#REF!</definedName>
    <definedName name="TOTAL7" localSheetId="12">#REF!</definedName>
    <definedName name="TOTAL7">#REF!</definedName>
    <definedName name="TOTAL8" localSheetId="8">#REF!</definedName>
    <definedName name="TOTAL8" localSheetId="5">#REF!</definedName>
    <definedName name="TOTAL8" localSheetId="10">#REF!</definedName>
    <definedName name="TOTAL8" localSheetId="11">#REF!</definedName>
    <definedName name="TOTAL8" localSheetId="12">#REF!</definedName>
    <definedName name="TOTAL8">#REF!</definedName>
    <definedName name="TOTAL9" localSheetId="8">#REF!</definedName>
    <definedName name="TOTAL9" localSheetId="5">#REF!</definedName>
    <definedName name="TOTAL9" localSheetId="10">#REF!</definedName>
    <definedName name="TOTAL9" localSheetId="11">#REF!</definedName>
    <definedName name="TOTAL9" localSheetId="12">#REF!</definedName>
    <definedName name="TOTAL9">#REF!</definedName>
    <definedName name="TOTALITEM" localSheetId="8">#REF!</definedName>
    <definedName name="TOTALITEM" localSheetId="5">#REF!</definedName>
    <definedName name="TOTALITEM" localSheetId="10">#REF!</definedName>
    <definedName name="TOTALITEM" localSheetId="11">#REF!</definedName>
    <definedName name="TOTALITEM" localSheetId="12">#REF!</definedName>
    <definedName name="TOTALITEM">#REF!</definedName>
    <definedName name="totbase" localSheetId="8">#REF!</definedName>
    <definedName name="totbase" localSheetId="5">#REF!</definedName>
    <definedName name="totbase" localSheetId="10">#REF!</definedName>
    <definedName name="totbase" localSheetId="11">#REF!</definedName>
    <definedName name="totbase" localSheetId="12">#REF!</definedName>
    <definedName name="totbase">#REF!</definedName>
    <definedName name="totestaca" localSheetId="8">#REF!</definedName>
    <definedName name="totestaca" localSheetId="5">#REF!</definedName>
    <definedName name="totestaca" localSheetId="10">#REF!</definedName>
    <definedName name="totestaca" localSheetId="11">#REF!</definedName>
    <definedName name="totestaca" localSheetId="12">#REF!</definedName>
    <definedName name="totestaca">#REF!</definedName>
    <definedName name="TOTG" localSheetId="8">OFFSET(#REF!,0,0,COUNTA(#REF!),1)</definedName>
    <definedName name="TOTG" localSheetId="5">OFFSET(#REF!,0,0,COUNTA(#REF!),1)</definedName>
    <definedName name="TOTG" localSheetId="9">OFFSET(#REF!,0,0,COUNTA(#REF!),1)</definedName>
    <definedName name="TOTG" localSheetId="10">OFFSET(#REF!,0,0,COUNTA(#REF!),1)</definedName>
    <definedName name="TOTG" localSheetId="0">OFFSET(#REF!,0,0,COUNTA(#REF!),1)</definedName>
    <definedName name="TOTG" localSheetId="11">OFFSET(#REF!,0,0,COUNTA(#REF!),1)</definedName>
    <definedName name="TOTG" localSheetId="12">OFFSET(#REF!,0,0,COUNTA(#REF!),1)</definedName>
    <definedName name="TOTG">OFFSET(#REF!,0,0,COUNTA(#REF!),1)</definedName>
    <definedName name="totperfura" localSheetId="8">#REF!</definedName>
    <definedName name="totperfura" localSheetId="5">#REF!</definedName>
    <definedName name="totperfura" localSheetId="9">#REF!</definedName>
    <definedName name="totperfura" localSheetId="10">#REF!</definedName>
    <definedName name="totperfura" localSheetId="0">#REF!</definedName>
    <definedName name="totperfura" localSheetId="11">#REF!</definedName>
    <definedName name="totperfura" localSheetId="12">#REF!</definedName>
    <definedName name="totperfura">#REF!</definedName>
    <definedName name="TOTQTS" localSheetId="8">#REF!</definedName>
    <definedName name="TOTQTS" localSheetId="5">#REF!</definedName>
    <definedName name="TOTQTS" localSheetId="9">#REF!</definedName>
    <definedName name="TOTQTS" localSheetId="10">#REF!</definedName>
    <definedName name="TOTQTS" localSheetId="0">#REF!</definedName>
    <definedName name="TOTQTS" localSheetId="11">#REF!</definedName>
    <definedName name="TOTQTS" localSheetId="12">#REF!</definedName>
    <definedName name="TOTQTS">#REF!</definedName>
    <definedName name="TOTT" localSheetId="8">OFFSET(#REF!,0,0,COUNTA(#REF!)+1,1)</definedName>
    <definedName name="TOTT" localSheetId="5">OFFSET(#REF!,0,0,COUNTA(#REF!)+1,1)</definedName>
    <definedName name="TOTT" localSheetId="9">OFFSET(#REF!,0,0,COUNTA(#REF!)+1,1)</definedName>
    <definedName name="TOTT" localSheetId="10">OFFSET(#REF!,0,0,COUNTA(#REF!)+1,1)</definedName>
    <definedName name="TOTT" localSheetId="0">OFFSET(#REF!,0,0,COUNTA(#REF!)+1,1)</definedName>
    <definedName name="TOTT" localSheetId="11">OFFSET(#REF!,0,0,COUNTA(#REF!)+1,1)</definedName>
    <definedName name="TOTT" localSheetId="12">OFFSET(#REF!,0,0,COUNTA(#REF!)+1,1)</definedName>
    <definedName name="TOTT">OFFSET(#REF!,0,0,COUNTA(#REF!)+1,1)</definedName>
    <definedName name="TR" localSheetId="8">#REF!</definedName>
    <definedName name="TR" localSheetId="5">#REF!</definedName>
    <definedName name="TR" localSheetId="9">#REF!</definedName>
    <definedName name="TR" localSheetId="10">#REF!</definedName>
    <definedName name="TR" localSheetId="0">#REF!</definedName>
    <definedName name="TR" localSheetId="11">#REF!</definedName>
    <definedName name="TR" localSheetId="12">#REF!</definedName>
    <definedName name="TR">#REF!</definedName>
    <definedName name="Transferencia1" localSheetId="8">#REF!</definedName>
    <definedName name="Transferencia1" localSheetId="5">#REF!</definedName>
    <definedName name="Transferencia1" localSheetId="9">#REF!</definedName>
    <definedName name="Transferencia1" localSheetId="10">#REF!</definedName>
    <definedName name="Transferencia1" localSheetId="0">#REF!</definedName>
    <definedName name="Transferencia1" localSheetId="11">#REF!</definedName>
    <definedName name="Transferencia1" localSheetId="12">#REF!</definedName>
    <definedName name="Transferencia1">#REF!</definedName>
    <definedName name="TRES" localSheetId="8">#REF!</definedName>
    <definedName name="TRES" localSheetId="5">#REF!</definedName>
    <definedName name="TRES" localSheetId="9">#REF!</definedName>
    <definedName name="TRES" localSheetId="10">#REF!</definedName>
    <definedName name="TRES" localSheetId="0">#REF!</definedName>
    <definedName name="TRES" localSheetId="11">#REF!</definedName>
    <definedName name="TRES" localSheetId="12">#REF!</definedName>
    <definedName name="TRES">#REF!</definedName>
    <definedName name="TREZE" localSheetId="8">#REF!</definedName>
    <definedName name="TREZE" localSheetId="5">#REF!</definedName>
    <definedName name="TREZE" localSheetId="10">#REF!</definedName>
    <definedName name="TREZE" localSheetId="11">#REF!</definedName>
    <definedName name="TREZE" localSheetId="12">#REF!</definedName>
    <definedName name="TREZE">#REF!</definedName>
    <definedName name="tri" localSheetId="8">#REF!</definedName>
    <definedName name="tri" localSheetId="5">#REF!</definedName>
    <definedName name="tri" localSheetId="10">#REF!</definedName>
    <definedName name="tri" localSheetId="11">#REF!</definedName>
    <definedName name="tri" localSheetId="12">#REF!</definedName>
    <definedName name="tri">#REF!</definedName>
    <definedName name="Trimestre_data_base" localSheetId="8">#REF!</definedName>
    <definedName name="Trimestre_data_base" localSheetId="5">#REF!</definedName>
    <definedName name="Trimestre_data_base" localSheetId="10">#REF!</definedName>
    <definedName name="Trimestre_data_base" localSheetId="11">#REF!</definedName>
    <definedName name="Trimestre_data_base" localSheetId="12">#REF!</definedName>
    <definedName name="Trimestre_data_base">#REF!</definedName>
    <definedName name="trjyidih" localSheetId="3" hidden="1">{#N/A,#N/A,FALSE,"Plan1";#N/A,#N/A,FALSE,"Plan2"}</definedName>
    <definedName name="trjyidih" localSheetId="8">{#N/A,#N/A,FALSE,"Plan1";#N/A,#N/A,FALSE,"Plan2"}</definedName>
    <definedName name="trjyidih" localSheetId="5" hidden="1">{#N/A,#N/A,FALSE,"Plan1";#N/A,#N/A,FALSE,"Plan2"}</definedName>
    <definedName name="trjyidih" localSheetId="4" hidden="1">{#N/A,#N/A,FALSE,"Plan1";#N/A,#N/A,FALSE,"Plan2"}</definedName>
    <definedName name="trjyidih" localSheetId="9">{#N/A,#N/A,FALSE,"Plan1";#N/A,#N/A,FALSE,"Plan2"}</definedName>
    <definedName name="trjyidih" localSheetId="10" hidden="1">{#N/A,#N/A,FALSE,"Plan1";#N/A,#N/A,FALSE,"Plan2"}</definedName>
    <definedName name="trjyidih" localSheetId="1" hidden="1">{#N/A,#N/A,FALSE,"Plan1";#N/A,#N/A,FALSE,"Plan2"}</definedName>
    <definedName name="trjyidih" localSheetId="0">{#N/A,#N/A,FALSE,"Plan1";#N/A,#N/A,FALSE,"Plan2"}</definedName>
    <definedName name="trjyidih" localSheetId="11" hidden="1">{#N/A,#N/A,FALSE,"Plan1";#N/A,#N/A,FALSE,"Plan2"}</definedName>
    <definedName name="trjyidih" localSheetId="12" hidden="1">{#N/A,#N/A,FALSE,"Plan1";#N/A,#N/A,FALSE,"Plan2"}</definedName>
    <definedName name="trjyidih" hidden="1">{#N/A,#N/A,FALSE,"Plan1";#N/A,#N/A,FALSE,"Plan2"}</definedName>
    <definedName name="TRP" localSheetId="8">#REF!</definedName>
    <definedName name="TRP" localSheetId="5">#REF!</definedName>
    <definedName name="TRP" localSheetId="9">#REF!</definedName>
    <definedName name="TRP" localSheetId="10">#REF!</definedName>
    <definedName name="TRP" localSheetId="1">#REF!</definedName>
    <definedName name="TRP" localSheetId="0">#REF!</definedName>
    <definedName name="TRP" localSheetId="11">#REF!</definedName>
    <definedName name="TRP" localSheetId="12">#REF!</definedName>
    <definedName name="TRP">#REF!</definedName>
    <definedName name="TTT" localSheetId="8">#REF!</definedName>
    <definedName name="TTT" localSheetId="5">#REF!</definedName>
    <definedName name="TTT" localSheetId="9">#REF!</definedName>
    <definedName name="TTT" localSheetId="10">#REF!</definedName>
    <definedName name="TTT" localSheetId="0">#REF!</definedName>
    <definedName name="TTT" localSheetId="11">#REF!</definedName>
    <definedName name="TTT" localSheetId="12">#REF!</definedName>
    <definedName name="TTT">#REF!</definedName>
    <definedName name="TURNO" localSheetId="8">#REF!</definedName>
    <definedName name="TURNO" localSheetId="5">#REF!</definedName>
    <definedName name="TURNO" localSheetId="9">#REF!</definedName>
    <definedName name="TURNO" localSheetId="10">#REF!</definedName>
    <definedName name="TURNO" localSheetId="0">#REF!</definedName>
    <definedName name="TURNO" localSheetId="11">#REF!</definedName>
    <definedName name="TURNO" localSheetId="12">#REF!</definedName>
    <definedName name="TURNO">#REF!</definedName>
    <definedName name="tuyedjsksj" localSheetId="3" hidden="1">{#N/A,#N/A,FALSE,"Plan1";#N/A,#N/A,FALSE,"Plan2"}</definedName>
    <definedName name="tuyedjsksj" localSheetId="8">{#N/A,#N/A,FALSE,"Plan1";#N/A,#N/A,FALSE,"Plan2"}</definedName>
    <definedName name="tuyedjsksj" localSheetId="5" hidden="1">{#N/A,#N/A,FALSE,"Plan1";#N/A,#N/A,FALSE,"Plan2"}</definedName>
    <definedName name="tuyedjsksj" localSheetId="4" hidden="1">{#N/A,#N/A,FALSE,"Plan1";#N/A,#N/A,FALSE,"Plan2"}</definedName>
    <definedName name="tuyedjsksj" localSheetId="9">{#N/A,#N/A,FALSE,"Plan1";#N/A,#N/A,FALSE,"Plan2"}</definedName>
    <definedName name="tuyedjsksj" localSheetId="10" hidden="1">{#N/A,#N/A,FALSE,"Plan1";#N/A,#N/A,FALSE,"Plan2"}</definedName>
    <definedName name="tuyedjsksj" localSheetId="1" hidden="1">{#N/A,#N/A,FALSE,"Plan1";#N/A,#N/A,FALSE,"Plan2"}</definedName>
    <definedName name="tuyedjsksj" localSheetId="0">{#N/A,#N/A,FALSE,"Plan1";#N/A,#N/A,FALSE,"Plan2"}</definedName>
    <definedName name="tuyedjsksj" localSheetId="11" hidden="1">{#N/A,#N/A,FALSE,"Plan1";#N/A,#N/A,FALSE,"Plan2"}</definedName>
    <definedName name="tuyedjsksj" localSheetId="12" hidden="1">{#N/A,#N/A,FALSE,"Plan1";#N/A,#N/A,FALSE,"Plan2"}</definedName>
    <definedName name="tuyedjsksj" hidden="1">{#N/A,#N/A,FALSE,"Plan1";#N/A,#N/A,FALSE,"Plan2"}</definedName>
    <definedName name="TX_ADM" localSheetId="8">#REF!</definedName>
    <definedName name="TX_ADM" localSheetId="5">#REF!</definedName>
    <definedName name="TX_ADM" localSheetId="9">#REF!</definedName>
    <definedName name="TX_ADM" localSheetId="10">#REF!</definedName>
    <definedName name="TX_ADM" localSheetId="0">#REF!</definedName>
    <definedName name="TX_ADM" localSheetId="11">#REF!</definedName>
    <definedName name="TX_ADM" localSheetId="12">#REF!</definedName>
    <definedName name="TX_ADM">#REF!</definedName>
    <definedName name="tx_desconto_real" localSheetId="8">#REF!</definedName>
    <definedName name="tx_desconto_real" localSheetId="5">#REF!</definedName>
    <definedName name="tx_desconto_real" localSheetId="9">#REF!</definedName>
    <definedName name="tx_desconto_real" localSheetId="10">#REF!</definedName>
    <definedName name="tx_desconto_real" localSheetId="0">#REF!</definedName>
    <definedName name="tx_desconto_real" localSheetId="11">#REF!</definedName>
    <definedName name="tx_desconto_real" localSheetId="12">#REF!</definedName>
    <definedName name="tx_desconto_real">#REF!</definedName>
    <definedName name="TxAplicMes" localSheetId="8">#REF!</definedName>
    <definedName name="TxAplicMes" localSheetId="5">#REF!</definedName>
    <definedName name="TxAplicMes" localSheetId="9">#REF!</definedName>
    <definedName name="TxAplicMes" localSheetId="10">#REF!</definedName>
    <definedName name="TxAplicMes" localSheetId="0">#REF!</definedName>
    <definedName name="TxAplicMes" localSheetId="11">#REF!</definedName>
    <definedName name="TxAplicMes" localSheetId="12">#REF!</definedName>
    <definedName name="TxAplicMes">#REF!</definedName>
    <definedName name="TxCdiMes" localSheetId="8">#REF!</definedName>
    <definedName name="TxCdiMes" localSheetId="5">#REF!</definedName>
    <definedName name="TxCdiMes" localSheetId="10">#REF!</definedName>
    <definedName name="TxCdiMes" localSheetId="11">#REF!</definedName>
    <definedName name="TxCdiMes" localSheetId="12">#REF!</definedName>
    <definedName name="TxCdiMes">#REF!</definedName>
    <definedName name="TxDescMes" localSheetId="8">#REF!</definedName>
    <definedName name="TxDescMes" localSheetId="5">#REF!</definedName>
    <definedName name="TxDescMes" localSheetId="10">#REF!</definedName>
    <definedName name="TxDescMes" localSheetId="11">#REF!</definedName>
    <definedName name="TxDescMes" localSheetId="12">#REF!</definedName>
    <definedName name="TxDescMes">#REF!</definedName>
    <definedName name="TxSecuritizacaoMes" localSheetId="8">#REF!</definedName>
    <definedName name="TxSecuritizacaoMes" localSheetId="5">#REF!</definedName>
    <definedName name="TxSecuritizacaoMes" localSheetId="10">#REF!</definedName>
    <definedName name="TxSecuritizacaoMes" localSheetId="11">#REF!</definedName>
    <definedName name="TxSecuritizacaoMes" localSheetId="12">#REF!</definedName>
    <definedName name="TxSecuritizacaoMes">#REF!</definedName>
    <definedName name="TxSfhEco" localSheetId="8">#REF!</definedName>
    <definedName name="TxSfhEco" localSheetId="5">#REF!</definedName>
    <definedName name="TxSfhEco" localSheetId="10">#REF!</definedName>
    <definedName name="TxSfhEco" localSheetId="11">#REF!</definedName>
    <definedName name="TxSfhEco" localSheetId="12">#REF!</definedName>
    <definedName name="TxSfhEco">#REF!</definedName>
    <definedName name="TxSfhMap" localSheetId="8">#REF!</definedName>
    <definedName name="TxSfhMap" localSheetId="5">#REF!</definedName>
    <definedName name="TxSfhMap" localSheetId="10">#REF!</definedName>
    <definedName name="TxSfhMap" localSheetId="11">#REF!</definedName>
    <definedName name="TxSfhMap" localSheetId="12">#REF!</definedName>
    <definedName name="TxSfhMap">#REF!</definedName>
    <definedName name="TXTEQUIP" localSheetId="8">#REF!</definedName>
    <definedName name="TXTEQUIP" localSheetId="5">#REF!</definedName>
    <definedName name="TXTEQUIP" localSheetId="10">#REF!</definedName>
    <definedName name="TXTEQUIP" localSheetId="11">#REF!</definedName>
    <definedName name="TXTEQUIP" localSheetId="12">#REF!</definedName>
    <definedName name="TXTEQUIP">#REF!</definedName>
    <definedName name="TXTMARCA" localSheetId="8">#REF!</definedName>
    <definedName name="TXTMARCA" localSheetId="5">#REF!</definedName>
    <definedName name="TXTMARCA" localSheetId="10">#REF!</definedName>
    <definedName name="TXTMARCA" localSheetId="11">#REF!</definedName>
    <definedName name="TXTMARCA" localSheetId="12">#REF!</definedName>
    <definedName name="TXTMARCA">#REF!</definedName>
    <definedName name="TXTMOD" localSheetId="8">#REF!</definedName>
    <definedName name="TXTMOD" localSheetId="5">#REF!</definedName>
    <definedName name="TXTMOD" localSheetId="10">#REF!</definedName>
    <definedName name="TXTMOD" localSheetId="11">#REF!</definedName>
    <definedName name="TXTMOD" localSheetId="12">#REF!</definedName>
    <definedName name="TXTMOD">#REF!</definedName>
    <definedName name="TXTPOT" localSheetId="8">#REF!</definedName>
    <definedName name="TXTPOT" localSheetId="5">#REF!</definedName>
    <definedName name="TXTPOT" localSheetId="10">#REF!</definedName>
    <definedName name="TXTPOT" localSheetId="11">#REF!</definedName>
    <definedName name="TXTPOT" localSheetId="12">#REF!</definedName>
    <definedName name="TXTPOT">#REF!</definedName>
    <definedName name="TYHGFHFHG" localSheetId="3" hidden="1">{#N/A,#N/A,FALSE,"Plan1";#N/A,#N/A,FALSE,"Plan2"}</definedName>
    <definedName name="TYHGFHFHG" localSheetId="8">{#N/A,#N/A,FALSE,"Plan1";#N/A,#N/A,FALSE,"Plan2"}</definedName>
    <definedName name="TYHGFHFHG" localSheetId="5" hidden="1">{#N/A,#N/A,FALSE,"Plan1";#N/A,#N/A,FALSE,"Plan2"}</definedName>
    <definedName name="TYHGFHFHG" localSheetId="4" hidden="1">{#N/A,#N/A,FALSE,"Plan1";#N/A,#N/A,FALSE,"Plan2"}</definedName>
    <definedName name="TYHGFHFHG" localSheetId="9">{#N/A,#N/A,FALSE,"Plan1";#N/A,#N/A,FALSE,"Plan2"}</definedName>
    <definedName name="TYHGFHFHG" localSheetId="10" hidden="1">{#N/A,#N/A,FALSE,"Plan1";#N/A,#N/A,FALSE,"Plan2"}</definedName>
    <definedName name="TYHGFHFHG" localSheetId="1" hidden="1">{#N/A,#N/A,FALSE,"Plan1";#N/A,#N/A,FALSE,"Plan2"}</definedName>
    <definedName name="TYHGFHFHG" localSheetId="0">{#N/A,#N/A,FALSE,"Plan1";#N/A,#N/A,FALSE,"Plan2"}</definedName>
    <definedName name="TYHGFHFHG" localSheetId="11" hidden="1">{#N/A,#N/A,FALSE,"Plan1";#N/A,#N/A,FALSE,"Plan2"}</definedName>
    <definedName name="TYHGFHFHG" localSheetId="12" hidden="1">{#N/A,#N/A,FALSE,"Plan1";#N/A,#N/A,FALSE,"Plan2"}</definedName>
    <definedName name="TYHGFHFHG" hidden="1">{#N/A,#N/A,FALSE,"Plan1";#N/A,#N/A,FALSE,"Plan2"}</definedName>
    <definedName name="u" localSheetId="3">{#N/A,#N/A,FALSE,"ET-CAPA";#N/A,#N/A,FALSE,"ET-PAG1";#N/A,#N/A,FALSE,"ET-PAG2";#N/A,#N/A,FALSE,"ET-PAG3";#N/A,#N/A,FALSE,"ET-PAG4";#N/A,#N/A,FALSE,"ET-PAG5"}</definedName>
    <definedName name="u" localSheetId="8">{#N/A,#N/A,FALSE,"ET-CAPA";#N/A,#N/A,FALSE,"ET-PAG1";#N/A,#N/A,FALSE,"ET-PAG2";#N/A,#N/A,FALSE,"ET-PAG3";#N/A,#N/A,FALSE,"ET-PAG4";#N/A,#N/A,FALSE,"ET-PAG5"}</definedName>
    <definedName name="u" localSheetId="5" hidden="1">{#N/A,#N/A,FALSE,"ET-CAPA";#N/A,#N/A,FALSE,"ET-PAG1";#N/A,#N/A,FALSE,"ET-PAG2";#N/A,#N/A,FALSE,"ET-PAG3";#N/A,#N/A,FALSE,"ET-PAG4";#N/A,#N/A,FALSE,"ET-PAG5"}</definedName>
    <definedName name="u" localSheetId="4">{#N/A,#N/A,FALSE,"ET-CAPA";#N/A,#N/A,FALSE,"ET-PAG1";#N/A,#N/A,FALSE,"ET-PAG2";#N/A,#N/A,FALSE,"ET-PAG3";#N/A,#N/A,FALSE,"ET-PAG4";#N/A,#N/A,FALSE,"ET-PAG5"}</definedName>
    <definedName name="u" localSheetId="9">{#N/A,#N/A,FALSE,"ET-CAPA";#N/A,#N/A,FALSE,"ET-PAG1";#N/A,#N/A,FALSE,"ET-PAG2";#N/A,#N/A,FALSE,"ET-PAG3";#N/A,#N/A,FALSE,"ET-PAG4";#N/A,#N/A,FALSE,"ET-PAG5"}</definedName>
    <definedName name="u" localSheetId="10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 localSheetId="11" hidden="1">{#N/A,#N/A,FALSE,"ET-CAPA";#N/A,#N/A,FALSE,"ET-PAG1";#N/A,#N/A,FALSE,"ET-PAG2";#N/A,#N/A,FALSE,"ET-PAG3";#N/A,#N/A,FALSE,"ET-PAG4";#N/A,#N/A,FALSE,"ET-PAG5"}</definedName>
    <definedName name="u" localSheetId="12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udhgfhfg" localSheetId="3" hidden="1">{#N/A,#N/A,FALSE,"Plan1";#N/A,#N/A,FALSE,"Plan2"}</definedName>
    <definedName name="udhgfhfg" localSheetId="8">{#N/A,#N/A,FALSE,"Plan1";#N/A,#N/A,FALSE,"Plan2"}</definedName>
    <definedName name="udhgfhfg" localSheetId="5" hidden="1">{#N/A,#N/A,FALSE,"Plan1";#N/A,#N/A,FALSE,"Plan2"}</definedName>
    <definedName name="udhgfhfg" localSheetId="4" hidden="1">{#N/A,#N/A,FALSE,"Plan1";#N/A,#N/A,FALSE,"Plan2"}</definedName>
    <definedName name="udhgfhfg" localSheetId="9">{#N/A,#N/A,FALSE,"Plan1";#N/A,#N/A,FALSE,"Plan2"}</definedName>
    <definedName name="udhgfhfg" localSheetId="10" hidden="1">{#N/A,#N/A,FALSE,"Plan1";#N/A,#N/A,FALSE,"Plan2"}</definedName>
    <definedName name="udhgfhfg" localSheetId="1" hidden="1">{#N/A,#N/A,FALSE,"Plan1";#N/A,#N/A,FALSE,"Plan2"}</definedName>
    <definedName name="udhgfhfg" localSheetId="0">{#N/A,#N/A,FALSE,"Plan1";#N/A,#N/A,FALSE,"Plan2"}</definedName>
    <definedName name="udhgfhfg" localSheetId="11" hidden="1">{#N/A,#N/A,FALSE,"Plan1";#N/A,#N/A,FALSE,"Plan2"}</definedName>
    <definedName name="udhgfhfg" localSheetId="12" hidden="1">{#N/A,#N/A,FALSE,"Plan1";#N/A,#N/A,FALSE,"Plan2"}</definedName>
    <definedName name="udhgfhfg" hidden="1">{#N/A,#N/A,FALSE,"Plan1";#N/A,#N/A,FALSE,"Plan2"}</definedName>
    <definedName name="ueiutriuef" localSheetId="3" hidden="1">{#N/A,#N/A,FALSE,"Plan1";#N/A,#N/A,FALSE,"Plan2"}</definedName>
    <definedName name="ueiutriuef" localSheetId="8">{#N/A,#N/A,FALSE,"Plan1";#N/A,#N/A,FALSE,"Plan2"}</definedName>
    <definedName name="ueiutriuef" localSheetId="5" hidden="1">{#N/A,#N/A,FALSE,"Plan1";#N/A,#N/A,FALSE,"Plan2"}</definedName>
    <definedName name="ueiutriuef" localSheetId="4" hidden="1">{#N/A,#N/A,FALSE,"Plan1";#N/A,#N/A,FALSE,"Plan2"}</definedName>
    <definedName name="ueiutriuef" localSheetId="9">{#N/A,#N/A,FALSE,"Plan1";#N/A,#N/A,FALSE,"Plan2"}</definedName>
    <definedName name="ueiutriuef" localSheetId="10" hidden="1">{#N/A,#N/A,FALSE,"Plan1";#N/A,#N/A,FALSE,"Plan2"}</definedName>
    <definedName name="ueiutriuef" localSheetId="1" hidden="1">{#N/A,#N/A,FALSE,"Plan1";#N/A,#N/A,FALSE,"Plan2"}</definedName>
    <definedName name="ueiutriuef" localSheetId="0">{#N/A,#N/A,FALSE,"Plan1";#N/A,#N/A,FALSE,"Plan2"}</definedName>
    <definedName name="ueiutriuef" localSheetId="11" hidden="1">{#N/A,#N/A,FALSE,"Plan1";#N/A,#N/A,FALSE,"Plan2"}</definedName>
    <definedName name="ueiutriuef" localSheetId="12" hidden="1">{#N/A,#N/A,FALSE,"Plan1";#N/A,#N/A,FALSE,"Plan2"}</definedName>
    <definedName name="ueiutriuef" hidden="1">{#N/A,#N/A,FALSE,"Plan1";#N/A,#N/A,FALSE,"Plan2"}</definedName>
    <definedName name="UENSIT" localSheetId="8">#REF!</definedName>
    <definedName name="UENSIT" localSheetId="5">#REF!</definedName>
    <definedName name="UENSIT" localSheetId="9">#REF!</definedName>
    <definedName name="UENSIT" localSheetId="10">#REF!</definedName>
    <definedName name="UENSIT" localSheetId="0">#REF!</definedName>
    <definedName name="UENSIT" localSheetId="11">#REF!</definedName>
    <definedName name="UENSIT" localSheetId="12">#REF!</definedName>
    <definedName name="UENSIT">#REF!</definedName>
    <definedName name="UENSITS" localSheetId="8">#REF!</definedName>
    <definedName name="UENSITS" localSheetId="5">#REF!</definedName>
    <definedName name="UENSITS" localSheetId="9">#REF!</definedName>
    <definedName name="UENSITS" localSheetId="10">#REF!</definedName>
    <definedName name="UENSITS" localSheetId="0">#REF!</definedName>
    <definedName name="UENSITS" localSheetId="11">#REF!</definedName>
    <definedName name="UENSITS" localSheetId="12">#REF!</definedName>
    <definedName name="UENSITS">#REF!</definedName>
    <definedName name="UHGSDUS" localSheetId="3" hidden="1">{#N/A,#N/A,FALSE,"Plan1";#N/A,#N/A,FALSE,"Plan2"}</definedName>
    <definedName name="UHGSDUS" localSheetId="8">{#N/A,#N/A,FALSE,"Plan1";#N/A,#N/A,FALSE,"Plan2"}</definedName>
    <definedName name="UHGSDUS" localSheetId="5" hidden="1">{#N/A,#N/A,FALSE,"Plan1";#N/A,#N/A,FALSE,"Plan2"}</definedName>
    <definedName name="UHGSDUS" localSheetId="4" hidden="1">{#N/A,#N/A,FALSE,"Plan1";#N/A,#N/A,FALSE,"Plan2"}</definedName>
    <definedName name="UHGSDUS" localSheetId="9">{#N/A,#N/A,FALSE,"Plan1";#N/A,#N/A,FALSE,"Plan2"}</definedName>
    <definedName name="UHGSDUS" localSheetId="10" hidden="1">{#N/A,#N/A,FALSE,"Plan1";#N/A,#N/A,FALSE,"Plan2"}</definedName>
    <definedName name="UHGSDUS" localSheetId="1" hidden="1">{#N/A,#N/A,FALSE,"Plan1";#N/A,#N/A,FALSE,"Plan2"}</definedName>
    <definedName name="UHGSDUS" localSheetId="0">{#N/A,#N/A,FALSE,"Plan1";#N/A,#N/A,FALSE,"Plan2"}</definedName>
    <definedName name="UHGSDUS" localSheetId="11" hidden="1">{#N/A,#N/A,FALSE,"Plan1";#N/A,#N/A,FALSE,"Plan2"}</definedName>
    <definedName name="UHGSDUS" localSheetId="12" hidden="1">{#N/A,#N/A,FALSE,"Plan1";#N/A,#N/A,FALSE,"Plan2"}</definedName>
    <definedName name="UHGSDUS" hidden="1">{#N/A,#N/A,FALSE,"Plan1";#N/A,#N/A,FALSE,"Plan2"}</definedName>
    <definedName name="UI" localSheetId="8">#REF!</definedName>
    <definedName name="UI" localSheetId="5" hidden="1">#REF!</definedName>
    <definedName name="UI" localSheetId="9">#REF!</definedName>
    <definedName name="UI" localSheetId="10" hidden="1">#REF!</definedName>
    <definedName name="UI" localSheetId="1" hidden="1">#REF!</definedName>
    <definedName name="UI" localSheetId="0">#REF!</definedName>
    <definedName name="UI" localSheetId="11" hidden="1">#REF!</definedName>
    <definedName name="UI" localSheetId="12" hidden="1">#REF!</definedName>
    <definedName name="UI" hidden="1">#REF!</definedName>
    <definedName name="UIHWER45R" localSheetId="3" hidden="1">{#N/A,#N/A,FALSE,"Plan1";#N/A,#N/A,FALSE,"Plan2"}</definedName>
    <definedName name="UIHWER45R" localSheetId="8">{#N/A,#N/A,FALSE,"Plan1";#N/A,#N/A,FALSE,"Plan2"}</definedName>
    <definedName name="UIHWER45R" localSheetId="5" hidden="1">{#N/A,#N/A,FALSE,"Plan1";#N/A,#N/A,FALSE,"Plan2"}</definedName>
    <definedName name="UIHWER45R" localSheetId="4" hidden="1">{#N/A,#N/A,FALSE,"Plan1";#N/A,#N/A,FALSE,"Plan2"}</definedName>
    <definedName name="UIHWER45R" localSheetId="9">{#N/A,#N/A,FALSE,"Plan1";#N/A,#N/A,FALSE,"Plan2"}</definedName>
    <definedName name="UIHWER45R" localSheetId="10" hidden="1">{#N/A,#N/A,FALSE,"Plan1";#N/A,#N/A,FALSE,"Plan2"}</definedName>
    <definedName name="UIHWER45R" localSheetId="1" hidden="1">{#N/A,#N/A,FALSE,"Plan1";#N/A,#N/A,FALSE,"Plan2"}</definedName>
    <definedName name="UIHWER45R" localSheetId="0">{#N/A,#N/A,FALSE,"Plan1";#N/A,#N/A,FALSE,"Plan2"}</definedName>
    <definedName name="UIHWER45R" localSheetId="11" hidden="1">{#N/A,#N/A,FALSE,"Plan1";#N/A,#N/A,FALSE,"Plan2"}</definedName>
    <definedName name="UIHWER45R" localSheetId="12" hidden="1">{#N/A,#N/A,FALSE,"Plan1";#N/A,#N/A,FALSE,"Plan2"}</definedName>
    <definedName name="UIHWER45R" hidden="1">{#N/A,#N/A,FALSE,"Plan1";#N/A,#N/A,FALSE,"Plan2"}</definedName>
    <definedName name="uiosderuiu" localSheetId="3" hidden="1">{#N/A,#N/A,FALSE,"Plan1";#N/A,#N/A,FALSE,"Plan2"}</definedName>
    <definedName name="uiosderuiu" localSheetId="8">{#N/A,#N/A,FALSE,"Plan1";#N/A,#N/A,FALSE,"Plan2"}</definedName>
    <definedName name="uiosderuiu" localSheetId="5" hidden="1">{#N/A,#N/A,FALSE,"Plan1";#N/A,#N/A,FALSE,"Plan2"}</definedName>
    <definedName name="uiosderuiu" localSheetId="4" hidden="1">{#N/A,#N/A,FALSE,"Plan1";#N/A,#N/A,FALSE,"Plan2"}</definedName>
    <definedName name="uiosderuiu" localSheetId="9">{#N/A,#N/A,FALSE,"Plan1";#N/A,#N/A,FALSE,"Plan2"}</definedName>
    <definedName name="uiosderuiu" localSheetId="10" hidden="1">{#N/A,#N/A,FALSE,"Plan1";#N/A,#N/A,FALSE,"Plan2"}</definedName>
    <definedName name="uiosderuiu" localSheetId="1" hidden="1">{#N/A,#N/A,FALSE,"Plan1";#N/A,#N/A,FALSE,"Plan2"}</definedName>
    <definedName name="uiosderuiu" localSheetId="0">{#N/A,#N/A,FALSE,"Plan1";#N/A,#N/A,FALSE,"Plan2"}</definedName>
    <definedName name="uiosderuiu" localSheetId="11" hidden="1">{#N/A,#N/A,FALSE,"Plan1";#N/A,#N/A,FALSE,"Plan2"}</definedName>
    <definedName name="uiosderuiu" localSheetId="12" hidden="1">{#N/A,#N/A,FALSE,"Plan1";#N/A,#N/A,FALSE,"Plan2"}</definedName>
    <definedName name="uiosderuiu" hidden="1">{#N/A,#N/A,FALSE,"Plan1";#N/A,#N/A,FALSE,"Plan2"}</definedName>
    <definedName name="UIOURET" localSheetId="3" hidden="1">{#N/A,#N/A,FALSE,"Plan1";#N/A,#N/A,FALSE,"Plan2"}</definedName>
    <definedName name="UIOURET" localSheetId="8">{#N/A,#N/A,FALSE,"Plan1";#N/A,#N/A,FALSE,"Plan2"}</definedName>
    <definedName name="UIOURET" localSheetId="5" hidden="1">{#N/A,#N/A,FALSE,"Plan1";#N/A,#N/A,FALSE,"Plan2"}</definedName>
    <definedName name="UIOURET" localSheetId="4" hidden="1">{#N/A,#N/A,FALSE,"Plan1";#N/A,#N/A,FALSE,"Plan2"}</definedName>
    <definedName name="UIOURET" localSheetId="9">{#N/A,#N/A,FALSE,"Plan1";#N/A,#N/A,FALSE,"Plan2"}</definedName>
    <definedName name="UIOURET" localSheetId="10" hidden="1">{#N/A,#N/A,FALSE,"Plan1";#N/A,#N/A,FALSE,"Plan2"}</definedName>
    <definedName name="UIOURET" localSheetId="1" hidden="1">{#N/A,#N/A,FALSE,"Plan1";#N/A,#N/A,FALSE,"Plan2"}</definedName>
    <definedName name="UIOURET" localSheetId="0">{#N/A,#N/A,FALSE,"Plan1";#N/A,#N/A,FALSE,"Plan2"}</definedName>
    <definedName name="UIOURET" localSheetId="11" hidden="1">{#N/A,#N/A,FALSE,"Plan1";#N/A,#N/A,FALSE,"Plan2"}</definedName>
    <definedName name="UIOURET" localSheetId="12" hidden="1">{#N/A,#N/A,FALSE,"Plan1";#N/A,#N/A,FALSE,"Plan2"}</definedName>
    <definedName name="UIOURET" hidden="1">{#N/A,#N/A,FALSE,"Plan1";#N/A,#N/A,FALSE,"Plan2"}</definedName>
    <definedName name="uiwuer" localSheetId="3" hidden="1">{#N/A,#N/A,FALSE,"Plan1";#N/A,#N/A,FALSE,"Plan2"}</definedName>
    <definedName name="uiwuer" localSheetId="8">{#N/A,#N/A,FALSE,"Plan1";#N/A,#N/A,FALSE,"Plan2"}</definedName>
    <definedName name="uiwuer" localSheetId="5" hidden="1">{#N/A,#N/A,FALSE,"Plan1";#N/A,#N/A,FALSE,"Plan2"}</definedName>
    <definedName name="uiwuer" localSheetId="4" hidden="1">{#N/A,#N/A,FALSE,"Plan1";#N/A,#N/A,FALSE,"Plan2"}</definedName>
    <definedName name="uiwuer" localSheetId="9">{#N/A,#N/A,FALSE,"Plan1";#N/A,#N/A,FALSE,"Plan2"}</definedName>
    <definedName name="uiwuer" localSheetId="10" hidden="1">{#N/A,#N/A,FALSE,"Plan1";#N/A,#N/A,FALSE,"Plan2"}</definedName>
    <definedName name="uiwuer" localSheetId="1" hidden="1">{#N/A,#N/A,FALSE,"Plan1";#N/A,#N/A,FALSE,"Plan2"}</definedName>
    <definedName name="uiwuer" localSheetId="0">{#N/A,#N/A,FALSE,"Plan1";#N/A,#N/A,FALSE,"Plan2"}</definedName>
    <definedName name="uiwuer" localSheetId="11" hidden="1">{#N/A,#N/A,FALSE,"Plan1";#N/A,#N/A,FALSE,"Plan2"}</definedName>
    <definedName name="uiwuer" localSheetId="12" hidden="1">{#N/A,#N/A,FALSE,"Plan1";#N/A,#N/A,FALSE,"Plan2"}</definedName>
    <definedName name="uiwuer" hidden="1">{#N/A,#N/A,FALSE,"Plan1";#N/A,#N/A,FALSE,"Plan2"}</definedName>
    <definedName name="UKHDFDSGUDFKD" localSheetId="3" hidden="1">{#N/A,#N/A,FALSE,"Plan1";#N/A,#N/A,FALSE,"Plan2"}</definedName>
    <definedName name="UKHDFDSGUDFKD" localSheetId="8">{#N/A,#N/A,FALSE,"Plan1";#N/A,#N/A,FALSE,"Plan2"}</definedName>
    <definedName name="UKHDFDSGUDFKD" localSheetId="5" hidden="1">{#N/A,#N/A,FALSE,"Plan1";#N/A,#N/A,FALSE,"Plan2"}</definedName>
    <definedName name="UKHDFDSGUDFKD" localSheetId="4" hidden="1">{#N/A,#N/A,FALSE,"Plan1";#N/A,#N/A,FALSE,"Plan2"}</definedName>
    <definedName name="UKHDFDSGUDFKD" localSheetId="9">{#N/A,#N/A,FALSE,"Plan1";#N/A,#N/A,FALSE,"Plan2"}</definedName>
    <definedName name="UKHDFDSGUDFKD" localSheetId="10" hidden="1">{#N/A,#N/A,FALSE,"Plan1";#N/A,#N/A,FALSE,"Plan2"}</definedName>
    <definedName name="UKHDFDSGUDFKD" localSheetId="1" hidden="1">{#N/A,#N/A,FALSE,"Plan1";#N/A,#N/A,FALSE,"Plan2"}</definedName>
    <definedName name="UKHDFDSGUDFKD" localSheetId="0">{#N/A,#N/A,FALSE,"Plan1";#N/A,#N/A,FALSE,"Plan2"}</definedName>
    <definedName name="UKHDFDSGUDFKD" localSheetId="11" hidden="1">{#N/A,#N/A,FALSE,"Plan1";#N/A,#N/A,FALSE,"Plan2"}</definedName>
    <definedName name="UKHDFDSGUDFKD" localSheetId="12" hidden="1">{#N/A,#N/A,FALSE,"Plan1";#N/A,#N/A,FALSE,"Plan2"}</definedName>
    <definedName name="UKHDFDSGUDFKD" hidden="1">{#N/A,#N/A,FALSE,"Plan1";#N/A,#N/A,FALSE,"Plan2"}</definedName>
    <definedName name="um" localSheetId="3" hidden="1">0</definedName>
    <definedName name="um" localSheetId="8">0</definedName>
    <definedName name="UM" localSheetId="5">#REF!</definedName>
    <definedName name="um" localSheetId="4" hidden="1">0</definedName>
    <definedName name="UM" localSheetId="9">#REF!</definedName>
    <definedName name="um" localSheetId="10" hidden="1">0</definedName>
    <definedName name="um" localSheetId="1" hidden="1">0</definedName>
    <definedName name="UM" localSheetId="0">#REF!</definedName>
    <definedName name="um" localSheetId="11" hidden="1">0</definedName>
    <definedName name="um" localSheetId="12" hidden="1">0</definedName>
    <definedName name="UM">#REF!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" localSheetId="8">OFFSET(#REF!,0,0,COUNTA(#REF!),1)</definedName>
    <definedName name="UNID" localSheetId="5">OFFSET(#REF!,0,0,COUNTA(#REF!),1)</definedName>
    <definedName name="UNID" localSheetId="9">OFFSET(#REF!,0,0,COUNTA(#REF!),1)</definedName>
    <definedName name="UNID" localSheetId="10">OFFSET(#REF!,0,0,COUNTA(#REF!),1)</definedName>
    <definedName name="UNID" localSheetId="0">OFFSET(#REF!,0,0,COUNTA(#REF!),1)</definedName>
    <definedName name="UNID" localSheetId="11">OFFSET(#REF!,0,0,COUNTA(#REF!),1)</definedName>
    <definedName name="UNID" localSheetId="12">OFFSET(#REF!,0,0,COUNTA(#REF!),1)</definedName>
    <definedName name="UNID">OFFSET(#REF!,0,0,COUNTA(#REF!),1)</definedName>
    <definedName name="unit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univ_cdi" localSheetId="8">#REF!</definedName>
    <definedName name="univ_cdi" localSheetId="5">#REF!</definedName>
    <definedName name="univ_cdi" localSheetId="9">#REF!</definedName>
    <definedName name="univ_cdi" localSheetId="10">#REF!</definedName>
    <definedName name="univ_cdi" localSheetId="0">#REF!</definedName>
    <definedName name="univ_cdi" localSheetId="11">#REF!</definedName>
    <definedName name="univ_cdi" localSheetId="12">#REF!</definedName>
    <definedName name="univ_cdi">#REF!</definedName>
    <definedName name="univ_hist" localSheetId="8">#REF!</definedName>
    <definedName name="univ_hist" localSheetId="5">#REF!</definedName>
    <definedName name="univ_hist" localSheetId="9">#REF!</definedName>
    <definedName name="univ_hist" localSheetId="10">#REF!</definedName>
    <definedName name="univ_hist" localSheetId="0">#REF!</definedName>
    <definedName name="univ_hist" localSheetId="11">#REF!</definedName>
    <definedName name="univ_hist" localSheetId="12">#REF!</definedName>
    <definedName name="univ_hist">#REF!</definedName>
    <definedName name="univ_uss" localSheetId="8">#REF!</definedName>
    <definedName name="univ_uss" localSheetId="5">#REF!</definedName>
    <definedName name="univ_uss" localSheetId="9">#REF!</definedName>
    <definedName name="univ_uss" localSheetId="10">#REF!</definedName>
    <definedName name="univ_uss" localSheetId="0">#REF!</definedName>
    <definedName name="univ_uss" localSheetId="11">#REF!</definedName>
    <definedName name="univ_uss" localSheetId="12">#REF!</definedName>
    <definedName name="univ_uss">#REF!</definedName>
    <definedName name="UPS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PS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uryrtyt" localSheetId="3" hidden="1">{#N/A,#N/A,FALSE,"Plan1";#N/A,#N/A,FALSE,"Plan2"}</definedName>
    <definedName name="uryrtyt" localSheetId="8">{#N/A,#N/A,FALSE,"Plan1";#N/A,#N/A,FALSE,"Plan2"}</definedName>
    <definedName name="uryrtyt" localSheetId="5" hidden="1">{#N/A,#N/A,FALSE,"Plan1";#N/A,#N/A,FALSE,"Plan2"}</definedName>
    <definedName name="uryrtyt" localSheetId="4" hidden="1">{#N/A,#N/A,FALSE,"Plan1";#N/A,#N/A,FALSE,"Plan2"}</definedName>
    <definedName name="uryrtyt" localSheetId="9">{#N/A,#N/A,FALSE,"Plan1";#N/A,#N/A,FALSE,"Plan2"}</definedName>
    <definedName name="uryrtyt" localSheetId="10" hidden="1">{#N/A,#N/A,FALSE,"Plan1";#N/A,#N/A,FALSE,"Plan2"}</definedName>
    <definedName name="uryrtyt" localSheetId="1" hidden="1">{#N/A,#N/A,FALSE,"Plan1";#N/A,#N/A,FALSE,"Plan2"}</definedName>
    <definedName name="uryrtyt" localSheetId="0">{#N/A,#N/A,FALSE,"Plan1";#N/A,#N/A,FALSE,"Plan2"}</definedName>
    <definedName name="uryrtyt" localSheetId="11" hidden="1">{#N/A,#N/A,FALSE,"Plan1";#N/A,#N/A,FALSE,"Plan2"}</definedName>
    <definedName name="uryrtyt" localSheetId="12" hidden="1">{#N/A,#N/A,FALSE,"Plan1";#N/A,#N/A,FALSE,"Plan2"}</definedName>
    <definedName name="uryrtyt" hidden="1">{#N/A,#N/A,FALSE,"Plan1";#N/A,#N/A,FALSE,"Plan2"}</definedName>
    <definedName name="V" localSheetId="8">#REF!</definedName>
    <definedName name="V" localSheetId="5">#REF!</definedName>
    <definedName name="V" localSheetId="9">#REF!</definedName>
    <definedName name="V" localSheetId="10">#REF!</definedName>
    <definedName name="V" localSheetId="0">#REF!</definedName>
    <definedName name="V" localSheetId="11">#REF!</definedName>
    <definedName name="V" localSheetId="12">#REF!</definedName>
    <definedName name="V">#REF!</definedName>
    <definedName name="VALIDADE_EXECUÇÃO" localSheetId="8">#REF!</definedName>
    <definedName name="VALIDADE_EXECUÇÃO" localSheetId="5">#REF!</definedName>
    <definedName name="VALIDADE_EXECUÇÃO" localSheetId="9">#REF!</definedName>
    <definedName name="VALIDADE_EXECUÇÃO" localSheetId="10">#REF!</definedName>
    <definedName name="VALIDADE_EXECUÇÃO" localSheetId="0">#REF!</definedName>
    <definedName name="VALIDADE_EXECUÇÃO" localSheetId="11">#REF!</definedName>
    <definedName name="VALIDADE_EXECUÇÃO" localSheetId="12">#REF!</definedName>
    <definedName name="VALIDADE_EXECUÇÃO">#REF!</definedName>
    <definedName name="Valor_PLS_Controladoria" localSheetId="8">#REF!</definedName>
    <definedName name="Valor_PLS_Controladoria" localSheetId="5">#REF!</definedName>
    <definedName name="Valor_PLS_Controladoria" localSheetId="9">#REF!</definedName>
    <definedName name="Valor_PLS_Controladoria" localSheetId="10">#REF!</definedName>
    <definedName name="Valor_PLS_Controladoria" localSheetId="0">#REF!</definedName>
    <definedName name="Valor_PLS_Controladoria" localSheetId="11">#REF!</definedName>
    <definedName name="Valor_PLS_Controladoria" localSheetId="12">#REF!</definedName>
    <definedName name="Valor_PLS_Controladoria">#REF!</definedName>
    <definedName name="Valor_Previsto_Fin_Medições" localSheetId="8">#REF!</definedName>
    <definedName name="Valor_Previsto_Fin_Medições" localSheetId="5">#REF!</definedName>
    <definedName name="Valor_Previsto_Fin_Medições" localSheetId="10">#REF!</definedName>
    <definedName name="Valor_Previsto_Fin_Medições" localSheetId="11">#REF!</definedName>
    <definedName name="Valor_Previsto_Fin_Medições" localSheetId="12">#REF!</definedName>
    <definedName name="Valor_Previsto_Fin_Medições">#REF!</definedName>
    <definedName name="VALOR_REAIS" localSheetId="8">#REF!</definedName>
    <definedName name="VALOR_REAIS" localSheetId="5">#REF!</definedName>
    <definedName name="VALOR_REAIS" localSheetId="10">#REF!</definedName>
    <definedName name="VALOR_REAIS" localSheetId="11">#REF!</definedName>
    <definedName name="VALOR_REAIS" localSheetId="12">#REF!</definedName>
    <definedName name="VALOR_REAIS">#REF!</definedName>
    <definedName name="Valor_Recebido_Fin_Medições" localSheetId="8">#REF!</definedName>
    <definedName name="Valor_Recebido_Fin_Medições" localSheetId="5">#REF!</definedName>
    <definedName name="Valor_Recebido_Fin_Medições" localSheetId="10">#REF!</definedName>
    <definedName name="Valor_Recebido_Fin_Medições" localSheetId="11">#REF!</definedName>
    <definedName name="Valor_Recebido_Fin_Medições" localSheetId="12">#REF!</definedName>
    <definedName name="Valor_Recebido_Fin_Medições">#REF!</definedName>
    <definedName name="Valor_Sienge" localSheetId="8">#REF!</definedName>
    <definedName name="Valor_Sienge" localSheetId="5">#REF!</definedName>
    <definedName name="Valor_Sienge" localSheetId="10">#REF!</definedName>
    <definedName name="Valor_Sienge" localSheetId="11">#REF!</definedName>
    <definedName name="Valor_Sienge" localSheetId="12">#REF!</definedName>
    <definedName name="Valor_Sienge">#REF!</definedName>
    <definedName name="VALOR_VENDA" localSheetId="8">#REF!</definedName>
    <definedName name="VALOR_VENDA" localSheetId="5">#REF!</definedName>
    <definedName name="VALOR_VENDA" localSheetId="10">#REF!</definedName>
    <definedName name="VALOR_VENDA" localSheetId="11">#REF!</definedName>
    <definedName name="VALOR_VENDA" localSheetId="12">#REF!</definedName>
    <definedName name="VALOR_VENDA">#REF!</definedName>
    <definedName name="valores_diferidos" localSheetId="8">#REF!</definedName>
    <definedName name="valores_diferidos" localSheetId="5">#REF!</definedName>
    <definedName name="valores_diferidos" localSheetId="10">#REF!</definedName>
    <definedName name="valores_diferidos" localSheetId="11">#REF!</definedName>
    <definedName name="valores_diferidos" localSheetId="12">#REF!</definedName>
    <definedName name="valores_diferidos">#REF!</definedName>
    <definedName name="valv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lv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VAOS" localSheetId="8">#REF!</definedName>
    <definedName name="VAOS" localSheetId="5">#REF!</definedName>
    <definedName name="VAOS" localSheetId="9">#REF!</definedName>
    <definedName name="VAOS" localSheetId="10">#REF!</definedName>
    <definedName name="VAOS" localSheetId="0">#REF!</definedName>
    <definedName name="VAOS" localSheetId="11">#REF!</definedName>
    <definedName name="VAOS" localSheetId="12">#REF!</definedName>
    <definedName name="VAOS">#REF!</definedName>
    <definedName name="vdsgfrhgfr" localSheetId="3" hidden="1">{#N/A,#N/A,FALSE,"Plan1";#N/A,#N/A,FALSE,"Plan2"}</definedName>
    <definedName name="vdsgfrhgfr" localSheetId="8">{#N/A,#N/A,FALSE,"Plan1";#N/A,#N/A,FALSE,"Plan2"}</definedName>
    <definedName name="vdsgfrhgfr" localSheetId="5" hidden="1">{#N/A,#N/A,FALSE,"Plan1";#N/A,#N/A,FALSE,"Plan2"}</definedName>
    <definedName name="vdsgfrhgfr" localSheetId="4" hidden="1">{#N/A,#N/A,FALSE,"Plan1";#N/A,#N/A,FALSE,"Plan2"}</definedName>
    <definedName name="vdsgfrhgfr" localSheetId="9">{#N/A,#N/A,FALSE,"Plan1";#N/A,#N/A,FALSE,"Plan2"}</definedName>
    <definedName name="vdsgfrhgfr" localSheetId="10" hidden="1">{#N/A,#N/A,FALSE,"Plan1";#N/A,#N/A,FALSE,"Plan2"}</definedName>
    <definedName name="vdsgfrhgfr" localSheetId="1" hidden="1">{#N/A,#N/A,FALSE,"Plan1";#N/A,#N/A,FALSE,"Plan2"}</definedName>
    <definedName name="vdsgfrhgfr" localSheetId="0">{#N/A,#N/A,FALSE,"Plan1";#N/A,#N/A,FALSE,"Plan2"}</definedName>
    <definedName name="vdsgfrhgfr" localSheetId="11" hidden="1">{#N/A,#N/A,FALSE,"Plan1";#N/A,#N/A,FALSE,"Plan2"}</definedName>
    <definedName name="vdsgfrhgfr" localSheetId="12" hidden="1">{#N/A,#N/A,FALSE,"Plan1";#N/A,#N/A,FALSE,"Plan2"}</definedName>
    <definedName name="vdsgfrhgfr" hidden="1">{#N/A,#N/A,FALSE,"Plan1";#N/A,#N/A,FALSE,"Plan2"}</definedName>
    <definedName name="Veiculos" localSheetId="8">#REF!</definedName>
    <definedName name="Veiculos" localSheetId="5">#REF!</definedName>
    <definedName name="Veiculos" localSheetId="9">#REF!</definedName>
    <definedName name="Veiculos" localSheetId="10">#REF!</definedName>
    <definedName name="Veiculos" localSheetId="0">#REF!</definedName>
    <definedName name="Veiculos" localSheetId="11">#REF!</definedName>
    <definedName name="Veiculos" localSheetId="12">#REF!</definedName>
    <definedName name="Veiculos">#REF!</definedName>
    <definedName name="VENDA_ADOTADA" localSheetId="8">#REF!</definedName>
    <definedName name="VENDA_ADOTADA" localSheetId="5">#REF!</definedName>
    <definedName name="VENDA_ADOTADA" localSheetId="9">#REF!</definedName>
    <definedName name="VENDA_ADOTADA" localSheetId="10">#REF!</definedName>
    <definedName name="VENDA_ADOTADA" localSheetId="0">#REF!</definedName>
    <definedName name="VENDA_ADOTADA" localSheetId="11">#REF!</definedName>
    <definedName name="VENDA_ADOTADA" localSheetId="12">#REF!</definedName>
    <definedName name="VENDA_ADOTADA">#REF!</definedName>
    <definedName name="VENDAFINAL_R" localSheetId="8">#REF!</definedName>
    <definedName name="VENDAFINAL_R" localSheetId="5">#REF!</definedName>
    <definedName name="VENDAFINAL_R" localSheetId="9">#REF!</definedName>
    <definedName name="VENDAFINAL_R" localSheetId="10">#REF!</definedName>
    <definedName name="VENDAFINAL_R" localSheetId="0">#REF!</definedName>
    <definedName name="VENDAFINAL_R" localSheetId="11">#REF!</definedName>
    <definedName name="VENDAFINAL_R" localSheetId="12">#REF!</definedName>
    <definedName name="VENDAFINAL_R">#REF!</definedName>
    <definedName name="VENDAFINAL_U" localSheetId="8">#REF!</definedName>
    <definedName name="VENDAFINAL_U" localSheetId="5">#REF!</definedName>
    <definedName name="VENDAFINAL_U" localSheetId="10">#REF!</definedName>
    <definedName name="VENDAFINAL_U" localSheetId="11">#REF!</definedName>
    <definedName name="VENDAFINAL_U" localSheetId="12">#REF!</definedName>
    <definedName name="VENDAFINAL_U">#REF!</definedName>
    <definedName name="Vendas" localSheetId="8">#REF!</definedName>
    <definedName name="Vendas" localSheetId="5">#REF!</definedName>
    <definedName name="Vendas" localSheetId="10">#REF!</definedName>
    <definedName name="Vendas" localSheetId="11">#REF!</definedName>
    <definedName name="Vendas" localSheetId="12">#REF!</definedName>
    <definedName name="Vendas">#REF!</definedName>
    <definedName name="vendas_" localSheetId="8">#REF!</definedName>
    <definedName name="vendas_" localSheetId="5">#REF!</definedName>
    <definedName name="vendas_" localSheetId="10">#REF!</definedName>
    <definedName name="vendas_" localSheetId="11">#REF!</definedName>
    <definedName name="vendas_" localSheetId="12">#REF!</definedName>
    <definedName name="vendas_">#REF!</definedName>
    <definedName name="VERIFICAR" localSheetId="3" hidden="1">{#N/A,#N/A,TRUE,"Quinzena 01 à 15-04-98 "}</definedName>
    <definedName name="VERIFICAR" localSheetId="8">{#N/A,#N/A,TRUE,"Quinzena 01 à 15-04-98 "}</definedName>
    <definedName name="VERIFICAR" localSheetId="5" hidden="1">{#N/A,#N/A,TRUE,"Quinzena 01 à 15-04-98 "}</definedName>
    <definedName name="VERIFICAR" localSheetId="4" hidden="1">{#N/A,#N/A,TRUE,"Quinzena 01 à 15-04-98 "}</definedName>
    <definedName name="VERIFICAR" localSheetId="9">{#N/A,#N/A,TRUE,"Quinzena 01 à 15-04-98 "}</definedName>
    <definedName name="VERIFICAR" localSheetId="10" hidden="1">{#N/A,#N/A,TRUE,"Quinzena 01 à 15-04-98 "}</definedName>
    <definedName name="VERIFICAR" localSheetId="1" hidden="1">{#N/A,#N/A,TRUE,"Quinzena 01 à 15-04-98 "}</definedName>
    <definedName name="VERIFICAR" localSheetId="0">{#N/A,#N/A,TRUE,"Quinzena 01 à 15-04-98 "}</definedName>
    <definedName name="VERIFICAR" localSheetId="11" hidden="1">{#N/A,#N/A,TRUE,"Quinzena 01 à 15-04-98 "}</definedName>
    <definedName name="VERIFICAR" localSheetId="12" hidden="1">{#N/A,#N/A,TRUE,"Quinzena 01 à 15-04-98 "}</definedName>
    <definedName name="VERIFICAR" hidden="1">{#N/A,#N/A,TRUE,"Quinzena 01 à 15-04-98 "}</definedName>
    <definedName name="versao_estudo" localSheetId="8">#REF!</definedName>
    <definedName name="versao_estudo" localSheetId="5">#REF!</definedName>
    <definedName name="versao_estudo" localSheetId="9">#REF!</definedName>
    <definedName name="versao_estudo" localSheetId="10">#REF!</definedName>
    <definedName name="versao_estudo" localSheetId="0">#REF!</definedName>
    <definedName name="versao_estudo" localSheetId="11">#REF!</definedName>
    <definedName name="versao_estudo" localSheetId="12">#REF!</definedName>
    <definedName name="versao_estudo">#REF!</definedName>
    <definedName name="vfbg" localSheetId="8">#REF!</definedName>
    <definedName name="vfbg" localSheetId="5">#REF!</definedName>
    <definedName name="vfbg" localSheetId="9">#REF!</definedName>
    <definedName name="vfbg" localSheetId="10">#REF!</definedName>
    <definedName name="vfbg" localSheetId="0">#REF!</definedName>
    <definedName name="vfbg" localSheetId="11">#REF!</definedName>
    <definedName name="vfbg" localSheetId="12">#REF!</definedName>
    <definedName name="vfbg">#REF!</definedName>
    <definedName name="vfnijfd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nijfd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VFV" localSheetId="3" hidden="1">{#N/A,#N/A,FALSE,"Plan1";#N/A,#N/A,FALSE,"Plan2"}</definedName>
    <definedName name="VFV" localSheetId="8">{#N/A,#N/A,FALSE,"Plan1";#N/A,#N/A,FALSE,"Plan2"}</definedName>
    <definedName name="VFV" localSheetId="5" hidden="1">{#N/A,#N/A,FALSE,"Plan1";#N/A,#N/A,FALSE,"Plan2"}</definedName>
    <definedName name="VFV" localSheetId="4" hidden="1">{#N/A,#N/A,FALSE,"Plan1";#N/A,#N/A,FALSE,"Plan2"}</definedName>
    <definedName name="VFV" localSheetId="9">{#N/A,#N/A,FALSE,"Plan1";#N/A,#N/A,FALSE,"Plan2"}</definedName>
    <definedName name="VFV" localSheetId="10" hidden="1">{#N/A,#N/A,FALSE,"Plan1";#N/A,#N/A,FALSE,"Plan2"}</definedName>
    <definedName name="VFV" localSheetId="1" hidden="1">{#N/A,#N/A,FALSE,"Plan1";#N/A,#N/A,FALSE,"Plan2"}</definedName>
    <definedName name="VFV" localSheetId="0">{#N/A,#N/A,FALSE,"Plan1";#N/A,#N/A,FALSE,"Plan2"}</definedName>
    <definedName name="VFV" localSheetId="11" hidden="1">{#N/A,#N/A,FALSE,"Plan1";#N/A,#N/A,FALSE,"Plan2"}</definedName>
    <definedName name="VFV" localSheetId="12" hidden="1">{#N/A,#N/A,FALSE,"Plan1";#N/A,#N/A,FALSE,"Plan2"}</definedName>
    <definedName name="VFV" hidden="1">{#N/A,#N/A,FALSE,"Plan1";#N/A,#N/A,FALSE,"Plan2"}</definedName>
    <definedName name="VI" localSheetId="8">#REF!</definedName>
    <definedName name="VI" localSheetId="5">#REF!</definedName>
    <definedName name="VI" localSheetId="9">#REF!</definedName>
    <definedName name="VI" localSheetId="10">#REF!</definedName>
    <definedName name="VI" localSheetId="0">#REF!</definedName>
    <definedName name="VI" localSheetId="11">#REF!</definedName>
    <definedName name="VI" localSheetId="12">#REF!</definedName>
    <definedName name="VI">#REF!</definedName>
    <definedName name="VINTE" localSheetId="8">#REF!</definedName>
    <definedName name="VINTE" localSheetId="5">#REF!</definedName>
    <definedName name="VINTE" localSheetId="9">#REF!</definedName>
    <definedName name="VINTE" localSheetId="10">#REF!</definedName>
    <definedName name="VINTE" localSheetId="0">#REF!</definedName>
    <definedName name="VINTE" localSheetId="11">#REF!</definedName>
    <definedName name="VINTE" localSheetId="12">#REF!</definedName>
    <definedName name="VINTE">#REF!</definedName>
    <definedName name="visao_cashflow" localSheetId="8">#REF!</definedName>
    <definedName name="visao_cashflow" localSheetId="5">#REF!</definedName>
    <definedName name="visao_cashflow" localSheetId="9">#REF!</definedName>
    <definedName name="visao_cashflow" localSheetId="10">#REF!</definedName>
    <definedName name="visao_cashflow" localSheetId="0">#REF!</definedName>
    <definedName name="visao_cashflow" localSheetId="11">#REF!</definedName>
    <definedName name="visao_cashflow" localSheetId="12">#REF!</definedName>
    <definedName name="visao_cashflow">#REF!</definedName>
    <definedName name="visao_VL" localSheetId="8">#REF!</definedName>
    <definedName name="visao_VL" localSheetId="5">#REF!</definedName>
    <definedName name="visao_VL" localSheetId="10">#REF!</definedName>
    <definedName name="visao_VL" localSheetId="11">#REF!</definedName>
    <definedName name="visao_VL" localSheetId="12">#REF!</definedName>
    <definedName name="visao_VL">#REF!</definedName>
    <definedName name="vl_cd" localSheetId="8">#REF!</definedName>
    <definedName name="vl_cd" localSheetId="5">#REF!</definedName>
    <definedName name="vl_cd" localSheetId="10">#REF!</definedName>
    <definedName name="vl_cd" localSheetId="11">#REF!</definedName>
    <definedName name="vl_cd" localSheetId="12">#REF!</definedName>
    <definedName name="vl_cd">#REF!</definedName>
    <definedName name="vl_k1" localSheetId="8">#REF!</definedName>
    <definedName name="vl_k1" localSheetId="5">#REF!</definedName>
    <definedName name="vl_k1" localSheetId="10">#REF!</definedName>
    <definedName name="vl_k1" localSheetId="11">#REF!</definedName>
    <definedName name="vl_k1" localSheetId="12">#REF!</definedName>
    <definedName name="vl_k1">#REF!</definedName>
    <definedName name="vl_k2" localSheetId="8">#REF!</definedName>
    <definedName name="vl_k2" localSheetId="5">#REF!</definedName>
    <definedName name="vl_k2" localSheetId="10">#REF!</definedName>
    <definedName name="vl_k2" localSheetId="11">#REF!</definedName>
    <definedName name="vl_k2" localSheetId="12">#REF!</definedName>
    <definedName name="vl_k2">#REF!</definedName>
    <definedName name="vl_k3" localSheetId="8">#REF!</definedName>
    <definedName name="vl_k3" localSheetId="5">#REF!</definedName>
    <definedName name="vl_k3" localSheetId="10">#REF!</definedName>
    <definedName name="vl_k3" localSheetId="11">#REF!</definedName>
    <definedName name="vl_k3" localSheetId="12">#REF!</definedName>
    <definedName name="vl_k3">#REF!</definedName>
    <definedName name="vld_classificacao" localSheetId="3" hidden="1">IF(#REF!="Ativa",OFFSET(INDEX(rng_list_classificacao,MATCH(#REF!,rng_list_classificacao,0)),1,0,COUNTA(rng_list_classificacao)-1),#REF!)</definedName>
    <definedName name="vld_classificacao" localSheetId="8">IF(#REF!="Ativa",OFFSET(INDEX(rng_list_classificacao,MATCH(#REF!,rng_list_classificacao,0)),1,0,COUNTA(rng_list_classificacao)-1),#REF!)</definedName>
    <definedName name="vld_classificacao" localSheetId="5" hidden="1">IF(#REF!="Ativa",OFFSET(INDEX(rng_list_classificacao,MATCH(#REF!,rng_list_classificacao,0)),1,0,COUNTA(rng_list_classificacao)-1),#REF!)</definedName>
    <definedName name="vld_classificacao" localSheetId="4" hidden="1">IF(#REF!="Ativa",OFFSET(INDEX(rng_list_classificacao,MATCH(#REF!,rng_list_classificacao,0)),1,0,COUNTA(rng_list_classificacao)-1),#REF!)</definedName>
    <definedName name="vld_classificacao" localSheetId="9">IF(#REF!="Ativa",OFFSET(INDEX(rng_list_classificacao,MATCH(#REF!,rng_list_classificacao,0)),1,0,COUNTA(rng_list_classificacao)-1),#REF!)</definedName>
    <definedName name="vld_classificacao" localSheetId="10" hidden="1">IF(#REF!="Ativa",OFFSET(INDEX(rng_list_classificacao,MATCH(#REF!,rng_list_classificacao,0)),1,0,COUNTA(rng_list_classificacao)-1),#REF!)</definedName>
    <definedName name="vld_classificacao" localSheetId="1" hidden="1">IF(#REF!="Ativa",OFFSET(INDEX(rng_list_classificacao,MATCH(#REF!,rng_list_classificacao,0)),1,0,COUNTA(rng_list_classificacao)-1),#REF!)</definedName>
    <definedName name="vld_classificacao" localSheetId="0">IF(#REF!="Ativa",OFFSET(INDEX(rng_list_classificacao,MATCH(#REF!,rng_list_classificacao,0)),1,0,COUNTA(rng_list_classificacao)-1),#REF!)</definedName>
    <definedName name="vld_classificacao" localSheetId="11" hidden="1">IF(#REF!="Ativa",OFFSET(INDEX(rng_list_classificacao,MATCH(#REF!,rng_list_classificacao,0)),1,0,COUNTA(rng_list_classificacao)-1),#REF!)</definedName>
    <definedName name="vld_classificacao" localSheetId="12" hidden="1">IF(#REF!="Ativa",OFFSET(INDEX(rng_list_classificacao,MATCH(#REF!,rng_list_classificacao,0)),1,0,COUNTA(rng_list_classificacao)-1),#REF!)</definedName>
    <definedName name="vld_classificacao" hidden="1">IF(#REF!="Ativa",OFFSET(INDEX(rng_list_classificacao,MATCH(#REF!,rng_list_classificacao,0)),1,0,COUNTA(rng_list_classificacao)-1),#REF!)</definedName>
    <definedName name="vld_regional" localSheetId="3" hidden="1">OFFSET(INDEX(rng_list_regional,MATCH(#REF!,rng_list_regional,0)),1,0,COUNTA(rng_list_regional)-1)</definedName>
    <definedName name="vld_regional" localSheetId="8">OFFSET(INDEX(rng_list_regional,MATCH(#REF!,rng_list_regional,0)),1,0,COUNTA(rng_list_regional)-1)</definedName>
    <definedName name="vld_regional" localSheetId="5" hidden="1">OFFSET(INDEX(rng_list_regional,MATCH(#REF!,rng_list_regional,0)),1,0,COUNTA(rng_list_regional)-1)</definedName>
    <definedName name="vld_regional" localSheetId="4" hidden="1">OFFSET(INDEX(rng_list_regional,MATCH(#REF!,rng_list_regional,0)),1,0,COUNTA(rng_list_regional)-1)</definedName>
    <definedName name="vld_regional" localSheetId="9">OFFSET(INDEX(rng_list_regional,MATCH(#REF!,rng_list_regional,0)),1,0,COUNTA(rng_list_regional)-1)</definedName>
    <definedName name="vld_regional" localSheetId="10" hidden="1">OFFSET(INDEX(rng_list_regional,MATCH(#REF!,rng_list_regional,0)),1,0,COUNTA(rng_list_regional)-1)</definedName>
    <definedName name="vld_regional" localSheetId="1" hidden="1">OFFSET(INDEX(rng_list_regional,MATCH(#REF!,rng_list_regional,0)),1,0,COUNTA(rng_list_regional)-1)</definedName>
    <definedName name="vld_regional" localSheetId="0">OFFSET(INDEX(rng_list_regional,MATCH(#REF!,rng_list_regional,0)),1,0,COUNTA(rng_list_regional)-1)</definedName>
    <definedName name="vld_regional" localSheetId="11" hidden="1">OFFSET(INDEX(rng_list_regional,MATCH(#REF!,rng_list_regional,0)),1,0,COUNTA(rng_list_regional)-1)</definedName>
    <definedName name="vld_regional" localSheetId="12" hidden="1">OFFSET(INDEX(rng_list_regional,MATCH(#REF!,rng_list_regional,0)),1,0,COUNTA(rng_list_regional)-1)</definedName>
    <definedName name="vld_regional" hidden="1">OFFSET(INDEX(rng_list_regional,MATCH(#REF!,rng_list_regional,0)),1,0,COUNTA(rng_list_regional)-1)</definedName>
    <definedName name="vld_segmento" localSheetId="3" hidden="1">IF(#REF!="Ativa",OFFSET(INDEX(rng_list_segmento,MATCH(#REF!,rng_list_segmento,0)),1,0,COUNTA(rng_list_segmento)-1),#REF!)</definedName>
    <definedName name="vld_segmento" localSheetId="8">IF(#REF!="Ativa",OFFSET(INDEX(rng_list_segmento,MATCH(#REF!,rng_list_segmento,0)),1,0,COUNTA(rng_list_segmento)-1),#REF!)</definedName>
    <definedName name="vld_segmento" localSheetId="5" hidden="1">IF(#REF!="Ativa",OFFSET(INDEX(rng_list_segmento,MATCH(#REF!,rng_list_segmento,0)),1,0,COUNTA(rng_list_segmento)-1),#REF!)</definedName>
    <definedName name="vld_segmento" localSheetId="4" hidden="1">IF(#REF!="Ativa",OFFSET(INDEX(rng_list_segmento,MATCH(#REF!,rng_list_segmento,0)),1,0,COUNTA(rng_list_segmento)-1),#REF!)</definedName>
    <definedName name="vld_segmento" localSheetId="9">IF(#REF!="Ativa",OFFSET(INDEX(rng_list_segmento,MATCH(#REF!,rng_list_segmento,0)),1,0,COUNTA(rng_list_segmento)-1),#REF!)</definedName>
    <definedName name="vld_segmento" localSheetId="10" hidden="1">IF(#REF!="Ativa",OFFSET(INDEX(rng_list_segmento,MATCH(#REF!,rng_list_segmento,0)),1,0,COUNTA(rng_list_segmento)-1),#REF!)</definedName>
    <definedName name="vld_segmento" localSheetId="1" hidden="1">IF(#REF!="Ativa",OFFSET(INDEX(rng_list_segmento,MATCH(#REF!,rng_list_segmento,0)),1,0,COUNTA(rng_list_segmento)-1),#REF!)</definedName>
    <definedName name="vld_segmento" localSheetId="0">IF(#REF!="Ativa",OFFSET(INDEX(rng_list_segmento,MATCH(#REF!,rng_list_segmento,0)),1,0,COUNTA(rng_list_segmento)-1),#REF!)</definedName>
    <definedName name="vld_segmento" localSheetId="11" hidden="1">IF(#REF!="Ativa",OFFSET(INDEX(rng_list_segmento,MATCH(#REF!,rng_list_segmento,0)),1,0,COUNTA(rng_list_segmento)-1),#REF!)</definedName>
    <definedName name="vld_segmento" localSheetId="12" hidden="1">IF(#REF!="Ativa",OFFSET(INDEX(rng_list_segmento,MATCH(#REF!,rng_list_segmento,0)),1,0,COUNTA(rng_list_segmento)-1),#REF!)</definedName>
    <definedName name="vld_segmento" hidden="1">IF(#REF!="Ativa",OFFSET(INDEX(rng_list_segmento,MATCH(#REF!,rng_list_segmento,0)),1,0,COUNTA(rng_list_segmento)-1),#REF!)</definedName>
    <definedName name="vld_sociedade" localSheetId="3" hidden="1">OFFSET(INDEX(rng_list_sociedade,MATCH(#REF!,rng_list_sociedade,0)),1,0,COUNTA(rng_list_sociedade)-1)</definedName>
    <definedName name="vld_sociedade" localSheetId="8">OFFSET(INDEX(rng_list_sociedade,MATCH(#REF!,rng_list_sociedade,0)),1,0,COUNTA(rng_list_sociedade)-1)</definedName>
    <definedName name="vld_sociedade" localSheetId="5" hidden="1">OFFSET(INDEX(rng_list_sociedade,MATCH(#REF!,rng_list_sociedade,0)),1,0,COUNTA(rng_list_sociedade)-1)</definedName>
    <definedName name="vld_sociedade" localSheetId="4" hidden="1">OFFSET(INDEX(rng_list_sociedade,MATCH(#REF!,rng_list_sociedade,0)),1,0,COUNTA(rng_list_sociedade)-1)</definedName>
    <definedName name="vld_sociedade" localSheetId="9">OFFSET(INDEX(rng_list_sociedade,MATCH(#REF!,rng_list_sociedade,0)),1,0,COUNTA(rng_list_sociedade)-1)</definedName>
    <definedName name="vld_sociedade" localSheetId="10" hidden="1">OFFSET(INDEX(rng_list_sociedade,MATCH(#REF!,rng_list_sociedade,0)),1,0,COUNTA(rng_list_sociedade)-1)</definedName>
    <definedName name="vld_sociedade" localSheetId="1" hidden="1">OFFSET(INDEX(rng_list_sociedade,MATCH(#REF!,rng_list_sociedade,0)),1,0,COUNTA(rng_list_sociedade)-1)</definedName>
    <definedName name="vld_sociedade" localSheetId="0">OFFSET(INDEX(rng_list_sociedade,MATCH(#REF!,rng_list_sociedade,0)),1,0,COUNTA(rng_list_sociedade)-1)</definedName>
    <definedName name="vld_sociedade" localSheetId="11" hidden="1">OFFSET(INDEX(rng_list_sociedade,MATCH(#REF!,rng_list_sociedade,0)),1,0,COUNTA(rng_list_sociedade)-1)</definedName>
    <definedName name="vld_sociedade" localSheetId="12" hidden="1">OFFSET(INDEX(rng_list_sociedade,MATCH(#REF!,rng_list_sociedade,0)),1,0,COUNTA(rng_list_sociedade)-1)</definedName>
    <definedName name="vld_sociedade" hidden="1">OFFSET(INDEX(rng_list_sociedade,MATCH(#REF!,rng_list_sociedade,0)),1,0,COUNTA(rng_list_sociedade)-1)</definedName>
    <definedName name="vld_status_empresa" localSheetId="3" hidden="1">OFFSET(INDEX(rng_list_status_empresa,MATCH(#REF!,rng_list_status_empresa,0)),1,0,COUNTA(rng_list_status_empresa)-1)</definedName>
    <definedName name="vld_status_empresa" localSheetId="8">OFFSET(INDEX(rng_list_status_empresa,MATCH(#REF!,rng_list_status_empresa,0)),1,0,COUNTA(rng_list_status_empresa)-1)</definedName>
    <definedName name="vld_status_empresa" localSheetId="5" hidden="1">OFFSET(INDEX(rng_list_status_empresa,MATCH(#REF!,rng_list_status_empresa,0)),1,0,COUNTA(rng_list_status_empresa)-1)</definedName>
    <definedName name="vld_status_empresa" localSheetId="4" hidden="1">OFFSET(INDEX(rng_list_status_empresa,MATCH(#REF!,rng_list_status_empresa,0)),1,0,COUNTA(rng_list_status_empresa)-1)</definedName>
    <definedName name="vld_status_empresa" localSheetId="9">OFFSET(INDEX(rng_list_status_empresa,MATCH(#REF!,rng_list_status_empresa,0)),1,0,COUNTA(rng_list_status_empresa)-1)</definedName>
    <definedName name="vld_status_empresa" localSheetId="10" hidden="1">OFFSET(INDEX(rng_list_status_empresa,MATCH(#REF!,rng_list_status_empresa,0)),1,0,COUNTA(rng_list_status_empresa)-1)</definedName>
    <definedName name="vld_status_empresa" localSheetId="1" hidden="1">OFFSET(INDEX(rng_list_status_empresa,MATCH(#REF!,rng_list_status_empresa,0)),1,0,COUNTA(rng_list_status_empresa)-1)</definedName>
    <definedName name="vld_status_empresa" localSheetId="0">OFFSET(INDEX(rng_list_status_empresa,MATCH(#REF!,rng_list_status_empresa,0)),1,0,COUNTA(rng_list_status_empresa)-1)</definedName>
    <definedName name="vld_status_empresa" localSheetId="11" hidden="1">OFFSET(INDEX(rng_list_status_empresa,MATCH(#REF!,rng_list_status_empresa,0)),1,0,COUNTA(rng_list_status_empresa)-1)</definedName>
    <definedName name="vld_status_empresa" localSheetId="12" hidden="1">OFFSET(INDEX(rng_list_status_empresa,MATCH(#REF!,rng_list_status_empresa,0)),1,0,COUNTA(rng_list_status_empresa)-1)</definedName>
    <definedName name="vld_status_empresa" hidden="1">OFFSET(INDEX(rng_list_status_empresa,MATCH(#REF!,rng_list_status_empresa,0)),1,0,COUNTA(rng_list_status_empresa)-1)</definedName>
    <definedName name="vld_status_lancamento" localSheetId="3" hidden="1">IF(#REF!="Ativa",OFFSET(INDEX(rng_list_status_lancamento,MATCH(#REF!,rng_list_status_lancamento,0)),1,0,COUNTA(rng_list_status_lancamento)-1),#REF!)</definedName>
    <definedName name="vld_status_lancamento" localSheetId="8">IF(#REF!="Ativa",OFFSET(INDEX(rng_list_status_lancamento,MATCH(#REF!,rng_list_status_lancamento,0)),1,0,COUNTA(rng_list_status_lancamento)-1),#REF!)</definedName>
    <definedName name="vld_status_lancamento" localSheetId="5" hidden="1">IF(#REF!="Ativa",OFFSET(INDEX(rng_list_status_lancamento,MATCH(#REF!,rng_list_status_lancamento,0)),1,0,COUNTA(rng_list_status_lancamento)-1),#REF!)</definedName>
    <definedName name="vld_status_lancamento" localSheetId="4" hidden="1">IF(#REF!="Ativa",OFFSET(INDEX(rng_list_status_lancamento,MATCH(#REF!,rng_list_status_lancamento,0)),1,0,COUNTA(rng_list_status_lancamento)-1),#REF!)</definedName>
    <definedName name="vld_status_lancamento" localSheetId="9">IF(#REF!="Ativa",OFFSET(INDEX(rng_list_status_lancamento,MATCH(#REF!,rng_list_status_lancamento,0)),1,0,COUNTA(rng_list_status_lancamento)-1),#REF!)</definedName>
    <definedName name="vld_status_lancamento" localSheetId="10" hidden="1">IF(#REF!="Ativa",OFFSET(INDEX(rng_list_status_lancamento,MATCH(#REF!,rng_list_status_lancamento,0)),1,0,COUNTA(rng_list_status_lancamento)-1),#REF!)</definedName>
    <definedName name="vld_status_lancamento" localSheetId="1" hidden="1">IF(#REF!="Ativa",OFFSET(INDEX(rng_list_status_lancamento,MATCH(#REF!,rng_list_status_lancamento,0)),1,0,COUNTA(rng_list_status_lancamento)-1),#REF!)</definedName>
    <definedName name="vld_status_lancamento" localSheetId="0">IF(#REF!="Ativa",OFFSET(INDEX(rng_list_status_lancamento,MATCH(#REF!,rng_list_status_lancamento,0)),1,0,COUNTA(rng_list_status_lancamento)-1),#REF!)</definedName>
    <definedName name="vld_status_lancamento" localSheetId="11" hidden="1">IF(#REF!="Ativa",OFFSET(INDEX(rng_list_status_lancamento,MATCH(#REF!,rng_list_status_lancamento,0)),1,0,COUNTA(rng_list_status_lancamento)-1),#REF!)</definedName>
    <definedName name="vld_status_lancamento" localSheetId="12" hidden="1">IF(#REF!="Ativa",OFFSET(INDEX(rng_list_status_lancamento,MATCH(#REF!,rng_list_status_lancamento,0)),1,0,COUNTA(rng_list_status_lancamento)-1),#REF!)</definedName>
    <definedName name="vld_status_lancamento" hidden="1">IF(#REF!="Ativa",OFFSET(INDEX(rng_list_status_lancamento,MATCH(#REF!,rng_list_status_lancamento,0)),1,0,COUNTA(rng_list_status_lancamento)-1),#REF!)</definedName>
    <definedName name="vld_status_projeto" localSheetId="3" hidden="1">IF(#REF!="Ativa",OFFSET(INDEX(rng_list_status_projeto,MATCH(#REF!,rng_list_status_projeto,0)),1,0,COUNTA(rng_list_status_projeto)-1),#REF!)</definedName>
    <definedName name="vld_status_projeto" localSheetId="8">IF(#REF!="Ativa",OFFSET(INDEX(rng_list_status_projeto,MATCH(#REF!,rng_list_status_projeto,0)),1,0,COUNTA(rng_list_status_projeto)-1),#REF!)</definedName>
    <definedName name="vld_status_projeto" localSheetId="5" hidden="1">IF(#REF!="Ativa",OFFSET(INDEX(rng_list_status_projeto,MATCH(#REF!,rng_list_status_projeto,0)),1,0,COUNTA(rng_list_status_projeto)-1),#REF!)</definedName>
    <definedName name="vld_status_projeto" localSheetId="4" hidden="1">IF(#REF!="Ativa",OFFSET(INDEX(rng_list_status_projeto,MATCH(#REF!,rng_list_status_projeto,0)),1,0,COUNTA(rng_list_status_projeto)-1),#REF!)</definedName>
    <definedName name="vld_status_projeto" localSheetId="9">IF(#REF!="Ativa",OFFSET(INDEX(rng_list_status_projeto,MATCH(#REF!,rng_list_status_projeto,0)),1,0,COUNTA(rng_list_status_projeto)-1),#REF!)</definedName>
    <definedName name="vld_status_projeto" localSheetId="10" hidden="1">IF(#REF!="Ativa",OFFSET(INDEX(rng_list_status_projeto,MATCH(#REF!,rng_list_status_projeto,0)),1,0,COUNTA(rng_list_status_projeto)-1),#REF!)</definedName>
    <definedName name="vld_status_projeto" localSheetId="1" hidden="1">IF(#REF!="Ativa",OFFSET(INDEX(rng_list_status_projeto,MATCH(#REF!,rng_list_status_projeto,0)),1,0,COUNTA(rng_list_status_projeto)-1),#REF!)</definedName>
    <definedName name="vld_status_projeto" localSheetId="0">IF(#REF!="Ativa",OFFSET(INDEX(rng_list_status_projeto,MATCH(#REF!,rng_list_status_projeto,0)),1,0,COUNTA(rng_list_status_projeto)-1),#REF!)</definedName>
    <definedName name="vld_status_projeto" localSheetId="11" hidden="1">IF(#REF!="Ativa",OFFSET(INDEX(rng_list_status_projeto,MATCH(#REF!,rng_list_status_projeto,0)),1,0,COUNTA(rng_list_status_projeto)-1),#REF!)</definedName>
    <definedName name="vld_status_projeto" localSheetId="12" hidden="1">IF(#REF!="Ativa",OFFSET(INDEX(rng_list_status_projeto,MATCH(#REF!,rng_list_status_projeto,0)),1,0,COUNTA(rng_list_status_projeto)-1),#REF!)</definedName>
    <definedName name="vld_status_projeto" hidden="1">IF(#REF!="Ativa",OFFSET(INDEX(rng_list_status_projeto,MATCH(#REF!,rng_list_status_projeto,0)),1,0,COUNTA(rng_list_status_projeto)-1),#REF!)</definedName>
    <definedName name="vld_status_viabilidade" localSheetId="3" hidden="1">OFFSET(INDEX(rng_list_status_viabilidade,MATCH(#REF!,rng_list_status_viabilidade,0)),1,0,COUNTA(rng_list_status_viabilidade)-1)</definedName>
    <definedName name="vld_status_viabilidade" localSheetId="8">OFFSET(INDEX(rng_list_status_viabilidade,MATCH(#REF!,rng_list_status_viabilidade,0)),1,0,COUNTA(rng_list_status_viabilidade)-1)</definedName>
    <definedName name="vld_status_viabilidade" localSheetId="5" hidden="1">OFFSET(INDEX(rng_list_status_viabilidade,MATCH(#REF!,rng_list_status_viabilidade,0)),1,0,COUNTA(rng_list_status_viabilidade)-1)</definedName>
    <definedName name="vld_status_viabilidade" localSheetId="4" hidden="1">OFFSET(INDEX(rng_list_status_viabilidade,MATCH(#REF!,rng_list_status_viabilidade,0)),1,0,COUNTA(rng_list_status_viabilidade)-1)</definedName>
    <definedName name="vld_status_viabilidade" localSheetId="9">OFFSET(INDEX(rng_list_status_viabilidade,MATCH(#REF!,rng_list_status_viabilidade,0)),1,0,COUNTA(rng_list_status_viabilidade)-1)</definedName>
    <definedName name="vld_status_viabilidade" localSheetId="10" hidden="1">OFFSET(INDEX(rng_list_status_viabilidade,MATCH(#REF!,rng_list_status_viabilidade,0)),1,0,COUNTA(rng_list_status_viabilidade)-1)</definedName>
    <definedName name="vld_status_viabilidade" localSheetId="1" hidden="1">OFFSET(INDEX(rng_list_status_viabilidade,MATCH(#REF!,rng_list_status_viabilidade,0)),1,0,COUNTA(rng_list_status_viabilidade)-1)</definedName>
    <definedName name="vld_status_viabilidade" localSheetId="0">OFFSET(INDEX(rng_list_status_viabilidade,MATCH(#REF!,rng_list_status_viabilidade,0)),1,0,COUNTA(rng_list_status_viabilidade)-1)</definedName>
    <definedName name="vld_status_viabilidade" localSheetId="11" hidden="1">OFFSET(INDEX(rng_list_status_viabilidade,MATCH(#REF!,rng_list_status_viabilidade,0)),1,0,COUNTA(rng_list_status_viabilidade)-1)</definedName>
    <definedName name="vld_status_viabilidade" localSheetId="12" hidden="1">OFFSET(INDEX(rng_list_status_viabilidade,MATCH(#REF!,rng_list_status_viabilidade,0)),1,0,COUNTA(rng_list_status_viabilidade)-1)</definedName>
    <definedName name="vld_status_viabilidade" hidden="1">OFFSET(INDEX(rng_list_status_viabilidade,MATCH(#REF!,rng_list_status_viabilidade,0)),1,0,COUNTA(rng_list_status_viabilidade)-1)</definedName>
    <definedName name="VOLUME1" localSheetId="8">#REF!</definedName>
    <definedName name="VOLUME1" localSheetId="5">#REF!</definedName>
    <definedName name="VOLUME1" localSheetId="9">#REF!</definedName>
    <definedName name="VOLUME1" localSheetId="10">#REF!</definedName>
    <definedName name="VOLUME1" localSheetId="0">#REF!</definedName>
    <definedName name="VOLUME1" localSheetId="11">#REF!</definedName>
    <definedName name="VOLUME1" localSheetId="12">#REF!</definedName>
    <definedName name="VOLUME1">#REF!</definedName>
    <definedName name="VOLUME2" localSheetId="8">#REF!</definedName>
    <definedName name="VOLUME2" localSheetId="5">#REF!</definedName>
    <definedName name="VOLUME2" localSheetId="9">#REF!</definedName>
    <definedName name="VOLUME2" localSheetId="10">#REF!</definedName>
    <definedName name="VOLUME2" localSheetId="0">#REF!</definedName>
    <definedName name="VOLUME2" localSheetId="11">#REF!</definedName>
    <definedName name="VOLUME2" localSheetId="12">#REF!</definedName>
    <definedName name="VOLUME2">#REF!</definedName>
    <definedName name="VOLUME3" localSheetId="8">#REF!</definedName>
    <definedName name="VOLUME3" localSheetId="5">#REF!</definedName>
    <definedName name="VOLUME3" localSheetId="9">#REF!</definedName>
    <definedName name="VOLUME3" localSheetId="10">#REF!</definedName>
    <definedName name="VOLUME3" localSheetId="0">#REF!</definedName>
    <definedName name="VOLUME3" localSheetId="11">#REF!</definedName>
    <definedName name="VOLUME3" localSheetId="12">#REF!</definedName>
    <definedName name="VOLUME3">#REF!</definedName>
    <definedName name="VSDHFGDFGR" localSheetId="3" hidden="1">{#N/A,#N/A,FALSE,"Plan1";#N/A,#N/A,FALSE,"Plan2"}</definedName>
    <definedName name="VSDHFGDFGR" localSheetId="8">{#N/A,#N/A,FALSE,"Plan1";#N/A,#N/A,FALSE,"Plan2"}</definedName>
    <definedName name="VSDHFGDFGR" localSheetId="5" hidden="1">{#N/A,#N/A,FALSE,"Plan1";#N/A,#N/A,FALSE,"Plan2"}</definedName>
    <definedName name="VSDHFGDFGR" localSheetId="4" hidden="1">{#N/A,#N/A,FALSE,"Plan1";#N/A,#N/A,FALSE,"Plan2"}</definedName>
    <definedName name="VSDHFGDFGR" localSheetId="9">{#N/A,#N/A,FALSE,"Plan1";#N/A,#N/A,FALSE,"Plan2"}</definedName>
    <definedName name="VSDHFGDFGR" localSheetId="10" hidden="1">{#N/A,#N/A,FALSE,"Plan1";#N/A,#N/A,FALSE,"Plan2"}</definedName>
    <definedName name="VSDHFGDFGR" localSheetId="1" hidden="1">{#N/A,#N/A,FALSE,"Plan1";#N/A,#N/A,FALSE,"Plan2"}</definedName>
    <definedName name="VSDHFGDFGR" localSheetId="0">{#N/A,#N/A,FALSE,"Plan1";#N/A,#N/A,FALSE,"Plan2"}</definedName>
    <definedName name="VSDHFGDFGR" localSheetId="11" hidden="1">{#N/A,#N/A,FALSE,"Plan1";#N/A,#N/A,FALSE,"Plan2"}</definedName>
    <definedName name="VSDHFGDFGR" localSheetId="12" hidden="1">{#N/A,#N/A,FALSE,"Plan1";#N/A,#N/A,FALSE,"Plan2"}</definedName>
    <definedName name="VSDHFGDFGR" hidden="1">{#N/A,#N/A,FALSE,"Plan1";#N/A,#N/A,FALSE,"Plan2"}</definedName>
    <definedName name="vvbb" localSheetId="3" hidden="1">{"tabela",#N/A,FALSE,"Tabela";"decoração",#N/A,FALSE,"Decor.";"Informações",#N/A,FALSE,"Inform."}</definedName>
    <definedName name="vvbb" localSheetId="8">{"tabela",#N/A,FALSE,"Tabela";"decoração",#N/A,FALSE,"Decor.";"Informações",#N/A,FALSE,"Inform."}</definedName>
    <definedName name="vvbb" localSheetId="5" hidden="1">{"tabela",#N/A,FALSE,"Tabela";"decoração",#N/A,FALSE,"Decor.";"Informações",#N/A,FALSE,"Inform."}</definedName>
    <definedName name="vvbb" localSheetId="4" hidden="1">{"tabela",#N/A,FALSE,"Tabela";"decoração",#N/A,FALSE,"Decor.";"Informações",#N/A,FALSE,"Inform."}</definedName>
    <definedName name="vvbb" localSheetId="9">{"tabela",#N/A,FALSE,"Tabela";"decoração",#N/A,FALSE,"Decor.";"Informações",#N/A,FALSE,"Inform."}</definedName>
    <definedName name="vvbb" localSheetId="10" hidden="1">{"tabela",#N/A,FALSE,"Tabela";"decoração",#N/A,FALSE,"Decor.";"Informações",#N/A,FALSE,"Inform."}</definedName>
    <definedName name="vvbb" localSheetId="1" hidden="1">{"tabela",#N/A,FALSE,"Tabela";"decoração",#N/A,FALSE,"Decor.";"Informações",#N/A,FALSE,"Inform."}</definedName>
    <definedName name="vvbb" localSheetId="0">{"tabela",#N/A,FALSE,"Tabela";"decoração",#N/A,FALSE,"Decor.";"Informações",#N/A,FALSE,"Inform."}</definedName>
    <definedName name="vvbb" localSheetId="11" hidden="1">{"tabela",#N/A,FALSE,"Tabela";"decoração",#N/A,FALSE,"Decor.";"Informações",#N/A,FALSE,"Inform."}</definedName>
    <definedName name="vvbb" localSheetId="12" hidden="1">{"tabela",#N/A,FALSE,"Tabela";"decoração",#N/A,FALSE,"Decor.";"Informações",#N/A,FALSE,"Inform."}</definedName>
    <definedName name="vvbb" hidden="1">{"tabela",#N/A,FALSE,"Tabela";"decoração",#N/A,FALSE,"Decor.";"Informações",#N/A,FALSE,"Inform."}</definedName>
    <definedName name="vvcbnb" localSheetId="3" hidden="1">{#N/A,#N/A,FALSE,"Plan1";#N/A,#N/A,FALSE,"Plan2"}</definedName>
    <definedName name="vvcbnb" localSheetId="8">{#N/A,#N/A,FALSE,"Plan1";#N/A,#N/A,FALSE,"Plan2"}</definedName>
    <definedName name="vvcbnb" localSheetId="5" hidden="1">{#N/A,#N/A,FALSE,"Plan1";#N/A,#N/A,FALSE,"Plan2"}</definedName>
    <definedName name="vvcbnb" localSheetId="4" hidden="1">{#N/A,#N/A,FALSE,"Plan1";#N/A,#N/A,FALSE,"Plan2"}</definedName>
    <definedName name="vvcbnb" localSheetId="9">{#N/A,#N/A,FALSE,"Plan1";#N/A,#N/A,FALSE,"Plan2"}</definedName>
    <definedName name="vvcbnb" localSheetId="10" hidden="1">{#N/A,#N/A,FALSE,"Plan1";#N/A,#N/A,FALSE,"Plan2"}</definedName>
    <definedName name="vvcbnb" localSheetId="1" hidden="1">{#N/A,#N/A,FALSE,"Plan1";#N/A,#N/A,FALSE,"Plan2"}</definedName>
    <definedName name="vvcbnb" localSheetId="0">{#N/A,#N/A,FALSE,"Plan1";#N/A,#N/A,FALSE,"Plan2"}</definedName>
    <definedName name="vvcbnb" localSheetId="11" hidden="1">{#N/A,#N/A,FALSE,"Plan1";#N/A,#N/A,FALSE,"Plan2"}</definedName>
    <definedName name="vvcbnb" localSheetId="12" hidden="1">{#N/A,#N/A,FALSE,"Plan1";#N/A,#N/A,FALSE,"Plan2"}</definedName>
    <definedName name="vvcbnb" hidden="1">{#N/A,#N/A,FALSE,"Plan1";#N/A,#N/A,FALSE,"Plan2"}</definedName>
    <definedName name="vvvvv" localSheetId="3" hidden="1">{"Econ Consolidado",#N/A,FALSE,"Econ Consol";"Fluxo de Caixa",#N/A,FALSE,"Fluxo Caixa";"Investimentos",#N/A,FALSE,"Investimentos"}</definedName>
    <definedName name="vvvvv" localSheetId="8">{"Econ Consolidado",#N/A,FALSE,"Econ Consol";"Fluxo de Caixa",#N/A,FALSE,"Fluxo Caixa";"Investimentos",#N/A,FALSE,"Investimentos"}</definedName>
    <definedName name="vvvvv" localSheetId="5" hidden="1">{"Econ Consolidado",#N/A,FALSE,"Econ Consol";"Fluxo de Caixa",#N/A,FALSE,"Fluxo Caixa";"Investimentos",#N/A,FALSE,"Investimentos"}</definedName>
    <definedName name="vvvvv" localSheetId="4" hidden="1">{"Econ Consolidado",#N/A,FALSE,"Econ Consol";"Fluxo de Caixa",#N/A,FALSE,"Fluxo Caixa";"Investimentos",#N/A,FALSE,"Investimentos"}</definedName>
    <definedName name="vvvvv" localSheetId="9">{"Econ Consolidado",#N/A,FALSE,"Econ Consol";"Fluxo de Caixa",#N/A,FALSE,"Fluxo Caixa";"Investimentos",#N/A,FALSE,"Investimentos"}</definedName>
    <definedName name="vvvvv" localSheetId="10" hidden="1">{"Econ Consolidado",#N/A,FALSE,"Econ Consol";"Fluxo de Caixa",#N/A,FALSE,"Fluxo Caixa";"Investimentos",#N/A,FALSE,"Investimentos"}</definedName>
    <definedName name="vvvvv" localSheetId="1" hidden="1">{"Econ Consolidado",#N/A,FALSE,"Econ Consol";"Fluxo de Caixa",#N/A,FALSE,"Fluxo Caixa";"Investimentos",#N/A,FALSE,"Investimentos"}</definedName>
    <definedName name="vvvvv" localSheetId="0">{"Econ Consolidado",#N/A,FALSE,"Econ Consol";"Fluxo de Caixa",#N/A,FALSE,"Fluxo Caixa";"Investimentos",#N/A,FALSE,"Investimentos"}</definedName>
    <definedName name="vvvvv" localSheetId="11" hidden="1">{"Econ Consolidado",#N/A,FALSE,"Econ Consol";"Fluxo de Caixa",#N/A,FALSE,"Fluxo Caixa";"Investimentos",#N/A,FALSE,"Investimentos"}</definedName>
    <definedName name="vvvvv" localSheetId="12" hidden="1">{"Econ Consolidado",#N/A,FALSE,"Econ Consol";"Fluxo de Caixa",#N/A,FALSE,"Fluxo Caixa";"Investimentos",#N/A,FALSE,"Investimentos"}</definedName>
    <definedName name="vvvvv" hidden="1">{"Econ Consolidado",#N/A,FALSE,"Econ Consol";"Fluxo de Caixa",#N/A,FALSE,"Fluxo Caixa";"Investimentos",#N/A,FALSE,"Investimentos"}</definedName>
    <definedName name="vvvvvv" localSheetId="3" hidden="1">{#N/A,#N/A,FALSE,"Plan1";#N/A,#N/A,FALSE,"Plan2"}</definedName>
    <definedName name="vvvvvv" localSheetId="8">{#N/A,#N/A,FALSE,"Plan1";#N/A,#N/A,FALSE,"Plan2"}</definedName>
    <definedName name="vvvvvv" localSheetId="5" hidden="1">{#N/A,#N/A,FALSE,"Plan1";#N/A,#N/A,FALSE,"Plan2"}</definedName>
    <definedName name="vvvvvv" localSheetId="4" hidden="1">{#N/A,#N/A,FALSE,"Plan1";#N/A,#N/A,FALSE,"Plan2"}</definedName>
    <definedName name="vvvvvv" localSheetId="9">{#N/A,#N/A,FALSE,"Plan1";#N/A,#N/A,FALSE,"Plan2"}</definedName>
    <definedName name="vvvvvv" localSheetId="10" hidden="1">{#N/A,#N/A,FALSE,"Plan1";#N/A,#N/A,FALSE,"Plan2"}</definedName>
    <definedName name="vvvvvv" localSheetId="1" hidden="1">{#N/A,#N/A,FALSE,"Plan1";#N/A,#N/A,FALSE,"Plan2"}</definedName>
    <definedName name="vvvvvv" localSheetId="0">{#N/A,#N/A,FALSE,"Plan1";#N/A,#N/A,FALSE,"Plan2"}</definedName>
    <definedName name="vvvvvv" localSheetId="11" hidden="1">{#N/A,#N/A,FALSE,"Plan1";#N/A,#N/A,FALSE,"Plan2"}</definedName>
    <definedName name="vvvvvv" localSheetId="12" hidden="1">{#N/A,#N/A,FALSE,"Plan1";#N/A,#N/A,FALSE,"Plan2"}</definedName>
    <definedName name="vvvvvv" hidden="1">{#N/A,#N/A,FALSE,"Plan1";#N/A,#N/A,FALSE,"Plan2"}</definedName>
    <definedName name="vvvvvvvvvvvvvvvvv" localSheetId="3" hidden="1">{"HW",#N/A,FALSE,"1998"}</definedName>
    <definedName name="vvvvvvvvvvvvvvvvv" localSheetId="8">{"HW",#N/A,FALSE,"1998"}</definedName>
    <definedName name="vvvvvvvvvvvvvvvvv" localSheetId="5" hidden="1">{"HW",#N/A,FALSE,"1998"}</definedName>
    <definedName name="vvvvvvvvvvvvvvvvv" localSheetId="4" hidden="1">{"HW",#N/A,FALSE,"1998"}</definedName>
    <definedName name="vvvvvvvvvvvvvvvvv" localSheetId="9">{"HW",#N/A,FALSE,"1998"}</definedName>
    <definedName name="vvvvvvvvvvvvvvvvv" localSheetId="10" hidden="1">{"HW",#N/A,FALSE,"1998"}</definedName>
    <definedName name="vvvvvvvvvvvvvvvvv" localSheetId="1" hidden="1">{"HW",#N/A,FALSE,"1998"}</definedName>
    <definedName name="vvvvvvvvvvvvvvvvv" localSheetId="0">{"HW",#N/A,FALSE,"1998"}</definedName>
    <definedName name="vvvvvvvvvvvvvvvvv" localSheetId="11" hidden="1">{"HW",#N/A,FALSE,"1998"}</definedName>
    <definedName name="vvvvvvvvvvvvvvvvv" localSheetId="12" hidden="1">{"HW",#N/A,FALSE,"1998"}</definedName>
    <definedName name="vvvvvvvvvvvvvvvvv" hidden="1">{"HW",#N/A,FALSE,"1998"}</definedName>
    <definedName name="VX" localSheetId="8">#REF!</definedName>
    <definedName name="VX" localSheetId="5" hidden="1">#REF!</definedName>
    <definedName name="VX" localSheetId="9">#REF!</definedName>
    <definedName name="VX" localSheetId="10" hidden="1">#REF!</definedName>
    <definedName name="VX" localSheetId="1" hidden="1">#REF!</definedName>
    <definedName name="VX" localSheetId="0">#REF!</definedName>
    <definedName name="VX" localSheetId="11" hidden="1">#REF!</definedName>
    <definedName name="VX" localSheetId="12" hidden="1">#REF!</definedName>
    <definedName name="VX" hidden="1">#REF!</definedName>
    <definedName name="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5">#REF!</definedName>
    <definedName name="w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9">#REF!</definedName>
    <definedName name="w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0">#REF!</definedName>
    <definedName name="w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">#REF!</definedName>
    <definedName name="wacc" localSheetId="8">#REF!</definedName>
    <definedName name="wacc" localSheetId="5">#REF!</definedName>
    <definedName name="wacc" localSheetId="9">#REF!</definedName>
    <definedName name="wacc" localSheetId="10">#REF!</definedName>
    <definedName name="wacc" localSheetId="0">#REF!</definedName>
    <definedName name="wacc" localSheetId="11">#REF!</definedName>
    <definedName name="wacc" localSheetId="12">#REF!</definedName>
    <definedName name="wacc">#REF!</definedName>
    <definedName name="wadalrdjlaev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dalrdjlaev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ater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ater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dewr" localSheetId="8">#REF!</definedName>
    <definedName name="wdewr" localSheetId="5" hidden="1">#REF!</definedName>
    <definedName name="wdewr" localSheetId="9">#REF!</definedName>
    <definedName name="wdewr" localSheetId="10" hidden="1">#REF!</definedName>
    <definedName name="wdewr" localSheetId="1" hidden="1">#REF!</definedName>
    <definedName name="wdewr" localSheetId="0">#REF!</definedName>
    <definedName name="wdewr" localSheetId="11" hidden="1">#REF!</definedName>
    <definedName name="wdewr" localSheetId="12" hidden="1">#REF!</definedName>
    <definedName name="wdewr" hidden="1">#REF!</definedName>
    <definedName name="WE" localSheetId="8">#REF!</definedName>
    <definedName name="WE" localSheetId="9">#REF!</definedName>
    <definedName name="WE" localSheetId="10" hidden="1">#REF!</definedName>
    <definedName name="WE" localSheetId="1" hidden="1">#REF!</definedName>
    <definedName name="WE" localSheetId="0">#REF!</definedName>
    <definedName name="WE" localSheetId="11" hidden="1">#REF!</definedName>
    <definedName name="WE" localSheetId="12" hidden="1">#REF!</definedName>
    <definedName name="WE" hidden="1">#REF!</definedName>
    <definedName name="weki_9701.xls" localSheetId="8">#REF!</definedName>
    <definedName name="weki_9701.xls" localSheetId="9">#REF!</definedName>
    <definedName name="weki_9701.xls" localSheetId="0">#REF!</definedName>
    <definedName name="weki_9701.xls" hidden="1">#REF!</definedName>
    <definedName name="wekir9701.xls" localSheetId="8">#REF!</definedName>
    <definedName name="wekir9701.xls" hidden="1">#REF!</definedName>
    <definedName name="werw4tr" localSheetId="3" hidden="1">{#N/A,#N/A,FALSE,"Plan1";#N/A,#N/A,FALSE,"Plan2"}</definedName>
    <definedName name="werw4tr" localSheetId="8">{#N/A,#N/A,FALSE,"Plan1";#N/A,#N/A,FALSE,"Plan2"}</definedName>
    <definedName name="werw4tr" localSheetId="5" hidden="1">{#N/A,#N/A,FALSE,"Plan1";#N/A,#N/A,FALSE,"Plan2"}</definedName>
    <definedName name="werw4tr" localSheetId="4" hidden="1">{#N/A,#N/A,FALSE,"Plan1";#N/A,#N/A,FALSE,"Plan2"}</definedName>
    <definedName name="werw4tr" localSheetId="9">{#N/A,#N/A,FALSE,"Plan1";#N/A,#N/A,FALSE,"Plan2"}</definedName>
    <definedName name="werw4tr" localSheetId="10" hidden="1">{#N/A,#N/A,FALSE,"Plan1";#N/A,#N/A,FALSE,"Plan2"}</definedName>
    <definedName name="werw4tr" localSheetId="1" hidden="1">{#N/A,#N/A,FALSE,"Plan1";#N/A,#N/A,FALSE,"Plan2"}</definedName>
    <definedName name="werw4tr" localSheetId="0">{#N/A,#N/A,FALSE,"Plan1";#N/A,#N/A,FALSE,"Plan2"}</definedName>
    <definedName name="werw4tr" localSheetId="11" hidden="1">{#N/A,#N/A,FALSE,"Plan1";#N/A,#N/A,FALSE,"Plan2"}</definedName>
    <definedName name="werw4tr" localSheetId="12" hidden="1">{#N/A,#N/A,FALSE,"Plan1";#N/A,#N/A,FALSE,"Plan2"}</definedName>
    <definedName name="werw4tr" hidden="1">{#N/A,#N/A,FALSE,"Plan1";#N/A,#N/A,FALSE,"Plan2"}</definedName>
    <definedName name="wetoedjtkdr" localSheetId="3" hidden="1">{#N/A,#N/A,FALSE,"Plan1";#N/A,#N/A,FALSE,"Plan2"}</definedName>
    <definedName name="wetoedjtkdr" localSheetId="8">{#N/A,#N/A,FALSE,"Plan1";#N/A,#N/A,FALSE,"Plan2"}</definedName>
    <definedName name="wetoedjtkdr" localSheetId="5" hidden="1">{#N/A,#N/A,FALSE,"Plan1";#N/A,#N/A,FALSE,"Plan2"}</definedName>
    <definedName name="wetoedjtkdr" localSheetId="4" hidden="1">{#N/A,#N/A,FALSE,"Plan1";#N/A,#N/A,FALSE,"Plan2"}</definedName>
    <definedName name="wetoedjtkdr" localSheetId="9">{#N/A,#N/A,FALSE,"Plan1";#N/A,#N/A,FALSE,"Plan2"}</definedName>
    <definedName name="wetoedjtkdr" localSheetId="10" hidden="1">{#N/A,#N/A,FALSE,"Plan1";#N/A,#N/A,FALSE,"Plan2"}</definedName>
    <definedName name="wetoedjtkdr" localSheetId="1" hidden="1">{#N/A,#N/A,FALSE,"Plan1";#N/A,#N/A,FALSE,"Plan2"}</definedName>
    <definedName name="wetoedjtkdr" localSheetId="0">{#N/A,#N/A,FALSE,"Plan1";#N/A,#N/A,FALSE,"Plan2"}</definedName>
    <definedName name="wetoedjtkdr" localSheetId="11" hidden="1">{#N/A,#N/A,FALSE,"Plan1";#N/A,#N/A,FALSE,"Plan2"}</definedName>
    <definedName name="wetoedjtkdr" localSheetId="12" hidden="1">{#N/A,#N/A,FALSE,"Plan1";#N/A,#N/A,FALSE,"Plan2"}</definedName>
    <definedName name="wetoedjtkdr" hidden="1">{#N/A,#N/A,FALSE,"Plan1";#N/A,#N/A,FALSE,"Plan2"}</definedName>
    <definedName name="WHATS" localSheetId="3" hidden="1">{"'Edit'!$A$1:$V$2277"}</definedName>
    <definedName name="WHATS" localSheetId="8">{"'Edit'!$A$1:$V$2277"}</definedName>
    <definedName name="WHATS" localSheetId="5" hidden="1">{"'Edit'!$A$1:$V$2277"}</definedName>
    <definedName name="WHATS" localSheetId="4" hidden="1">{"'Edit'!$A$1:$V$2277"}</definedName>
    <definedName name="WHATS" localSheetId="9">{"'Edit'!$A$1:$V$2277"}</definedName>
    <definedName name="WHATS" localSheetId="10" hidden="1">{"'Edit'!$A$1:$V$2277"}</definedName>
    <definedName name="WHATS" localSheetId="1" hidden="1">{"'Edit'!$A$1:$V$2277"}</definedName>
    <definedName name="WHATS" localSheetId="0">{"'Edit'!$A$1:$V$2277"}</definedName>
    <definedName name="WHATS" localSheetId="11" hidden="1">{"'Edit'!$A$1:$V$2277"}</definedName>
    <definedName name="WHATS" localSheetId="12" hidden="1">{"'Edit'!$A$1:$V$2277"}</definedName>
    <definedName name="WHATS" hidden="1">{"'Edit'!$A$1:$V$2277"}</definedName>
    <definedName name="win.VESSEL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n.VESSEL_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ITENS" localSheetId="8">#REF!</definedName>
    <definedName name="WITENS" localSheetId="5">#REF!</definedName>
    <definedName name="WITENS" localSheetId="9">#REF!</definedName>
    <definedName name="WITENS" localSheetId="10">#REF!</definedName>
    <definedName name="WITENS" localSheetId="0">#REF!</definedName>
    <definedName name="WITENS" localSheetId="11">#REF!</definedName>
    <definedName name="WITENS" localSheetId="12">#REF!</definedName>
    <definedName name="WITENS">#REF!</definedName>
    <definedName name="WKJHIR" localSheetId="3" hidden="1">{#N/A,#N/A,FALSE,"Plan1";#N/A,#N/A,FALSE,"Plan2"}</definedName>
    <definedName name="WKJHIR" localSheetId="8">{#N/A,#N/A,FALSE,"Plan1";#N/A,#N/A,FALSE,"Plan2"}</definedName>
    <definedName name="WKJHIR" localSheetId="5" hidden="1">{#N/A,#N/A,FALSE,"Plan1";#N/A,#N/A,FALSE,"Plan2"}</definedName>
    <definedName name="WKJHIR" localSheetId="4" hidden="1">{#N/A,#N/A,FALSE,"Plan1";#N/A,#N/A,FALSE,"Plan2"}</definedName>
    <definedName name="WKJHIR" localSheetId="9">{#N/A,#N/A,FALSE,"Plan1";#N/A,#N/A,FALSE,"Plan2"}</definedName>
    <definedName name="WKJHIR" localSheetId="10" hidden="1">{#N/A,#N/A,FALSE,"Plan1";#N/A,#N/A,FALSE,"Plan2"}</definedName>
    <definedName name="WKJHIR" localSheetId="1" hidden="1">{#N/A,#N/A,FALSE,"Plan1";#N/A,#N/A,FALSE,"Plan2"}</definedName>
    <definedName name="WKJHIR" localSheetId="0">{#N/A,#N/A,FALSE,"Plan1";#N/A,#N/A,FALSE,"Plan2"}</definedName>
    <definedName name="WKJHIR" localSheetId="11" hidden="1">{#N/A,#N/A,FALSE,"Plan1";#N/A,#N/A,FALSE,"Plan2"}</definedName>
    <definedName name="WKJHIR" localSheetId="12" hidden="1">{#N/A,#N/A,FALSE,"Plan1";#N/A,#N/A,FALSE,"Plan2"}</definedName>
    <definedName name="WKJHIR" hidden="1">{#N/A,#N/A,FALSE,"Plan1";#N/A,#N/A,FALSE,"Plan2"}</definedName>
    <definedName name="WLQ" localSheetId="3" hidden="1">{#N/A,#N/A,FALSE,"명세표"}</definedName>
    <definedName name="WLQ" localSheetId="8">{#N/A,#N/A,FALSE,"명세표"}</definedName>
    <definedName name="WLQ" localSheetId="5" hidden="1">{#N/A,#N/A,FALSE,"명세표"}</definedName>
    <definedName name="WLQ" localSheetId="4" hidden="1">{#N/A,#N/A,FALSE,"명세표"}</definedName>
    <definedName name="WLQ" localSheetId="9">{#N/A,#N/A,FALSE,"명세표"}</definedName>
    <definedName name="WLQ" localSheetId="10" hidden="1">{#N/A,#N/A,FALSE,"명세표"}</definedName>
    <definedName name="WLQ" localSheetId="1" hidden="1">{#N/A,#N/A,FALSE,"명세표"}</definedName>
    <definedName name="WLQ" localSheetId="0">{#N/A,#N/A,FALSE,"명세표"}</definedName>
    <definedName name="WLQ" localSheetId="11" hidden="1">{#N/A,#N/A,FALSE,"명세표"}</definedName>
    <definedName name="WLQ" localSheetId="12" hidden="1">{#N/A,#N/A,FALSE,"명세표"}</definedName>
    <definedName name="WLQ" hidden="1">{#N/A,#N/A,FALSE,"명세표"}</definedName>
    <definedName name="WNMLOCAL" localSheetId="8">#REF!</definedName>
    <definedName name="WNMLOCAL" localSheetId="5">#REF!</definedName>
    <definedName name="WNMLOCAL" localSheetId="9">#REF!</definedName>
    <definedName name="WNMLOCAL" localSheetId="10">#REF!</definedName>
    <definedName name="WNMLOCAL" localSheetId="0">#REF!</definedName>
    <definedName name="WNMLOCAL" localSheetId="11">#REF!</definedName>
    <definedName name="WNMLOCAL" localSheetId="12">#REF!</definedName>
    <definedName name="WNMLOCAL">#REF!</definedName>
    <definedName name="WNMMUN" localSheetId="8">#REF!</definedName>
    <definedName name="WNMMUN" localSheetId="5">#REF!</definedName>
    <definedName name="WNMMUN" localSheetId="9">#REF!</definedName>
    <definedName name="WNMMUN" localSheetId="10">#REF!</definedName>
    <definedName name="WNMMUN" localSheetId="0">#REF!</definedName>
    <definedName name="WNMMUN" localSheetId="11">#REF!</definedName>
    <definedName name="WNMMUN" localSheetId="12">#REF!</definedName>
    <definedName name="WNMMUN">#REF!</definedName>
    <definedName name="WNMSERV" localSheetId="8">#REF!</definedName>
    <definedName name="WNMSERV" localSheetId="5">#REF!</definedName>
    <definedName name="WNMSERV" localSheetId="9">#REF!</definedName>
    <definedName name="WNMSERV" localSheetId="10">#REF!</definedName>
    <definedName name="WNMSERV" localSheetId="0">#REF!</definedName>
    <definedName name="WNMSERV" localSheetId="11">#REF!</definedName>
    <definedName name="WNMSERV" localSheetId="12">#REF!</definedName>
    <definedName name="WNMSERV">#REF!</definedName>
    <definedName name="worl_cdi" localSheetId="8">#REF!</definedName>
    <definedName name="worl_cdi" localSheetId="5">#REF!</definedName>
    <definedName name="worl_cdi" localSheetId="10">#REF!</definedName>
    <definedName name="worl_cdi" localSheetId="11">#REF!</definedName>
    <definedName name="worl_cdi" localSheetId="12">#REF!</definedName>
    <definedName name="worl_cdi">#REF!</definedName>
    <definedName name="worl_hist" localSheetId="8">#REF!</definedName>
    <definedName name="worl_hist" localSheetId="5">#REF!</definedName>
    <definedName name="worl_hist" localSheetId="10">#REF!</definedName>
    <definedName name="worl_hist" localSheetId="11">#REF!</definedName>
    <definedName name="worl_hist" localSheetId="12">#REF!</definedName>
    <definedName name="worl_hist">#REF!</definedName>
    <definedName name="worl_uss" localSheetId="8">#REF!</definedName>
    <definedName name="worl_uss" localSheetId="5">#REF!</definedName>
    <definedName name="worl_uss" localSheetId="10">#REF!</definedName>
    <definedName name="worl_uss" localSheetId="11">#REF!</definedName>
    <definedName name="worl_uss" localSheetId="12">#REF!</definedName>
    <definedName name="worl_uss">#REF!</definedName>
    <definedName name="WRITE" localSheetId="3" hidden="1">{#N/A,#N/A,FALSE,"CCTV"}</definedName>
    <definedName name="WRITE" localSheetId="8">{#N/A,#N/A,FALSE,"CCTV"}</definedName>
    <definedName name="WRITE" localSheetId="5" hidden="1">{#N/A,#N/A,FALSE,"CCTV"}</definedName>
    <definedName name="WRITE" localSheetId="4" hidden="1">{#N/A,#N/A,FALSE,"CCTV"}</definedName>
    <definedName name="WRITE" localSheetId="9">{#N/A,#N/A,FALSE,"CCTV"}</definedName>
    <definedName name="WRITE" localSheetId="10" hidden="1">{#N/A,#N/A,FALSE,"CCTV"}</definedName>
    <definedName name="WRITE" localSheetId="1" hidden="1">{#N/A,#N/A,FALSE,"CCTV"}</definedName>
    <definedName name="WRITE" localSheetId="0">{#N/A,#N/A,FALSE,"CCTV"}</definedName>
    <definedName name="WRITE" localSheetId="11" hidden="1">{#N/A,#N/A,FALSE,"CCTV"}</definedName>
    <definedName name="WRITE" localSheetId="12" hidden="1">{#N/A,#N/A,FALSE,"CCTV"}</definedName>
    <definedName name="WRITE" hidden="1">{#N/A,#N/A,FALSE,"CCTV"}</definedName>
    <definedName name="wrn.BM." localSheetId="3" hidden="1">{#N/A,#N/A,FALSE,"CCTV"}</definedName>
    <definedName name="wrn.BM." localSheetId="8">{#N/A,#N/A,FALSE,"CCTV"}</definedName>
    <definedName name="wrn.BM." localSheetId="5" hidden="1">{#N/A,#N/A,FALSE,"CCTV"}</definedName>
    <definedName name="wrn.BM." localSheetId="4" hidden="1">{#N/A,#N/A,FALSE,"CCTV"}</definedName>
    <definedName name="wrn.BM." localSheetId="9">{#N/A,#N/A,FALSE,"CCTV"}</definedName>
    <definedName name="wrn.BM." localSheetId="10" hidden="1">{#N/A,#N/A,FALSE,"CCTV"}</definedName>
    <definedName name="wrn.BM." localSheetId="1" hidden="1">{#N/A,#N/A,FALSE,"CCTV"}</definedName>
    <definedName name="wrn.BM." localSheetId="0">{#N/A,#N/A,FALSE,"CCTV"}</definedName>
    <definedName name="wrn.BM." localSheetId="11" hidden="1">{#N/A,#N/A,FALSE,"CCTV"}</definedName>
    <definedName name="wrn.BM." localSheetId="12" hidden="1">{#N/A,#N/A,FALSE,"CCTV"}</definedName>
    <definedName name="wrn.BM." hidden="1">{#N/A,#N/A,FALSE,"CCTV"}</definedName>
    <definedName name="wrn.Brita98.xls." localSheetId="3" hidden="1">{#N/A,#N/A,TRUE,"Quinzena 01 à 15-04-98 "}</definedName>
    <definedName name="wrn.Brita98.xls." localSheetId="8">{#N/A,#N/A,TRUE,"Quinzena 01 à 15-04-98 "}</definedName>
    <definedName name="wrn.Brita98.xls." localSheetId="5" hidden="1">{#N/A,#N/A,TRUE,"Quinzena 01 à 15-04-98 "}</definedName>
    <definedName name="wrn.Brita98.xls." localSheetId="4" hidden="1">{#N/A,#N/A,TRUE,"Quinzena 01 à 15-04-98 "}</definedName>
    <definedName name="wrn.Brita98.xls." localSheetId="9">{#N/A,#N/A,TRUE,"Quinzena 01 à 15-04-98 "}</definedName>
    <definedName name="wrn.Brita98.xls." localSheetId="10" hidden="1">{#N/A,#N/A,TRUE,"Quinzena 01 à 15-04-98 "}</definedName>
    <definedName name="wrn.Brita98.xls." localSheetId="1" hidden="1">{#N/A,#N/A,TRUE,"Quinzena 01 à 15-04-98 "}</definedName>
    <definedName name="wrn.Brita98.xls." localSheetId="0">{#N/A,#N/A,TRUE,"Quinzena 01 à 15-04-98 "}</definedName>
    <definedName name="wrn.Brita98.xls." localSheetId="11" hidden="1">{#N/A,#N/A,TRUE,"Quinzena 01 à 15-04-98 "}</definedName>
    <definedName name="wrn.Brita98.xls." localSheetId="12" hidden="1">{#N/A,#N/A,TRUE,"Quinzena 01 à 15-04-98 "}</definedName>
    <definedName name="wrn.Brita98.xls." hidden="1">{#N/A,#N/A,TRUE,"Quinzena 01 à 15-04-98 "}</definedName>
    <definedName name="wrn.Completo." localSheetId="3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8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5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4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9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0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0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1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localSheetId="12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mpleto." hidden="1">{"EconCons (Econômico - Consolidado)",#N/A,FALSE,"Econômico - Consolidado";"CaixaCons",#N/A,FALSE,"Caixa - Consolidado";"Rio Branco",#N/A,FALSE,"Rio Branco";"Itajaí",#N/A,FALSE,"Itajaí";"Esteio",#N/A,FALSE,"Esteio";"P. Machado",#N/A,FALSE,"P. Machado";"InvestCons (Invest Consolidado)",#N/A,FALSE,"Invest Consolidado"}</definedName>
    <definedName name="wrn.Cons." localSheetId="3" hidden="1">{"EconCons",#N/A,TRUE,"Econômico - Consolidado";"CaixaCons",#N/A,TRUE,"Caixa - Consolidado";"InvestCons",#N/A,TRUE,"Invest Consolidado"}</definedName>
    <definedName name="wrn.Cons." localSheetId="8">{"EconCons",#N/A,TRUE,"Econômico - Consolidado";"CaixaCons",#N/A,TRUE,"Caixa - Consolidado";"InvestCons",#N/A,TRUE,"Invest Consolidado"}</definedName>
    <definedName name="wrn.Cons." localSheetId="5" hidden="1">{"EconCons",#N/A,TRUE,"Econômico - Consolidado";"CaixaCons",#N/A,TRUE,"Caixa - Consolidado";"InvestCons",#N/A,TRUE,"Invest Consolidado"}</definedName>
    <definedName name="wrn.Cons." localSheetId="4" hidden="1">{"EconCons",#N/A,TRUE,"Econômico - Consolidado";"CaixaCons",#N/A,TRUE,"Caixa - Consolidado";"InvestCons",#N/A,TRUE,"Invest Consolidado"}</definedName>
    <definedName name="wrn.Cons." localSheetId="9">{"EconCons",#N/A,TRUE,"Econômico - Consolidado";"CaixaCons",#N/A,TRUE,"Caixa - Consolidado";"InvestCons",#N/A,TRUE,"Invest Consolidado"}</definedName>
    <definedName name="wrn.Cons." localSheetId="10" hidden="1">{"EconCons",#N/A,TRUE,"Econômico - Consolidado";"CaixaCons",#N/A,TRUE,"Caixa - Consolidado";"InvestCons",#N/A,TRUE,"Invest Consolidado"}</definedName>
    <definedName name="wrn.Cons." localSheetId="1" hidden="1">{"EconCons",#N/A,TRUE,"Econômico - Consolidado";"CaixaCons",#N/A,TRUE,"Caixa - Consolidado";"InvestCons",#N/A,TRUE,"Invest Consolidado"}</definedName>
    <definedName name="wrn.Cons." localSheetId="0">{"EconCons",#N/A,TRUE,"Econômico - Consolidado";"CaixaCons",#N/A,TRUE,"Caixa - Consolidado";"InvestCons",#N/A,TRUE,"Invest Consolidado"}</definedName>
    <definedName name="wrn.Cons." localSheetId="11" hidden="1">{"EconCons",#N/A,TRUE,"Econômico - Consolidado";"CaixaCons",#N/A,TRUE,"Caixa - Consolidado";"InvestCons",#N/A,TRUE,"Invest Consolidado"}</definedName>
    <definedName name="wrn.Cons." localSheetId="12" hidden="1">{"EconCons",#N/A,TRUE,"Econômico - Consolidado";"CaixaCons",#N/A,TRUE,"Caixa - Consolidado";"InvestCons",#N/A,TRUE,"Invest Consolidado"}</definedName>
    <definedName name="wrn.Cons." hidden="1">{"EconCons",#N/A,TRUE,"Econômico - Consolidado";"CaixaCons",#N/A,TRUE,"Caixa - Consolidado";"InvestCons",#N/A,TRUE,"Invest Consolidado"}</definedName>
    <definedName name="wrn.Consolidado." localSheetId="3" hidden="1">{"Econ Consolidado",#N/A,FALSE,"Econ Consol";"Fluxo de Caixa",#N/A,FALSE,"Fluxo Caixa";"Investimentos",#N/A,FALSE,"Investimentos"}</definedName>
    <definedName name="wrn.Consolidado." localSheetId="8">{"Econ Consolidado",#N/A,FALSE,"Econ Consol";"Fluxo de Caixa",#N/A,FALSE,"Fluxo Caixa";"Investimentos",#N/A,FALSE,"Investimentos"}</definedName>
    <definedName name="wrn.Consolidado." localSheetId="5" hidden="1">{"Econ Consolidado",#N/A,FALSE,"Econ Consol";"Fluxo de Caixa",#N/A,FALSE,"Fluxo Caixa";"Investimentos",#N/A,FALSE,"Investimentos"}</definedName>
    <definedName name="wrn.Consolidado." localSheetId="4" hidden="1">{"Econ Consolidado",#N/A,FALSE,"Econ Consol";"Fluxo de Caixa",#N/A,FALSE,"Fluxo Caixa";"Investimentos",#N/A,FALSE,"Investimentos"}</definedName>
    <definedName name="wrn.Consolidado." localSheetId="9">{"Econ Consolidado",#N/A,FALSE,"Econ Consol";"Fluxo de Caixa",#N/A,FALSE,"Fluxo Caixa";"Investimentos",#N/A,FALSE,"Investimentos"}</definedName>
    <definedName name="wrn.Consolidado." localSheetId="10" hidden="1">{"Econ Consolidado",#N/A,FALSE,"Econ Consol";"Fluxo de Caixa",#N/A,FALSE,"Fluxo Caixa";"Investimentos",#N/A,FALSE,"Investimentos"}</definedName>
    <definedName name="wrn.Consolidado." localSheetId="1" hidden="1">{"Econ Consolidado",#N/A,FALSE,"Econ Consol";"Fluxo de Caixa",#N/A,FALSE,"Fluxo Caixa";"Investimentos",#N/A,FALSE,"Investimentos"}</definedName>
    <definedName name="wrn.Consolidado." localSheetId="0">{"Econ Consolidado",#N/A,FALSE,"Econ Consol";"Fluxo de Caixa",#N/A,FALSE,"Fluxo Caixa";"Investimentos",#N/A,FALSE,"Investimentos"}</definedName>
    <definedName name="wrn.Consolidado." localSheetId="11" hidden="1">{"Econ Consolidado",#N/A,FALSE,"Econ Consol";"Fluxo de Caixa",#N/A,FALSE,"Fluxo Caixa";"Investimentos",#N/A,FALSE,"Investimentos"}</definedName>
    <definedName name="wrn.Consolidado." localSheetId="12" hidden="1">{"Econ Consolidado",#N/A,FALSE,"Econ Consol";"Fluxo de Caixa",#N/A,FALSE,"Fluxo Caixa";"Investimentos",#N/A,FALSE,"Investimentos"}</definedName>
    <definedName name="wrn.Consolidado." hidden="1">{"Econ Consolidado",#N/A,FALSE,"Econ Consol";"Fluxo de Caixa",#N/A,FALSE,"Fluxo Caixa";"Investimentos",#N/A,FALSE,"Investimentos"}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8">{#N/A,#N/A,FALSE,"ET-CAPA";#N/A,#N/A,FALSE,"ET-PAG1";#N/A,#N/A,FALSE,"ET-PAG2";#N/A,#N/A,FALSE,"ET-PAG3";#N/A,#N/A,FALSE,"ET-PAG4";#N/A,#N/A,FALSE,"ET-PAG5"}</definedName>
    <definedName name="wrn.GERAL." localSheetId="5" hidden="1">{#N/A,#N/A,FALSE,"ET-CAPA";#N/A,#N/A,FALSE,"ET-PAG1";#N/A,#N/A,FALSE,"ET-PAG2";#N/A,#N/A,FALSE,"ET-PAG3";#N/A,#N/A,FALSE,"ET-PAG4";#N/A,#N/A,FALSE,"ET-PAG5"}</definedName>
    <definedName name="wrn.GERAL." localSheetId="4">{#N/A,#N/A,FALSE,"ET-CAPA";#N/A,#N/A,FALSE,"ET-PAG1";#N/A,#N/A,FALSE,"ET-PAG2";#N/A,#N/A,FALSE,"ET-PAG3";#N/A,#N/A,FALSE,"ET-PAG4";#N/A,#N/A,FALSE,"ET-PAG5"}</definedName>
    <definedName name="wrn.GERAL." localSheetId="9">{#N/A,#N/A,FALSE,"ET-CAPA";#N/A,#N/A,FALSE,"ET-PAG1";#N/A,#N/A,FALSE,"ET-PAG2";#N/A,#N/A,FALSE,"ET-PAG3";#N/A,#N/A,FALSE,"ET-PAG4";#N/A,#N/A,FALSE,"ET-PAG5"}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 localSheetId="11" hidden="1">{#N/A,#N/A,FALSE,"ET-CAPA";#N/A,#N/A,FALSE,"ET-PAG1";#N/A,#N/A,FALSE,"ET-PAG2";#N/A,#N/A,FALSE,"ET-PAG3";#N/A,#N/A,FALSE,"ET-PAG4";#N/A,#N/A,FALSE,"ET-PAG5"}</definedName>
    <definedName name="wrn.GERAL." localSheetId="12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wrn.HAGE." localSheetId="3" hidden="1">{#N/A,#N/A,FALSE,"cdi";#N/A,#N/A,FALSE,"debent";#N/A,#N/A,FALSE,"fdos";#N/A,#N/A,FALSE,"resumo"}</definedName>
    <definedName name="wrn.HAGE." localSheetId="8">{#N/A,#N/A,FALSE,"cdi";#N/A,#N/A,FALSE,"debent";#N/A,#N/A,FALSE,"fdos";#N/A,#N/A,FALSE,"resumo"}</definedName>
    <definedName name="wrn.HAGE." localSheetId="5" hidden="1">{#N/A,#N/A,FALSE,"cdi";#N/A,#N/A,FALSE,"debent";#N/A,#N/A,FALSE,"fdos";#N/A,#N/A,FALSE,"resumo"}</definedName>
    <definedName name="wrn.HAGE." localSheetId="4" hidden="1">{#N/A,#N/A,FALSE,"cdi";#N/A,#N/A,FALSE,"debent";#N/A,#N/A,FALSE,"fdos";#N/A,#N/A,FALSE,"resumo"}</definedName>
    <definedName name="wrn.HAGE." localSheetId="9">{#N/A,#N/A,FALSE,"cdi";#N/A,#N/A,FALSE,"debent";#N/A,#N/A,FALSE,"fdos";#N/A,#N/A,FALSE,"resumo"}</definedName>
    <definedName name="wrn.HAGE." localSheetId="10" hidden="1">{#N/A,#N/A,FALSE,"cdi";#N/A,#N/A,FALSE,"debent";#N/A,#N/A,FALSE,"fdos";#N/A,#N/A,FALSE,"resumo"}</definedName>
    <definedName name="wrn.HAGE." localSheetId="1" hidden="1">{#N/A,#N/A,FALSE,"cdi";#N/A,#N/A,FALSE,"debent";#N/A,#N/A,FALSE,"fdos";#N/A,#N/A,FALSE,"resumo"}</definedName>
    <definedName name="wrn.HAGE." localSheetId="0">{#N/A,#N/A,FALSE,"cdi";#N/A,#N/A,FALSE,"debent";#N/A,#N/A,FALSE,"fdos";#N/A,#N/A,FALSE,"resumo"}</definedName>
    <definedName name="wrn.HAGE." localSheetId="11" hidden="1">{#N/A,#N/A,FALSE,"cdi";#N/A,#N/A,FALSE,"debent";#N/A,#N/A,FALSE,"fdos";#N/A,#N/A,FALSE,"resumo"}</definedName>
    <definedName name="wrn.HAGE." localSheetId="12" hidden="1">{#N/A,#N/A,FALSE,"cdi";#N/A,#N/A,FALSE,"debent";#N/A,#N/A,FALSE,"fdos";#N/A,#N/A,FALSE,"resumo"}</definedName>
    <definedName name="wrn.HAGE." hidden="1">{#N/A,#N/A,FALSE,"cdi";#N/A,#N/A,FALSE,"debent";#N/A,#N/A,FALSE,"fdos";#N/A,#N/A,FALSE,"resumo"}</definedName>
    <definedName name="wrn.HAGE01" localSheetId="3" hidden="1">{#N/A,#N/A,FALSE,"cdi";#N/A,#N/A,FALSE,"debent";#N/A,#N/A,FALSE,"fdos";#N/A,#N/A,FALSE,"resumo"}</definedName>
    <definedName name="wrn.HAGE01" localSheetId="8">{#N/A,#N/A,FALSE,"cdi";#N/A,#N/A,FALSE,"debent";#N/A,#N/A,FALSE,"fdos";#N/A,#N/A,FALSE,"resumo"}</definedName>
    <definedName name="wrn.HAGE01" localSheetId="5" hidden="1">{#N/A,#N/A,FALSE,"cdi";#N/A,#N/A,FALSE,"debent";#N/A,#N/A,FALSE,"fdos";#N/A,#N/A,FALSE,"resumo"}</definedName>
    <definedName name="wrn.HAGE01" localSheetId="4" hidden="1">{#N/A,#N/A,FALSE,"cdi";#N/A,#N/A,FALSE,"debent";#N/A,#N/A,FALSE,"fdos";#N/A,#N/A,FALSE,"resumo"}</definedName>
    <definedName name="wrn.HAGE01" localSheetId="9">{#N/A,#N/A,FALSE,"cdi";#N/A,#N/A,FALSE,"debent";#N/A,#N/A,FALSE,"fdos";#N/A,#N/A,FALSE,"resumo"}</definedName>
    <definedName name="wrn.HAGE01" localSheetId="10" hidden="1">{#N/A,#N/A,FALSE,"cdi";#N/A,#N/A,FALSE,"debent";#N/A,#N/A,FALSE,"fdos";#N/A,#N/A,FALSE,"resumo"}</definedName>
    <definedName name="wrn.HAGE01" localSheetId="1" hidden="1">{#N/A,#N/A,FALSE,"cdi";#N/A,#N/A,FALSE,"debent";#N/A,#N/A,FALSE,"fdos";#N/A,#N/A,FALSE,"resumo"}</definedName>
    <definedName name="wrn.HAGE01" localSheetId="0">{#N/A,#N/A,FALSE,"cdi";#N/A,#N/A,FALSE,"debent";#N/A,#N/A,FALSE,"fdos";#N/A,#N/A,FALSE,"resumo"}</definedName>
    <definedName name="wrn.HAGE01" localSheetId="11" hidden="1">{#N/A,#N/A,FALSE,"cdi";#N/A,#N/A,FALSE,"debent";#N/A,#N/A,FALSE,"fdos";#N/A,#N/A,FALSE,"resumo"}</definedName>
    <definedName name="wrn.HAGE01" localSheetId="12" hidden="1">{#N/A,#N/A,FALSE,"cdi";#N/A,#N/A,FALSE,"debent";#N/A,#N/A,FALSE,"fdos";#N/A,#N/A,FALSE,"resumo"}</definedName>
    <definedName name="wrn.HAGE01" hidden="1">{#N/A,#N/A,FALSE,"cdi";#N/A,#N/A,FALSE,"debent";#N/A,#N/A,FALSE,"fdos";#N/A,#N/A,FALSE,"resumo"}</definedName>
    <definedName name="wrn.HW." localSheetId="3" hidden="1">{"HW",#N/A,FALSE,"1998"}</definedName>
    <definedName name="wrn.HW." localSheetId="8">{"HW",#N/A,FALSE,"1998"}</definedName>
    <definedName name="wrn.HW." localSheetId="5" hidden="1">{"HW",#N/A,FALSE,"1998"}</definedName>
    <definedName name="wrn.HW." localSheetId="4" hidden="1">{"HW",#N/A,FALSE,"1998"}</definedName>
    <definedName name="wrn.HW." localSheetId="9">{"HW",#N/A,FALSE,"1998"}</definedName>
    <definedName name="wrn.HW." localSheetId="10" hidden="1">{"HW",#N/A,FALSE,"1998"}</definedName>
    <definedName name="wrn.HW." localSheetId="1" hidden="1">{"HW",#N/A,FALSE,"1998"}</definedName>
    <definedName name="wrn.HW." localSheetId="0">{"HW",#N/A,FALSE,"1998"}</definedName>
    <definedName name="wrn.HW." localSheetId="11" hidden="1">{"HW",#N/A,FALSE,"1998"}</definedName>
    <definedName name="wrn.HW." localSheetId="12" hidden="1">{"HW",#N/A,FALSE,"1998"}</definedName>
    <definedName name="wrn.HW." hidden="1">{"HW",#N/A,FALSE,"1998"}</definedName>
    <definedName name="wrn.imp_flx." localSheetId="3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8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5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4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9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0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0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1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localSheetId="12" hidden="1">{#N/A,#N/A,FALSE,"CONSOLID";#N/A,#N/A,FALSE,"CIMENTO";#N/A,#N/A,FALSE,"METALURGIA";#N/A,#N/A,FALSE,"PAPEL";#N/A,#N/A,FALSE,"QUÍMICA";#N/A,#N/A,FALSE,"AGROINDL";#N/A,#N/A,FALSE,"OUTROS";#N/A,#N/A,FALSE,"REAL_ORCADO"}</definedName>
    <definedName name="wrn.imp_flx." hidden="1">{#N/A,#N/A,FALSE,"CONSOLID";#N/A,#N/A,FALSE,"CIMENTO";#N/A,#N/A,FALSE,"METALURGIA";#N/A,#N/A,FALSE,"PAPEL";#N/A,#N/A,FALSE,"QUÍMICA";#N/A,#N/A,FALSE,"AGROINDL";#N/A,#N/A,FALSE,"OUTROS";#N/A,#N/A,FALSE,"REAL_ORCADO"}</definedName>
    <definedName name="wrn.IMPRESSO." localSheetId="3" hidden="1">{#N/A,#N/A,FALSE,"Plan1";#N/A,#N/A,FALSE,"Plan2"}</definedName>
    <definedName name="wrn.IMPRESSO." localSheetId="8">{#N/A,#N/A,FALSE,"Plan1";#N/A,#N/A,FALSE,"Plan2"}</definedName>
    <definedName name="wrn.IMPRESSO." localSheetId="5" hidden="1">{#N/A,#N/A,FALSE,"Plan1";#N/A,#N/A,FALSE,"Plan2"}</definedName>
    <definedName name="wrn.IMPRESSO." localSheetId="4" hidden="1">{#N/A,#N/A,FALSE,"Plan1";#N/A,#N/A,FALSE,"Plan2"}</definedName>
    <definedName name="wrn.IMPRESSO." localSheetId="9">{#N/A,#N/A,FALSE,"Plan1";#N/A,#N/A,FALSE,"Plan2"}</definedName>
    <definedName name="wrn.IMPRESSO." localSheetId="10" hidden="1">{#N/A,#N/A,FALSE,"Plan1";#N/A,#N/A,FALSE,"Plan2"}</definedName>
    <definedName name="wrn.IMPRESSO." localSheetId="1" hidden="1">{#N/A,#N/A,FALSE,"Plan1";#N/A,#N/A,FALSE,"Plan2"}</definedName>
    <definedName name="wrn.IMPRESSO." localSheetId="0">{#N/A,#N/A,FALSE,"Plan1";#N/A,#N/A,FALSE,"Plan2"}</definedName>
    <definedName name="wrn.IMPRESSO." localSheetId="11" hidden="1">{#N/A,#N/A,FALSE,"Plan1";#N/A,#N/A,FALSE,"Plan2"}</definedName>
    <definedName name="wrn.IMPRESSO." localSheetId="12" hidden="1">{#N/A,#N/A,FALSE,"Plan1";#N/A,#N/A,FALSE,"Plan2"}</definedName>
    <definedName name="wrn.IMPRESSO." hidden="1">{#N/A,#N/A,FALSE,"Plan1";#N/A,#N/A,FALSE,"Plan2"}</definedName>
    <definedName name="wrn.Imprimir." localSheetId="3" hidden="1">{"tabela",#N/A,FALSE,"Tabela";"decoração",#N/A,FALSE,"Decor.";"Informações",#N/A,FALSE,"Inform."}</definedName>
    <definedName name="wrn.Imprimir." localSheetId="8">{"tabela",#N/A,FALSE,"Tabela";"decoração",#N/A,FALSE,"Decor.";"Informações",#N/A,FALSE,"Inform."}</definedName>
    <definedName name="wrn.Imprimir." localSheetId="5" hidden="1">{"tabela",#N/A,FALSE,"Tabela";"decoração",#N/A,FALSE,"Decor.";"Informações",#N/A,FALSE,"Inform."}</definedName>
    <definedName name="wrn.Imprimir." localSheetId="4" hidden="1">{"tabela",#N/A,FALSE,"Tabela";"decoração",#N/A,FALSE,"Decor.";"Informações",#N/A,FALSE,"Inform."}</definedName>
    <definedName name="wrn.Imprimir." localSheetId="9">{"tabela",#N/A,FALSE,"Tabela";"decoração",#N/A,FALSE,"Decor.";"Informações",#N/A,FALSE,"Inform."}</definedName>
    <definedName name="wrn.Imprimir." localSheetId="10" hidden="1">{"tabela",#N/A,FALSE,"Tabela";"decoração",#N/A,FALSE,"Decor.";"Informações",#N/A,FALSE,"Inform."}</definedName>
    <definedName name="wrn.Imprimir." localSheetId="1" hidden="1">{"tabela",#N/A,FALSE,"Tabela";"decoração",#N/A,FALSE,"Decor.";"Informações",#N/A,FALSE,"Inform."}</definedName>
    <definedName name="wrn.Imprimir." localSheetId="0">{"tabela",#N/A,FALSE,"Tabela";"decoração",#N/A,FALSE,"Decor.";"Informações",#N/A,FALSE,"Inform."}</definedName>
    <definedName name="wrn.Imprimir." localSheetId="11" hidden="1">{"tabela",#N/A,FALSE,"Tabela";"decoração",#N/A,FALSE,"Decor.";"Informações",#N/A,FALSE,"Inform."}</definedName>
    <definedName name="wrn.Imprimir." localSheetId="12" hidden="1">{"tabela",#N/A,FALSE,"Tabela";"decoração",#N/A,FALSE,"Decor.";"Informações",#N/A,FALSE,"Inform."}</definedName>
    <definedName name="wrn.Imprimir." hidden="1">{"tabela",#N/A,FALSE,"Tabela";"decoração",#N/A,FALSE,"Decor.";"Informações",#N/A,FALSE,"Inform."}</definedName>
    <definedName name="wrn.LPU._.MG." localSheetId="3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8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5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4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9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0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1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localSheetId="12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GM機器リスト." localSheetId="3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8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5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4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9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0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0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1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localSheetId="12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GM機器リスト." hidden="1">{#N/A,#N/A,TRUE,"表紙";#N/A,#N/A,TRUE,"DMC合成";#N/A,#N/A,TRUE,"DMC回収･精製";#N/A,#N/A,TRUE,"MPC工程";#N/A,#N/A,TRUE,"DPC工程";#N/A,#N/A,TRUE,"ANI工程";#N/A,#N/A,TRUE,"PHOｰ触媒工程";#N/A,#N/A,TRUE,"用役"}</definedName>
    <definedName name="wrn.mode_lev.xls." localSheetId="3" hidden="1">{#N/A,#N/A,FALSE,"ALVENARIA";#N/A,#N/A,FALSE,"BLOCOS";#N/A,#N/A,FALSE,"CINTAS";#N/A,#N/A,FALSE,"CORTINA";#N/A,#N/A,FALSE,"LAJES";#N/A,#N/A,FALSE,"PILARES";#N/A,#N/A,FALSE,"VIGAS"}</definedName>
    <definedName name="wrn.mode_lev.xls." localSheetId="8">{#N/A,#N/A,FALSE,"ALVENARIA";#N/A,#N/A,FALSE,"BLOCOS";#N/A,#N/A,FALSE,"CINTAS";#N/A,#N/A,FALSE,"CORTINA";#N/A,#N/A,FALSE,"LAJES";#N/A,#N/A,FALSE,"PILARES";#N/A,#N/A,FALSE,"VIGAS"}</definedName>
    <definedName name="wrn.mode_lev.xls." localSheetId="4" hidden="1">{#N/A,#N/A,FALSE,"ALVENARIA";#N/A,#N/A,FALSE,"BLOCOS";#N/A,#N/A,FALSE,"CINTAS";#N/A,#N/A,FALSE,"CORTINA";#N/A,#N/A,FALSE,"LAJES";#N/A,#N/A,FALSE,"PILARES";#N/A,#N/A,FALSE,"VIGAS"}</definedName>
    <definedName name="wrn.mode_lev.xls." localSheetId="10" hidden="1">{#N/A,#N/A,FALSE,"ALVENARIA";#N/A,#N/A,FALSE,"BLOCOS";#N/A,#N/A,FALSE,"CINTAS";#N/A,#N/A,FALSE,"CORTINA";#N/A,#N/A,FALSE,"LAJES";#N/A,#N/A,FALSE,"PILARES";#N/A,#N/A,FALSE,"VIGAS"}</definedName>
    <definedName name="wrn.mode_lev.xls." localSheetId="11" hidden="1">{#N/A,#N/A,FALSE,"ALVENARIA";#N/A,#N/A,FALSE,"BLOCOS";#N/A,#N/A,FALSE,"CINTAS";#N/A,#N/A,FALSE,"CORTINA";#N/A,#N/A,FALSE,"LAJES";#N/A,#N/A,FALSE,"PILARES";#N/A,#N/A,FALSE,"VIGAS"}</definedName>
    <definedName name="wrn.mode_lev.xls." localSheetId="12" hidden="1">{#N/A,#N/A,FALSE,"ALVENARIA";#N/A,#N/A,FALSE,"BLOCOS";#N/A,#N/A,FALSE,"CINTAS";#N/A,#N/A,FALSE,"CORTINA";#N/A,#N/A,FALSE,"LAJES";#N/A,#N/A,FALSE,"PILARES";#N/A,#N/A,FALSE,"VIGAS"}</definedName>
    <definedName name="wrn.mode_lev.xls." hidden="1">{#N/A,#N/A,FALSE,"ALVENARIA";#N/A,#N/A,FALSE,"BLOCOS";#N/A,#N/A,FALSE,"CINTAS";#N/A,#N/A,FALSE,"CORTINA";#N/A,#N/A,FALSE,"LAJES";#N/A,#N/A,FALSE,"PILARES";#N/A,#N/A,FALSE,"VIGAS"}</definedName>
    <definedName name="wrn.Month._.Report._.Package." localSheetId="3" hidden="1">{#N/A,#N/A,FALSE,"Global Wls Trend";#N/A,#N/A,FALSE,"Region Trend";#N/A,#N/A,FALSE,"PBU Trend"}</definedName>
    <definedName name="wrn.Month._.Report._.Package." localSheetId="8">{#N/A,#N/A,FALSE,"Global Wls Trend";#N/A,#N/A,FALSE,"Region Trend";#N/A,#N/A,FALSE,"PBU Trend"}</definedName>
    <definedName name="wrn.Month._.Report._.Package." localSheetId="5" hidden="1">{#N/A,#N/A,FALSE,"Global Wls Trend";#N/A,#N/A,FALSE,"Region Trend";#N/A,#N/A,FALSE,"PBU Trend"}</definedName>
    <definedName name="wrn.Month._.Report._.Package." localSheetId="4" hidden="1">{#N/A,#N/A,FALSE,"Global Wls Trend";#N/A,#N/A,FALSE,"Region Trend";#N/A,#N/A,FALSE,"PBU Trend"}</definedName>
    <definedName name="wrn.Month._.Report._.Package." localSheetId="9">{#N/A,#N/A,FALSE,"Global Wls Trend";#N/A,#N/A,FALSE,"Region Trend";#N/A,#N/A,FALSE,"PBU Trend"}</definedName>
    <definedName name="wrn.Month._.Report._.Package." localSheetId="10" hidden="1">{#N/A,#N/A,FALSE,"Global Wls Trend";#N/A,#N/A,FALSE,"Region Trend";#N/A,#N/A,FALSE,"PBU Trend"}</definedName>
    <definedName name="wrn.Month._.Report._.Package." localSheetId="1" hidden="1">{#N/A,#N/A,FALSE,"Global Wls Trend";#N/A,#N/A,FALSE,"Region Trend";#N/A,#N/A,FALSE,"PBU Trend"}</definedName>
    <definedName name="wrn.Month._.Report._.Package." localSheetId="0">{#N/A,#N/A,FALSE,"Global Wls Trend";#N/A,#N/A,FALSE,"Region Trend";#N/A,#N/A,FALSE,"PBU Trend"}</definedName>
    <definedName name="wrn.Month._.Report._.Package." localSheetId="11" hidden="1">{#N/A,#N/A,FALSE,"Global Wls Trend";#N/A,#N/A,FALSE,"Region Trend";#N/A,#N/A,FALSE,"PBU Trend"}</definedName>
    <definedName name="wrn.Month._.Report._.Package." localSheetId="12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3" hidden="1">{#N/A,#N/A,FALSE,"Global by BU";#N/A,#N/A,FALSE,"U.S. by BU";#N/A,#N/A,FALSE,"Canada by BU";#N/A,#N/A,FALSE,"Europe by BU";#N/A,#N/A,FALSE,"Asia by BU";#N/A,#N/A,FALSE,"Cala by BU"}</definedName>
    <definedName name="wrn.Monthly._.Report._.Package." localSheetId="8">{#N/A,#N/A,FALSE,"Global by BU";#N/A,#N/A,FALSE,"U.S. by BU";#N/A,#N/A,FALSE,"Canada by BU";#N/A,#N/A,FALSE,"Europe by BU";#N/A,#N/A,FALSE,"Asia by BU";#N/A,#N/A,FALSE,"Cala by BU"}</definedName>
    <definedName name="wrn.Monthly._.Report._.Package." localSheetId="5" hidden="1">{#N/A,#N/A,FALSE,"Global by BU";#N/A,#N/A,FALSE,"U.S. by BU";#N/A,#N/A,FALSE,"Canada by BU";#N/A,#N/A,FALSE,"Europe by BU";#N/A,#N/A,FALSE,"Asia by BU";#N/A,#N/A,FALSE,"Cala by BU"}</definedName>
    <definedName name="wrn.Monthly._.Report._.Package." localSheetId="4" hidden="1">{#N/A,#N/A,FALSE,"Global by BU";#N/A,#N/A,FALSE,"U.S. by BU";#N/A,#N/A,FALSE,"Canada by BU";#N/A,#N/A,FALSE,"Europe by BU";#N/A,#N/A,FALSE,"Asia by BU";#N/A,#N/A,FALSE,"Cala by BU"}</definedName>
    <definedName name="wrn.Monthly._.Report._.Package." localSheetId="9">{#N/A,#N/A,FALSE,"Global by BU";#N/A,#N/A,FALSE,"U.S. by BU";#N/A,#N/A,FALSE,"Canada by BU";#N/A,#N/A,FALSE,"Europe by BU";#N/A,#N/A,FALSE,"Asia by BU";#N/A,#N/A,FALSE,"Cala by BU"}</definedName>
    <definedName name="wrn.Monthly._.Report._.Package." localSheetId="10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0">{#N/A,#N/A,FALSE,"Global by BU";#N/A,#N/A,FALSE,"U.S. by BU";#N/A,#N/A,FALSE,"Canada by BU";#N/A,#N/A,FALSE,"Europe by BU";#N/A,#N/A,FALSE,"Asia by BU";#N/A,#N/A,FALSE,"Cala by BU"}</definedName>
    <definedName name="wrn.Monthly._.Report._.Package." localSheetId="11" hidden="1">{#N/A,#N/A,FALSE,"Global by BU";#N/A,#N/A,FALSE,"U.S. by BU";#N/A,#N/A,FALSE,"Canada by BU";#N/A,#N/A,FALSE,"Europe by BU";#N/A,#N/A,FALSE,"Asia by BU";#N/A,#N/A,FALSE,"Cala by BU"}</definedName>
    <definedName name="wrn.Monthly._.Report._.Package." localSheetId="12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PENDENCIAS.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laniha._.de._.Medição._.F._.01." localSheetId="3" hidden="1">{#N/A,#N/A,FALSE,"F-01"}</definedName>
    <definedName name="wrn.Planiha._.de._.Medição._.F._.01." localSheetId="8">{#N/A,#N/A,FALSE,"F-01"}</definedName>
    <definedName name="wrn.Planiha._.de._.Medição._.F._.01." localSheetId="5" hidden="1">{#N/A,#N/A,FALSE,"F-01"}</definedName>
    <definedName name="wrn.Planiha._.de._.Medição._.F._.01." localSheetId="4" hidden="1">{#N/A,#N/A,FALSE,"F-01"}</definedName>
    <definedName name="wrn.Planiha._.de._.Medição._.F._.01." localSheetId="9">{#N/A,#N/A,FALSE,"F-01"}</definedName>
    <definedName name="wrn.Planiha._.de._.Medição._.F._.01." localSheetId="10" hidden="1">{#N/A,#N/A,FALSE,"F-01"}</definedName>
    <definedName name="wrn.Planiha._.de._.Medição._.F._.01." localSheetId="1" hidden="1">{#N/A,#N/A,FALSE,"F-01"}</definedName>
    <definedName name="wrn.Planiha._.de._.Medição._.F._.01." localSheetId="0">{#N/A,#N/A,FALSE,"F-01"}</definedName>
    <definedName name="wrn.Planiha._.de._.Medição._.F._.01." localSheetId="11" hidden="1">{#N/A,#N/A,FALSE,"F-01"}</definedName>
    <definedName name="wrn.Planiha._.de._.Medição._.F._.01." localSheetId="12" hidden="1">{#N/A,#N/A,FALSE,"F-01"}</definedName>
    <definedName name="wrn.Planiha._.de._.Medição._.F._.01." hidden="1">{#N/A,#N/A,FALSE,"F-01"}</definedName>
    <definedName name="wrn.Planiha._.de._.Medição._.F._.01._1" localSheetId="3" hidden="1">{#N/A,#N/A,FALSE,"F-01"}</definedName>
    <definedName name="wrn.Planiha._.de._.Medição._.F._.01._1" localSheetId="8">{#N/A,#N/A,FALSE,"F-01"}</definedName>
    <definedName name="wrn.Planiha._.de._.Medição._.F._.01._1" localSheetId="5" hidden="1">{#N/A,#N/A,FALSE,"F-01"}</definedName>
    <definedName name="wrn.Planiha._.de._.Medição._.F._.01._1" localSheetId="4" hidden="1">{#N/A,#N/A,FALSE,"F-01"}</definedName>
    <definedName name="wrn.Planiha._.de._.Medição._.F._.01._1" localSheetId="9">{#N/A,#N/A,FALSE,"F-01"}</definedName>
    <definedName name="wrn.Planiha._.de._.Medição._.F._.01._1" localSheetId="10" hidden="1">{#N/A,#N/A,FALSE,"F-01"}</definedName>
    <definedName name="wrn.Planiha._.de._.Medição._.F._.01._1" localSheetId="1" hidden="1">{#N/A,#N/A,FALSE,"F-01"}</definedName>
    <definedName name="wrn.Planiha._.de._.Medição._.F._.01._1" localSheetId="0">{#N/A,#N/A,FALSE,"F-01"}</definedName>
    <definedName name="wrn.Planiha._.de._.Medição._.F._.01._1" localSheetId="11" hidden="1">{#N/A,#N/A,FALSE,"F-01"}</definedName>
    <definedName name="wrn.Planiha._.de._.Medição._.F._.01._1" localSheetId="12" hidden="1">{#N/A,#N/A,FALSE,"F-01"}</definedName>
    <definedName name="wrn.Planiha._.de._.Medição._.F._.01._1" hidden="1">{#N/A,#N/A,FALSE,"F-01"}</definedName>
    <definedName name="wrn.Planilha_de_Medição_F_02" localSheetId="3" hidden="1">{#N/A,#N/A,FALSE,"F-01"}</definedName>
    <definedName name="wrn.Planilha_de_Medição_F_02" localSheetId="8">{#N/A,#N/A,FALSE,"F-01"}</definedName>
    <definedName name="wrn.Planilha_de_Medição_F_02" localSheetId="5" hidden="1">{#N/A,#N/A,FALSE,"F-01"}</definedName>
    <definedName name="wrn.Planilha_de_Medição_F_02" localSheetId="4" hidden="1">{#N/A,#N/A,FALSE,"F-01"}</definedName>
    <definedName name="wrn.Planilha_de_Medição_F_02" localSheetId="9">{#N/A,#N/A,FALSE,"F-01"}</definedName>
    <definedName name="wrn.Planilha_de_Medição_F_02" localSheetId="10" hidden="1">{#N/A,#N/A,FALSE,"F-01"}</definedName>
    <definedName name="wrn.Planilha_de_Medição_F_02" localSheetId="1" hidden="1">{#N/A,#N/A,FALSE,"F-01"}</definedName>
    <definedName name="wrn.Planilha_de_Medição_F_02" localSheetId="0">{#N/A,#N/A,FALSE,"F-01"}</definedName>
    <definedName name="wrn.Planilha_de_Medição_F_02" localSheetId="11" hidden="1">{#N/A,#N/A,FALSE,"F-01"}</definedName>
    <definedName name="wrn.Planilha_de_Medição_F_02" localSheetId="12" hidden="1">{#N/A,#N/A,FALSE,"F-01"}</definedName>
    <definedName name="wrn.Planilha_de_Medição_F_02" hidden="1">{#N/A,#N/A,FALSE,"F-01"}</definedName>
    <definedName name="wrn.print._.all." localSheetId="3" hidden="1">{#N/A,#N/A,FALSE,"$170M Cash";#N/A,#N/A,FALSE,"$250M Cash";#N/A,#N/A,FALSE,"$325M Cash"}</definedName>
    <definedName name="wrn.print._.all." localSheetId="8">{#N/A,#N/A,FALSE,"$170M Cash";#N/A,#N/A,FALSE,"$250M Cash";#N/A,#N/A,FALSE,"$325M Cash"}</definedName>
    <definedName name="wrn.print._.all." localSheetId="5" hidden="1">{#N/A,#N/A,FALSE,"$170M Cash";#N/A,#N/A,FALSE,"$250M Cash";#N/A,#N/A,FALSE,"$325M Cash"}</definedName>
    <definedName name="wrn.print._.all." localSheetId="4" hidden="1">{#N/A,#N/A,FALSE,"$170M Cash";#N/A,#N/A,FALSE,"$250M Cash";#N/A,#N/A,FALSE,"$325M Cash"}</definedName>
    <definedName name="wrn.print._.all." localSheetId="9">{#N/A,#N/A,FALSE,"$170M Cash";#N/A,#N/A,FALSE,"$250M Cash";#N/A,#N/A,FALSE,"$325M Cash"}</definedName>
    <definedName name="wrn.print._.all." localSheetId="10" hidden="1">{#N/A,#N/A,FALSE,"$170M Cash";#N/A,#N/A,FALSE,"$250M Cash";#N/A,#N/A,FALSE,"$325M Cash"}</definedName>
    <definedName name="wrn.print._.all." localSheetId="1" hidden="1">{#N/A,#N/A,FALSE,"$170M Cash";#N/A,#N/A,FALSE,"$250M Cash";#N/A,#N/A,FALSE,"$325M Cash"}</definedName>
    <definedName name="wrn.print._.all." localSheetId="0">{#N/A,#N/A,FALSE,"$170M Cash";#N/A,#N/A,FALSE,"$250M Cash";#N/A,#N/A,FALSE,"$325M Cash"}</definedName>
    <definedName name="wrn.print._.all." localSheetId="11" hidden="1">{#N/A,#N/A,FALSE,"$170M Cash";#N/A,#N/A,FALSE,"$250M Cash";#N/A,#N/A,FALSE,"$325M Cash"}</definedName>
    <definedName name="wrn.print._.all." localSheetId="12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PrintAll." localSheetId="3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8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5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4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9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0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0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1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localSheetId="12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All." hidden="1">{#N/A,#N/A,FALSE,"Sheet1";#N/A,#N/A,FALSE,"Sheet2";#N/A,#N/A,FALSE,"Sheet3";#N/A,#N/A,FALSE,"Sheet4";#N/A,#N/A,FALSE,"Sheet5";#N/A,#N/A,FALSE,"Sheet6";#N/A,#N/A,FALSE,"Sheet7";#N/A,#N/A,FALSE,"Sheet8";#N/A,#N/A,FALSE,"Sheet9"}</definedName>
    <definedName name="wrn.PrintCurr." localSheetId="3" hidden="1">{#N/A,#N/A,FALSE,"Sheet1";#N/A,#N/A,FALSE,"Sheet2";#N/A,#N/A,FALSE,"Sheet3"}</definedName>
    <definedName name="wrn.PrintCurr." localSheetId="8">{#N/A,#N/A,FALSE,"Sheet1";#N/A,#N/A,FALSE,"Sheet2";#N/A,#N/A,FALSE,"Sheet3"}</definedName>
    <definedName name="wrn.PrintCurr." localSheetId="5" hidden="1">{#N/A,#N/A,FALSE,"Sheet1";#N/A,#N/A,FALSE,"Sheet2";#N/A,#N/A,FALSE,"Sheet3"}</definedName>
    <definedName name="wrn.PrintCurr." localSheetId="4" hidden="1">{#N/A,#N/A,FALSE,"Sheet1";#N/A,#N/A,FALSE,"Sheet2";#N/A,#N/A,FALSE,"Sheet3"}</definedName>
    <definedName name="wrn.PrintCurr." localSheetId="9">{#N/A,#N/A,FALSE,"Sheet1";#N/A,#N/A,FALSE,"Sheet2";#N/A,#N/A,FALSE,"Sheet3"}</definedName>
    <definedName name="wrn.PrintCurr." localSheetId="10" hidden="1">{#N/A,#N/A,FALSE,"Sheet1";#N/A,#N/A,FALSE,"Sheet2";#N/A,#N/A,FALSE,"Sheet3"}</definedName>
    <definedName name="wrn.PrintCurr." localSheetId="1" hidden="1">{#N/A,#N/A,FALSE,"Sheet1";#N/A,#N/A,FALSE,"Sheet2";#N/A,#N/A,FALSE,"Sheet3"}</definedName>
    <definedName name="wrn.PrintCurr." localSheetId="0">{#N/A,#N/A,FALSE,"Sheet1";#N/A,#N/A,FALSE,"Sheet2";#N/A,#N/A,FALSE,"Sheet3"}</definedName>
    <definedName name="wrn.PrintCurr." localSheetId="11" hidden="1">{#N/A,#N/A,FALSE,"Sheet1";#N/A,#N/A,FALSE,"Sheet2";#N/A,#N/A,FALSE,"Sheet3"}</definedName>
    <definedName name="wrn.PrintCurr." localSheetId="12" hidden="1">{#N/A,#N/A,FALSE,"Sheet1";#N/A,#N/A,FALSE,"Sheet2";#N/A,#N/A,FALSE,"Sheet3"}</definedName>
    <definedName name="wrn.PrintCurr." hidden="1">{#N/A,#N/A,FALSE,"Sheet1";#N/A,#N/A,FALSE,"Sheet2";#N/A,#N/A,FALSE,"Sheet3"}</definedName>
    <definedName name="wrn.PrintPrev1." localSheetId="3" hidden="1">{#N/A,#N/A,FALSE,"Sheet4";#N/A,#N/A,FALSE,"Sheet5";#N/A,#N/A,FALSE,"Sheet6"}</definedName>
    <definedName name="wrn.PrintPrev1." localSheetId="8">{#N/A,#N/A,FALSE,"Sheet4";#N/A,#N/A,FALSE,"Sheet5";#N/A,#N/A,FALSE,"Sheet6"}</definedName>
    <definedName name="wrn.PrintPrev1." localSheetId="5" hidden="1">{#N/A,#N/A,FALSE,"Sheet4";#N/A,#N/A,FALSE,"Sheet5";#N/A,#N/A,FALSE,"Sheet6"}</definedName>
    <definedName name="wrn.PrintPrev1." localSheetId="4" hidden="1">{#N/A,#N/A,FALSE,"Sheet4";#N/A,#N/A,FALSE,"Sheet5";#N/A,#N/A,FALSE,"Sheet6"}</definedName>
    <definedName name="wrn.PrintPrev1." localSheetId="9">{#N/A,#N/A,FALSE,"Sheet4";#N/A,#N/A,FALSE,"Sheet5";#N/A,#N/A,FALSE,"Sheet6"}</definedName>
    <definedName name="wrn.PrintPrev1." localSheetId="10" hidden="1">{#N/A,#N/A,FALSE,"Sheet4";#N/A,#N/A,FALSE,"Sheet5";#N/A,#N/A,FALSE,"Sheet6"}</definedName>
    <definedName name="wrn.PrintPrev1." localSheetId="1" hidden="1">{#N/A,#N/A,FALSE,"Sheet4";#N/A,#N/A,FALSE,"Sheet5";#N/A,#N/A,FALSE,"Sheet6"}</definedName>
    <definedName name="wrn.PrintPrev1." localSheetId="0">{#N/A,#N/A,FALSE,"Sheet4";#N/A,#N/A,FALSE,"Sheet5";#N/A,#N/A,FALSE,"Sheet6"}</definedName>
    <definedName name="wrn.PrintPrev1." localSheetId="11" hidden="1">{#N/A,#N/A,FALSE,"Sheet4";#N/A,#N/A,FALSE,"Sheet5";#N/A,#N/A,FALSE,"Sheet6"}</definedName>
    <definedName name="wrn.PrintPrev1." localSheetId="12" hidden="1">{#N/A,#N/A,FALSE,"Sheet4";#N/A,#N/A,FALSE,"Sheet5";#N/A,#N/A,FALSE,"Sheet6"}</definedName>
    <definedName name="wrn.PrintPrev1." hidden="1">{#N/A,#N/A,FALSE,"Sheet4";#N/A,#N/A,FALSE,"Sheet5";#N/A,#N/A,FALSE,"Sheet6"}</definedName>
    <definedName name="wrn.PrintPrev2." localSheetId="3" hidden="1">{#N/A,#N/A,FALSE,"Sheet7";#N/A,#N/A,FALSE,"Sheet8";#N/A,#N/A,FALSE,"Sheet9"}</definedName>
    <definedName name="wrn.PrintPrev2." localSheetId="8">{#N/A,#N/A,FALSE,"Sheet7";#N/A,#N/A,FALSE,"Sheet8";#N/A,#N/A,FALSE,"Sheet9"}</definedName>
    <definedName name="wrn.PrintPrev2." localSheetId="5" hidden="1">{#N/A,#N/A,FALSE,"Sheet7";#N/A,#N/A,FALSE,"Sheet8";#N/A,#N/A,FALSE,"Sheet9"}</definedName>
    <definedName name="wrn.PrintPrev2." localSheetId="4" hidden="1">{#N/A,#N/A,FALSE,"Sheet7";#N/A,#N/A,FALSE,"Sheet8";#N/A,#N/A,FALSE,"Sheet9"}</definedName>
    <definedName name="wrn.PrintPrev2." localSheetId="9">{#N/A,#N/A,FALSE,"Sheet7";#N/A,#N/A,FALSE,"Sheet8";#N/A,#N/A,FALSE,"Sheet9"}</definedName>
    <definedName name="wrn.PrintPrev2." localSheetId="10" hidden="1">{#N/A,#N/A,FALSE,"Sheet7";#N/A,#N/A,FALSE,"Sheet8";#N/A,#N/A,FALSE,"Sheet9"}</definedName>
    <definedName name="wrn.PrintPrev2." localSheetId="1" hidden="1">{#N/A,#N/A,FALSE,"Sheet7";#N/A,#N/A,FALSE,"Sheet8";#N/A,#N/A,FALSE,"Sheet9"}</definedName>
    <definedName name="wrn.PrintPrev2." localSheetId="0">{#N/A,#N/A,FALSE,"Sheet7";#N/A,#N/A,FALSE,"Sheet8";#N/A,#N/A,FALSE,"Sheet9"}</definedName>
    <definedName name="wrn.PrintPrev2." localSheetId="11" hidden="1">{#N/A,#N/A,FALSE,"Sheet7";#N/A,#N/A,FALSE,"Sheet8";#N/A,#N/A,FALSE,"Sheet9"}</definedName>
    <definedName name="wrn.PrintPrev2." localSheetId="12" hidden="1">{#N/A,#N/A,FALSE,"Sheet7";#N/A,#N/A,FALSE,"Sheet8";#N/A,#N/A,FALSE,"Sheet9"}</definedName>
    <definedName name="wrn.PrintPrev2." hidden="1">{#N/A,#N/A,FALSE,"Sheet7";#N/A,#N/A,FALSE,"Sheet8";#N/A,#N/A,FALSE,"Sheet9"}</definedName>
    <definedName name="wrn.Quadros._.relatório.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5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9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0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Quadros._.relatório.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wrn.REPORT." localSheetId="3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8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5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4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9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0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0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1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localSheetId="12" hidden="1">{#N/A,#N/A,FALSE,"표지";#N/A,#N/A,FALSE,"목차";#N/A,#N/A,FALSE,"내용1";#N/A,#N/A,FALSE,"내용2";#N/A,#N/A,FALSE,"결론";#N/A,#N/A,FALSE,"첨부";#N/A,#N/A,FALSE,"진공도달시간";#N/A,#N/A,FALSE,"배가스속도"}</definedName>
    <definedName name="wrn.REPORT." hidden="1">{#N/A,#N/A,FALSE,"표지";#N/A,#N/A,FALSE,"목차";#N/A,#N/A,FALSE,"내용1";#N/A,#N/A,FALSE,"내용2";#N/A,#N/A,FALSE,"결론";#N/A,#N/A,FALSE,"첨부";#N/A,#N/A,FALSE,"진공도달시간";#N/A,#N/A,FALSE,"배가스속도"}</definedName>
    <definedName name="wrn.STAFFS." localSheetId="3" hidden="1">{#N/A,#N/A,FALSE,"TABLE"}</definedName>
    <definedName name="wrn.STAFFS." localSheetId="8">{#N/A,#N/A,FALSE,"TABLE"}</definedName>
    <definedName name="wrn.STAFFS." localSheetId="5" hidden="1">{#N/A,#N/A,FALSE,"TABLE"}</definedName>
    <definedName name="wrn.STAFFS." localSheetId="4" hidden="1">{#N/A,#N/A,FALSE,"TABLE"}</definedName>
    <definedName name="wrn.STAFFS." localSheetId="9">{#N/A,#N/A,FALSE,"TABLE"}</definedName>
    <definedName name="wrn.STAFFS." localSheetId="10" hidden="1">{#N/A,#N/A,FALSE,"TABLE"}</definedName>
    <definedName name="wrn.STAFFS." localSheetId="1" hidden="1">{#N/A,#N/A,FALSE,"TABLE"}</definedName>
    <definedName name="wrn.STAFFS." localSheetId="0">{#N/A,#N/A,FALSE,"TABLE"}</definedName>
    <definedName name="wrn.STAFFS." localSheetId="11" hidden="1">{#N/A,#N/A,FALSE,"TABLE"}</definedName>
    <definedName name="wrn.STAFFS." localSheetId="12" hidden="1">{#N/A,#N/A,FALSE,"TABLE"}</definedName>
    <definedName name="wrn.STAFFS." hidden="1">{#N/A,#N/A,FALSE,"TABLE"}</definedName>
    <definedName name="wrn.TERCEIRO.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.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3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8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5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4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9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0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0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localSheetId="12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RCEIRO01" hidden="1">{#N/A,#N/A,FALSE,"corret.gmotors";#N/A,#N/A,FALSE,"front.gv";#N/A,#N/A,FALSE,"correto.sandi";#N/A,#N/A,FALSE,"agrorio.rod.agric";#N/A,#N/A,FALSE,"promo.postop";#N/A,#N/A,FALSE,"rodocred.sandi";#N/A,#N/A,FALSE,"correto.front";#N/A,#N/A,FALSE,"correto.j.piratini";#N/A,#N/A,FALSE,"riocamp.dm";#N/A,#N/A,FALSE,"campos.daihatsu ";#N/A,#N/A,FALSE,"cuiabá.daihatsu ";#N/A,#N/A,FALSE,"cirasa.daihatsu ";#N/A,#N/A,FALSE,"front.daihatsu";#N/A,#N/A,FALSE,"g.motors.daihatsu ";#N/A,#N/A,FALSE,"belem.daihatsu ";#N/A,#N/A,FALSE,"rioverm.daihatsu";#N/A,#N/A,FALSE,"rodocred.g.motors";#N/A,#N/A,FALSE,"rondo.sandi";#N/A,#N/A,FALSE,"promo.rodoren.";#N/A,#N/A,FALSE,"link.promo";#N/A,#N/A,FALSE,"verd.com.verd.sa";#N/A,#N/A,FALSE,"frigo.ruy";#N/A,#N/A,FALSE,"correto.daihatsu";#N/A,#N/A,FALSE,"gv.belem";#N/A,#N/A,FALSE,"front.dm";#N/A,#N/A,FALSE,"rond.corret";#N/A,#N/A,FALSE,"rioverm.corret";#N/A,#N/A,FALSE,"corret.cuiabá";#N/A,#N/A,FALSE,"agro.fazbacuri";#N/A,#N/A,FALSE,"corret.dm";#N/A,#N/A,FALSE,"verdade.dm";#N/A,#N/A,FALSE,"rioverm.dm";#N/A,#N/A,FALSE,"rond.dm";#N/A,#N/A,FALSE,"cuiabá.dm";#N/A,#N/A,FALSE,"verdcom.dm";#N/A,#N/A,FALSE,"gv.gmotors";#N/A,#N/A,FALSE,"lavínia.dm";#N/A,#N/A,FALSE,"gv.sandíesel";#N/A,#N/A,FALSE,"corret.wvjr";#N/A,#N/A,FALSE,"daihatsu.factoring";#N/A,#N/A,FALSE,"sadive.dm";#N/A,#N/A,FALSE,"corret.cuiabá";#N/A,#N/A,FALSE,"corret.hsf";#N/A,#N/A,FALSE,"cirasa.gminas";#N/A,#N/A,FALSE,"fazbac.rodagric"}</definedName>
    <definedName name="wrn.test1." localSheetId="3" hidden="1">{#N/A,#N/A,FALSE,"명세표"}</definedName>
    <definedName name="wrn.test1." localSheetId="8">{#N/A,#N/A,FALSE,"명세표"}</definedName>
    <definedName name="wrn.test1." localSheetId="5" hidden="1">{#N/A,#N/A,FALSE,"명세표"}</definedName>
    <definedName name="wrn.test1." localSheetId="4" hidden="1">{#N/A,#N/A,FALSE,"명세표"}</definedName>
    <definedName name="wrn.test1." localSheetId="9">{#N/A,#N/A,FALSE,"명세표"}</definedName>
    <definedName name="wrn.test1." localSheetId="10" hidden="1">{#N/A,#N/A,FALSE,"명세표"}</definedName>
    <definedName name="wrn.test1." localSheetId="1" hidden="1">{#N/A,#N/A,FALSE,"명세표"}</definedName>
    <definedName name="wrn.test1." localSheetId="0">{#N/A,#N/A,FALSE,"명세표"}</definedName>
    <definedName name="wrn.test1." localSheetId="11" hidden="1">{#N/A,#N/A,FALSE,"명세표"}</definedName>
    <definedName name="wrn.test1." localSheetId="12" hidden="1">{#N/A,#N/A,FALSE,"명세표"}</definedName>
    <definedName name="wrn.test1." hidden="1">{#N/A,#N/A,FALSE,"명세표"}</definedName>
    <definedName name="wrn.Unidades." localSheetId="3" hidden="1">{"Rio Branco",#N/A,FALSE,"Rio Branco";"Itajaí",#N/A,FALSE,"Itajaí";"Pinheiro Machado",#N/A,FALSE,"PMachado";"Esteio",#N/A,FALSE,"Esteio"}</definedName>
    <definedName name="wrn.Unidades." localSheetId="8">{"Rio Branco",#N/A,FALSE,"Rio Branco";"Itajaí",#N/A,FALSE,"Itajaí";"Pinheiro Machado",#N/A,FALSE,"PMachado";"Esteio",#N/A,FALSE,"Esteio"}</definedName>
    <definedName name="wrn.Unidades." localSheetId="5" hidden="1">{"Rio Branco",#N/A,FALSE,"Rio Branco";"Itajaí",#N/A,FALSE,"Itajaí";"Pinheiro Machado",#N/A,FALSE,"PMachado";"Esteio",#N/A,FALSE,"Esteio"}</definedName>
    <definedName name="wrn.Unidades." localSheetId="4" hidden="1">{"Rio Branco",#N/A,FALSE,"Rio Branco";"Itajaí",#N/A,FALSE,"Itajaí";"Pinheiro Machado",#N/A,FALSE,"PMachado";"Esteio",#N/A,FALSE,"Esteio"}</definedName>
    <definedName name="wrn.Unidades." localSheetId="9">{"Rio Branco",#N/A,FALSE,"Rio Branco";"Itajaí",#N/A,FALSE,"Itajaí";"Pinheiro Machado",#N/A,FALSE,"PMachado";"Esteio",#N/A,FALSE,"Esteio"}</definedName>
    <definedName name="wrn.Unidades." localSheetId="10" hidden="1">{"Rio Branco",#N/A,FALSE,"Rio Branco";"Itajaí",#N/A,FALSE,"Itajaí";"Pinheiro Machado",#N/A,FALSE,"PMachado";"Esteio",#N/A,FALSE,"Esteio"}</definedName>
    <definedName name="wrn.Unidades." localSheetId="1" hidden="1">{"Rio Branco",#N/A,FALSE,"Rio Branco";"Itajaí",#N/A,FALSE,"Itajaí";"Pinheiro Machado",#N/A,FALSE,"PMachado";"Esteio",#N/A,FALSE,"Esteio"}</definedName>
    <definedName name="wrn.Unidades." localSheetId="0">{"Rio Branco",#N/A,FALSE,"Rio Branco";"Itajaí",#N/A,FALSE,"Itajaí";"Pinheiro Machado",#N/A,FALSE,"PMachado";"Esteio",#N/A,FALSE,"Esteio"}</definedName>
    <definedName name="wrn.Unidades." localSheetId="11" hidden="1">{"Rio Branco",#N/A,FALSE,"Rio Branco";"Itajaí",#N/A,FALSE,"Itajaí";"Pinheiro Machado",#N/A,FALSE,"PMachado";"Esteio",#N/A,FALSE,"Esteio"}</definedName>
    <definedName name="wrn.Unidades." localSheetId="12" hidden="1">{"Rio Branco",#N/A,FALSE,"Rio Branco";"Itajaí",#N/A,FALSE,"Itajaí";"Pinheiro Machado",#N/A,FALSE,"PMachado";"Esteio",#N/A,FALSE,"Esteio"}</definedName>
    <definedName name="wrn.Unidades." hidden="1">{"Rio Branco",#N/A,FALSE,"Rio Branco";"Itajaí",#N/A,FALSE,"Itajaí";"Pinheiro Machado",#N/A,FALSE,"PMachado";"Esteio",#N/A,FALSE,"Esteio"}</definedName>
    <definedName name="wrn.VESSEL및N2._.구입사양서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VESSEL및N2._.구입사양서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rn.견적." localSheetId="3" hidden="1">{#N/A,#N/A,FALSE,"Sheet1";#N/A,#N/A,FALSE,"Sheet2";#N/A,#N/A,FALSE,"TAB96-1"}</definedName>
    <definedName name="wrn.견적." localSheetId="8">{#N/A,#N/A,FALSE,"Sheet1";#N/A,#N/A,FALSE,"Sheet2";#N/A,#N/A,FALSE,"TAB96-1"}</definedName>
    <definedName name="wrn.견적." localSheetId="5" hidden="1">{#N/A,#N/A,FALSE,"Sheet1";#N/A,#N/A,FALSE,"Sheet2";#N/A,#N/A,FALSE,"TAB96-1"}</definedName>
    <definedName name="wrn.견적." localSheetId="4" hidden="1">{#N/A,#N/A,FALSE,"Sheet1";#N/A,#N/A,FALSE,"Sheet2";#N/A,#N/A,FALSE,"TAB96-1"}</definedName>
    <definedName name="wrn.견적." localSheetId="9">{#N/A,#N/A,FALSE,"Sheet1";#N/A,#N/A,FALSE,"Sheet2";#N/A,#N/A,FALSE,"TAB96-1"}</definedName>
    <definedName name="wrn.견적." localSheetId="10" hidden="1">{#N/A,#N/A,FALSE,"Sheet1";#N/A,#N/A,FALSE,"Sheet2";#N/A,#N/A,FALSE,"TAB96-1"}</definedName>
    <definedName name="wrn.견적." localSheetId="1" hidden="1">{#N/A,#N/A,FALSE,"Sheet1";#N/A,#N/A,FALSE,"Sheet2";#N/A,#N/A,FALSE,"TAB96-1"}</definedName>
    <definedName name="wrn.견적." localSheetId="0">{#N/A,#N/A,FALSE,"Sheet1";#N/A,#N/A,FALSE,"Sheet2";#N/A,#N/A,FALSE,"TAB96-1"}</definedName>
    <definedName name="wrn.견적." localSheetId="11" hidden="1">{#N/A,#N/A,FALSE,"Sheet1";#N/A,#N/A,FALSE,"Sheet2";#N/A,#N/A,FALSE,"TAB96-1"}</definedName>
    <definedName name="wrn.견적." localSheetId="12" hidden="1">{#N/A,#N/A,FALSE,"Sheet1";#N/A,#N/A,FALSE,"Sheet2";#N/A,#N/A,FALSE,"TAB96-1"}</definedName>
    <definedName name="wrn.견적." hidden="1">{#N/A,#N/A,FALSE,"Sheet1";#N/A,#N/A,FALSE,"Sheet2";#N/A,#N/A,FALSE,"TAB96-1"}</definedName>
    <definedName name="wrn.보호계전기." localSheetId="3" hidden="1">{#N/A,#N/A,FALSE,"ENG'G(보호계전기)"}</definedName>
    <definedName name="wrn.보호계전기." localSheetId="8">{#N/A,#N/A,FALSE,"ENG'G(보호계전기)"}</definedName>
    <definedName name="wrn.보호계전기." localSheetId="5" hidden="1">{#N/A,#N/A,FALSE,"ENG'G(보호계전기)"}</definedName>
    <definedName name="wrn.보호계전기." localSheetId="4" hidden="1">{#N/A,#N/A,FALSE,"ENG'G(보호계전기)"}</definedName>
    <definedName name="wrn.보호계전기." localSheetId="9">{#N/A,#N/A,FALSE,"ENG'G(보호계전기)"}</definedName>
    <definedName name="wrn.보호계전기." localSheetId="10" hidden="1">{#N/A,#N/A,FALSE,"ENG'G(보호계전기)"}</definedName>
    <definedName name="wrn.보호계전기." localSheetId="1" hidden="1">{#N/A,#N/A,FALSE,"ENG'G(보호계전기)"}</definedName>
    <definedName name="wrn.보호계전기." localSheetId="0">{#N/A,#N/A,FALSE,"ENG'G(보호계전기)"}</definedName>
    <definedName name="wrn.보호계전기." localSheetId="11" hidden="1">{#N/A,#N/A,FALSE,"ENG'G(보호계전기)"}</definedName>
    <definedName name="wrn.보호계전기." localSheetId="12" hidden="1">{#N/A,#N/A,FALSE,"ENG'G(보호계전기)"}</definedName>
    <definedName name="wrn.보호계전기." hidden="1">{#N/A,#N/A,FALSE,"ENG'G(보호계전기)"}</definedName>
    <definedName name="wrn.현장._.NCR._.분석." localSheetId="3" hidden="1">{#N/A,#N/A,FALSE,"현장 NCR 분석";#N/A,#N/A,FALSE,"현장품질감사";#N/A,#N/A,FALSE,"현장품질감사"}</definedName>
    <definedName name="wrn.현장._.NCR._.분석." localSheetId="8">{#N/A,#N/A,FALSE,"현장 NCR 분석";#N/A,#N/A,FALSE,"현장품질감사";#N/A,#N/A,FALSE,"현장품질감사"}</definedName>
    <definedName name="wrn.현장._.NCR._.분석." localSheetId="5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localSheetId="9">{#N/A,#N/A,FALSE,"현장 NCR 분석";#N/A,#N/A,FALSE,"현장품질감사";#N/A,#N/A,FALSE,"현장품질감사"}</definedName>
    <definedName name="wrn.현장._.NCR._.분석." localSheetId="10" hidden="1">{#N/A,#N/A,FALSE,"현장 NCR 분석";#N/A,#N/A,FALSE,"현장품질감사";#N/A,#N/A,FALSE,"현장품질감사"}</definedName>
    <definedName name="wrn.현장._.NCR._.분석." localSheetId="1" hidden="1">{#N/A,#N/A,FALSE,"현장 NCR 분석";#N/A,#N/A,FALSE,"현장품질감사";#N/A,#N/A,FALSE,"현장품질감사"}</definedName>
    <definedName name="wrn.현장._.NCR._.분석." localSheetId="0">{#N/A,#N/A,FALSE,"현장 NCR 분석";#N/A,#N/A,FALSE,"현장품질감사";#N/A,#N/A,FALSE,"현장품질감사"}</definedName>
    <definedName name="wrn.현장._.NCR._.분석." localSheetId="11" hidden="1">{#N/A,#N/A,FALSE,"현장 NCR 분석";#N/A,#N/A,FALSE,"현장품질감사";#N/A,#N/A,FALSE,"현장품질감사"}</definedName>
    <definedName name="wrn.현장._.NCR._.분석." localSheetId="12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1.Cons." localSheetId="3" hidden="1">{"EconCons",#N/A,TRUE,"Econômico - Consolidado";"CaixaCons",#N/A,TRUE,"Caixa - Consolidado";"InvestCons",#N/A,TRUE,"Invest Consolidado"}</definedName>
    <definedName name="wrn1.Cons." localSheetId="8">{"EconCons",#N/A,TRUE,"Econômico - Consolidado";"CaixaCons",#N/A,TRUE,"Caixa - Consolidado";"InvestCons",#N/A,TRUE,"Invest Consolidado"}</definedName>
    <definedName name="wrn1.Cons." localSheetId="5" hidden="1">{"EconCons",#N/A,TRUE,"Econômico - Consolidado";"CaixaCons",#N/A,TRUE,"Caixa - Consolidado";"InvestCons",#N/A,TRUE,"Invest Consolidado"}</definedName>
    <definedName name="wrn1.Cons." localSheetId="4" hidden="1">{"EconCons",#N/A,TRUE,"Econômico - Consolidado";"CaixaCons",#N/A,TRUE,"Caixa - Consolidado";"InvestCons",#N/A,TRUE,"Invest Consolidado"}</definedName>
    <definedName name="wrn1.Cons." localSheetId="9">{"EconCons",#N/A,TRUE,"Econômico - Consolidado";"CaixaCons",#N/A,TRUE,"Caixa - Consolidado";"InvestCons",#N/A,TRUE,"Invest Consolidado"}</definedName>
    <definedName name="wrn1.Cons." localSheetId="10" hidden="1">{"EconCons",#N/A,TRUE,"Econômico - Consolidado";"CaixaCons",#N/A,TRUE,"Caixa - Consolidado";"InvestCons",#N/A,TRUE,"Invest Consolidado"}</definedName>
    <definedName name="wrn1.Cons." localSheetId="1" hidden="1">{"EconCons",#N/A,TRUE,"Econômico - Consolidado";"CaixaCons",#N/A,TRUE,"Caixa - Consolidado";"InvestCons",#N/A,TRUE,"Invest Consolidado"}</definedName>
    <definedName name="wrn1.Cons." localSheetId="0">{"EconCons",#N/A,TRUE,"Econômico - Consolidado";"CaixaCons",#N/A,TRUE,"Caixa - Consolidado";"InvestCons",#N/A,TRUE,"Invest Consolidado"}</definedName>
    <definedName name="wrn1.Cons." localSheetId="11" hidden="1">{"EconCons",#N/A,TRUE,"Econômico - Consolidado";"CaixaCons",#N/A,TRUE,"Caixa - Consolidado";"InvestCons",#N/A,TRUE,"Invest Consolidado"}</definedName>
    <definedName name="wrn1.Cons." localSheetId="12" hidden="1">{"EconCons",#N/A,TRUE,"Econômico - Consolidado";"CaixaCons",#N/A,TRUE,"Caixa - Consolidado";"InvestCons",#N/A,TRUE,"Invest Consolidado"}</definedName>
    <definedName name="wrn1.Cons." hidden="1">{"EconCons",#N/A,TRUE,"Econômico - Consolidado";"CaixaCons",#N/A,TRUE,"Caixa - Consolidado";"InvestCons",#N/A,TRUE,"Invest Consolidado"}</definedName>
    <definedName name="wrn1.print._.all." localSheetId="3" hidden="1">{#N/A,#N/A,FALSE,"$170M Cash";#N/A,#N/A,FALSE,"$250M Cash";#N/A,#N/A,FALSE,"$325M Cash"}</definedName>
    <definedName name="wrn1.print._.all." localSheetId="8">{#N/A,#N/A,FALSE,"$170M Cash";#N/A,#N/A,FALSE,"$250M Cash";#N/A,#N/A,FALSE,"$325M Cash"}</definedName>
    <definedName name="wrn1.print._.all." localSheetId="5" hidden="1">{#N/A,#N/A,FALSE,"$170M Cash";#N/A,#N/A,FALSE,"$250M Cash";#N/A,#N/A,FALSE,"$325M Cash"}</definedName>
    <definedName name="wrn1.print._.all." localSheetId="4" hidden="1">{#N/A,#N/A,FALSE,"$170M Cash";#N/A,#N/A,FALSE,"$250M Cash";#N/A,#N/A,FALSE,"$325M Cash"}</definedName>
    <definedName name="wrn1.print._.all." localSheetId="9">{#N/A,#N/A,FALSE,"$170M Cash";#N/A,#N/A,FALSE,"$250M Cash";#N/A,#N/A,FALSE,"$325M Cash"}</definedName>
    <definedName name="wrn1.print._.all." localSheetId="10" hidden="1">{#N/A,#N/A,FALSE,"$170M Cash";#N/A,#N/A,FALSE,"$250M Cash";#N/A,#N/A,FALSE,"$325M Cash"}</definedName>
    <definedName name="wrn1.print._.all." localSheetId="1" hidden="1">{#N/A,#N/A,FALSE,"$170M Cash";#N/A,#N/A,FALSE,"$250M Cash";#N/A,#N/A,FALSE,"$325M Cash"}</definedName>
    <definedName name="wrn1.print._.all." localSheetId="0">{#N/A,#N/A,FALSE,"$170M Cash";#N/A,#N/A,FALSE,"$250M Cash";#N/A,#N/A,FALSE,"$325M Cash"}</definedName>
    <definedName name="wrn1.print._.all." localSheetId="11" hidden="1">{#N/A,#N/A,FALSE,"$170M Cash";#N/A,#N/A,FALSE,"$250M Cash";#N/A,#N/A,FALSE,"$325M Cash"}</definedName>
    <definedName name="wrn1.print._.all." localSheetId="12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S" localSheetId="3" hidden="1">{"'장비'!$A$3:$M$12"}</definedName>
    <definedName name="WRS" localSheetId="8">{"'장비'!$A$3:$M$12"}</definedName>
    <definedName name="WRS" localSheetId="5" hidden="1">{"'장비'!$A$3:$M$12"}</definedName>
    <definedName name="WRS" localSheetId="4" hidden="1">{"'장비'!$A$3:$M$12"}</definedName>
    <definedName name="WRS" localSheetId="9">{"'장비'!$A$3:$M$12"}</definedName>
    <definedName name="WRS" localSheetId="10" hidden="1">{"'장비'!$A$3:$M$12"}</definedName>
    <definedName name="WRS" localSheetId="1" hidden="1">{"'장비'!$A$3:$M$12"}</definedName>
    <definedName name="WRS" localSheetId="0">{"'장비'!$A$3:$M$12"}</definedName>
    <definedName name="WRS" localSheetId="11" hidden="1">{"'장비'!$A$3:$M$12"}</definedName>
    <definedName name="WRS" localSheetId="12" hidden="1">{"'장비'!$A$3:$M$12"}</definedName>
    <definedName name="WRS" hidden="1">{"'장비'!$A$3:$M$12"}</definedName>
    <definedName name="wrt" localSheetId="3" hidden="1">{#N/A,#N/A,FALSE,"$170M Cash";#N/A,#N/A,FALSE,"$250M Cash";#N/A,#N/A,FALSE,"$325M Cash"}</definedName>
    <definedName name="wrt" localSheetId="8">{#N/A,#N/A,FALSE,"$170M Cash";#N/A,#N/A,FALSE,"$250M Cash";#N/A,#N/A,FALSE,"$325M Cash"}</definedName>
    <definedName name="wrt" localSheetId="5" hidden="1">{#N/A,#N/A,FALSE,"$170M Cash";#N/A,#N/A,FALSE,"$250M Cash";#N/A,#N/A,FALSE,"$325M Cash"}</definedName>
    <definedName name="wrt" localSheetId="4" hidden="1">{#N/A,#N/A,FALSE,"$170M Cash";#N/A,#N/A,FALSE,"$250M Cash";#N/A,#N/A,FALSE,"$325M Cash"}</definedName>
    <definedName name="wrt" localSheetId="9">{#N/A,#N/A,FALSE,"$170M Cash";#N/A,#N/A,FALSE,"$250M Cash";#N/A,#N/A,FALSE,"$325M Cash"}</definedName>
    <definedName name="wrt" localSheetId="10" hidden="1">{#N/A,#N/A,FALSE,"$170M Cash";#N/A,#N/A,FALSE,"$250M Cash";#N/A,#N/A,FALSE,"$325M Cash"}</definedName>
    <definedName name="wrt" localSheetId="1" hidden="1">{#N/A,#N/A,FALSE,"$170M Cash";#N/A,#N/A,FALSE,"$250M Cash";#N/A,#N/A,FALSE,"$325M Cash"}</definedName>
    <definedName name="wrt" localSheetId="0">{#N/A,#N/A,FALSE,"$170M Cash";#N/A,#N/A,FALSE,"$250M Cash";#N/A,#N/A,FALSE,"$325M Cash"}</definedName>
    <definedName name="wrt" localSheetId="11" hidden="1">{#N/A,#N/A,FALSE,"$170M Cash";#N/A,#N/A,FALSE,"$250M Cash";#N/A,#N/A,FALSE,"$325M Cash"}</definedName>
    <definedName name="wrt" localSheetId="12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vu.PLANILHA2.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vu.PLANILHA2.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ww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9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0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wwwwwwwwww" localSheetId="3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8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5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4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9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8">#REF!</definedName>
    <definedName name="X" localSheetId="5">#REF!</definedName>
    <definedName name="X" localSheetId="9">#REF!</definedName>
    <definedName name="X" localSheetId="10">#REF!</definedName>
    <definedName name="X" localSheetId="0">#REF!</definedName>
    <definedName name="X" localSheetId="11">#REF!</definedName>
    <definedName name="X" localSheetId="12">#REF!</definedName>
    <definedName name="X">#REF!</definedName>
    <definedName name="XALFA" localSheetId="8">#REF!</definedName>
    <definedName name="XALFA" localSheetId="5">#REF!</definedName>
    <definedName name="XALFA" localSheetId="9">#REF!</definedName>
    <definedName name="XALFA" localSheetId="10">#REF!</definedName>
    <definedName name="XALFA" localSheetId="0">#REF!</definedName>
    <definedName name="XALFA" localSheetId="11">#REF!</definedName>
    <definedName name="XALFA" localSheetId="12">#REF!</definedName>
    <definedName name="XALFA">#REF!</definedName>
    <definedName name="XC" localSheetId="8">#REF!</definedName>
    <definedName name="XC" localSheetId="5">#REF!</definedName>
    <definedName name="XC" localSheetId="9">#REF!</definedName>
    <definedName name="XC" localSheetId="10">#REF!</definedName>
    <definedName name="XC" localSheetId="0">#REF!</definedName>
    <definedName name="XC" localSheetId="11">#REF!</definedName>
    <definedName name="XC" localSheetId="12">#REF!</definedName>
    <definedName name="XC">#REF!</definedName>
    <definedName name="xcfrt" localSheetId="3" hidden="1">{#N/A,#N/A,FALSE,"Plan1";#N/A,#N/A,FALSE,"Plan2"}</definedName>
    <definedName name="xcfrt" localSheetId="8">{#N/A,#N/A,FALSE,"Plan1";#N/A,#N/A,FALSE,"Plan2"}</definedName>
    <definedName name="xcfrt" localSheetId="5" hidden="1">{#N/A,#N/A,FALSE,"Plan1";#N/A,#N/A,FALSE,"Plan2"}</definedName>
    <definedName name="xcfrt" localSheetId="4" hidden="1">{#N/A,#N/A,FALSE,"Plan1";#N/A,#N/A,FALSE,"Plan2"}</definedName>
    <definedName name="xcfrt" localSheetId="9">{#N/A,#N/A,FALSE,"Plan1";#N/A,#N/A,FALSE,"Plan2"}</definedName>
    <definedName name="xcfrt" localSheetId="10" hidden="1">{#N/A,#N/A,FALSE,"Plan1";#N/A,#N/A,FALSE,"Plan2"}</definedName>
    <definedName name="xcfrt" localSheetId="1" hidden="1">{#N/A,#N/A,FALSE,"Plan1";#N/A,#N/A,FALSE,"Plan2"}</definedName>
    <definedName name="xcfrt" localSheetId="0">{#N/A,#N/A,FALSE,"Plan1";#N/A,#N/A,FALSE,"Plan2"}</definedName>
    <definedName name="xcfrt" localSheetId="11" hidden="1">{#N/A,#N/A,FALSE,"Plan1";#N/A,#N/A,FALSE,"Plan2"}</definedName>
    <definedName name="xcfrt" localSheetId="12" hidden="1">{#N/A,#N/A,FALSE,"Plan1";#N/A,#N/A,FALSE,"Plan2"}</definedName>
    <definedName name="xcfrt" hidden="1">{#N/A,#N/A,FALSE,"Plan1";#N/A,#N/A,FALSE,"Plan2"}</definedName>
    <definedName name="xcgjkfghf" localSheetId="3" hidden="1">{#N/A,#N/A,FALSE,"Plan1";#N/A,#N/A,FALSE,"Plan2"}</definedName>
    <definedName name="xcgjkfghf" localSheetId="8">{#N/A,#N/A,FALSE,"Plan1";#N/A,#N/A,FALSE,"Plan2"}</definedName>
    <definedName name="xcgjkfghf" localSheetId="5" hidden="1">{#N/A,#N/A,FALSE,"Plan1";#N/A,#N/A,FALSE,"Plan2"}</definedName>
    <definedName name="xcgjkfghf" localSheetId="4" hidden="1">{#N/A,#N/A,FALSE,"Plan1";#N/A,#N/A,FALSE,"Plan2"}</definedName>
    <definedName name="xcgjkfghf" localSheetId="9">{#N/A,#N/A,FALSE,"Plan1";#N/A,#N/A,FALSE,"Plan2"}</definedName>
    <definedName name="xcgjkfghf" localSheetId="10" hidden="1">{#N/A,#N/A,FALSE,"Plan1";#N/A,#N/A,FALSE,"Plan2"}</definedName>
    <definedName name="xcgjkfghf" localSheetId="1" hidden="1">{#N/A,#N/A,FALSE,"Plan1";#N/A,#N/A,FALSE,"Plan2"}</definedName>
    <definedName name="xcgjkfghf" localSheetId="0">{#N/A,#N/A,FALSE,"Plan1";#N/A,#N/A,FALSE,"Plan2"}</definedName>
    <definedName name="xcgjkfghf" localSheetId="11" hidden="1">{#N/A,#N/A,FALSE,"Plan1";#N/A,#N/A,FALSE,"Plan2"}</definedName>
    <definedName name="xcgjkfghf" localSheetId="12" hidden="1">{#N/A,#N/A,FALSE,"Plan1";#N/A,#N/A,FALSE,"Plan2"}</definedName>
    <definedName name="xcgjkfghf" hidden="1">{#N/A,#N/A,FALSE,"Plan1";#N/A,#N/A,FALSE,"Plan2"}</definedName>
    <definedName name="XCGJKVHFDG" localSheetId="3" hidden="1">{#N/A,#N/A,FALSE,"Plan1";#N/A,#N/A,FALSE,"Plan2"}</definedName>
    <definedName name="XCGJKVHFDG" localSheetId="8">{#N/A,#N/A,FALSE,"Plan1";#N/A,#N/A,FALSE,"Plan2"}</definedName>
    <definedName name="XCGJKVHFDG" localSheetId="5" hidden="1">{#N/A,#N/A,FALSE,"Plan1";#N/A,#N/A,FALSE,"Plan2"}</definedName>
    <definedName name="XCGJKVHFDG" localSheetId="4" hidden="1">{#N/A,#N/A,FALSE,"Plan1";#N/A,#N/A,FALSE,"Plan2"}</definedName>
    <definedName name="XCGJKVHFDG" localSheetId="9">{#N/A,#N/A,FALSE,"Plan1";#N/A,#N/A,FALSE,"Plan2"}</definedName>
    <definedName name="XCGJKVHFDG" localSheetId="10" hidden="1">{#N/A,#N/A,FALSE,"Plan1";#N/A,#N/A,FALSE,"Plan2"}</definedName>
    <definedName name="XCGJKVHFDG" localSheetId="1" hidden="1">{#N/A,#N/A,FALSE,"Plan1";#N/A,#N/A,FALSE,"Plan2"}</definedName>
    <definedName name="XCGJKVHFDG" localSheetId="0">{#N/A,#N/A,FALSE,"Plan1";#N/A,#N/A,FALSE,"Plan2"}</definedName>
    <definedName name="XCGJKVHFDG" localSheetId="11" hidden="1">{#N/A,#N/A,FALSE,"Plan1";#N/A,#N/A,FALSE,"Plan2"}</definedName>
    <definedName name="XCGJKVHFDG" localSheetId="12" hidden="1">{#N/A,#N/A,FALSE,"Plan1";#N/A,#N/A,FALSE,"Plan2"}</definedName>
    <definedName name="XCGJKVHFDG" hidden="1">{#N/A,#N/A,FALSE,"Plan1";#N/A,#N/A,FALSE,"Plan2"}</definedName>
    <definedName name="xcgtrty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trty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GVR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CI" localSheetId="8">#REF!</definedName>
    <definedName name="XCI" localSheetId="5">#REF!</definedName>
    <definedName name="XCI" localSheetId="9">#REF!</definedName>
    <definedName name="XCI" localSheetId="10">#REF!</definedName>
    <definedName name="XCI" localSheetId="0">#REF!</definedName>
    <definedName name="XCI" localSheetId="11">#REF!</definedName>
    <definedName name="XCI" localSheetId="12">#REF!</definedName>
    <definedName name="XCI">#REF!</definedName>
    <definedName name="XCII" localSheetId="8">#REF!</definedName>
    <definedName name="XCII" localSheetId="5">#REF!</definedName>
    <definedName name="XCII" localSheetId="9">#REF!</definedName>
    <definedName name="XCII" localSheetId="10">#REF!</definedName>
    <definedName name="XCII" localSheetId="0">#REF!</definedName>
    <definedName name="XCII" localSheetId="11">#REF!</definedName>
    <definedName name="XCII" localSheetId="12">#REF!</definedName>
    <definedName name="XCII">#REF!</definedName>
    <definedName name="XCIII" localSheetId="8">#REF!</definedName>
    <definedName name="XCIII" localSheetId="5">#REF!</definedName>
    <definedName name="XCIII" localSheetId="9">#REF!</definedName>
    <definedName name="XCIII" localSheetId="10">#REF!</definedName>
    <definedName name="XCIII" localSheetId="0">#REF!</definedName>
    <definedName name="XCIII" localSheetId="11">#REF!</definedName>
    <definedName name="XCIII" localSheetId="12">#REF!</definedName>
    <definedName name="XCIII">#REF!</definedName>
    <definedName name="XCIV" localSheetId="8">#REF!</definedName>
    <definedName name="XCIV" localSheetId="5">#REF!</definedName>
    <definedName name="XCIV" localSheetId="10">#REF!</definedName>
    <definedName name="XCIV" localSheetId="11">#REF!</definedName>
    <definedName name="XCIV" localSheetId="12">#REF!</definedName>
    <definedName name="XCIV">#REF!</definedName>
    <definedName name="XCIX" localSheetId="8">#REF!</definedName>
    <definedName name="XCIX" localSheetId="5">#REF!</definedName>
    <definedName name="XCIX" localSheetId="10">#REF!</definedName>
    <definedName name="XCIX" localSheetId="11">#REF!</definedName>
    <definedName name="XCIX" localSheetId="12">#REF!</definedName>
    <definedName name="XCIX">#REF!</definedName>
    <definedName name="xçl" localSheetId="3" hidden="1">{#N/A,#N/A,FALSE,"Plan1";#N/A,#N/A,FALSE,"Plan2"}</definedName>
    <definedName name="xçl" localSheetId="8">{#N/A,#N/A,FALSE,"Plan1";#N/A,#N/A,FALSE,"Plan2"}</definedName>
    <definedName name="xçl" localSheetId="5" hidden="1">{#N/A,#N/A,FALSE,"Plan1";#N/A,#N/A,FALSE,"Plan2"}</definedName>
    <definedName name="xçl" localSheetId="4" hidden="1">{#N/A,#N/A,FALSE,"Plan1";#N/A,#N/A,FALSE,"Plan2"}</definedName>
    <definedName name="xçl" localSheetId="9">{#N/A,#N/A,FALSE,"Plan1";#N/A,#N/A,FALSE,"Plan2"}</definedName>
    <definedName name="xçl" localSheetId="10" hidden="1">{#N/A,#N/A,FALSE,"Plan1";#N/A,#N/A,FALSE,"Plan2"}</definedName>
    <definedName name="xçl" localSheetId="1" hidden="1">{#N/A,#N/A,FALSE,"Plan1";#N/A,#N/A,FALSE,"Plan2"}</definedName>
    <definedName name="xçl" localSheetId="0">{#N/A,#N/A,FALSE,"Plan1";#N/A,#N/A,FALSE,"Plan2"}</definedName>
    <definedName name="xçl" localSheetId="11" hidden="1">{#N/A,#N/A,FALSE,"Plan1";#N/A,#N/A,FALSE,"Plan2"}</definedName>
    <definedName name="xçl" localSheetId="12" hidden="1">{#N/A,#N/A,FALSE,"Plan1";#N/A,#N/A,FALSE,"Plan2"}</definedName>
    <definedName name="xçl" hidden="1">{#N/A,#N/A,FALSE,"Plan1";#N/A,#N/A,FALSE,"Plan2"}</definedName>
    <definedName name="xcndj" localSheetId="3" hidden="1">{#N/A,#N/A,FALSE,"Plan1";#N/A,#N/A,FALSE,"Plan2"}</definedName>
    <definedName name="xcndj" localSheetId="8">{#N/A,#N/A,FALSE,"Plan1";#N/A,#N/A,FALSE,"Plan2"}</definedName>
    <definedName name="xcndj" localSheetId="5" hidden="1">{#N/A,#N/A,FALSE,"Plan1";#N/A,#N/A,FALSE,"Plan2"}</definedName>
    <definedName name="xcndj" localSheetId="4" hidden="1">{#N/A,#N/A,FALSE,"Plan1";#N/A,#N/A,FALSE,"Plan2"}</definedName>
    <definedName name="xcndj" localSheetId="9">{#N/A,#N/A,FALSE,"Plan1";#N/A,#N/A,FALSE,"Plan2"}</definedName>
    <definedName name="xcndj" localSheetId="10" hidden="1">{#N/A,#N/A,FALSE,"Plan1";#N/A,#N/A,FALSE,"Plan2"}</definedName>
    <definedName name="xcndj" localSheetId="1" hidden="1">{#N/A,#N/A,FALSE,"Plan1";#N/A,#N/A,FALSE,"Plan2"}</definedName>
    <definedName name="xcndj" localSheetId="0">{#N/A,#N/A,FALSE,"Plan1";#N/A,#N/A,FALSE,"Plan2"}</definedName>
    <definedName name="xcndj" localSheetId="11" hidden="1">{#N/A,#N/A,FALSE,"Plan1";#N/A,#N/A,FALSE,"Plan2"}</definedName>
    <definedName name="xcndj" localSheetId="12" hidden="1">{#N/A,#N/A,FALSE,"Plan1";#N/A,#N/A,FALSE,"Plan2"}</definedName>
    <definedName name="xcndj" hidden="1">{#N/A,#N/A,FALSE,"Plan1";#N/A,#N/A,FALSE,"Plan2"}</definedName>
    <definedName name="XCV" localSheetId="8">#REF!</definedName>
    <definedName name="XCV" localSheetId="5">#REF!</definedName>
    <definedName name="XCV" localSheetId="9">#REF!</definedName>
    <definedName name="XCV" localSheetId="10">#REF!</definedName>
    <definedName name="XCV" localSheetId="0">#REF!</definedName>
    <definedName name="XCV" localSheetId="11">#REF!</definedName>
    <definedName name="XCV" localSheetId="12">#REF!</definedName>
    <definedName name="XCV">#REF!</definedName>
    <definedName name="XCVGGT" localSheetId="3" hidden="1">{#N/A,#N/A,FALSE,"Plan1";#N/A,#N/A,FALSE,"Plan2"}</definedName>
    <definedName name="XCVGGT" localSheetId="8">{#N/A,#N/A,FALSE,"Plan1";#N/A,#N/A,FALSE,"Plan2"}</definedName>
    <definedName name="XCVGGT" localSheetId="5" hidden="1">{#N/A,#N/A,FALSE,"Plan1";#N/A,#N/A,FALSE,"Plan2"}</definedName>
    <definedName name="XCVGGT" localSheetId="4" hidden="1">{#N/A,#N/A,FALSE,"Plan1";#N/A,#N/A,FALSE,"Plan2"}</definedName>
    <definedName name="XCVGGT" localSheetId="9">{#N/A,#N/A,FALSE,"Plan1";#N/A,#N/A,FALSE,"Plan2"}</definedName>
    <definedName name="XCVGGT" localSheetId="10" hidden="1">{#N/A,#N/A,FALSE,"Plan1";#N/A,#N/A,FALSE,"Plan2"}</definedName>
    <definedName name="XCVGGT" localSheetId="1" hidden="1">{#N/A,#N/A,FALSE,"Plan1";#N/A,#N/A,FALSE,"Plan2"}</definedName>
    <definedName name="XCVGGT" localSheetId="0">{#N/A,#N/A,FALSE,"Plan1";#N/A,#N/A,FALSE,"Plan2"}</definedName>
    <definedName name="XCVGGT" localSheetId="11" hidden="1">{#N/A,#N/A,FALSE,"Plan1";#N/A,#N/A,FALSE,"Plan2"}</definedName>
    <definedName name="XCVGGT" localSheetId="12" hidden="1">{#N/A,#N/A,FALSE,"Plan1";#N/A,#N/A,FALSE,"Plan2"}</definedName>
    <definedName name="XCVGGT" hidden="1">{#N/A,#N/A,FALSE,"Plan1";#N/A,#N/A,FALSE,"Plan2"}</definedName>
    <definedName name="XCVI" localSheetId="8">#REF!</definedName>
    <definedName name="XCVI" localSheetId="5">#REF!</definedName>
    <definedName name="XCVI" localSheetId="9">#REF!</definedName>
    <definedName name="XCVI" localSheetId="10">#REF!</definedName>
    <definedName name="XCVI" localSheetId="0">#REF!</definedName>
    <definedName name="XCVI" localSheetId="11">#REF!</definedName>
    <definedName name="XCVI" localSheetId="12">#REF!</definedName>
    <definedName name="XCVI">#REF!</definedName>
    <definedName name="XCVII" localSheetId="8">#REF!</definedName>
    <definedName name="XCVII" localSheetId="5">#REF!</definedName>
    <definedName name="XCVII" localSheetId="9">#REF!</definedName>
    <definedName name="XCVII" localSheetId="10">#REF!</definedName>
    <definedName name="XCVII" localSheetId="0">#REF!</definedName>
    <definedName name="XCVII" localSheetId="11">#REF!</definedName>
    <definedName name="XCVII" localSheetId="12">#REF!</definedName>
    <definedName name="XCVII">#REF!</definedName>
    <definedName name="XCVIII" localSheetId="8">#REF!</definedName>
    <definedName name="XCVIII" localSheetId="5">#REF!</definedName>
    <definedName name="XCVIII" localSheetId="9">#REF!</definedName>
    <definedName name="XCVIII" localSheetId="10">#REF!</definedName>
    <definedName name="XCVIII" localSheetId="0">#REF!</definedName>
    <definedName name="XCVIII" localSheetId="11">#REF!</definedName>
    <definedName name="XCVIII" localSheetId="12">#REF!</definedName>
    <definedName name="XCVIII">#REF!</definedName>
    <definedName name="xcvrg" localSheetId="3" hidden="1">{#N/A,#N/A,FALSE,"Plan1";#N/A,#N/A,FALSE,"Plan2"}</definedName>
    <definedName name="xcvrg" localSheetId="8">{#N/A,#N/A,FALSE,"Plan1";#N/A,#N/A,FALSE,"Plan2"}</definedName>
    <definedName name="xcvrg" localSheetId="5" hidden="1">{#N/A,#N/A,FALSE,"Plan1";#N/A,#N/A,FALSE,"Plan2"}</definedName>
    <definedName name="xcvrg" localSheetId="4" hidden="1">{#N/A,#N/A,FALSE,"Plan1";#N/A,#N/A,FALSE,"Plan2"}</definedName>
    <definedName name="xcvrg" localSheetId="9">{#N/A,#N/A,FALSE,"Plan1";#N/A,#N/A,FALSE,"Plan2"}</definedName>
    <definedName name="xcvrg" localSheetId="10" hidden="1">{#N/A,#N/A,FALSE,"Plan1";#N/A,#N/A,FALSE,"Plan2"}</definedName>
    <definedName name="xcvrg" localSheetId="1" hidden="1">{#N/A,#N/A,FALSE,"Plan1";#N/A,#N/A,FALSE,"Plan2"}</definedName>
    <definedName name="xcvrg" localSheetId="0">{#N/A,#N/A,FALSE,"Plan1";#N/A,#N/A,FALSE,"Plan2"}</definedName>
    <definedName name="xcvrg" localSheetId="11" hidden="1">{#N/A,#N/A,FALSE,"Plan1";#N/A,#N/A,FALSE,"Plan2"}</definedName>
    <definedName name="xcvrg" localSheetId="12" hidden="1">{#N/A,#N/A,FALSE,"Plan1";#N/A,#N/A,FALSE,"Plan2"}</definedName>
    <definedName name="xcvrg" hidden="1">{#N/A,#N/A,FALSE,"Plan1";#N/A,#N/A,FALSE,"Plan2"}</definedName>
    <definedName name="XDATA" localSheetId="8">#REF!</definedName>
    <definedName name="XDATA" localSheetId="5">#REF!</definedName>
    <definedName name="XDATA" localSheetId="9">#REF!</definedName>
    <definedName name="XDATA" localSheetId="10">#REF!</definedName>
    <definedName name="XDATA" localSheetId="0">#REF!</definedName>
    <definedName name="XDATA" localSheetId="11">#REF!</definedName>
    <definedName name="XDATA" localSheetId="12">#REF!</definedName>
    <definedName name="XDATA">#REF!</definedName>
    <definedName name="xdfe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fe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dgtyhyt" localSheetId="3" hidden="1">{#N/A,#N/A,FALSE,"Plan1";#N/A,#N/A,FALSE,"Plan2"}</definedName>
    <definedName name="xdgtyhyt" localSheetId="8">{#N/A,#N/A,FALSE,"Plan1";#N/A,#N/A,FALSE,"Plan2"}</definedName>
    <definedName name="xdgtyhyt" localSheetId="5" hidden="1">{#N/A,#N/A,FALSE,"Plan1";#N/A,#N/A,FALSE,"Plan2"}</definedName>
    <definedName name="xdgtyhyt" localSheetId="4" hidden="1">{#N/A,#N/A,FALSE,"Plan1";#N/A,#N/A,FALSE,"Plan2"}</definedName>
    <definedName name="xdgtyhyt" localSheetId="9">{#N/A,#N/A,FALSE,"Plan1";#N/A,#N/A,FALSE,"Plan2"}</definedName>
    <definedName name="xdgtyhyt" localSheetId="10" hidden="1">{#N/A,#N/A,FALSE,"Plan1";#N/A,#N/A,FALSE,"Plan2"}</definedName>
    <definedName name="xdgtyhyt" localSheetId="1" hidden="1">{#N/A,#N/A,FALSE,"Plan1";#N/A,#N/A,FALSE,"Plan2"}</definedName>
    <definedName name="xdgtyhyt" localSheetId="0">{#N/A,#N/A,FALSE,"Plan1";#N/A,#N/A,FALSE,"Plan2"}</definedName>
    <definedName name="xdgtyhyt" localSheetId="11" hidden="1">{#N/A,#N/A,FALSE,"Plan1";#N/A,#N/A,FALSE,"Plan2"}</definedName>
    <definedName name="xdgtyhyt" localSheetId="12" hidden="1">{#N/A,#N/A,FALSE,"Plan1";#N/A,#N/A,FALSE,"Plan2"}</definedName>
    <definedName name="xdgtyhyt" hidden="1">{#N/A,#N/A,FALSE,"Plan1";#N/A,#N/A,FALSE,"Plan2"}</definedName>
    <definedName name="xfdlfj" localSheetId="3" hidden="1">{#N/A,#N/A,FALSE,"Plan1";#N/A,#N/A,FALSE,"Plan2"}</definedName>
    <definedName name="xfdlfj" localSheetId="8">{#N/A,#N/A,FALSE,"Plan1";#N/A,#N/A,FALSE,"Plan2"}</definedName>
    <definedName name="xfdlfj" localSheetId="5" hidden="1">{#N/A,#N/A,FALSE,"Plan1";#N/A,#N/A,FALSE,"Plan2"}</definedName>
    <definedName name="xfdlfj" localSheetId="4" hidden="1">{#N/A,#N/A,FALSE,"Plan1";#N/A,#N/A,FALSE,"Plan2"}</definedName>
    <definedName name="xfdlfj" localSheetId="9">{#N/A,#N/A,FALSE,"Plan1";#N/A,#N/A,FALSE,"Plan2"}</definedName>
    <definedName name="xfdlfj" localSheetId="10" hidden="1">{#N/A,#N/A,FALSE,"Plan1";#N/A,#N/A,FALSE,"Plan2"}</definedName>
    <definedName name="xfdlfj" localSheetId="1" hidden="1">{#N/A,#N/A,FALSE,"Plan1";#N/A,#N/A,FALSE,"Plan2"}</definedName>
    <definedName name="xfdlfj" localSheetId="0">{#N/A,#N/A,FALSE,"Plan1";#N/A,#N/A,FALSE,"Plan2"}</definedName>
    <definedName name="xfdlfj" localSheetId="11" hidden="1">{#N/A,#N/A,FALSE,"Plan1";#N/A,#N/A,FALSE,"Plan2"}</definedName>
    <definedName name="xfdlfj" localSheetId="12" hidden="1">{#N/A,#N/A,FALSE,"Plan1";#N/A,#N/A,FALSE,"Plan2"}</definedName>
    <definedName name="xfdlfj" hidden="1">{#N/A,#N/A,FALSE,"Plan1";#N/A,#N/A,FALSE,"Plan2"}</definedName>
    <definedName name="xfdxfdf" localSheetId="3" hidden="1">{#N/A,#N/A,FALSE,"Plan1";#N/A,#N/A,FALSE,"Plan2"}</definedName>
    <definedName name="xfdxfdf" localSheetId="8">{#N/A,#N/A,FALSE,"Plan1";#N/A,#N/A,FALSE,"Plan2"}</definedName>
    <definedName name="xfdxfdf" localSheetId="5" hidden="1">{#N/A,#N/A,FALSE,"Plan1";#N/A,#N/A,FALSE,"Plan2"}</definedName>
    <definedName name="xfdxfdf" localSheetId="4" hidden="1">{#N/A,#N/A,FALSE,"Plan1";#N/A,#N/A,FALSE,"Plan2"}</definedName>
    <definedName name="xfdxfdf" localSheetId="9">{#N/A,#N/A,FALSE,"Plan1";#N/A,#N/A,FALSE,"Plan2"}</definedName>
    <definedName name="xfdxfdf" localSheetId="10" hidden="1">{#N/A,#N/A,FALSE,"Plan1";#N/A,#N/A,FALSE,"Plan2"}</definedName>
    <definedName name="xfdxfdf" localSheetId="1" hidden="1">{#N/A,#N/A,FALSE,"Plan1";#N/A,#N/A,FALSE,"Plan2"}</definedName>
    <definedName name="xfdxfdf" localSheetId="0">{#N/A,#N/A,FALSE,"Plan1";#N/A,#N/A,FALSE,"Plan2"}</definedName>
    <definedName name="xfdxfdf" localSheetId="11" hidden="1">{#N/A,#N/A,FALSE,"Plan1";#N/A,#N/A,FALSE,"Plan2"}</definedName>
    <definedName name="xfdxfdf" localSheetId="12" hidden="1">{#N/A,#N/A,FALSE,"Plan1";#N/A,#N/A,FALSE,"Plan2"}</definedName>
    <definedName name="xfdxfdf" hidden="1">{#N/A,#N/A,FALSE,"Plan1";#N/A,#N/A,FALSE,"Plan2"}</definedName>
    <definedName name="XFJKLDJKLGJ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JKLDJKLGJ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rty" localSheetId="3" hidden="1">{#N/A,#N/A,FALSE,"Plan1";#N/A,#N/A,FALSE,"Plan2"}</definedName>
    <definedName name="xfrty" localSheetId="8">{#N/A,#N/A,FALSE,"Plan1";#N/A,#N/A,FALSE,"Plan2"}</definedName>
    <definedName name="xfrty" localSheetId="5" hidden="1">{#N/A,#N/A,FALSE,"Plan1";#N/A,#N/A,FALSE,"Plan2"}</definedName>
    <definedName name="xfrty" localSheetId="4" hidden="1">{#N/A,#N/A,FALSE,"Plan1";#N/A,#N/A,FALSE,"Plan2"}</definedName>
    <definedName name="xfrty" localSheetId="9">{#N/A,#N/A,FALSE,"Plan1";#N/A,#N/A,FALSE,"Plan2"}</definedName>
    <definedName name="xfrty" localSheetId="10" hidden="1">{#N/A,#N/A,FALSE,"Plan1";#N/A,#N/A,FALSE,"Plan2"}</definedName>
    <definedName name="xfrty" localSheetId="1" hidden="1">{#N/A,#N/A,FALSE,"Plan1";#N/A,#N/A,FALSE,"Plan2"}</definedName>
    <definedName name="xfrty" localSheetId="0">{#N/A,#N/A,FALSE,"Plan1";#N/A,#N/A,FALSE,"Plan2"}</definedName>
    <definedName name="xfrty" localSheetId="11" hidden="1">{#N/A,#N/A,FALSE,"Plan1";#N/A,#N/A,FALSE,"Plan2"}</definedName>
    <definedName name="xfrty" localSheetId="12" hidden="1">{#N/A,#N/A,FALSE,"Plan1";#N/A,#N/A,FALSE,"Plan2"}</definedName>
    <definedName name="xfrty" hidden="1">{#N/A,#N/A,FALSE,"Plan1";#N/A,#N/A,FALSE,"Plan2"}</definedName>
    <definedName name="XFT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T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fvchdhhd" localSheetId="3" hidden="1">{"Econ Consolidado",#N/A,FALSE,"Econ Consol";"Fluxo de Caixa",#N/A,FALSE,"Fluxo Caixa";"Investimentos",#N/A,FALSE,"Investimentos"}</definedName>
    <definedName name="xfvchdhhd" localSheetId="8">{"Econ Consolidado",#N/A,FALSE,"Econ Consol";"Fluxo de Caixa",#N/A,FALSE,"Fluxo Caixa";"Investimentos",#N/A,FALSE,"Investimentos"}</definedName>
    <definedName name="xfvchdhhd" localSheetId="5" hidden="1">{"Econ Consolidado",#N/A,FALSE,"Econ Consol";"Fluxo de Caixa",#N/A,FALSE,"Fluxo Caixa";"Investimentos",#N/A,FALSE,"Investimentos"}</definedName>
    <definedName name="xfvchdhhd" localSheetId="4" hidden="1">{"Econ Consolidado",#N/A,FALSE,"Econ Consol";"Fluxo de Caixa",#N/A,FALSE,"Fluxo Caixa";"Investimentos",#N/A,FALSE,"Investimentos"}</definedName>
    <definedName name="xfvchdhhd" localSheetId="9">{"Econ Consolidado",#N/A,FALSE,"Econ Consol";"Fluxo de Caixa",#N/A,FALSE,"Fluxo Caixa";"Investimentos",#N/A,FALSE,"Investimentos"}</definedName>
    <definedName name="xfvchdhhd" localSheetId="10" hidden="1">{"Econ Consolidado",#N/A,FALSE,"Econ Consol";"Fluxo de Caixa",#N/A,FALSE,"Fluxo Caixa";"Investimentos",#N/A,FALSE,"Investimentos"}</definedName>
    <definedName name="xfvchdhhd" localSheetId="1" hidden="1">{"Econ Consolidado",#N/A,FALSE,"Econ Consol";"Fluxo de Caixa",#N/A,FALSE,"Fluxo Caixa";"Investimentos",#N/A,FALSE,"Investimentos"}</definedName>
    <definedName name="xfvchdhhd" localSheetId="0">{"Econ Consolidado",#N/A,FALSE,"Econ Consol";"Fluxo de Caixa",#N/A,FALSE,"Fluxo Caixa";"Investimentos",#N/A,FALSE,"Investimentos"}</definedName>
    <definedName name="xfvchdhhd" localSheetId="11" hidden="1">{"Econ Consolidado",#N/A,FALSE,"Econ Consol";"Fluxo de Caixa",#N/A,FALSE,"Fluxo Caixa";"Investimentos",#N/A,FALSE,"Investimentos"}</definedName>
    <definedName name="xfvchdhhd" localSheetId="12" hidden="1">{"Econ Consolidado",#N/A,FALSE,"Econ Consol";"Fluxo de Caixa",#N/A,FALSE,"Fluxo Caixa";"Investimentos",#N/A,FALSE,"Investimentos"}</definedName>
    <definedName name="xfvchdhhd" hidden="1">{"Econ Consolidado",#N/A,FALSE,"Econ Consol";"Fluxo de Caixa",#N/A,FALSE,"Fluxo Caixa";"Investimentos",#N/A,FALSE,"Investimentos"}</definedName>
    <definedName name="xfvgcfgt" localSheetId="3" hidden="1">{#N/A,#N/A,FALSE,"Plan1";#N/A,#N/A,FALSE,"Plan2"}</definedName>
    <definedName name="xfvgcfgt" localSheetId="8">{#N/A,#N/A,FALSE,"Plan1";#N/A,#N/A,FALSE,"Plan2"}</definedName>
    <definedName name="xfvgcfgt" localSheetId="5" hidden="1">{#N/A,#N/A,FALSE,"Plan1";#N/A,#N/A,FALSE,"Plan2"}</definedName>
    <definedName name="xfvgcfgt" localSheetId="4" hidden="1">{#N/A,#N/A,FALSE,"Plan1";#N/A,#N/A,FALSE,"Plan2"}</definedName>
    <definedName name="xfvgcfgt" localSheetId="9">{#N/A,#N/A,FALSE,"Plan1";#N/A,#N/A,FALSE,"Plan2"}</definedName>
    <definedName name="xfvgcfgt" localSheetId="10" hidden="1">{#N/A,#N/A,FALSE,"Plan1";#N/A,#N/A,FALSE,"Plan2"}</definedName>
    <definedName name="xfvgcfgt" localSheetId="1" hidden="1">{#N/A,#N/A,FALSE,"Plan1";#N/A,#N/A,FALSE,"Plan2"}</definedName>
    <definedName name="xfvgcfgt" localSheetId="0">{#N/A,#N/A,FALSE,"Plan1";#N/A,#N/A,FALSE,"Plan2"}</definedName>
    <definedName name="xfvgcfgt" localSheetId="11" hidden="1">{#N/A,#N/A,FALSE,"Plan1";#N/A,#N/A,FALSE,"Plan2"}</definedName>
    <definedName name="xfvgcfgt" localSheetId="12" hidden="1">{#N/A,#N/A,FALSE,"Plan1";#N/A,#N/A,FALSE,"Plan2"}</definedName>
    <definedName name="xfvgcfgt" hidden="1">{#N/A,#N/A,FALSE,"Plan1";#N/A,#N/A,FALSE,"Plan2"}</definedName>
    <definedName name="xgrg" localSheetId="3" hidden="1">{#N/A,#N/A,FALSE,"Plan1";#N/A,#N/A,FALSE,"Plan2"}</definedName>
    <definedName name="xgrg" localSheetId="8">{#N/A,#N/A,FALSE,"Plan1";#N/A,#N/A,FALSE,"Plan2"}</definedName>
    <definedName name="xgrg" localSheetId="5" hidden="1">{#N/A,#N/A,FALSE,"Plan1";#N/A,#N/A,FALSE,"Plan2"}</definedName>
    <definedName name="xgrg" localSheetId="4" hidden="1">{#N/A,#N/A,FALSE,"Plan1";#N/A,#N/A,FALSE,"Plan2"}</definedName>
    <definedName name="xgrg" localSheetId="9">{#N/A,#N/A,FALSE,"Plan1";#N/A,#N/A,FALSE,"Plan2"}</definedName>
    <definedName name="xgrg" localSheetId="10" hidden="1">{#N/A,#N/A,FALSE,"Plan1";#N/A,#N/A,FALSE,"Plan2"}</definedName>
    <definedName name="xgrg" localSheetId="1" hidden="1">{#N/A,#N/A,FALSE,"Plan1";#N/A,#N/A,FALSE,"Plan2"}</definedName>
    <definedName name="xgrg" localSheetId="0">{#N/A,#N/A,FALSE,"Plan1";#N/A,#N/A,FALSE,"Plan2"}</definedName>
    <definedName name="xgrg" localSheetId="11" hidden="1">{#N/A,#N/A,FALSE,"Plan1";#N/A,#N/A,FALSE,"Plan2"}</definedName>
    <definedName name="xgrg" localSheetId="12" hidden="1">{#N/A,#N/A,FALSE,"Plan1";#N/A,#N/A,FALSE,"Plan2"}</definedName>
    <definedName name="xgrg" hidden="1">{#N/A,#N/A,FALSE,"Plan1";#N/A,#N/A,FALSE,"Plan2"}</definedName>
    <definedName name="XI" localSheetId="8">#REF!</definedName>
    <definedName name="XI" localSheetId="5">#REF!</definedName>
    <definedName name="XI" localSheetId="9">#REF!</definedName>
    <definedName name="XI" localSheetId="10">#REF!</definedName>
    <definedName name="XI" localSheetId="0">#REF!</definedName>
    <definedName name="XI" localSheetId="11">#REF!</definedName>
    <definedName name="XI" localSheetId="12">#REF!</definedName>
    <definedName name="XI">#REF!</definedName>
    <definedName name="XII" localSheetId="8">#REF!</definedName>
    <definedName name="XII" localSheetId="5">#REF!</definedName>
    <definedName name="XII" localSheetId="9">#REF!</definedName>
    <definedName name="XII" localSheetId="10">#REF!</definedName>
    <definedName name="XII" localSheetId="0">#REF!</definedName>
    <definedName name="XII" localSheetId="11">#REF!</definedName>
    <definedName name="XII" localSheetId="12">#REF!</definedName>
    <definedName name="XII">#REF!</definedName>
    <definedName name="XIII" localSheetId="8">#REF!</definedName>
    <definedName name="XIII" localSheetId="5">#REF!</definedName>
    <definedName name="XIII" localSheetId="9">#REF!</definedName>
    <definedName name="XIII" localSheetId="10">#REF!</definedName>
    <definedName name="XIII" localSheetId="0">#REF!</definedName>
    <definedName name="XIII" localSheetId="11">#REF!</definedName>
    <definedName name="XIII" localSheetId="12">#REF!</definedName>
    <definedName name="XIII">#REF!</definedName>
    <definedName name="XITEM" localSheetId="8">#REF!</definedName>
    <definedName name="XITEM" localSheetId="5">#REF!</definedName>
    <definedName name="XITEM" localSheetId="10">#REF!</definedName>
    <definedName name="XITEM" localSheetId="11">#REF!</definedName>
    <definedName name="XITEM" localSheetId="12">#REF!</definedName>
    <definedName name="XITEM">#REF!</definedName>
    <definedName name="XIV" localSheetId="8">#REF!</definedName>
    <definedName name="XIV" localSheetId="5">#REF!</definedName>
    <definedName name="XIV" localSheetId="10">#REF!</definedName>
    <definedName name="XIV" localSheetId="11">#REF!</definedName>
    <definedName name="XIV" localSheetId="12">#REF!</definedName>
    <definedName name="XIV">#REF!</definedName>
    <definedName name="XLOC" localSheetId="8">#REF!</definedName>
    <definedName name="XLOC" localSheetId="5">#REF!</definedName>
    <definedName name="XLOC" localSheetId="10">#REF!</definedName>
    <definedName name="XLOC" localSheetId="11">#REF!</definedName>
    <definedName name="XLOC" localSheetId="12">#REF!</definedName>
    <definedName name="XLOC">#REF!</definedName>
    <definedName name="xmght" localSheetId="3" hidden="1">{#N/A,#N/A,FALSE,"Plan1";#N/A,#N/A,FALSE,"Plan2"}</definedName>
    <definedName name="xmght" localSheetId="8">{#N/A,#N/A,FALSE,"Plan1";#N/A,#N/A,FALSE,"Plan2"}</definedName>
    <definedName name="xmght" localSheetId="5" hidden="1">{#N/A,#N/A,FALSE,"Plan1";#N/A,#N/A,FALSE,"Plan2"}</definedName>
    <definedName name="xmght" localSheetId="4" hidden="1">{#N/A,#N/A,FALSE,"Plan1";#N/A,#N/A,FALSE,"Plan2"}</definedName>
    <definedName name="xmght" localSheetId="9">{#N/A,#N/A,FALSE,"Plan1";#N/A,#N/A,FALSE,"Plan2"}</definedName>
    <definedName name="xmght" localSheetId="10" hidden="1">{#N/A,#N/A,FALSE,"Plan1";#N/A,#N/A,FALSE,"Plan2"}</definedName>
    <definedName name="xmght" localSheetId="1" hidden="1">{#N/A,#N/A,FALSE,"Plan1";#N/A,#N/A,FALSE,"Plan2"}</definedName>
    <definedName name="xmght" localSheetId="0">{#N/A,#N/A,FALSE,"Plan1";#N/A,#N/A,FALSE,"Plan2"}</definedName>
    <definedName name="xmght" localSheetId="11" hidden="1">{#N/A,#N/A,FALSE,"Plan1";#N/A,#N/A,FALSE,"Plan2"}</definedName>
    <definedName name="xmght" localSheetId="12" hidden="1">{#N/A,#N/A,FALSE,"Plan1";#N/A,#N/A,FALSE,"Plan2"}</definedName>
    <definedName name="xmght" hidden="1">{#N/A,#N/A,FALSE,"Plan1";#N/A,#N/A,FALSE,"Plan2"}</definedName>
    <definedName name="xnInforme_quantos_bebedouros____bebqt__if_bebqt__0__xlQt.bebedouros_invalida___ENTER_p_reinformar__xresp__branch_rqtderv" localSheetId="8">#REF!</definedName>
    <definedName name="xnInforme_quantos_bebedouros____bebqt__if_bebqt__0__xlQt.bebedouros_invalida___ENTER_p_reinformar__xresp__branch_rqtderv" localSheetId="5">#REF!</definedName>
    <definedName name="xnInforme_quantos_bebedouros____bebqt__if_bebqt__0__xlQt.bebedouros_invalida___ENTER_p_reinformar__xresp__branch_rqtderv" localSheetId="9">#REF!</definedName>
    <definedName name="xnInforme_quantos_bebedouros____bebqt__if_bebqt__0__xlQt.bebedouros_invalida___ENTER_p_reinformar__xresp__branch_rqtderv" localSheetId="10">#REF!</definedName>
    <definedName name="xnInforme_quantos_bebedouros____bebqt__if_bebqt__0__xlQt.bebedouros_invalida___ENTER_p_reinformar__xresp__branch_rqtderv" localSheetId="0">#REF!</definedName>
    <definedName name="xnInforme_quantos_bebedouros____bebqt__if_bebqt__0__xlQt.bebedouros_invalida___ENTER_p_reinformar__xresp__branch_rqtderv" localSheetId="11">#REF!</definedName>
    <definedName name="xnInforme_quantos_bebedouros____bebqt__if_bebqt__0__xlQt.bebedouros_invalida___ENTER_p_reinformar__xresp__branch_rqtderv" localSheetId="12">#REF!</definedName>
    <definedName name="xnInforme_quantos_bebedouros____bebqt__if_bebqt__0__xlQt.bebedouros_invalida___ENTER_p_reinformar__xresp__branch_rqtderv">#REF!</definedName>
    <definedName name="XNUCOPIAS" localSheetId="8">#REF!</definedName>
    <definedName name="XNUCOPIAS" localSheetId="5">#REF!</definedName>
    <definedName name="XNUCOPIAS" localSheetId="9">#REF!</definedName>
    <definedName name="XNUCOPIAS" localSheetId="10">#REF!</definedName>
    <definedName name="XNUCOPIAS" localSheetId="0">#REF!</definedName>
    <definedName name="XNUCOPIAS" localSheetId="11">#REF!</definedName>
    <definedName name="XNUCOPIAS" localSheetId="12">#REF!</definedName>
    <definedName name="XNUCOPIAS">#REF!</definedName>
    <definedName name="xo" localSheetId="3" hidden="1">{#N/A,#N/A,FALSE,"Global by BU";#N/A,#N/A,FALSE,"U.S. by BU";#N/A,#N/A,FALSE,"Canada by BU";#N/A,#N/A,FALSE,"Europe by BU";#N/A,#N/A,FALSE,"Asia by BU";#N/A,#N/A,FALSE,"Cala by BU"}</definedName>
    <definedName name="xo" localSheetId="8">{#N/A,#N/A,FALSE,"Global by BU";#N/A,#N/A,FALSE,"U.S. by BU";#N/A,#N/A,FALSE,"Canada by BU";#N/A,#N/A,FALSE,"Europe by BU";#N/A,#N/A,FALSE,"Asia by BU";#N/A,#N/A,FALSE,"Cala by BU"}</definedName>
    <definedName name="xo" localSheetId="5" hidden="1">{#N/A,#N/A,FALSE,"Global by BU";#N/A,#N/A,FALSE,"U.S. by BU";#N/A,#N/A,FALSE,"Canada by BU";#N/A,#N/A,FALSE,"Europe by BU";#N/A,#N/A,FALSE,"Asia by BU";#N/A,#N/A,FALSE,"Cala by BU"}</definedName>
    <definedName name="xo" localSheetId="4" hidden="1">{#N/A,#N/A,FALSE,"Global by BU";#N/A,#N/A,FALSE,"U.S. by BU";#N/A,#N/A,FALSE,"Canada by BU";#N/A,#N/A,FALSE,"Europe by BU";#N/A,#N/A,FALSE,"Asia by BU";#N/A,#N/A,FALSE,"Cala by BU"}</definedName>
    <definedName name="xo" localSheetId="9">{#N/A,#N/A,FALSE,"Global by BU";#N/A,#N/A,FALSE,"U.S. by BU";#N/A,#N/A,FALSE,"Canada by BU";#N/A,#N/A,FALSE,"Europe by BU";#N/A,#N/A,FALSE,"Asia by BU";#N/A,#N/A,FALSE,"Cala by BU"}</definedName>
    <definedName name="xo" localSheetId="10" hidden="1">{#N/A,#N/A,FALSE,"Global by BU";#N/A,#N/A,FALSE,"U.S. by BU";#N/A,#N/A,FALSE,"Canada by BU";#N/A,#N/A,FALSE,"Europe by BU";#N/A,#N/A,FALSE,"Asia by BU";#N/A,#N/A,FALSE,"Cala by BU"}</definedName>
    <definedName name="xo" localSheetId="1" hidden="1">{#N/A,#N/A,FALSE,"Global by BU";#N/A,#N/A,FALSE,"U.S. by BU";#N/A,#N/A,FALSE,"Canada by BU";#N/A,#N/A,FALSE,"Europe by BU";#N/A,#N/A,FALSE,"Asia by BU";#N/A,#N/A,FALSE,"Cala by BU"}</definedName>
    <definedName name="xo" localSheetId="0">{#N/A,#N/A,FALSE,"Global by BU";#N/A,#N/A,FALSE,"U.S. by BU";#N/A,#N/A,FALSE,"Canada by BU";#N/A,#N/A,FALSE,"Europe by BU";#N/A,#N/A,FALSE,"Asia by BU";#N/A,#N/A,FALSE,"Cala by BU"}</definedName>
    <definedName name="xo" localSheetId="11" hidden="1">{#N/A,#N/A,FALSE,"Global by BU";#N/A,#N/A,FALSE,"U.S. by BU";#N/A,#N/A,FALSE,"Canada by BU";#N/A,#N/A,FALSE,"Europe by BU";#N/A,#N/A,FALSE,"Asia by BU";#N/A,#N/A,FALSE,"Cala by BU"}</definedName>
    <definedName name="xo" localSheetId="12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REF_COLUMN_1" localSheetId="8">#REF!</definedName>
    <definedName name="XREF_COLUMN_1" localSheetId="5" hidden="1">#REF!</definedName>
    <definedName name="XREF_COLUMN_1" localSheetId="9">#REF!</definedName>
    <definedName name="XREF_COLUMN_1" localSheetId="10" hidden="1">#REF!</definedName>
    <definedName name="XREF_COLUMN_1" localSheetId="1" hidden="1">#REF!</definedName>
    <definedName name="XREF_COLUMN_1" localSheetId="0">#REF!</definedName>
    <definedName name="XREF_COLUMN_1" localSheetId="11" hidden="1">#REF!</definedName>
    <definedName name="XREF_COLUMN_1" localSheetId="12" hidden="1">#REF!</definedName>
    <definedName name="XREF_COLUMN_1" hidden="1">#REF!</definedName>
    <definedName name="XREF_COLUMN_2" localSheetId="8">#REF!</definedName>
    <definedName name="XREF_COLUMN_2" localSheetId="5" hidden="1">#REF!</definedName>
    <definedName name="XREF_COLUMN_2" localSheetId="9">#REF!</definedName>
    <definedName name="XREF_COLUMN_2" localSheetId="10" hidden="1">#REF!</definedName>
    <definedName name="XREF_COLUMN_2" localSheetId="1" hidden="1">#REF!</definedName>
    <definedName name="XREF_COLUMN_2" localSheetId="0">#REF!</definedName>
    <definedName name="XREF_COLUMN_2" localSheetId="11" hidden="1">#REF!</definedName>
    <definedName name="XREF_COLUMN_2" localSheetId="12" hidden="1">#REF!</definedName>
    <definedName name="XREF_COLUMN_2" hidden="1">#REF!</definedName>
    <definedName name="XREF_COLUMN_3" localSheetId="8">#REF!</definedName>
    <definedName name="XREF_COLUMN_3" localSheetId="9">#REF!</definedName>
    <definedName name="XREF_COLUMN_3" localSheetId="0">#REF!</definedName>
    <definedName name="XREF_COLUMN_3" hidden="1">#REF!</definedName>
    <definedName name="XREF_COLUMN_4" localSheetId="8">#REF!</definedName>
    <definedName name="XREF_COLUMN_4" hidden="1">#REF!</definedName>
    <definedName name="XRefColumnsCount" hidden="1">1</definedName>
    <definedName name="XRefCopy2" localSheetId="8">#REF!</definedName>
    <definedName name="XRefCopy2" localSheetId="5" hidden="1">#REF!</definedName>
    <definedName name="XRefCopy2" localSheetId="9">#REF!</definedName>
    <definedName name="XRefCopy2" localSheetId="10" hidden="1">#REF!</definedName>
    <definedName name="XRefCopy2" localSheetId="0">#REF!</definedName>
    <definedName name="XRefCopy2" localSheetId="11" hidden="1">#REF!</definedName>
    <definedName name="XRefCopy2" localSheetId="12" hidden="1">#REF!</definedName>
    <definedName name="XRefCopy2" hidden="1">#REF!</definedName>
    <definedName name="XRefCopy3Row" localSheetId="8">#REF!</definedName>
    <definedName name="XRefCopy3Row" localSheetId="5" hidden="1">#REF!</definedName>
    <definedName name="XRefCopy3Row" localSheetId="9">#REF!</definedName>
    <definedName name="XRefCopy3Row" localSheetId="10" hidden="1">#REF!</definedName>
    <definedName name="XRefCopy3Row" localSheetId="1" hidden="1">#REF!</definedName>
    <definedName name="XRefCopy3Row" localSheetId="0">#REF!</definedName>
    <definedName name="XRefCopy3Row" localSheetId="11" hidden="1">#REF!</definedName>
    <definedName name="XRefCopy3Row" localSheetId="12" hidden="1">#REF!</definedName>
    <definedName name="XRefCopy3Row" hidden="1">#REF!</definedName>
    <definedName name="XRefCopy4Row" localSheetId="8">#REF!</definedName>
    <definedName name="XRefCopy4Row" localSheetId="9">#REF!</definedName>
    <definedName name="XRefCopy4Row" localSheetId="10" hidden="1">#REF!</definedName>
    <definedName name="XRefCopy4Row" localSheetId="0">#REF!</definedName>
    <definedName name="XRefCopy4Row" localSheetId="11" hidden="1">#REF!</definedName>
    <definedName name="XRefCopy4Row" localSheetId="12" hidden="1">#REF!</definedName>
    <definedName name="XRefCopy4Row" hidden="1">#REF!</definedName>
    <definedName name="XRefCopy6" localSheetId="8">#REF!</definedName>
    <definedName name="XRefCopy6" hidden="1">#REF!</definedName>
    <definedName name="XRefCopyRangeCount" hidden="1">1</definedName>
    <definedName name="XRefPaste2" localSheetId="8">#REF!</definedName>
    <definedName name="XRefPaste2" localSheetId="5" hidden="1">#REF!</definedName>
    <definedName name="XRefPaste2" localSheetId="9">#REF!</definedName>
    <definedName name="XRefPaste2" localSheetId="10" hidden="1">#REF!</definedName>
    <definedName name="XRefPaste2" localSheetId="0">#REF!</definedName>
    <definedName name="XRefPaste2" localSheetId="11" hidden="1">#REF!</definedName>
    <definedName name="XRefPaste2" localSheetId="12" hidden="1">#REF!</definedName>
    <definedName name="XRefPaste2" hidden="1">#REF!</definedName>
    <definedName name="XRefPaste4" localSheetId="8">#REF!</definedName>
    <definedName name="XRefPaste4" localSheetId="5" hidden="1">#REF!</definedName>
    <definedName name="XRefPaste4" localSheetId="9">#REF!</definedName>
    <definedName name="XRefPaste4" localSheetId="10" hidden="1">#REF!</definedName>
    <definedName name="XRefPaste4" localSheetId="0">#REF!</definedName>
    <definedName name="XRefPaste4" localSheetId="11" hidden="1">#REF!</definedName>
    <definedName name="XRefPaste4" localSheetId="12" hidden="1">#REF!</definedName>
    <definedName name="XRefPaste4" hidden="1">#REF!</definedName>
    <definedName name="XRefPaste5" localSheetId="8">#REF!</definedName>
    <definedName name="XRefPaste5" localSheetId="9">#REF!</definedName>
    <definedName name="XRefPaste5" localSheetId="0">#REF!</definedName>
    <definedName name="XRefPaste5" hidden="1">#REF!</definedName>
    <definedName name="XRefPaste6" localSheetId="8">#REF!</definedName>
    <definedName name="XRefPaste6" hidden="1">#REF!</definedName>
    <definedName name="XRefPaste7Row" localSheetId="8">#REF!</definedName>
    <definedName name="XRefPaste7Row" hidden="1">#REF!</definedName>
    <definedName name="XRefPasteRangeCount" hidden="1">1</definedName>
    <definedName name="XRESP" localSheetId="8">#REF!</definedName>
    <definedName name="XRESP" localSheetId="5">#REF!</definedName>
    <definedName name="XRESP" localSheetId="9">#REF!</definedName>
    <definedName name="XRESP" localSheetId="10">#REF!</definedName>
    <definedName name="XRESP" localSheetId="0">#REF!</definedName>
    <definedName name="XRESP" localSheetId="11">#REF!</definedName>
    <definedName name="XRESP" localSheetId="12">#REF!</definedName>
    <definedName name="XRESP">#REF!</definedName>
    <definedName name="XTITRES" localSheetId="8">#REF!</definedName>
    <definedName name="XTITRES" localSheetId="5">#REF!</definedName>
    <definedName name="XTITRES" localSheetId="9">#REF!</definedName>
    <definedName name="XTITRES" localSheetId="10">#REF!</definedName>
    <definedName name="XTITRES" localSheetId="0">#REF!</definedName>
    <definedName name="XTITRES" localSheetId="11">#REF!</definedName>
    <definedName name="XTITRES" localSheetId="12">#REF!</definedName>
    <definedName name="XTITRES">#REF!</definedName>
    <definedName name="XV" localSheetId="8">#REF!</definedName>
    <definedName name="XV" localSheetId="5">#REF!</definedName>
    <definedName name="XV" localSheetId="9">#REF!</definedName>
    <definedName name="XV" localSheetId="10">#REF!</definedName>
    <definedName name="XV" localSheetId="0">#REF!</definedName>
    <definedName name="XV" localSheetId="11">#REF!</definedName>
    <definedName name="XV" localSheetId="12">#REF!</definedName>
    <definedName name="XV">#REF!</definedName>
    <definedName name="xx" localSheetId="8">#REF!</definedName>
    <definedName name="XX" localSheetId="5">#REF!</definedName>
    <definedName name="xx" localSheetId="10" hidden="1">#REF!</definedName>
    <definedName name="xx" localSheetId="1" hidden="1">#REF!</definedName>
    <definedName name="xx" localSheetId="11" hidden="1">#REF!</definedName>
    <definedName name="xx" localSheetId="12" hidden="1">#REF!</definedName>
    <definedName name="XX">#REF!</definedName>
    <definedName name="XXI" localSheetId="8">#REF!</definedName>
    <definedName name="XXI" localSheetId="5">#REF!</definedName>
    <definedName name="XXI" localSheetId="10">#REF!</definedName>
    <definedName name="XXI" localSheetId="11">#REF!</definedName>
    <definedName name="XXI" localSheetId="12">#REF!</definedName>
    <definedName name="XXI">#REF!</definedName>
    <definedName name="XXII" localSheetId="8">#REF!</definedName>
    <definedName name="XXII" localSheetId="5">#REF!</definedName>
    <definedName name="XXII" localSheetId="10">#REF!</definedName>
    <definedName name="XXII" localSheetId="11">#REF!</definedName>
    <definedName name="XXII" localSheetId="12">#REF!</definedName>
    <definedName name="XXII">#REF!</definedName>
    <definedName name="XXIII" localSheetId="8">#REF!</definedName>
    <definedName name="XXIII" localSheetId="5">#REF!</definedName>
    <definedName name="XXIII" localSheetId="10">#REF!</definedName>
    <definedName name="XXIII" localSheetId="11">#REF!</definedName>
    <definedName name="XXIII" localSheetId="12">#REF!</definedName>
    <definedName name="XXIII">#REF!</definedName>
    <definedName name="XXIV" localSheetId="8">#REF!</definedName>
    <definedName name="XXIV" localSheetId="5">#REF!</definedName>
    <definedName name="XXIV" localSheetId="10">#REF!</definedName>
    <definedName name="XXIV" localSheetId="11">#REF!</definedName>
    <definedName name="XXIV" localSheetId="12">#REF!</definedName>
    <definedName name="XXIV">#REF!</definedName>
    <definedName name="XXV" localSheetId="8">#REF!</definedName>
    <definedName name="XXV" localSheetId="5">#REF!</definedName>
    <definedName name="XXV" localSheetId="10">#REF!</definedName>
    <definedName name="XXV" localSheetId="11">#REF!</definedName>
    <definedName name="XXV" localSheetId="12">#REF!</definedName>
    <definedName name="XXV">#REF!</definedName>
    <definedName name="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5">#REF!</definedName>
    <definedName name="xxx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9">#REF!</definedName>
    <definedName name="xxx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0">#REF!</definedName>
    <definedName name="xx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">#REF!</definedName>
    <definedName name="XXXI" localSheetId="8">#REF!</definedName>
    <definedName name="XXXI" localSheetId="5">#REF!</definedName>
    <definedName name="XXXI" localSheetId="10">#REF!</definedName>
    <definedName name="XXXI" localSheetId="11">#REF!</definedName>
    <definedName name="XXXI" localSheetId="12">#REF!</definedName>
    <definedName name="XXXI">#REF!</definedName>
    <definedName name="XXXII" localSheetId="8">#REF!</definedName>
    <definedName name="XXXII" localSheetId="5">#REF!</definedName>
    <definedName name="XXXII" localSheetId="10">#REF!</definedName>
    <definedName name="XXXII" localSheetId="11">#REF!</definedName>
    <definedName name="XXXII" localSheetId="12">#REF!</definedName>
    <definedName name="XXXII">#REF!</definedName>
    <definedName name="XXXIII" localSheetId="8">#REF!</definedName>
    <definedName name="XXXIII" localSheetId="5">#REF!</definedName>
    <definedName name="XXXIII" localSheetId="10">#REF!</definedName>
    <definedName name="XXXIII" localSheetId="11">#REF!</definedName>
    <definedName name="XXXIII" localSheetId="12">#REF!</definedName>
    <definedName name="XXXIII">#REF!</definedName>
    <definedName name="XXXIV" localSheetId="8">#REF!</definedName>
    <definedName name="XXXIV" localSheetId="5">#REF!</definedName>
    <definedName name="XXXIV" localSheetId="10">#REF!</definedName>
    <definedName name="XXXIV" localSheetId="11">#REF!</definedName>
    <definedName name="XXXIV" localSheetId="12">#REF!</definedName>
    <definedName name="XXXIV">#REF!</definedName>
    <definedName name="XXXIX" localSheetId="8">#REF!</definedName>
    <definedName name="XXXIX" localSheetId="5">#REF!</definedName>
    <definedName name="XXXIX" localSheetId="10">#REF!</definedName>
    <definedName name="XXXIX" localSheetId="11">#REF!</definedName>
    <definedName name="XXXIX" localSheetId="12">#REF!</definedName>
    <definedName name="XXXIX">#REF!</definedName>
    <definedName name="XXXV" localSheetId="8">#REF!</definedName>
    <definedName name="XXXV" localSheetId="5">#REF!</definedName>
    <definedName name="XXXV" localSheetId="10">#REF!</definedName>
    <definedName name="XXXV" localSheetId="11">#REF!</definedName>
    <definedName name="XXXV" localSheetId="12">#REF!</definedName>
    <definedName name="XXXV">#REF!</definedName>
    <definedName name="XXXVI" localSheetId="8">#REF!</definedName>
    <definedName name="XXXVI" localSheetId="5">#REF!</definedName>
    <definedName name="XXXVI" localSheetId="10">#REF!</definedName>
    <definedName name="XXXVI" localSheetId="11">#REF!</definedName>
    <definedName name="XXXVI" localSheetId="12">#REF!</definedName>
    <definedName name="XXXVI">#REF!</definedName>
    <definedName name="XXXVII" localSheetId="8">#REF!</definedName>
    <definedName name="XXXVII" localSheetId="5">#REF!</definedName>
    <definedName name="XXXVII" localSheetId="10">#REF!</definedName>
    <definedName name="XXXVII" localSheetId="11">#REF!</definedName>
    <definedName name="XXXVII" localSheetId="12">#REF!</definedName>
    <definedName name="XXXVII">#REF!</definedName>
    <definedName name="XXXVIII" localSheetId="8">#REF!</definedName>
    <definedName name="XXXVIII" localSheetId="5">#REF!</definedName>
    <definedName name="XXXVIII" localSheetId="10">#REF!</definedName>
    <definedName name="XXXVIII" localSheetId="11">#REF!</definedName>
    <definedName name="XXXVIII" localSheetId="12">#REF!</definedName>
    <definedName name="XXXVIII">#REF!</definedName>
    <definedName name="xxxx" localSheetId="3">#REF!</definedName>
    <definedName name="xxxx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4">#REF!</definedName>
    <definedName name="xxxx" localSheetId="9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0">#REF!</definedName>
    <definedName name="xxxx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0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" localSheetId="11">#REF!</definedName>
    <definedName name="xxxx" localSheetId="12">#REF!</definedName>
    <definedName name="xxxx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XXXXX" localSheetId="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8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5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9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0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localSheetId="1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xxxx" localSheetId="3" hidden="1">{"'Edit'!$A$1:$V$2277"}</definedName>
    <definedName name="xxxxxxxxxxxx" localSheetId="8">{"'Edit'!$A$1:$V$2277"}</definedName>
    <definedName name="xxxxxxxxxxxx" localSheetId="5">#REF!</definedName>
    <definedName name="xxxxxxxxxxxx" localSheetId="4" hidden="1">{"'Edit'!$A$1:$V$2277"}</definedName>
    <definedName name="xxxxxxxxxxxx" localSheetId="9">#REF!</definedName>
    <definedName name="xxxxxxxxxxxx" localSheetId="10" hidden="1">{"'Edit'!$A$1:$V$2277"}</definedName>
    <definedName name="xxxxxxxxxxxx" localSheetId="1" hidden="1">{"'Edit'!$A$1:$V$2277"}</definedName>
    <definedName name="xxxxxxxxxxxx" localSheetId="0">#REF!</definedName>
    <definedName name="xxxxxxxxxxxx" localSheetId="11" hidden="1">{"'Edit'!$A$1:$V$2277"}</definedName>
    <definedName name="xxxxxxxxxxxx" localSheetId="12" hidden="1">{"'Edit'!$A$1:$V$2277"}</definedName>
    <definedName name="xxxxxxxxxxxx">#REF!</definedName>
    <definedName name="xxxxxxxxxxxxxx" localSheetId="3" hidden="1">{#N/A,#N/A,FALSE,"Plan1";#N/A,#N/A,FALSE,"Plan2"}</definedName>
    <definedName name="xxxxxxxxxxxxxx" localSheetId="8">{#N/A,#N/A,FALSE,"Plan1";#N/A,#N/A,FALSE,"Plan2"}</definedName>
    <definedName name="xxxxxxxxxxxxxx" localSheetId="5" hidden="1">{#N/A,#N/A,FALSE,"Plan1";#N/A,#N/A,FALSE,"Plan2"}</definedName>
    <definedName name="xxxxxxxxxxxxxx" localSheetId="4" hidden="1">{#N/A,#N/A,FALSE,"Plan1";#N/A,#N/A,FALSE,"Plan2"}</definedName>
    <definedName name="xxxxxxxxxxxxxx" localSheetId="9">{#N/A,#N/A,FALSE,"Plan1";#N/A,#N/A,FALSE,"Plan2"}</definedName>
    <definedName name="xxxxxxxxxxxxxx" localSheetId="10" hidden="1">{#N/A,#N/A,FALSE,"Plan1";#N/A,#N/A,FALSE,"Plan2"}</definedName>
    <definedName name="xxxxxxxxxxxxxx" localSheetId="1" hidden="1">{#N/A,#N/A,FALSE,"Plan1";#N/A,#N/A,FALSE,"Plan2"}</definedName>
    <definedName name="xxxxxxxxxxxxxx" localSheetId="0">{#N/A,#N/A,FALSE,"Plan1";#N/A,#N/A,FALSE,"Plan2"}</definedName>
    <definedName name="xxxxxxxxxxxxxx" localSheetId="11" hidden="1">{#N/A,#N/A,FALSE,"Plan1";#N/A,#N/A,FALSE,"Plan2"}</definedName>
    <definedName name="xxxxxxxxxxxxxx" localSheetId="12" hidden="1">{#N/A,#N/A,FALSE,"Plan1";#N/A,#N/A,FALSE,"Plan2"}</definedName>
    <definedName name="xxxxxxxxxxxxxx" hidden="1">{#N/A,#N/A,FALSE,"Plan1";#N/A,#N/A,FALSE,"Plan2"}</definedName>
    <definedName name="xzfrt" localSheetId="3" hidden="1">{#N/A,#N/A,FALSE,"Plan1";#N/A,#N/A,FALSE,"Plan2"}</definedName>
    <definedName name="xzfrt" localSheetId="8">{#N/A,#N/A,FALSE,"Plan1";#N/A,#N/A,FALSE,"Plan2"}</definedName>
    <definedName name="xzfrt" localSheetId="5" hidden="1">{#N/A,#N/A,FALSE,"Plan1";#N/A,#N/A,FALSE,"Plan2"}</definedName>
    <definedName name="xzfrt" localSheetId="4" hidden="1">{#N/A,#N/A,FALSE,"Plan1";#N/A,#N/A,FALSE,"Plan2"}</definedName>
    <definedName name="xzfrt" localSheetId="9">{#N/A,#N/A,FALSE,"Plan1";#N/A,#N/A,FALSE,"Plan2"}</definedName>
    <definedName name="xzfrt" localSheetId="10" hidden="1">{#N/A,#N/A,FALSE,"Plan1";#N/A,#N/A,FALSE,"Plan2"}</definedName>
    <definedName name="xzfrt" localSheetId="1" hidden="1">{#N/A,#N/A,FALSE,"Plan1";#N/A,#N/A,FALSE,"Plan2"}</definedName>
    <definedName name="xzfrt" localSheetId="0">{#N/A,#N/A,FALSE,"Plan1";#N/A,#N/A,FALSE,"Plan2"}</definedName>
    <definedName name="xzfrt" localSheetId="11" hidden="1">{#N/A,#N/A,FALSE,"Plan1";#N/A,#N/A,FALSE,"Plan2"}</definedName>
    <definedName name="xzfrt" localSheetId="12" hidden="1">{#N/A,#N/A,FALSE,"Plan1";#N/A,#N/A,FALSE,"Plan2"}</definedName>
    <definedName name="xzfrt" hidden="1">{#N/A,#N/A,FALSE,"Plan1";#N/A,#N/A,FALSE,"Plan2"}</definedName>
    <definedName name="yeitrtged" localSheetId="3" hidden="1">{#N/A,#N/A,FALSE,"Plan1";#N/A,#N/A,FALSE,"Plan2"}</definedName>
    <definedName name="yeitrtged" localSheetId="8">{#N/A,#N/A,FALSE,"Plan1";#N/A,#N/A,FALSE,"Plan2"}</definedName>
    <definedName name="yeitrtged" localSheetId="5" hidden="1">{#N/A,#N/A,FALSE,"Plan1";#N/A,#N/A,FALSE,"Plan2"}</definedName>
    <definedName name="yeitrtged" localSheetId="4" hidden="1">{#N/A,#N/A,FALSE,"Plan1";#N/A,#N/A,FALSE,"Plan2"}</definedName>
    <definedName name="yeitrtged" localSheetId="9">{#N/A,#N/A,FALSE,"Plan1";#N/A,#N/A,FALSE,"Plan2"}</definedName>
    <definedName name="yeitrtged" localSheetId="10" hidden="1">{#N/A,#N/A,FALSE,"Plan1";#N/A,#N/A,FALSE,"Plan2"}</definedName>
    <definedName name="yeitrtged" localSheetId="1" hidden="1">{#N/A,#N/A,FALSE,"Plan1";#N/A,#N/A,FALSE,"Plan2"}</definedName>
    <definedName name="yeitrtged" localSheetId="0">{#N/A,#N/A,FALSE,"Plan1";#N/A,#N/A,FALSE,"Plan2"}</definedName>
    <definedName name="yeitrtged" localSheetId="11" hidden="1">{#N/A,#N/A,FALSE,"Plan1";#N/A,#N/A,FALSE,"Plan2"}</definedName>
    <definedName name="yeitrtged" localSheetId="12" hidden="1">{#N/A,#N/A,FALSE,"Plan1";#N/A,#N/A,FALSE,"Plan2"}</definedName>
    <definedName name="yeitrtged" hidden="1">{#N/A,#N/A,FALSE,"Plan1";#N/A,#N/A,FALSE,"Plan2"}</definedName>
    <definedName name="yhdfiuygrui" localSheetId="3" hidden="1">{#N/A,#N/A,FALSE,"Plan1";#N/A,#N/A,FALSE,"Plan2"}</definedName>
    <definedName name="yhdfiuygrui" localSheetId="8">{#N/A,#N/A,FALSE,"Plan1";#N/A,#N/A,FALSE,"Plan2"}</definedName>
    <definedName name="yhdfiuygrui" localSheetId="5" hidden="1">{#N/A,#N/A,FALSE,"Plan1";#N/A,#N/A,FALSE,"Plan2"}</definedName>
    <definedName name="yhdfiuygrui" localSheetId="4" hidden="1">{#N/A,#N/A,FALSE,"Plan1";#N/A,#N/A,FALSE,"Plan2"}</definedName>
    <definedName name="yhdfiuygrui" localSheetId="9">{#N/A,#N/A,FALSE,"Plan1";#N/A,#N/A,FALSE,"Plan2"}</definedName>
    <definedName name="yhdfiuygrui" localSheetId="10" hidden="1">{#N/A,#N/A,FALSE,"Plan1";#N/A,#N/A,FALSE,"Plan2"}</definedName>
    <definedName name="yhdfiuygrui" localSheetId="1" hidden="1">{#N/A,#N/A,FALSE,"Plan1";#N/A,#N/A,FALSE,"Plan2"}</definedName>
    <definedName name="yhdfiuygrui" localSheetId="0">{#N/A,#N/A,FALSE,"Plan1";#N/A,#N/A,FALSE,"Plan2"}</definedName>
    <definedName name="yhdfiuygrui" localSheetId="11" hidden="1">{#N/A,#N/A,FALSE,"Plan1";#N/A,#N/A,FALSE,"Plan2"}</definedName>
    <definedName name="yhdfiuygrui" localSheetId="12" hidden="1">{#N/A,#N/A,FALSE,"Plan1";#N/A,#N/A,FALSE,"Plan2"}</definedName>
    <definedName name="yhdfiuygrui" hidden="1">{#N/A,#N/A,FALSE,"Plan1";#N/A,#N/A,FALSE,"Plan2"}</definedName>
    <definedName name="YRGUYDRIY" localSheetId="3" hidden="1">{"Econ Consolidado",#N/A,FALSE,"Econ Consol";"Fluxo de Caixa",#N/A,FALSE,"Fluxo Caixa";"Investimentos",#N/A,FALSE,"Investimentos"}</definedName>
    <definedName name="YRGUYDRIY" localSheetId="8">{"Econ Consolidado",#N/A,FALSE,"Econ Consol";"Fluxo de Caixa",#N/A,FALSE,"Fluxo Caixa";"Investimentos",#N/A,FALSE,"Investimentos"}</definedName>
    <definedName name="YRGUYDRIY" localSheetId="5" hidden="1">{"Econ Consolidado",#N/A,FALSE,"Econ Consol";"Fluxo de Caixa",#N/A,FALSE,"Fluxo Caixa";"Investimentos",#N/A,FALSE,"Investimentos"}</definedName>
    <definedName name="YRGUYDRIY" localSheetId="4" hidden="1">{"Econ Consolidado",#N/A,FALSE,"Econ Consol";"Fluxo de Caixa",#N/A,FALSE,"Fluxo Caixa";"Investimentos",#N/A,FALSE,"Investimentos"}</definedName>
    <definedName name="YRGUYDRIY" localSheetId="9">{"Econ Consolidado",#N/A,FALSE,"Econ Consol";"Fluxo de Caixa",#N/A,FALSE,"Fluxo Caixa";"Investimentos",#N/A,FALSE,"Investimentos"}</definedName>
    <definedName name="YRGUYDRIY" localSheetId="10" hidden="1">{"Econ Consolidado",#N/A,FALSE,"Econ Consol";"Fluxo de Caixa",#N/A,FALSE,"Fluxo Caixa";"Investimentos",#N/A,FALSE,"Investimentos"}</definedName>
    <definedName name="YRGUYDRIY" localSheetId="1" hidden="1">{"Econ Consolidado",#N/A,FALSE,"Econ Consol";"Fluxo de Caixa",#N/A,FALSE,"Fluxo Caixa";"Investimentos",#N/A,FALSE,"Investimentos"}</definedName>
    <definedName name="YRGUYDRIY" localSheetId="0">{"Econ Consolidado",#N/A,FALSE,"Econ Consol";"Fluxo de Caixa",#N/A,FALSE,"Fluxo Caixa";"Investimentos",#N/A,FALSE,"Investimentos"}</definedName>
    <definedName name="YRGUYDRIY" localSheetId="11" hidden="1">{"Econ Consolidado",#N/A,FALSE,"Econ Consol";"Fluxo de Caixa",#N/A,FALSE,"Fluxo Caixa";"Investimentos",#N/A,FALSE,"Investimentos"}</definedName>
    <definedName name="YRGUYDRIY" localSheetId="12" hidden="1">{"Econ Consolidado",#N/A,FALSE,"Econ Consol";"Fluxo de Caixa",#N/A,FALSE,"Fluxo Caixa";"Investimentos",#N/A,FALSE,"Investimentos"}</definedName>
    <definedName name="YRGUYDRIY" hidden="1">{"Econ Consolidado",#N/A,FALSE,"Econ Consol";"Fluxo de Caixa",#N/A,FALSE,"Fluxo Caixa";"Investimentos",#N/A,FALSE,"Investimentos"}</definedName>
    <definedName name="ytdju" localSheetId="8">#REF!</definedName>
    <definedName name="ytdju" localSheetId="5">#REF!</definedName>
    <definedName name="ytdju" localSheetId="9">#REF!</definedName>
    <definedName name="ytdju" localSheetId="10">#REF!</definedName>
    <definedName name="ytdju" localSheetId="0">#REF!</definedName>
    <definedName name="ytdju" localSheetId="11">#REF!</definedName>
    <definedName name="ytdju" localSheetId="12">#REF!</definedName>
    <definedName name="ytdju">#REF!</definedName>
    <definedName name="yuegursdmksf" localSheetId="3" hidden="1">{#N/A,#N/A,FALSE,"Plan1";#N/A,#N/A,FALSE,"Plan2"}</definedName>
    <definedName name="yuegursdmksf" localSheetId="8">{#N/A,#N/A,FALSE,"Plan1";#N/A,#N/A,FALSE,"Plan2"}</definedName>
    <definedName name="yuegursdmksf" localSheetId="5" hidden="1">{#N/A,#N/A,FALSE,"Plan1";#N/A,#N/A,FALSE,"Plan2"}</definedName>
    <definedName name="yuegursdmksf" localSheetId="4" hidden="1">{#N/A,#N/A,FALSE,"Plan1";#N/A,#N/A,FALSE,"Plan2"}</definedName>
    <definedName name="yuegursdmksf" localSheetId="9">{#N/A,#N/A,FALSE,"Plan1";#N/A,#N/A,FALSE,"Plan2"}</definedName>
    <definedName name="yuegursdmksf" localSheetId="10" hidden="1">{#N/A,#N/A,FALSE,"Plan1";#N/A,#N/A,FALSE,"Plan2"}</definedName>
    <definedName name="yuegursdmksf" localSheetId="1" hidden="1">{#N/A,#N/A,FALSE,"Plan1";#N/A,#N/A,FALSE,"Plan2"}</definedName>
    <definedName name="yuegursdmksf" localSheetId="0">{#N/A,#N/A,FALSE,"Plan1";#N/A,#N/A,FALSE,"Plan2"}</definedName>
    <definedName name="yuegursdmksf" localSheetId="11" hidden="1">{#N/A,#N/A,FALSE,"Plan1";#N/A,#N/A,FALSE,"Plan2"}</definedName>
    <definedName name="yuegursdmksf" localSheetId="12" hidden="1">{#N/A,#N/A,FALSE,"Plan1";#N/A,#N/A,FALSE,"Plan2"}</definedName>
    <definedName name="yuegursdmksf" hidden="1">{#N/A,#N/A,FALSE,"Plan1";#N/A,#N/A,FALSE,"Plan2"}</definedName>
    <definedName name="yuekl4fr" localSheetId="3" hidden="1">{#N/A,#N/A,FALSE,"Plan1";#N/A,#N/A,FALSE,"Plan2"}</definedName>
    <definedName name="yuekl4fr" localSheetId="8">{#N/A,#N/A,FALSE,"Plan1";#N/A,#N/A,FALSE,"Plan2"}</definedName>
    <definedName name="yuekl4fr" localSheetId="5" hidden="1">{#N/A,#N/A,FALSE,"Plan1";#N/A,#N/A,FALSE,"Plan2"}</definedName>
    <definedName name="yuekl4fr" localSheetId="4" hidden="1">{#N/A,#N/A,FALSE,"Plan1";#N/A,#N/A,FALSE,"Plan2"}</definedName>
    <definedName name="yuekl4fr" localSheetId="9">{#N/A,#N/A,FALSE,"Plan1";#N/A,#N/A,FALSE,"Plan2"}</definedName>
    <definedName name="yuekl4fr" localSheetId="10" hidden="1">{#N/A,#N/A,FALSE,"Plan1";#N/A,#N/A,FALSE,"Plan2"}</definedName>
    <definedName name="yuekl4fr" localSheetId="1" hidden="1">{#N/A,#N/A,FALSE,"Plan1";#N/A,#N/A,FALSE,"Plan2"}</definedName>
    <definedName name="yuekl4fr" localSheetId="0">{#N/A,#N/A,FALSE,"Plan1";#N/A,#N/A,FALSE,"Plan2"}</definedName>
    <definedName name="yuekl4fr" localSheetId="11" hidden="1">{#N/A,#N/A,FALSE,"Plan1";#N/A,#N/A,FALSE,"Plan2"}</definedName>
    <definedName name="yuekl4fr" localSheetId="12" hidden="1">{#N/A,#N/A,FALSE,"Plan1";#N/A,#N/A,FALSE,"Plan2"}</definedName>
    <definedName name="yuekl4fr" hidden="1">{#N/A,#N/A,FALSE,"Plan1";#N/A,#N/A,FALSE,"Plan2"}</definedName>
    <definedName name="yureytuyrea" localSheetId="3" hidden="1">{#N/A,#N/A,FALSE,"Plan1";#N/A,#N/A,FALSE,"Plan2"}</definedName>
    <definedName name="yureytuyrea" localSheetId="8">{#N/A,#N/A,FALSE,"Plan1";#N/A,#N/A,FALSE,"Plan2"}</definedName>
    <definedName name="yureytuyrea" localSheetId="5" hidden="1">{#N/A,#N/A,FALSE,"Plan1";#N/A,#N/A,FALSE,"Plan2"}</definedName>
    <definedName name="yureytuyrea" localSheetId="4" hidden="1">{#N/A,#N/A,FALSE,"Plan1";#N/A,#N/A,FALSE,"Plan2"}</definedName>
    <definedName name="yureytuyrea" localSheetId="9">{#N/A,#N/A,FALSE,"Plan1";#N/A,#N/A,FALSE,"Plan2"}</definedName>
    <definedName name="yureytuyrea" localSheetId="10" hidden="1">{#N/A,#N/A,FALSE,"Plan1";#N/A,#N/A,FALSE,"Plan2"}</definedName>
    <definedName name="yureytuyrea" localSheetId="1" hidden="1">{#N/A,#N/A,FALSE,"Plan1";#N/A,#N/A,FALSE,"Plan2"}</definedName>
    <definedName name="yureytuyrea" localSheetId="0">{#N/A,#N/A,FALSE,"Plan1";#N/A,#N/A,FALSE,"Plan2"}</definedName>
    <definedName name="yureytuyrea" localSheetId="11" hidden="1">{#N/A,#N/A,FALSE,"Plan1";#N/A,#N/A,FALSE,"Plan2"}</definedName>
    <definedName name="yureytuyrea" localSheetId="12" hidden="1">{#N/A,#N/A,FALSE,"Plan1";#N/A,#N/A,FALSE,"Plan2"}</definedName>
    <definedName name="yureytuyrea" hidden="1">{#N/A,#N/A,FALSE,"Plan1";#N/A,#N/A,FALSE,"Plan2"}</definedName>
    <definedName name="z" localSheetId="3" hidden="1">{"'Estimativa de Lançamento-JAN'!$A$1:$AI$85"}</definedName>
    <definedName name="z" localSheetId="8">{"'Estimativa de Lançamento-JAN'!$A$1:$AI$85"}</definedName>
    <definedName name="z" localSheetId="5" hidden="1">{"'Estimativa de Lançamento-JAN'!$A$1:$AI$85"}</definedName>
    <definedName name="z" localSheetId="4" hidden="1">{"'Estimativa de Lançamento-JAN'!$A$1:$AI$85"}</definedName>
    <definedName name="z" localSheetId="9">{"'Estimativa de Lançamento-JAN'!$A$1:$AI$85"}</definedName>
    <definedName name="z" localSheetId="10" hidden="1">{"'Estimativa de Lançamento-JAN'!$A$1:$AI$85"}</definedName>
    <definedName name="z" localSheetId="1" hidden="1">{"'Estimativa de Lançamento-JAN'!$A$1:$AI$85"}</definedName>
    <definedName name="z" localSheetId="0">{"'Estimativa de Lançamento-JAN'!$A$1:$AI$85"}</definedName>
    <definedName name="z" localSheetId="11" hidden="1">{"'Estimativa de Lançamento-JAN'!$A$1:$AI$85"}</definedName>
    <definedName name="z" localSheetId="12" hidden="1">{"'Estimativa de Lançamento-JAN'!$A$1:$AI$85"}</definedName>
    <definedName name="z" hidden="1">{"'Estimativa de Lançamento-JAN'!$A$1:$AI$85"}</definedName>
    <definedName name="z\djs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\djs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_022B7420_7F94_427F_B370_84030F9B3342_.wvu.FilterData" localSheetId="5" hidden="1">#REF!</definedName>
    <definedName name="Z_022B7420_7F94_427F_B370_84030F9B3342_.wvu.FilterData" localSheetId="10" hidden="1">#REF!</definedName>
    <definedName name="Z_022B7420_7F94_427F_B370_84030F9B3342_.wvu.FilterData" localSheetId="1" hidden="1">#REF!</definedName>
    <definedName name="Z_022B7420_7F94_427F_B370_84030F9B3342_.wvu.FilterData" localSheetId="11" hidden="1">#REF!</definedName>
    <definedName name="Z_022B7420_7F94_427F_B370_84030F9B3342_.wvu.FilterData" localSheetId="12" hidden="1">#REF!</definedName>
    <definedName name="Z_022B7420_7F94_427F_B370_84030F9B3342_.wvu.FilterData" hidden="1">#REF!</definedName>
    <definedName name="Z_04BC043C_175B_412D_8093_6F29CD74FBAE_.wvu.FilterData" localSheetId="10" hidden="1">#REF!</definedName>
    <definedName name="Z_04BC043C_175B_412D_8093_6F29CD74FBAE_.wvu.FilterData" localSheetId="1" hidden="1">#REF!</definedName>
    <definedName name="Z_04BC043C_175B_412D_8093_6F29CD74FBAE_.wvu.FilterData" localSheetId="11" hidden="1">#REF!</definedName>
    <definedName name="Z_04BC043C_175B_412D_8093_6F29CD74FBAE_.wvu.FilterData" localSheetId="12" hidden="1">#REF!</definedName>
    <definedName name="Z_04BC043C_175B_412D_8093_6F29CD74FBAE_.wvu.FilterData" hidden="1">#REF!</definedName>
    <definedName name="Z_058B9256_CB4D_4C39_834D_D693FEEB491F_.wvu.FilterData" localSheetId="1" hidden="1">#REF!</definedName>
    <definedName name="Z_058B9256_CB4D_4C39_834D_D693FEEB491F_.wvu.FilterData" hidden="1">#REF!</definedName>
    <definedName name="Z_05D1A71D_3B7B_4FB7_8DF3_B8E29CA3927A_.wvu.FilterData" hidden="1">#REF!</definedName>
    <definedName name="Z_07C2CF55_E6DF_411A_AB00_7E155615468C_.wvu.FilterData" hidden="1">#REF!</definedName>
    <definedName name="Z_0B1003A7_69DB_4D5B_966D_57B9E8AF76FB_.wvu.FilterData" hidden="1">#REF!</definedName>
    <definedName name="Z_0C3EE359_64F6_4049_9576_8EACA8563EA4_.wvu.FilterData" hidden="1">#REF!</definedName>
    <definedName name="Z_0D05AC4E_32D3_4985_8208_9776E00AC749_.wvu.FilterData" hidden="1">#REF!</definedName>
    <definedName name="Z_0DB407A0_1449_11D8_ADD1_0060083A646F_.wvu.PrintArea" localSheetId="8">#REF!</definedName>
    <definedName name="Z_0DB407A0_1449_11D8_ADD1_0060083A646F_.wvu.PrintArea" hidden="1">#REF!</definedName>
    <definedName name="Z_0DC459DE_F68C_4E33_8D1E_F1663ABAC944_.wvu.FilterData" hidden="1">#REF!</definedName>
    <definedName name="Z_0FACBA89_1203_4ED8_87E5_EC1D45B051B7_.wvu.FilterData" hidden="1">#REF!</definedName>
    <definedName name="Z_0FEA3536_5108_4591_BECF_C3181387F85F_.wvu.FilterData" hidden="1">#REF!</definedName>
    <definedName name="Z_0FEFDB42_ECBC_4500_A6C8_FEE3D368790B_.wvu.FilterData" hidden="1">#REF!</definedName>
    <definedName name="Z_110A0651_47C7_408E_B3BF_0C80D30B95FC_.wvu.FilterData" hidden="1">#REF!</definedName>
    <definedName name="Z_128E64DD_BE84_40EE_A6D2_C9B0EB25CBBD_.wvu.FilterData" hidden="1">#REF!</definedName>
    <definedName name="Z_12F2973E_0018_407B_98AD_CD9C5D1F65FA_.wvu.FilterData" hidden="1">#REF!</definedName>
    <definedName name="Z_137DAE61_8A8D_4219_A4CC_0EEC18A94882_.wvu.FilterData" hidden="1">#REF!</definedName>
    <definedName name="Z_13E06FB5_D019_406D_B278_1B53AD2F6386_.wvu.FilterData" hidden="1">#REF!</definedName>
    <definedName name="Z_14D375AC_5615_46DE_8EE3_95915B2A8B54_.wvu.FilterData" localSheetId="5" hidden="1">#REF!</definedName>
    <definedName name="Z_14D375AC_5615_46DE_8EE3_95915B2A8B54_.wvu.FilterData" localSheetId="10" hidden="1">#REF!</definedName>
    <definedName name="Z_14D375AC_5615_46DE_8EE3_95915B2A8B54_.wvu.FilterData" localSheetId="1" hidden="1">#REF!</definedName>
    <definedName name="Z_14D375AC_5615_46DE_8EE3_95915B2A8B54_.wvu.FilterData" localSheetId="11" hidden="1">#REF!</definedName>
    <definedName name="Z_14D375AC_5615_46DE_8EE3_95915B2A8B54_.wvu.FilterData" localSheetId="12" hidden="1">#REF!</definedName>
    <definedName name="Z_14D375AC_5615_46DE_8EE3_95915B2A8B54_.wvu.FilterData" hidden="1">#REF!</definedName>
    <definedName name="Z_15697660_066E_11D5_AF15_00010242ED40_.wvu.PrintArea" localSheetId="8">#REF!</definedName>
    <definedName name="Z_15697660_066E_11D5_AF15_00010242ED40_.wvu.PrintArea" localSheetId="5" hidden="1">#REF!</definedName>
    <definedName name="Z_15697660_066E_11D5_AF15_00010242ED40_.wvu.PrintArea" localSheetId="10" hidden="1">#REF!</definedName>
    <definedName name="Z_15697660_066E_11D5_AF15_00010242ED40_.wvu.PrintArea" localSheetId="1" hidden="1">#REF!</definedName>
    <definedName name="Z_15697660_066E_11D5_AF15_00010242ED40_.wvu.PrintArea" localSheetId="11" hidden="1">#REF!</definedName>
    <definedName name="Z_15697660_066E_11D5_AF15_00010242ED40_.wvu.PrintArea" localSheetId="12" hidden="1">#REF!</definedName>
    <definedName name="Z_15697660_066E_11D5_AF15_00010242ED40_.wvu.PrintArea" hidden="1">#REF!</definedName>
    <definedName name="Z_15697660_066E_11D5_AF15_00010242ED40_.wvu.PrintTitles" localSheetId="8">#REF!</definedName>
    <definedName name="Z_15697660_066E_11D5_AF15_00010242ED40_.wvu.PrintTitles" hidden="1">#REF!</definedName>
    <definedName name="Z_15697660_066E_11D5_AF15_00010242ED40_.wvu.Rows" localSheetId="8">#REF!</definedName>
    <definedName name="Z_15697660_066E_11D5_AF15_00010242ED40_.wvu.Rows" hidden="1">#REF!</definedName>
    <definedName name="Z_15B5DC78_B02F_4AC6_8572_015040A55619_.wvu.FilterData" hidden="1">#REF!</definedName>
    <definedName name="Z_166D6F0F_4D44_46E7_8C36_48FD4848B5AA_.wvu.FilterData" hidden="1">#REF!</definedName>
    <definedName name="Z_16FAB836_2255_4D4C_90E4_6B46255F3759_.wvu.FilterData" hidden="1">#REF!</definedName>
    <definedName name="Z_198D391C_95CB_49F5_8924_5FEA3CE5C98A_.wvu.FilterData" hidden="1">#REF!</definedName>
    <definedName name="Z_1D9C37CC_3E33_4D4D_B7CD_819F75C83D65_.wvu.FilterData" hidden="1">#REF!</definedName>
    <definedName name="Z_1DF9838C_880D_4C4E_BFFE_89B5894EC40F_.wvu.FilterData" hidden="1">#REF!</definedName>
    <definedName name="Z_1EF42BFC_874B_4E01_B67D_1607E823ACD0_.wvu.FilterData" hidden="1">#REF!</definedName>
    <definedName name="Z_1F94C6E7_3CCA_4599_AF6F_4D6291B2AD93_.wvu.FilterData" hidden="1">#REF!</definedName>
    <definedName name="Z_20A9AA17_0DEB_4190_8DAD_FC60D0D33A52_.wvu.FilterData" hidden="1">#REF!</definedName>
    <definedName name="Z_2103F656_ECB2_4F99_BE9B_56F4D7A5CEE2_.wvu.FilterData" hidden="1">#REF!</definedName>
    <definedName name="Z_2158A2BC_8DB5_455D_AFDE_914B22949288_.wvu.FilterData" hidden="1">#REF!</definedName>
    <definedName name="Z_21A967FF_561E_495F_AEB9_4DD3BEDA53BC_.wvu.FilterData" hidden="1">#REF!</definedName>
    <definedName name="Z_227E7522_DC52_4EA7_A11A_0741FF23CC42_.wvu.FilterData" hidden="1">#REF!</definedName>
    <definedName name="Z_23BA0C23_280B_4568_A53C_1C6D2E85772A_.wvu.FilterData" hidden="1">#REF!</definedName>
    <definedName name="Z_244346C6_3866_4160_9E2E_C77913F25398_.wvu.FilterData" hidden="1">#REF!</definedName>
    <definedName name="Z_25117F67_F0EE_43EF_8FF9_79F533CE10B0_.wvu.FilterData" hidden="1">#REF!</definedName>
    <definedName name="Z_259E2DDE_5459_4510_B7A2_66F49964C56E_.wvu.FilterData" hidden="1">#REF!</definedName>
    <definedName name="Z_25C7DFCF_BE54_4A41_B957_DE39B9B2A5B5_.wvu.FilterData" hidden="1">#REF!</definedName>
    <definedName name="Z_272E0E4D_901D_11D7_B59C_0050DAB35C7B_.wvu.FilterData" hidden="1">#REF!</definedName>
    <definedName name="Z_27D9353E_5A5F_49BF_8724_FA312A4073FF_.wvu.FilterData" hidden="1">#REF!</definedName>
    <definedName name="Z_299BE965_B904_49FA_A79D_B9538F94936F_.wvu.FilterData" hidden="1">#REF!</definedName>
    <definedName name="Z_29D37CE9_76D1_4D09_99A0_55ABA6929929_.wvu.FilterData" hidden="1">#REF!</definedName>
    <definedName name="Z_2C05BC27_731C_41F4_980F_CD81E4A7A662_.wvu.FilterData" hidden="1">#REF!</definedName>
    <definedName name="Z_2C0BDCBF_705B_4E5A_9659_05D99EC56641_.wvu.FilterData" hidden="1">#REF!</definedName>
    <definedName name="Z_2CD580B5_D99D_45ED_AC1E_45F8CBBBB9F1_.wvu.FilterData" hidden="1">#REF!</definedName>
    <definedName name="Z_2D98D706_A306_4353_8B3D_DA92F9EAEC9A_.wvu.FilterData" hidden="1">#REF!</definedName>
    <definedName name="Z_2F8736FC_F07E_49E8_9C13_8E0A0F5EFE5F_.wvu.FilterData" hidden="1">#REF!</definedName>
    <definedName name="Z_304C2F7A_D3A6_4DBA_A568_C3E56D7C6E2F_.wvu.FilterData" hidden="1">#REF!</definedName>
    <definedName name="Z_30E0ACE8_B29A_44E9_B542_E8C1CA3FD802_.wvu.FilterData" hidden="1">#REF!</definedName>
    <definedName name="Z_31A27EA2_D574_43B8_A671_7419A12151C9_.wvu.FilterData" hidden="1">#REF!</definedName>
    <definedName name="Z_32D1B352_62AB_4105_8DFC_EAA2DF743365_.wvu.FilterData" hidden="1">#REF!</definedName>
    <definedName name="Z_330DF436_5BED_40AF_AC51_73D268BD9DF4_.wvu.FilterData" hidden="1">#REF!</definedName>
    <definedName name="Z_33B8EF57_2FB1_4600_9590_B0A2F2FE409B_.wvu.FilterData" hidden="1">#REF!</definedName>
    <definedName name="Z_3404588C_6CE7_4C97_A62C_D19D9EE290D3_.wvu.FilterData" hidden="1">#REF!</definedName>
    <definedName name="Z_34E71878_8D1A_4343_91A1_3FE085136D2B_.wvu.FilterData" hidden="1">#REF!</definedName>
    <definedName name="Z_37611AA0_E86A_42C8_8705_108B25E060A1_.wvu.FilterData" hidden="1">#REF!</definedName>
    <definedName name="Z_38FE6CED_4C19_4332_9788_ACC902B20A46_.wvu.FilterData" hidden="1">#REF!</definedName>
    <definedName name="Z_394E75CB_4F7F_4C88_A08F_29E48E587341_.wvu.FilterData" hidden="1">#REF!</definedName>
    <definedName name="Z_3C200595_20A3_4A0C_B071_705F4AD5DAD3_.wvu.FilterData" hidden="1">#REF!</definedName>
    <definedName name="Z_3E93FF4A_0B7F_475C_A63C_54FBDB9DB4C5_.wvu.FilterData" hidden="1">#REF!</definedName>
    <definedName name="Z_3FF05DC4_CA9E_470D_A193_91785ACE00EF_.wvu.FilterData" hidden="1">#REF!</definedName>
    <definedName name="Z_43791B95_57D7_42F4_8815_D1B7E488543E_.wvu.FilterData" hidden="1">#REF!</definedName>
    <definedName name="Z_445AA90F_6D9B_40F5_8E1D_CE1EF57CF450_.wvu.FilterData" hidden="1">#REF!</definedName>
    <definedName name="Z_454E0C40_F84F_42A3_A371_6F23C1F38595_.wvu.FilterData" hidden="1">#REF!</definedName>
    <definedName name="Z_4608FCB3_3552_4D58_B6CE_B8F34D78221E_.wvu.FilterData" hidden="1">#REF!</definedName>
    <definedName name="Z_46E47F7C_9185_4E39_BED5_B4A69FF64CC1_.wvu.FilterData" hidden="1">#REF!</definedName>
    <definedName name="Z_48202D5D_77CB_41DE_8C59_9325C98D7C97_.wvu.FilterData" hidden="1">#REF!</definedName>
    <definedName name="Z_48824DFE_B714_4D0B_9E95_F01C5BAD5D1F_.wvu.FilterData" hidden="1">#REF!</definedName>
    <definedName name="Z_4C45D885_33EE_4DA9_BF96_6B10CFBA5596_.wvu.FilterData" hidden="1">#REF!</definedName>
    <definedName name="Z_4CA4BF7C_65C1_4E25_8563_22DF58586D2C_.wvu.PrintArea" localSheetId="8">#REF!</definedName>
    <definedName name="Z_4CA4BF7C_65C1_4E25_8563_22DF58586D2C_.wvu.PrintArea" hidden="1">#REF!</definedName>
    <definedName name="Z_4CA4BF7C_65C1_4E25_8563_22DF58586D2C_.wvu.PrintTitles" localSheetId="8">#REF!</definedName>
    <definedName name="Z_4CA4BF7C_65C1_4E25_8563_22DF58586D2C_.wvu.PrintTitles" hidden="1">#REF!</definedName>
    <definedName name="Z_4CA4BF7C_65C1_4E25_8563_22DF58586D2C_.wvu.Rows" localSheetId="8">#REF!</definedName>
    <definedName name="Z_4CA4BF7C_65C1_4E25_8563_22DF58586D2C_.wvu.Rows" hidden="1">#REF!</definedName>
    <definedName name="Z_4D344757_9064_4D2F_A3A5_69132D23B7B9_.wvu.FilterData" hidden="1">#REF!</definedName>
    <definedName name="Z_4E773EE1_0A5B_43A9_9C28_FFB0A27D19C3_.wvu.FilterData" hidden="1">#REF!</definedName>
    <definedName name="Z_5122F04C_91B2_4031_BAE2_43203D520992_.wvu.FilterData" hidden="1">#REF!</definedName>
    <definedName name="Z_52B8D0B0_5872_4367_8D38_9AA5A4B975B3_.wvu.FilterData" hidden="1">#REF!</definedName>
    <definedName name="Z_532423B2_94C7_44C1_9A2A_9712DAE92CE9_.wvu.FilterData" hidden="1">#REF!</definedName>
    <definedName name="Z_53F31130_5EA7_42BA_93EB_88A7CB743782_.wvu.FilterData" hidden="1">#REF!</definedName>
    <definedName name="Z_55213581_1831_4A94_AB4D_23E4F8BC8085_.wvu.FilterData" hidden="1">#REF!</definedName>
    <definedName name="Z_552B9204_1C85_45BC_B148_AF3E206BDAA2_.wvu.FilterData" hidden="1">#REF!</definedName>
    <definedName name="Z_566671FC_5910_47FD_B961_1065A17D262D_.wvu.FilterData" hidden="1">#REF!</definedName>
    <definedName name="Z_569D17FA_30FE_42CA_8D65_E126C1C01EC2_.wvu.FilterData" hidden="1">#REF!</definedName>
    <definedName name="Z_573E904E_5C2F_4CA2_AFCF_918B916322E4_.wvu.FilterData" hidden="1">#REF!</definedName>
    <definedName name="Z_58DA6172_DC47_4A5F_B420_207BB6987764_.wvu.FilterData" hidden="1">#REF!</definedName>
    <definedName name="Z_58FCB891_F6F4_46F2_BF6B_861E585C9231_.wvu.FilterData" hidden="1">#REF!</definedName>
    <definedName name="Z_59A87EBA_E018_40E8_A580_AB2176E95D7E_.wvu.FilterData" hidden="1">#REF!</definedName>
    <definedName name="Z_5A3E740D_87C0_4F85_AB6D_B402AD860D04_.wvu.FilterData" hidden="1">#REF!</definedName>
    <definedName name="Z_5B42E6B5_40AA_4D3F_B932_EF1583491CDE_.wvu.FilterData" hidden="1">#REF!</definedName>
    <definedName name="Z_5B7B4951_7310_4C66_B906_4D046076272E_.wvu.FilterData" hidden="1">#REF!</definedName>
    <definedName name="Z_5D41F4B9_83DF_4509_9C07_453BA5A62846_.wvu.FilterData" hidden="1">#REF!</definedName>
    <definedName name="Z_5DB05E9F_8F3B_4886_A6CB_2CC53331BA7A_.wvu.FilterData" hidden="1">#REF!</definedName>
    <definedName name="Z_5F096896_2CB8_4B96_A0FE_9AB50EEEEFAB_.wvu.FilterData" hidden="1">#REF!</definedName>
    <definedName name="Z_60DF8B29_1C1F_4B50_BDA8_B8E0C7DD04C3_.wvu.Cols" localSheetId="8">#REF!,#REF!</definedName>
    <definedName name="Z_60DF8B29_1C1F_4B50_BDA8_B8E0C7DD04C3_.wvu.Cols" localSheetId="5" hidden="1">#REF!,#REF!</definedName>
    <definedName name="Z_60DF8B29_1C1F_4B50_BDA8_B8E0C7DD04C3_.wvu.Cols" localSheetId="10" hidden="1">#REF!,#REF!</definedName>
    <definedName name="Z_60DF8B29_1C1F_4B50_BDA8_B8E0C7DD04C3_.wvu.Cols" localSheetId="1" hidden="1">#REF!,#REF!</definedName>
    <definedName name="Z_60DF8B29_1C1F_4B50_BDA8_B8E0C7DD04C3_.wvu.Cols" localSheetId="11" hidden="1">#REF!,#REF!</definedName>
    <definedName name="Z_60DF8B29_1C1F_4B50_BDA8_B8E0C7DD04C3_.wvu.Cols" localSheetId="12" hidden="1">#REF!,#REF!</definedName>
    <definedName name="Z_60DF8B29_1C1F_4B50_BDA8_B8E0C7DD04C3_.wvu.Cols" hidden="1">#REF!,#REF!</definedName>
    <definedName name="Z_60DF8B29_1C1F_4B50_BDA8_B8E0C7DD04C3_.wvu.FilterData" localSheetId="5" hidden="1">#REF!</definedName>
    <definedName name="Z_60DF8B29_1C1F_4B50_BDA8_B8E0C7DD04C3_.wvu.FilterData" localSheetId="10" hidden="1">#REF!</definedName>
    <definedName name="Z_60DF8B29_1C1F_4B50_BDA8_B8E0C7DD04C3_.wvu.FilterData" localSheetId="1" hidden="1">#REF!</definedName>
    <definedName name="Z_60DF8B29_1C1F_4B50_BDA8_B8E0C7DD04C3_.wvu.FilterData" localSheetId="11" hidden="1">#REF!</definedName>
    <definedName name="Z_60DF8B29_1C1F_4B50_BDA8_B8E0C7DD04C3_.wvu.FilterData" localSheetId="12" hidden="1">#REF!</definedName>
    <definedName name="Z_60DF8B29_1C1F_4B50_BDA8_B8E0C7DD04C3_.wvu.FilterData" hidden="1">#REF!</definedName>
    <definedName name="Z_615F4A4D_D5AB_4A04_81F5_F436484247A5_.wvu.FilterData" localSheetId="10" hidden="1">#REF!</definedName>
    <definedName name="Z_615F4A4D_D5AB_4A04_81F5_F436484247A5_.wvu.FilterData" localSheetId="1" hidden="1">#REF!</definedName>
    <definedName name="Z_615F4A4D_D5AB_4A04_81F5_F436484247A5_.wvu.FilterData" localSheetId="11" hidden="1">#REF!</definedName>
    <definedName name="Z_615F4A4D_D5AB_4A04_81F5_F436484247A5_.wvu.FilterData" localSheetId="12" hidden="1">#REF!</definedName>
    <definedName name="Z_615F4A4D_D5AB_4A04_81F5_F436484247A5_.wvu.FilterData" hidden="1">#REF!</definedName>
    <definedName name="Z_616443B5_6F0D_4082_9223_F71B54305366_.wvu.FilterData" localSheetId="1" hidden="1">#REF!</definedName>
    <definedName name="Z_616443B5_6F0D_4082_9223_F71B54305366_.wvu.FilterData" hidden="1">#REF!</definedName>
    <definedName name="Z_631F0312_B404_409F_AF2B_39FB2D25040B_.wvu.FilterData" hidden="1">#REF!</definedName>
    <definedName name="Z_632CF316_8294_4588_87E1_2B69E184A62B_.wvu.FilterData" hidden="1">#REF!</definedName>
    <definedName name="Z_66D1BA5F_F4AE_443C_8583_CE89D6674A73_.wvu.FilterData" hidden="1">#REF!</definedName>
    <definedName name="Z_66DD4806_8039_438A_B1CE_46CC5B464050_.wvu.FilterData" hidden="1">#REF!</definedName>
    <definedName name="Z_67B65FDF_FF67_490E_B8E5_92DC66C9FC9D_.wvu.FilterData" hidden="1">#REF!</definedName>
    <definedName name="Z_68B709DF_9429_4090_9106_386C5F16C4D7_.wvu.FilterData" hidden="1">#REF!</definedName>
    <definedName name="Z_690BC25F_5AA3_4B4B_9507_8C197E768E98_.wvu.FilterData" hidden="1">#REF!</definedName>
    <definedName name="Z_6A66B8A7_491B_4A29_94A1_39F4FDA32C48_.wvu.FilterData" hidden="1">#REF!</definedName>
    <definedName name="Z_6A6F36C8_24A1_4147_9C63_27B7978935DD_.wvu.FilterData" hidden="1">#REF!</definedName>
    <definedName name="Z_6C2050D3_ABE5_4B48_B2A7_DDDD21669987_.wvu.FilterData" hidden="1">#REF!</definedName>
    <definedName name="Z_6CD84A0B_C00D_4BC8_A655_6383CCA4B296_.wvu.FilterData" hidden="1">#REF!</definedName>
    <definedName name="Z_6D5E5F42_E924_48A0_A50F_5BB481AFD1D5_.wvu.FilterData" hidden="1">#REF!</definedName>
    <definedName name="Z_6D789842_F56B_40C4_8907_F36C02855F76_.wvu.FilterData" hidden="1">#REF!</definedName>
    <definedName name="Z_6E345713_0818_471C_B54B_D890B987A0BC_.wvu.FilterData" hidden="1">#REF!</definedName>
    <definedName name="Z_701DEAE4_9CF1_491A_A54B_A6AE3235639D_.wvu.FilterData" hidden="1">#REF!</definedName>
    <definedName name="Z_7319B1DA_C8AE_4D1D_AB4C_B14141921483_.wvu.FilterData" hidden="1">#REF!</definedName>
    <definedName name="Z_75A1B66F_9EE1_4406_8264_C9BF12113183_.wvu.FilterData" hidden="1">#REF!</definedName>
    <definedName name="Z_7651BD63_D75B_41A5_B133_06AE6A84AE8F_.wvu.FilterData" hidden="1">#REF!</definedName>
    <definedName name="Z_767B7DB4_B657_4E6E_831B_84CA933FFCBE_.wvu.FilterData" hidden="1">#REF!</definedName>
    <definedName name="Z_76FA93EF_40A9_4929_9B4A_2213742C1620_.wvu.FilterData" hidden="1">#REF!</definedName>
    <definedName name="Z_78A33412_D032_45F7_9C2D_D4A31DB937D9_.wvu.FilterData" hidden="1">#REF!</definedName>
    <definedName name="Z_796E4E5E_16C3_474D_B1D5_F6D39CD34051_.wvu.FilterData" hidden="1">#REF!</definedName>
    <definedName name="Z_7BFA9C41_C881_48A8_90C2_F93F8E16E599_.wvu.FilterData" hidden="1">#REF!</definedName>
    <definedName name="Z_7BFBCE1E_B6C5_4BAC_AD95_2B50D2ED28AB_.wvu.FilterData" hidden="1">#REF!</definedName>
    <definedName name="Z_7C6FEBF3_4382_4282_BBB0_E0269BEE42DE_.wvu.FilterData" hidden="1">#REF!</definedName>
    <definedName name="Z_7D057642_92FA_4DD6_84C5_B10B17893E1F_.wvu.FilterData" hidden="1">#REF!</definedName>
    <definedName name="Z_7ED5F3D1_B838_492E_9467_7E7CE6B348ED_.wvu.FilterData" hidden="1">#REF!</definedName>
    <definedName name="Z_8090FD3B_94DF_4ACF_9708_D5B9ADEFD29C_.wvu.FilterData" hidden="1">#REF!</definedName>
    <definedName name="Z_8149A5A7_8307_4FA6_B457_A66B8A6DFABD_.wvu.FilterData" hidden="1">#REF!</definedName>
    <definedName name="Z_819A0FD3_B678_47E8_9DFB_641B3990B590_.wvu.FilterData" hidden="1">#REF!</definedName>
    <definedName name="Z_82999604_BD48_4054_BDCB_CB8B074A34A3_.wvu.FilterData" hidden="1">#REF!</definedName>
    <definedName name="Z_8473B3F0_0740_4E9F_9BAE_9113E5077DE8_.wvu.FilterData" hidden="1">#REF!</definedName>
    <definedName name="Z_85A83A94_71B4_44C8_8B5A_68CAA2461241_.wvu.FilterData" hidden="1">#REF!</definedName>
    <definedName name="Z_86E0C273_91AF_11D7_9C1E_0004231B06E7_.wvu.FilterData" hidden="1">#REF!</definedName>
    <definedName name="Z_87F04A72_68BF_497D_8569_47D1A3B89590_.wvu.FilterData" hidden="1">#REF!</definedName>
    <definedName name="Z_893CBEFD_F317_41F0_BA87_CC1860E1F73B_.wvu.FilterData" hidden="1">#REF!</definedName>
    <definedName name="Z_89D83FA2_2F4F_4275_9074_3A6247C2CDA6_.wvu.FilterData" hidden="1">#REF!</definedName>
    <definedName name="Z_8B2E8E84_1A68_4B75_A867_04E8EAC8E685_.wvu.FilterData" hidden="1">#REF!</definedName>
    <definedName name="Z_8B5FADF8_BAFC_44E0_9D1D_DE21657D83CA_.wvu.FilterData" hidden="1">#REF!</definedName>
    <definedName name="Z_8CBA7976_3F45_4926_8F5C_251343B1DCDB_.wvu.FilterData" hidden="1">#REF!</definedName>
    <definedName name="Z_8D213052_8AFD_4E06_B410_DCB431062572_.wvu.FilterData" hidden="1">#REF!</definedName>
    <definedName name="Z_8EA755F4_0515_4AA0_970C_55F473C7FD9B_.wvu.FilterData" hidden="1">#REF!</definedName>
    <definedName name="Z_8F33F4E3_A14E_4DD4_ADD4_B19023A45B10_.wvu.FilterData" hidden="1">#REF!</definedName>
    <definedName name="Z_901BF8EA_CA8A_411C_8FD3_BCB793FCF48A_.wvu.FilterData" hidden="1">#REF!</definedName>
    <definedName name="Z_9066F505_4944_4582_AAF9_B40B49D59413_.wvu.PrintArea" localSheetId="8">#REF!</definedName>
    <definedName name="Z_9066F505_4944_4582_AAF9_B40B49D59413_.wvu.PrintArea" hidden="1">#REF!</definedName>
    <definedName name="Z_9066F505_4944_4582_AAF9_B40B49D59413_.wvu.PrintTitles" localSheetId="8">#REF!</definedName>
    <definedName name="Z_9066F505_4944_4582_AAF9_B40B49D59413_.wvu.PrintTitles" hidden="1">#REF!</definedName>
    <definedName name="Z_9066F505_4944_4582_AAF9_B40B49D59413_.wvu.Rows" localSheetId="8">#REF!</definedName>
    <definedName name="Z_9066F505_4944_4582_AAF9_B40B49D59413_.wvu.Rows" hidden="1">#REF!</definedName>
    <definedName name="Z_91488B6D_F045_4050_BA1B_41C2E3B3B10A_.wvu.FilterData" hidden="1">#REF!</definedName>
    <definedName name="Z_92919032_3A1D_4E0A_A8D8_FD23494D13A8_.wvu.FilterData" hidden="1">#REF!</definedName>
    <definedName name="Z_9587B38A_B060_410B_8598_4B23623A371C_.wvu.FilterData" hidden="1">#REF!</definedName>
    <definedName name="Z_96EB0306_BB94_45E8_9D0D_4C07A6623010_.wvu.FilterData" hidden="1">#REF!</definedName>
    <definedName name="Z_97666733_8666_4F9D_9588_AF9B6CF9224C_.wvu.FilterData" hidden="1">#REF!</definedName>
    <definedName name="Z_98599B4F_1D05_4040_9183_E1D7A1DDEB9C_.wvu.FilterData" hidden="1">#REF!</definedName>
    <definedName name="Z_98C8BF36_C172_45C3_8EFB_521E6ACCA0D3_.wvu.FilterData" hidden="1">#REF!</definedName>
    <definedName name="Z_9A372634_7C2D_4502_BF44_0C63FD1FB6D2_.wvu.FilterData" hidden="1">#REF!</definedName>
    <definedName name="Z_9A5CC0D4_28E7_4461_BE2E_802002496535_.wvu.FilterData" hidden="1">#REF!</definedName>
    <definedName name="Z_9C86BF25_210A_4B5C_9F2A_856CA801294A_.wvu.FilterData" hidden="1">#REF!</definedName>
    <definedName name="Z_9C8AF864_7E20_415C_848E_C2849E8CBF0C_.wvu.FilterData" hidden="1">#REF!</definedName>
    <definedName name="Z_9E7B61E2_2701_4257_A261_86548A6D7D7C_.wvu.FilterData" hidden="1">#REF!</definedName>
    <definedName name="Z_A0276843_5A14_4A7A_AD1C_583475FE9ED2_.wvu.FilterData" hidden="1">#REF!</definedName>
    <definedName name="Z_A2CB926C_E33A_4E38_9626_682814771DB1_.wvu.FilterData" hidden="1">#REF!</definedName>
    <definedName name="Z_A320C8A7_8D87_4204_85D4_AE25493D1363_.wvu.FilterData" hidden="1">#REF!</definedName>
    <definedName name="Z_A5F4C2AC_640B_40D9_88C9_69B3215DBE96_.wvu.FilterData" hidden="1">#REF!</definedName>
    <definedName name="Z_A686C168_1672_48B1_ADFD_481A1276CC81_.wvu.FilterData" hidden="1">#REF!</definedName>
    <definedName name="Z_A933351F_4BD3_4901_98D5_53D192BD61DC_.wvu.FilterData" hidden="1">#REF!</definedName>
    <definedName name="Z_AA0BD2F5_1513_40DB_B224_CC27CA57E181_.wvu.FilterData" hidden="1">#REF!</definedName>
    <definedName name="Z_AA329A38_94E6_4014_8D54_EFB48C7FA433_.wvu.FilterData" hidden="1">#REF!</definedName>
    <definedName name="Z_AC5679A6_5A24_441C_BBA3_F0C9D8E8E441_.wvu.FilterData" hidden="1">#REF!</definedName>
    <definedName name="Z_ACE528A7_3516_429C_8E77_FA07F86ED2D8_.wvu.Cols" localSheetId="8">#REF!</definedName>
    <definedName name="Z_ACE528A7_3516_429C_8E77_FA07F86ED2D8_.wvu.Cols" hidden="1">#REF!</definedName>
    <definedName name="Z_AE302359_F16A_4874_8921_3865B0ECD878_.wvu.FilterData" hidden="1">#REF!</definedName>
    <definedName name="Z_AF0BF736_181F_4A59_8FB9_D3BCA8E591F7_.wvu.FilterData" hidden="1">#REF!</definedName>
    <definedName name="Z_AF12B415_1D2E_4088_9C86_BB0173951217_.wvu.FilterData" hidden="1">#REF!</definedName>
    <definedName name="Z_AF537E87_E5DE_4792_8C82_FFA1FC35463A_.wvu.FilterData" hidden="1">#REF!</definedName>
    <definedName name="Z_B1269BAB_A618_45E5_8379_9ECE98405A14_.wvu.FilterData" hidden="1">#REF!</definedName>
    <definedName name="Z_B20EEB3D_E9E6_496E_8678_B417DDC74718_.wvu.FilterData" hidden="1">#REF!</definedName>
    <definedName name="Z_B3255642_8A6B_11D5_916F_005004920FCB_.wvu.PrintTitles" localSheetId="8">#REF!</definedName>
    <definedName name="Z_B3255642_8A6B_11D5_916F_005004920FCB_.wvu.PrintTitles" hidden="1">#REF!</definedName>
    <definedName name="Z_B4864B96_AD18_4114_8AFA_A8BAA8915737_.wvu.FilterData" hidden="1">#REF!</definedName>
    <definedName name="Z_B645C4A8_1830_42C7_9DBF_0F519499A6CE_.wvu.FilterData" hidden="1">#REF!</definedName>
    <definedName name="Z_B7475313_60A1_440E_A07B_6B97978B34F2_.wvu.FilterData" hidden="1">#REF!</definedName>
    <definedName name="Z_B891B51F_1CA2_435F_A819_8A494B08D3EE_.wvu.FilterData" hidden="1">#REF!</definedName>
    <definedName name="Z_B8CE2FA5_D3F2_48A0_8603_A3FBA2808CB4_.wvu.FilterData" hidden="1">#REF!</definedName>
    <definedName name="Z_B9837360_94DA_11D7_9C1E_0004231B06E7_.wvu.FilterData" hidden="1">#REF!</definedName>
    <definedName name="Z_BBE1AFA0_C6F6_4019_9D53_075DA4654337_.wvu.FilterData" hidden="1">#REF!</definedName>
    <definedName name="Z_BC0EED6A_3F15_49FF_A48F_B40AC74B528A_.wvu.FilterData" hidden="1">#REF!</definedName>
    <definedName name="Z_BC4212E8_2D54_48E9_A2B4_66875F86EBEF_.wvu.FilterData" hidden="1">#REF!</definedName>
    <definedName name="Z_BE48B5BF_102F_4FB8_8807_DA126440E01B_.wvu.FilterData" hidden="1">#REF!</definedName>
    <definedName name="Z_BE949522_4A35_4352_9A91_0CE0E28D3461_.wvu.FilterData" hidden="1">#REF!</definedName>
    <definedName name="Z_C1310828_8567_4952_A9D3_7183F1221321_.wvu.FilterData" hidden="1">#REF!</definedName>
    <definedName name="Z_C581774C_2FCD_4906_B930_CCB3F9F9A50B_.wvu.FilterData" hidden="1">#REF!</definedName>
    <definedName name="Z_C67C9A44_7556_4756_AC39_E00F137116ED_.wvu.FilterData" hidden="1">#REF!</definedName>
    <definedName name="Z_C908089F_9A5A_11D7_9C1E_0004231B06E7_.wvu.FilterData" hidden="1">#REF!</definedName>
    <definedName name="Z_C942EE3A_8DBF_41D7_ADAF_F43C01F31E23_.wvu.FilterData" hidden="1">#REF!</definedName>
    <definedName name="Z_CB8FB7EE_B771_11D7_9C1E_0004231B06E7_.wvu.FilterData" hidden="1">#REF!</definedName>
    <definedName name="Z_CB8FB7F1_B771_11D7_9C1E_0004231B06E7_.wvu.FilterData" hidden="1">#REF!</definedName>
    <definedName name="Z_CD48E0DF_E307_492A_9CFD_ADF6DE6ECCFB_.wvu.FilterData" hidden="1">#REF!</definedName>
    <definedName name="Z_CDAD3BC7_95B1_4949_91B3_EAB234D2A550_.wvu.FilterData" hidden="1">#REF!</definedName>
    <definedName name="Z_CE1A6073_4007_44EE_88D3_3C79CF746C78_.wvu.FilterData" hidden="1">#REF!</definedName>
    <definedName name="Z_D0500033_B90B_46E5_BD62_60D0DA033A55_.wvu.FilterData" hidden="1">#REF!</definedName>
    <definedName name="Z_D11C04A2_606C_4EF4_9AD3_4865E5EFAE70_.wvu.FilterData" hidden="1">#REF!</definedName>
    <definedName name="Z_D1371C66_ADFD_11D7_9C1E_0004231B06E7_.wvu.FilterData" hidden="1">#REF!</definedName>
    <definedName name="Z_D1371C82_ADFD_11D7_9C1E_0004231B06E7_.wvu.FilterData" hidden="1">#REF!</definedName>
    <definedName name="Z_D1371C98_ADFD_11D7_9C1E_0004231B06E7_.wvu.FilterData" hidden="1">#REF!</definedName>
    <definedName name="Z_D15727E9_9BC2_420E_AC98_E8E9B60BD754_.wvu.FilterData" hidden="1">#REF!</definedName>
    <definedName name="Z_D371D622_5497_46A4_826D_01F2F492E39D_.wvu.FilterData" hidden="1">#REF!</definedName>
    <definedName name="Z_D3FF2053_BD11_4CA8_9648_A06F387C0C79_.wvu.FilterData" hidden="1">#REF!</definedName>
    <definedName name="Z_D4D6DC3A_302F_4BF4_8221_EFB7EA05B30F_.wvu.FilterData" hidden="1">#REF!</definedName>
    <definedName name="Z_D4FF4BA0_F9BE_4CEE_B334_FBD19DA86BF4_.wvu.FilterData" hidden="1">#REF!</definedName>
    <definedName name="Z_D5810466_54E3_455B_B341_3E7B86FB72D3_.wvu.FilterData" hidden="1">#REF!</definedName>
    <definedName name="Z_D60B1DF7_D653_4F01_B5AD_6A66E578C24F_.wvu.FilterData" hidden="1">#REF!</definedName>
    <definedName name="Z_D684BA0E_B94B_4BF7_8F27_4E3A1924425C_.wvu.FilterData" hidden="1">#REF!</definedName>
    <definedName name="Z_D9443332_B48E_4E65_8F23_AC96FB75A5A9_.wvu.FilterData" hidden="1">#REF!</definedName>
    <definedName name="Z_DAA35AF8_874B_4671_A195_994D9700CFB0_.wvu.FilterData" hidden="1">#REF!</definedName>
    <definedName name="Z_DB31579F_8662_40C5_BB19_660F0F7B70E5_.wvu.FilterData" hidden="1">#REF!</definedName>
    <definedName name="Z_DB349C77_BBCF_4BF0_8906_770DC9CEB279_.wvu.FilterData" hidden="1">#REF!</definedName>
    <definedName name="Z_DBA9A16F_C863_43D6_BEF6_4907AD7FF11A_.wvu.FilterData" hidden="1">#REF!</definedName>
    <definedName name="Z_DC39DC03_5BF1_41DE_A26D_8DA774859990_.wvu.FilterData" hidden="1">#REF!</definedName>
    <definedName name="Z_DC4BE57B_E9B6_4823_AAB5_0B4AD0A1C9F8_.wvu.FilterData" hidden="1">#REF!</definedName>
    <definedName name="Z_DD40B456_B833_4D7B_A3C9_47AA2D6A0830_.wvu.FilterData" hidden="1">#REF!</definedName>
    <definedName name="Z_DDC9046D_2716_4CA3_9471_7091058B3C12_.wvu.FilterData" hidden="1">#REF!</definedName>
    <definedName name="Z_DF3B204A_F509_4DA0_BCB7_F89536B5FEBF_.wvu.FilterData" hidden="1">#REF!</definedName>
    <definedName name="Z_E3FFE9E0_6C4F_4FB4_A56E_FBE96871B5C8_.wvu.Cols" localSheetId="8">#REF!,#REF!</definedName>
    <definedName name="Z_E3FFE9E0_6C4F_4FB4_A56E_FBE96871B5C8_.wvu.Cols" localSheetId="5" hidden="1">#REF!,#REF!</definedName>
    <definedName name="Z_E3FFE9E0_6C4F_4FB4_A56E_FBE96871B5C8_.wvu.Cols" localSheetId="10" hidden="1">#REF!,#REF!</definedName>
    <definedName name="Z_E3FFE9E0_6C4F_4FB4_A56E_FBE96871B5C8_.wvu.Cols" localSheetId="1" hidden="1">#REF!,#REF!</definedName>
    <definedName name="Z_E3FFE9E0_6C4F_4FB4_A56E_FBE96871B5C8_.wvu.Cols" localSheetId="11" hidden="1">#REF!,#REF!</definedName>
    <definedName name="Z_E3FFE9E0_6C4F_4FB4_A56E_FBE96871B5C8_.wvu.Cols" localSheetId="12" hidden="1">#REF!,#REF!</definedName>
    <definedName name="Z_E3FFE9E0_6C4F_4FB4_A56E_FBE96871B5C8_.wvu.Cols" hidden="1">#REF!,#REF!</definedName>
    <definedName name="Z_E3FFE9E0_6C4F_4FB4_A56E_FBE96871B5C8_.wvu.FilterData" localSheetId="5" hidden="1">#REF!</definedName>
    <definedName name="Z_E3FFE9E0_6C4F_4FB4_A56E_FBE96871B5C8_.wvu.FilterData" localSheetId="10" hidden="1">#REF!</definedName>
    <definedName name="Z_E3FFE9E0_6C4F_4FB4_A56E_FBE96871B5C8_.wvu.FilterData" localSheetId="1" hidden="1">#REF!</definedName>
    <definedName name="Z_E3FFE9E0_6C4F_4FB4_A56E_FBE96871B5C8_.wvu.FilterData" localSheetId="11" hidden="1">#REF!</definedName>
    <definedName name="Z_E3FFE9E0_6C4F_4FB4_A56E_FBE96871B5C8_.wvu.FilterData" localSheetId="12" hidden="1">#REF!</definedName>
    <definedName name="Z_E3FFE9E0_6C4F_4FB4_A56E_FBE96871B5C8_.wvu.FilterData" hidden="1">#REF!</definedName>
    <definedName name="Z_E42D429F_E4E8_41D2_9176_83C726BAF8E3_.wvu.FilterData" localSheetId="10" hidden="1">#REF!</definedName>
    <definedName name="Z_E42D429F_E4E8_41D2_9176_83C726BAF8E3_.wvu.FilterData" localSheetId="1" hidden="1">#REF!</definedName>
    <definedName name="Z_E42D429F_E4E8_41D2_9176_83C726BAF8E3_.wvu.FilterData" localSheetId="11" hidden="1">#REF!</definedName>
    <definedName name="Z_E42D429F_E4E8_41D2_9176_83C726BAF8E3_.wvu.FilterData" localSheetId="12" hidden="1">#REF!</definedName>
    <definedName name="Z_E42D429F_E4E8_41D2_9176_83C726BAF8E3_.wvu.FilterData" hidden="1">#REF!</definedName>
    <definedName name="Z_E491B72F_902A_11D7_9C1E_0004231B06E7_.wvu.FilterData" localSheetId="1" hidden="1">#REF!</definedName>
    <definedName name="Z_E491B72F_902A_11D7_9C1E_0004231B06E7_.wvu.FilterData" hidden="1">#REF!</definedName>
    <definedName name="Z_E491B77E_902A_11D7_9C1E_0004231B06E7_.wvu.FilterData" hidden="1">#REF!</definedName>
    <definedName name="Z_E4A534A8_CD89_4423_9F3F_8134353F3CAC_.wvu.FilterData" hidden="1">#REF!</definedName>
    <definedName name="Z_E4E1532E_DC25_47E7_8CAC_8E70342889F1_.wvu.FilterData" hidden="1">#REF!</definedName>
    <definedName name="Z_E74731A0_5CEF_4B97_AFDD_B1DCA3953478_.wvu.FilterData" hidden="1">#REF!</definedName>
    <definedName name="Z_E7582842_0D7F_4174_A223_2AB1DD8C9047_.wvu.FilterData" hidden="1">#REF!</definedName>
    <definedName name="Z_E7E3B215_0D2B_424B_B9A9_091ABF42A9B2_.wvu.FilterData" hidden="1">#REF!</definedName>
    <definedName name="Z_E833D806_B408_4951_8EA0_84873DD98CC6_.wvu.FilterData" hidden="1">#REF!</definedName>
    <definedName name="Z_E84FA520_D8B7_472A_9913_1B62E15D532D_.wvu.FilterData" hidden="1">#REF!</definedName>
    <definedName name="Z_E856A7FB_F0DE_4CE8_85BE_FBD78193AF0B_.wvu.FilterData" hidden="1">#REF!</definedName>
    <definedName name="Z_E8B81FC8_C17A_451A_B505_641DE5886245_.wvu.FilterData" hidden="1">#REF!</definedName>
    <definedName name="Z_EA900FC6_5EC3_4E18_9ED9_37FAC8862A4C_.wvu.FilterData" hidden="1">#REF!</definedName>
    <definedName name="Z_EC12F0CE_807C_4CF2_B52D_1E5945238C05_.wvu.FilterData" hidden="1">#REF!</definedName>
    <definedName name="Z_EC74CDC8_4C91_4C55_BE9F_24DF0A9793FF_.wvu.FilterData" hidden="1">#REF!</definedName>
    <definedName name="Z_ED3E33DB_FBFA_4FDE_929F_AD12074101A3_.wvu.FilterData" hidden="1">#REF!</definedName>
    <definedName name="Z_EE21DFC7_81AA_40DA_B313_9BC83DA41DD6_.wvu.FilterData" hidden="1">#REF!</definedName>
    <definedName name="Z_EE5311D7_3149_40F1_82F5_7EEC6ACB6C85_.wvu.FilterData" hidden="1">#REF!</definedName>
    <definedName name="Z_EEE8CD21_C3A5_4786_B8BE_B9E68F0A5347_.wvu.FilterData" hidden="1">#REF!</definedName>
    <definedName name="Z_F0522591_4E2E_4AD6_B99B_B69551272A68_.wvu.FilterData" hidden="1">#REF!</definedName>
    <definedName name="Z_F1326E0B_5376_4D6E_9BC8_214AA525DE83_.wvu.FilterData" hidden="1">#REF!</definedName>
    <definedName name="Z_F2145668_4090_4220_8C3C_9C4DCC7A01D1_.wvu.Cols" localSheetId="8">#REF!</definedName>
    <definedName name="Z_F2145668_4090_4220_8C3C_9C4DCC7A01D1_.wvu.Cols" hidden="1">#REF!</definedName>
    <definedName name="Z_F2145668_4090_4220_8C3C_9C4DCC7A01D1_.wvu.FilterData" hidden="1">#REF!</definedName>
    <definedName name="Z_F300E2D5_C458_4E4B_AB71_FF06367EF684_.wvu.FilterData" hidden="1">#REF!</definedName>
    <definedName name="Z_F3F443DB_8EE1_48F9_9BF4_EAF21EDD719F_.wvu.FilterData" hidden="1">#REF!</definedName>
    <definedName name="Z_F6923408_DB58_4A59_8717_D0133A922204_.wvu.FilterData" hidden="1">#REF!</definedName>
    <definedName name="Z_F9CB3A99_6D24_412C_93C4_575819594890_.wvu.FilterData" localSheetId="5" hidden="1">#REF!</definedName>
    <definedName name="Z_F9CB3A99_6D24_412C_93C4_575819594890_.wvu.FilterData" localSheetId="10" hidden="1">#REF!</definedName>
    <definedName name="Z_F9CB3A99_6D24_412C_93C4_575819594890_.wvu.FilterData" localSheetId="1" hidden="1">#REF!</definedName>
    <definedName name="Z_F9CB3A99_6D24_412C_93C4_575819594890_.wvu.FilterData" localSheetId="11" hidden="1">#REF!</definedName>
    <definedName name="Z_F9CB3A99_6D24_412C_93C4_575819594890_.wvu.FilterData" localSheetId="12" hidden="1">#REF!</definedName>
    <definedName name="Z_F9CB3A99_6D24_412C_93C4_575819594890_.wvu.FilterData" hidden="1">#REF!</definedName>
    <definedName name="Z_FA40CB26_17FE_4901_96A4_2176E8FA5EEE_.wvu.FilterData" hidden="1">#REF!</definedName>
    <definedName name="Z_FC4D1412_4B52_4393_A184_1BAD70B9C231_.wvu.FilterData" hidden="1">#REF!</definedName>
    <definedName name="Z_FD259A29_AD61_4284_9BC7_5C3B20DD002B_.wvu.FilterData" hidden="1">#REF!</definedName>
    <definedName name="Z_FDFF93A6_D487_497C_8FA1_B8636451E74C_.wvu.FilterData" hidden="1">#REF!</definedName>
    <definedName name="Z_FE37516D_56E4_424C_8DE6_6B2719F76EF4_.wvu.FilterData" hidden="1">#REF!</definedName>
    <definedName name="Z_FEBB3479_FB57_4CDC_BCCD_5D8B83257FC7_.wvu.FilterData" hidden="1">#REF!</definedName>
    <definedName name="zcdçskld" localSheetId="3" hidden="1">{#N/A,#N/A,FALSE,"Plan1";#N/A,#N/A,FALSE,"Plan2"}</definedName>
    <definedName name="zcdçskld" localSheetId="8">{#N/A,#N/A,FALSE,"Plan1";#N/A,#N/A,FALSE,"Plan2"}</definedName>
    <definedName name="zcdçskld" localSheetId="5" hidden="1">{#N/A,#N/A,FALSE,"Plan1";#N/A,#N/A,FALSE,"Plan2"}</definedName>
    <definedName name="zcdçskld" localSheetId="4" hidden="1">{#N/A,#N/A,FALSE,"Plan1";#N/A,#N/A,FALSE,"Plan2"}</definedName>
    <definedName name="zcdçskld" localSheetId="10" hidden="1">{#N/A,#N/A,FALSE,"Plan1";#N/A,#N/A,FALSE,"Plan2"}</definedName>
    <definedName name="zcdçskld" localSheetId="1" hidden="1">{#N/A,#N/A,FALSE,"Plan1";#N/A,#N/A,FALSE,"Plan2"}</definedName>
    <definedName name="zcdçskld" localSheetId="0" hidden="1">{#N/A,#N/A,FALSE,"Plan1";#N/A,#N/A,FALSE,"Plan2"}</definedName>
    <definedName name="zcdçskld" localSheetId="11" hidden="1">{#N/A,#N/A,FALSE,"Plan1";#N/A,#N/A,FALSE,"Plan2"}</definedName>
    <definedName name="zcdçskld" localSheetId="12" hidden="1">{#N/A,#N/A,FALSE,"Plan1";#N/A,#N/A,FALSE,"Plan2"}</definedName>
    <definedName name="zcdçskld" hidden="1">{#N/A,#N/A,FALSE,"Plan1";#N/A,#N/A,FALSE,"Plan2"}</definedName>
    <definedName name="zcsdrfrt" localSheetId="3" hidden="1">{#N/A,#N/A,FALSE,"Plan1";#N/A,#N/A,FALSE,"Plan2"}</definedName>
    <definedName name="zcsdrfrt" localSheetId="8">{#N/A,#N/A,FALSE,"Plan1";#N/A,#N/A,FALSE,"Plan2"}</definedName>
    <definedName name="zcsdrfrt" localSheetId="5" hidden="1">{#N/A,#N/A,FALSE,"Plan1";#N/A,#N/A,FALSE,"Plan2"}</definedName>
    <definedName name="zcsdrfrt" localSheetId="4" hidden="1">{#N/A,#N/A,FALSE,"Plan1";#N/A,#N/A,FALSE,"Plan2"}</definedName>
    <definedName name="zcsdrfrt" localSheetId="10" hidden="1">{#N/A,#N/A,FALSE,"Plan1";#N/A,#N/A,FALSE,"Plan2"}</definedName>
    <definedName name="zcsdrfrt" localSheetId="1" hidden="1">{#N/A,#N/A,FALSE,"Plan1";#N/A,#N/A,FALSE,"Plan2"}</definedName>
    <definedName name="zcsdrfrt" localSheetId="0" hidden="1">{#N/A,#N/A,FALSE,"Plan1";#N/A,#N/A,FALSE,"Plan2"}</definedName>
    <definedName name="zcsdrfrt" localSheetId="11" hidden="1">{#N/A,#N/A,FALSE,"Plan1";#N/A,#N/A,FALSE,"Plan2"}</definedName>
    <definedName name="zcsdrfrt" localSheetId="12" hidden="1">{#N/A,#N/A,FALSE,"Plan1";#N/A,#N/A,FALSE,"Plan2"}</definedName>
    <definedName name="zcsdrfrt" hidden="1">{#N/A,#N/A,FALSE,"Plan1";#N/A,#N/A,FALSE,"Plan2"}</definedName>
    <definedName name="ZDRE" localSheetId="3" hidden="1">{#N/A,#N/A,FALSE,"Plan1";#N/A,#N/A,FALSE,"Plan2"}</definedName>
    <definedName name="ZDRE" localSheetId="8">{#N/A,#N/A,FALSE,"Plan1";#N/A,#N/A,FALSE,"Plan2"}</definedName>
    <definedName name="ZDRE" localSheetId="5" hidden="1">{#N/A,#N/A,FALSE,"Plan1";#N/A,#N/A,FALSE,"Plan2"}</definedName>
    <definedName name="ZDRE" localSheetId="4" hidden="1">{#N/A,#N/A,FALSE,"Plan1";#N/A,#N/A,FALSE,"Plan2"}</definedName>
    <definedName name="ZDRE" localSheetId="10" hidden="1">{#N/A,#N/A,FALSE,"Plan1";#N/A,#N/A,FALSE,"Plan2"}</definedName>
    <definedName name="ZDRE" localSheetId="1" hidden="1">{#N/A,#N/A,FALSE,"Plan1";#N/A,#N/A,FALSE,"Plan2"}</definedName>
    <definedName name="ZDRE" localSheetId="0" hidden="1">{#N/A,#N/A,FALSE,"Plan1";#N/A,#N/A,FALSE,"Plan2"}</definedName>
    <definedName name="ZDRE" localSheetId="11" hidden="1">{#N/A,#N/A,FALSE,"Plan1";#N/A,#N/A,FALSE,"Plan2"}</definedName>
    <definedName name="ZDRE" localSheetId="12" hidden="1">{#N/A,#N/A,FALSE,"Plan1";#N/A,#N/A,FALSE,"Plan2"}</definedName>
    <definedName name="ZDRE" hidden="1">{#N/A,#N/A,FALSE,"Plan1";#N/A,#N/A,FALSE,"Plan2"}</definedName>
    <definedName name="ZEZE" localSheetId="8">#REF!</definedName>
    <definedName name="ZEZE" localSheetId="5">#REF!</definedName>
    <definedName name="ZEZE" localSheetId="10">#REF!</definedName>
    <definedName name="ZEZE" localSheetId="11">#REF!</definedName>
    <definedName name="ZEZE" localSheetId="12">#REF!</definedName>
    <definedName name="ZEZE">#REF!</definedName>
    <definedName name="ZIN" localSheetId="8">#REF!</definedName>
    <definedName name="ZIN" localSheetId="5">#REF!</definedName>
    <definedName name="ZIN" localSheetId="10">#REF!</definedName>
    <definedName name="ZIN" localSheetId="11">#REF!</definedName>
    <definedName name="ZIN" localSheetId="12">#REF!</definedName>
    <definedName name="ZIN">#REF!</definedName>
    <definedName name="ZINS" localSheetId="8">#REF!</definedName>
    <definedName name="ZINS" localSheetId="5">#REF!</definedName>
    <definedName name="ZINS" localSheetId="10">#REF!</definedName>
    <definedName name="ZINS" localSheetId="11">#REF!</definedName>
    <definedName name="ZINS" localSheetId="12">#REF!</definedName>
    <definedName name="ZINS">#REF!</definedName>
    <definedName name="ZSADF" localSheetId="3" hidden="1">{#N/A,#N/A,FALSE,"Plan1";#N/A,#N/A,FALSE,"Plan2"}</definedName>
    <definedName name="ZSADF" localSheetId="8">{#N/A,#N/A,FALSE,"Plan1";#N/A,#N/A,FALSE,"Plan2"}</definedName>
    <definedName name="ZSADF" localSheetId="5" hidden="1">{#N/A,#N/A,FALSE,"Plan1";#N/A,#N/A,FALSE,"Plan2"}</definedName>
    <definedName name="ZSADF" localSheetId="4" hidden="1">{#N/A,#N/A,FALSE,"Plan1";#N/A,#N/A,FALSE,"Plan2"}</definedName>
    <definedName name="ZSADF" localSheetId="10" hidden="1">{#N/A,#N/A,FALSE,"Plan1";#N/A,#N/A,FALSE,"Plan2"}</definedName>
    <definedName name="ZSADF" localSheetId="1" hidden="1">{#N/A,#N/A,FALSE,"Plan1";#N/A,#N/A,FALSE,"Plan2"}</definedName>
    <definedName name="ZSADF" localSheetId="0" hidden="1">{#N/A,#N/A,FALSE,"Plan1";#N/A,#N/A,FALSE,"Plan2"}</definedName>
    <definedName name="ZSADF" localSheetId="11" hidden="1">{#N/A,#N/A,FALSE,"Plan1";#N/A,#N/A,FALSE,"Plan2"}</definedName>
    <definedName name="ZSADF" localSheetId="12" hidden="1">{#N/A,#N/A,FALSE,"Plan1";#N/A,#N/A,FALSE,"Plan2"}</definedName>
    <definedName name="ZSADF" hidden="1">{#N/A,#N/A,FALSE,"Plan1";#N/A,#N/A,FALSE,"Plan2"}</definedName>
    <definedName name="zsads" localSheetId="3" hidden="1">{#N/A,#N/A,FALSE,"Plan1";#N/A,#N/A,FALSE,"Plan2"}</definedName>
    <definedName name="zsads" localSheetId="8">{#N/A,#N/A,FALSE,"Plan1";#N/A,#N/A,FALSE,"Plan2"}</definedName>
    <definedName name="zsads" localSheetId="5" hidden="1">{#N/A,#N/A,FALSE,"Plan1";#N/A,#N/A,FALSE,"Plan2"}</definedName>
    <definedName name="zsads" localSheetId="4" hidden="1">{#N/A,#N/A,FALSE,"Plan1";#N/A,#N/A,FALSE,"Plan2"}</definedName>
    <definedName name="zsads" localSheetId="10" hidden="1">{#N/A,#N/A,FALSE,"Plan1";#N/A,#N/A,FALSE,"Plan2"}</definedName>
    <definedName name="zsads" localSheetId="1" hidden="1">{#N/A,#N/A,FALSE,"Plan1";#N/A,#N/A,FALSE,"Plan2"}</definedName>
    <definedName name="zsads" localSheetId="0" hidden="1">{#N/A,#N/A,FALSE,"Plan1";#N/A,#N/A,FALSE,"Plan2"}</definedName>
    <definedName name="zsads" localSheetId="11" hidden="1">{#N/A,#N/A,FALSE,"Plan1";#N/A,#N/A,FALSE,"Plan2"}</definedName>
    <definedName name="zsads" localSheetId="12" hidden="1">{#N/A,#N/A,FALSE,"Plan1";#N/A,#N/A,FALSE,"Plan2"}</definedName>
    <definedName name="zsads" hidden="1">{#N/A,#N/A,FALSE,"Plan1";#N/A,#N/A,FALSE,"Plan2"}</definedName>
    <definedName name="ZSDFSETR" localSheetId="8">#REF!</definedName>
    <definedName name="ZSDFSETR" localSheetId="5" hidden="1">#REF!</definedName>
    <definedName name="ZSDFSETR" localSheetId="10" hidden="1">#REF!</definedName>
    <definedName name="ZSDFSETR" localSheetId="1" hidden="1">#REF!</definedName>
    <definedName name="ZSDFSETR" localSheetId="11" hidden="1">#REF!</definedName>
    <definedName name="ZSDFSETR" localSheetId="12" hidden="1">#REF!</definedName>
    <definedName name="ZSDFSETR" hidden="1">#REF!</definedName>
    <definedName name="zsds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s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sdwer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ccdf" localSheetId="3" hidden="1">{#N/A,#N/A,FALSE,"Plan1";#N/A,#N/A,FALSE,"Plan2"}</definedName>
    <definedName name="zxccdf" localSheetId="8">{#N/A,#N/A,FALSE,"Plan1";#N/A,#N/A,FALSE,"Plan2"}</definedName>
    <definedName name="zxccdf" localSheetId="5" hidden="1">{#N/A,#N/A,FALSE,"Plan1";#N/A,#N/A,FALSE,"Plan2"}</definedName>
    <definedName name="zxccdf" localSheetId="4" hidden="1">{#N/A,#N/A,FALSE,"Plan1";#N/A,#N/A,FALSE,"Plan2"}</definedName>
    <definedName name="zxccdf" localSheetId="10" hidden="1">{#N/A,#N/A,FALSE,"Plan1";#N/A,#N/A,FALSE,"Plan2"}</definedName>
    <definedName name="zxccdf" localSheetId="1" hidden="1">{#N/A,#N/A,FALSE,"Plan1";#N/A,#N/A,FALSE,"Plan2"}</definedName>
    <definedName name="zxccdf" localSheetId="0" hidden="1">{#N/A,#N/A,FALSE,"Plan1";#N/A,#N/A,FALSE,"Plan2"}</definedName>
    <definedName name="zxccdf" localSheetId="11" hidden="1">{#N/A,#N/A,FALSE,"Plan1";#N/A,#N/A,FALSE,"Plan2"}</definedName>
    <definedName name="zxccdf" localSheetId="12" hidden="1">{#N/A,#N/A,FALSE,"Plan1";#N/A,#N/A,FALSE,"Plan2"}</definedName>
    <definedName name="zxccdf" hidden="1">{#N/A,#N/A,FALSE,"Plan1";#N/A,#N/A,FALSE,"Plan2"}</definedName>
    <definedName name="zxcdsf" localSheetId="8">#REF!</definedName>
    <definedName name="zxcdsf" localSheetId="5" hidden="1">#REF!</definedName>
    <definedName name="zxcdsf" localSheetId="10" hidden="1">#REF!</definedName>
    <definedName name="zxcdsf" localSheetId="1" hidden="1">#REF!</definedName>
    <definedName name="zxcdsf" localSheetId="11" hidden="1">#REF!</definedName>
    <definedName name="zxcdsf" localSheetId="12" hidden="1">#REF!</definedName>
    <definedName name="zxcdsf" hidden="1">#REF!</definedName>
    <definedName name="zxcfdstrrt" localSheetId="3" hidden="1">{#N/A,#N/A,FALSE,"Plan1";#N/A,#N/A,FALSE,"Plan2"}</definedName>
    <definedName name="zxcfdstrrt" localSheetId="8">{#N/A,#N/A,FALSE,"Plan1";#N/A,#N/A,FALSE,"Plan2"}</definedName>
    <definedName name="zxcfdstrrt" localSheetId="5" hidden="1">{#N/A,#N/A,FALSE,"Plan1";#N/A,#N/A,FALSE,"Plan2"}</definedName>
    <definedName name="zxcfdstrrt" localSheetId="4" hidden="1">{#N/A,#N/A,FALSE,"Plan1";#N/A,#N/A,FALSE,"Plan2"}</definedName>
    <definedName name="zxcfdstrrt" localSheetId="10" hidden="1">{#N/A,#N/A,FALSE,"Plan1";#N/A,#N/A,FALSE,"Plan2"}</definedName>
    <definedName name="zxcfdstrrt" localSheetId="1" hidden="1">{#N/A,#N/A,FALSE,"Plan1";#N/A,#N/A,FALSE,"Plan2"}</definedName>
    <definedName name="zxcfdstrrt" localSheetId="0" hidden="1">{#N/A,#N/A,FALSE,"Plan1";#N/A,#N/A,FALSE,"Plan2"}</definedName>
    <definedName name="zxcfdstrrt" localSheetId="11" hidden="1">{#N/A,#N/A,FALSE,"Plan1";#N/A,#N/A,FALSE,"Plan2"}</definedName>
    <definedName name="zxcfdstrrt" localSheetId="12" hidden="1">{#N/A,#N/A,FALSE,"Plan1";#N/A,#N/A,FALSE,"Plan2"}</definedName>
    <definedName name="zxcfdstrrt" hidden="1">{#N/A,#N/A,FALSE,"Plan1";#N/A,#N/A,FALSE,"Plan2"}</definedName>
    <definedName name="zxcx" localSheetId="3" hidden="1">{#N/A,#N/A,FALSE,"Plan1";#N/A,#N/A,FALSE,"Plan2"}</definedName>
    <definedName name="zxcx" localSheetId="8">{#N/A,#N/A,FALSE,"Plan1";#N/A,#N/A,FALSE,"Plan2"}</definedName>
    <definedName name="zxcx" localSheetId="5" hidden="1">{#N/A,#N/A,FALSE,"Plan1";#N/A,#N/A,FALSE,"Plan2"}</definedName>
    <definedName name="zxcx" localSheetId="4" hidden="1">{#N/A,#N/A,FALSE,"Plan1";#N/A,#N/A,FALSE,"Plan2"}</definedName>
    <definedName name="zxcx" localSheetId="10" hidden="1">{#N/A,#N/A,FALSE,"Plan1";#N/A,#N/A,FALSE,"Plan2"}</definedName>
    <definedName name="zxcx" localSheetId="1" hidden="1">{#N/A,#N/A,FALSE,"Plan1";#N/A,#N/A,FALSE,"Plan2"}</definedName>
    <definedName name="zxcx" localSheetId="0" hidden="1">{#N/A,#N/A,FALSE,"Plan1";#N/A,#N/A,FALSE,"Plan2"}</definedName>
    <definedName name="zxcx" localSheetId="11" hidden="1">{#N/A,#N/A,FALSE,"Plan1";#N/A,#N/A,FALSE,"Plan2"}</definedName>
    <definedName name="zxcx" localSheetId="12" hidden="1">{#N/A,#N/A,FALSE,"Plan1";#N/A,#N/A,FALSE,"Plan2"}</definedName>
    <definedName name="zxcx" hidden="1">{#N/A,#N/A,FALSE,"Plan1";#N/A,#N/A,FALSE,"Plan2"}</definedName>
    <definedName name="ZXFCRF" localSheetId="3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8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5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4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0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1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localSheetId="12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CRF" hidden="1">{TRUE,TRUE,-1.25,-15.5,604.5,366.75,FALSE,FALSE,TRUE,TRUE,0,1,#N/A,1,#N/A,9.0125,24.4117647058824,1,FALSE,FALSE,3,TRUE,1,FALSE,100,"Swvu.PLANILHA2.","ACwvu.PLANILHA2.",#N/A,FALSE,FALSE,0.787401575,0.34,0.46,0.5,1,"","",FALSE,FALSE,FALSE,FALSE,1,#N/A,1,1,FALSE,FALSE,#N/A,#N/A,FALSE,FALSE,FALSE,9,65532,65532,FALSE,FALSE,TRUE,TRUE,TRUE}</definedName>
    <definedName name="ZXFHDFRHDF" localSheetId="3" hidden="1">{#N/A,#N/A,FALSE,"Plan1";#N/A,#N/A,FALSE,"Plan2"}</definedName>
    <definedName name="ZXFHDFRHDF" localSheetId="8">{#N/A,#N/A,FALSE,"Plan1";#N/A,#N/A,FALSE,"Plan2"}</definedName>
    <definedName name="ZXFHDFRHDF" localSheetId="5" hidden="1">{#N/A,#N/A,FALSE,"Plan1";#N/A,#N/A,FALSE,"Plan2"}</definedName>
    <definedName name="ZXFHDFRHDF" localSheetId="4" hidden="1">{#N/A,#N/A,FALSE,"Plan1";#N/A,#N/A,FALSE,"Plan2"}</definedName>
    <definedName name="ZXFHDFRHDF" localSheetId="10" hidden="1">{#N/A,#N/A,FALSE,"Plan1";#N/A,#N/A,FALSE,"Plan2"}</definedName>
    <definedName name="ZXFHDFRHDF" localSheetId="1" hidden="1">{#N/A,#N/A,FALSE,"Plan1";#N/A,#N/A,FALSE,"Plan2"}</definedName>
    <definedName name="ZXFHDFRHDF" localSheetId="0" hidden="1">{#N/A,#N/A,FALSE,"Plan1";#N/A,#N/A,FALSE,"Plan2"}</definedName>
    <definedName name="ZXFHDFRHDF" localSheetId="11" hidden="1">{#N/A,#N/A,FALSE,"Plan1";#N/A,#N/A,FALSE,"Plan2"}</definedName>
    <definedName name="ZXFHDFRHDF" localSheetId="12" hidden="1">{#N/A,#N/A,FALSE,"Plan1";#N/A,#N/A,FALSE,"Plan2"}</definedName>
    <definedName name="ZXFHDFRHDF" hidden="1">{#N/A,#N/A,FALSE,"Plan1";#N/A,#N/A,FALSE,"Plan2"}</definedName>
    <definedName name="ZZ" localSheetId="8">#REF!</definedName>
    <definedName name="ZZ" localSheetId="5">#REF!</definedName>
    <definedName name="ZZ" localSheetId="10">#REF!</definedName>
    <definedName name="ZZ" localSheetId="11">#REF!</definedName>
    <definedName name="ZZ" localSheetId="12">#REF!</definedName>
    <definedName name="ZZ">#REF!</definedName>
    <definedName name="zzdftr" localSheetId="3" hidden="1">{#N/A,#N/A,FALSE,"Plan1";#N/A,#N/A,FALSE,"Plan2"}</definedName>
    <definedName name="zzdftr" localSheetId="8">{#N/A,#N/A,FALSE,"Plan1";#N/A,#N/A,FALSE,"Plan2"}</definedName>
    <definedName name="zzdftr" localSheetId="5" hidden="1">{#N/A,#N/A,FALSE,"Plan1";#N/A,#N/A,FALSE,"Plan2"}</definedName>
    <definedName name="zzdftr" localSheetId="4" hidden="1">{#N/A,#N/A,FALSE,"Plan1";#N/A,#N/A,FALSE,"Plan2"}</definedName>
    <definedName name="zzdftr" localSheetId="10" hidden="1">{#N/A,#N/A,FALSE,"Plan1";#N/A,#N/A,FALSE,"Plan2"}</definedName>
    <definedName name="zzdftr" localSheetId="1" hidden="1">{#N/A,#N/A,FALSE,"Plan1";#N/A,#N/A,FALSE,"Plan2"}</definedName>
    <definedName name="zzdftr" localSheetId="0" hidden="1">{#N/A,#N/A,FALSE,"Plan1";#N/A,#N/A,FALSE,"Plan2"}</definedName>
    <definedName name="zzdftr" localSheetId="11" hidden="1">{#N/A,#N/A,FALSE,"Plan1";#N/A,#N/A,FALSE,"Plan2"}</definedName>
    <definedName name="zzdftr" localSheetId="12" hidden="1">{#N/A,#N/A,FALSE,"Plan1";#N/A,#N/A,FALSE,"Plan2"}</definedName>
    <definedName name="zzdftr" hidden="1">{#N/A,#N/A,FALSE,"Plan1";#N/A,#N/A,FALSE,"Plan2"}</definedName>
    <definedName name="zzz" localSheetId="3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8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5">#REF!</definedName>
    <definedName name="zzz" localSheetId="4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0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1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 localSheetId="12" hidden="1">{#N/A,#N/A,FALSE,"QD_F1 Invest Detalhado";#N/A,#N/A,FALSE,"QD_F3 Invest_Comparado";#N/A,#N/A,FALSE,"QD_B Trafego";#N/A,#N/A,FALSE,"QD_D0 Custos Operacionais";#N/A,#N/A,FALSE,"QD_C Receita";#N/A,#N/A,FALSE,"QD_D Custos";#N/A,#N/A,FALSE,"QD_E Resultado";#N/A,#N/A,FALSE,"QD_G Fluxo Caixa"}</definedName>
    <definedName name="zzz">#REF!</definedName>
    <definedName name="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ㄱㄱㄱ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ㄱㄷㄱㄷㄱㄱㅎㄺㄷ" localSheetId="3" hidden="1">{"'장비'!$A$3:$M$12"}</definedName>
    <definedName name="ㄱㄷㄱㄷㄱㄱㅎㄺㄷ" localSheetId="8">{"'장비'!$A$3:$M$12"}</definedName>
    <definedName name="ㄱㄷㄱㄷㄱㄱㅎㄺㄷ" localSheetId="5" hidden="1">{"'장비'!$A$3:$M$12"}</definedName>
    <definedName name="ㄱㄷㄱㄷㄱㄱㅎㄺㄷ" localSheetId="4" hidden="1">{"'장비'!$A$3:$M$12"}</definedName>
    <definedName name="ㄱㄷㄱㄷㄱㄱㅎㄺㄷ" localSheetId="10" hidden="1">{"'장비'!$A$3:$M$12"}</definedName>
    <definedName name="ㄱㄷㄱㄷㄱㄱㅎㄺㄷ" localSheetId="1" hidden="1">{"'장비'!$A$3:$M$12"}</definedName>
    <definedName name="ㄱㄷㄱㄷㄱㄱㅎㄺㄷ" localSheetId="0" hidden="1">{"'장비'!$A$3:$M$12"}</definedName>
    <definedName name="ㄱㄷㄱㄷㄱㄱㅎㄺㄷ" localSheetId="11" hidden="1">{"'장비'!$A$3:$M$12"}</definedName>
    <definedName name="ㄱㄷㄱㄷㄱㄱㅎㄺㄷ" localSheetId="12" hidden="1">{"'장비'!$A$3:$M$12"}</definedName>
    <definedName name="ㄱㄷㄱㄷㄱㄱㅎㄺㄷ" hidden="1">{"'장비'!$A$3:$M$12"}</definedName>
    <definedName name="가나다" localSheetId="8">#REF!</definedName>
    <definedName name="가나다" hidden="1">#REF!</definedName>
    <definedName name="검증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검증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견적조건" localSheetId="8">#REF!</definedName>
    <definedName name="견적조건" localSheetId="10" hidden="1">#REF!</definedName>
    <definedName name="견적조건" localSheetId="1" hidden="1">#REF!</definedName>
    <definedName name="견적조건" localSheetId="11" hidden="1">#REF!</definedName>
    <definedName name="견적조건" localSheetId="12" hidden="1">#REF!</definedName>
    <definedName name="견적조건" hidden="1">#REF!</definedName>
    <definedName name="계약고햔황2" localSheetId="8">#REF!</definedName>
    <definedName name="계약고햔황2" localSheetId="5" hidden="1">#REF!</definedName>
    <definedName name="계약고햔황2" localSheetId="10" hidden="1">#REF!</definedName>
    <definedName name="계약고햔황2" localSheetId="1" hidden="1">#REF!</definedName>
    <definedName name="계약고햔황2" localSheetId="11" hidden="1">#REF!</definedName>
    <definedName name="계약고햔황2" localSheetId="12" hidden="1">#REF!</definedName>
    <definedName name="계약고햔황2" hidden="1">#REF!</definedName>
    <definedName name="계약고현황2" localSheetId="8">#REF!</definedName>
    <definedName name="계약고현황2" localSheetId="1" hidden="1">#REF!</definedName>
    <definedName name="계약고현황2" hidden="1">#REF!</definedName>
    <definedName name="고문" localSheetId="3" hidden="1">{#N/A,#N/A,FALSE,"현장 NCR 분석";#N/A,#N/A,FALSE,"현장품질감사";#N/A,#N/A,FALSE,"현장품질감사"}</definedName>
    <definedName name="고문" localSheetId="8">{#N/A,#N/A,FALSE,"현장 NCR 분석";#N/A,#N/A,FALSE,"현장품질감사";#N/A,#N/A,FALSE,"현장품질감사"}</definedName>
    <definedName name="고문" localSheetId="5" hidden="1">{#N/A,#N/A,FALSE,"현장 NCR 분석";#N/A,#N/A,FALSE,"현장품질감사";#N/A,#N/A,FALSE,"현장품질감사"}</definedName>
    <definedName name="고문" localSheetId="4" hidden="1">{#N/A,#N/A,FALSE,"현장 NCR 분석";#N/A,#N/A,FALSE,"현장품질감사";#N/A,#N/A,FALSE,"현장품질감사"}</definedName>
    <definedName name="고문" localSheetId="10" hidden="1">{#N/A,#N/A,FALSE,"현장 NCR 분석";#N/A,#N/A,FALSE,"현장품질감사";#N/A,#N/A,FALSE,"현장품질감사"}</definedName>
    <definedName name="고문" localSheetId="1" hidden="1">{#N/A,#N/A,FALSE,"현장 NCR 분석";#N/A,#N/A,FALSE,"현장품질감사";#N/A,#N/A,FALSE,"현장품질감사"}</definedName>
    <definedName name="고문" localSheetId="0" hidden="1">{#N/A,#N/A,FALSE,"현장 NCR 분석";#N/A,#N/A,FALSE,"현장품질감사";#N/A,#N/A,FALSE,"현장품질감사"}</definedName>
    <definedName name="고문" localSheetId="11" hidden="1">{#N/A,#N/A,FALSE,"현장 NCR 분석";#N/A,#N/A,FALSE,"현장품질감사";#N/A,#N/A,FALSE,"현장품질감사"}</definedName>
    <definedName name="고문" localSheetId="12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3" hidden="1">{#N/A,#N/A,FALSE,"현장 NCR 분석";#N/A,#N/A,FALSE,"현장품질감사";#N/A,#N/A,FALSE,"현장품질감사"}</definedName>
    <definedName name="고문2" localSheetId="8">{#N/A,#N/A,FALSE,"현장 NCR 분석";#N/A,#N/A,FALSE,"현장품질감사";#N/A,#N/A,FALSE,"현장품질감사"}</definedName>
    <definedName name="고문2" localSheetId="5" hidden="1">{#N/A,#N/A,FALSE,"현장 NCR 분석";#N/A,#N/A,FALSE,"현장품질감사";#N/A,#N/A,FALSE,"현장품질감사"}</definedName>
    <definedName name="고문2" localSheetId="4" hidden="1">{#N/A,#N/A,FALSE,"현장 NCR 분석";#N/A,#N/A,FALSE,"현장품질감사";#N/A,#N/A,FALSE,"현장품질감사"}</definedName>
    <definedName name="고문2" localSheetId="10" hidden="1">{#N/A,#N/A,FALSE,"현장 NCR 분석";#N/A,#N/A,FALSE,"현장품질감사";#N/A,#N/A,FALSE,"현장품질감사"}</definedName>
    <definedName name="고문2" localSheetId="1" hidden="1">{#N/A,#N/A,FALSE,"현장 NCR 분석";#N/A,#N/A,FALSE,"현장품질감사";#N/A,#N/A,FALSE,"현장품질감사"}</definedName>
    <definedName name="고문2" localSheetId="0" hidden="1">{#N/A,#N/A,FALSE,"현장 NCR 분석";#N/A,#N/A,FALSE,"현장품질감사";#N/A,#N/A,FALSE,"현장품질감사"}</definedName>
    <definedName name="고문2" localSheetId="11" hidden="1">{#N/A,#N/A,FALSE,"현장 NCR 분석";#N/A,#N/A,FALSE,"현장품질감사";#N/A,#N/A,FALSE,"현장품질감사"}</definedName>
    <definedName name="고문2" localSheetId="12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공공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공공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구분표_수정" localSheetId="3" hidden="1">{#N/A,#N/A,FALSE,"ENG'G(보호계전기)"}</definedName>
    <definedName name="공급구분표_수정" localSheetId="8">{#N/A,#N/A,FALSE,"ENG'G(보호계전기)"}</definedName>
    <definedName name="공급구분표_수정" localSheetId="5" hidden="1">{#N/A,#N/A,FALSE,"ENG'G(보호계전기)"}</definedName>
    <definedName name="공급구분표_수정" localSheetId="4" hidden="1">{#N/A,#N/A,FALSE,"ENG'G(보호계전기)"}</definedName>
    <definedName name="공급구분표_수정" localSheetId="10" hidden="1">{#N/A,#N/A,FALSE,"ENG'G(보호계전기)"}</definedName>
    <definedName name="공급구분표_수정" localSheetId="1" hidden="1">{#N/A,#N/A,FALSE,"ENG'G(보호계전기)"}</definedName>
    <definedName name="공급구분표_수정" localSheetId="0" hidden="1">{#N/A,#N/A,FALSE,"ENG'G(보호계전기)"}</definedName>
    <definedName name="공급구분표_수정" localSheetId="11" hidden="1">{#N/A,#N/A,FALSE,"ENG'G(보호계전기)"}</definedName>
    <definedName name="공급구분표_수정" localSheetId="12" hidden="1">{#N/A,#N/A,FALSE,"ENG'G(보호계전기)"}</definedName>
    <definedName name="공급구분표_수정" hidden="1">{#N/A,#N/A,FALSE,"ENG'G(보호계전기)"}</definedName>
    <definedName name="공급표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급표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진도율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광양1소결합리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구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분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구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기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김두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ㄴㄴㄴㄴ" localSheetId="8">#REF!</definedName>
    <definedName name="ㄴㄴㄴㄴ" localSheetId="10" hidden="1">#REF!</definedName>
    <definedName name="ㄴㄴㄴㄴ" localSheetId="1" hidden="1">#REF!</definedName>
    <definedName name="ㄴㄴㄴㄴ" localSheetId="11" hidden="1">#REF!</definedName>
    <definedName name="ㄴㄴㄴㄴ" localSheetId="12" hidden="1">#REF!</definedName>
    <definedName name="ㄴㄴㄴㄴ" hidden="1">#REF!</definedName>
    <definedName name="내역" localSheetId="3" hidden="1">{#N/A,#N/A,FALSE,"CCTV"}</definedName>
    <definedName name="내역" localSheetId="8">{#N/A,#N/A,FALSE,"CCTV"}</definedName>
    <definedName name="내역" localSheetId="5" hidden="1">{#N/A,#N/A,FALSE,"CCTV"}</definedName>
    <definedName name="내역" localSheetId="4" hidden="1">{#N/A,#N/A,FALSE,"CCTV"}</definedName>
    <definedName name="내역" localSheetId="10" hidden="1">{#N/A,#N/A,FALSE,"CCTV"}</definedName>
    <definedName name="내역" localSheetId="1" hidden="1">{#N/A,#N/A,FALSE,"CCTV"}</definedName>
    <definedName name="내역" localSheetId="0" hidden="1">{#N/A,#N/A,FALSE,"CCTV"}</definedName>
    <definedName name="내역" localSheetId="11" hidden="1">{#N/A,#N/A,FALSE,"CCTV"}</definedName>
    <definedName name="내역" localSheetId="12" hidden="1">{#N/A,#N/A,FALSE,"CCTV"}</definedName>
    <definedName name="내역" hidden="1">{#N/A,#N/A,FALSE,"CCTV"}</definedName>
    <definedName name="ㄷㄳ" localSheetId="3" hidden="1">{"'장비'!$A$3:$M$12"}</definedName>
    <definedName name="ㄷㄳ" localSheetId="8">{"'장비'!$A$3:$M$12"}</definedName>
    <definedName name="ㄷㄳ" localSheetId="5" hidden="1">{"'장비'!$A$3:$M$12"}</definedName>
    <definedName name="ㄷㄳ" localSheetId="4" hidden="1">{"'장비'!$A$3:$M$12"}</definedName>
    <definedName name="ㄷㄳ" localSheetId="10" hidden="1">{"'장비'!$A$3:$M$12"}</definedName>
    <definedName name="ㄷㄳ" localSheetId="1" hidden="1">{"'장비'!$A$3:$M$12"}</definedName>
    <definedName name="ㄷㄳ" localSheetId="0" hidden="1">{"'장비'!$A$3:$M$12"}</definedName>
    <definedName name="ㄷㄳ" localSheetId="11" hidden="1">{"'장비'!$A$3:$M$12"}</definedName>
    <definedName name="ㄷㄳ" localSheetId="12" hidden="1">{"'장비'!$A$3:$M$12"}</definedName>
    <definedName name="ㄷㄳ" hidden="1">{"'장비'!$A$3:$M$12"}</definedName>
    <definedName name="ㄷㄷㄷㄷ" localSheetId="3" hidden="1">{"'장비'!$A$3:$M$12"}</definedName>
    <definedName name="ㄷㄷㄷㄷ" localSheetId="8">{"'장비'!$A$3:$M$12"}</definedName>
    <definedName name="ㄷㄷㄷㄷ" localSheetId="5" hidden="1">{"'장비'!$A$3:$M$12"}</definedName>
    <definedName name="ㄷㄷㄷㄷ" localSheetId="4" hidden="1">{"'장비'!$A$3:$M$12"}</definedName>
    <definedName name="ㄷㄷㄷㄷ" localSheetId="10" hidden="1">{"'장비'!$A$3:$M$12"}</definedName>
    <definedName name="ㄷㄷㄷㄷ" localSheetId="1" hidden="1">{"'장비'!$A$3:$M$12"}</definedName>
    <definedName name="ㄷㄷㄷㄷ" localSheetId="0" hidden="1">{"'장비'!$A$3:$M$12"}</definedName>
    <definedName name="ㄷㄷㄷㄷ" localSheetId="11" hidden="1">{"'장비'!$A$3:$M$12"}</definedName>
    <definedName name="ㄷㄷㄷㄷ" localSheetId="12" hidden="1">{"'장비'!$A$3:$M$12"}</definedName>
    <definedName name="ㄷㄷㄷㄷ" hidden="1">{"'장비'!$A$3:$M$12"}</definedName>
    <definedName name="ㄷㅈㅂㄷ" localSheetId="3" hidden="1">{"'장비'!$A$3:$M$12"}</definedName>
    <definedName name="ㄷㅈㅂㄷ" localSheetId="8">{"'장비'!$A$3:$M$12"}</definedName>
    <definedName name="ㄷㅈㅂㄷ" localSheetId="5" hidden="1">{"'장비'!$A$3:$M$12"}</definedName>
    <definedName name="ㄷㅈㅂㄷ" localSheetId="4" hidden="1">{"'장비'!$A$3:$M$12"}</definedName>
    <definedName name="ㄷㅈㅂㄷ" localSheetId="10" hidden="1">{"'장비'!$A$3:$M$12"}</definedName>
    <definedName name="ㄷㅈㅂㄷ" localSheetId="1" hidden="1">{"'장비'!$A$3:$M$12"}</definedName>
    <definedName name="ㄷㅈㅂㄷ" localSheetId="0" hidden="1">{"'장비'!$A$3:$M$12"}</definedName>
    <definedName name="ㄷㅈㅂㄷ" localSheetId="11" hidden="1">{"'장비'!$A$3:$M$12"}</definedName>
    <definedName name="ㄷㅈㅂㄷ" localSheetId="12" hidden="1">{"'장비'!$A$3:$M$12"}</definedName>
    <definedName name="ㄷㅈㅂㄷ" hidden="1">{"'장비'!$A$3:$M$12"}</definedName>
    <definedName name="당초계획" localSheetId="8">#REF!</definedName>
    <definedName name="당초계획" hidden="1">#REF!</definedName>
    <definedName name="도면외주" localSheetId="8">#REF!</definedName>
    <definedName name="도면외주" hidden="1">#REF!</definedName>
    <definedName name="도면용역비" localSheetId="8">#REF!</definedName>
    <definedName name="도면용역비" hidden="1">#REF!</definedName>
    <definedName name="ㄹㄹ" localSheetId="3" hidden="1">{"'장비'!$A$3:$M$12"}</definedName>
    <definedName name="ㄹㄹ" localSheetId="8">{"'장비'!$A$3:$M$12"}</definedName>
    <definedName name="ㄹㄹ" localSheetId="5" hidden="1">{"'장비'!$A$3:$M$12"}</definedName>
    <definedName name="ㄹㄹ" localSheetId="4" hidden="1">{"'장비'!$A$3:$M$12"}</definedName>
    <definedName name="ㄹㄹ" localSheetId="10" hidden="1">{"'장비'!$A$3:$M$12"}</definedName>
    <definedName name="ㄹㄹ" localSheetId="1" hidden="1">{"'장비'!$A$3:$M$12"}</definedName>
    <definedName name="ㄹㄹ" localSheetId="0" hidden="1">{"'장비'!$A$3:$M$12"}</definedName>
    <definedName name="ㄹㄹ" localSheetId="11" hidden="1">{"'장비'!$A$3:$M$12"}</definedName>
    <definedName name="ㄹㄹ" localSheetId="12" hidden="1">{"'장비'!$A$3:$M$12"}</definedName>
    <definedName name="ㄹㄹ" hidden="1">{"'장비'!$A$3:$M$12"}</definedName>
    <definedName name="ㄹㄹㄹ" localSheetId="8">#REF!</definedName>
    <definedName name="ㄹㄹㄹ" hidden="1">#REF!</definedName>
    <definedName name="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러러러" localSheetId="3" hidden="1">{#N/A,#N/A,FALSE,"현장 NCR 분석";#N/A,#N/A,FALSE,"현장품질감사";#N/A,#N/A,FALSE,"현장품질감사"}</definedName>
    <definedName name="러러러" localSheetId="8">{#N/A,#N/A,FALSE,"현장 NCR 분석";#N/A,#N/A,FALSE,"현장품질감사";#N/A,#N/A,FALSE,"현장품질감사"}</definedName>
    <definedName name="러러러" localSheetId="5" hidden="1">{#N/A,#N/A,FALSE,"현장 NCR 분석";#N/A,#N/A,FALSE,"현장품질감사";#N/A,#N/A,FALSE,"현장품질감사"}</definedName>
    <definedName name="러러러" localSheetId="4" hidden="1">{#N/A,#N/A,FALSE,"현장 NCR 분석";#N/A,#N/A,FALSE,"현장품질감사";#N/A,#N/A,FALSE,"현장품질감사"}</definedName>
    <definedName name="러러러" localSheetId="10" hidden="1">{#N/A,#N/A,FALSE,"현장 NCR 분석";#N/A,#N/A,FALSE,"현장품질감사";#N/A,#N/A,FALSE,"현장품질감사"}</definedName>
    <definedName name="러러러" localSheetId="1" hidden="1">{#N/A,#N/A,FALSE,"현장 NCR 분석";#N/A,#N/A,FALSE,"현장품질감사";#N/A,#N/A,FALSE,"현장품질감사"}</definedName>
    <definedName name="러러러" localSheetId="0" hidden="1">{#N/A,#N/A,FALSE,"현장 NCR 분석";#N/A,#N/A,FALSE,"현장품질감사";#N/A,#N/A,FALSE,"현장품질감사"}</definedName>
    <definedName name="러러러" localSheetId="11" hidden="1">{#N/A,#N/A,FALSE,"현장 NCR 분석";#N/A,#N/A,FALSE,"현장품질감사";#N/A,#N/A,FALSE,"현장품질감사"}</definedName>
    <definedName name="러러러" localSheetId="12" hidden="1">{#N/A,#N/A,FALSE,"현장 NCR 분석";#N/A,#N/A,FALSE,"현장품질감사";#N/A,#N/A,FALSE,"현장품질감사"}</definedName>
    <definedName name="러러러" hidden="1">{#N/A,#N/A,FALSE,"현장 NCR 분석";#N/A,#N/A,FALSE,"현장품질감사";#N/A,#N/A,FALSE,"현장품질감사"}</definedName>
    <definedName name="ㅁ" localSheetId="3" hidden="1">{#N/A,#N/A,FALSE,"명세표"}</definedName>
    <definedName name="ㅁ" localSheetId="8">{#N/A,#N/A,FALSE,"명세표"}</definedName>
    <definedName name="ㅁ" localSheetId="5" hidden="1">{#N/A,#N/A,FALSE,"명세표"}</definedName>
    <definedName name="ㅁ" localSheetId="4" hidden="1">{#N/A,#N/A,FALSE,"명세표"}</definedName>
    <definedName name="ㅁ" localSheetId="10" hidden="1">{#N/A,#N/A,FALSE,"명세표"}</definedName>
    <definedName name="ㅁ" localSheetId="1" hidden="1">{#N/A,#N/A,FALSE,"명세표"}</definedName>
    <definedName name="ㅁ" localSheetId="0" hidden="1">{#N/A,#N/A,FALSE,"명세표"}</definedName>
    <definedName name="ㅁ" localSheetId="11" hidden="1">{#N/A,#N/A,FALSE,"명세표"}</definedName>
    <definedName name="ㅁ" localSheetId="12" hidden="1">{#N/A,#N/A,FALSE,"명세표"}</definedName>
    <definedName name="ㅁ" hidden="1">{#N/A,#N/A,FALSE,"명세표"}</definedName>
    <definedName name="ㅁㄱ해ㅜ5" localSheetId="8">#REF!</definedName>
    <definedName name="ㅁㄱ해ㅜ5" localSheetId="10" hidden="1">#REF!</definedName>
    <definedName name="ㅁㄱ해ㅜ5" localSheetId="1" hidden="1">#REF!</definedName>
    <definedName name="ㅁㄱ해ㅜ5" localSheetId="11" hidden="1">#REF!</definedName>
    <definedName name="ㅁㄱ해ㅜ5" localSheetId="12" hidden="1">#REF!</definedName>
    <definedName name="ㅁㄱ해ㅜ5" hidden="1">#REF!</definedName>
    <definedName name="ㅁ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ㄹ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ㄴㅇㄻㄴㅇㄻㄴ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ㄴㅇㄻ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" localSheetId="3" hidden="1">{#N/A,#N/A,FALSE,"명세표"}</definedName>
    <definedName name="ㅁㅁ" localSheetId="8">{#N/A,#N/A,FALSE,"명세표"}</definedName>
    <definedName name="ㅁㅁ" localSheetId="5" hidden="1">{#N/A,#N/A,FALSE,"명세표"}</definedName>
    <definedName name="ㅁㅁ" localSheetId="4" hidden="1">{#N/A,#N/A,FALSE,"명세표"}</definedName>
    <definedName name="ㅁㅁ" localSheetId="10" hidden="1">{#N/A,#N/A,FALSE,"명세표"}</definedName>
    <definedName name="ㅁㅁ" localSheetId="1" hidden="1">{#N/A,#N/A,FALSE,"명세표"}</definedName>
    <definedName name="ㅁㅁ" localSheetId="0" hidden="1">{#N/A,#N/A,FALSE,"명세표"}</definedName>
    <definedName name="ㅁㅁ" localSheetId="11" hidden="1">{#N/A,#N/A,FALSE,"명세표"}</definedName>
    <definedName name="ㅁㅁ" localSheetId="12" hidden="1">{#N/A,#N/A,FALSE,"명세표"}</definedName>
    <definedName name="ㅁㅁ" hidden="1">{#N/A,#N/A,FALSE,"명세표"}</definedName>
    <definedName name="ㅁㅁㅁ" localSheetId="8">#REF!</definedName>
    <definedName name="ㅁㅁㅁ" localSheetId="5" hidden="1">#REF!</definedName>
    <definedName name="ㅁㅁㅁ" localSheetId="10" hidden="1">#REF!</definedName>
    <definedName name="ㅁㅁㅁ" localSheetId="1" hidden="1">#REF!</definedName>
    <definedName name="ㅁㅁㅁ" localSheetId="11" hidden="1">#REF!</definedName>
    <definedName name="ㅁㅁㅁ" localSheetId="12" hidden="1">#REF!</definedName>
    <definedName name="ㅁㅁㅁ" hidden="1">#REF!</definedName>
    <definedName name="ㅁㅁㅁㅁㅁㅁㅁㅁㅁㅁㅁㅁ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ㅁㅁㅁㅁㅁㅁㅁㅁㅁㅁㅁ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ㅁㅇㄻ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머" localSheetId="3" hidden="1">{#N/A,#N/A,FALSE,"명세표"}</definedName>
    <definedName name="머" localSheetId="8">{#N/A,#N/A,FALSE,"명세표"}</definedName>
    <definedName name="머" localSheetId="5" hidden="1">{#N/A,#N/A,FALSE,"명세표"}</definedName>
    <definedName name="머" localSheetId="4" hidden="1">{#N/A,#N/A,FALSE,"명세표"}</definedName>
    <definedName name="머" localSheetId="10" hidden="1">{#N/A,#N/A,FALSE,"명세표"}</definedName>
    <definedName name="머" localSheetId="1" hidden="1">{#N/A,#N/A,FALSE,"명세표"}</definedName>
    <definedName name="머" localSheetId="0" hidden="1">{#N/A,#N/A,FALSE,"명세표"}</definedName>
    <definedName name="머" localSheetId="11" hidden="1">{#N/A,#N/A,FALSE,"명세표"}</definedName>
    <definedName name="머" localSheetId="12" hidden="1">{#N/A,#N/A,FALSE,"명세표"}</definedName>
    <definedName name="머" hidden="1">{#N/A,#N/A,FALSE,"명세표"}</definedName>
    <definedName name="ㅂㅂㅂㅂ" localSheetId="3" hidden="1">{#N/A,#N/A,FALSE,"명세표"}</definedName>
    <definedName name="ㅂㅂㅂㅂ" localSheetId="8">{#N/A,#N/A,FALSE,"명세표"}</definedName>
    <definedName name="ㅂㅂㅂㅂ" localSheetId="5" hidden="1">{#N/A,#N/A,FALSE,"명세표"}</definedName>
    <definedName name="ㅂㅂㅂㅂ" localSheetId="4" hidden="1">{#N/A,#N/A,FALSE,"명세표"}</definedName>
    <definedName name="ㅂㅂㅂㅂ" localSheetId="10" hidden="1">{#N/A,#N/A,FALSE,"명세표"}</definedName>
    <definedName name="ㅂㅂㅂㅂ" localSheetId="1" hidden="1">{#N/A,#N/A,FALSE,"명세표"}</definedName>
    <definedName name="ㅂㅂㅂㅂ" localSheetId="0" hidden="1">{#N/A,#N/A,FALSE,"명세표"}</definedName>
    <definedName name="ㅂㅂㅂㅂ" localSheetId="11" hidden="1">{#N/A,#N/A,FALSE,"명세표"}</definedName>
    <definedName name="ㅂㅂㅂㅂ" localSheetId="12" hidden="1">{#N/A,#N/A,FALSE,"명세표"}</definedName>
    <definedName name="ㅂㅂㅂㅂ" hidden="1">{#N/A,#N/A,FALSE,"명세표"}</definedName>
    <definedName name="ㅂㅂㅂㅂㅂㅂㅂ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ㅂㅂㅂㅂㅂㅂ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ㅂㅈㄱㅂㅈㄷㄱ" localSheetId="3" hidden="1">{"'장비'!$A$3:$M$12"}</definedName>
    <definedName name="ㅂㅈㄱㅂㅈㄷㄱ" localSheetId="8">{"'장비'!$A$3:$M$12"}</definedName>
    <definedName name="ㅂㅈㄱㅂㅈㄷㄱ" localSheetId="5" hidden="1">{"'장비'!$A$3:$M$12"}</definedName>
    <definedName name="ㅂㅈㄱㅂㅈㄷㄱ" localSheetId="4" hidden="1">{"'장비'!$A$3:$M$12"}</definedName>
    <definedName name="ㅂㅈㄱㅂㅈㄷㄱ" localSheetId="10" hidden="1">{"'장비'!$A$3:$M$12"}</definedName>
    <definedName name="ㅂㅈㄱㅂㅈㄷㄱ" localSheetId="1" hidden="1">{"'장비'!$A$3:$M$12"}</definedName>
    <definedName name="ㅂㅈㄱㅂㅈㄷㄱ" localSheetId="0" hidden="1">{"'장비'!$A$3:$M$12"}</definedName>
    <definedName name="ㅂㅈㄱㅂㅈㄷㄱ" localSheetId="11" hidden="1">{"'장비'!$A$3:$M$12"}</definedName>
    <definedName name="ㅂㅈㄱㅂㅈㄷㄱ" localSheetId="12" hidden="1">{"'장비'!$A$3:$M$12"}</definedName>
    <definedName name="ㅂㅈㄱㅂㅈㄷㄱ" hidden="1">{"'장비'!$A$3:$M$12"}</definedName>
    <definedName name="ㅂㅈㄷ" localSheetId="3" hidden="1">{"'장비'!$A$3:$M$12"}</definedName>
    <definedName name="ㅂㅈㄷ" localSheetId="8">{"'장비'!$A$3:$M$12"}</definedName>
    <definedName name="ㅂㅈㄷ" localSheetId="5" hidden="1">{"'장비'!$A$3:$M$12"}</definedName>
    <definedName name="ㅂㅈㄷ" localSheetId="4" hidden="1">{"'장비'!$A$3:$M$12"}</definedName>
    <definedName name="ㅂㅈㄷ" localSheetId="10" hidden="1">{"'장비'!$A$3:$M$12"}</definedName>
    <definedName name="ㅂㅈㄷ" localSheetId="1" hidden="1">{"'장비'!$A$3:$M$12"}</definedName>
    <definedName name="ㅂㅈㄷ" localSheetId="0" hidden="1">{"'장비'!$A$3:$M$12"}</definedName>
    <definedName name="ㅂㅈㄷ" localSheetId="11" hidden="1">{"'장비'!$A$3:$M$12"}</definedName>
    <definedName name="ㅂㅈㄷ" localSheetId="12" hidden="1">{"'장비'!$A$3:$M$12"}</definedName>
    <definedName name="ㅂㅈㄷ" hidden="1">{"'장비'!$A$3:$M$12"}</definedName>
    <definedName name="ㅂㅈㄷㄷㅂㅈㅈㅂ" localSheetId="3" hidden="1">{"'장비'!$A$3:$M$12"}</definedName>
    <definedName name="ㅂㅈㄷㄷㅂㅈㅈㅂ" localSheetId="8">{"'장비'!$A$3:$M$12"}</definedName>
    <definedName name="ㅂㅈㄷㄷㅂㅈㅈㅂ" localSheetId="5" hidden="1">{"'장비'!$A$3:$M$12"}</definedName>
    <definedName name="ㅂㅈㄷㄷㅂㅈㅈㅂ" localSheetId="4" hidden="1">{"'장비'!$A$3:$M$12"}</definedName>
    <definedName name="ㅂㅈㄷㄷㅂㅈㅈㅂ" localSheetId="10" hidden="1">{"'장비'!$A$3:$M$12"}</definedName>
    <definedName name="ㅂㅈㄷㄷㅂㅈㅈㅂ" localSheetId="1" hidden="1">{"'장비'!$A$3:$M$12"}</definedName>
    <definedName name="ㅂㅈㄷㄷㅂㅈㅈㅂ" localSheetId="0" hidden="1">{"'장비'!$A$3:$M$12"}</definedName>
    <definedName name="ㅂㅈㄷㄷㅂㅈㅈㅂ" localSheetId="11" hidden="1">{"'장비'!$A$3:$M$12"}</definedName>
    <definedName name="ㅂㅈㄷㄷㅂㅈㅈㅂ" localSheetId="12" hidden="1">{"'장비'!$A$3:$M$12"}</definedName>
    <definedName name="ㅂㅈㄷㄷㅂㅈㅈㅂ" hidden="1">{"'장비'!$A$3:$M$12"}</definedName>
    <definedName name="ㅂㅈㄷㅂㅈ" localSheetId="3" hidden="1">{"'장비'!$A$3:$M$12"}</definedName>
    <definedName name="ㅂㅈㄷㅂㅈ" localSheetId="8">{"'장비'!$A$3:$M$12"}</definedName>
    <definedName name="ㅂㅈㄷㅂㅈ" localSheetId="5" hidden="1">{"'장비'!$A$3:$M$12"}</definedName>
    <definedName name="ㅂㅈㄷㅂㅈ" localSheetId="4" hidden="1">{"'장비'!$A$3:$M$12"}</definedName>
    <definedName name="ㅂㅈㄷㅂㅈ" localSheetId="10" hidden="1">{"'장비'!$A$3:$M$12"}</definedName>
    <definedName name="ㅂㅈㄷㅂㅈ" localSheetId="1" hidden="1">{"'장비'!$A$3:$M$12"}</definedName>
    <definedName name="ㅂㅈㄷㅂㅈ" localSheetId="0" hidden="1">{"'장비'!$A$3:$M$12"}</definedName>
    <definedName name="ㅂㅈㄷㅂㅈ" localSheetId="11" hidden="1">{"'장비'!$A$3:$M$12"}</definedName>
    <definedName name="ㅂㅈㄷㅂㅈ" localSheetId="12" hidden="1">{"'장비'!$A$3:$M$12"}</definedName>
    <definedName name="ㅂㅈㄷㅂㅈ" hidden="1">{"'장비'!$A$3:$M$12"}</definedName>
    <definedName name="ㅂㅈㄷㅂㅈㅈㅂㄷ" localSheetId="3" hidden="1">{"'장비'!$A$3:$M$12"}</definedName>
    <definedName name="ㅂㅈㄷㅂㅈㅈㅂㄷ" localSheetId="8">{"'장비'!$A$3:$M$12"}</definedName>
    <definedName name="ㅂㅈㄷㅂㅈㅈㅂㄷ" localSheetId="5" hidden="1">{"'장비'!$A$3:$M$12"}</definedName>
    <definedName name="ㅂㅈㄷㅂㅈㅈㅂㄷ" localSheetId="4" hidden="1">{"'장비'!$A$3:$M$12"}</definedName>
    <definedName name="ㅂㅈㄷㅂㅈㅈㅂㄷ" localSheetId="10" hidden="1">{"'장비'!$A$3:$M$12"}</definedName>
    <definedName name="ㅂㅈㄷㅂㅈㅈㅂㄷ" localSheetId="1" hidden="1">{"'장비'!$A$3:$M$12"}</definedName>
    <definedName name="ㅂㅈㄷㅂㅈㅈㅂㄷ" localSheetId="0" hidden="1">{"'장비'!$A$3:$M$12"}</definedName>
    <definedName name="ㅂㅈㄷㅂㅈㅈㅂㄷ" localSheetId="11" hidden="1">{"'장비'!$A$3:$M$12"}</definedName>
    <definedName name="ㅂㅈㄷㅂㅈㅈㅂㄷ" localSheetId="12" hidden="1">{"'장비'!$A$3:$M$12"}</definedName>
    <definedName name="ㅂㅈㄷㅂㅈㅈㅂㄷ" hidden="1">{"'장비'!$A$3:$M$12"}</definedName>
    <definedName name="ㅂㅈㄷㅈㅂㄷ" localSheetId="3" hidden="1">{"'장비'!$A$3:$M$12"}</definedName>
    <definedName name="ㅂㅈㄷㅈㅂㄷ" localSheetId="8">{"'장비'!$A$3:$M$12"}</definedName>
    <definedName name="ㅂㅈㄷㅈㅂㄷ" localSheetId="5" hidden="1">{"'장비'!$A$3:$M$12"}</definedName>
    <definedName name="ㅂㅈㄷㅈㅂㄷ" localSheetId="4" hidden="1">{"'장비'!$A$3:$M$12"}</definedName>
    <definedName name="ㅂㅈㄷㅈㅂㄷ" localSheetId="10" hidden="1">{"'장비'!$A$3:$M$12"}</definedName>
    <definedName name="ㅂㅈㄷㅈㅂㄷ" localSheetId="1" hidden="1">{"'장비'!$A$3:$M$12"}</definedName>
    <definedName name="ㅂㅈㄷㅈㅂㄷ" localSheetId="0" hidden="1">{"'장비'!$A$3:$M$12"}</definedName>
    <definedName name="ㅂㅈㄷㅈㅂㄷ" localSheetId="11" hidden="1">{"'장비'!$A$3:$M$12"}</definedName>
    <definedName name="ㅂㅈㄷㅈㅂㄷ" localSheetId="12" hidden="1">{"'장비'!$A$3:$M$12"}</definedName>
    <definedName name="ㅂㅈㄷㅈㅂㄷ" hidden="1">{"'장비'!$A$3:$M$12"}</definedName>
    <definedName name="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보충" localSheetId="8">#REF!</definedName>
    <definedName name="보충" localSheetId="5" hidden="1">#REF!</definedName>
    <definedName name="보충" localSheetId="10" hidden="1">#REF!</definedName>
    <definedName name="보충" localSheetId="1" hidden="1">#REF!</definedName>
    <definedName name="보충" localSheetId="11" hidden="1">#REF!</definedName>
    <definedName name="보충" localSheetId="12" hidden="1">#REF!</definedName>
    <definedName name="보충" hidden="1">#REF!</definedName>
    <definedName name="보호" localSheetId="3" hidden="1">{#N/A,#N/A,FALSE,"ENG'G(보호계전기)"}</definedName>
    <definedName name="보호" localSheetId="8">{#N/A,#N/A,FALSE,"ENG'G(보호계전기)"}</definedName>
    <definedName name="보호" localSheetId="5" hidden="1">{#N/A,#N/A,FALSE,"ENG'G(보호계전기)"}</definedName>
    <definedName name="보호" localSheetId="4" hidden="1">{#N/A,#N/A,FALSE,"ENG'G(보호계전기)"}</definedName>
    <definedName name="보호" localSheetId="10" hidden="1">{#N/A,#N/A,FALSE,"ENG'G(보호계전기)"}</definedName>
    <definedName name="보호" localSheetId="1" hidden="1">{#N/A,#N/A,FALSE,"ENG'G(보호계전기)"}</definedName>
    <definedName name="보호" localSheetId="0" hidden="1">{#N/A,#N/A,FALSE,"ENG'G(보호계전기)"}</definedName>
    <definedName name="보호" localSheetId="11" hidden="1">{#N/A,#N/A,FALSE,"ENG'G(보호계전기)"}</definedName>
    <definedName name="보호" localSheetId="12" hidden="1">{#N/A,#N/A,FALSE,"ENG'G(보호계전기)"}</definedName>
    <definedName name="보호" hidden="1">{#N/A,#N/A,FALSE,"ENG'G(보호계전기)"}</definedName>
    <definedName name="본공사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본공사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부대공사" localSheetId="8">#REF!</definedName>
    <definedName name="부대공사" localSheetId="5" hidden="1">#REF!</definedName>
    <definedName name="부대공사" localSheetId="10" hidden="1">#REF!</definedName>
    <definedName name="부대공사" localSheetId="1" hidden="1">#REF!</definedName>
    <definedName name="부대공사" localSheetId="11" hidden="1">#REF!</definedName>
    <definedName name="부대공사" localSheetId="12" hidden="1">#REF!</definedName>
    <definedName name="부대공사" hidden="1">#REF!</definedName>
    <definedName name="부손익" localSheetId="3" hidden="1">{#N/A,#N/A,FALSE,"현장 NCR 분석";#N/A,#N/A,FALSE,"현장품질감사";#N/A,#N/A,FALSE,"현장품질감사"}</definedName>
    <definedName name="부손익" localSheetId="8">{#N/A,#N/A,FALSE,"현장 NCR 분석";#N/A,#N/A,FALSE,"현장품질감사";#N/A,#N/A,FALSE,"현장품질감사"}</definedName>
    <definedName name="부손익" localSheetId="5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localSheetId="10" hidden="1">{#N/A,#N/A,FALSE,"현장 NCR 분석";#N/A,#N/A,FALSE,"현장품질감사";#N/A,#N/A,FALSE,"현장품질감사"}</definedName>
    <definedName name="부손익" localSheetId="1" hidden="1">{#N/A,#N/A,FALSE,"현장 NCR 분석";#N/A,#N/A,FALSE,"현장품질감사";#N/A,#N/A,FALSE,"현장품질감사"}</definedName>
    <definedName name="부손익" localSheetId="0" hidden="1">{#N/A,#N/A,FALSE,"현장 NCR 분석";#N/A,#N/A,FALSE,"현장품질감사";#N/A,#N/A,FALSE,"현장품질감사"}</definedName>
    <definedName name="부손익" localSheetId="11" hidden="1">{#N/A,#N/A,FALSE,"현장 NCR 분석";#N/A,#N/A,FALSE,"현장품질감사";#N/A,#N/A,FALSE,"현장품질감사"}</definedName>
    <definedName name="부손익" localSheetId="12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분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분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ㅅㄱㄱㄷ" localSheetId="3" hidden="1">{"'장비'!$A$3:$M$12"}</definedName>
    <definedName name="ㅅㄱㄱㄷ" localSheetId="8">{"'장비'!$A$3:$M$12"}</definedName>
    <definedName name="ㅅㄱㄱㄷ" localSheetId="5" hidden="1">{"'장비'!$A$3:$M$12"}</definedName>
    <definedName name="ㅅㄱㄱㄷ" localSheetId="4" hidden="1">{"'장비'!$A$3:$M$12"}</definedName>
    <definedName name="ㅅㄱㄱㄷ" localSheetId="10" hidden="1">{"'장비'!$A$3:$M$12"}</definedName>
    <definedName name="ㅅㄱㄱㄷ" localSheetId="1" hidden="1">{"'장비'!$A$3:$M$12"}</definedName>
    <definedName name="ㅅㄱㄱㄷ" localSheetId="0" hidden="1">{"'장비'!$A$3:$M$12"}</definedName>
    <definedName name="ㅅㄱㄱㄷ" localSheetId="11" hidden="1">{"'장비'!$A$3:$M$12"}</definedName>
    <definedName name="ㅅㄱㄱㄷ" localSheetId="12" hidden="1">{"'장비'!$A$3:$M$12"}</definedName>
    <definedName name="ㅅㄱㄱㄷ" hidden="1">{"'장비'!$A$3:$M$12"}</definedName>
    <definedName name="ㅅㅅㅅㅅㅅ" localSheetId="3" hidden="1">{"'장비'!$A$3:$M$12"}</definedName>
    <definedName name="ㅅㅅㅅㅅㅅ" localSheetId="8">{"'장비'!$A$3:$M$12"}</definedName>
    <definedName name="ㅅㅅㅅㅅㅅ" localSheetId="5" hidden="1">{"'장비'!$A$3:$M$12"}</definedName>
    <definedName name="ㅅㅅㅅㅅㅅ" localSheetId="4" hidden="1">{"'장비'!$A$3:$M$12"}</definedName>
    <definedName name="ㅅㅅㅅㅅㅅ" localSheetId="10" hidden="1">{"'장비'!$A$3:$M$12"}</definedName>
    <definedName name="ㅅㅅㅅㅅㅅ" localSheetId="1" hidden="1">{"'장비'!$A$3:$M$12"}</definedName>
    <definedName name="ㅅㅅㅅㅅㅅ" localSheetId="0" hidden="1">{"'장비'!$A$3:$M$12"}</definedName>
    <definedName name="ㅅㅅㅅㅅㅅ" localSheetId="11" hidden="1">{"'장비'!$A$3:$M$12"}</definedName>
    <definedName name="ㅅㅅㅅㅅㅅ" localSheetId="12" hidden="1">{"'장비'!$A$3:$M$12"}</definedName>
    <definedName name="ㅅㅅㅅㅅㅅ" hidden="1">{"'장비'!$A$3:$M$12"}</definedName>
    <definedName name="사업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계획수정" localSheetId="8">#REF!</definedName>
    <definedName name="사업계획수정" localSheetId="5" hidden="1">#REF!</definedName>
    <definedName name="사업계획수정" localSheetId="10" hidden="1">#REF!</definedName>
    <definedName name="사업계획수정" localSheetId="1" hidden="1">#REF!</definedName>
    <definedName name="사업계획수정" localSheetId="11" hidden="1">#REF!</definedName>
    <definedName name="사업계획수정" localSheetId="12" hidden="1">#REF!</definedName>
    <definedName name="사업계획수정" hidden="1">#REF!</definedName>
    <definedName name="사업관리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관리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사업부양식2" localSheetId="8">#REF!</definedName>
    <definedName name="사업부양식2" localSheetId="5" hidden="1">#REF!</definedName>
    <definedName name="사업부양식2" localSheetId="10" hidden="1">#REF!</definedName>
    <definedName name="사업부양식2" localSheetId="1" hidden="1">#REF!</definedName>
    <definedName name="사업부양식2" localSheetId="11" hidden="1">#REF!</definedName>
    <definedName name="사업부양식2" localSheetId="12" hidden="1">#REF!</definedName>
    <definedName name="사업부양식2" hidden="1">#REF!</definedName>
    <definedName name="산출" localSheetId="8">#REF!</definedName>
    <definedName name="산출" localSheetId="10" hidden="1">#REF!</definedName>
    <definedName name="산출" localSheetId="1" hidden="1">#REF!</definedName>
    <definedName name="산출" localSheetId="11" hidden="1">#REF!</definedName>
    <definedName name="산출" localSheetId="12" hidden="1">#REF!</definedName>
    <definedName name="산출" hidden="1">#REF!</definedName>
    <definedName name="새안" localSheetId="3" hidden="1">{#N/A,#N/A,FALSE,"TABLE"}</definedName>
    <definedName name="새안" localSheetId="8">{#N/A,#N/A,FALSE,"TABLE"}</definedName>
    <definedName name="새안" localSheetId="5" hidden="1">{#N/A,#N/A,FALSE,"TABLE"}</definedName>
    <definedName name="새안" localSheetId="4" hidden="1">{#N/A,#N/A,FALSE,"TABLE"}</definedName>
    <definedName name="새안" localSheetId="10" hidden="1">{#N/A,#N/A,FALSE,"TABLE"}</definedName>
    <definedName name="새안" localSheetId="1" hidden="1">{#N/A,#N/A,FALSE,"TABLE"}</definedName>
    <definedName name="새안" localSheetId="0" hidden="1">{#N/A,#N/A,FALSE,"TABLE"}</definedName>
    <definedName name="새안" localSheetId="11" hidden="1">{#N/A,#N/A,FALSE,"TABLE"}</definedName>
    <definedName name="새안" localSheetId="12" hidden="1">{#N/A,#N/A,FALSE,"TABLE"}</definedName>
    <definedName name="새안" hidden="1">{#N/A,#N/A,FALSE,"TABLE"}</definedName>
    <definedName name="석항" localSheetId="3" hidden="1">{#N/A,#N/A,FALSE,"명세표"}</definedName>
    <definedName name="석항" localSheetId="8">{#N/A,#N/A,FALSE,"명세표"}</definedName>
    <definedName name="석항" localSheetId="5" hidden="1">{#N/A,#N/A,FALSE,"명세표"}</definedName>
    <definedName name="석항" localSheetId="4" hidden="1">{#N/A,#N/A,FALSE,"명세표"}</definedName>
    <definedName name="석항" localSheetId="10" hidden="1">{#N/A,#N/A,FALSE,"명세표"}</definedName>
    <definedName name="석항" localSheetId="1" hidden="1">{#N/A,#N/A,FALSE,"명세표"}</definedName>
    <definedName name="석항" localSheetId="0" hidden="1">{#N/A,#N/A,FALSE,"명세표"}</definedName>
    <definedName name="석항" localSheetId="11" hidden="1">{#N/A,#N/A,FALSE,"명세표"}</definedName>
    <definedName name="석항" localSheetId="12" hidden="1">{#N/A,#N/A,FALSE,"명세표"}</definedName>
    <definedName name="석항" hidden="1">{#N/A,#N/A,FALSE,"명세표"}</definedName>
    <definedName name="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과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성능보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손익계산서" localSheetId="8">#REF!</definedName>
    <definedName name="손익계산서" localSheetId="5" hidden="1">#REF!</definedName>
    <definedName name="손익계산서" localSheetId="10" hidden="1">#REF!</definedName>
    <definedName name="손익계산서" localSheetId="1" hidden="1">#REF!</definedName>
    <definedName name="손익계산서" localSheetId="11" hidden="1">#REF!</definedName>
    <definedName name="손익계산서" localSheetId="12" hidden="1">#REF!</definedName>
    <definedName name="손익계산서" hidden="1">#REF!</definedName>
    <definedName name="쇼ㅗㅎ로" localSheetId="3" hidden="1">{"'장비'!$A$3:$M$12"}</definedName>
    <definedName name="쇼ㅗㅎ로" localSheetId="8">{"'장비'!$A$3:$M$12"}</definedName>
    <definedName name="쇼ㅗㅎ로" localSheetId="5" hidden="1">{"'장비'!$A$3:$M$12"}</definedName>
    <definedName name="쇼ㅗㅎ로" localSheetId="4" hidden="1">{"'장비'!$A$3:$M$12"}</definedName>
    <definedName name="쇼ㅗㅎ로" localSheetId="10" hidden="1">{"'장비'!$A$3:$M$12"}</definedName>
    <definedName name="쇼ㅗㅎ로" localSheetId="1" hidden="1">{"'장비'!$A$3:$M$12"}</definedName>
    <definedName name="쇼ㅗㅎ로" localSheetId="0" hidden="1">{"'장비'!$A$3:$M$12"}</definedName>
    <definedName name="쇼ㅗㅎ로" localSheetId="11" hidden="1">{"'장비'!$A$3:$M$12"}</definedName>
    <definedName name="쇼ㅗㅎ로" localSheetId="12" hidden="1">{"'장비'!$A$3:$M$12"}</definedName>
    <definedName name="쇼ㅗㅎ로" hidden="1">{"'장비'!$A$3:$M$12"}</definedName>
    <definedName name="수" localSheetId="8">#REF!</definedName>
    <definedName name="수" hidden="1">#REF!</definedName>
    <definedName name="수당" localSheetId="8">#REF!</definedName>
    <definedName name="수당" hidden="1">#N/A</definedName>
    <definedName name="신설" localSheetId="3" hidden="1">{#N/A,#N/A,FALSE,"명세표"}</definedName>
    <definedName name="신설" localSheetId="8">{#N/A,#N/A,FALSE,"명세표"}</definedName>
    <definedName name="신설" localSheetId="5" hidden="1">{#N/A,#N/A,FALSE,"명세표"}</definedName>
    <definedName name="신설" localSheetId="4" hidden="1">{#N/A,#N/A,FALSE,"명세표"}</definedName>
    <definedName name="신설" localSheetId="10" hidden="1">{#N/A,#N/A,FALSE,"명세표"}</definedName>
    <definedName name="신설" localSheetId="1" hidden="1">{#N/A,#N/A,FALSE,"명세표"}</definedName>
    <definedName name="신설" localSheetId="0" hidden="1">{#N/A,#N/A,FALSE,"명세표"}</definedName>
    <definedName name="신설" localSheetId="11" hidden="1">{#N/A,#N/A,FALSE,"명세표"}</definedName>
    <definedName name="신설" localSheetId="12" hidden="1">{#N/A,#N/A,FALSE,"명세표"}</definedName>
    <definedName name="신설" hidden="1">{#N/A,#N/A,FALSE,"명세표"}</definedName>
    <definedName name="실적총괄1" localSheetId="8">#REF!</definedName>
    <definedName name="실적총괄1" localSheetId="5" hidden="1">#REF!</definedName>
    <definedName name="실적총괄1" localSheetId="10" hidden="1">#REF!</definedName>
    <definedName name="실적총괄1" localSheetId="1" hidden="1">#REF!</definedName>
    <definedName name="실적총괄1" localSheetId="11" hidden="1">#REF!</definedName>
    <definedName name="실적총괄1" localSheetId="12" hidden="1">#REF!</definedName>
    <definedName name="실적총괄1" hidden="1">#REF!</definedName>
    <definedName name="실총" localSheetId="8">#REF!</definedName>
    <definedName name="실총" localSheetId="10" hidden="1">#REF!</definedName>
    <definedName name="실총" localSheetId="1" hidden="1">#REF!</definedName>
    <definedName name="실총" localSheetId="11" hidden="1">#REF!</definedName>
    <definedName name="실총" localSheetId="12" hidden="1">#REF!</definedName>
    <definedName name="실총" hidden="1">#REF!</definedName>
    <definedName name="ㅇㄹㄹ" localSheetId="8">#REF!</definedName>
    <definedName name="ㅇㄹㄹ" localSheetId="1" hidden="1">#REF!</definedName>
    <definedName name="ㅇㄹㄹ" hidden="1">#REF!</definedName>
    <definedName name="ㅇㅇ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ㅇㅇㅇㅇ" localSheetId="8">#REF!</definedName>
    <definedName name="ㅇㅇㅇㅇ" localSheetId="10" hidden="1">#REF!</definedName>
    <definedName name="ㅇㅇㅇㅇ" localSheetId="1" hidden="1">#REF!</definedName>
    <definedName name="ㅇㅇㅇㅇ" localSheetId="11" hidden="1">#REF!</definedName>
    <definedName name="ㅇㅇㅇㅇ" localSheetId="12" hidden="1">#REF!</definedName>
    <definedName name="ㅇㅇㅇㅇ" hidden="1">#REF!</definedName>
    <definedName name="양식변경12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변경12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양식적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영문공정표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구조건참조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요약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.......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니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름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월" localSheetId="8">#REF!</definedName>
    <definedName name="이월" localSheetId="5" hidden="1">#REF!</definedName>
    <definedName name="이월" localSheetId="10" hidden="1">#REF!</definedName>
    <definedName name="이월" localSheetId="1" hidden="1">#REF!</definedName>
    <definedName name="이월" localSheetId="11" hidden="1">#REF!</definedName>
    <definedName name="이월" localSheetId="12" hidden="1">#REF!</definedName>
    <definedName name="이월" hidden="1">#REF!</definedName>
    <definedName name="이이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이이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인력기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ㅈ" localSheetId="3" hidden="1">{#N/A,#N/A,FALSE,"명세표"}</definedName>
    <definedName name="ㅈ" localSheetId="8">{#N/A,#N/A,FALSE,"명세표"}</definedName>
    <definedName name="ㅈ" localSheetId="5" hidden="1">{#N/A,#N/A,FALSE,"명세표"}</definedName>
    <definedName name="ㅈ" localSheetId="4" hidden="1">{#N/A,#N/A,FALSE,"명세표"}</definedName>
    <definedName name="ㅈ" localSheetId="10" hidden="1">{#N/A,#N/A,FALSE,"명세표"}</definedName>
    <definedName name="ㅈ" localSheetId="1" hidden="1">{#N/A,#N/A,FALSE,"명세표"}</definedName>
    <definedName name="ㅈ" localSheetId="0" hidden="1">{#N/A,#N/A,FALSE,"명세표"}</definedName>
    <definedName name="ㅈ" localSheetId="11" hidden="1">{#N/A,#N/A,FALSE,"명세표"}</definedName>
    <definedName name="ㅈ" localSheetId="12" hidden="1">{#N/A,#N/A,FALSE,"명세표"}</definedName>
    <definedName name="ㅈ" hidden="1">{#N/A,#N/A,FALSE,"명세표"}</definedName>
    <definedName name="ㅈㅈㅈㅈ" localSheetId="3" hidden="1">{#N/A,#N/A,FALSE,"명세표"}</definedName>
    <definedName name="ㅈㅈㅈㅈ" localSheetId="8">{#N/A,#N/A,FALSE,"명세표"}</definedName>
    <definedName name="ㅈㅈㅈㅈ" localSheetId="5" hidden="1">{#N/A,#N/A,FALSE,"명세표"}</definedName>
    <definedName name="ㅈㅈㅈㅈ" localSheetId="4" hidden="1">{#N/A,#N/A,FALSE,"명세표"}</definedName>
    <definedName name="ㅈㅈㅈㅈ" localSheetId="10" hidden="1">{#N/A,#N/A,FALSE,"명세표"}</definedName>
    <definedName name="ㅈㅈㅈㅈ" localSheetId="1" hidden="1">{#N/A,#N/A,FALSE,"명세표"}</definedName>
    <definedName name="ㅈㅈㅈㅈ" localSheetId="0" hidden="1">{#N/A,#N/A,FALSE,"명세표"}</definedName>
    <definedName name="ㅈㅈㅈㅈ" localSheetId="11" hidden="1">{#N/A,#N/A,FALSE,"명세표"}</definedName>
    <definedName name="ㅈㅈㅈㅈ" localSheetId="12" hidden="1">{#N/A,#N/A,FALSE,"명세표"}</definedName>
    <definedName name="ㅈㅈㅈㅈ" hidden="1">{#N/A,#N/A,FALSE,"명세표"}</definedName>
    <definedName name="자미" localSheetId="3" hidden="1">{#N/A,#N/A,FALSE,"명세표"}</definedName>
    <definedName name="자미" localSheetId="8">{#N/A,#N/A,FALSE,"명세표"}</definedName>
    <definedName name="자미" localSheetId="5" hidden="1">{#N/A,#N/A,FALSE,"명세표"}</definedName>
    <definedName name="자미" localSheetId="4" hidden="1">{#N/A,#N/A,FALSE,"명세표"}</definedName>
    <definedName name="자미" localSheetId="10" hidden="1">{#N/A,#N/A,FALSE,"명세표"}</definedName>
    <definedName name="자미" localSheetId="1" hidden="1">{#N/A,#N/A,FALSE,"명세표"}</definedName>
    <definedName name="자미" localSheetId="0" hidden="1">{#N/A,#N/A,FALSE,"명세표"}</definedName>
    <definedName name="자미" localSheetId="11" hidden="1">{#N/A,#N/A,FALSE,"명세표"}</definedName>
    <definedName name="자미" localSheetId="12" hidden="1">{#N/A,#N/A,FALSE,"명세표"}</definedName>
    <definedName name="자미" hidden="1">{#N/A,#N/A,FALSE,"명세표"}</definedName>
    <definedName name="자운" localSheetId="8">#REF!</definedName>
    <definedName name="자운" localSheetId="5" hidden="1">#REF!</definedName>
    <definedName name="자운" localSheetId="10" hidden="1">#REF!</definedName>
    <definedName name="자운" localSheetId="1" hidden="1">#REF!</definedName>
    <definedName name="자운" localSheetId="11" hidden="1">#REF!</definedName>
    <definedName name="자운" localSheetId="12" hidden="1">#REF!</definedName>
    <definedName name="자운" hidden="1">#REF!</definedName>
    <definedName name="자재3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자재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계장금액" localSheetId="8">#REF!</definedName>
    <definedName name="전계장금액" localSheetId="5" hidden="1">#REF!</definedName>
    <definedName name="전계장금액" localSheetId="10" hidden="1">#REF!</definedName>
    <definedName name="전계장금액" localSheetId="1" hidden="1">#REF!</definedName>
    <definedName name="전계장금액" localSheetId="11" hidden="1">#REF!</definedName>
    <definedName name="전계장금액" localSheetId="12" hidden="1">#REF!</definedName>
    <definedName name="전계장금액" hidden="1">#REF!</definedName>
    <definedName name="전기사양_SAMPL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사양_SAMPL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기상세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전선조장" localSheetId="8">#REF!</definedName>
    <definedName name="전선조장" localSheetId="5" hidden="1">#REF!</definedName>
    <definedName name="전선조장" localSheetId="10" hidden="1">#REF!</definedName>
    <definedName name="전선조장" localSheetId="1" hidden="1">#REF!</definedName>
    <definedName name="전선조장" localSheetId="11" hidden="1">#REF!</definedName>
    <definedName name="전선조장" localSheetId="12" hidden="1">#REF!</definedName>
    <definedName name="전선조장" hidden="1">#REF!</definedName>
    <definedName name="조직표현장" localSheetId="8">#REF!</definedName>
    <definedName name="조직표현장" localSheetId="5" hidden="1">#REF!</definedName>
    <definedName name="조직표현장" localSheetId="10" hidden="1">#REF!</definedName>
    <definedName name="조직표현장" localSheetId="1" hidden="1">#REF!</definedName>
    <definedName name="조직표현장" localSheetId="11" hidden="1">#REF!</definedName>
    <definedName name="조직표현장" localSheetId="12" hidden="1">#REF!</definedName>
    <definedName name="조직표현장" hidden="1">#REF!</definedName>
    <definedName name="종합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종합설계현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중량비교검토" localSheetId="3" hidden="1">{#N/A,#N/A,FALSE,"ENG'G(보호계전기)"}</definedName>
    <definedName name="중량비교검토" localSheetId="8">{#N/A,#N/A,FALSE,"ENG'G(보호계전기)"}</definedName>
    <definedName name="중량비교검토" localSheetId="5" hidden="1">{#N/A,#N/A,FALSE,"ENG'G(보호계전기)"}</definedName>
    <definedName name="중량비교검토" localSheetId="4" hidden="1">{#N/A,#N/A,FALSE,"ENG'G(보호계전기)"}</definedName>
    <definedName name="중량비교검토" localSheetId="10" hidden="1">{#N/A,#N/A,FALSE,"ENG'G(보호계전기)"}</definedName>
    <definedName name="중량비교검토" localSheetId="1" hidden="1">{#N/A,#N/A,FALSE,"ENG'G(보호계전기)"}</definedName>
    <definedName name="중량비교검토" localSheetId="0" hidden="1">{#N/A,#N/A,FALSE,"ENG'G(보호계전기)"}</definedName>
    <definedName name="중량비교검토" localSheetId="11" hidden="1">{#N/A,#N/A,FALSE,"ENG'G(보호계전기)"}</definedName>
    <definedName name="중량비교검토" localSheetId="12" hidden="1">{#N/A,#N/A,FALSE,"ENG'G(보호계전기)"}</definedName>
    <definedName name="중량비교검토" hidden="1">{#N/A,#N/A,FALSE,"ENG'G(보호계전기)"}</definedName>
    <definedName name="집계" localSheetId="3" hidden="1">{#N/A,#N/A,FALSE,"명세표"}</definedName>
    <definedName name="집계" localSheetId="8">{#N/A,#N/A,FALSE,"명세표"}</definedName>
    <definedName name="집계" localSheetId="5" hidden="1">{#N/A,#N/A,FALSE,"명세표"}</definedName>
    <definedName name="집계" localSheetId="4" hidden="1">{#N/A,#N/A,FALSE,"명세표"}</definedName>
    <definedName name="집계" localSheetId="10" hidden="1">{#N/A,#N/A,FALSE,"명세표"}</definedName>
    <definedName name="집계" localSheetId="1" hidden="1">{#N/A,#N/A,FALSE,"명세표"}</definedName>
    <definedName name="집계" localSheetId="0" hidden="1">{#N/A,#N/A,FALSE,"명세표"}</definedName>
    <definedName name="집계" localSheetId="11" hidden="1">{#N/A,#N/A,FALSE,"명세표"}</definedName>
    <definedName name="집계" localSheetId="12" hidden="1">{#N/A,#N/A,FALSE,"명세표"}</definedName>
    <definedName name="집계" hidden="1">{#N/A,#N/A,FALSE,"명세표"}</definedName>
    <definedName name="철골공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철골공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최종견적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추가E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ㅋㅁ" localSheetId="3" hidden="1">{#N/A,#N/A,FALSE,"명세표"}</definedName>
    <definedName name="ㅋㅁ" localSheetId="8">{#N/A,#N/A,FALSE,"명세표"}</definedName>
    <definedName name="ㅋㅁ" localSheetId="5" hidden="1">{#N/A,#N/A,FALSE,"명세표"}</definedName>
    <definedName name="ㅋㅁ" localSheetId="4" hidden="1">{#N/A,#N/A,FALSE,"명세표"}</definedName>
    <definedName name="ㅋㅁ" localSheetId="10" hidden="1">{#N/A,#N/A,FALSE,"명세표"}</definedName>
    <definedName name="ㅋㅁ" localSheetId="1" hidden="1">{#N/A,#N/A,FALSE,"명세표"}</definedName>
    <definedName name="ㅋㅁ" localSheetId="0" hidden="1">{#N/A,#N/A,FALSE,"명세표"}</definedName>
    <definedName name="ㅋㅁ" localSheetId="11" hidden="1">{#N/A,#N/A,FALSE,"명세표"}</definedName>
    <definedName name="ㅋㅁ" localSheetId="12" hidden="1">{#N/A,#N/A,FALSE,"명세표"}</definedName>
    <definedName name="ㅋㅁ" hidden="1">{#N/A,#N/A,FALSE,"명세표"}</definedName>
    <definedName name="ㅋㅋㅋ" localSheetId="3" hidden="1">{#N/A,#N/A,FALSE,"명세표"}</definedName>
    <definedName name="ㅋㅋㅋ" localSheetId="8">{#N/A,#N/A,FALSE,"명세표"}</definedName>
    <definedName name="ㅋㅋㅋ" localSheetId="5" hidden="1">{#N/A,#N/A,FALSE,"명세표"}</definedName>
    <definedName name="ㅋㅋㅋ" localSheetId="4" hidden="1">{#N/A,#N/A,FALSE,"명세표"}</definedName>
    <definedName name="ㅋㅋㅋ" localSheetId="10" hidden="1">{#N/A,#N/A,FALSE,"명세표"}</definedName>
    <definedName name="ㅋㅋㅋ" localSheetId="1" hidden="1">{#N/A,#N/A,FALSE,"명세표"}</definedName>
    <definedName name="ㅋㅋㅋ" localSheetId="0" hidden="1">{#N/A,#N/A,FALSE,"명세표"}</definedName>
    <definedName name="ㅋㅋㅋ" localSheetId="11" hidden="1">{#N/A,#N/A,FALSE,"명세표"}</definedName>
    <definedName name="ㅋㅋㅋ" localSheetId="12" hidden="1">{#N/A,#N/A,FALSE,"명세표"}</definedName>
    <definedName name="ㅋㅋㅋ" hidden="1">{#N/A,#N/A,FALSE,"명세표"}</definedName>
    <definedName name="ㅌㅌ" localSheetId="3" hidden="1">{#N/A,#N/A,FALSE,"명세표"}</definedName>
    <definedName name="ㅌㅌ" localSheetId="8">{#N/A,#N/A,FALSE,"명세표"}</definedName>
    <definedName name="ㅌㅌ" localSheetId="5" hidden="1">{#N/A,#N/A,FALSE,"명세표"}</definedName>
    <definedName name="ㅌㅌ" localSheetId="4" hidden="1">{#N/A,#N/A,FALSE,"명세표"}</definedName>
    <definedName name="ㅌㅌ" localSheetId="10" hidden="1">{#N/A,#N/A,FALSE,"명세표"}</definedName>
    <definedName name="ㅌㅌ" localSheetId="1" hidden="1">{#N/A,#N/A,FALSE,"명세표"}</definedName>
    <definedName name="ㅌㅌ" localSheetId="0" hidden="1">{#N/A,#N/A,FALSE,"명세표"}</definedName>
    <definedName name="ㅌㅌ" localSheetId="11" hidden="1">{#N/A,#N/A,FALSE,"명세표"}</definedName>
    <definedName name="ㅌㅌ" localSheetId="12" hidden="1">{#N/A,#N/A,FALSE,"명세표"}</definedName>
    <definedName name="ㅌㅌ" hidden="1">{#N/A,#N/A,FALSE,"명세표"}</definedName>
    <definedName name="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토목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ㅎㅎㅎㅎ" localSheetId="3" hidden="1">{"'장비'!$A$3:$M$12"}</definedName>
    <definedName name="ㅎㅎㅎㅎ" localSheetId="8">{"'장비'!$A$3:$M$12"}</definedName>
    <definedName name="ㅎㅎㅎㅎ" localSheetId="5" hidden="1">{"'장비'!$A$3:$M$12"}</definedName>
    <definedName name="ㅎㅎㅎㅎ" localSheetId="4" hidden="1">{"'장비'!$A$3:$M$12"}</definedName>
    <definedName name="ㅎㅎㅎㅎ" localSheetId="10" hidden="1">{"'장비'!$A$3:$M$12"}</definedName>
    <definedName name="ㅎㅎㅎㅎ" localSheetId="1" hidden="1">{"'장비'!$A$3:$M$12"}</definedName>
    <definedName name="ㅎㅎㅎㅎ" localSheetId="0" hidden="1">{"'장비'!$A$3:$M$12"}</definedName>
    <definedName name="ㅎㅎㅎㅎ" localSheetId="11" hidden="1">{"'장비'!$A$3:$M$12"}</definedName>
    <definedName name="ㅎㅎㅎㅎ" localSheetId="12" hidden="1">{"'장비'!$A$3:$M$12"}</definedName>
    <definedName name="ㅎㅎㅎㅎ" hidden="1">{"'장비'!$A$3:$M$12"}</definedName>
    <definedName name="하하하" localSheetId="3" hidden="1">{#N/A,#N/A,FALSE,"명세표"}</definedName>
    <definedName name="하하하" localSheetId="8">{#N/A,#N/A,FALSE,"명세표"}</definedName>
    <definedName name="하하하" localSheetId="5" hidden="1">{#N/A,#N/A,FALSE,"명세표"}</definedName>
    <definedName name="하하하" localSheetId="4" hidden="1">{#N/A,#N/A,FALSE,"명세표"}</definedName>
    <definedName name="하하하" localSheetId="10" hidden="1">{#N/A,#N/A,FALSE,"명세표"}</definedName>
    <definedName name="하하하" localSheetId="1" hidden="1">{#N/A,#N/A,FALSE,"명세표"}</definedName>
    <definedName name="하하하" localSheetId="0" hidden="1">{#N/A,#N/A,FALSE,"명세표"}</definedName>
    <definedName name="하하하" localSheetId="11" hidden="1">{#N/A,#N/A,FALSE,"명세표"}</definedName>
    <definedName name="하하하" localSheetId="12" hidden="1">{#N/A,#N/A,FALSE,"명세표"}</definedName>
    <definedName name="하하하" hidden="1">{#N/A,#N/A,FALSE,"명세표"}</definedName>
    <definedName name="한국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한국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현장계기류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협력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호호호" localSheetId="3" hidden="1">{#N/A,#N/A,FALSE,"명세표"}</definedName>
    <definedName name="호호호" localSheetId="8">{#N/A,#N/A,FALSE,"명세표"}</definedName>
    <definedName name="호호호" localSheetId="5" hidden="1">{#N/A,#N/A,FALSE,"명세표"}</definedName>
    <definedName name="호호호" localSheetId="4" hidden="1">{#N/A,#N/A,FALSE,"명세표"}</definedName>
    <definedName name="호호호" localSheetId="10" hidden="1">{#N/A,#N/A,FALSE,"명세표"}</definedName>
    <definedName name="호호호" localSheetId="1" hidden="1">{#N/A,#N/A,FALSE,"명세표"}</definedName>
    <definedName name="호호호" localSheetId="0" hidden="1">{#N/A,#N/A,FALSE,"명세표"}</definedName>
    <definedName name="호호호" localSheetId="11" hidden="1">{#N/A,#N/A,FALSE,"명세표"}</definedName>
    <definedName name="호호호" localSheetId="12" hidden="1">{#N/A,#N/A,FALSE,"명세표"}</definedName>
    <definedName name="호호호" hidden="1">{#N/A,#N/A,FALSE,"명세표"}</definedName>
    <definedName name="ㅏㅏㅏ" localSheetId="3" hidden="1">{#N/A,#N/A,FALSE,"명세표"}</definedName>
    <definedName name="ㅏㅏㅏ" localSheetId="8">{#N/A,#N/A,FALSE,"명세표"}</definedName>
    <definedName name="ㅏㅏㅏ" localSheetId="5" hidden="1">{#N/A,#N/A,FALSE,"명세표"}</definedName>
    <definedName name="ㅏㅏㅏ" localSheetId="4" hidden="1">{#N/A,#N/A,FALSE,"명세표"}</definedName>
    <definedName name="ㅏㅏㅏ" localSheetId="10" hidden="1">{#N/A,#N/A,FALSE,"명세표"}</definedName>
    <definedName name="ㅏㅏㅏ" localSheetId="1" hidden="1">{#N/A,#N/A,FALSE,"명세표"}</definedName>
    <definedName name="ㅏㅏㅏ" localSheetId="0" hidden="1">{#N/A,#N/A,FALSE,"명세표"}</definedName>
    <definedName name="ㅏㅏㅏ" localSheetId="11" hidden="1">{#N/A,#N/A,FALSE,"명세표"}</definedName>
    <definedName name="ㅏㅏㅏ" localSheetId="12" hidden="1">{#N/A,#N/A,FALSE,"명세표"}</definedName>
    <definedName name="ㅏㅏㅏ" hidden="1">{#N/A,#N/A,FALSE,"명세표"}</definedName>
    <definedName name="ㅔㅔ" localSheetId="3" hidden="1">{#N/A,#N/A,FALSE,"명세표"}</definedName>
    <definedName name="ㅔㅔ" localSheetId="8">{#N/A,#N/A,FALSE,"명세표"}</definedName>
    <definedName name="ㅔㅔ" localSheetId="5" hidden="1">{#N/A,#N/A,FALSE,"명세표"}</definedName>
    <definedName name="ㅔㅔ" localSheetId="4" hidden="1">{#N/A,#N/A,FALSE,"명세표"}</definedName>
    <definedName name="ㅔㅔ" localSheetId="10" hidden="1">{#N/A,#N/A,FALSE,"명세표"}</definedName>
    <definedName name="ㅔㅔ" localSheetId="1" hidden="1">{#N/A,#N/A,FALSE,"명세표"}</definedName>
    <definedName name="ㅔㅔ" localSheetId="0" hidden="1">{#N/A,#N/A,FALSE,"명세표"}</definedName>
    <definedName name="ㅔㅔ" localSheetId="11" hidden="1">{#N/A,#N/A,FALSE,"명세표"}</definedName>
    <definedName name="ㅔㅔ" localSheetId="12" hidden="1">{#N/A,#N/A,FALSE,"명세표"}</definedName>
    <definedName name="ㅔㅔ" hidden="1">{#N/A,#N/A,FALSE,"명세표"}</definedName>
    <definedName name="ㅔㅔㅔㅔㅔ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ㅔㅔㅔㅔㅔ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ㅕㅕㅕㅕㅕ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ㅗ홓ㅎ로" localSheetId="3" hidden="1">{"'장비'!$A$3:$M$12"}</definedName>
    <definedName name="ㅗ홓ㅎ로" localSheetId="8">{"'장비'!$A$3:$M$12"}</definedName>
    <definedName name="ㅗ홓ㅎ로" localSheetId="5" hidden="1">{"'장비'!$A$3:$M$12"}</definedName>
    <definedName name="ㅗ홓ㅎ로" localSheetId="4" hidden="1">{"'장비'!$A$3:$M$12"}</definedName>
    <definedName name="ㅗ홓ㅎ로" localSheetId="10" hidden="1">{"'장비'!$A$3:$M$12"}</definedName>
    <definedName name="ㅗ홓ㅎ로" localSheetId="1" hidden="1">{"'장비'!$A$3:$M$12"}</definedName>
    <definedName name="ㅗ홓ㅎ로" localSheetId="0" hidden="1">{"'장비'!$A$3:$M$12"}</definedName>
    <definedName name="ㅗ홓ㅎ로" localSheetId="11" hidden="1">{"'장비'!$A$3:$M$12"}</definedName>
    <definedName name="ㅗ홓ㅎ로" localSheetId="12" hidden="1">{"'장비'!$A$3:$M$12"}</definedName>
    <definedName name="ㅗ홓ㅎ로" hidden="1">{"'장비'!$A$3:$M$12"}</definedName>
    <definedName name="ㅗㅗ" localSheetId="3" hidden="1">{#N/A,#N/A,FALSE,"명세표"}</definedName>
    <definedName name="ㅗㅗ" localSheetId="8">{#N/A,#N/A,FALSE,"명세표"}</definedName>
    <definedName name="ㅗㅗ" localSheetId="5" hidden="1">{#N/A,#N/A,FALSE,"명세표"}</definedName>
    <definedName name="ㅗㅗ" localSheetId="4" hidden="1">{#N/A,#N/A,FALSE,"명세표"}</definedName>
    <definedName name="ㅗㅗ" localSheetId="10" hidden="1">{#N/A,#N/A,FALSE,"명세표"}</definedName>
    <definedName name="ㅗㅗ" localSheetId="1" hidden="1">{#N/A,#N/A,FALSE,"명세표"}</definedName>
    <definedName name="ㅗㅗ" localSheetId="0" hidden="1">{#N/A,#N/A,FALSE,"명세표"}</definedName>
    <definedName name="ㅗㅗ" localSheetId="11" hidden="1">{#N/A,#N/A,FALSE,"명세표"}</definedName>
    <definedName name="ㅗㅗ" localSheetId="12" hidden="1">{#N/A,#N/A,FALSE,"명세표"}</definedName>
    <definedName name="ㅗㅗ" hidden="1">{#N/A,#N/A,FALSE,"명세표"}</definedName>
    <definedName name="ㅗㅗㅗㅗㅗ" localSheetId="3" hidden="1">{"'장비'!$A$3:$M$12"}</definedName>
    <definedName name="ㅗㅗㅗㅗㅗ" localSheetId="8">{"'장비'!$A$3:$M$12"}</definedName>
    <definedName name="ㅗㅗㅗㅗㅗ" localSheetId="5" hidden="1">{"'장비'!$A$3:$M$12"}</definedName>
    <definedName name="ㅗㅗㅗㅗㅗ" localSheetId="4" hidden="1">{"'장비'!$A$3:$M$12"}</definedName>
    <definedName name="ㅗㅗㅗㅗㅗ" localSheetId="10" hidden="1">{"'장비'!$A$3:$M$12"}</definedName>
    <definedName name="ㅗㅗㅗㅗㅗ" localSheetId="1" hidden="1">{"'장비'!$A$3:$M$12"}</definedName>
    <definedName name="ㅗㅗㅗㅗㅗ" localSheetId="0" hidden="1">{"'장비'!$A$3:$M$12"}</definedName>
    <definedName name="ㅗㅗㅗㅗㅗ" localSheetId="11" hidden="1">{"'장비'!$A$3:$M$12"}</definedName>
    <definedName name="ㅗㅗㅗㅗㅗ" localSheetId="12" hidden="1">{"'장비'!$A$3:$M$12"}</definedName>
    <definedName name="ㅗㅗㅗㅗㅗ" hidden="1">{"'장비'!$A$3:$M$12"}</definedName>
    <definedName name="ㅛ" localSheetId="3" hidden="1">{"'장비'!$A$3:$M$12"}</definedName>
    <definedName name="ㅛ" localSheetId="8">{"'장비'!$A$3:$M$12"}</definedName>
    <definedName name="ㅛ" localSheetId="5" hidden="1">{"'장비'!$A$3:$M$12"}</definedName>
    <definedName name="ㅛ" localSheetId="4" hidden="1">{"'장비'!$A$3:$M$12"}</definedName>
    <definedName name="ㅛ" localSheetId="10" hidden="1">{"'장비'!$A$3:$M$12"}</definedName>
    <definedName name="ㅛ" localSheetId="1" hidden="1">{"'장비'!$A$3:$M$12"}</definedName>
    <definedName name="ㅛ" localSheetId="0" hidden="1">{"'장비'!$A$3:$M$12"}</definedName>
    <definedName name="ㅛ" localSheetId="11" hidden="1">{"'장비'!$A$3:$M$12"}</definedName>
    <definedName name="ㅛ" localSheetId="12" hidden="1">{"'장비'!$A$3:$M$12"}</definedName>
    <definedName name="ㅛ" hidden="1">{"'장비'!$A$3:$M$12"}</definedName>
    <definedName name="ㅛㅕㅛㅕㅛ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ㅕㅛㅕㅛ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ㅛㅛㅛ" localSheetId="3" hidden="1">{"'장비'!$A$3:$M$12"}</definedName>
    <definedName name="ㅛㅛㅛ" localSheetId="8">{"'장비'!$A$3:$M$12"}</definedName>
    <definedName name="ㅛㅛㅛ" localSheetId="5" hidden="1">{"'장비'!$A$3:$M$12"}</definedName>
    <definedName name="ㅛㅛㅛ" localSheetId="4" hidden="1">{"'장비'!$A$3:$M$12"}</definedName>
    <definedName name="ㅛㅛㅛ" localSheetId="10" hidden="1">{"'장비'!$A$3:$M$12"}</definedName>
    <definedName name="ㅛㅛㅛ" localSheetId="1" hidden="1">{"'장비'!$A$3:$M$12"}</definedName>
    <definedName name="ㅛㅛㅛ" localSheetId="0" hidden="1">{"'장비'!$A$3:$M$12"}</definedName>
    <definedName name="ㅛㅛㅛ" localSheetId="11" hidden="1">{"'장비'!$A$3:$M$12"}</definedName>
    <definedName name="ㅛㅛㅛ" localSheetId="12" hidden="1">{"'장비'!$A$3:$M$12"}</definedName>
    <definedName name="ㅛㅛㅛ" hidden="1">{"'장비'!$A$3:$M$12"}</definedName>
    <definedName name="ㅜ" localSheetId="3" hidden="1">{#N/A,#N/A,FALSE,"명세표"}</definedName>
    <definedName name="ㅜ" localSheetId="8">{#N/A,#N/A,FALSE,"명세표"}</definedName>
    <definedName name="ㅜ" localSheetId="5" hidden="1">{#N/A,#N/A,FALSE,"명세표"}</definedName>
    <definedName name="ㅜ" localSheetId="4" hidden="1">{#N/A,#N/A,FALSE,"명세표"}</definedName>
    <definedName name="ㅜ" localSheetId="10" hidden="1">{#N/A,#N/A,FALSE,"명세표"}</definedName>
    <definedName name="ㅜ" localSheetId="1" hidden="1">{#N/A,#N/A,FALSE,"명세표"}</definedName>
    <definedName name="ㅜ" localSheetId="0" hidden="1">{#N/A,#N/A,FALSE,"명세표"}</definedName>
    <definedName name="ㅜ" localSheetId="11" hidden="1">{#N/A,#N/A,FALSE,"명세표"}</definedName>
    <definedName name="ㅜ" localSheetId="12" hidden="1">{#N/A,#N/A,FALSE,"명세표"}</definedName>
    <definedName name="ㅜ" hidden="1">{#N/A,#N/A,FALSE,"명세표"}</definedName>
    <definedName name="ㅠㅠ" localSheetId="3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8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5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4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0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1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localSheetId="12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ㅠㅠ" hidden="1">{#N/A,#N/A,TRUE,"표지";#N/A,#N/A,TRUE,"목차";#N/A,#N/A,TRUE,"1.0일반사항";#N/A,#N/A,TRUE,"2.0공급범위";#N/A,#N/A,TRUE,"3.0현장조건";#N/A,#N/A,TRUE,"4.0적용규격및표준";#N/A,#N/A,TRUE,"5.0요구조건";#N/A,#N/A,TRUE,"6.0시험및검사";#N/A,#N/A,TRUE,"7.0성능보장";#N/A,#N/A,TRUE,"8.0도장";#N/A,#N/A,TRUE,"9.0운송및납품";#N/A,#N/A,TRUE,"10예비품및공구";#N/A,#N/A,TRUE,"11대안";#N/A,#N/A,TRUE,"12제출자료";#N/A,#N/A,TRUE,"13입찰서양식";#N/A,#N/A,TRUE,"14첨부"}</definedName>
    <definedName name="ㅡㅡ" localSheetId="3" hidden="1">{#N/A,#N/A,FALSE,"명세표"}</definedName>
    <definedName name="ㅡㅡ" localSheetId="8">{#N/A,#N/A,FALSE,"명세표"}</definedName>
    <definedName name="ㅡㅡ" localSheetId="5" hidden="1">{#N/A,#N/A,FALSE,"명세표"}</definedName>
    <definedName name="ㅡㅡ" localSheetId="4" hidden="1">{#N/A,#N/A,FALSE,"명세표"}</definedName>
    <definedName name="ㅡㅡ" localSheetId="10" hidden="1">{#N/A,#N/A,FALSE,"명세표"}</definedName>
    <definedName name="ㅡㅡ" localSheetId="1" hidden="1">{#N/A,#N/A,FALSE,"명세표"}</definedName>
    <definedName name="ㅡㅡ" localSheetId="0" hidden="1">{#N/A,#N/A,FALSE,"명세표"}</definedName>
    <definedName name="ㅡㅡ" localSheetId="11" hidden="1">{#N/A,#N/A,FALSE,"명세표"}</definedName>
    <definedName name="ㅡㅡ" localSheetId="12" hidden="1">{#N/A,#N/A,FALSE,"명세표"}</definedName>
    <definedName name="ㅡㅡ" hidden="1">{#N/A,#N/A,FALSE,"명세표"}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1" i="436" l="1"/>
  <c r="L110" i="436"/>
  <c r="I5" i="436"/>
  <c r="I4" i="436"/>
  <c r="C1653" i="448"/>
  <c r="C1654" i="448" s="1"/>
  <c r="C1655" i="448"/>
  <c r="C1656" i="448" s="1"/>
  <c r="C1657" i="448"/>
  <c r="C1658" i="448"/>
  <c r="C1659" i="448"/>
  <c r="C1660" i="448"/>
  <c r="C1661" i="448"/>
  <c r="C1662" i="448"/>
  <c r="C1663" i="448"/>
  <c r="C1664" i="448"/>
  <c r="C1665" i="448"/>
  <c r="C1666" i="448"/>
  <c r="C1667" i="448"/>
  <c r="C1668" i="448"/>
  <c r="B412" i="455" l="1"/>
  <c r="C412" i="455"/>
  <c r="B413" i="455"/>
  <c r="C413" i="455"/>
  <c r="B414" i="455"/>
  <c r="C414" i="455"/>
  <c r="B415" i="455"/>
  <c r="C415" i="455"/>
  <c r="E413" i="455"/>
  <c r="E259" i="455"/>
  <c r="C238" i="455"/>
  <c r="E235" i="455"/>
  <c r="C235" i="455"/>
  <c r="E292" i="455"/>
  <c r="E153" i="455"/>
  <c r="E163" i="455"/>
  <c r="E52" i="455"/>
  <c r="E67" i="455"/>
  <c r="E33" i="455"/>
  <c r="N438" i="436" l="1"/>
  <c r="F1290" i="448"/>
  <c r="F1292" i="448"/>
  <c r="E3719" i="451"/>
  <c r="H3735" i="451"/>
  <c r="H3736" i="451"/>
  <c r="H3737" i="451"/>
  <c r="H3738" i="451"/>
  <c r="H3739" i="451"/>
  <c r="H3740" i="451"/>
  <c r="H3741" i="451"/>
  <c r="H3742" i="451"/>
  <c r="H3743" i="451"/>
  <c r="H3744" i="451"/>
  <c r="H3745" i="451"/>
  <c r="H3746" i="451"/>
  <c r="H3747" i="451"/>
  <c r="H3748" i="451"/>
  <c r="H3749" i="451"/>
  <c r="H3750" i="451"/>
  <c r="H3751" i="451"/>
  <c r="H3752" i="451"/>
  <c r="H3753" i="451"/>
  <c r="H3754" i="451"/>
  <c r="H3755" i="451"/>
  <c r="H3756" i="451"/>
  <c r="H3757" i="451"/>
  <c r="E4277" i="451"/>
  <c r="E4325" i="451"/>
  <c r="E84" i="449"/>
  <c r="D84" i="449" s="1"/>
  <c r="G920" i="448" s="1"/>
  <c r="A84" i="449"/>
  <c r="E920" i="448"/>
  <c r="E929" i="448"/>
  <c r="E928" i="448"/>
  <c r="E927" i="448"/>
  <c r="E926" i="448"/>
  <c r="E925" i="448"/>
  <c r="E924" i="448"/>
  <c r="E923" i="448"/>
  <c r="E922" i="448"/>
  <c r="E921" i="448"/>
  <c r="E919" i="448"/>
  <c r="G918" i="448"/>
  <c r="C918" i="448"/>
  <c r="C919" i="448" s="1"/>
  <c r="L118" i="436"/>
  <c r="C920" i="448" l="1"/>
  <c r="C921" i="448"/>
  <c r="L302" i="436"/>
  <c r="J1656" i="448"/>
  <c r="E1658" i="448"/>
  <c r="G1657" i="448"/>
  <c r="D279" i="449"/>
  <c r="A279" i="449"/>
  <c r="D280" i="449"/>
  <c r="G1660" i="448" s="1"/>
  <c r="A280" i="449"/>
  <c r="D281" i="449"/>
  <c r="G1662" i="448" s="1"/>
  <c r="A281" i="449"/>
  <c r="G1656" i="448"/>
  <c r="E1656" i="448"/>
  <c r="G1655" i="448"/>
  <c r="E1660" i="448"/>
  <c r="G1659" i="448"/>
  <c r="E1662" i="448"/>
  <c r="G1661" i="448"/>
  <c r="L303" i="436"/>
  <c r="F1555" i="451"/>
  <c r="L301" i="436" s="1"/>
  <c r="D52" i="449"/>
  <c r="A52" i="449"/>
  <c r="D51" i="449"/>
  <c r="G727" i="448" s="1"/>
  <c r="A51" i="449"/>
  <c r="D50" i="449"/>
  <c r="G724" i="448" s="1"/>
  <c r="A50" i="449"/>
  <c r="D49" i="449"/>
  <c r="G721" i="448" s="1"/>
  <c r="A49" i="449"/>
  <c r="D48" i="449"/>
  <c r="G718" i="448" s="1"/>
  <c r="A48" i="449"/>
  <c r="E728" i="448"/>
  <c r="F727" i="448"/>
  <c r="E727" i="448"/>
  <c r="G726" i="448"/>
  <c r="C726" i="448"/>
  <c r="C727" i="448" s="1"/>
  <c r="C728" i="448" s="1"/>
  <c r="E725" i="448"/>
  <c r="F724" i="448"/>
  <c r="E724" i="448"/>
  <c r="G723" i="448"/>
  <c r="C723" i="448"/>
  <c r="E722" i="448"/>
  <c r="F721" i="448"/>
  <c r="E721" i="448"/>
  <c r="G720" i="448"/>
  <c r="C720" i="448"/>
  <c r="C721" i="448" s="1"/>
  <c r="E719" i="448"/>
  <c r="F718" i="448"/>
  <c r="E718" i="448"/>
  <c r="G717" i="448"/>
  <c r="C717" i="448"/>
  <c r="C718" i="448" s="1"/>
  <c r="E2308" i="448"/>
  <c r="G2307" i="448"/>
  <c r="C2307" i="448"/>
  <c r="C2308" i="448" s="1"/>
  <c r="D198" i="449"/>
  <c r="G2304" i="448" s="1"/>
  <c r="A198" i="449"/>
  <c r="D199" i="449"/>
  <c r="G2306" i="448" s="1"/>
  <c r="A199" i="449"/>
  <c r="D200" i="449"/>
  <c r="G2308" i="448" s="1"/>
  <c r="A200" i="449"/>
  <c r="E2304" i="448"/>
  <c r="G2303" i="448"/>
  <c r="C2303" i="448"/>
  <c r="C2304" i="448" s="1"/>
  <c r="E2306" i="448"/>
  <c r="G2305" i="448"/>
  <c r="C2305" i="448"/>
  <c r="C922" i="448" l="1"/>
  <c r="C719" i="448"/>
  <c r="C724" i="448"/>
  <c r="C722" i="448"/>
  <c r="C2306" i="448"/>
  <c r="C923" i="448" l="1"/>
  <c r="C725" i="448"/>
  <c r="L359" i="436"/>
  <c r="C924" i="448" l="1"/>
  <c r="C925" i="448" l="1"/>
  <c r="C926" i="448" l="1"/>
  <c r="C927" i="448" l="1"/>
  <c r="C928" i="448" l="1"/>
  <c r="C929" i="448" l="1"/>
  <c r="F29" i="432" l="1"/>
  <c r="F27" i="432"/>
  <c r="F24" i="432"/>
  <c r="F18" i="432"/>
  <c r="F2480" i="448" l="1"/>
  <c r="E2480" i="448"/>
  <c r="G2479" i="448"/>
  <c r="C2479" i="448"/>
  <c r="C2480" i="448" s="1"/>
  <c r="F52" i="458" l="1"/>
  <c r="F51" i="458"/>
  <c r="C53" i="506"/>
  <c r="D25" i="506"/>
  <c r="D6" i="506"/>
  <c r="C3" i="506"/>
  <c r="C2" i="506"/>
  <c r="C1" i="506"/>
  <c r="D9" i="436"/>
  <c r="D10" i="436" s="1"/>
  <c r="D11" i="436" s="1"/>
  <c r="D12" i="436" s="1"/>
  <c r="D13" i="436" s="1"/>
  <c r="D14" i="436" s="1"/>
  <c r="D15" i="436" s="1"/>
  <c r="D16" i="436" s="1"/>
  <c r="D17" i="436" s="1"/>
  <c r="D18" i="436" s="1"/>
  <c r="D19" i="436" s="1"/>
  <c r="D20" i="436" s="1"/>
  <c r="D21" i="436" s="1"/>
  <c r="D22" i="436" s="1"/>
  <c r="D23" i="436" s="1"/>
  <c r="E10" i="436"/>
  <c r="E11" i="436" s="1"/>
  <c r="E12" i="436" s="1"/>
  <c r="E13" i="436"/>
  <c r="E14" i="436" s="1"/>
  <c r="E15" i="436" s="1"/>
  <c r="E16" i="436" s="1"/>
  <c r="E17" i="436"/>
  <c r="E18" i="436" s="1"/>
  <c r="E19" i="436"/>
  <c r="E20" i="436" s="1"/>
  <c r="E21" i="436" s="1"/>
  <c r="E22" i="436" s="1"/>
  <c r="E23" i="436" s="1"/>
  <c r="E24" i="436" s="1"/>
  <c r="C23" i="436"/>
  <c r="C24" i="436" s="1"/>
  <c r="C25" i="436" s="1"/>
  <c r="C26" i="436" s="1"/>
  <c r="C27" i="436" s="1"/>
  <c r="C28" i="436" s="1"/>
  <c r="C29" i="436" s="1"/>
  <c r="C30" i="436" s="1"/>
  <c r="C31" i="436" s="1"/>
  <c r="C32" i="436" s="1"/>
  <c r="C33" i="436" s="1"/>
  <c r="C34" i="436" s="1"/>
  <c r="C35" i="436" s="1"/>
  <c r="C36" i="436" s="1"/>
  <c r="C37" i="436" s="1"/>
  <c r="C38" i="436" s="1"/>
  <c r="C39" i="436" s="1"/>
  <c r="C40" i="436" s="1"/>
  <c r="C41" i="436" s="1"/>
  <c r="C42" i="436" s="1"/>
  <c r="C43" i="436" s="1"/>
  <c r="C44" i="436" s="1"/>
  <c r="C45" i="436" s="1"/>
  <c r="C46" i="436" s="1"/>
  <c r="C47" i="436" s="1"/>
  <c r="C48" i="436" s="1"/>
  <c r="C49" i="436" s="1"/>
  <c r="C50" i="436" s="1"/>
  <c r="C51" i="436" s="1"/>
  <c r="C52" i="436" s="1"/>
  <c r="C53" i="436" s="1"/>
  <c r="C54" i="436" s="1"/>
  <c r="C55" i="436" s="1"/>
  <c r="C56" i="436" s="1"/>
  <c r="C57" i="436" s="1"/>
  <c r="D24" i="436"/>
  <c r="D25" i="436" s="1"/>
  <c r="D26" i="436" s="1"/>
  <c r="D27" i="436" s="1"/>
  <c r="D28" i="436" s="1"/>
  <c r="D29" i="436" s="1"/>
  <c r="D30" i="436" s="1"/>
  <c r="D31" i="436" s="1"/>
  <c r="D32" i="436" s="1"/>
  <c r="D33" i="436" s="1"/>
  <c r="D34" i="436" s="1"/>
  <c r="D35" i="436" s="1"/>
  <c r="D36" i="436" s="1"/>
  <c r="D37" i="436" s="1"/>
  <c r="D38" i="436" s="1"/>
  <c r="D39" i="436" s="1"/>
  <c r="E25" i="436"/>
  <c r="E26" i="436" s="1"/>
  <c r="E27" i="436" s="1"/>
  <c r="E28" i="436" s="1"/>
  <c r="E29" i="436" s="1"/>
  <c r="E30" i="436" s="1"/>
  <c r="E31" i="436" s="1"/>
  <c r="E32" i="436" s="1"/>
  <c r="E33" i="436"/>
  <c r="E34" i="436" s="1"/>
  <c r="E35" i="436" s="1"/>
  <c r="E36" i="436"/>
  <c r="E37" i="436" s="1"/>
  <c r="E38" i="436"/>
  <c r="E39" i="436" s="1"/>
  <c r="E40" i="436" s="1"/>
  <c r="D40" i="436"/>
  <c r="D41" i="436" s="1"/>
  <c r="D42" i="436" s="1"/>
  <c r="D43" i="436" s="1"/>
  <c r="D44" i="436" s="1"/>
  <c r="D45" i="436" s="1"/>
  <c r="D46" i="436" s="1"/>
  <c r="D47" i="436" s="1"/>
  <c r="D48" i="436" s="1"/>
  <c r="D49" i="436" s="1"/>
  <c r="D50" i="436" s="1"/>
  <c r="D51" i="436" s="1"/>
  <c r="D52" i="436" s="1"/>
  <c r="D53" i="436" s="1"/>
  <c r="D54" i="436" s="1"/>
  <c r="D55" i="436" s="1"/>
  <c r="D56" i="436" s="1"/>
  <c r="D57" i="436" s="1"/>
  <c r="D58" i="436" s="1"/>
  <c r="E41" i="436"/>
  <c r="E42" i="436" s="1"/>
  <c r="E43" i="436"/>
  <c r="E44" i="436" s="1"/>
  <c r="E45" i="436" s="1"/>
  <c r="E46" i="436" s="1"/>
  <c r="E47" i="436" s="1"/>
  <c r="E48" i="436" s="1"/>
  <c r="E49" i="436" s="1"/>
  <c r="E50" i="436" s="1"/>
  <c r="E51" i="436" s="1"/>
  <c r="E52" i="436"/>
  <c r="E53" i="436" s="1"/>
  <c r="E54" i="436" s="1"/>
  <c r="E55" i="436" s="1"/>
  <c r="E56" i="436"/>
  <c r="E57" i="436" s="1"/>
  <c r="E58" i="436" s="1"/>
  <c r="E59" i="436" s="1"/>
  <c r="C58" i="436"/>
  <c r="C59" i="436" s="1"/>
  <c r="C60" i="436" s="1"/>
  <c r="C61" i="436" s="1"/>
  <c r="C62" i="436" s="1"/>
  <c r="C63" i="436" s="1"/>
  <c r="C64" i="436" s="1"/>
  <c r="C65" i="436" s="1"/>
  <c r="C66" i="436" s="1"/>
  <c r="C67" i="436" s="1"/>
  <c r="C68" i="436" s="1"/>
  <c r="C69" i="436" s="1"/>
  <c r="C70" i="436" s="1"/>
  <c r="C71" i="436" s="1"/>
  <c r="C72" i="436" s="1"/>
  <c r="C73" i="436" s="1"/>
  <c r="D59" i="436"/>
  <c r="D60" i="436" s="1"/>
  <c r="D61" i="436" s="1"/>
  <c r="D62" i="436" s="1"/>
  <c r="D63" i="436" s="1"/>
  <c r="D64" i="436" s="1"/>
  <c r="D65" i="436" s="1"/>
  <c r="D66" i="436" s="1"/>
  <c r="D67" i="436" s="1"/>
  <c r="D68" i="436" s="1"/>
  <c r="D69" i="436" s="1"/>
  <c r="D70" i="436" s="1"/>
  <c r="D71" i="436" s="1"/>
  <c r="D72" i="436" s="1"/>
  <c r="D73" i="436" s="1"/>
  <c r="D74" i="436" s="1"/>
  <c r="E60" i="436"/>
  <c r="E61" i="436" s="1"/>
  <c r="E62" i="436" s="1"/>
  <c r="E63" i="436"/>
  <c r="E64" i="436" s="1"/>
  <c r="E65" i="436"/>
  <c r="E66" i="436" s="1"/>
  <c r="E67" i="436" s="1"/>
  <c r="E68" i="436" s="1"/>
  <c r="E69" i="436" s="1"/>
  <c r="E70" i="436"/>
  <c r="E71" i="436" s="1"/>
  <c r="E72" i="436"/>
  <c r="E73" i="436" s="1"/>
  <c r="E74" i="436" s="1"/>
  <c r="E75" i="436" s="1"/>
  <c r="C74" i="436"/>
  <c r="C75" i="436" s="1"/>
  <c r="C76" i="436" s="1"/>
  <c r="C77" i="436" s="1"/>
  <c r="C78" i="436" s="1"/>
  <c r="C79" i="436" s="1"/>
  <c r="C80" i="436" s="1"/>
  <c r="C81" i="436" s="1"/>
  <c r="C82" i="436" s="1"/>
  <c r="C83" i="436" s="1"/>
  <c r="C84" i="436" s="1"/>
  <c r="C85" i="436" s="1"/>
  <c r="C86" i="436" s="1"/>
  <c r="C87" i="436" s="1"/>
  <c r="C88" i="436" s="1"/>
  <c r="C89" i="436" s="1"/>
  <c r="C90" i="436" s="1"/>
  <c r="C91" i="436" s="1"/>
  <c r="C92" i="436" s="1"/>
  <c r="C93" i="436" s="1"/>
  <c r="C94" i="436" s="1"/>
  <c r="C95" i="436" s="1"/>
  <c r="C96" i="436" s="1"/>
  <c r="C97" i="436" s="1"/>
  <c r="C98" i="436" s="1"/>
  <c r="C99" i="436" s="1"/>
  <c r="C100" i="436" s="1"/>
  <c r="C101" i="436" s="1"/>
  <c r="D75" i="436"/>
  <c r="D76" i="436" s="1"/>
  <c r="D77" i="436" s="1"/>
  <c r="D78" i="436" s="1"/>
  <c r="D79" i="436" s="1"/>
  <c r="D80" i="436" s="1"/>
  <c r="D81" i="436" s="1"/>
  <c r="D82" i="436" s="1"/>
  <c r="D83" i="436" s="1"/>
  <c r="D84" i="436" s="1"/>
  <c r="D85" i="436" s="1"/>
  <c r="D86" i="436" s="1"/>
  <c r="D87" i="436" s="1"/>
  <c r="D88" i="436" s="1"/>
  <c r="D89" i="436" s="1"/>
  <c r="D90" i="436" s="1"/>
  <c r="D91" i="436" s="1"/>
  <c r="D92" i="436" s="1"/>
  <c r="D93" i="436" s="1"/>
  <c r="D94" i="436" s="1"/>
  <c r="D95" i="436" s="1"/>
  <c r="D96" i="436" s="1"/>
  <c r="D97" i="436" s="1"/>
  <c r="D98" i="436" s="1"/>
  <c r="D99" i="436" s="1"/>
  <c r="D100" i="436" s="1"/>
  <c r="D101" i="436" s="1"/>
  <c r="D102" i="436" s="1"/>
  <c r="E76" i="436"/>
  <c r="E77" i="436" s="1"/>
  <c r="E78" i="436" s="1"/>
  <c r="E79" i="436" s="1"/>
  <c r="E80" i="436" s="1"/>
  <c r="E81" i="436" s="1"/>
  <c r="E82" i="436" s="1"/>
  <c r="E83" i="436" s="1"/>
  <c r="E84" i="436" s="1"/>
  <c r="E85" i="436"/>
  <c r="E86" i="436" s="1"/>
  <c r="E87" i="436" s="1"/>
  <c r="E88" i="436" s="1"/>
  <c r="E89" i="436" s="1"/>
  <c r="E90" i="436" s="1"/>
  <c r="E91" i="436" s="1"/>
  <c r="E92" i="436" s="1"/>
  <c r="E93" i="436" s="1"/>
  <c r="E94" i="436" s="1"/>
  <c r="E95" i="436" s="1"/>
  <c r="E96" i="436"/>
  <c r="E97" i="436" s="1"/>
  <c r="E98" i="436"/>
  <c r="E99" i="436" s="1"/>
  <c r="E100" i="436"/>
  <c r="E101" i="436" s="1"/>
  <c r="E102" i="436" s="1"/>
  <c r="E103" i="436" s="1"/>
  <c r="C102" i="436"/>
  <c r="C103" i="436" s="1"/>
  <c r="D103" i="436"/>
  <c r="E104" i="436"/>
  <c r="E105" i="436" s="1"/>
  <c r="E106" i="436" s="1"/>
  <c r="E107" i="436" s="1"/>
  <c r="E112" i="436"/>
  <c r="E113" i="436" s="1"/>
  <c r="E114" i="436" s="1"/>
  <c r="E115" i="436" s="1"/>
  <c r="E116" i="436"/>
  <c r="E117" i="436" s="1"/>
  <c r="E118" i="436" s="1"/>
  <c r="E119" i="436"/>
  <c r="E120" i="436" s="1"/>
  <c r="E121" i="436" s="1"/>
  <c r="E122" i="436" s="1"/>
  <c r="E123" i="436" s="1"/>
  <c r="C122" i="436"/>
  <c r="C123" i="436" s="1"/>
  <c r="C124" i="436" s="1"/>
  <c r="C125" i="436" s="1"/>
  <c r="C126" i="436" s="1"/>
  <c r="C127" i="436" s="1"/>
  <c r="C128" i="436" s="1"/>
  <c r="C129" i="436" s="1"/>
  <c r="C130" i="436" s="1"/>
  <c r="C131" i="436" s="1"/>
  <c r="C132" i="436" s="1"/>
  <c r="C133" i="436" s="1"/>
  <c r="C134" i="436" s="1"/>
  <c r="C135" i="436" s="1"/>
  <c r="C136" i="436" s="1"/>
  <c r="C137" i="436" s="1"/>
  <c r="C138" i="436" s="1"/>
  <c r="C139" i="436" s="1"/>
  <c r="C140" i="436" s="1"/>
  <c r="C141" i="436" s="1"/>
  <c r="C142" i="436" s="1"/>
  <c r="C143" i="436" s="1"/>
  <c r="C144" i="436" s="1"/>
  <c r="C145" i="436" s="1"/>
  <c r="C146" i="436" s="1"/>
  <c r="C147" i="436" s="1"/>
  <c r="C148" i="436" s="1"/>
  <c r="C149" i="436" s="1"/>
  <c r="C150" i="436" s="1"/>
  <c r="C151" i="436" s="1"/>
  <c r="C152" i="436" s="1"/>
  <c r="C153" i="436" s="1"/>
  <c r="C154" i="436" s="1"/>
  <c r="C155" i="436" s="1"/>
  <c r="C156" i="436" s="1"/>
  <c r="C157" i="436" s="1"/>
  <c r="C158" i="436" s="1"/>
  <c r="C159" i="436" s="1"/>
  <c r="C160" i="436" s="1"/>
  <c r="C161" i="436" s="1"/>
  <c r="C162" i="436" s="1"/>
  <c r="C163" i="436" s="1"/>
  <c r="D123" i="436"/>
  <c r="D124" i="436" s="1"/>
  <c r="D125" i="436" s="1"/>
  <c r="D126" i="436" s="1"/>
  <c r="D127" i="436" s="1"/>
  <c r="D128" i="436" s="1"/>
  <c r="D129" i="436" s="1"/>
  <c r="D130" i="436" s="1"/>
  <c r="D131" i="436" s="1"/>
  <c r="D132" i="436" s="1"/>
  <c r="D133" i="436" s="1"/>
  <c r="D134" i="436" s="1"/>
  <c r="D135" i="436" s="1"/>
  <c r="D136" i="436" s="1"/>
  <c r="D137" i="436" s="1"/>
  <c r="D138" i="436" s="1"/>
  <c r="D139" i="436" s="1"/>
  <c r="D140" i="436" s="1"/>
  <c r="D141" i="436" s="1"/>
  <c r="D142" i="436" s="1"/>
  <c r="D143" i="436" s="1"/>
  <c r="D144" i="436" s="1"/>
  <c r="D145" i="436" s="1"/>
  <c r="D146" i="436" s="1"/>
  <c r="D147" i="436" s="1"/>
  <c r="D148" i="436" s="1"/>
  <c r="D149" i="436" s="1"/>
  <c r="D150" i="436" s="1"/>
  <c r="D151" i="436" s="1"/>
  <c r="D152" i="436" s="1"/>
  <c r="D153" i="436" s="1"/>
  <c r="D154" i="436" s="1"/>
  <c r="D155" i="436" s="1"/>
  <c r="D156" i="436" s="1"/>
  <c r="D157" i="436" s="1"/>
  <c r="D158" i="436" s="1"/>
  <c r="D159" i="436" s="1"/>
  <c r="D160" i="436" s="1"/>
  <c r="D161" i="436" s="1"/>
  <c r="D162" i="436" s="1"/>
  <c r="D163" i="436" s="1"/>
  <c r="D164" i="436" s="1"/>
  <c r="E124" i="436"/>
  <c r="E125" i="436" s="1"/>
  <c r="E126" i="436" s="1"/>
  <c r="E127" i="436"/>
  <c r="E128" i="436" s="1"/>
  <c r="E129" i="436"/>
  <c r="E130" i="436" s="1"/>
  <c r="E131" i="436" s="1"/>
  <c r="E132" i="436" s="1"/>
  <c r="E133" i="436" s="1"/>
  <c r="E134" i="436" s="1"/>
  <c r="E135" i="436" s="1"/>
  <c r="E136" i="436" s="1"/>
  <c r="E137" i="436" s="1"/>
  <c r="E138" i="436" s="1"/>
  <c r="E139" i="436" s="1"/>
  <c r="E140" i="436"/>
  <c r="E141" i="436" s="1"/>
  <c r="E142" i="436" s="1"/>
  <c r="E143" i="436"/>
  <c r="E144" i="436" s="1"/>
  <c r="E145" i="436" s="1"/>
  <c r="E146" i="436" s="1"/>
  <c r="E147" i="436" s="1"/>
  <c r="E148" i="436"/>
  <c r="E149" i="436" s="1"/>
  <c r="E150" i="436"/>
  <c r="E151" i="436" s="1"/>
  <c r="E152" i="436"/>
  <c r="E153" i="436" s="1"/>
  <c r="E154" i="436" s="1"/>
  <c r="E155" i="436" s="1"/>
  <c r="E156" i="436" s="1"/>
  <c r="E157" i="436"/>
  <c r="E158" i="436" s="1"/>
  <c r="E159" i="436" s="1"/>
  <c r="E160" i="436" s="1"/>
  <c r="E161" i="436" s="1"/>
  <c r="E162" i="436" s="1"/>
  <c r="E163" i="436" s="1"/>
  <c r="E164" i="436" s="1"/>
  <c r="E165" i="436" s="1"/>
  <c r="C164" i="436"/>
  <c r="C165" i="436" s="1"/>
  <c r="C166" i="436" s="1"/>
  <c r="C167" i="436" s="1"/>
  <c r="C168" i="436" s="1"/>
  <c r="C169" i="436" s="1"/>
  <c r="C170" i="436" s="1"/>
  <c r="C171" i="436" s="1"/>
  <c r="C172" i="436" s="1"/>
  <c r="C173" i="436" s="1"/>
  <c r="C174" i="436" s="1"/>
  <c r="C175" i="436" s="1"/>
  <c r="C176" i="436" s="1"/>
  <c r="C177" i="436" s="1"/>
  <c r="C178" i="436" s="1"/>
  <c r="C179" i="436" s="1"/>
  <c r="D165" i="436"/>
  <c r="D166" i="436" s="1"/>
  <c r="D167" i="436" s="1"/>
  <c r="D168" i="436" s="1"/>
  <c r="D169" i="436" s="1"/>
  <c r="D170" i="436" s="1"/>
  <c r="D171" i="436" s="1"/>
  <c r="D172" i="436" s="1"/>
  <c r="D173" i="436" s="1"/>
  <c r="D174" i="436" s="1"/>
  <c r="D175" i="436" s="1"/>
  <c r="D176" i="436" s="1"/>
  <c r="D177" i="436" s="1"/>
  <c r="D178" i="436" s="1"/>
  <c r="D179" i="436" s="1"/>
  <c r="D180" i="436" s="1"/>
  <c r="E166" i="436"/>
  <c r="E167" i="436" s="1"/>
  <c r="E168" i="436"/>
  <c r="E169" i="436" s="1"/>
  <c r="E170" i="436"/>
  <c r="E171" i="436" s="1"/>
  <c r="E172" i="436"/>
  <c r="E173" i="436" s="1"/>
  <c r="E174" i="436"/>
  <c r="E175" i="436" s="1"/>
  <c r="E176" i="436"/>
  <c r="E177" i="436" s="1"/>
  <c r="E178" i="436"/>
  <c r="E179" i="436" s="1"/>
  <c r="E180" i="436" s="1"/>
  <c r="E181" i="436" s="1"/>
  <c r="C180" i="436"/>
  <c r="C181" i="436" s="1"/>
  <c r="C182" i="436" s="1"/>
  <c r="C183" i="436" s="1"/>
  <c r="C184" i="436" s="1"/>
  <c r="C185" i="436" s="1"/>
  <c r="C186" i="436" s="1"/>
  <c r="C187" i="436" s="1"/>
  <c r="C188" i="436" s="1"/>
  <c r="C189" i="436" s="1"/>
  <c r="C190" i="436" s="1"/>
  <c r="C191" i="436" s="1"/>
  <c r="C192" i="436" s="1"/>
  <c r="C193" i="436" s="1"/>
  <c r="C194" i="436" s="1"/>
  <c r="C195" i="436" s="1"/>
  <c r="C196" i="436" s="1"/>
  <c r="C197" i="436" s="1"/>
  <c r="D181" i="436"/>
  <c r="D182" i="436" s="1"/>
  <c r="D183" i="436" s="1"/>
  <c r="D184" i="436" s="1"/>
  <c r="D185" i="436" s="1"/>
  <c r="D186" i="436" s="1"/>
  <c r="D187" i="436" s="1"/>
  <c r="D188" i="436" s="1"/>
  <c r="D189" i="436" s="1"/>
  <c r="D190" i="436" s="1"/>
  <c r="D191" i="436" s="1"/>
  <c r="D192" i="436" s="1"/>
  <c r="D193" i="436" s="1"/>
  <c r="D194" i="436" s="1"/>
  <c r="D195" i="436" s="1"/>
  <c r="D196" i="436" s="1"/>
  <c r="D197" i="436" s="1"/>
  <c r="D198" i="436" s="1"/>
  <c r="E182" i="436"/>
  <c r="E183" i="436" s="1"/>
  <c r="E184" i="436"/>
  <c r="E185" i="436" s="1"/>
  <c r="E186" i="436"/>
  <c r="E187" i="436" s="1"/>
  <c r="E188" i="436"/>
  <c r="E189" i="436" s="1"/>
  <c r="E190" i="436"/>
  <c r="E191" i="436" s="1"/>
  <c r="E192" i="436"/>
  <c r="E193" i="436" s="1"/>
  <c r="E194" i="436"/>
  <c r="E195" i="436" s="1"/>
  <c r="E196" i="436"/>
  <c r="E197" i="436" s="1"/>
  <c r="E198" i="436" s="1"/>
  <c r="E199" i="436" s="1"/>
  <c r="C198" i="436"/>
  <c r="C199" i="436" s="1"/>
  <c r="C200" i="436" s="1"/>
  <c r="C201" i="436" s="1"/>
  <c r="C202" i="436" s="1"/>
  <c r="C203" i="436" s="1"/>
  <c r="C204" i="436" s="1"/>
  <c r="C205" i="436" s="1"/>
  <c r="C206" i="436" s="1"/>
  <c r="C207" i="436" s="1"/>
  <c r="C208" i="436" s="1"/>
  <c r="C209" i="436" s="1"/>
  <c r="C210" i="436" s="1"/>
  <c r="C211" i="436" s="1"/>
  <c r="D199" i="436"/>
  <c r="D200" i="436" s="1"/>
  <c r="D201" i="436" s="1"/>
  <c r="D202" i="436" s="1"/>
  <c r="D203" i="436" s="1"/>
  <c r="D204" i="436" s="1"/>
  <c r="D205" i="436" s="1"/>
  <c r="D206" i="436" s="1"/>
  <c r="D207" i="436" s="1"/>
  <c r="D208" i="436" s="1"/>
  <c r="D209" i="436" s="1"/>
  <c r="D210" i="436" s="1"/>
  <c r="D211" i="436" s="1"/>
  <c r="D212" i="436" s="1"/>
  <c r="E200" i="436"/>
  <c r="E201" i="436" s="1"/>
  <c r="E202" i="436"/>
  <c r="E203" i="436" s="1"/>
  <c r="E204" i="436"/>
  <c r="E205" i="436" s="1"/>
  <c r="E206" i="436"/>
  <c r="E207" i="436" s="1"/>
  <c r="E208" i="436"/>
  <c r="E209" i="436" s="1"/>
  <c r="E210" i="436"/>
  <c r="E211" i="436" s="1"/>
  <c r="E212" i="436" s="1"/>
  <c r="E213" i="436" s="1"/>
  <c r="C212" i="436"/>
  <c r="C213" i="436" s="1"/>
  <c r="C214" i="436" s="1"/>
  <c r="C215" i="436" s="1"/>
  <c r="C216" i="436" s="1"/>
  <c r="C217" i="436" s="1"/>
  <c r="C218" i="436" s="1"/>
  <c r="C219" i="436" s="1"/>
  <c r="C220" i="436" s="1"/>
  <c r="C221" i="436" s="1"/>
  <c r="C222" i="436" s="1"/>
  <c r="C223" i="436" s="1"/>
  <c r="D213" i="436"/>
  <c r="D214" i="436" s="1"/>
  <c r="D215" i="436" s="1"/>
  <c r="D216" i="436" s="1"/>
  <c r="D217" i="436" s="1"/>
  <c r="D218" i="436" s="1"/>
  <c r="D219" i="436" s="1"/>
  <c r="D220" i="436" s="1"/>
  <c r="D221" i="436" s="1"/>
  <c r="D222" i="436" s="1"/>
  <c r="D223" i="436" s="1"/>
  <c r="D224" i="436" s="1"/>
  <c r="E214" i="436"/>
  <c r="E215" i="436" s="1"/>
  <c r="E216" i="436"/>
  <c r="E217" i="436" s="1"/>
  <c r="E218" i="436"/>
  <c r="E219" i="436" s="1"/>
  <c r="E220" i="436"/>
  <c r="E221" i="436" s="1"/>
  <c r="E222" i="436"/>
  <c r="E223" i="436" s="1"/>
  <c r="E224" i="436" s="1"/>
  <c r="E225" i="436" s="1"/>
  <c r="C224" i="436"/>
  <c r="C225" i="436" s="1"/>
  <c r="C226" i="436" s="1"/>
  <c r="C227" i="436" s="1"/>
  <c r="C228" i="436" s="1"/>
  <c r="C229" i="436" s="1"/>
  <c r="C230" i="436" s="1"/>
  <c r="C231" i="436" s="1"/>
  <c r="C232" i="436" s="1"/>
  <c r="C233" i="436" s="1"/>
  <c r="D225" i="436"/>
  <c r="D226" i="436" s="1"/>
  <c r="D227" i="436" s="1"/>
  <c r="D228" i="436" s="1"/>
  <c r="D229" i="436" s="1"/>
  <c r="D230" i="436" s="1"/>
  <c r="D231" i="436" s="1"/>
  <c r="D232" i="436" s="1"/>
  <c r="D233" i="436" s="1"/>
  <c r="D234" i="436" s="1"/>
  <c r="E226" i="436"/>
  <c r="E227" i="436" s="1"/>
  <c r="E228" i="436"/>
  <c r="E229" i="436" s="1"/>
  <c r="E230" i="436" s="1"/>
  <c r="E231" i="436" s="1"/>
  <c r="E232" i="436"/>
  <c r="E233" i="436" s="1"/>
  <c r="E234" i="436" s="1"/>
  <c r="E235" i="436" s="1"/>
  <c r="C234" i="436"/>
  <c r="C235" i="436" s="1"/>
  <c r="C236" i="436" s="1"/>
  <c r="C237" i="436" s="1"/>
  <c r="C238" i="436" s="1"/>
  <c r="C239" i="436" s="1"/>
  <c r="C240" i="436" s="1"/>
  <c r="C241" i="436" s="1"/>
  <c r="C242" i="436" s="1"/>
  <c r="C243" i="436" s="1"/>
  <c r="C244" i="436" s="1"/>
  <c r="D235" i="436"/>
  <c r="D236" i="436" s="1"/>
  <c r="D237" i="436" s="1"/>
  <c r="D238" i="436" s="1"/>
  <c r="D239" i="436" s="1"/>
  <c r="D240" i="436" s="1"/>
  <c r="D241" i="436" s="1"/>
  <c r="D242" i="436" s="1"/>
  <c r="D243" i="436" s="1"/>
  <c r="D244" i="436" s="1"/>
  <c r="D245" i="436" s="1"/>
  <c r="E236" i="436"/>
  <c r="E237" i="436" s="1"/>
  <c r="E238" i="436" s="1"/>
  <c r="E239" i="436"/>
  <c r="E240" i="436" s="1"/>
  <c r="E241" i="436"/>
  <c r="E242" i="436" s="1"/>
  <c r="E243" i="436"/>
  <c r="E244" i="436" s="1"/>
  <c r="E245" i="436" s="1"/>
  <c r="E246" i="436" s="1"/>
  <c r="C245" i="436"/>
  <c r="C246" i="436" s="1"/>
  <c r="C247" i="436" s="1"/>
  <c r="C248" i="436" s="1"/>
  <c r="C249" i="436" s="1"/>
  <c r="C250" i="436" s="1"/>
  <c r="C251" i="436" s="1"/>
  <c r="C252" i="436" s="1"/>
  <c r="C253" i="436" s="1"/>
  <c r="C254" i="436" s="1"/>
  <c r="C255" i="436" s="1"/>
  <c r="C256" i="436" s="1"/>
  <c r="C257" i="436" s="1"/>
  <c r="C258" i="436" s="1"/>
  <c r="C259" i="436" s="1"/>
  <c r="D246" i="436"/>
  <c r="D247" i="436" s="1"/>
  <c r="D248" i="436" s="1"/>
  <c r="D249" i="436" s="1"/>
  <c r="D250" i="436" s="1"/>
  <c r="D251" i="436" s="1"/>
  <c r="D252" i="436" s="1"/>
  <c r="D253" i="436" s="1"/>
  <c r="D254" i="436" s="1"/>
  <c r="D255" i="436" s="1"/>
  <c r="D256" i="436" s="1"/>
  <c r="E247" i="436"/>
  <c r="E248" i="436" s="1"/>
  <c r="E249" i="436"/>
  <c r="E250" i="436" s="1"/>
  <c r="E251" i="436"/>
  <c r="E252" i="436" s="1"/>
  <c r="E253" i="436"/>
  <c r="E254" i="436" s="1"/>
  <c r="E255" i="436"/>
  <c r="E256" i="436" s="1"/>
  <c r="E257" i="436" s="1"/>
  <c r="D257" i="436"/>
  <c r="D258" i="436" s="1"/>
  <c r="D259" i="436" s="1"/>
  <c r="D260" i="436" s="1"/>
  <c r="E258" i="436"/>
  <c r="E259" i="436" s="1"/>
  <c r="E260" i="436" s="1"/>
  <c r="E261" i="436" s="1"/>
  <c r="C260" i="436"/>
  <c r="C261" i="436" s="1"/>
  <c r="C262" i="436" s="1"/>
  <c r="C263" i="436" s="1"/>
  <c r="C264" i="436" s="1"/>
  <c r="C265" i="436" s="1"/>
  <c r="C266" i="436" s="1"/>
  <c r="C267" i="436" s="1"/>
  <c r="C268" i="436" s="1"/>
  <c r="C269" i="436" s="1"/>
  <c r="C270" i="436" s="1"/>
  <c r="C271" i="436" s="1"/>
  <c r="C272" i="436" s="1"/>
  <c r="C273" i="436" s="1"/>
  <c r="C274" i="436" s="1"/>
  <c r="C275" i="436" s="1"/>
  <c r="C276" i="436" s="1"/>
  <c r="C277" i="436" s="1"/>
  <c r="C278" i="436" s="1"/>
  <c r="C279" i="436" s="1"/>
  <c r="C280" i="436" s="1"/>
  <c r="C281" i="436" s="1"/>
  <c r="C282" i="436" s="1"/>
  <c r="D261" i="436"/>
  <c r="D262" i="436" s="1"/>
  <c r="D263" i="436" s="1"/>
  <c r="D264" i="436" s="1"/>
  <c r="D265" i="436" s="1"/>
  <c r="D266" i="436" s="1"/>
  <c r="D267" i="436" s="1"/>
  <c r="D268" i="436" s="1"/>
  <c r="D269" i="436" s="1"/>
  <c r="D270" i="436" s="1"/>
  <c r="D271" i="436" s="1"/>
  <c r="D272" i="436" s="1"/>
  <c r="D273" i="436" s="1"/>
  <c r="D274" i="436" s="1"/>
  <c r="D275" i="436" s="1"/>
  <c r="D276" i="436" s="1"/>
  <c r="D277" i="436" s="1"/>
  <c r="D278" i="436" s="1"/>
  <c r="D279" i="436" s="1"/>
  <c r="D280" i="436" s="1"/>
  <c r="D281" i="436" s="1"/>
  <c r="D282" i="436" s="1"/>
  <c r="D283" i="436" s="1"/>
  <c r="E262" i="436"/>
  <c r="E263" i="436" s="1"/>
  <c r="E264" i="436" s="1"/>
  <c r="E265" i="436" s="1"/>
  <c r="E266" i="436" s="1"/>
  <c r="E267" i="436" s="1"/>
  <c r="E268" i="436" s="1"/>
  <c r="E269" i="436" s="1"/>
  <c r="E270" i="436"/>
  <c r="E271" i="436" s="1"/>
  <c r="E272" i="436"/>
  <c r="E273" i="436" s="1"/>
  <c r="E274" i="436"/>
  <c r="E275" i="436" s="1"/>
  <c r="E276" i="436"/>
  <c r="E277" i="436" s="1"/>
  <c r="E278" i="436" s="1"/>
  <c r="E279" i="436" s="1"/>
  <c r="E280" i="436" s="1"/>
  <c r="E281" i="436" s="1"/>
  <c r="E282" i="436" s="1"/>
  <c r="E283" i="436" s="1"/>
  <c r="E284" i="436" s="1"/>
  <c r="C283" i="436"/>
  <c r="C284" i="436" s="1"/>
  <c r="C285" i="436" s="1"/>
  <c r="C286" i="436" s="1"/>
  <c r="C287" i="436" s="1"/>
  <c r="C288" i="436" s="1"/>
  <c r="C289" i="436" s="1"/>
  <c r="C290" i="436" s="1"/>
  <c r="C291" i="436" s="1"/>
  <c r="C292" i="436" s="1"/>
  <c r="C293" i="436" s="1"/>
  <c r="D284" i="436"/>
  <c r="D285" i="436" s="1"/>
  <c r="D286" i="436" s="1"/>
  <c r="D287" i="436" s="1"/>
  <c r="D288" i="436" s="1"/>
  <c r="D289" i="436" s="1"/>
  <c r="D290" i="436" s="1"/>
  <c r="D291" i="436" s="1"/>
  <c r="D292" i="436" s="1"/>
  <c r="D293" i="436" s="1"/>
  <c r="D294" i="436" s="1"/>
  <c r="E285" i="436"/>
  <c r="E286" i="436" s="1"/>
  <c r="E287" i="436"/>
  <c r="E288" i="436" s="1"/>
  <c r="E289" i="436" s="1"/>
  <c r="E290" i="436" s="1"/>
  <c r="E291" i="436" s="1"/>
  <c r="E292" i="436"/>
  <c r="E293" i="436" s="1"/>
  <c r="E294" i="436" s="1"/>
  <c r="E295" i="436" s="1"/>
  <c r="C294" i="436"/>
  <c r="C295" i="436" s="1"/>
  <c r="C296" i="436" s="1"/>
  <c r="C297" i="436" s="1"/>
  <c r="C298" i="436" s="1"/>
  <c r="C299" i="436" s="1"/>
  <c r="C300" i="436" s="1"/>
  <c r="C301" i="436" s="1"/>
  <c r="D295" i="436"/>
  <c r="D296" i="436" s="1"/>
  <c r="D297" i="436" s="1"/>
  <c r="D298" i="436" s="1"/>
  <c r="D299" i="436" s="1"/>
  <c r="D300" i="436" s="1"/>
  <c r="D301" i="436" s="1"/>
  <c r="E296" i="436"/>
  <c r="E297" i="436" s="1"/>
  <c r="E298" i="436" s="1"/>
  <c r="E299" i="436" s="1"/>
  <c r="E300" i="436" s="1"/>
  <c r="E301" i="436" s="1"/>
  <c r="E304" i="436"/>
  <c r="E305" i="436" s="1"/>
  <c r="E306" i="436"/>
  <c r="E307" i="436" s="1"/>
  <c r="E308" i="436" s="1"/>
  <c r="E309" i="436" s="1"/>
  <c r="E310" i="436" s="1"/>
  <c r="E311" i="436" s="1"/>
  <c r="E312" i="436"/>
  <c r="E313" i="436" s="1"/>
  <c r="E314" i="436"/>
  <c r="E315" i="436" s="1"/>
  <c r="E316" i="436"/>
  <c r="E317" i="436" s="1"/>
  <c r="E318" i="436" s="1"/>
  <c r="E319" i="436" s="1"/>
  <c r="E320" i="436" s="1"/>
  <c r="E321" i="436"/>
  <c r="E322" i="436" s="1"/>
  <c r="E323" i="436"/>
  <c r="E324" i="436" s="1"/>
  <c r="E325" i="436" s="1"/>
  <c r="E326" i="436" s="1"/>
  <c r="E327" i="436" s="1"/>
  <c r="E328" i="436" s="1"/>
  <c r="E329" i="436" s="1"/>
  <c r="E330" i="436" s="1"/>
  <c r="E331" i="436" s="1"/>
  <c r="E332" i="436" s="1"/>
  <c r="C331" i="436"/>
  <c r="C332" i="436" s="1"/>
  <c r="C333" i="436" s="1"/>
  <c r="C334" i="436" s="1"/>
  <c r="C335" i="436" s="1"/>
  <c r="C336" i="436" s="1"/>
  <c r="C337" i="436" s="1"/>
  <c r="C338" i="436" s="1"/>
  <c r="C339" i="436" s="1"/>
  <c r="C340" i="436" s="1"/>
  <c r="C341" i="436" s="1"/>
  <c r="C342" i="436" s="1"/>
  <c r="C343" i="436" s="1"/>
  <c r="C344" i="436" s="1"/>
  <c r="C345" i="436" s="1"/>
  <c r="C346" i="436" s="1"/>
  <c r="C347" i="436" s="1"/>
  <c r="C348" i="436" s="1"/>
  <c r="C349" i="436" s="1"/>
  <c r="C350" i="436" s="1"/>
  <c r="C351" i="436" s="1"/>
  <c r="C352" i="436" s="1"/>
  <c r="D332" i="436"/>
  <c r="D333" i="436" s="1"/>
  <c r="D334" i="436" s="1"/>
  <c r="D335" i="436" s="1"/>
  <c r="D336" i="436" s="1"/>
  <c r="D337" i="436" s="1"/>
  <c r="D338" i="436" s="1"/>
  <c r="D339" i="436" s="1"/>
  <c r="D340" i="436" s="1"/>
  <c r="D341" i="436" s="1"/>
  <c r="D342" i="436" s="1"/>
  <c r="D343" i="436" s="1"/>
  <c r="D344" i="436" s="1"/>
  <c r="D345" i="436" s="1"/>
  <c r="D346" i="436" s="1"/>
  <c r="D347" i="436" s="1"/>
  <c r="D348" i="436" s="1"/>
  <c r="D349" i="436" s="1"/>
  <c r="D350" i="436" s="1"/>
  <c r="D351" i="436" s="1"/>
  <c r="D352" i="436" s="1"/>
  <c r="D353" i="436" s="1"/>
  <c r="E333" i="436"/>
  <c r="E334" i="436" s="1"/>
  <c r="E335" i="436" s="1"/>
  <c r="E336" i="436"/>
  <c r="E337" i="436" s="1"/>
  <c r="E338" i="436" s="1"/>
  <c r="E339" i="436" s="1"/>
  <c r="E340" i="436" s="1"/>
  <c r="E341" i="436" s="1"/>
  <c r="E342" i="436"/>
  <c r="E343" i="436" s="1"/>
  <c r="E344" i="436" s="1"/>
  <c r="E345" i="436" s="1"/>
  <c r="E346" i="436"/>
  <c r="E347" i="436" s="1"/>
  <c r="E348" i="436" s="1"/>
  <c r="E349" i="436" s="1"/>
  <c r="E350" i="436" s="1"/>
  <c r="E351" i="436" s="1"/>
  <c r="E352" i="436" s="1"/>
  <c r="E353" i="436" s="1"/>
  <c r="E354" i="436" s="1"/>
  <c r="C353" i="436"/>
  <c r="C354" i="436" s="1"/>
  <c r="C355" i="436" s="1"/>
  <c r="C356" i="436" s="1"/>
  <c r="C357" i="436" s="1"/>
  <c r="D354" i="436"/>
  <c r="D355" i="436" s="1"/>
  <c r="D356" i="436" s="1"/>
  <c r="D357" i="436" s="1"/>
  <c r="E355" i="436"/>
  <c r="E356" i="436" s="1"/>
  <c r="E357" i="436"/>
  <c r="E361" i="436"/>
  <c r="E362" i="436" s="1"/>
  <c r="E363" i="436" s="1"/>
  <c r="E364" i="436"/>
  <c r="E365" i="436" s="1"/>
  <c r="E366" i="436" s="1"/>
  <c r="D366" i="436"/>
  <c r="D367" i="436" s="1"/>
  <c r="D368" i="436" s="1"/>
  <c r="D369" i="436" s="1"/>
  <c r="D370" i="436" s="1"/>
  <c r="D371" i="436" s="1"/>
  <c r="D372" i="436" s="1"/>
  <c r="D373" i="436" s="1"/>
  <c r="D374" i="436" s="1"/>
  <c r="D375" i="436" s="1"/>
  <c r="D376" i="436" s="1"/>
  <c r="D377" i="436" s="1"/>
  <c r="D378" i="436" s="1"/>
  <c r="D379" i="436" s="1"/>
  <c r="E367" i="436"/>
  <c r="E368" i="436" s="1"/>
  <c r="E369" i="436" s="1"/>
  <c r="E370" i="436" s="1"/>
  <c r="E371" i="436" s="1"/>
  <c r="E372" i="436" s="1"/>
  <c r="E373" i="436" s="1"/>
  <c r="E374" i="436" s="1"/>
  <c r="E375" i="436" s="1"/>
  <c r="E376" i="436"/>
  <c r="E377" i="436" s="1"/>
  <c r="E378" i="436"/>
  <c r="E379" i="436" s="1"/>
  <c r="E380" i="436" s="1"/>
  <c r="D380" i="436"/>
  <c r="D381" i="436" s="1"/>
  <c r="D382" i="436" s="1"/>
  <c r="D383" i="436" s="1"/>
  <c r="D384" i="436" s="1"/>
  <c r="D385" i="436" s="1"/>
  <c r="D386" i="436" s="1"/>
  <c r="D387" i="436" s="1"/>
  <c r="D388" i="436" s="1"/>
  <c r="D389" i="436" s="1"/>
  <c r="D390" i="436" s="1"/>
  <c r="D391" i="436" s="1"/>
  <c r="E381" i="436"/>
  <c r="E382" i="436" s="1"/>
  <c r="E383" i="436" s="1"/>
  <c r="E384" i="436"/>
  <c r="E385" i="436" s="1"/>
  <c r="E386" i="436"/>
  <c r="E387" i="436" s="1"/>
  <c r="E388" i="436"/>
  <c r="E389" i="436" s="1"/>
  <c r="E390" i="436" s="1"/>
  <c r="E391" i="436" s="1"/>
  <c r="E392" i="436" s="1"/>
  <c r="C391" i="436"/>
  <c r="C392" i="436" s="1"/>
  <c r="C393" i="436" s="1"/>
  <c r="C394" i="436" s="1"/>
  <c r="C395" i="436" s="1"/>
  <c r="C396" i="436" s="1"/>
  <c r="C397" i="436" s="1"/>
  <c r="C398" i="436" s="1"/>
  <c r="C399" i="436" s="1"/>
  <c r="C400" i="436" s="1"/>
  <c r="D392" i="436"/>
  <c r="D393" i="436" s="1"/>
  <c r="D394" i="436" s="1"/>
  <c r="D395" i="436" s="1"/>
  <c r="D396" i="436" s="1"/>
  <c r="D397" i="436" s="1"/>
  <c r="D398" i="436" s="1"/>
  <c r="D399" i="436" s="1"/>
  <c r="D400" i="436" s="1"/>
  <c r="E393" i="436"/>
  <c r="E394" i="436" s="1"/>
  <c r="E395" i="436"/>
  <c r="E396" i="436" s="1"/>
  <c r="E397" i="436"/>
  <c r="E398" i="436" s="1"/>
  <c r="E399" i="436"/>
  <c r="E400" i="436" s="1"/>
  <c r="E439" i="436"/>
  <c r="E440" i="436" s="1"/>
  <c r="C401" i="436"/>
  <c r="C402" i="436" s="1"/>
  <c r="C403" i="436" s="1"/>
  <c r="C404" i="436" s="1"/>
  <c r="C405" i="436" s="1"/>
  <c r="C406" i="436" s="1"/>
  <c r="C407" i="436" s="1"/>
  <c r="C408" i="436" s="1"/>
  <c r="C409" i="436" s="1"/>
  <c r="C410" i="436" s="1"/>
  <c r="C411" i="436" s="1"/>
  <c r="C412" i="436" s="1"/>
  <c r="C413" i="436" s="1"/>
  <c r="C414" i="436" s="1"/>
  <c r="C415" i="436" s="1"/>
  <c r="C416" i="436" s="1"/>
  <c r="C417" i="436" s="1"/>
  <c r="C418" i="436" s="1"/>
  <c r="C419" i="436" s="1"/>
  <c r="C420" i="436" s="1"/>
  <c r="C421" i="436" s="1"/>
  <c r="D402" i="436"/>
  <c r="D403" i="436" s="1"/>
  <c r="D404" i="436" s="1"/>
  <c r="D405" i="436" s="1"/>
  <c r="D406" i="436" s="1"/>
  <c r="D407" i="436" s="1"/>
  <c r="D408" i="436" s="1"/>
  <c r="D409" i="436" s="1"/>
  <c r="D410" i="436" s="1"/>
  <c r="D411" i="436" s="1"/>
  <c r="D412" i="436" s="1"/>
  <c r="D413" i="436" s="1"/>
  <c r="D414" i="436" s="1"/>
  <c r="D415" i="436" s="1"/>
  <c r="D416" i="436" s="1"/>
  <c r="D417" i="436" s="1"/>
  <c r="D418" i="436" s="1"/>
  <c r="D419" i="436" s="1"/>
  <c r="D420" i="436" s="1"/>
  <c r="D421" i="436" s="1"/>
  <c r="D422" i="436" s="1"/>
  <c r="E403" i="436"/>
  <c r="E404" i="436" s="1"/>
  <c r="E405" i="436" s="1"/>
  <c r="E406" i="436" s="1"/>
  <c r="E407" i="436" s="1"/>
  <c r="E408" i="436" s="1"/>
  <c r="E409" i="436"/>
  <c r="E410" i="436" s="1"/>
  <c r="E411" i="436" s="1"/>
  <c r="E412" i="436" s="1"/>
  <c r="E413" i="436"/>
  <c r="E414" i="436" s="1"/>
  <c r="E415" i="436" s="1"/>
  <c r="E416" i="436" s="1"/>
  <c r="E417" i="436"/>
  <c r="E418" i="436" s="1"/>
  <c r="E419" i="436" s="1"/>
  <c r="E420" i="436" s="1"/>
  <c r="E421" i="436" s="1"/>
  <c r="E422" i="436" s="1"/>
  <c r="E423" i="436" s="1"/>
  <c r="C422" i="436"/>
  <c r="C423" i="436" s="1"/>
  <c r="C424" i="436" s="1"/>
  <c r="C425" i="436" s="1"/>
  <c r="C426" i="436" s="1"/>
  <c r="C427" i="436" s="1"/>
  <c r="C428" i="436" s="1"/>
  <c r="C429" i="436" s="1"/>
  <c r="C430" i="436" s="1"/>
  <c r="C431" i="436" s="1"/>
  <c r="C432" i="436" s="1"/>
  <c r="C433" i="436" s="1"/>
  <c r="C434" i="436" s="1"/>
  <c r="C435" i="436" s="1"/>
  <c r="C436" i="436" s="1"/>
  <c r="C437" i="436" s="1"/>
  <c r="C438" i="436" s="1"/>
  <c r="D423" i="436"/>
  <c r="D424" i="436" s="1"/>
  <c r="D425" i="436" s="1"/>
  <c r="D426" i="436" s="1"/>
  <c r="E424" i="436"/>
  <c r="E425" i="436" s="1"/>
  <c r="E426" i="436" s="1"/>
  <c r="E427" i="436" s="1"/>
  <c r="D427" i="436"/>
  <c r="D428" i="436" s="1"/>
  <c r="D429" i="436" s="1"/>
  <c r="D430" i="436" s="1"/>
  <c r="D431" i="436" s="1"/>
  <c r="D432" i="436" s="1"/>
  <c r="D433" i="436" s="1"/>
  <c r="D434" i="436" s="1"/>
  <c r="D435" i="436" s="1"/>
  <c r="D436" i="436" s="1"/>
  <c r="D437" i="436" s="1"/>
  <c r="D438" i="436" s="1"/>
  <c r="E428" i="436"/>
  <c r="E429" i="436" s="1"/>
  <c r="E430" i="436"/>
  <c r="E431" i="436" s="1"/>
  <c r="E432" i="436" s="1"/>
  <c r="E433" i="436"/>
  <c r="E434" i="436" s="1"/>
  <c r="E435" i="436"/>
  <c r="E436" i="436" s="1"/>
  <c r="E437" i="436" s="1"/>
  <c r="E438" i="436" s="1"/>
  <c r="E441" i="436"/>
  <c r="E442" i="436" s="1"/>
  <c r="E443" i="436" s="1"/>
  <c r="E444" i="436" s="1"/>
  <c r="E445" i="436" s="1"/>
  <c r="C444" i="436"/>
  <c r="C445" i="436" s="1"/>
  <c r="C446" i="436" s="1"/>
  <c r="C447" i="436" s="1"/>
  <c r="C448" i="436" s="1"/>
  <c r="C449" i="436" s="1"/>
  <c r="C450" i="436" s="1"/>
  <c r="C451" i="436" s="1"/>
  <c r="C452" i="436" s="1"/>
  <c r="C453" i="436" s="1"/>
  <c r="C454" i="436" s="1"/>
  <c r="C455" i="436" s="1"/>
  <c r="C456" i="436" s="1"/>
  <c r="C457" i="436" s="1"/>
  <c r="C458" i="436" s="1"/>
  <c r="C459" i="436" s="1"/>
  <c r="C460" i="436" s="1"/>
  <c r="C461" i="436" s="1"/>
  <c r="C462" i="436" s="1"/>
  <c r="C463" i="436" s="1"/>
  <c r="C464" i="436" s="1"/>
  <c r="C465" i="436" s="1"/>
  <c r="C466" i="436" s="1"/>
  <c r="C467" i="436" s="1"/>
  <c r="C468" i="436" s="1"/>
  <c r="C469" i="436" s="1"/>
  <c r="C470" i="436" s="1"/>
  <c r="C471" i="436" s="1"/>
  <c r="C472" i="436" s="1"/>
  <c r="C473" i="436" s="1"/>
  <c r="C474" i="436" s="1"/>
  <c r="C475" i="436" s="1"/>
  <c r="C476" i="436" s="1"/>
  <c r="C477" i="436" s="1"/>
  <c r="C478" i="436" s="1"/>
  <c r="C479" i="436" s="1"/>
  <c r="C480" i="436" s="1"/>
  <c r="C481" i="436" s="1"/>
  <c r="C482" i="436" s="1"/>
  <c r="C483" i="436" s="1"/>
  <c r="C484" i="436" s="1"/>
  <c r="C485" i="436" s="1"/>
  <c r="C486" i="436" s="1"/>
  <c r="C487" i="436" s="1"/>
  <c r="C488" i="436" s="1"/>
  <c r="C489" i="436" s="1"/>
  <c r="C490" i="436" s="1"/>
  <c r="C491" i="436" s="1"/>
  <c r="C492" i="436" s="1"/>
  <c r="C493" i="436" s="1"/>
  <c r="C494" i="436" s="1"/>
  <c r="C495" i="436" s="1"/>
  <c r="C496" i="436" s="1"/>
  <c r="C497" i="436" s="1"/>
  <c r="C498" i="436" s="1"/>
  <c r="C499" i="436" s="1"/>
  <c r="C500" i="436" s="1"/>
  <c r="C501" i="436" s="1"/>
  <c r="C502" i="436" s="1"/>
  <c r="C503" i="436" s="1"/>
  <c r="C504" i="436" s="1"/>
  <c r="C505" i="436" s="1"/>
  <c r="C506" i="436" s="1"/>
  <c r="C507" i="436" s="1"/>
  <c r="C508" i="436" s="1"/>
  <c r="C509" i="436" s="1"/>
  <c r="C510" i="436" s="1"/>
  <c r="C511" i="436" s="1"/>
  <c r="C512" i="436" s="1"/>
  <c r="C513" i="436" s="1"/>
  <c r="C514" i="436" s="1"/>
  <c r="C515" i="436" s="1"/>
  <c r="C516" i="436" s="1"/>
  <c r="C517" i="436" s="1"/>
  <c r="C518" i="436" s="1"/>
  <c r="C519" i="436" s="1"/>
  <c r="C520" i="436" s="1"/>
  <c r="C521" i="436" s="1"/>
  <c r="C522" i="436" s="1"/>
  <c r="C523" i="436" s="1"/>
  <c r="C524" i="436" s="1"/>
  <c r="C525" i="436" s="1"/>
  <c r="C526" i="436" s="1"/>
  <c r="C527" i="436" s="1"/>
  <c r="C528" i="436" s="1"/>
  <c r="C529" i="436" s="1"/>
  <c r="C530" i="436" s="1"/>
  <c r="C531" i="436" s="1"/>
  <c r="C532" i="436" s="1"/>
  <c r="C533" i="436" s="1"/>
  <c r="C534" i="436" s="1"/>
  <c r="C535" i="436" s="1"/>
  <c r="C536" i="436" s="1"/>
  <c r="C537" i="436" s="1"/>
  <c r="C538" i="436" s="1"/>
  <c r="C539" i="436" s="1"/>
  <c r="C540" i="436" s="1"/>
  <c r="C541" i="436" s="1"/>
  <c r="C542" i="436" s="1"/>
  <c r="C543" i="436" s="1"/>
  <c r="C544" i="436" s="1"/>
  <c r="C545" i="436" s="1"/>
  <c r="C546" i="436" s="1"/>
  <c r="C547" i="436" s="1"/>
  <c r="C548" i="436" s="1"/>
  <c r="C549" i="436" s="1"/>
  <c r="C550" i="436" s="1"/>
  <c r="C551" i="436" s="1"/>
  <c r="C552" i="436" s="1"/>
  <c r="C553" i="436" s="1"/>
  <c r="C554" i="436" s="1"/>
  <c r="C555" i="436" s="1"/>
  <c r="C556" i="436" s="1"/>
  <c r="C557" i="436" s="1"/>
  <c r="C558" i="436" s="1"/>
  <c r="C559" i="436" s="1"/>
  <c r="C560" i="436" s="1"/>
  <c r="C561" i="436" s="1"/>
  <c r="C562" i="436" s="1"/>
  <c r="C563" i="436" s="1"/>
  <c r="C564" i="436" s="1"/>
  <c r="C565" i="436" s="1"/>
  <c r="C566" i="436" s="1"/>
  <c r="C567" i="436" s="1"/>
  <c r="C568" i="436" s="1"/>
  <c r="C569" i="436" s="1"/>
  <c r="C570" i="436" s="1"/>
  <c r="C571" i="436" s="1"/>
  <c r="C572" i="436" s="1"/>
  <c r="C573" i="436" s="1"/>
  <c r="C574" i="436" s="1"/>
  <c r="C575" i="436" s="1"/>
  <c r="C576" i="436" s="1"/>
  <c r="C577" i="436" s="1"/>
  <c r="C578" i="436" s="1"/>
  <c r="C579" i="436" s="1"/>
  <c r="C580" i="436" s="1"/>
  <c r="C581" i="436" s="1"/>
  <c r="C582" i="436" s="1"/>
  <c r="C583" i="436" s="1"/>
  <c r="C584" i="436" s="1"/>
  <c r="C585" i="436" s="1"/>
  <c r="C586" i="436" s="1"/>
  <c r="C587" i="436" s="1"/>
  <c r="C588" i="436" s="1"/>
  <c r="C589" i="436" s="1"/>
  <c r="C590" i="436" s="1"/>
  <c r="C591" i="436" s="1"/>
  <c r="C592" i="436" s="1"/>
  <c r="C593" i="436" s="1"/>
  <c r="C594" i="436" s="1"/>
  <c r="C595" i="436" s="1"/>
  <c r="C596" i="436" s="1"/>
  <c r="C597" i="436" s="1"/>
  <c r="C598" i="436" s="1"/>
  <c r="C599" i="436" s="1"/>
  <c r="C600" i="436" s="1"/>
  <c r="C601" i="436" s="1"/>
  <c r="C602" i="436" s="1"/>
  <c r="C603" i="436" s="1"/>
  <c r="C604" i="436" s="1"/>
  <c r="C605" i="436" s="1"/>
  <c r="C606" i="436" s="1"/>
  <c r="C607" i="436" s="1"/>
  <c r="C608" i="436" s="1"/>
  <c r="C609" i="436" s="1"/>
  <c r="C610" i="436" s="1"/>
  <c r="C611" i="436" s="1"/>
  <c r="C612" i="436" s="1"/>
  <c r="C613" i="436" s="1"/>
  <c r="C614" i="436" s="1"/>
  <c r="C615" i="436" s="1"/>
  <c r="C616" i="436" s="1"/>
  <c r="D445" i="436"/>
  <c r="D446" i="436" s="1"/>
  <c r="D447" i="436" s="1"/>
  <c r="D448" i="436" s="1"/>
  <c r="D449" i="436" s="1"/>
  <c r="D450" i="436" s="1"/>
  <c r="D451" i="436" s="1"/>
  <c r="D452" i="436" s="1"/>
  <c r="D453" i="436" s="1"/>
  <c r="D454" i="436" s="1"/>
  <c r="D455" i="436" s="1"/>
  <c r="D456" i="436" s="1"/>
  <c r="D457" i="436" s="1"/>
  <c r="D458" i="436" s="1"/>
  <c r="D459" i="436" s="1"/>
  <c r="D460" i="436" s="1"/>
  <c r="D461" i="436" s="1"/>
  <c r="D462" i="436" s="1"/>
  <c r="D463" i="436" s="1"/>
  <c r="D464" i="436" s="1"/>
  <c r="D465" i="436" s="1"/>
  <c r="D466" i="436" s="1"/>
  <c r="D467" i="436" s="1"/>
  <c r="D468" i="436" s="1"/>
  <c r="D469" i="436" s="1"/>
  <c r="D470" i="436" s="1"/>
  <c r="D471" i="436" s="1"/>
  <c r="D472" i="436" s="1"/>
  <c r="D473" i="436" s="1"/>
  <c r="D474" i="436" s="1"/>
  <c r="D475" i="436" s="1"/>
  <c r="D476" i="436" s="1"/>
  <c r="D477" i="436" s="1"/>
  <c r="D478" i="436" s="1"/>
  <c r="D479" i="436" s="1"/>
  <c r="D480" i="436" s="1"/>
  <c r="D481" i="436" s="1"/>
  <c r="D482" i="436" s="1"/>
  <c r="D483" i="436" s="1"/>
  <c r="D484" i="436" s="1"/>
  <c r="D485" i="436" s="1"/>
  <c r="D486" i="436" s="1"/>
  <c r="D487" i="436" s="1"/>
  <c r="D488" i="436" s="1"/>
  <c r="D489" i="436" s="1"/>
  <c r="D490" i="436" s="1"/>
  <c r="D491" i="436" s="1"/>
  <c r="D492" i="436" s="1"/>
  <c r="D493" i="436" s="1"/>
  <c r="D494" i="436" s="1"/>
  <c r="D495" i="436" s="1"/>
  <c r="D496" i="436" s="1"/>
  <c r="D497" i="436" s="1"/>
  <c r="D498" i="436" s="1"/>
  <c r="D499" i="436" s="1"/>
  <c r="D500" i="436" s="1"/>
  <c r="D501" i="436" s="1"/>
  <c r="D502" i="436" s="1"/>
  <c r="D503" i="436" s="1"/>
  <c r="D504" i="436" s="1"/>
  <c r="D505" i="436" s="1"/>
  <c r="D506" i="436" s="1"/>
  <c r="D507" i="436" s="1"/>
  <c r="D508" i="436" s="1"/>
  <c r="D509" i="436" s="1"/>
  <c r="D510" i="436" s="1"/>
  <c r="D511" i="436" s="1"/>
  <c r="D512" i="436" s="1"/>
  <c r="D513" i="436" s="1"/>
  <c r="D514" i="436" s="1"/>
  <c r="D515" i="436" s="1"/>
  <c r="D516" i="436" s="1"/>
  <c r="D517" i="436" s="1"/>
  <c r="D518" i="436" s="1"/>
  <c r="D519" i="436" s="1"/>
  <c r="D520" i="436" s="1"/>
  <c r="D521" i="436" s="1"/>
  <c r="D522" i="436" s="1"/>
  <c r="D523" i="436" s="1"/>
  <c r="D524" i="436" s="1"/>
  <c r="D525" i="436" s="1"/>
  <c r="D526" i="436" s="1"/>
  <c r="D527" i="436" s="1"/>
  <c r="D528" i="436" s="1"/>
  <c r="D529" i="436" s="1"/>
  <c r="D530" i="436" s="1"/>
  <c r="D531" i="436" s="1"/>
  <c r="D532" i="436" s="1"/>
  <c r="D533" i="436" s="1"/>
  <c r="D534" i="436" s="1"/>
  <c r="D535" i="436" s="1"/>
  <c r="D536" i="436" s="1"/>
  <c r="D537" i="436" s="1"/>
  <c r="D538" i="436" s="1"/>
  <c r="D539" i="436" s="1"/>
  <c r="D540" i="436" s="1"/>
  <c r="D541" i="436" s="1"/>
  <c r="D542" i="436" s="1"/>
  <c r="D543" i="436" s="1"/>
  <c r="D544" i="436" s="1"/>
  <c r="D545" i="436" s="1"/>
  <c r="D546" i="436" s="1"/>
  <c r="D547" i="436" s="1"/>
  <c r="D548" i="436" s="1"/>
  <c r="D549" i="436" s="1"/>
  <c r="D550" i="436" s="1"/>
  <c r="D551" i="436" s="1"/>
  <c r="D552" i="436" s="1"/>
  <c r="D553" i="436" s="1"/>
  <c r="D554" i="436" s="1"/>
  <c r="D555" i="436" s="1"/>
  <c r="D556" i="436" s="1"/>
  <c r="D557" i="436" s="1"/>
  <c r="D558" i="436" s="1"/>
  <c r="D559" i="436" s="1"/>
  <c r="D560" i="436" s="1"/>
  <c r="D561" i="436" s="1"/>
  <c r="D562" i="436" s="1"/>
  <c r="D563" i="436" s="1"/>
  <c r="D564" i="436" s="1"/>
  <c r="D565" i="436" s="1"/>
  <c r="D566" i="436" s="1"/>
  <c r="D567" i="436" s="1"/>
  <c r="D568" i="436" s="1"/>
  <c r="D569" i="436" s="1"/>
  <c r="D570" i="436" s="1"/>
  <c r="D571" i="436" s="1"/>
  <c r="D572" i="436" s="1"/>
  <c r="D573" i="436" s="1"/>
  <c r="D574" i="436" s="1"/>
  <c r="D575" i="436" s="1"/>
  <c r="D576" i="436" s="1"/>
  <c r="D577" i="436" s="1"/>
  <c r="D578" i="436" s="1"/>
  <c r="D579" i="436" s="1"/>
  <c r="D580" i="436" s="1"/>
  <c r="D581" i="436" s="1"/>
  <c r="D582" i="436" s="1"/>
  <c r="D583" i="436" s="1"/>
  <c r="D584" i="436" s="1"/>
  <c r="D585" i="436" s="1"/>
  <c r="D586" i="436" s="1"/>
  <c r="D587" i="436" s="1"/>
  <c r="D588" i="436" s="1"/>
  <c r="D589" i="436" s="1"/>
  <c r="D590" i="436" s="1"/>
  <c r="D591" i="436" s="1"/>
  <c r="D592" i="436" s="1"/>
  <c r="D593" i="436" s="1"/>
  <c r="D594" i="436" s="1"/>
  <c r="D595" i="436" s="1"/>
  <c r="D596" i="436" s="1"/>
  <c r="D597" i="436" s="1"/>
  <c r="D598" i="436" s="1"/>
  <c r="D599" i="436" s="1"/>
  <c r="D600" i="436" s="1"/>
  <c r="D601" i="436" s="1"/>
  <c r="D602" i="436" s="1"/>
  <c r="D603" i="436" s="1"/>
  <c r="D604" i="436" s="1"/>
  <c r="D605" i="436" s="1"/>
  <c r="D606" i="436" s="1"/>
  <c r="D607" i="436" s="1"/>
  <c r="D608" i="436" s="1"/>
  <c r="D609" i="436" s="1"/>
  <c r="D610" i="436" s="1"/>
  <c r="D611" i="436" s="1"/>
  <c r="D612" i="436" s="1"/>
  <c r="D613" i="436" s="1"/>
  <c r="D614" i="436" s="1"/>
  <c r="D615" i="436" s="1"/>
  <c r="D616" i="436" s="1"/>
  <c r="E446" i="436"/>
  <c r="E447" i="436" s="1"/>
  <c r="E448" i="436" s="1"/>
  <c r="E449" i="436" s="1"/>
  <c r="E450" i="436" s="1"/>
  <c r="E451" i="436" s="1"/>
  <c r="E452" i="436" s="1"/>
  <c r="E453" i="436" s="1"/>
  <c r="E454" i="436" s="1"/>
  <c r="E455" i="436" s="1"/>
  <c r="E456" i="436" s="1"/>
  <c r="E457" i="436" s="1"/>
  <c r="E458" i="436" s="1"/>
  <c r="E459" i="436" s="1"/>
  <c r="E460" i="436" s="1"/>
  <c r="E461" i="436" s="1"/>
  <c r="E462" i="436" s="1"/>
  <c r="E463" i="436" s="1"/>
  <c r="E464" i="436" s="1"/>
  <c r="E465" i="436" s="1"/>
  <c r="E466" i="436" s="1"/>
  <c r="E467" i="436" s="1"/>
  <c r="E468" i="436" s="1"/>
  <c r="E469" i="436" s="1"/>
  <c r="E470" i="436" s="1"/>
  <c r="E471" i="436" s="1"/>
  <c r="E472" i="436" s="1"/>
  <c r="E473" i="436" s="1"/>
  <c r="E474" i="436" s="1"/>
  <c r="E475" i="436" s="1"/>
  <c r="E476" i="436" s="1"/>
  <c r="E477" i="436" s="1"/>
  <c r="E478" i="436" s="1"/>
  <c r="E479" i="436" s="1"/>
  <c r="E480" i="436" s="1"/>
  <c r="E481" i="436" s="1"/>
  <c r="E482" i="436" s="1"/>
  <c r="E483" i="436" s="1"/>
  <c r="E484" i="436" s="1"/>
  <c r="E485" i="436" s="1"/>
  <c r="E486" i="436" s="1"/>
  <c r="E487" i="436" s="1"/>
  <c r="E488" i="436" s="1"/>
  <c r="E489" i="436" s="1"/>
  <c r="E490" i="436" s="1"/>
  <c r="E491" i="436" s="1"/>
  <c r="E492" i="436" s="1"/>
  <c r="E493" i="436" s="1"/>
  <c r="E494" i="436" s="1"/>
  <c r="E495" i="436" s="1"/>
  <c r="E496" i="436" s="1"/>
  <c r="E497" i="436" s="1"/>
  <c r="E498" i="436" s="1"/>
  <c r="E499" i="436" s="1"/>
  <c r="E500" i="436" s="1"/>
  <c r="E501" i="436" s="1"/>
  <c r="E502" i="436" s="1"/>
  <c r="E503" i="436" s="1"/>
  <c r="E504" i="436" s="1"/>
  <c r="E505" i="436" s="1"/>
  <c r="E506" i="436" s="1"/>
  <c r="E507" i="436" s="1"/>
  <c r="E508" i="436" s="1"/>
  <c r="E509" i="436" s="1"/>
  <c r="E510" i="436" s="1"/>
  <c r="E511" i="436" s="1"/>
  <c r="E512" i="436" s="1"/>
  <c r="E513" i="436" s="1"/>
  <c r="E514" i="436" s="1"/>
  <c r="E515" i="436" s="1"/>
  <c r="E516" i="436" s="1"/>
  <c r="E517" i="436" s="1"/>
  <c r="E518" i="436" s="1"/>
  <c r="E519" i="436" s="1"/>
  <c r="E520" i="436" s="1"/>
  <c r="E521" i="436" s="1"/>
  <c r="E522" i="436" s="1"/>
  <c r="E523" i="436" s="1"/>
  <c r="E524" i="436" s="1"/>
  <c r="E525" i="436" s="1"/>
  <c r="E526" i="436" s="1"/>
  <c r="E527" i="436" s="1"/>
  <c r="E528" i="436" s="1"/>
  <c r="E529" i="436" s="1"/>
  <c r="E530" i="436" s="1"/>
  <c r="E531" i="436" s="1"/>
  <c r="E532" i="436" s="1"/>
  <c r="E533" i="436" s="1"/>
  <c r="E534" i="436" s="1"/>
  <c r="E535" i="436" s="1"/>
  <c r="E536" i="436" s="1"/>
  <c r="E537" i="436" s="1"/>
  <c r="E538" i="436" s="1"/>
  <c r="E539" i="436" s="1"/>
  <c r="E540" i="436" s="1"/>
  <c r="E541" i="436" s="1"/>
  <c r="E542" i="436" s="1"/>
  <c r="E543" i="436" s="1"/>
  <c r="E544" i="436" s="1"/>
  <c r="E545" i="436" s="1"/>
  <c r="E546" i="436" s="1"/>
  <c r="E547" i="436" s="1"/>
  <c r="E548" i="436" s="1"/>
  <c r="E549" i="436" s="1"/>
  <c r="E550" i="436" s="1"/>
  <c r="E551" i="436" s="1"/>
  <c r="E552" i="436" s="1"/>
  <c r="E553" i="436" s="1"/>
  <c r="E554" i="436" s="1"/>
  <c r="E555" i="436" s="1"/>
  <c r="E556" i="436" s="1"/>
  <c r="E557" i="436" s="1"/>
  <c r="E558" i="436" s="1"/>
  <c r="E559" i="436" s="1"/>
  <c r="E560" i="436" s="1"/>
  <c r="E561" i="436" s="1"/>
  <c r="E562" i="436" s="1"/>
  <c r="E563" i="436" s="1"/>
  <c r="E564" i="436" s="1"/>
  <c r="E565" i="436" s="1"/>
  <c r="E566" i="436" s="1"/>
  <c r="E567" i="436" s="1"/>
  <c r="E568" i="436" s="1"/>
  <c r="E569" i="436" s="1"/>
  <c r="E570" i="436" s="1"/>
  <c r="E571" i="436" s="1"/>
  <c r="E572" i="436" s="1"/>
  <c r="E573" i="436" s="1"/>
  <c r="E574" i="436" s="1"/>
  <c r="E575" i="436" s="1"/>
  <c r="E576" i="436" s="1"/>
  <c r="E577" i="436" s="1"/>
  <c r="E578" i="436" s="1"/>
  <c r="E579" i="436" s="1"/>
  <c r="E580" i="436" s="1"/>
  <c r="E581" i="436" s="1"/>
  <c r="E582" i="436" s="1"/>
  <c r="E583" i="436" s="1"/>
  <c r="E584" i="436" s="1"/>
  <c r="E585" i="436" s="1"/>
  <c r="E586" i="436" s="1"/>
  <c r="E587" i="436" s="1"/>
  <c r="E588" i="436" s="1"/>
  <c r="E589" i="436" s="1"/>
  <c r="E590" i="436" s="1"/>
  <c r="E591" i="436" s="1"/>
  <c r="E592" i="436" s="1"/>
  <c r="E593" i="436" s="1"/>
  <c r="E594" i="436" s="1"/>
  <c r="E595" i="436" s="1"/>
  <c r="E596" i="436" s="1"/>
  <c r="E597" i="436" s="1"/>
  <c r="E598" i="436" s="1"/>
  <c r="E599" i="436" s="1"/>
  <c r="E600" i="436" s="1"/>
  <c r="E601" i="436" s="1"/>
  <c r="E602" i="436" s="1"/>
  <c r="E603" i="436" s="1"/>
  <c r="E604" i="436" s="1"/>
  <c r="E605" i="436" s="1"/>
  <c r="E606" i="436" s="1"/>
  <c r="E607" i="436" s="1"/>
  <c r="E608" i="436" s="1"/>
  <c r="E609" i="436" s="1"/>
  <c r="E610" i="436" s="1"/>
  <c r="E611" i="436" s="1"/>
  <c r="E612" i="436" s="1"/>
  <c r="E613" i="436" s="1"/>
  <c r="E614" i="436" s="1"/>
  <c r="E615" i="436" s="1"/>
  <c r="E616" i="436" s="1"/>
  <c r="C55" i="458"/>
  <c r="C47" i="458"/>
  <c r="B55" i="458"/>
  <c r="B51" i="458"/>
  <c r="B47" i="458"/>
  <c r="B43" i="458"/>
  <c r="B35" i="458"/>
  <c r="B34" i="458"/>
  <c r="D687" i="449"/>
  <c r="G919" i="448" s="1"/>
  <c r="A687" i="449"/>
  <c r="C2345" i="448"/>
  <c r="C2346" i="448" s="1"/>
  <c r="C2347" i="448" s="1"/>
  <c r="C2348" i="448"/>
  <c r="C2349" i="448" s="1"/>
  <c r="C2350" i="448"/>
  <c r="C2351" i="448" s="1"/>
  <c r="C2352" i="448"/>
  <c r="C2353" i="448" s="1"/>
  <c r="C2354" i="448"/>
  <c r="C2355" i="448" s="1"/>
  <c r="C2356" i="448" s="1"/>
  <c r="C2357" i="448"/>
  <c r="D211" i="449"/>
  <c r="A211" i="449"/>
  <c r="G2351" i="448"/>
  <c r="E2351" i="448"/>
  <c r="G2350" i="448"/>
  <c r="C302" i="436" l="1"/>
  <c r="C303" i="436" s="1"/>
  <c r="C304" i="436" s="1"/>
  <c r="C305" i="436" s="1"/>
  <c r="C306" i="436" s="1"/>
  <c r="C307" i="436" s="1"/>
  <c r="C308" i="436" s="1"/>
  <c r="C309" i="436" s="1"/>
  <c r="C310" i="436" s="1"/>
  <c r="C311" i="436" s="1"/>
  <c r="C312" i="436" s="1"/>
  <c r="C313" i="436" s="1"/>
  <c r="C314" i="436" s="1"/>
  <c r="C315" i="436" s="1"/>
  <c r="C316" i="436" s="1"/>
  <c r="C317" i="436" s="1"/>
  <c r="C318" i="436" s="1"/>
  <c r="C319" i="436" s="1"/>
  <c r="C320" i="436" s="1"/>
  <c r="C321" i="436" s="1"/>
  <c r="C322" i="436" s="1"/>
  <c r="C323" i="436" s="1"/>
  <c r="C324" i="436" s="1"/>
  <c r="C325" i="436" s="1"/>
  <c r="C326" i="436" s="1"/>
  <c r="C327" i="436" s="1"/>
  <c r="C328" i="436" s="1"/>
  <c r="C329" i="436" s="1"/>
  <c r="C330" i="436" s="1"/>
  <c r="D302" i="436"/>
  <c r="D303" i="436" s="1"/>
  <c r="D304" i="436" s="1"/>
  <c r="D305" i="436" s="1"/>
  <c r="D306" i="436" s="1"/>
  <c r="D307" i="436" s="1"/>
  <c r="D308" i="436" s="1"/>
  <c r="D309" i="436" s="1"/>
  <c r="D310" i="436" s="1"/>
  <c r="D311" i="436" s="1"/>
  <c r="D312" i="436" s="1"/>
  <c r="D313" i="436" s="1"/>
  <c r="D314" i="436" s="1"/>
  <c r="D315" i="436" s="1"/>
  <c r="D316" i="436" s="1"/>
  <c r="D317" i="436" s="1"/>
  <c r="D318" i="436" s="1"/>
  <c r="D319" i="436" s="1"/>
  <c r="D320" i="436" s="1"/>
  <c r="D321" i="436" s="1"/>
  <c r="D322" i="436" s="1"/>
  <c r="D323" i="436" s="1"/>
  <c r="D324" i="436" s="1"/>
  <c r="D325" i="436" s="1"/>
  <c r="D326" i="436" s="1"/>
  <c r="D327" i="436" s="1"/>
  <c r="D328" i="436" s="1"/>
  <c r="D329" i="436" s="1"/>
  <c r="D330" i="436" s="1"/>
  <c r="D331" i="436" s="1"/>
  <c r="E302" i="436"/>
  <c r="E303" i="436" s="1"/>
  <c r="E108" i="436"/>
  <c r="E109" i="436" s="1"/>
  <c r="E110" i="436" s="1"/>
  <c r="E111" i="436" s="1"/>
  <c r="E358" i="436"/>
  <c r="E359" i="436" s="1"/>
  <c r="E360" i="436" s="1"/>
  <c r="D358" i="436"/>
  <c r="D359" i="436" s="1"/>
  <c r="D360" i="436" s="1"/>
  <c r="D361" i="436" s="1"/>
  <c r="D362" i="436" s="1"/>
  <c r="D363" i="436" s="1"/>
  <c r="D364" i="436" s="1"/>
  <c r="D365" i="436" s="1"/>
  <c r="C358" i="436"/>
  <c r="C359" i="436" s="1"/>
  <c r="C360" i="436" s="1"/>
  <c r="C361" i="436" s="1"/>
  <c r="C362" i="436" s="1"/>
  <c r="C363" i="436" s="1"/>
  <c r="C364" i="436" s="1"/>
  <c r="C365" i="436" s="1"/>
  <c r="C366" i="436" s="1"/>
  <c r="C367" i="436" s="1"/>
  <c r="C368" i="436" s="1"/>
  <c r="C369" i="436" s="1"/>
  <c r="C370" i="436" s="1"/>
  <c r="C371" i="436" s="1"/>
  <c r="C372" i="436" s="1"/>
  <c r="C373" i="436" s="1"/>
  <c r="C374" i="436" s="1"/>
  <c r="C375" i="436" s="1"/>
  <c r="C376" i="436" s="1"/>
  <c r="C377" i="436" s="1"/>
  <c r="C378" i="436" s="1"/>
  <c r="C379" i="436" s="1"/>
  <c r="C380" i="436" s="1"/>
  <c r="C381" i="436" s="1"/>
  <c r="C382" i="436" s="1"/>
  <c r="C383" i="436" s="1"/>
  <c r="C384" i="436" s="1"/>
  <c r="C385" i="436" s="1"/>
  <c r="C386" i="436" s="1"/>
  <c r="C387" i="436" s="1"/>
  <c r="C388" i="436" s="1"/>
  <c r="C389" i="436" s="1"/>
  <c r="C390" i="436" s="1"/>
  <c r="E401" i="436"/>
  <c r="E402" i="436" s="1"/>
  <c r="D439" i="436"/>
  <c r="D440" i="436" s="1"/>
  <c r="D401" i="436" s="1"/>
  <c r="C439" i="436"/>
  <c r="C440" i="436" s="1"/>
  <c r="C441" i="436" s="1"/>
  <c r="C442" i="436" s="1"/>
  <c r="C443" i="436" s="1"/>
  <c r="B36" i="458"/>
  <c r="F1304" i="448"/>
  <c r="E1304" i="448"/>
  <c r="G1303" i="448"/>
  <c r="C1303" i="448"/>
  <c r="C1304" i="448" s="1"/>
  <c r="C250" i="448"/>
  <c r="C251" i="448" s="1"/>
  <c r="C252" i="448"/>
  <c r="C253" i="448" s="1"/>
  <c r="C254" i="448"/>
  <c r="C255" i="448" s="1"/>
  <c r="C256" i="448"/>
  <c r="C257" i="448" s="1"/>
  <c r="C258" i="448"/>
  <c r="C259" i="448" s="1"/>
  <c r="C260" i="448"/>
  <c r="C261" i="448" s="1"/>
  <c r="C262" i="448"/>
  <c r="C263" i="448" s="1"/>
  <c r="C264" i="448"/>
  <c r="C265" i="448" s="1"/>
  <c r="C266" i="448"/>
  <c r="C267" i="448" s="1"/>
  <c r="C268" i="448"/>
  <c r="C269" i="448" s="1"/>
  <c r="C270" i="448"/>
  <c r="C271" i="448" s="1"/>
  <c r="C272" i="448"/>
  <c r="C273" i="448" s="1"/>
  <c r="C274" i="448"/>
  <c r="C275" i="448" s="1"/>
  <c r="C276" i="448"/>
  <c r="C277" i="448" s="1"/>
  <c r="C278" i="448"/>
  <c r="C279" i="448" s="1"/>
  <c r="C280" i="448"/>
  <c r="C281" i="448" s="1"/>
  <c r="C282" i="448"/>
  <c r="C283" i="448" s="1"/>
  <c r="C284" i="448"/>
  <c r="C285" i="448" s="1"/>
  <c r="C286" i="448"/>
  <c r="C287" i="448" s="1"/>
  <c r="C288" i="448"/>
  <c r="C289" i="448" s="1"/>
  <c r="C290" i="448"/>
  <c r="C291" i="448" s="1"/>
  <c r="C292" i="448"/>
  <c r="C293" i="448" s="1"/>
  <c r="C294" i="448"/>
  <c r="C295" i="448" s="1"/>
  <c r="C296" i="448"/>
  <c r="C297" i="448" s="1"/>
  <c r="C298" i="448" s="1"/>
  <c r="C299" i="448" s="1"/>
  <c r="C300" i="448"/>
  <c r="C301" i="448" s="1"/>
  <c r="C302" i="448" s="1"/>
  <c r="C303" i="448" s="1"/>
  <c r="C304" i="448"/>
  <c r="C305" i="448"/>
  <c r="C306" i="448" s="1"/>
  <c r="C307" i="448" s="1"/>
  <c r="C308" i="448"/>
  <c r="C309" i="448" s="1"/>
  <c r="C310" i="448" s="1"/>
  <c r="C311" i="448" s="1"/>
  <c r="C312" i="448"/>
  <c r="C313" i="448" s="1"/>
  <c r="C314" i="448" s="1"/>
  <c r="C315" i="448" s="1"/>
  <c r="C316" i="448"/>
  <c r="C317" i="448" s="1"/>
  <c r="C318" i="448" s="1"/>
  <c r="C319" i="448" s="1"/>
  <c r="C320" i="448"/>
  <c r="C321" i="448" s="1"/>
  <c r="C322" i="448" s="1"/>
  <c r="C323" i="448" s="1"/>
  <c r="C324" i="448"/>
  <c r="C325" i="448" s="1"/>
  <c r="C326" i="448" s="1"/>
  <c r="C327" i="448" s="1"/>
  <c r="C328" i="448"/>
  <c r="C329" i="448" s="1"/>
  <c r="C330" i="448" s="1"/>
  <c r="C331" i="448" s="1"/>
  <c r="C332" i="448"/>
  <c r="C333" i="448" s="1"/>
  <c r="C334" i="448" s="1"/>
  <c r="C335" i="448" s="1"/>
  <c r="C336" i="448"/>
  <c r="C337" i="448" s="1"/>
  <c r="C338" i="448" s="1"/>
  <c r="C339" i="448" s="1"/>
  <c r="C340" i="448"/>
  <c r="C341" i="448" s="1"/>
  <c r="C343" i="448"/>
  <c r="C344" i="448" s="1"/>
  <c r="C345" i="448" s="1"/>
  <c r="C346" i="448" s="1"/>
  <c r="C347" i="448" s="1"/>
  <c r="C348" i="448" s="1"/>
  <c r="C349" i="448" s="1"/>
  <c r="C350" i="448"/>
  <c r="C351" i="448" s="1"/>
  <c r="C352" i="448" s="1"/>
  <c r="C353" i="448" s="1"/>
  <c r="C354" i="448" s="1"/>
  <c r="C355" i="448" s="1"/>
  <c r="C356" i="448" s="1"/>
  <c r="C357" i="448"/>
  <c r="C358" i="448" s="1"/>
  <c r="C359" i="448" s="1"/>
  <c r="C360" i="448" s="1"/>
  <c r="C361" i="448"/>
  <c r="C362" i="448" s="1"/>
  <c r="C363" i="448" s="1"/>
  <c r="C364" i="448" s="1"/>
  <c r="C365" i="448"/>
  <c r="C366" i="448" s="1"/>
  <c r="C367" i="448" s="1"/>
  <c r="C368" i="448" s="1"/>
  <c r="C369" i="448"/>
  <c r="C370" i="448" s="1"/>
  <c r="C371" i="448" s="1"/>
  <c r="C372" i="448" s="1"/>
  <c r="C373" i="448"/>
  <c r="C374" i="448" s="1"/>
  <c r="C375" i="448" s="1"/>
  <c r="C376" i="448" s="1"/>
  <c r="C377" i="448"/>
  <c r="C378" i="448" s="1"/>
  <c r="C379" i="448" s="1"/>
  <c r="C380" i="448" s="1"/>
  <c r="C381" i="448"/>
  <c r="C382" i="448" s="1"/>
  <c r="C383" i="448" s="1"/>
  <c r="C384" i="448" s="1"/>
  <c r="C385" i="448"/>
  <c r="C386" i="448" s="1"/>
  <c r="C387" i="448" s="1"/>
  <c r="C388" i="448" s="1"/>
  <c r="C389" i="448"/>
  <c r="C390" i="448" s="1"/>
  <c r="C391" i="448" s="1"/>
  <c r="C392" i="448" s="1"/>
  <c r="C393" i="448"/>
  <c r="C394" i="448" s="1"/>
  <c r="C395" i="448" s="1"/>
  <c r="C396" i="448"/>
  <c r="C397" i="448" s="1"/>
  <c r="C398" i="448" s="1"/>
  <c r="C399" i="448" s="1"/>
  <c r="C400" i="448"/>
  <c r="C401" i="448" s="1"/>
  <c r="C402" i="448" s="1"/>
  <c r="C403" i="448" s="1"/>
  <c r="C404" i="448"/>
  <c r="C405" i="448" s="1"/>
  <c r="C406" i="448" s="1"/>
  <c r="C407" i="448" s="1"/>
  <c r="C408" i="448"/>
  <c r="C409" i="448" s="1"/>
  <c r="C410" i="448" s="1"/>
  <c r="C411" i="448" s="1"/>
  <c r="C412" i="448"/>
  <c r="C413" i="448" s="1"/>
  <c r="C414" i="448" s="1"/>
  <c r="C415" i="448" s="1"/>
  <c r="C416" i="448"/>
  <c r="C417" i="448" s="1"/>
  <c r="C418" i="448" s="1"/>
  <c r="C419" i="448" s="1"/>
  <c r="C420" i="448"/>
  <c r="C421" i="448" s="1"/>
  <c r="C423" i="448"/>
  <c r="C424" i="448" s="1"/>
  <c r="C425" i="448"/>
  <c r="C426" i="448" s="1"/>
  <c r="C427" i="448"/>
  <c r="C428" i="448" s="1"/>
  <c r="C429" i="448" s="1"/>
  <c r="C430" i="448" s="1"/>
  <c r="C431" i="448"/>
  <c r="C432" i="448" s="1"/>
  <c r="C433" i="448" s="1"/>
  <c r="C434" i="448" s="1"/>
  <c r="C435" i="448" s="1"/>
  <c r="C436" i="448" s="1"/>
  <c r="C437" i="448" s="1"/>
  <c r="C438" i="448"/>
  <c r="C439" i="448" s="1"/>
  <c r="C440" i="448" s="1"/>
  <c r="C441" i="448" s="1"/>
  <c r="C442" i="448"/>
  <c r="C443" i="448" s="1"/>
  <c r="C444" i="448" s="1"/>
  <c r="C445" i="448" s="1"/>
  <c r="C446" i="448"/>
  <c r="C447" i="448" s="1"/>
  <c r="C448" i="448" s="1"/>
  <c r="C449" i="448" s="1"/>
  <c r="C450" i="448"/>
  <c r="C451" i="448" s="1"/>
  <c r="C452" i="448" s="1"/>
  <c r="C453" i="448" s="1"/>
  <c r="C454" i="448"/>
  <c r="C455" i="448" s="1"/>
  <c r="C456" i="448" s="1"/>
  <c r="C457" i="448" s="1"/>
  <c r="C458" i="448"/>
  <c r="C459" i="448" s="1"/>
  <c r="C460" i="448" s="1"/>
  <c r="C461" i="448" s="1"/>
  <c r="C462" i="448"/>
  <c r="C463" i="448" s="1"/>
  <c r="C464" i="448" s="1"/>
  <c r="C465" i="448" s="1"/>
  <c r="C466" i="448"/>
  <c r="C467" i="448" s="1"/>
  <c r="C468" i="448" s="1"/>
  <c r="C469" i="448" s="1"/>
  <c r="C470" i="448"/>
  <c r="C471" i="448" s="1"/>
  <c r="C472" i="448" s="1"/>
  <c r="C473" i="448" s="1"/>
  <c r="C474" i="448"/>
  <c r="C475" i="448" s="1"/>
  <c r="C476" i="448" s="1"/>
  <c r="C477" i="448" s="1"/>
  <c r="C478" i="448"/>
  <c r="C479" i="448" s="1"/>
  <c r="C481" i="448"/>
  <c r="C482" i="448" s="1"/>
  <c r="C483" i="448" s="1"/>
  <c r="C484" i="448" s="1"/>
  <c r="C485" i="448" s="1"/>
  <c r="C486" i="448" s="1"/>
  <c r="C487" i="448"/>
  <c r="C488" i="448" s="1"/>
  <c r="C489" i="448" s="1"/>
  <c r="C490" i="448" s="1"/>
  <c r="C491" i="448" s="1"/>
  <c r="C492" i="448"/>
  <c r="C493" i="448" s="1"/>
  <c r="C494" i="448" s="1"/>
  <c r="C495" i="448" s="1"/>
  <c r="C496" i="448" s="1"/>
  <c r="C497" i="448"/>
  <c r="C498" i="448" s="1"/>
  <c r="C499" i="448" s="1"/>
  <c r="C500" i="448"/>
  <c r="C501" i="448" s="1"/>
  <c r="C502" i="448" s="1"/>
  <c r="C503" i="448" s="1"/>
  <c r="C504" i="448" s="1"/>
  <c r="C505" i="448" s="1"/>
  <c r="C506" i="448"/>
  <c r="C507" i="448" s="1"/>
  <c r="C508" i="448" s="1"/>
  <c r="C509" i="448" s="1"/>
  <c r="C510" i="448" s="1"/>
  <c r="C511" i="448" s="1"/>
  <c r="C512" i="448"/>
  <c r="C513" i="448" s="1"/>
  <c r="C514" i="448" s="1"/>
  <c r="C515" i="448" s="1"/>
  <c r="C516" i="448" s="1"/>
  <c r="C517" i="448"/>
  <c r="C518" i="448" s="1"/>
  <c r="C519" i="448" s="1"/>
  <c r="C520" i="448" s="1"/>
  <c r="C521" i="448" s="1"/>
  <c r="C522" i="448"/>
  <c r="C523" i="448" s="1"/>
  <c r="C524" i="448" s="1"/>
  <c r="C525" i="448"/>
  <c r="C526" i="448" s="1"/>
  <c r="C527" i="448" s="1"/>
  <c r="C528" i="448" s="1"/>
  <c r="C529" i="448" s="1"/>
  <c r="C530" i="448"/>
  <c r="C531" i="448" s="1"/>
  <c r="C532" i="448" s="1"/>
  <c r="C533" i="448" s="1"/>
  <c r="C534" i="448" s="1"/>
  <c r="C535" i="448"/>
  <c r="C536" i="448" s="1"/>
  <c r="C537" i="448" s="1"/>
  <c r="C538" i="448"/>
  <c r="C539" i="448" s="1"/>
  <c r="C540" i="448" s="1"/>
  <c r="C541" i="448"/>
  <c r="C542" i="448" s="1"/>
  <c r="C543" i="448" s="1"/>
  <c r="C544" i="448" s="1"/>
  <c r="C545" i="448" s="1"/>
  <c r="C546" i="448"/>
  <c r="C547" i="448" s="1"/>
  <c r="C548" i="448" s="1"/>
  <c r="C549" i="448"/>
  <c r="C550" i="448" s="1"/>
  <c r="C551" i="448" s="1"/>
  <c r="C552" i="448" s="1"/>
  <c r="C553" i="448"/>
  <c r="C554" i="448" s="1"/>
  <c r="C555" i="448" s="1"/>
  <c r="C556" i="448" s="1"/>
  <c r="C557" i="448" s="1"/>
  <c r="C558" i="448" s="1"/>
  <c r="C559" i="448" s="1"/>
  <c r="C560" i="448" s="1"/>
  <c r="C561" i="448"/>
  <c r="C562" i="448" s="1"/>
  <c r="C563" i="448" s="1"/>
  <c r="C564" i="448" s="1"/>
  <c r="C565" i="448"/>
  <c r="C566" i="448" s="1"/>
  <c r="C567" i="448" s="1"/>
  <c r="C568" i="448" s="1"/>
  <c r="C569" i="448"/>
  <c r="C570" i="448" s="1"/>
  <c r="C571" i="448" s="1"/>
  <c r="C572" i="448" s="1"/>
  <c r="C573" i="448"/>
  <c r="C574" i="448" s="1"/>
  <c r="C575" i="448" s="1"/>
  <c r="C576" i="448" s="1"/>
  <c r="C577" i="448"/>
  <c r="C578" i="448" s="1"/>
  <c r="C579" i="448" s="1"/>
  <c r="C580" i="448" s="1"/>
  <c r="C581" i="448"/>
  <c r="C582" i="448" s="1"/>
  <c r="C583" i="448" s="1"/>
  <c r="C584" i="448" s="1"/>
  <c r="C585" i="448"/>
  <c r="C586" i="448" s="1"/>
  <c r="C587" i="448" s="1"/>
  <c r="C588" i="448" s="1"/>
  <c r="C589" i="448"/>
  <c r="C590" i="448" s="1"/>
  <c r="C591" i="448" s="1"/>
  <c r="C592" i="448" s="1"/>
  <c r="C593" i="448"/>
  <c r="C594" i="448" s="1"/>
  <c r="C595" i="448" s="1"/>
  <c r="C596" i="448" s="1"/>
  <c r="C597" i="448"/>
  <c r="C598" i="448" s="1"/>
  <c r="C599" i="448" s="1"/>
  <c r="C600" i="448" s="1"/>
  <c r="C601" i="448"/>
  <c r="C602" i="448" s="1"/>
  <c r="C603" i="448" s="1"/>
  <c r="C604" i="448" s="1"/>
  <c r="C605" i="448"/>
  <c r="C606" i="448" s="1"/>
  <c r="C607" i="448" s="1"/>
  <c r="C608" i="448" s="1"/>
  <c r="C609" i="448"/>
  <c r="C610" i="448" s="1"/>
  <c r="C611" i="448" s="1"/>
  <c r="C612" i="448" s="1"/>
  <c r="C613" i="448"/>
  <c r="C614" i="448" s="1"/>
  <c r="C615" i="448" s="1"/>
  <c r="C616" i="448" s="1"/>
  <c r="C617" i="448"/>
  <c r="C618" i="448" s="1"/>
  <c r="C619" i="448" s="1"/>
  <c r="C620" i="448" s="1"/>
  <c r="C621" i="448"/>
  <c r="C622" i="448" s="1"/>
  <c r="C623" i="448" s="1"/>
  <c r="C624" i="448" s="1"/>
  <c r="C625" i="448"/>
  <c r="C626" i="448" s="1"/>
  <c r="C627" i="448" s="1"/>
  <c r="C628" i="448" s="1"/>
  <c r="C629" i="448"/>
  <c r="C630" i="448" s="1"/>
  <c r="C631" i="448" s="1"/>
  <c r="C632" i="448" s="1"/>
  <c r="C633" i="448" s="1"/>
  <c r="C634" i="448"/>
  <c r="C635" i="448" s="1"/>
  <c r="C636" i="448"/>
  <c r="C637" i="448" s="1"/>
  <c r="C638" i="448" s="1"/>
  <c r="C639" i="448" s="1"/>
  <c r="C640" i="448" s="1"/>
  <c r="C641" i="448" s="1"/>
  <c r="C642" i="448"/>
  <c r="C643" i="448" s="1"/>
  <c r="C644" i="448" s="1"/>
  <c r="C645" i="448" s="1"/>
  <c r="C646" i="448" s="1"/>
  <c r="C647" i="448" s="1"/>
  <c r="C648" i="448" s="1"/>
  <c r="C649" i="448" s="1"/>
  <c r="C650" i="448" s="1"/>
  <c r="C651" i="448"/>
  <c r="C652" i="448" s="1"/>
  <c r="C653" i="448" s="1"/>
  <c r="C654" i="448" s="1"/>
  <c r="C655" i="448" s="1"/>
  <c r="C656" i="448" s="1"/>
  <c r="C657" i="448" s="1"/>
  <c r="C658" i="448" s="1"/>
  <c r="C659" i="448" s="1"/>
  <c r="C660" i="448" s="1"/>
  <c r="C661" i="448"/>
  <c r="C662" i="448" s="1"/>
  <c r="C663" i="448"/>
  <c r="C664" i="448" s="1"/>
  <c r="C665" i="448" s="1"/>
  <c r="C666" i="448" s="1"/>
  <c r="C667" i="448" s="1"/>
  <c r="C668" i="448" s="1"/>
  <c r="C669" i="448" s="1"/>
  <c r="C670" i="448" s="1"/>
  <c r="C671" i="448" s="1"/>
  <c r="C672" i="448"/>
  <c r="C673" i="448" s="1"/>
  <c r="C674" i="448"/>
  <c r="C675" i="448" s="1"/>
  <c r="C676" i="448"/>
  <c r="C677" i="448" s="1"/>
  <c r="C678" i="448"/>
  <c r="C679" i="448" s="1"/>
  <c r="C680" i="448"/>
  <c r="C681" i="448" s="1"/>
  <c r="C682" i="448"/>
  <c r="C683" i="448" s="1"/>
  <c r="C684" i="448"/>
  <c r="C685" i="448" s="1"/>
  <c r="C686" i="448" s="1"/>
  <c r="C687" i="448" s="1"/>
  <c r="C688" i="448"/>
  <c r="C689" i="448" s="1"/>
  <c r="C690" i="448"/>
  <c r="C691" i="448" s="1"/>
  <c r="C693" i="448"/>
  <c r="C694" i="448" s="1"/>
  <c r="C695" i="448" s="1"/>
  <c r="C696" i="448"/>
  <c r="C697" i="448" s="1"/>
  <c r="C698" i="448" s="1"/>
  <c r="C699" i="448"/>
  <c r="C700" i="448" s="1"/>
  <c r="C701" i="448" s="1"/>
  <c r="C702" i="448"/>
  <c r="C703" i="448" s="1"/>
  <c r="C704" i="448" s="1"/>
  <c r="C705" i="448"/>
  <c r="C706" i="448" s="1"/>
  <c r="C707" i="448" s="1"/>
  <c r="C708" i="448"/>
  <c r="C709" i="448" s="1"/>
  <c r="C710" i="448" s="1"/>
  <c r="C711" i="448"/>
  <c r="C712" i="448" s="1"/>
  <c r="C713" i="448" s="1"/>
  <c r="C714" i="448"/>
  <c r="C715" i="448" s="1"/>
  <c r="C716" i="448" s="1"/>
  <c r="C729" i="448"/>
  <c r="C732" i="448"/>
  <c r="C733" i="448" s="1"/>
  <c r="C734" i="448" s="1"/>
  <c r="C735" i="448"/>
  <c r="C736" i="448" s="1"/>
  <c r="C737" i="448" s="1"/>
  <c r="C738" i="448"/>
  <c r="C739" i="448" s="1"/>
  <c r="C740" i="448" s="1"/>
  <c r="C741" i="448"/>
  <c r="C742" i="448" s="1"/>
  <c r="C743" i="448" s="1"/>
  <c r="C744" i="448"/>
  <c r="C745" i="448" s="1"/>
  <c r="C746" i="448" s="1"/>
  <c r="C747" i="448"/>
  <c r="C748" i="448" s="1"/>
  <c r="C749" i="448" s="1"/>
  <c r="C750" i="448"/>
  <c r="C751" i="448" s="1"/>
  <c r="C752" i="448" s="1"/>
  <c r="C753" i="448"/>
  <c r="C754" i="448" s="1"/>
  <c r="C755" i="448" s="1"/>
  <c r="C756" i="448"/>
  <c r="C757" i="448" s="1"/>
  <c r="C758" i="448" s="1"/>
  <c r="C759" i="448"/>
  <c r="C760" i="448" s="1"/>
  <c r="C761" i="448" s="1"/>
  <c r="C762" i="448"/>
  <c r="C763" i="448" s="1"/>
  <c r="C764" i="448" s="1"/>
  <c r="C765" i="448"/>
  <c r="C766" i="448" s="1"/>
  <c r="C767" i="448" s="1"/>
  <c r="C768" i="448"/>
  <c r="C769" i="448" s="1"/>
  <c r="C770" i="448" s="1"/>
  <c r="C771" i="448"/>
  <c r="C772" i="448" s="1"/>
  <c r="C773" i="448" s="1"/>
  <c r="C774" i="448"/>
  <c r="C775" i="448" s="1"/>
  <c r="C776" i="448" s="1"/>
  <c r="C777" i="448" s="1"/>
  <c r="C778" i="448" s="1"/>
  <c r="C779" i="448" s="1"/>
  <c r="C780" i="448" s="1"/>
  <c r="C781" i="448"/>
  <c r="C782" i="448" s="1"/>
  <c r="C783" i="448" s="1"/>
  <c r="C784" i="448" s="1"/>
  <c r="C785" i="448" s="1"/>
  <c r="C786" i="448" s="1"/>
  <c r="C787" i="448" s="1"/>
  <c r="C788" i="448" s="1"/>
  <c r="C789" i="448"/>
  <c r="C790" i="448" s="1"/>
  <c r="C791" i="448" s="1"/>
  <c r="C792" i="448" s="1"/>
  <c r="C793" i="448"/>
  <c r="C794" i="448" s="1"/>
  <c r="C795" i="448"/>
  <c r="C796" i="448" s="1"/>
  <c r="C797" i="448"/>
  <c r="C798" i="448" s="1"/>
  <c r="C799" i="448" s="1"/>
  <c r="C800" i="448"/>
  <c r="C801" i="448" s="1"/>
  <c r="C802" i="448" s="1"/>
  <c r="C803" i="448"/>
  <c r="C804" i="448" s="1"/>
  <c r="C805" i="448" s="1"/>
  <c r="C806" i="448"/>
  <c r="C807" i="448" s="1"/>
  <c r="C808" i="448" s="1"/>
  <c r="C809" i="448"/>
  <c r="C810" i="448" s="1"/>
  <c r="C811" i="448" s="1"/>
  <c r="C812" i="448"/>
  <c r="C813" i="448" s="1"/>
  <c r="C814" i="448" s="1"/>
  <c r="C815" i="448"/>
  <c r="C816" i="448" s="1"/>
  <c r="C817" i="448" s="1"/>
  <c r="C818" i="448" s="1"/>
  <c r="C819" i="448"/>
  <c r="C820" i="448" s="1"/>
  <c r="C821" i="448" s="1"/>
  <c r="C822" i="448" s="1"/>
  <c r="C823" i="448" s="1"/>
  <c r="C824" i="448" s="1"/>
  <c r="C825" i="448" s="1"/>
  <c r="C826" i="448" s="1"/>
  <c r="C827" i="448" s="1"/>
  <c r="C828" i="448"/>
  <c r="C829" i="448" s="1"/>
  <c r="C830" i="448"/>
  <c r="C831" i="448" s="1"/>
  <c r="C832" i="448"/>
  <c r="C833" i="448" s="1"/>
  <c r="C834" i="448"/>
  <c r="C835" i="448" s="1"/>
  <c r="C836" i="448" s="1"/>
  <c r="C837" i="448" s="1"/>
  <c r="C838" i="448"/>
  <c r="C839" i="448" s="1"/>
  <c r="C840" i="448" s="1"/>
  <c r="C841" i="448" s="1"/>
  <c r="C842" i="448" s="1"/>
  <c r="C843" i="448" s="1"/>
  <c r="C844" i="448" s="1"/>
  <c r="C845" i="448" s="1"/>
  <c r="C846" i="448" s="1"/>
  <c r="C847" i="448" s="1"/>
  <c r="C848" i="448" s="1"/>
  <c r="C849" i="448"/>
  <c r="C850" i="448" s="1"/>
  <c r="C851" i="448" s="1"/>
  <c r="C852" i="448" s="1"/>
  <c r="C853" i="448" s="1"/>
  <c r="C854" i="448" s="1"/>
  <c r="C855" i="448" s="1"/>
  <c r="C856" i="448" s="1"/>
  <c r="C857" i="448" s="1"/>
  <c r="C858" i="448" s="1"/>
  <c r="C859" i="448" s="1"/>
  <c r="C860" i="448"/>
  <c r="C861" i="448" s="1"/>
  <c r="C862" i="448" s="1"/>
  <c r="C863" i="448" s="1"/>
  <c r="C864" i="448" s="1"/>
  <c r="C865" i="448" s="1"/>
  <c r="C866" i="448" s="1"/>
  <c r="C867" i="448" s="1"/>
  <c r="C868" i="448" s="1"/>
  <c r="C869" i="448" s="1"/>
  <c r="C870" i="448" s="1"/>
  <c r="C871" i="448"/>
  <c r="C872" i="448" s="1"/>
  <c r="C873" i="448" s="1"/>
  <c r="C874" i="448" s="1"/>
  <c r="C875" i="448" s="1"/>
  <c r="C876" i="448" s="1"/>
  <c r="C877" i="448" s="1"/>
  <c r="C878" i="448" s="1"/>
  <c r="C879" i="448" s="1"/>
  <c r="C880" i="448" s="1"/>
  <c r="C881" i="448" s="1"/>
  <c r="C882" i="448"/>
  <c r="C883" i="448" s="1"/>
  <c r="C884" i="448" s="1"/>
  <c r="C885" i="448" s="1"/>
  <c r="C886" i="448" s="1"/>
  <c r="C887" i="448" s="1"/>
  <c r="C888" i="448" s="1"/>
  <c r="C889" i="448" s="1"/>
  <c r="C890" i="448" s="1"/>
  <c r="C891" i="448" s="1"/>
  <c r="C892" i="448" s="1"/>
  <c r="C893" i="448" s="1"/>
  <c r="C894" i="448" s="1"/>
  <c r="C895" i="448"/>
  <c r="C896" i="448" s="1"/>
  <c r="C897" i="448" s="1"/>
  <c r="C898" i="448" s="1"/>
  <c r="C899" i="448" s="1"/>
  <c r="C900" i="448" s="1"/>
  <c r="C901" i="448" s="1"/>
  <c r="C902" i="448" s="1"/>
  <c r="C903" i="448" s="1"/>
  <c r="C904" i="448" s="1"/>
  <c r="C905" i="448" s="1"/>
  <c r="C906" i="448" s="1"/>
  <c r="C907" i="448"/>
  <c r="C908" i="448" s="1"/>
  <c r="C909" i="448" s="1"/>
  <c r="C910" i="448" s="1"/>
  <c r="C911" i="448" s="1"/>
  <c r="C912" i="448" s="1"/>
  <c r="C913" i="448" s="1"/>
  <c r="C914" i="448" s="1"/>
  <c r="C915" i="448" s="1"/>
  <c r="C916" i="448" s="1"/>
  <c r="C917" i="448" s="1"/>
  <c r="C930" i="448"/>
  <c r="C941" i="448"/>
  <c r="C942" i="448" s="1"/>
  <c r="C943" i="448" s="1"/>
  <c r="C944" i="448" s="1"/>
  <c r="C945" i="448" s="1"/>
  <c r="C946" i="448" s="1"/>
  <c r="C947" i="448" s="1"/>
  <c r="C948" i="448" s="1"/>
  <c r="C949" i="448" s="1"/>
  <c r="C950" i="448" s="1"/>
  <c r="C951" i="448" s="1"/>
  <c r="C952" i="448"/>
  <c r="C953" i="448" s="1"/>
  <c r="C954" i="448" s="1"/>
  <c r="C955" i="448" s="1"/>
  <c r="C956" i="448" s="1"/>
  <c r="C957" i="448" s="1"/>
  <c r="C958" i="448" s="1"/>
  <c r="C959" i="448" s="1"/>
  <c r="C960" i="448" s="1"/>
  <c r="C961" i="448" s="1"/>
  <c r="C962" i="448" s="1"/>
  <c r="C963" i="448"/>
  <c r="C964" i="448" s="1"/>
  <c r="C965" i="448" s="1"/>
  <c r="C966" i="448" s="1"/>
  <c r="C967" i="448" s="1"/>
  <c r="C968" i="448" s="1"/>
  <c r="C969" i="448" s="1"/>
  <c r="C970" i="448" s="1"/>
  <c r="C971" i="448" s="1"/>
  <c r="C972" i="448" s="1"/>
  <c r="C973" i="448" s="1"/>
  <c r="C974" i="448" s="1"/>
  <c r="C975" i="448"/>
  <c r="C976" i="448" s="1"/>
  <c r="C977" i="448" s="1"/>
  <c r="C978" i="448" s="1"/>
  <c r="C979" i="448" s="1"/>
  <c r="C980" i="448" s="1"/>
  <c r="C981" i="448" s="1"/>
  <c r="C982" i="448" s="1"/>
  <c r="C983" i="448" s="1"/>
  <c r="C984" i="448" s="1"/>
  <c r="C985" i="448" s="1"/>
  <c r="C986" i="448"/>
  <c r="C987" i="448" s="1"/>
  <c r="C988" i="448" s="1"/>
  <c r="C989" i="448" s="1"/>
  <c r="C990" i="448" s="1"/>
  <c r="C991" i="448" s="1"/>
  <c r="C992" i="448" s="1"/>
  <c r="C993" i="448" s="1"/>
  <c r="C994" i="448" s="1"/>
  <c r="C995" i="448" s="1"/>
  <c r="C996" i="448" s="1"/>
  <c r="C997" i="448"/>
  <c r="C998" i="448" s="1"/>
  <c r="C999" i="448" s="1"/>
  <c r="C1000" i="448" s="1"/>
  <c r="C1001" i="448" s="1"/>
  <c r="C1002" i="448" s="1"/>
  <c r="C1003" i="448" s="1"/>
  <c r="C1004" i="448" s="1"/>
  <c r="C1005" i="448" s="1"/>
  <c r="C1006" i="448" s="1"/>
  <c r="C1007" i="448" s="1"/>
  <c r="C1008" i="448"/>
  <c r="C1009" i="448" s="1"/>
  <c r="C1010" i="448" s="1"/>
  <c r="C1011" i="448" s="1"/>
  <c r="C1012" i="448" s="1"/>
  <c r="C1013" i="448" s="1"/>
  <c r="C1014" i="448" s="1"/>
  <c r="C1015" i="448" s="1"/>
  <c r="C1016" i="448" s="1"/>
  <c r="C1017" i="448" s="1"/>
  <c r="C1018" i="448" s="1"/>
  <c r="C1019" i="448"/>
  <c r="C1020" i="448" s="1"/>
  <c r="C1021" i="448" s="1"/>
  <c r="C1022" i="448" s="1"/>
  <c r="C1023" i="448" s="1"/>
  <c r="C1024" i="448" s="1"/>
  <c r="C1025" i="448" s="1"/>
  <c r="C1026" i="448" s="1"/>
  <c r="C1027" i="448" s="1"/>
  <c r="C1028" i="448" s="1"/>
  <c r="C1029" i="448" s="1"/>
  <c r="C1030" i="448" s="1"/>
  <c r="C1031" i="448"/>
  <c r="C1032" i="448" s="1"/>
  <c r="C1033" i="448" s="1"/>
  <c r="C1034" i="448" s="1"/>
  <c r="C1035" i="448" s="1"/>
  <c r="C1036" i="448" s="1"/>
  <c r="C1037" i="448" s="1"/>
  <c r="C1038" i="448" s="1"/>
  <c r="C1039" i="448" s="1"/>
  <c r="C1040" i="448" s="1"/>
  <c r="C1041" i="448" s="1"/>
  <c r="C1042" i="448" s="1"/>
  <c r="C1043" i="448" s="1"/>
  <c r="C1044" i="448" s="1"/>
  <c r="C1045" i="448" s="1"/>
  <c r="C1046" i="448" s="1"/>
  <c r="C1047" i="448"/>
  <c r="C1048" i="448" s="1"/>
  <c r="C1049" i="448" s="1"/>
  <c r="C1050" i="448" s="1"/>
  <c r="C1051" i="448" s="1"/>
  <c r="C1052" i="448" s="1"/>
  <c r="C1053" i="448" s="1"/>
  <c r="C1054" i="448" s="1"/>
  <c r="C1055" i="448" s="1"/>
  <c r="C1056" i="448" s="1"/>
  <c r="C1057" i="448" s="1"/>
  <c r="C1058" i="448" s="1"/>
  <c r="C1059" i="448" s="1"/>
  <c r="C1060" i="448" s="1"/>
  <c r="C1061" i="448" s="1"/>
  <c r="C1062" i="448"/>
  <c r="C1063" i="448" s="1"/>
  <c r="C1064" i="448" s="1"/>
  <c r="C1065" i="448" s="1"/>
  <c r="C1066" i="448" s="1"/>
  <c r="C1067" i="448" s="1"/>
  <c r="C1068" i="448"/>
  <c r="C1069" i="448" s="1"/>
  <c r="C1070" i="448" s="1"/>
  <c r="C1071" i="448" s="1"/>
  <c r="C1072" i="448" s="1"/>
  <c r="C1073" i="448" s="1"/>
  <c r="C1074" i="448"/>
  <c r="C1075" i="448" s="1"/>
  <c r="C1076" i="448" s="1"/>
  <c r="C1077" i="448" s="1"/>
  <c r="C1078" i="448" s="1"/>
  <c r="C1079" i="448" s="1"/>
  <c r="C1080" i="448"/>
  <c r="C1081" i="448" s="1"/>
  <c r="C1082" i="448" s="1"/>
  <c r="C1083" i="448" s="1"/>
  <c r="C1084" i="448" s="1"/>
  <c r="C1085" i="448" s="1"/>
  <c r="C1086" i="448" s="1"/>
  <c r="C1087" i="448" s="1"/>
  <c r="C1088" i="448" s="1"/>
  <c r="C1089" i="448" s="1"/>
  <c r="C1090" i="448" s="1"/>
  <c r="C1091" i="448" s="1"/>
  <c r="C1092" i="448"/>
  <c r="C1093" i="448" s="1"/>
  <c r="C1094" i="448" s="1"/>
  <c r="C1095" i="448" s="1"/>
  <c r="C1096" i="448" s="1"/>
  <c r="C1097" i="448" s="1"/>
  <c r="C1098" i="448" s="1"/>
  <c r="C1099" i="448" s="1"/>
  <c r="C1100" i="448" s="1"/>
  <c r="C1101" i="448" s="1"/>
  <c r="C1102" i="448" s="1"/>
  <c r="C1103" i="448" s="1"/>
  <c r="C1104" i="448"/>
  <c r="C1105" i="448" s="1"/>
  <c r="C1106" i="448" s="1"/>
  <c r="C1107" i="448" s="1"/>
  <c r="C1108" i="448" s="1"/>
  <c r="C1109" i="448" s="1"/>
  <c r="C1110" i="448" s="1"/>
  <c r="C1111" i="448" s="1"/>
  <c r="C1112" i="448" s="1"/>
  <c r="C1113" i="448" s="1"/>
  <c r="C1114" i="448" s="1"/>
  <c r="C1115" i="448" s="1"/>
  <c r="C1116" i="448"/>
  <c r="C1117" i="448" s="1"/>
  <c r="C1118" i="448" s="1"/>
  <c r="C1119" i="448" s="1"/>
  <c r="C1120" i="448" s="1"/>
  <c r="C1121" i="448" s="1"/>
  <c r="C1122" i="448" s="1"/>
  <c r="C1123" i="448" s="1"/>
  <c r="C1124" i="448" s="1"/>
  <c r="C1125" i="448" s="1"/>
  <c r="C1126" i="448" s="1"/>
  <c r="C1127" i="448" s="1"/>
  <c r="C1128" i="448"/>
  <c r="C1129" i="448" s="1"/>
  <c r="C1130" i="448" s="1"/>
  <c r="C1131" i="448" s="1"/>
  <c r="C1132" i="448" s="1"/>
  <c r="C1133" i="448" s="1"/>
  <c r="C1134" i="448" s="1"/>
  <c r="C1135" i="448" s="1"/>
  <c r="C1136" i="448" s="1"/>
  <c r="C1137" i="448" s="1"/>
  <c r="C1138" i="448" s="1"/>
  <c r="C1139" i="448" s="1"/>
  <c r="C1140" i="448"/>
  <c r="C1141" i="448" s="1"/>
  <c r="C1142" i="448"/>
  <c r="C1143" i="448" s="1"/>
  <c r="C1144" i="448"/>
  <c r="C1145" i="448" s="1"/>
  <c r="C1146" i="448" s="1"/>
  <c r="C1147" i="448" s="1"/>
  <c r="C1148" i="448" s="1"/>
  <c r="C1149" i="448" s="1"/>
  <c r="C1150" i="448"/>
  <c r="C1151" i="448" s="1"/>
  <c r="C1152" i="448" s="1"/>
  <c r="C1153" i="448" s="1"/>
  <c r="C1154" i="448" s="1"/>
  <c r="C1155" i="448" s="1"/>
  <c r="C1156" i="448"/>
  <c r="C1157" i="448" s="1"/>
  <c r="C1158" i="448"/>
  <c r="C1159" i="448" s="1"/>
  <c r="C1160" i="448"/>
  <c r="C1161" i="448" s="1"/>
  <c r="C1162" i="448"/>
  <c r="C1163" i="448" s="1"/>
  <c r="C1164" i="448"/>
  <c r="C1165" i="448" s="1"/>
  <c r="C1166" i="448"/>
  <c r="C1167" i="448" s="1"/>
  <c r="C1168" i="448"/>
  <c r="C1169" i="448" s="1"/>
  <c r="C1174" i="448"/>
  <c r="C1175" i="448" s="1"/>
  <c r="C1176" i="448" s="1"/>
  <c r="C1177" i="448"/>
  <c r="C1178" i="448" s="1"/>
  <c r="C1179" i="448" s="1"/>
  <c r="C1181" i="448"/>
  <c r="C1182" i="448" s="1"/>
  <c r="C1183" i="448" s="1"/>
  <c r="C1184" i="448"/>
  <c r="C1185" i="448" s="1"/>
  <c r="C1186" i="448" s="1"/>
  <c r="C1187" i="448"/>
  <c r="C1188" i="448" s="1"/>
  <c r="C1189" i="448"/>
  <c r="C1190" i="448" s="1"/>
  <c r="C1191" i="448"/>
  <c r="C1192" i="448" s="1"/>
  <c r="C1193" i="448" s="1"/>
  <c r="C1194" i="448"/>
  <c r="C1195" i="448" s="1"/>
  <c r="C1196" i="448" s="1"/>
  <c r="C1197" i="448"/>
  <c r="C1200" i="448"/>
  <c r="C1201" i="448" s="1"/>
  <c r="C1202" i="448" s="1"/>
  <c r="C1203" i="448" s="1"/>
  <c r="C1204" i="448"/>
  <c r="C1205" i="448" s="1"/>
  <c r="C1206" i="448" s="1"/>
  <c r="C1207" i="448"/>
  <c r="C1208" i="448" s="1"/>
  <c r="C1209" i="448" s="1"/>
  <c r="C1210" i="448"/>
  <c r="C1211" i="448" s="1"/>
  <c r="C1212" i="448"/>
  <c r="C1213" i="448" s="1"/>
  <c r="C1214" i="448"/>
  <c r="C1215" i="448" s="1"/>
  <c r="C1216" i="448" s="1"/>
  <c r="C1217" i="448"/>
  <c r="C1218" i="448" s="1"/>
  <c r="C1219" i="448"/>
  <c r="C1220" i="448" s="1"/>
  <c r="C1221" i="448"/>
  <c r="C1222" i="448" s="1"/>
  <c r="C1223" i="448" s="1"/>
  <c r="C1224" i="448"/>
  <c r="C1225" i="448" s="1"/>
  <c r="C1226" i="448"/>
  <c r="C1227" i="448" s="1"/>
  <c r="C1228" i="448"/>
  <c r="C1229" i="448" s="1"/>
  <c r="C1230" i="448" s="1"/>
  <c r="C1231" i="448"/>
  <c r="C1232" i="448" s="1"/>
  <c r="C1233" i="448"/>
  <c r="C1234" i="448" s="1"/>
  <c r="C1235" i="448" s="1"/>
  <c r="C1236" i="448"/>
  <c r="C1237" i="448" s="1"/>
  <c r="C1238" i="448"/>
  <c r="C1239" i="448" s="1"/>
  <c r="C1240" i="448"/>
  <c r="C1241" i="448" s="1"/>
  <c r="C1242" i="448"/>
  <c r="C1243" i="448" s="1"/>
  <c r="C1244" i="448" s="1"/>
  <c r="C1245" i="448" s="1"/>
  <c r="C1246" i="448"/>
  <c r="C1247" i="448" s="1"/>
  <c r="C1248" i="448"/>
  <c r="C1249" i="448" s="1"/>
  <c r="C1250" i="448" s="1"/>
  <c r="C1251" i="448" s="1"/>
  <c r="C1252" i="448"/>
  <c r="C1256" i="448"/>
  <c r="C1258" i="448"/>
  <c r="C1259" i="448" s="1"/>
  <c r="C1260" i="448"/>
  <c r="C1261" i="448" s="1"/>
  <c r="C1262" i="448"/>
  <c r="C1263" i="448" s="1"/>
  <c r="C1264" i="448"/>
  <c r="C1265" i="448" s="1"/>
  <c r="C1266" i="448"/>
  <c r="C1267" i="448" s="1"/>
  <c r="C1268" i="448"/>
  <c r="C1270" i="448"/>
  <c r="C1271" i="448" s="1"/>
  <c r="C1272" i="448"/>
  <c r="C1273" i="448" s="1"/>
  <c r="C1275" i="448"/>
  <c r="C1277" i="448"/>
  <c r="C1278" i="448" s="1"/>
  <c r="C1279" i="448" s="1"/>
  <c r="C1280" i="448"/>
  <c r="C1281" i="448" s="1"/>
  <c r="C1282" i="448"/>
  <c r="C1283" i="448" s="1"/>
  <c r="C1284" i="448"/>
  <c r="C1285" i="448" s="1"/>
  <c r="C1286" i="448"/>
  <c r="C1287" i="448" s="1"/>
  <c r="C1289" i="448"/>
  <c r="C1290" i="448" s="1"/>
  <c r="C1291" i="448"/>
  <c r="C1292" i="448" s="1"/>
  <c r="C1293" i="448"/>
  <c r="C1294" i="448" s="1"/>
  <c r="C1295" i="448"/>
  <c r="C1296" i="448" s="1"/>
  <c r="C1297" i="448"/>
  <c r="C1298" i="448" s="1"/>
  <c r="C1299" i="448"/>
  <c r="C1300" i="448" s="1"/>
  <c r="C1301" i="448"/>
  <c r="C1302" i="448" s="1"/>
  <c r="C1305" i="448"/>
  <c r="C1307" i="448"/>
  <c r="C1308" i="448" s="1"/>
  <c r="C1312" i="448"/>
  <c r="C1313" i="448" s="1"/>
  <c r="C1316" i="448"/>
  <c r="C1317" i="448" s="1"/>
  <c r="C1318" i="448" s="1"/>
  <c r="C1319" i="448" s="1"/>
  <c r="C1320" i="448" s="1"/>
  <c r="C1321" i="448"/>
  <c r="C1322" i="448" s="1"/>
  <c r="C1323" i="448" s="1"/>
  <c r="C1324" i="448" s="1"/>
  <c r="C1325" i="448" s="1"/>
  <c r="C1326" i="448"/>
  <c r="C1327" i="448" s="1"/>
  <c r="C1328" i="448" s="1"/>
  <c r="C1329" i="448" s="1"/>
  <c r="C1330" i="448" s="1"/>
  <c r="C1331" i="448"/>
  <c r="C1332" i="448" s="1"/>
  <c r="C1333" i="448" s="1"/>
  <c r="C1334" i="448" s="1"/>
  <c r="C1335" i="448" s="1"/>
  <c r="C1336" i="448"/>
  <c r="C1337" i="448" s="1"/>
  <c r="C1338" i="448" s="1"/>
  <c r="C1339" i="448" s="1"/>
  <c r="C1340" i="448" s="1"/>
  <c r="C1341" i="448"/>
  <c r="C1342" i="448" s="1"/>
  <c r="C1343" i="448" s="1"/>
  <c r="C1344" i="448" s="1"/>
  <c r="C1345" i="448" s="1"/>
  <c r="C1346" i="448"/>
  <c r="C1347" i="448" s="1"/>
  <c r="C1348" i="448" s="1"/>
  <c r="C1351" i="448"/>
  <c r="C1352" i="448" s="1"/>
  <c r="C1353" i="448" s="1"/>
  <c r="C1356" i="448"/>
  <c r="C1357" i="448" s="1"/>
  <c r="C1358" i="448" s="1"/>
  <c r="C1359" i="448" s="1"/>
  <c r="C1361" i="448"/>
  <c r="C1362" i="448" s="1"/>
  <c r="C1363" i="448" s="1"/>
  <c r="C1364" i="448" s="1"/>
  <c r="C1365" i="448" s="1"/>
  <c r="C1366" i="448"/>
  <c r="C1367" i="448" s="1"/>
  <c r="C1368" i="448" s="1"/>
  <c r="C1369" i="448" s="1"/>
  <c r="C1371" i="448"/>
  <c r="C1372" i="448" s="1"/>
  <c r="C1373" i="448" s="1"/>
  <c r="C1374" i="448" s="1"/>
  <c r="C1375" i="448" s="1"/>
  <c r="C1376" i="448"/>
  <c r="C1381" i="448"/>
  <c r="C1382" i="448" s="1"/>
  <c r="C1383" i="448" s="1"/>
  <c r="C1384" i="448" s="1"/>
  <c r="C1385" i="448" s="1"/>
  <c r="C1386" i="448"/>
  <c r="C1387" i="448" s="1"/>
  <c r="C1388" i="448" s="1"/>
  <c r="C1389" i="448" s="1"/>
  <c r="C1390" i="448" s="1"/>
  <c r="C1391" i="448"/>
  <c r="C1392" i="448" s="1"/>
  <c r="C1393" i="448" s="1"/>
  <c r="C1394" i="448" s="1"/>
  <c r="C1395" i="448" s="1"/>
  <c r="C1396" i="448"/>
  <c r="C1397" i="448" s="1"/>
  <c r="C1398" i="448" s="1"/>
  <c r="C1399" i="448" s="1"/>
  <c r="C1400" i="448" s="1"/>
  <c r="C1401" i="448"/>
  <c r="C1402" i="448" s="1"/>
  <c r="C1403" i="448" s="1"/>
  <c r="C1404" i="448" s="1"/>
  <c r="C1406" i="448"/>
  <c r="C1407" i="448" s="1"/>
  <c r="C1408" i="448" s="1"/>
  <c r="C1409" i="448" s="1"/>
  <c r="C1410" i="448" s="1"/>
  <c r="C1411" i="448"/>
  <c r="C1412" i="448" s="1"/>
  <c r="C1413" i="448" s="1"/>
  <c r="C1414" i="448" s="1"/>
  <c r="C1415" i="448" s="1"/>
  <c r="C1416" i="448"/>
  <c r="C1417" i="448" s="1"/>
  <c r="C1418" i="448" s="1"/>
  <c r="C1419" i="448" s="1"/>
  <c r="C1420" i="448" s="1"/>
  <c r="C1421" i="448"/>
  <c r="C1422" i="448" s="1"/>
  <c r="C1423" i="448" s="1"/>
  <c r="C1424" i="448" s="1"/>
  <c r="C1426" i="448"/>
  <c r="C1427" i="448" s="1"/>
  <c r="C1428" i="448" s="1"/>
  <c r="C1429" i="448" s="1"/>
  <c r="C1430" i="448" s="1"/>
  <c r="C1431" i="448"/>
  <c r="C1432" i="448" s="1"/>
  <c r="C1433" i="448" s="1"/>
  <c r="C1436" i="448"/>
  <c r="C1437" i="448" s="1"/>
  <c r="C1438" i="448" s="1"/>
  <c r="C1439" i="448" s="1"/>
  <c r="C1440" i="448" s="1"/>
  <c r="C1441" i="448"/>
  <c r="C1442" i="448" s="1"/>
  <c r="C1443" i="448" s="1"/>
  <c r="C1444" i="448"/>
  <c r="C1445" i="448" s="1"/>
  <c r="C1446" i="448" s="1"/>
  <c r="C1447" i="448"/>
  <c r="C1448" i="448" s="1"/>
  <c r="C1449" i="448" s="1"/>
  <c r="C1450" i="448"/>
  <c r="C1451" i="448" s="1"/>
  <c r="C1452" i="448" s="1"/>
  <c r="C1453" i="448"/>
  <c r="C1454" i="448" s="1"/>
  <c r="C1455" i="448" s="1"/>
  <c r="C1456" i="448"/>
  <c r="C1457" i="448" s="1"/>
  <c r="C1458" i="448" s="1"/>
  <c r="C1459" i="448"/>
  <c r="C1460" i="448" s="1"/>
  <c r="C1462" i="448"/>
  <c r="C1463" i="448" s="1"/>
  <c r="C1465" i="448"/>
  <c r="C1466" i="448" s="1"/>
  <c r="C1467" i="448" s="1"/>
  <c r="C1468" i="448" s="1"/>
  <c r="C1470" i="448"/>
  <c r="C1471" i="448" s="1"/>
  <c r="C1472" i="448"/>
  <c r="C1473" i="448" s="1"/>
  <c r="C1474" i="448" s="1"/>
  <c r="C1476" i="448"/>
  <c r="C1477" i="448" s="1"/>
  <c r="C1478" i="448" s="1"/>
  <c r="C1479" i="448" s="1"/>
  <c r="C1480" i="448"/>
  <c r="C1481" i="448" s="1"/>
  <c r="C1482" i="448"/>
  <c r="C1483" i="448" s="1"/>
  <c r="C1484" i="448"/>
  <c r="C1485" i="448" s="1"/>
  <c r="C1486" i="448"/>
  <c r="C1487" i="448" s="1"/>
  <c r="C1488" i="448"/>
  <c r="C1489" i="448" s="1"/>
  <c r="C1490" i="448"/>
  <c r="C1491" i="448" s="1"/>
  <c r="C1492" i="448"/>
  <c r="C1493" i="448" s="1"/>
  <c r="C1494" i="448"/>
  <c r="C1495" i="448" s="1"/>
  <c r="C1496" i="448"/>
  <c r="C1497" i="448" s="1"/>
  <c r="C1498" i="448"/>
  <c r="C1499" i="448" s="1"/>
  <c r="C1500" i="448"/>
  <c r="C1501" i="448" s="1"/>
  <c r="C1502" i="448"/>
  <c r="C1503" i="448" s="1"/>
  <c r="C1504" i="448"/>
  <c r="C1505" i="448" s="1"/>
  <c r="C1507" i="448"/>
  <c r="C1508" i="448" s="1"/>
  <c r="C1509" i="448" s="1"/>
  <c r="C1511" i="448"/>
  <c r="C1512" i="448" s="1"/>
  <c r="C1513" i="448" s="1"/>
  <c r="C1514" i="448" s="1"/>
  <c r="C1516" i="448"/>
  <c r="C1517" i="448" s="1"/>
  <c r="C1518" i="448" s="1"/>
  <c r="C1519" i="448"/>
  <c r="C1520" i="448" s="1"/>
  <c r="C1521" i="448"/>
  <c r="C1522" i="448" s="1"/>
  <c r="C1523" i="448"/>
  <c r="C1524" i="448" s="1"/>
  <c r="C1525" i="448"/>
  <c r="C1526" i="448" s="1"/>
  <c r="C1528" i="448"/>
  <c r="C1529" i="448" s="1"/>
  <c r="C1530" i="448"/>
  <c r="C1531" i="448" s="1"/>
  <c r="C1532" i="448"/>
  <c r="C1533" i="448" s="1"/>
  <c r="C1534" i="448" s="1"/>
  <c r="C1535" i="448" s="1"/>
  <c r="C1536" i="448" s="1"/>
  <c r="C1537" i="448" s="1"/>
  <c r="C1538" i="448" s="1"/>
  <c r="C1539" i="448" s="1"/>
  <c r="C1540" i="448" s="1"/>
  <c r="C1541" i="448" s="1"/>
  <c r="C1542" i="448" s="1"/>
  <c r="C1543" i="448"/>
  <c r="C1544" i="448" s="1"/>
  <c r="C1545" i="448"/>
  <c r="C1546" i="448" s="1"/>
  <c r="C1547" i="448"/>
  <c r="C1548" i="448" s="1"/>
  <c r="C1549" i="448"/>
  <c r="C1550" i="448" s="1"/>
  <c r="C1551" i="448"/>
  <c r="C1552" i="448" s="1"/>
  <c r="C1553" i="448"/>
  <c r="C1554" i="448" s="1"/>
  <c r="C1555" i="448"/>
  <c r="C1557" i="448"/>
  <c r="C1558" i="448" s="1"/>
  <c r="C1559" i="448"/>
  <c r="C1560" i="448" s="1"/>
  <c r="C1561" i="448" s="1"/>
  <c r="C1562" i="448"/>
  <c r="C1563" i="448" s="1"/>
  <c r="C1564" i="448" s="1"/>
  <c r="C1565" i="448"/>
  <c r="C1566" i="448" s="1"/>
  <c r="C1567" i="448"/>
  <c r="C1568" i="448" s="1"/>
  <c r="C1570" i="448"/>
  <c r="C1571" i="448" s="1"/>
  <c r="C1572" i="448" s="1"/>
  <c r="C1573" i="448" s="1"/>
  <c r="C1574" i="448"/>
  <c r="C1575" i="448" s="1"/>
  <c r="C1576" i="448" s="1"/>
  <c r="C1577" i="448" s="1"/>
  <c r="C1578" i="448"/>
  <c r="C1579" i="448" s="1"/>
  <c r="C1580" i="448" s="1"/>
  <c r="C1582" i="448"/>
  <c r="C1583" i="448" s="1"/>
  <c r="C1584" i="448" s="1"/>
  <c r="C1586" i="448"/>
  <c r="C1587" i="448" s="1"/>
  <c r="C1588" i="448" s="1"/>
  <c r="C1589" i="448" s="1"/>
  <c r="C1590" i="448"/>
  <c r="C1591" i="448" s="1"/>
  <c r="C1592" i="448" s="1"/>
  <c r="C1593" i="448" s="1"/>
  <c r="C1594" i="448"/>
  <c r="C1595" i="448" s="1"/>
  <c r="C1596" i="448" s="1"/>
  <c r="C1597" i="448"/>
  <c r="C1598" i="448" s="1"/>
  <c r="C1599" i="448" s="1"/>
  <c r="C1600" i="448"/>
  <c r="C1601" i="448" s="1"/>
  <c r="C1602" i="448" s="1"/>
  <c r="C1603" i="448"/>
  <c r="C1604" i="448" s="1"/>
  <c r="C1605" i="448" s="1"/>
  <c r="C1606" i="448"/>
  <c r="C1607" i="448" s="1"/>
  <c r="C1609" i="448"/>
  <c r="C1610" i="448" s="1"/>
  <c r="C1611" i="448" s="1"/>
  <c r="C1612" i="448"/>
  <c r="C1613" i="448" s="1"/>
  <c r="C1614" i="448" s="1"/>
  <c r="C1615" i="448"/>
  <c r="C1618" i="448"/>
  <c r="C1619" i="448" s="1"/>
  <c r="C1620" i="448" s="1"/>
  <c r="C1621" i="448"/>
  <c r="C1622" i="448" s="1"/>
  <c r="C1623" i="448" s="1"/>
  <c r="C1624" i="448"/>
  <c r="C1625" i="448" s="1"/>
  <c r="C1626" i="448" s="1"/>
  <c r="C1627" i="448"/>
  <c r="C1628" i="448" s="1"/>
  <c r="C1629" i="448" s="1"/>
  <c r="C1630" i="448"/>
  <c r="C1631" i="448" s="1"/>
  <c r="C1632" i="448" s="1"/>
  <c r="C1633" i="448"/>
  <c r="C1634" i="448" s="1"/>
  <c r="C1635" i="448" s="1"/>
  <c r="C1636" i="448" s="1"/>
  <c r="C1637" i="448"/>
  <c r="C1638" i="448" s="1"/>
  <c r="C1639" i="448" s="1"/>
  <c r="C1640" i="448"/>
  <c r="C1641" i="448" s="1"/>
  <c r="C1642" i="448" s="1"/>
  <c r="C1643" i="448"/>
  <c r="C1644" i="448" s="1"/>
  <c r="C1645" i="448" s="1"/>
  <c r="C1646" i="448"/>
  <c r="C1647" i="448" s="1"/>
  <c r="C1648" i="448" s="1"/>
  <c r="C1649" i="448"/>
  <c r="C1650" i="448" s="1"/>
  <c r="C1652" i="448"/>
  <c r="C1669" i="448"/>
  <c r="C1670" i="448" s="1"/>
  <c r="C1671" i="448"/>
  <c r="C1672" i="448" s="1"/>
  <c r="C1673" i="448" s="1"/>
  <c r="C1674" i="448" s="1"/>
  <c r="C1675" i="448"/>
  <c r="C1676" i="448" s="1"/>
  <c r="C1677" i="448" s="1"/>
  <c r="C1679" i="448"/>
  <c r="C1680" i="448" s="1"/>
  <c r="C1681" i="448" s="1"/>
  <c r="C1683" i="448"/>
  <c r="C1684" i="448" s="1"/>
  <c r="C1685" i="448" s="1"/>
  <c r="C1686" i="448" s="1"/>
  <c r="C1687" i="448"/>
  <c r="C1688" i="448" s="1"/>
  <c r="C1689" i="448" s="1"/>
  <c r="C1691" i="448"/>
  <c r="C1692" i="448" s="1"/>
  <c r="C1693" i="448" s="1"/>
  <c r="C1695" i="448"/>
  <c r="C1696" i="448" s="1"/>
  <c r="C1697" i="448" s="1"/>
  <c r="C1698" i="448" s="1"/>
  <c r="C1699" i="448"/>
  <c r="C1700" i="448" s="1"/>
  <c r="C1701" i="448"/>
  <c r="C1702" i="448" s="1"/>
  <c r="C1703" i="448" s="1"/>
  <c r="C1705" i="448"/>
  <c r="C1706" i="448" s="1"/>
  <c r="C1707" i="448" s="1"/>
  <c r="C1708" i="448" s="1"/>
  <c r="C1709" i="448"/>
  <c r="C1710" i="448" s="1"/>
  <c r="C1712" i="448"/>
  <c r="C1713" i="448" s="1"/>
  <c r="C1714" i="448" s="1"/>
  <c r="C1715" i="448" s="1"/>
  <c r="C1716" i="448"/>
  <c r="C1717" i="448" s="1"/>
  <c r="C1718" i="448" s="1"/>
  <c r="C1719" i="448"/>
  <c r="C1720" i="448" s="1"/>
  <c r="C1721" i="448" s="1"/>
  <c r="C1722" i="448"/>
  <c r="C1723" i="448" s="1"/>
  <c r="C1724" i="448" s="1"/>
  <c r="C1725" i="448" s="1"/>
  <c r="C1726" i="448"/>
  <c r="C1727" i="448" s="1"/>
  <c r="C1728" i="448"/>
  <c r="C1729" i="448" s="1"/>
  <c r="C1730" i="448" s="1"/>
  <c r="C1731" i="448" s="1"/>
  <c r="C1732" i="448" s="1"/>
  <c r="C1733" i="448"/>
  <c r="C1734" i="448" s="1"/>
  <c r="C1735" i="448" s="1"/>
  <c r="C1736" i="448" s="1"/>
  <c r="C1737" i="448" s="1"/>
  <c r="C1738" i="448" s="1"/>
  <c r="C1739" i="448" s="1"/>
  <c r="C1740" i="448" s="1"/>
  <c r="C1741" i="448"/>
  <c r="C1742" i="448" s="1"/>
  <c r="C1743" i="448"/>
  <c r="C1744" i="448" s="1"/>
  <c r="C1746" i="448"/>
  <c r="C1747" i="448" s="1"/>
  <c r="C1749" i="448"/>
  <c r="C1750" i="448" s="1"/>
  <c r="C1751" i="448"/>
  <c r="C1752" i="448" s="1"/>
  <c r="C1753" i="448"/>
  <c r="C1754" i="448" s="1"/>
  <c r="C1755" i="448"/>
  <c r="C1756" i="448" s="1"/>
  <c r="C1757" i="448"/>
  <c r="C1758" i="448" s="1"/>
  <c r="C1759" i="448"/>
  <c r="C1760" i="448" s="1"/>
  <c r="C1761" i="448"/>
  <c r="C1763" i="448"/>
  <c r="C1764" i="448" s="1"/>
  <c r="C1765" i="448"/>
  <c r="C1766" i="448" s="1"/>
  <c r="C1768" i="448"/>
  <c r="C1769" i="448" s="1"/>
  <c r="C1770" i="448"/>
  <c r="C1771" i="448" s="1"/>
  <c r="C1772" i="448"/>
  <c r="C1773" i="448" s="1"/>
  <c r="C1774" i="448" s="1"/>
  <c r="C1775" i="448"/>
  <c r="C1776" i="448" s="1"/>
  <c r="C1777" i="448" s="1"/>
  <c r="C1779" i="448"/>
  <c r="C1780" i="448" s="1"/>
  <c r="C1781" i="448" s="1"/>
  <c r="C1782" i="448" s="1"/>
  <c r="C1783" i="448"/>
  <c r="C1784" i="448" s="1"/>
  <c r="C1787" i="448"/>
  <c r="C1788" i="448" s="1"/>
  <c r="C1789" i="448" s="1"/>
  <c r="C1790" i="448" s="1"/>
  <c r="C1791" i="448"/>
  <c r="C1792" i="448" s="1"/>
  <c r="C1793" i="448" s="1"/>
  <c r="C1794" i="448" s="1"/>
  <c r="C1795" i="448"/>
  <c r="C1796" i="448" s="1"/>
  <c r="C1797" i="448" s="1"/>
  <c r="C1798" i="448" s="1"/>
  <c r="C1799" i="448" s="1"/>
  <c r="C1800" i="448"/>
  <c r="C1801" i="448" s="1"/>
  <c r="C1802" i="448" s="1"/>
  <c r="C1803" i="448" s="1"/>
  <c r="C1804" i="448" s="1"/>
  <c r="C1805" i="448"/>
  <c r="C1806" i="448" s="1"/>
  <c r="C1810" i="448"/>
  <c r="C1811" i="448" s="1"/>
  <c r="C1812" i="448" s="1"/>
  <c r="C1813" i="448" s="1"/>
  <c r="C1814" i="448" s="1"/>
  <c r="C1815" i="448"/>
  <c r="C1816" i="448" s="1"/>
  <c r="C1817" i="448" s="1"/>
  <c r="C1818" i="448" s="1"/>
  <c r="C1819" i="448" s="1"/>
  <c r="C1820" i="448"/>
  <c r="C1821" i="448" s="1"/>
  <c r="C1822" i="448" s="1"/>
  <c r="C1823" i="448" s="1"/>
  <c r="C1824" i="448" s="1"/>
  <c r="C1825" i="448"/>
  <c r="C1826" i="448" s="1"/>
  <c r="C1827" i="448" s="1"/>
  <c r="C1828" i="448" s="1"/>
  <c r="C1830" i="448"/>
  <c r="C1831" i="448" s="1"/>
  <c r="C1832" i="448" s="1"/>
  <c r="C1833" i="448" s="1"/>
  <c r="C1834" i="448" s="1"/>
  <c r="C1835" i="448"/>
  <c r="C1836" i="448" s="1"/>
  <c r="C1837" i="448" s="1"/>
  <c r="C1838" i="448" s="1"/>
  <c r="C1839" i="448" s="1"/>
  <c r="C1840" i="448"/>
  <c r="C1841" i="448" s="1"/>
  <c r="C1842" i="448" s="1"/>
  <c r="C1843" i="448" s="1"/>
  <c r="C1844" i="448" s="1"/>
  <c r="C1845" i="448"/>
  <c r="C1846" i="448" s="1"/>
  <c r="C1847" i="448" s="1"/>
  <c r="C1848" i="448" s="1"/>
  <c r="C1849" i="448" s="1"/>
  <c r="C1850" i="448"/>
  <c r="C1855" i="448"/>
  <c r="C1856" i="448" s="1"/>
  <c r="C1857" i="448" s="1"/>
  <c r="C1858" i="448" s="1"/>
  <c r="C1860" i="448"/>
  <c r="C1861" i="448" s="1"/>
  <c r="C1862" i="448" s="1"/>
  <c r="C1863" i="448" s="1"/>
  <c r="C1864" i="448" s="1"/>
  <c r="C1865" i="448"/>
  <c r="C1866" i="448" s="1"/>
  <c r="C1870" i="448"/>
  <c r="C1871" i="448" s="1"/>
  <c r="C1872" i="448" s="1"/>
  <c r="C1873" i="448" s="1"/>
  <c r="C1874" i="448" s="1"/>
  <c r="C1875" i="448"/>
  <c r="C1876" i="448" s="1"/>
  <c r="C1877" i="448" s="1"/>
  <c r="C1878" i="448" s="1"/>
  <c r="C1879" i="448" s="1"/>
  <c r="C1880" i="448"/>
  <c r="C1881" i="448" s="1"/>
  <c r="C1885" i="448"/>
  <c r="C1886" i="448" s="1"/>
  <c r="C1887" i="448" s="1"/>
  <c r="C1888" i="448" s="1"/>
  <c r="C1889" i="448" s="1"/>
  <c r="C1890" i="448"/>
  <c r="C1891" i="448" s="1"/>
  <c r="C1892" i="448" s="1"/>
  <c r="C1893" i="448" s="1"/>
  <c r="C1894" i="448" s="1"/>
  <c r="C1895" i="448"/>
  <c r="C1896" i="448" s="1"/>
  <c r="C1900" i="448"/>
  <c r="C1901" i="448" s="1"/>
  <c r="C1905" i="448"/>
  <c r="C1906" i="448" s="1"/>
  <c r="C1907" i="448" s="1"/>
  <c r="C1908" i="448" s="1"/>
  <c r="C1909" i="448" s="1"/>
  <c r="C1910" i="448"/>
  <c r="C1911" i="448" s="1"/>
  <c r="C1912" i="448" s="1"/>
  <c r="C1913" i="448" s="1"/>
  <c r="C1914" i="448" s="1"/>
  <c r="C1915" i="448"/>
  <c r="C1916" i="448" s="1"/>
  <c r="C1917" i="448" s="1"/>
  <c r="C1918" i="448" s="1"/>
  <c r="C1919" i="448" s="1"/>
  <c r="C1920" i="448"/>
  <c r="C1921" i="448" s="1"/>
  <c r="C1922" i="448" s="1"/>
  <c r="C1923" i="448" s="1"/>
  <c r="C1924" i="448" s="1"/>
  <c r="C1925" i="448"/>
  <c r="C1930" i="448"/>
  <c r="C1931" i="448" s="1"/>
  <c r="C1932" i="448" s="1"/>
  <c r="C1933" i="448" s="1"/>
  <c r="C1934" i="448" s="1"/>
  <c r="C1935" i="448"/>
  <c r="C1936" i="448" s="1"/>
  <c r="C1937" i="448" s="1"/>
  <c r="C1938" i="448" s="1"/>
  <c r="C1939" i="448" s="1"/>
  <c r="C1940" i="448"/>
  <c r="C1941" i="448" s="1"/>
  <c r="C1942" i="448" s="1"/>
  <c r="C1943" i="448" s="1"/>
  <c r="C1945" i="448"/>
  <c r="C1946" i="448" s="1"/>
  <c r="C1947" i="448" s="1"/>
  <c r="C1950" i="448"/>
  <c r="C1952" i="448"/>
  <c r="C1953" i="448" s="1"/>
  <c r="C1954" i="448" s="1"/>
  <c r="C1955" i="448" s="1"/>
  <c r="C1956" i="448" s="1"/>
  <c r="C1957" i="448"/>
  <c r="C1958" i="448" s="1"/>
  <c r="C1959" i="448" s="1"/>
  <c r="C1960" i="448" s="1"/>
  <c r="C1961" i="448" s="1"/>
  <c r="C1962" i="448"/>
  <c r="C1963" i="448" s="1"/>
  <c r="C1964" i="448" s="1"/>
  <c r="C1967" i="448"/>
  <c r="C1968" i="448" s="1"/>
  <c r="C1969" i="448" s="1"/>
  <c r="C1970" i="448" s="1"/>
  <c r="C1971" i="448" s="1"/>
  <c r="C1972" i="448"/>
  <c r="C1973" i="448" s="1"/>
  <c r="C1974" i="448" s="1"/>
  <c r="C1975" i="448" s="1"/>
  <c r="C1976" i="448" s="1"/>
  <c r="C1977" i="448"/>
  <c r="C1978" i="448" s="1"/>
  <c r="C1979" i="448" s="1"/>
  <c r="C1980" i="448" s="1"/>
  <c r="C1981" i="448" s="1"/>
  <c r="C1982" i="448"/>
  <c r="C1983" i="448" s="1"/>
  <c r="C1984" i="448" s="1"/>
  <c r="C1985" i="448" s="1"/>
  <c r="C1986" i="448" s="1"/>
  <c r="C1987" i="448"/>
  <c r="C1988" i="448" s="1"/>
  <c r="C1989" i="448" s="1"/>
  <c r="C1990" i="448" s="1"/>
  <c r="C1991" i="448" s="1"/>
  <c r="C1992" i="448"/>
  <c r="C1993" i="448" s="1"/>
  <c r="C1994" i="448" s="1"/>
  <c r="C1997" i="448"/>
  <c r="C1998" i="448" s="1"/>
  <c r="C1999" i="448" s="1"/>
  <c r="C2000" i="448" s="1"/>
  <c r="C2001" i="448" s="1"/>
  <c r="C2002" i="448"/>
  <c r="C2003" i="448" s="1"/>
  <c r="C2004" i="448" s="1"/>
  <c r="C2005" i="448" s="1"/>
  <c r="C2006" i="448"/>
  <c r="C2007" i="448" s="1"/>
  <c r="C2008" i="448" s="1"/>
  <c r="C2009" i="448" s="1"/>
  <c r="C2010" i="448"/>
  <c r="C2011" i="448" s="1"/>
  <c r="C2012" i="448" s="1"/>
  <c r="C2013" i="448" s="1"/>
  <c r="C2014" i="448"/>
  <c r="C2015" i="448" s="1"/>
  <c r="C2016" i="448" s="1"/>
  <c r="C2017" i="448" s="1"/>
  <c r="C2018" i="448"/>
  <c r="C2019" i="448" s="1"/>
  <c r="C2020" i="448"/>
  <c r="C2021" i="448" s="1"/>
  <c r="C2022" i="448"/>
  <c r="C2023" i="448" s="1"/>
  <c r="C2024" i="448"/>
  <c r="C2025" i="448" s="1"/>
  <c r="C2026" i="448" s="1"/>
  <c r="C2027" i="448" s="1"/>
  <c r="C2028" i="448"/>
  <c r="C2029" i="448" s="1"/>
  <c r="C2030" i="448" s="1"/>
  <c r="C2031" i="448"/>
  <c r="C2032" i="448" s="1"/>
  <c r="C2033" i="448" s="1"/>
  <c r="C2035" i="448"/>
  <c r="C2036" i="448" s="1"/>
  <c r="C2037" i="448" s="1"/>
  <c r="C2038" i="448" s="1"/>
  <c r="C2039" i="448"/>
  <c r="C2040" i="448" s="1"/>
  <c r="C2041" i="448" s="1"/>
  <c r="C2042" i="448" s="1"/>
  <c r="C2043" i="448"/>
  <c r="C2044" i="448" s="1"/>
  <c r="C2046" i="448"/>
  <c r="C2047" i="448" s="1"/>
  <c r="C2049" i="448"/>
  <c r="C2053" i="448"/>
  <c r="C2054" i="448" s="1"/>
  <c r="C2056" i="448"/>
  <c r="C2057" i="448" s="1"/>
  <c r="C2058" i="448" s="1"/>
  <c r="C2059" i="448"/>
  <c r="C2060" i="448" s="1"/>
  <c r="C2061" i="448" s="1"/>
  <c r="C2062" i="448" s="1"/>
  <c r="C2063" i="448" s="1"/>
  <c r="C2064" i="448"/>
  <c r="C2065" i="448" s="1"/>
  <c r="C2066" i="448" s="1"/>
  <c r="C2067" i="448" s="1"/>
  <c r="C2069" i="448"/>
  <c r="C2070" i="448" s="1"/>
  <c r="C2071" i="448" s="1"/>
  <c r="C2072" i="448" s="1"/>
  <c r="C2073" i="448" s="1"/>
  <c r="C2074" i="448"/>
  <c r="C2075" i="448" s="1"/>
  <c r="C2076" i="448" s="1"/>
  <c r="C2077" i="448" s="1"/>
  <c r="C2078" i="448" s="1"/>
  <c r="C2079" i="448"/>
  <c r="C2080" i="448" s="1"/>
  <c r="C2081" i="448" s="1"/>
  <c r="C2082" i="448" s="1"/>
  <c r="C2083" i="448" s="1"/>
  <c r="C2084" i="448"/>
  <c r="C2085" i="448" s="1"/>
  <c r="C2086" i="448" s="1"/>
  <c r="C2087" i="448" s="1"/>
  <c r="C2088" i="448" s="1"/>
  <c r="C2089" i="448"/>
  <c r="C2090" i="448" s="1"/>
  <c r="C2091" i="448" s="1"/>
  <c r="C2092" i="448" s="1"/>
  <c r="C2093" i="448" s="1"/>
  <c r="C2094" i="448"/>
  <c r="C2095" i="448" s="1"/>
  <c r="C2096" i="448" s="1"/>
  <c r="C2097" i="448"/>
  <c r="C2098" i="448" s="1"/>
  <c r="C2099" i="448" s="1"/>
  <c r="C2100" i="448"/>
  <c r="C2101" i="448" s="1"/>
  <c r="C2102" i="448" s="1"/>
  <c r="C2103" i="448"/>
  <c r="C2104" i="448" s="1"/>
  <c r="C2105" i="448" s="1"/>
  <c r="C2106" i="448"/>
  <c r="C2107" i="448" s="1"/>
  <c r="C2108" i="448" s="1"/>
  <c r="C2109" i="448" s="1"/>
  <c r="C2110" i="448"/>
  <c r="C2111" i="448" s="1"/>
  <c r="C2112" i="448" s="1"/>
  <c r="C2114" i="448"/>
  <c r="C2115" i="448" s="1"/>
  <c r="C2116" i="448" s="1"/>
  <c r="C2117" i="448" s="1"/>
  <c r="C2118" i="448"/>
  <c r="C2119" i="448" s="1"/>
  <c r="C2120" i="448"/>
  <c r="C2121" i="448" s="1"/>
  <c r="C2122" i="448"/>
  <c r="C2123" i="448" s="1"/>
  <c r="C2124" i="448"/>
  <c r="C2125" i="448" s="1"/>
  <c r="C2126" i="448"/>
  <c r="C2127" i="448" s="1"/>
  <c r="C2128" i="448"/>
  <c r="C2129" i="448" s="1"/>
  <c r="C2130" i="448"/>
  <c r="C2132" i="448"/>
  <c r="C2133" i="448" s="1"/>
  <c r="C2134" i="448"/>
  <c r="C2135" i="448" s="1"/>
  <c r="C2136" i="448"/>
  <c r="C2137" i="448" s="1"/>
  <c r="C2138" i="448"/>
  <c r="C2139" i="448" s="1"/>
  <c r="C2140" i="448"/>
  <c r="C2141" i="448" s="1"/>
  <c r="C2142" i="448"/>
  <c r="C2143" i="448" s="1"/>
  <c r="C2144" i="448"/>
  <c r="C2145" i="448" s="1"/>
  <c r="C2146" i="448"/>
  <c r="C2147" i="448" s="1"/>
  <c r="C2149" i="448"/>
  <c r="C2150" i="448" s="1"/>
  <c r="C2151" i="448" s="1"/>
  <c r="C2152" i="448" s="1"/>
  <c r="C2153" i="448" s="1"/>
  <c r="C2154" i="448"/>
  <c r="C2155" i="448" s="1"/>
  <c r="C2156" i="448" s="1"/>
  <c r="C2157" i="448"/>
  <c r="C2158" i="448" s="1"/>
  <c r="C2159" i="448" s="1"/>
  <c r="C2160" i="448" s="1"/>
  <c r="C2162" i="448"/>
  <c r="C2163" i="448" s="1"/>
  <c r="C2164" i="448" s="1"/>
  <c r="C2165" i="448" s="1"/>
  <c r="C2166" i="448" s="1"/>
  <c r="C2167" i="448"/>
  <c r="C2168" i="448" s="1"/>
  <c r="C2169" i="448" s="1"/>
  <c r="C2170" i="448" s="1"/>
  <c r="C2171" i="448"/>
  <c r="C2172" i="448" s="1"/>
  <c r="C2173" i="448" s="1"/>
  <c r="C2174" i="448" s="1"/>
  <c r="C2175" i="448" s="1"/>
  <c r="C2176" i="448"/>
  <c r="C2177" i="448" s="1"/>
  <c r="C2178" i="448" s="1"/>
  <c r="C2179" i="448"/>
  <c r="C2180" i="448" s="1"/>
  <c r="C2181" i="448" s="1"/>
  <c r="C2182" i="448" s="1"/>
  <c r="C2183" i="448"/>
  <c r="C2186" i="448"/>
  <c r="C2187" i="448" s="1"/>
  <c r="C2188" i="448" s="1"/>
  <c r="C2189" i="448" s="1"/>
  <c r="C2190" i="448"/>
  <c r="C2191" i="448" s="1"/>
  <c r="C2192" i="448"/>
  <c r="C2193" i="448" s="1"/>
  <c r="C2194" i="448" s="1"/>
  <c r="C2195" i="448" s="1"/>
  <c r="C2196" i="448" s="1"/>
  <c r="C2197" i="448"/>
  <c r="C2198" i="448" s="1"/>
  <c r="C2199" i="448"/>
  <c r="C2200" i="448" s="1"/>
  <c r="C2201" i="448" s="1"/>
  <c r="C2202" i="448" s="1"/>
  <c r="C2203" i="448" s="1"/>
  <c r="C2204" i="448"/>
  <c r="C2205" i="448" s="1"/>
  <c r="C2208" i="448"/>
  <c r="C2209" i="448" s="1"/>
  <c r="C2210" i="448" s="1"/>
  <c r="C2211" i="448"/>
  <c r="C2212" i="448" s="1"/>
  <c r="C2213" i="448" s="1"/>
  <c r="C2214" i="448" s="1"/>
  <c r="C2215" i="448"/>
  <c r="C2216" i="448" s="1"/>
  <c r="C2217" i="448" s="1"/>
  <c r="C2218" i="448"/>
  <c r="C2219" i="448" s="1"/>
  <c r="C2220" i="448" s="1"/>
  <c r="C2221" i="448"/>
  <c r="C2222" i="448" s="1"/>
  <c r="C2223" i="448" s="1"/>
  <c r="C2224" i="448" s="1"/>
  <c r="C2225" i="448" s="1"/>
  <c r="C2226" i="448"/>
  <c r="C2227" i="448" s="1"/>
  <c r="C2228" i="448" s="1"/>
  <c r="C2229" i="448"/>
  <c r="C2230" i="448" s="1"/>
  <c r="C2232" i="448"/>
  <c r="C2233" i="448" s="1"/>
  <c r="C2234" i="448" s="1"/>
  <c r="C2235" i="448"/>
  <c r="C2237" i="448"/>
  <c r="C2238" i="448" s="1"/>
  <c r="C2239" i="448" s="1"/>
  <c r="C2240" i="448"/>
  <c r="C2241" i="448" s="1"/>
  <c r="C2242" i="448" s="1"/>
  <c r="C2243" i="448"/>
  <c r="C2244" i="448" s="1"/>
  <c r="C2245" i="448" s="1"/>
  <c r="C2246" i="448"/>
  <c r="C2247" i="448" s="1"/>
  <c r="C2248" i="448" s="1"/>
  <c r="C2249" i="448"/>
  <c r="C2250" i="448" s="1"/>
  <c r="C2251" i="448" s="1"/>
  <c r="C2252" i="448"/>
  <c r="C2253" i="448" s="1"/>
  <c r="C2254" i="448" s="1"/>
  <c r="C2255" i="448"/>
  <c r="C2256" i="448" s="1"/>
  <c r="C2257" i="448" s="1"/>
  <c r="C2258" i="448"/>
  <c r="C2259" i="448" s="1"/>
  <c r="C2260" i="448"/>
  <c r="C2261" i="448" s="1"/>
  <c r="C2265" i="448"/>
  <c r="C2266" i="448" s="1"/>
  <c r="C2267" i="448" s="1"/>
  <c r="C2268" i="448"/>
  <c r="C2269" i="448" s="1"/>
  <c r="C2270" i="448" s="1"/>
  <c r="C2271" i="448"/>
  <c r="C2272" i="448" s="1"/>
  <c r="C2274" i="448"/>
  <c r="C2275" i="448" s="1"/>
  <c r="C2276" i="448" s="1"/>
  <c r="C2278" i="448"/>
  <c r="C2279" i="448" s="1"/>
  <c r="C2280" i="448" s="1"/>
  <c r="C2281" i="448" s="1"/>
  <c r="C2282" i="448"/>
  <c r="C2283" i="448" s="1"/>
  <c r="C2284" i="448"/>
  <c r="C2285" i="448" s="1"/>
  <c r="C2286" i="448"/>
  <c r="C2287" i="448" s="1"/>
  <c r="C2288" i="448"/>
  <c r="C2289" i="448" s="1"/>
  <c r="C2290" i="448"/>
  <c r="C2291" i="448" s="1"/>
  <c r="C2292" i="448"/>
  <c r="C2293" i="448" s="1"/>
  <c r="C2294" i="448"/>
  <c r="C2295" i="448" s="1"/>
  <c r="C2296" i="448"/>
  <c r="C2297" i="448" s="1"/>
  <c r="C2298" i="448"/>
  <c r="C2300" i="448"/>
  <c r="C2301" i="448" s="1"/>
  <c r="C2309" i="448"/>
  <c r="C2311" i="448"/>
  <c r="C2312" i="448" s="1"/>
  <c r="C2314" i="448"/>
  <c r="C2315" i="448" s="1"/>
  <c r="C2316" i="448" s="1"/>
  <c r="C2317" i="448"/>
  <c r="C2318" i="448" s="1"/>
  <c r="C2319" i="448" s="1"/>
  <c r="C2320" i="448"/>
  <c r="C2321" i="448" s="1"/>
  <c r="C2322" i="448" s="1"/>
  <c r="C2323" i="448"/>
  <c r="C2324" i="448" s="1"/>
  <c r="C2325" i="448"/>
  <c r="C2326" i="448" s="1"/>
  <c r="C2327" i="448"/>
  <c r="C2328" i="448" s="1"/>
  <c r="C2329" i="448"/>
  <c r="C2330" i="448" s="1"/>
  <c r="C2331" i="448"/>
  <c r="C2332" i="448" s="1"/>
  <c r="C2333" i="448"/>
  <c r="C2334" i="448" s="1"/>
  <c r="C2335" i="448"/>
  <c r="C2336" i="448" s="1"/>
  <c r="C2337" i="448"/>
  <c r="C2338" i="448" s="1"/>
  <c r="C2339" i="448"/>
  <c r="C2340" i="448" s="1"/>
  <c r="C2341" i="448"/>
  <c r="C2342" i="448" s="1"/>
  <c r="C2343" i="448"/>
  <c r="C2344" i="448" s="1"/>
  <c r="C2358" i="448"/>
  <c r="C2359" i="448" s="1"/>
  <c r="C2360" i="448"/>
  <c r="C2361" i="448" s="1"/>
  <c r="C2362" i="448" s="1"/>
  <c r="C2363" i="448"/>
  <c r="C2364" i="448" s="1"/>
  <c r="C2365" i="448" s="1"/>
  <c r="C2366" i="448"/>
  <c r="C2369" i="448"/>
  <c r="C2370" i="448" s="1"/>
  <c r="C2371" i="448" s="1"/>
  <c r="C2372" i="448"/>
  <c r="C2373" i="448" s="1"/>
  <c r="C2374" i="448" s="1"/>
  <c r="C2375" i="448"/>
  <c r="C2376" i="448" s="1"/>
  <c r="C2377" i="448" s="1"/>
  <c r="C2378" i="448"/>
  <c r="C2379" i="448" s="1"/>
  <c r="C2380" i="448" s="1"/>
  <c r="C2381" i="448"/>
  <c r="C2382" i="448" s="1"/>
  <c r="C2383" i="448" s="1"/>
  <c r="C2384" i="448"/>
  <c r="C2385" i="448" s="1"/>
  <c r="C2386" i="448" s="1"/>
  <c r="C2387" i="448"/>
  <c r="C2388" i="448" s="1"/>
  <c r="C2389" i="448" s="1"/>
  <c r="C2390" i="448"/>
  <c r="C2391" i="448" s="1"/>
  <c r="C2392" i="448" s="1"/>
  <c r="C2393" i="448"/>
  <c r="C2394" i="448" s="1"/>
  <c r="C2395" i="448" s="1"/>
  <c r="C2396" i="448"/>
  <c r="C2397" i="448" s="1"/>
  <c r="C2399" i="448"/>
  <c r="C2400" i="448" s="1"/>
  <c r="C2402" i="448"/>
  <c r="C2403" i="448" s="1"/>
  <c r="C2405" i="448"/>
  <c r="C2406" i="448" s="1"/>
  <c r="C2408" i="448"/>
  <c r="C2409" i="448" s="1"/>
  <c r="C2411" i="448"/>
  <c r="C2412" i="448" s="1"/>
  <c r="C2413" i="448" s="1"/>
  <c r="C2414" i="448"/>
  <c r="C2415" i="448" s="1"/>
  <c r="C2416" i="448" s="1"/>
  <c r="C2417" i="448"/>
  <c r="C2418" i="448" s="1"/>
  <c r="C2419" i="448"/>
  <c r="C2421" i="448"/>
  <c r="C2422" i="448" s="1"/>
  <c r="C2423" i="448"/>
  <c r="C2424" i="448" s="1"/>
  <c r="C2425" i="448"/>
  <c r="C2426" i="448" s="1"/>
  <c r="C2427" i="448"/>
  <c r="C2428" i="448" s="1"/>
  <c r="C2429" i="448"/>
  <c r="C2431" i="448"/>
  <c r="C2432" i="448" s="1"/>
  <c r="C2433" i="448"/>
  <c r="C2434" i="448" s="1"/>
  <c r="C2435" i="448"/>
  <c r="C2436" i="448" s="1"/>
  <c r="C2437" i="448"/>
  <c r="C2438" i="448" s="1"/>
  <c r="C2439" i="448"/>
  <c r="C2440" i="448" s="1"/>
  <c r="C2441" i="448"/>
  <c r="C2442" i="448" s="1"/>
  <c r="C2443" i="448"/>
  <c r="C2445" i="448"/>
  <c r="C2446" i="448" s="1"/>
  <c r="C2447" i="448"/>
  <c r="C2448" i="448" s="1"/>
  <c r="C2449" i="448"/>
  <c r="C2450" i="448" s="1"/>
  <c r="C2451" i="448"/>
  <c r="C2452" i="448" s="1"/>
  <c r="C2453" i="448"/>
  <c r="C2455" i="448"/>
  <c r="C2456" i="448" s="1"/>
  <c r="C2457" i="448"/>
  <c r="C2458" i="448" s="1"/>
  <c r="C2459" i="448"/>
  <c r="C2460" i="448" s="1"/>
  <c r="C2461" i="448"/>
  <c r="C2462" i="448" s="1"/>
  <c r="C2464" i="448"/>
  <c r="C2465" i="448" s="1"/>
  <c r="C2466" i="448" s="1"/>
  <c r="C2467" i="448" s="1"/>
  <c r="C2468" i="448" s="1"/>
  <c r="C2469" i="448"/>
  <c r="C2470" i="448" s="1"/>
  <c r="C2471" i="448" s="1"/>
  <c r="C2472" i="448" s="1"/>
  <c r="C2474" i="448"/>
  <c r="C2475" i="448" s="1"/>
  <c r="C2476" i="448" s="1"/>
  <c r="C2477" i="448"/>
  <c r="C2478" i="448" s="1"/>
  <c r="C2481" i="448"/>
  <c r="C2483" i="448"/>
  <c r="C2484" i="448" s="1"/>
  <c r="C2485" i="448"/>
  <c r="C2487" i="448"/>
  <c r="C2488" i="448" s="1"/>
  <c r="C2489" i="448"/>
  <c r="C2490" i="448" s="1"/>
  <c r="C2491" i="448" s="1"/>
  <c r="C2492" i="448"/>
  <c r="C2493" i="448" s="1"/>
  <c r="C2494" i="448" s="1"/>
  <c r="C2497" i="448"/>
  <c r="C2498" i="448" s="1"/>
  <c r="C2499" i="448" s="1"/>
  <c r="C2500" i="448" s="1"/>
  <c r="C2502" i="448"/>
  <c r="C2503" i="448" s="1"/>
  <c r="C2504" i="448" s="1"/>
  <c r="C2505" i="448" s="1"/>
  <c r="C2506" i="448" s="1"/>
  <c r="C2507" i="448"/>
  <c r="C2508" i="448" s="1"/>
  <c r="C2509" i="448" s="1"/>
  <c r="C2510" i="448" s="1"/>
  <c r="C2511" i="448" s="1"/>
  <c r="C2512" i="448"/>
  <c r="C2513" i="448" s="1"/>
  <c r="C2517" i="448"/>
  <c r="C2518" i="448" s="1"/>
  <c r="C2519" i="448" s="1"/>
  <c r="C2521" i="448"/>
  <c r="C2522" i="448" s="1"/>
  <c r="C2523" i="448" s="1"/>
  <c r="C2524" i="448" s="1"/>
  <c r="C2525" i="448"/>
  <c r="C2526" i="448" s="1"/>
  <c r="C2527" i="448" s="1"/>
  <c r="C2528" i="448" s="1"/>
  <c r="C2529" i="448"/>
  <c r="C2530" i="448" s="1"/>
  <c r="C2531" i="448" s="1"/>
  <c r="C2532" i="448" s="1"/>
  <c r="C2533" i="448"/>
  <c r="C2534" i="448" s="1"/>
  <c r="C2536" i="448"/>
  <c r="C2537" i="448" s="1"/>
  <c r="C2538" i="448"/>
  <c r="C2539" i="448" s="1"/>
  <c r="C2540" i="448"/>
  <c r="C2541" i="448" s="1"/>
  <c r="C2542" i="448"/>
  <c r="C2543" i="448" s="1"/>
  <c r="C2545" i="448"/>
  <c r="C2546" i="448" s="1"/>
  <c r="C2547" i="448"/>
  <c r="C2548" i="448" s="1"/>
  <c r="C2549" i="448" s="1"/>
  <c r="C2552" i="448"/>
  <c r="C2553" i="448" s="1"/>
  <c r="C2554" i="448" s="1"/>
  <c r="C2555" i="448" s="1"/>
  <c r="C2556" i="448" s="1"/>
  <c r="C2557" i="448"/>
  <c r="C2558" i="448" s="1"/>
  <c r="C2559" i="448"/>
  <c r="C2560" i="448" s="1"/>
  <c r="C2561" i="448" s="1"/>
  <c r="C2562" i="448"/>
  <c r="C2563" i="448" s="1"/>
  <c r="C2564" i="448" s="1"/>
  <c r="C2565" i="448" s="1"/>
  <c r="C2566" i="448" s="1"/>
  <c r="C2567" i="448"/>
  <c r="C2572" i="448"/>
  <c r="C2573" i="448" s="1"/>
  <c r="C2577" i="448"/>
  <c r="C2578" i="448" s="1"/>
  <c r="C2579" i="448" s="1"/>
  <c r="C2580" i="448" s="1"/>
  <c r="C2581" i="448" s="1"/>
  <c r="C2582" i="448"/>
  <c r="C2583" i="448" s="1"/>
  <c r="C2584" i="448" s="1"/>
  <c r="C2585" i="448" s="1"/>
  <c r="C2586" i="448" s="1"/>
  <c r="C2587" i="448"/>
  <c r="C2588" i="448" s="1"/>
  <c r="C2589" i="448" s="1"/>
  <c r="C2590" i="448" s="1"/>
  <c r="C2592" i="448"/>
  <c r="C2593" i="448" s="1"/>
  <c r="C2594" i="448" s="1"/>
  <c r="C2597" i="448"/>
  <c r="C2598" i="448" s="1"/>
  <c r="C2599" i="448" s="1"/>
  <c r="C2600" i="448" s="1"/>
  <c r="C2601" i="448" s="1"/>
  <c r="C2602" i="448"/>
  <c r="C2603" i="448" s="1"/>
  <c r="C2604" i="448" s="1"/>
  <c r="C2607" i="448"/>
  <c r="C2608" i="448" s="1"/>
  <c r="C2609" i="448"/>
  <c r="C2610" i="448" s="1"/>
  <c r="C2611" i="448"/>
  <c r="C2612" i="448" s="1"/>
  <c r="C2613" i="448"/>
  <c r="C2614" i="448" s="1"/>
  <c r="C2615" i="448"/>
  <c r="C2616" i="448" s="1"/>
  <c r="C2617" i="448"/>
  <c r="C2618" i="448" s="1"/>
  <c r="C2619" i="448"/>
  <c r="C2620" i="448" s="1"/>
  <c r="C2621" i="448" s="1"/>
  <c r="C2622" i="448" s="1"/>
  <c r="C2624" i="448"/>
  <c r="C2625" i="448" s="1"/>
  <c r="C2626" i="448" s="1"/>
  <c r="C2627" i="448" s="1"/>
  <c r="C2628" i="448" s="1"/>
  <c r="C2629" i="448"/>
  <c r="C2630" i="448" s="1"/>
  <c r="C2631" i="448" s="1"/>
  <c r="C2632" i="448" s="1"/>
  <c r="C2633" i="448" s="1"/>
  <c r="C2634" i="448"/>
  <c r="C2635" i="448" s="1"/>
  <c r="C2636" i="448" s="1"/>
  <c r="C2637" i="448" s="1"/>
  <c r="C2638" i="448" s="1"/>
  <c r="C2639" i="448"/>
  <c r="C2640" i="448" s="1"/>
  <c r="C2641" i="448" s="1"/>
  <c r="C2642" i="448" s="1"/>
  <c r="C2643" i="448" s="1"/>
  <c r="C2644" i="448"/>
  <c r="C2645" i="448" s="1"/>
  <c r="C2646" i="448" s="1"/>
  <c r="C2647" i="448" s="1"/>
  <c r="C2648" i="448" s="1"/>
  <c r="C2649" i="448"/>
  <c r="C2650" i="448" s="1"/>
  <c r="C2651" i="448" s="1"/>
  <c r="C2654" i="448"/>
  <c r="C2655" i="448" s="1"/>
  <c r="C2656" i="448" s="1"/>
  <c r="C2657" i="448" s="1"/>
  <c r="C2658" i="448" s="1"/>
  <c r="C2659" i="448"/>
  <c r="C2660" i="448" s="1"/>
  <c r="C2661" i="448" s="1"/>
  <c r="C2662" i="448" s="1"/>
  <c r="C2663" i="448" s="1"/>
  <c r="C2664" i="448"/>
  <c r="C2665" i="448" s="1"/>
  <c r="C2666" i="448" s="1"/>
  <c r="C2667" i="448" s="1"/>
  <c r="C2668" i="448" s="1"/>
  <c r="C2669" i="448"/>
  <c r="C2670" i="448" s="1"/>
  <c r="C2671" i="448" s="1"/>
  <c r="C2672" i="448" s="1"/>
  <c r="C2673" i="448" s="1"/>
  <c r="C2674" i="448"/>
  <c r="C2675" i="448" s="1"/>
  <c r="C2676" i="448"/>
  <c r="C2677" i="448" s="1"/>
  <c r="C2678" i="448" s="1"/>
  <c r="C2679" i="448" s="1"/>
  <c r="C2680" i="448" s="1"/>
  <c r="C2681" i="448"/>
  <c r="C2682" i="448" s="1"/>
  <c r="C2683" i="448"/>
  <c r="C2684" i="448" s="1"/>
  <c r="C2685" i="448"/>
  <c r="C2686" i="448" s="1"/>
  <c r="C2687" i="448" s="1"/>
  <c r="C2688" i="448" s="1"/>
  <c r="C2689" i="448" s="1"/>
  <c r="C2690" i="448"/>
  <c r="C2691" i="448" s="1"/>
  <c r="C2692" i="448" s="1"/>
  <c r="C2693" i="448" s="1"/>
  <c r="C2695" i="448"/>
  <c r="C2696" i="448" s="1"/>
  <c r="C2697" i="448"/>
  <c r="C2698" i="448" s="1"/>
  <c r="C2699" i="448"/>
  <c r="C2700" i="448" s="1"/>
  <c r="C2701" i="448" s="1"/>
  <c r="C2702" i="448"/>
  <c r="C2703" i="448" s="1"/>
  <c r="C2704" i="448" s="1"/>
  <c r="C2705" i="448"/>
  <c r="C2707" i="448"/>
  <c r="C2708" i="448" s="1"/>
  <c r="C2709" i="448" s="1"/>
  <c r="C2710" i="448"/>
  <c r="C2711" i="448" s="1"/>
  <c r="C2712" i="448" s="1"/>
  <c r="C2713" i="448"/>
  <c r="C2714" i="448" s="1"/>
  <c r="C2715" i="448" s="1"/>
  <c r="C2716" i="448"/>
  <c r="C2717" i="448" s="1"/>
  <c r="C2718" i="448" s="1"/>
  <c r="C2719" i="448"/>
  <c r="C2720" i="448" s="1"/>
  <c r="C2721" i="448" s="1"/>
  <c r="C2722" i="448" s="1"/>
  <c r="C2723" i="448"/>
  <c r="C2724" i="448" s="1"/>
  <c r="C2725" i="448" s="1"/>
  <c r="C2726" i="448" s="1"/>
  <c r="C2727" i="448"/>
  <c r="C2728" i="448" s="1"/>
  <c r="C2729" i="448" s="1"/>
  <c r="C2730" i="448" s="1"/>
  <c r="C2731" i="448"/>
  <c r="C2733" i="448"/>
  <c r="C2734" i="448" s="1"/>
  <c r="C2735" i="448"/>
  <c r="C2737" i="448"/>
  <c r="C2739" i="448"/>
  <c r="C2740" i="448" s="1"/>
  <c r="C2741" i="448" s="1"/>
  <c r="C2743" i="448"/>
  <c r="C2744" i="448" s="1"/>
  <c r="C2745" i="448"/>
  <c r="C2746" i="448" s="1"/>
  <c r="C2747" i="448" s="1"/>
  <c r="C2748" i="448"/>
  <c r="C2749" i="448" s="1"/>
  <c r="C2751" i="448"/>
  <c r="C2752" i="448" s="1"/>
  <c r="C2754" i="448"/>
  <c r="C2755" i="448" s="1"/>
  <c r="C2756" i="448" s="1"/>
  <c r="C2757" i="448"/>
  <c r="C2758" i="448" s="1"/>
  <c r="C2759" i="448"/>
  <c r="C2760" i="448" s="1"/>
  <c r="C2761" i="448"/>
  <c r="C2762" i="448" s="1"/>
  <c r="C2763" i="448"/>
  <c r="C2764" i="448" s="1"/>
  <c r="C2765" i="448"/>
  <c r="C2766" i="448" s="1"/>
  <c r="C2767" i="448"/>
  <c r="C2768" i="448" s="1"/>
  <c r="C2769" i="448"/>
  <c r="C2770" i="448" s="1"/>
  <c r="C2771" i="448"/>
  <c r="C2772" i="448" s="1"/>
  <c r="C2773" i="448"/>
  <c r="C2775" i="448"/>
  <c r="C2776" i="448" s="1"/>
  <c r="C2778" i="448"/>
  <c r="C2779" i="448" s="1"/>
  <c r="C2780" i="448" s="1"/>
  <c r="C2781" i="448" s="1"/>
  <c r="C2782" i="448" s="1"/>
  <c r="C2783" i="448" s="1"/>
  <c r="C2784" i="448" s="1"/>
  <c r="C2785" i="448" s="1"/>
  <c r="C2786" i="448"/>
  <c r="C2787" i="448" s="1"/>
  <c r="C2788" i="448" s="1"/>
  <c r="C2789" i="448" s="1"/>
  <c r="C2790" i="448" s="1"/>
  <c r="C2791" i="448" s="1"/>
  <c r="C2794" i="448"/>
  <c r="C2795" i="448" s="1"/>
  <c r="C2796" i="448" s="1"/>
  <c r="C2797" i="448" s="1"/>
  <c r="C2798" i="448" s="1"/>
  <c r="C2799" i="448" s="1"/>
  <c r="C2800" i="448" s="1"/>
  <c r="C2802" i="448"/>
  <c r="C2803" i="448" s="1"/>
  <c r="C2804" i="448" s="1"/>
  <c r="C2805" i="448" s="1"/>
  <c r="C2806" i="448" s="1"/>
  <c r="C2807" i="448" s="1"/>
  <c r="C2808" i="448" s="1"/>
  <c r="C2809" i="448" s="1"/>
  <c r="C2810" i="448" s="1"/>
  <c r="C2811" i="448"/>
  <c r="C2812" i="448" s="1"/>
  <c r="C2813" i="448" s="1"/>
  <c r="C2814" i="448" s="1"/>
  <c r="C2815" i="448" s="1"/>
  <c r="C2816" i="448" s="1"/>
  <c r="C2817" i="448" s="1"/>
  <c r="C2818" i="448" s="1"/>
  <c r="C2820" i="448"/>
  <c r="C2821" i="448" s="1"/>
  <c r="C2822" i="448" s="1"/>
  <c r="C2823" i="448" s="1"/>
  <c r="C2824" i="448" s="1"/>
  <c r="C2825" i="448" s="1"/>
  <c r="C2826" i="448" s="1"/>
  <c r="C2827" i="448" s="1"/>
  <c r="C2828" i="448" s="1"/>
  <c r="C2829" i="448" s="1"/>
  <c r="C2830" i="448" s="1"/>
  <c r="C2831" i="448" s="1"/>
  <c r="C2833" i="448"/>
  <c r="C2834" i="448" s="1"/>
  <c r="C2835" i="448" s="1"/>
  <c r="C2836" i="448" s="1"/>
  <c r="C2837" i="448" s="1"/>
  <c r="C2838" i="448" s="1"/>
  <c r="C2839" i="448" s="1"/>
  <c r="C2840" i="448" s="1"/>
  <c r="C2843" i="448"/>
  <c r="C2844" i="448" s="1"/>
  <c r="C2845" i="448" s="1"/>
  <c r="C2846" i="448" s="1"/>
  <c r="C2847" i="448" s="1"/>
  <c r="C2848" i="448" s="1"/>
  <c r="C2849" i="448" s="1"/>
  <c r="C2850" i="448" s="1"/>
  <c r="C2851" i="448" s="1"/>
  <c r="C2852" i="448" s="1"/>
  <c r="C2853" i="448"/>
  <c r="C2854" i="448" s="1"/>
  <c r="C2855" i="448" s="1"/>
  <c r="C2856" i="448" s="1"/>
  <c r="C2857" i="448" s="1"/>
  <c r="C2858" i="448" s="1"/>
  <c r="C2859" i="448" s="1"/>
  <c r="C2860" i="448" s="1"/>
  <c r="C2861" i="448" s="1"/>
  <c r="C2863" i="448"/>
  <c r="C2864" i="448" s="1"/>
  <c r="C2865" i="448" s="1"/>
  <c r="C2866" i="448" s="1"/>
  <c r="C2867" i="448" s="1"/>
  <c r="C2868" i="448" s="1"/>
  <c r="C2869" i="448" s="1"/>
  <c r="C2870" i="448" s="1"/>
  <c r="C2871" i="448" s="1"/>
  <c r="C2872" i="448" s="1"/>
  <c r="C2873" i="448"/>
  <c r="C2874" i="448" s="1"/>
  <c r="C2875" i="448" s="1"/>
  <c r="C2876" i="448" s="1"/>
  <c r="C2877" i="448" s="1"/>
  <c r="C2878" i="448" s="1"/>
  <c r="C2879" i="448" s="1"/>
  <c r="C2880" i="448" s="1"/>
  <c r="C2881" i="448" s="1"/>
  <c r="C2882" i="448" s="1"/>
  <c r="C2883" i="448"/>
  <c r="C2884" i="448" s="1"/>
  <c r="C2885" i="448"/>
  <c r="C2887" i="448"/>
  <c r="C2888" i="448" s="1"/>
  <c r="C2889" i="448"/>
  <c r="C2890" i="448" s="1"/>
  <c r="C2891" i="448"/>
  <c r="C2892" i="448" s="1"/>
  <c r="C2893" i="448"/>
  <c r="C2894" i="448" s="1"/>
  <c r="C2895" i="448"/>
  <c r="C2896" i="448" s="1"/>
  <c r="C2897" i="448"/>
  <c r="C2898" i="448" s="1"/>
  <c r="C2899" i="448"/>
  <c r="C2900" i="448" s="1"/>
  <c r="C2901" i="448"/>
  <c r="C2902" i="448" s="1"/>
  <c r="C2903" i="448"/>
  <c r="C2904" i="448" s="1"/>
  <c r="C2905" i="448"/>
  <c r="C2906" i="448" s="1"/>
  <c r="C2907" i="448"/>
  <c r="C2908" i="448" s="1"/>
  <c r="C2909" i="448"/>
  <c r="C2910" i="448" s="1"/>
  <c r="C2911" i="448" s="1"/>
  <c r="C2913" i="448"/>
  <c r="C2914" i="448" s="1"/>
  <c r="C2915" i="448"/>
  <c r="C2916" i="448" s="1"/>
  <c r="C2917" i="448"/>
  <c r="C2918" i="448" s="1"/>
  <c r="C2920" i="448"/>
  <c r="C2921" i="448" s="1"/>
  <c r="C2922" i="448" s="1"/>
  <c r="C2924" i="448"/>
  <c r="C2925" i="448" s="1"/>
  <c r="C2926" i="448" s="1"/>
  <c r="C2927" i="448"/>
  <c r="C2928" i="448" s="1"/>
  <c r="C2929" i="448"/>
  <c r="C2930" i="448" s="1"/>
  <c r="C2931" i="448" s="1"/>
  <c r="C2932" i="448"/>
  <c r="C2933" i="448" s="1"/>
  <c r="C2934" i="448"/>
  <c r="C2938" i="448"/>
  <c r="C2939" i="448" s="1"/>
  <c r="C2940" i="448" s="1"/>
  <c r="C2941" i="448" s="1"/>
  <c r="C2942" i="448"/>
  <c r="C2943" i="448" s="1"/>
  <c r="C2944" i="448" s="1"/>
  <c r="C2945" i="448" s="1"/>
  <c r="C2948" i="448"/>
  <c r="C2949" i="448" s="1"/>
  <c r="C2950" i="448" s="1"/>
  <c r="C2951" i="448" s="1"/>
  <c r="C2954" i="448"/>
  <c r="C2955" i="448" s="1"/>
  <c r="C2956" i="448" s="1"/>
  <c r="C2957" i="448" s="1"/>
  <c r="C2958" i="448" s="1"/>
  <c r="C2959" i="448" s="1"/>
  <c r="C2960" i="448"/>
  <c r="C2966" i="448"/>
  <c r="C2967" i="448" s="1"/>
  <c r="C2968" i="448" s="1"/>
  <c r="C2969" i="448" s="1"/>
  <c r="C2970" i="448" s="1"/>
  <c r="C2971" i="448" s="1"/>
  <c r="C2972" i="448"/>
  <c r="C2973" i="448" s="1"/>
  <c r="C2974" i="448" s="1"/>
  <c r="C2975" i="448" s="1"/>
  <c r="C2976" i="448" s="1"/>
  <c r="C2977" i="448" s="1"/>
  <c r="C2978" i="448"/>
  <c r="C2979" i="448" s="1"/>
  <c r="C2980" i="448" s="1"/>
  <c r="C2981" i="448" s="1"/>
  <c r="C2982" i="448" s="1"/>
  <c r="C2983" i="448"/>
  <c r="C2984" i="448" s="1"/>
  <c r="C2985" i="448" s="1"/>
  <c r="C2986" i="448" s="1"/>
  <c r="C2987" i="448" s="1"/>
  <c r="C2988" i="448"/>
  <c r="C2989" i="448" s="1"/>
  <c r="C2990" i="448" s="1"/>
  <c r="C2991" i="448" s="1"/>
  <c r="C2992" i="448"/>
  <c r="C2993" i="448" s="1"/>
  <c r="C2994" i="448" s="1"/>
  <c r="C2995" i="448" s="1"/>
  <c r="C2996" i="448"/>
  <c r="C2997" i="448" s="1"/>
  <c r="C2998" i="448" s="1"/>
  <c r="C2999" i="448"/>
  <c r="C3000" i="448" s="1"/>
  <c r="C3002" i="448"/>
  <c r="C3003" i="448" s="1"/>
  <c r="C3004" i="448" s="1"/>
  <c r="C3005" i="448" s="1"/>
  <c r="C3006" i="448" s="1"/>
  <c r="C3007" i="448" s="1"/>
  <c r="C3008" i="448" s="1"/>
  <c r="C3009" i="448" s="1"/>
  <c r="C3010" i="448"/>
  <c r="C3011" i="448" s="1"/>
  <c r="C3012" i="448" s="1"/>
  <c r="C3013" i="448" s="1"/>
  <c r="C3014" i="448" s="1"/>
  <c r="C3015" i="448" s="1"/>
  <c r="C3016" i="448" s="1"/>
  <c r="C3017" i="448" s="1"/>
  <c r="C3018" i="448"/>
  <c r="C3019" i="448" s="1"/>
  <c r="C3020" i="448" s="1"/>
  <c r="C3021" i="448" s="1"/>
  <c r="C3022" i="448" s="1"/>
  <c r="C3023" i="448" s="1"/>
  <c r="C3024" i="448" s="1"/>
  <c r="C3025" i="448" s="1"/>
  <c r="C3026" i="448"/>
  <c r="C3027" i="448" s="1"/>
  <c r="C3028" i="448" s="1"/>
  <c r="C3029" i="448" s="1"/>
  <c r="C3030" i="448" s="1"/>
  <c r="C3031" i="448" s="1"/>
  <c r="C3032" i="448" s="1"/>
  <c r="C3033" i="448" s="1"/>
  <c r="C3034" i="448"/>
  <c r="C3035" i="448" s="1"/>
  <c r="C3036" i="448"/>
  <c r="C3037" i="448" s="1"/>
  <c r="C3038" i="448" s="1"/>
  <c r="C3039" i="448" s="1"/>
  <c r="C3040" i="448"/>
  <c r="C3041" i="448" s="1"/>
  <c r="C3042" i="448"/>
  <c r="C3043" i="448" s="1"/>
  <c r="C3044" i="448"/>
  <c r="C3045" i="448" s="1"/>
  <c r="C3046" i="448" s="1"/>
  <c r="C3047" i="448" s="1"/>
  <c r="C3048" i="448" s="1"/>
  <c r="C3049" i="448" s="1"/>
  <c r="C3050" i="448" s="1"/>
  <c r="C3051" i="448"/>
  <c r="C3052" i="448" s="1"/>
  <c r="C3053" i="448"/>
  <c r="C3054" i="448" s="1"/>
  <c r="C3061" i="448"/>
  <c r="C3062" i="448" s="1"/>
  <c r="C3063" i="448" s="1"/>
  <c r="C3064" i="448" s="1"/>
  <c r="C3065" i="448"/>
  <c r="C3066" i="448" s="1"/>
  <c r="C3067" i="448" s="1"/>
  <c r="C3069" i="448"/>
  <c r="C3070" i="448" s="1"/>
  <c r="C3071" i="448"/>
  <c r="C3072" i="448" s="1"/>
  <c r="C3073" i="448" s="1"/>
  <c r="C3074" i="448" s="1"/>
  <c r="C3075" i="448" s="1"/>
  <c r="C3076" i="448" s="1"/>
  <c r="C3077" i="448"/>
  <c r="C3078" i="448" s="1"/>
  <c r="C3079" i="448" s="1"/>
  <c r="C3080" i="448" s="1"/>
  <c r="C3081" i="448" s="1"/>
  <c r="C3082" i="448"/>
  <c r="C3083" i="448" s="1"/>
  <c r="C3084" i="448"/>
  <c r="C1198" i="448" l="1"/>
  <c r="C1199" i="448" s="1"/>
  <c r="C931" i="448"/>
  <c r="C932" i="448" s="1"/>
  <c r="C933" i="448" s="1"/>
  <c r="C934" i="448" s="1"/>
  <c r="C935" i="448" s="1"/>
  <c r="C936" i="448" s="1"/>
  <c r="C937" i="448" s="1"/>
  <c r="C938" i="448" s="1"/>
  <c r="C939" i="448" s="1"/>
  <c r="C940" i="448" s="1"/>
  <c r="C730" i="448"/>
  <c r="C731" i="448" s="1"/>
  <c r="C2310" i="448"/>
  <c r="D441" i="436"/>
  <c r="D442" i="436" s="1"/>
  <c r="D443" i="436" s="1"/>
  <c r="D444" i="436" s="1"/>
  <c r="C2482" i="448"/>
  <c r="C2742" i="448"/>
  <c r="C2923" i="448"/>
  <c r="C2862" i="448"/>
  <c r="C1354" i="448"/>
  <c r="C2841" i="448"/>
  <c r="C2842" i="448" s="1"/>
  <c r="C2595" i="448"/>
  <c r="C2596" i="448" s="1"/>
  <c r="C1581" i="448"/>
  <c r="C2801" i="448"/>
  <c r="C2591" i="448"/>
  <c r="C3055" i="448"/>
  <c r="C3056" i="448" s="1"/>
  <c r="C2694" i="448"/>
  <c r="C2652" i="448"/>
  <c r="C2473" i="448"/>
  <c r="C2520" i="448"/>
  <c r="C2946" i="448"/>
  <c r="C2792" i="448"/>
  <c r="C2819" i="448"/>
  <c r="C1682" i="448"/>
  <c r="C2407" i="448"/>
  <c r="C2404" i="448"/>
  <c r="C2605" i="448"/>
  <c r="C2401" i="448"/>
  <c r="C2161" i="448"/>
  <c r="C1711" i="448"/>
  <c r="C2501" i="448"/>
  <c r="C2277" i="448"/>
  <c r="C1748" i="448"/>
  <c r="C1253" i="448"/>
  <c r="C2935" i="448"/>
  <c r="C2936" i="448" s="1"/>
  <c r="C2937" i="448" s="1"/>
  <c r="C2886" i="448"/>
  <c r="C2430" i="448"/>
  <c r="C2299" i="448"/>
  <c r="C2273" i="448"/>
  <c r="C2045" i="448"/>
  <c r="C1897" i="448"/>
  <c r="C1898" i="448" s="1"/>
  <c r="C1899" i="448" s="1"/>
  <c r="C1678" i="448"/>
  <c r="C1370" i="448"/>
  <c r="C2535" i="448"/>
  <c r="C2113" i="448"/>
  <c r="C1807" i="448"/>
  <c r="C1608" i="448"/>
  <c r="C1510" i="448"/>
  <c r="C1405" i="448"/>
  <c r="C1314" i="448"/>
  <c r="C1315" i="448" s="1"/>
  <c r="C2398" i="448"/>
  <c r="C2184" i="448"/>
  <c r="C1475" i="448"/>
  <c r="C1276" i="448"/>
  <c r="C2961" i="448"/>
  <c r="C2962" i="448" s="1"/>
  <c r="C2963" i="448" s="1"/>
  <c r="C2964" i="448" s="1"/>
  <c r="C2965" i="448" s="1"/>
  <c r="C1762" i="448"/>
  <c r="C1704" i="448"/>
  <c r="C1767" i="448"/>
  <c r="C2206" i="448"/>
  <c r="C2207" i="448" s="1"/>
  <c r="C2738" i="448"/>
  <c r="C2068" i="448"/>
  <c r="C1882" i="448"/>
  <c r="C1469" i="448"/>
  <c r="C1349" i="448"/>
  <c r="C1350" i="448" s="1"/>
  <c r="C2952" i="448"/>
  <c r="C2953" i="448" s="1"/>
  <c r="C2832" i="448"/>
  <c r="C2736" i="448"/>
  <c r="C2420" i="448"/>
  <c r="C2236" i="448"/>
  <c r="C1785" i="448"/>
  <c r="C1965" i="448"/>
  <c r="C1966" i="448" s="1"/>
  <c r="C1995" i="448"/>
  <c r="C1996" i="448" s="1"/>
  <c r="C2550" i="448"/>
  <c r="C2551" i="448" s="1"/>
  <c r="C2495" i="448"/>
  <c r="C2496" i="448" s="1"/>
  <c r="C2444" i="448"/>
  <c r="C1527" i="448"/>
  <c r="C1464" i="448"/>
  <c r="C2732" i="448"/>
  <c r="C2574" i="448"/>
  <c r="C2575" i="448" s="1"/>
  <c r="C2576" i="448" s="1"/>
  <c r="C2231" i="448"/>
  <c r="C1829" i="448"/>
  <c r="C1461" i="448"/>
  <c r="C2454" i="448"/>
  <c r="C2367" i="448"/>
  <c r="C2368" i="448" s="1"/>
  <c r="C2706" i="448"/>
  <c r="C2544" i="448"/>
  <c r="C1944" i="448"/>
  <c r="C1778" i="448"/>
  <c r="C2753" i="448"/>
  <c r="C2410" i="448"/>
  <c r="C2055" i="448"/>
  <c r="C1867" i="448"/>
  <c r="C1360" i="448"/>
  <c r="C1556" i="448"/>
  <c r="C2568" i="448"/>
  <c r="C2569" i="448" s="1"/>
  <c r="C2570" i="448" s="1"/>
  <c r="C2313" i="448"/>
  <c r="C2050" i="448"/>
  <c r="C2051" i="448" s="1"/>
  <c r="C1651" i="448"/>
  <c r="C1585" i="448"/>
  <c r="C1288" i="448"/>
  <c r="C1309" i="448"/>
  <c r="C1310" i="448" s="1"/>
  <c r="C1311" i="448" s="1"/>
  <c r="C2034" i="448"/>
  <c r="C2912" i="448"/>
  <c r="C2750" i="448"/>
  <c r="C2623" i="448"/>
  <c r="C2048" i="448"/>
  <c r="C1902" i="448"/>
  <c r="C1903" i="448" s="1"/>
  <c r="C1904" i="448" s="1"/>
  <c r="C1515" i="448"/>
  <c r="C1377" i="448"/>
  <c r="C1378" i="448" s="1"/>
  <c r="C1379" i="448" s="1"/>
  <c r="C2774" i="448"/>
  <c r="C2262" i="448"/>
  <c r="C2263" i="448" s="1"/>
  <c r="C2264" i="448" s="1"/>
  <c r="C1694" i="448"/>
  <c r="C1425" i="448"/>
  <c r="C1951" i="448"/>
  <c r="C3068" i="448"/>
  <c r="C1948" i="448"/>
  <c r="C1690" i="448"/>
  <c r="C2514" i="448"/>
  <c r="C2486" i="448"/>
  <c r="C2131" i="448"/>
  <c r="C1926" i="448"/>
  <c r="C1927" i="448" s="1"/>
  <c r="C1928" i="448" s="1"/>
  <c r="C1859" i="448"/>
  <c r="C1616" i="448"/>
  <c r="C1269" i="448"/>
  <c r="C1851" i="448"/>
  <c r="C1852" i="448" s="1"/>
  <c r="C1853" i="448" s="1"/>
  <c r="C1745" i="448"/>
  <c r="C1306" i="448"/>
  <c r="C1257" i="448"/>
  <c r="C1434" i="448"/>
  <c r="C1786" i="448" l="1"/>
  <c r="C2793" i="448"/>
  <c r="C2653" i="448"/>
  <c r="C1435" i="448"/>
  <c r="C1868" i="448"/>
  <c r="C1869" i="448" s="1"/>
  <c r="C2515" i="448"/>
  <c r="C1949" i="448"/>
  <c r="C1883" i="448"/>
  <c r="C1929" i="448"/>
  <c r="C2947" i="448"/>
  <c r="C1254" i="448"/>
  <c r="C1355" i="448"/>
  <c r="C1617" i="448"/>
  <c r="C1808" i="448"/>
  <c r="C2052" i="448"/>
  <c r="C2185" i="448"/>
  <c r="C3057" i="448"/>
  <c r="C1854" i="448"/>
  <c r="C1380" i="448"/>
  <c r="C2571" i="448"/>
  <c r="C2606" i="448"/>
  <c r="C1884" i="448" l="1"/>
  <c r="C1255" i="448"/>
  <c r="C3058" i="448"/>
  <c r="C1809" i="448"/>
  <c r="C2516" i="448"/>
  <c r="C3059" i="448" l="1"/>
  <c r="C3060" i="448" l="1"/>
  <c r="E136" i="505" l="1"/>
  <c r="D538" i="449"/>
  <c r="A538" i="449"/>
  <c r="E1355" i="448"/>
  <c r="E1354" i="448"/>
  <c r="E1353" i="448"/>
  <c r="G1352" i="448"/>
  <c r="E1352" i="448"/>
  <c r="G1351" i="448"/>
  <c r="E147" i="505"/>
  <c r="E135" i="505"/>
  <c r="B127" i="505"/>
  <c r="B128" i="505" s="1"/>
  <c r="B129" i="505" s="1"/>
  <c r="B130" i="505" s="1"/>
  <c r="B131" i="505" s="1"/>
  <c r="B132" i="505" s="1"/>
  <c r="E127" i="505"/>
  <c r="E1360" i="448"/>
  <c r="E1359" i="448"/>
  <c r="E1358" i="448"/>
  <c r="E1357" i="448"/>
  <c r="G1356" i="448"/>
  <c r="B139" i="505"/>
  <c r="B140" i="505" s="1"/>
  <c r="B141" i="505" s="1"/>
  <c r="B142" i="505" s="1"/>
  <c r="B143" i="505" s="1"/>
  <c r="B144" i="505" s="1"/>
  <c r="B145" i="505" s="1"/>
  <c r="B146" i="505" s="1"/>
  <c r="B147" i="505" s="1"/>
  <c r="B148" i="505" s="1"/>
  <c r="B149" i="505" s="1"/>
  <c r="B150" i="505" s="1"/>
  <c r="B151" i="505" s="1"/>
  <c r="B152" i="505" s="1"/>
  <c r="B153" i="505" s="1"/>
  <c r="B154" i="505" s="1"/>
  <c r="B155" i="505" s="1"/>
  <c r="C140" i="505"/>
  <c r="C141" i="505" s="1"/>
  <c r="C142" i="505" s="1"/>
  <c r="E139" i="505"/>
  <c r="E141" i="505" s="1"/>
  <c r="E143" i="505"/>
  <c r="E92" i="505"/>
  <c r="D537" i="449"/>
  <c r="G1387" i="448" s="1"/>
  <c r="A537" i="449"/>
  <c r="E1390" i="448"/>
  <c r="E1389" i="448"/>
  <c r="E1388" i="448"/>
  <c r="E1387" i="448"/>
  <c r="G1386" i="448"/>
  <c r="E105" i="505"/>
  <c r="E104" i="505" s="1"/>
  <c r="E102" i="505"/>
  <c r="D548" i="449"/>
  <c r="A548" i="449"/>
  <c r="E1395" i="448"/>
  <c r="E1394" i="448"/>
  <c r="E1393" i="448"/>
  <c r="G1392" i="448"/>
  <c r="E1392" i="448"/>
  <c r="G1391" i="448"/>
  <c r="E2239" i="448"/>
  <c r="E2238" i="448"/>
  <c r="G2237" i="448"/>
  <c r="D529" i="449"/>
  <c r="G1422" i="448" s="1"/>
  <c r="A529" i="449"/>
  <c r="E1425" i="448"/>
  <c r="E1424" i="448"/>
  <c r="E1423" i="448"/>
  <c r="E1422" i="448"/>
  <c r="G1421" i="448"/>
  <c r="E98" i="505"/>
  <c r="E96" i="505" s="1"/>
  <c r="E97" i="505"/>
  <c r="E103" i="505"/>
  <c r="E99" i="505"/>
  <c r="E101" i="505" s="1"/>
  <c r="C100" i="505"/>
  <c r="C101" i="505" s="1"/>
  <c r="C102" i="505" s="1"/>
  <c r="E107" i="505"/>
  <c r="E122" i="505"/>
  <c r="E593" i="449"/>
  <c r="D593" i="449" s="1"/>
  <c r="A593" i="449"/>
  <c r="E1554" i="448"/>
  <c r="G1553" i="448"/>
  <c r="E93" i="505"/>
  <c r="D508" i="449"/>
  <c r="G1876" i="448" s="1"/>
  <c r="A508" i="449"/>
  <c r="E1879" i="448"/>
  <c r="E1878" i="448"/>
  <c r="E1877" i="448"/>
  <c r="E1876" i="448"/>
  <c r="G1875" i="448"/>
  <c r="E88" i="505"/>
  <c r="E90" i="505" s="1"/>
  <c r="D507" i="449"/>
  <c r="G1377" i="448" s="1"/>
  <c r="A507" i="449"/>
  <c r="E1380" i="448"/>
  <c r="E1379" i="448"/>
  <c r="E1378" i="448"/>
  <c r="E1377" i="448"/>
  <c r="G1376" i="448"/>
  <c r="E57" i="505"/>
  <c r="E56" i="505" s="1"/>
  <c r="E2242" i="448"/>
  <c r="E2241" i="448"/>
  <c r="G2240" i="448"/>
  <c r="C51" i="505"/>
  <c r="C52" i="505" s="1"/>
  <c r="C53" i="505" s="1"/>
  <c r="D511" i="449"/>
  <c r="G1382" i="448" s="1"/>
  <c r="A511" i="449"/>
  <c r="E1385" i="448"/>
  <c r="E1384" i="448"/>
  <c r="E1383" i="448"/>
  <c r="E1382" i="448"/>
  <c r="G1381" i="448"/>
  <c r="E53" i="505"/>
  <c r="E52" i="505" s="1"/>
  <c r="E54" i="505"/>
  <c r="E55" i="505" s="1"/>
  <c r="E50" i="505"/>
  <c r="E51" i="505" s="1"/>
  <c r="E46" i="505"/>
  <c r="E43" i="505" s="1"/>
  <c r="D510" i="449"/>
  <c r="G1397" i="448" s="1"/>
  <c r="A510" i="449"/>
  <c r="E1400" i="448"/>
  <c r="E1399" i="448"/>
  <c r="E1398" i="448"/>
  <c r="E1397" i="448"/>
  <c r="G1396" i="448"/>
  <c r="E33" i="505"/>
  <c r="E30" i="505" s="1"/>
  <c r="D509" i="449"/>
  <c r="G1402" i="448" s="1"/>
  <c r="A509" i="449"/>
  <c r="E1405" i="448"/>
  <c r="E1404" i="448"/>
  <c r="E1403" i="448"/>
  <c r="E1402" i="448"/>
  <c r="G1401" i="448"/>
  <c r="E42" i="505"/>
  <c r="E45" i="505" s="1"/>
  <c r="E29" i="505"/>
  <c r="E31" i="505" s="1"/>
  <c r="E2245" i="448"/>
  <c r="E2244" i="448"/>
  <c r="G2243" i="448"/>
  <c r="E35" i="505"/>
  <c r="E37" i="505" s="1"/>
  <c r="E1914" i="448"/>
  <c r="E1913" i="448"/>
  <c r="E1912" i="448"/>
  <c r="E1911" i="448"/>
  <c r="G1910" i="448"/>
  <c r="D426" i="449"/>
  <c r="G1911" i="448" s="1"/>
  <c r="A426" i="449"/>
  <c r="E1782" i="448"/>
  <c r="E1781" i="448"/>
  <c r="E1780" i="448"/>
  <c r="G1779" i="448"/>
  <c r="D427" i="449"/>
  <c r="G1780" i="448" s="1"/>
  <c r="A427" i="449"/>
  <c r="E155" i="505"/>
  <c r="E118" i="505"/>
  <c r="E2248" i="448"/>
  <c r="E2247" i="448"/>
  <c r="G2246" i="448"/>
  <c r="E524" i="449"/>
  <c r="D524" i="449" s="1"/>
  <c r="G1951" i="448" s="1"/>
  <c r="A524" i="449"/>
  <c r="E1951" i="448"/>
  <c r="G1950" i="448"/>
  <c r="D523" i="449"/>
  <c r="G1953" i="448" s="1"/>
  <c r="A523" i="449"/>
  <c r="E1956" i="448"/>
  <c r="E1955" i="448"/>
  <c r="E1954" i="448"/>
  <c r="E1953" i="448"/>
  <c r="G1952" i="448"/>
  <c r="E116" i="505"/>
  <c r="E115" i="505"/>
  <c r="D522" i="449"/>
  <c r="G1958" i="448" s="1"/>
  <c r="A522" i="449"/>
  <c r="E1961" i="448"/>
  <c r="E1960" i="448"/>
  <c r="E1959" i="448"/>
  <c r="E1958" i="448"/>
  <c r="G1957" i="448"/>
  <c r="C111" i="505"/>
  <c r="C112" i="505" s="1"/>
  <c r="C113" i="505" s="1"/>
  <c r="E49" i="505"/>
  <c r="E2251" i="448"/>
  <c r="E2250" i="448"/>
  <c r="G2249" i="448"/>
  <c r="E77" i="505"/>
  <c r="E75" i="505"/>
  <c r="E79" i="505"/>
  <c r="E80" i="505"/>
  <c r="C70" i="505"/>
  <c r="C71" i="505" s="1"/>
  <c r="C72" i="505" s="1"/>
  <c r="C73" i="505" s="1"/>
  <c r="E73" i="505"/>
  <c r="E70" i="505"/>
  <c r="D516" i="449"/>
  <c r="G1362" i="448" s="1"/>
  <c r="A516" i="449"/>
  <c r="E1365" i="448"/>
  <c r="E1364" i="448"/>
  <c r="E1363" i="448"/>
  <c r="E1362" i="448"/>
  <c r="G1361" i="448"/>
  <c r="E68" i="505"/>
  <c r="C83" i="505"/>
  <c r="C84" i="505" s="1"/>
  <c r="C85" i="505" s="1"/>
  <c r="E85" i="505"/>
  <c r="D517" i="449"/>
  <c r="G2498" i="448" s="1"/>
  <c r="A517" i="449"/>
  <c r="J2497" i="448"/>
  <c r="E2501" i="448"/>
  <c r="E2500" i="448"/>
  <c r="E2499" i="448"/>
  <c r="E2498" i="448"/>
  <c r="G2497" i="448"/>
  <c r="E59" i="505"/>
  <c r="E729" i="449"/>
  <c r="D729" i="449" s="1"/>
  <c r="A729" i="449"/>
  <c r="E2254" i="448"/>
  <c r="E2253" i="448"/>
  <c r="G2252" i="448"/>
  <c r="D499" i="449"/>
  <c r="G1471" i="448" s="1"/>
  <c r="A499" i="449"/>
  <c r="E1471" i="448"/>
  <c r="G1470" i="448"/>
  <c r="E65" i="505"/>
  <c r="E66" i="505"/>
  <c r="D498" i="449"/>
  <c r="G1881" i="448" s="1"/>
  <c r="A498" i="449"/>
  <c r="E1884" i="448"/>
  <c r="E1883" i="448"/>
  <c r="E1882" i="448"/>
  <c r="E1881" i="448"/>
  <c r="G1880" i="448"/>
  <c r="E62" i="505"/>
  <c r="D497" i="449"/>
  <c r="G1886" i="448" s="1"/>
  <c r="A497" i="449"/>
  <c r="E1889" i="448"/>
  <c r="E1888" i="448"/>
  <c r="E1887" i="448"/>
  <c r="E1886" i="448"/>
  <c r="G1885" i="448"/>
  <c r="C154" i="505"/>
  <c r="C155" i="505" s="1"/>
  <c r="C152" i="505"/>
  <c r="C151" i="505"/>
  <c r="C147" i="505"/>
  <c r="C148" i="505" s="1"/>
  <c r="C149" i="505" s="1"/>
  <c r="C144" i="505"/>
  <c r="C145" i="505" s="1"/>
  <c r="C135" i="505"/>
  <c r="C136" i="505" s="1"/>
  <c r="C137" i="505" s="1"/>
  <c r="B134" i="505"/>
  <c r="B135" i="505" s="1"/>
  <c r="B136" i="505" s="1"/>
  <c r="B137" i="505" s="1"/>
  <c r="C131" i="505"/>
  <c r="C132" i="505" s="1"/>
  <c r="E130" i="505"/>
  <c r="E131" i="505" s="1"/>
  <c r="C127" i="505"/>
  <c r="C128" i="505" s="1"/>
  <c r="C129" i="505" s="1"/>
  <c r="B126" i="505"/>
  <c r="C122" i="505"/>
  <c r="C123" i="505" s="1"/>
  <c r="C124" i="505" s="1"/>
  <c r="C119" i="505"/>
  <c r="C118" i="505"/>
  <c r="C120" i="505" s="1"/>
  <c r="C116" i="505"/>
  <c r="C115" i="505"/>
  <c r="C107" i="505"/>
  <c r="C108" i="505" s="1"/>
  <c r="C109" i="505" s="1"/>
  <c r="C104" i="505"/>
  <c r="C105" i="505" s="1"/>
  <c r="C96" i="505"/>
  <c r="C97" i="505" s="1"/>
  <c r="C98" i="505" s="1"/>
  <c r="B95" i="505"/>
  <c r="B96" i="505" s="1"/>
  <c r="B97" i="505" s="1"/>
  <c r="B98" i="505" s="1"/>
  <c r="B99" i="505" s="1"/>
  <c r="C92" i="505"/>
  <c r="C93" i="505" s="1"/>
  <c r="C88" i="505"/>
  <c r="C89" i="505" s="1"/>
  <c r="C90" i="505" s="1"/>
  <c r="B87" i="505"/>
  <c r="B88" i="505" s="1"/>
  <c r="B89" i="505" s="1"/>
  <c r="B90" i="505" s="1"/>
  <c r="B91" i="505" s="1"/>
  <c r="B92" i="505" s="1"/>
  <c r="B93" i="505" s="1"/>
  <c r="C79" i="505"/>
  <c r="C80" i="505" s="1"/>
  <c r="C75" i="505"/>
  <c r="C76" i="505" s="1"/>
  <c r="C77" i="505" s="1"/>
  <c r="C68" i="505"/>
  <c r="C63" i="505"/>
  <c r="C62" i="505"/>
  <c r="C64" i="505" s="1"/>
  <c r="C65" i="505" s="1"/>
  <c r="C66" i="505" s="1"/>
  <c r="C60" i="505"/>
  <c r="C59" i="505"/>
  <c r="C55" i="505"/>
  <c r="C56" i="505" s="1"/>
  <c r="C57" i="505" s="1"/>
  <c r="C49" i="505"/>
  <c r="B48" i="505"/>
  <c r="B49" i="505" s="1"/>
  <c r="B50" i="505" s="1"/>
  <c r="B51" i="505" s="1"/>
  <c r="B52" i="505" s="1"/>
  <c r="B53" i="505" s="1"/>
  <c r="B54" i="505" s="1"/>
  <c r="B55" i="505" s="1"/>
  <c r="B56" i="505" s="1"/>
  <c r="B57" i="505" s="1"/>
  <c r="B58" i="505" s="1"/>
  <c r="B59" i="505" s="1"/>
  <c r="B60" i="505" s="1"/>
  <c r="B61" i="505" s="1"/>
  <c r="B62" i="505" s="1"/>
  <c r="B63" i="505" s="1"/>
  <c r="B64" i="505" s="1"/>
  <c r="B65" i="505" s="1"/>
  <c r="B66" i="505" s="1"/>
  <c r="B67" i="505" s="1"/>
  <c r="B68" i="505" s="1"/>
  <c r="B69" i="505" s="1"/>
  <c r="B70" i="505" s="1"/>
  <c r="B71" i="505" s="1"/>
  <c r="B72" i="505" s="1"/>
  <c r="B73" i="505" s="1"/>
  <c r="B74" i="505" s="1"/>
  <c r="B75" i="505" s="1"/>
  <c r="B76" i="505" s="1"/>
  <c r="B77" i="505" s="1"/>
  <c r="B78" i="505" s="1"/>
  <c r="B79" i="505" s="1"/>
  <c r="B80" i="505" s="1"/>
  <c r="B81" i="505" s="1"/>
  <c r="B82" i="505" s="1"/>
  <c r="B83" i="505" s="1"/>
  <c r="B84" i="505" s="1"/>
  <c r="B85" i="505" s="1"/>
  <c r="C44" i="505"/>
  <c r="C43" i="505"/>
  <c r="C45" i="505" s="1"/>
  <c r="C46" i="505" s="1"/>
  <c r="C39" i="505"/>
  <c r="C40" i="505" s="1"/>
  <c r="E38" i="505"/>
  <c r="E39" i="505" s="1"/>
  <c r="C35" i="505"/>
  <c r="C36" i="505" s="1"/>
  <c r="C37" i="505" s="1"/>
  <c r="L30" i="505"/>
  <c r="C30" i="505"/>
  <c r="C31" i="505" s="1"/>
  <c r="C32" i="505" s="1"/>
  <c r="C33" i="505" s="1"/>
  <c r="B29" i="505"/>
  <c r="B30" i="505" s="1"/>
  <c r="B31" i="505" s="1"/>
  <c r="B32" i="505" s="1"/>
  <c r="B33" i="505" s="1"/>
  <c r="B34" i="505" s="1"/>
  <c r="B35" i="505" s="1"/>
  <c r="B36" i="505" s="1"/>
  <c r="B37" i="505" s="1"/>
  <c r="B38" i="505" s="1"/>
  <c r="B39" i="505" s="1"/>
  <c r="B40" i="505" s="1"/>
  <c r="B41" i="505" s="1"/>
  <c r="B42" i="505" s="1"/>
  <c r="B43" i="505" s="1"/>
  <c r="B44" i="505" s="1"/>
  <c r="B45" i="505" s="1"/>
  <c r="B46" i="505" s="1"/>
  <c r="D6" i="505"/>
  <c r="D25" i="505" s="1"/>
  <c r="C3" i="505"/>
  <c r="C2" i="505"/>
  <c r="C1" i="505"/>
  <c r="C90" i="455"/>
  <c r="C89" i="455"/>
  <c r="C91" i="455" s="1"/>
  <c r="C92" i="455" s="1"/>
  <c r="E386" i="455"/>
  <c r="E384" i="455"/>
  <c r="E383" i="455"/>
  <c r="E382" i="455"/>
  <c r="E381" i="455"/>
  <c r="E380" i="455"/>
  <c r="E379" i="455"/>
  <c r="B378" i="455"/>
  <c r="C379" i="455"/>
  <c r="C380" i="455" s="1"/>
  <c r="C381" i="455" s="1"/>
  <c r="C382" i="455" s="1"/>
  <c r="C383" i="455" s="1"/>
  <c r="C384" i="455" s="1"/>
  <c r="C385" i="455" s="1"/>
  <c r="C386" i="455" s="1"/>
  <c r="N229" i="436"/>
  <c r="N230" i="436"/>
  <c r="C38" i="455"/>
  <c r="C39" i="455" s="1"/>
  <c r="C40" i="455" s="1"/>
  <c r="C41" i="455" s="1"/>
  <c r="C42" i="455" s="1"/>
  <c r="C43" i="455" s="1"/>
  <c r="C44" i="455" s="1"/>
  <c r="C45" i="455" s="1"/>
  <c r="C216" i="455"/>
  <c r="C217" i="455" s="1"/>
  <c r="C218" i="455" s="1"/>
  <c r="C219" i="455" s="1"/>
  <c r="C207" i="455"/>
  <c r="C208" i="455" s="1"/>
  <c r="C209" i="455" s="1"/>
  <c r="C210" i="455" s="1"/>
  <c r="C211" i="455" s="1"/>
  <c r="C212" i="455" s="1"/>
  <c r="C213" i="455" s="1"/>
  <c r="C214" i="455" s="1"/>
  <c r="B206" i="455"/>
  <c r="B207" i="455" s="1"/>
  <c r="B208" i="455" s="1"/>
  <c r="B209" i="455" s="1"/>
  <c r="B210" i="455" s="1"/>
  <c r="B211" i="455" s="1"/>
  <c r="B212" i="455" s="1"/>
  <c r="B213" i="455" s="1"/>
  <c r="B214" i="455" s="1"/>
  <c r="B215" i="455" s="1"/>
  <c r="B216" i="455" s="1"/>
  <c r="B217" i="455" s="1"/>
  <c r="B218" i="455" s="1"/>
  <c r="C410" i="455"/>
  <c r="C403" i="455"/>
  <c r="C394" i="455"/>
  <c r="C395" i="455" s="1"/>
  <c r="C396" i="455" s="1"/>
  <c r="C397" i="455" s="1"/>
  <c r="C398" i="455" s="1"/>
  <c r="C399" i="455" s="1"/>
  <c r="C400" i="455" s="1"/>
  <c r="C401" i="455" s="1"/>
  <c r="C389" i="455"/>
  <c r="C390" i="455" s="1"/>
  <c r="C391" i="455" s="1"/>
  <c r="C392" i="455" s="1"/>
  <c r="B388" i="455"/>
  <c r="B389" i="455" s="1"/>
  <c r="B390" i="455" s="1"/>
  <c r="B391" i="455" s="1"/>
  <c r="B392" i="455" s="1"/>
  <c r="B393" i="455" s="1"/>
  <c r="B394" i="455" s="1"/>
  <c r="B395" i="455" s="1"/>
  <c r="B396" i="455" s="1"/>
  <c r="B397" i="455" s="1"/>
  <c r="B398" i="455" s="1"/>
  <c r="B399" i="455" s="1"/>
  <c r="B400" i="455" s="1"/>
  <c r="B401" i="455" s="1"/>
  <c r="B402" i="455" s="1"/>
  <c r="B403" i="455" s="1"/>
  <c r="E366" i="455"/>
  <c r="C367" i="455"/>
  <c r="C368" i="455" s="1"/>
  <c r="C369" i="455" s="1"/>
  <c r="B357" i="455"/>
  <c r="B358" i="455" s="1"/>
  <c r="B359" i="455" s="1"/>
  <c r="B360" i="455" s="1"/>
  <c r="B361" i="455" s="1"/>
  <c r="B362" i="455" s="1"/>
  <c r="B363" i="455" s="1"/>
  <c r="B364" i="455" s="1"/>
  <c r="B365" i="455" s="1"/>
  <c r="B366" i="455" s="1"/>
  <c r="B367" i="455" s="1"/>
  <c r="B368" i="455" s="1"/>
  <c r="B369" i="455" s="1"/>
  <c r="C358" i="455"/>
  <c r="C359" i="455" s="1"/>
  <c r="C360" i="455" s="1"/>
  <c r="C361" i="455" s="1"/>
  <c r="C362" i="455" s="1"/>
  <c r="C363" i="455" s="1"/>
  <c r="C364" i="455" s="1"/>
  <c r="C365" i="455" s="1"/>
  <c r="C233" i="455"/>
  <c r="F289" i="455"/>
  <c r="C289" i="455"/>
  <c r="C292" i="455" s="1"/>
  <c r="C337" i="455"/>
  <c r="C338" i="455" s="1"/>
  <c r="C339" i="455" s="1"/>
  <c r="C340" i="455" s="1"/>
  <c r="C341" i="455" s="1"/>
  <c r="C342" i="455" s="1"/>
  <c r="C343" i="455" s="1"/>
  <c r="F321" i="455"/>
  <c r="C308" i="455"/>
  <c r="C310" i="455" s="1"/>
  <c r="C312" i="455" s="1"/>
  <c r="C314" i="455" s="1"/>
  <c r="C316" i="455" s="1"/>
  <c r="C307" i="455"/>
  <c r="E290" i="455"/>
  <c r="C288" i="455"/>
  <c r="C291" i="455" s="1"/>
  <c r="C294" i="455" s="1"/>
  <c r="C287" i="455"/>
  <c r="C290" i="455" s="1"/>
  <c r="C293" i="455" s="1"/>
  <c r="B232" i="455"/>
  <c r="B233" i="455" s="1"/>
  <c r="B234" i="455" s="1"/>
  <c r="C353" i="455"/>
  <c r="C354" i="455" s="1"/>
  <c r="C256" i="455"/>
  <c r="C258" i="455" s="1"/>
  <c r="C260" i="455" s="1"/>
  <c r="C255" i="455"/>
  <c r="C257" i="455" s="1"/>
  <c r="C246" i="455"/>
  <c r="C247" i="455" s="1"/>
  <c r="C248" i="455" s="1"/>
  <c r="C249" i="455" s="1"/>
  <c r="C250" i="455" s="1"/>
  <c r="C251" i="455" s="1"/>
  <c r="C252" i="455" s="1"/>
  <c r="C253" i="455" s="1"/>
  <c r="C242" i="455"/>
  <c r="C241" i="455"/>
  <c r="C243" i="455" s="1"/>
  <c r="C244" i="455" s="1"/>
  <c r="C198" i="455"/>
  <c r="C197" i="455"/>
  <c r="C199" i="455" s="1"/>
  <c r="C200" i="455" s="1"/>
  <c r="C181" i="455"/>
  <c r="C182" i="455" s="1"/>
  <c r="C183" i="455" s="1"/>
  <c r="C184" i="455" s="1"/>
  <c r="C185" i="455" s="1"/>
  <c r="C188" i="455" s="1"/>
  <c r="C189" i="455" s="1"/>
  <c r="C190" i="455" s="1"/>
  <c r="C191" i="455" s="1"/>
  <c r="C172" i="455"/>
  <c r="C171" i="455"/>
  <c r="C173" i="455" s="1"/>
  <c r="C174" i="455" s="1"/>
  <c r="C175" i="455" s="1"/>
  <c r="C176" i="455" s="1"/>
  <c r="C177" i="455" s="1"/>
  <c r="C178" i="455" s="1"/>
  <c r="C179" i="455" s="1"/>
  <c r="C73" i="455"/>
  <c r="L30" i="455"/>
  <c r="C85" i="455"/>
  <c r="C160" i="455"/>
  <c r="C161" i="455" s="1"/>
  <c r="C162" i="455" s="1"/>
  <c r="C163" i="455" s="1"/>
  <c r="C164" i="455" s="1"/>
  <c r="C165" i="455" s="1"/>
  <c r="C151" i="455"/>
  <c r="C152" i="455" s="1"/>
  <c r="B76" i="455"/>
  <c r="B77" i="455" s="1"/>
  <c r="B78" i="455" s="1"/>
  <c r="B79" i="455" s="1"/>
  <c r="C94" i="455"/>
  <c r="C95" i="455" s="1"/>
  <c r="C96" i="455" s="1"/>
  <c r="C97" i="455" s="1"/>
  <c r="C98" i="455" s="1"/>
  <c r="C99" i="455" s="1"/>
  <c r="C100" i="455" s="1"/>
  <c r="C101" i="455" s="1"/>
  <c r="E138" i="455"/>
  <c r="C104" i="455"/>
  <c r="E118" i="455"/>
  <c r="D6" i="455"/>
  <c r="D25" i="455" s="1"/>
  <c r="E29" i="455"/>
  <c r="E46" i="455"/>
  <c r="E49" i="455"/>
  <c r="E56" i="455"/>
  <c r="C143" i="455"/>
  <c r="C144" i="455" s="1"/>
  <c r="C146" i="455" s="1"/>
  <c r="C147" i="455" s="1"/>
  <c r="C148" i="455" s="1"/>
  <c r="C149" i="455" s="1"/>
  <c r="C103" i="455"/>
  <c r="C105" i="455" s="1"/>
  <c r="C106" i="455" s="1"/>
  <c r="C107" i="455" s="1"/>
  <c r="C108" i="455" s="1"/>
  <c r="C109" i="455" s="1"/>
  <c r="C110" i="455" s="1"/>
  <c r="C111" i="455" s="1"/>
  <c r="C113" i="455" s="1"/>
  <c r="C114" i="455" s="1"/>
  <c r="C115" i="455" s="1"/>
  <c r="C116" i="455" s="1"/>
  <c r="C117" i="455" s="1"/>
  <c r="C118" i="455" s="1"/>
  <c r="C119" i="455" s="1"/>
  <c r="C120" i="455" s="1"/>
  <c r="C121" i="455" s="1"/>
  <c r="C122" i="455" s="1"/>
  <c r="C123" i="455" s="1"/>
  <c r="C124" i="455" s="1"/>
  <c r="C125" i="455" s="1"/>
  <c r="C126" i="455" s="1"/>
  <c r="C127" i="455" s="1"/>
  <c r="C128" i="455" s="1"/>
  <c r="C129" i="455" s="1"/>
  <c r="C130" i="455" s="1"/>
  <c r="C131" i="455" s="1"/>
  <c r="C132" i="455" s="1"/>
  <c r="C133" i="455" s="1"/>
  <c r="C135" i="455" s="1"/>
  <c r="C136" i="455" s="1"/>
  <c r="C137" i="455" s="1"/>
  <c r="C138" i="455" s="1"/>
  <c r="C139" i="455" s="1"/>
  <c r="C140" i="455" s="1"/>
  <c r="C141" i="455" s="1"/>
  <c r="C84" i="455"/>
  <c r="C86" i="455" s="1"/>
  <c r="C87" i="455" s="1"/>
  <c r="E77" i="455"/>
  <c r="C77" i="455"/>
  <c r="C78" i="455" s="1"/>
  <c r="C79" i="455" s="1"/>
  <c r="C80" i="455" s="1"/>
  <c r="C81" i="455" s="1"/>
  <c r="C82" i="455" s="1"/>
  <c r="M438" i="436"/>
  <c r="M437" i="436"/>
  <c r="M436" i="436"/>
  <c r="E71" i="455"/>
  <c r="E63" i="455"/>
  <c r="C64" i="455"/>
  <c r="C65" i="455" s="1"/>
  <c r="C66" i="455" s="1"/>
  <c r="C67" i="455" s="1"/>
  <c r="C68" i="455" s="1"/>
  <c r="C69" i="455" s="1"/>
  <c r="C70" i="455" s="1"/>
  <c r="C50" i="455"/>
  <c r="C51" i="455" s="1"/>
  <c r="C52" i="455" s="1"/>
  <c r="C53" i="455" s="1"/>
  <c r="C57" i="455"/>
  <c r="C58" i="455" s="1"/>
  <c r="C61" i="455" s="1"/>
  <c r="C62" i="455" s="1"/>
  <c r="U20" i="456"/>
  <c r="J39" i="456"/>
  <c r="D308" i="449"/>
  <c r="G2900" i="448" s="1"/>
  <c r="A308" i="449"/>
  <c r="E2900" i="448"/>
  <c r="G2899" i="448"/>
  <c r="U31" i="456"/>
  <c r="F26" i="456"/>
  <c r="I38" i="456"/>
  <c r="J38" i="456"/>
  <c r="K38" i="456"/>
  <c r="L38" i="456"/>
  <c r="M38" i="456"/>
  <c r="N38" i="456"/>
  <c r="O38" i="456"/>
  <c r="P38" i="456"/>
  <c r="Q38" i="456"/>
  <c r="R38" i="456"/>
  <c r="S38" i="456"/>
  <c r="H38" i="456"/>
  <c r="U24" i="456"/>
  <c r="F24" i="456"/>
  <c r="U17" i="456"/>
  <c r="U18" i="456"/>
  <c r="U21" i="456"/>
  <c r="U28" i="456"/>
  <c r="U29" i="456"/>
  <c r="S7" i="456"/>
  <c r="S47" i="456"/>
  <c r="S46" i="456"/>
  <c r="S45" i="456"/>
  <c r="S44" i="456"/>
  <c r="S43" i="456"/>
  <c r="S42" i="456"/>
  <c r="S41" i="456"/>
  <c r="S40" i="456"/>
  <c r="S39" i="456"/>
  <c r="S37" i="456"/>
  <c r="S36" i="456"/>
  <c r="S35" i="456"/>
  <c r="R7" i="456"/>
  <c r="R47" i="456"/>
  <c r="R46" i="456"/>
  <c r="R45" i="456"/>
  <c r="R44" i="456"/>
  <c r="R43" i="456"/>
  <c r="R42" i="456"/>
  <c r="R41" i="456"/>
  <c r="R40" i="456"/>
  <c r="R39" i="456"/>
  <c r="R37" i="456"/>
  <c r="R36" i="456"/>
  <c r="R35" i="456"/>
  <c r="M400" i="436"/>
  <c r="D616" i="449"/>
  <c r="G2776" i="448" s="1"/>
  <c r="A616" i="449"/>
  <c r="E2776" i="448"/>
  <c r="G2775" i="448"/>
  <c r="D208" i="449"/>
  <c r="A208" i="449"/>
  <c r="E2537" i="448"/>
  <c r="G2536" i="448"/>
  <c r="D207" i="449"/>
  <c r="G2537" i="448" s="1"/>
  <c r="A207" i="449"/>
  <c r="E2541" i="448"/>
  <c r="G2540" i="448"/>
  <c r="F2610" i="448"/>
  <c r="E2610" i="448"/>
  <c r="G2609" i="448"/>
  <c r="E2612" i="448"/>
  <c r="G2611" i="448"/>
  <c r="E2614" i="448"/>
  <c r="G2613" i="448"/>
  <c r="D761" i="449"/>
  <c r="G2612" i="448" s="1"/>
  <c r="D760" i="449"/>
  <c r="D759" i="449"/>
  <c r="G2614" i="448" s="1"/>
  <c r="A759" i="449"/>
  <c r="A760" i="449"/>
  <c r="A761" i="449"/>
  <c r="F4324" i="451"/>
  <c r="E4322" i="451" s="1"/>
  <c r="H4326" i="451"/>
  <c r="L425" i="436" s="1"/>
  <c r="G4306" i="451"/>
  <c r="G4298" i="451"/>
  <c r="H4294" i="451"/>
  <c r="H4293" i="451"/>
  <c r="H4292" i="451"/>
  <c r="H4291" i="451"/>
  <c r="H4290" i="451"/>
  <c r="H4289" i="451"/>
  <c r="H4288" i="451"/>
  <c r="H4287" i="451"/>
  <c r="H4286" i="451"/>
  <c r="H4285" i="451"/>
  <c r="H4284" i="451"/>
  <c r="H4283" i="451"/>
  <c r="H4282" i="451"/>
  <c r="H4281" i="451"/>
  <c r="H4280" i="451"/>
  <c r="L415" i="436" s="1"/>
  <c r="H4279" i="451"/>
  <c r="L416" i="436" s="1"/>
  <c r="H4278" i="451"/>
  <c r="L414" i="436" s="1"/>
  <c r="G3789" i="451"/>
  <c r="G3769" i="451"/>
  <c r="H3734" i="451"/>
  <c r="H3733" i="451"/>
  <c r="H3732" i="451"/>
  <c r="H3731" i="451"/>
  <c r="H3730" i="451"/>
  <c r="H3729" i="451"/>
  <c r="H3728" i="451"/>
  <c r="H3727" i="451"/>
  <c r="H3726" i="451"/>
  <c r="H3725" i="451"/>
  <c r="H3724" i="451"/>
  <c r="H3723" i="451"/>
  <c r="H3722" i="451"/>
  <c r="H3721" i="451"/>
  <c r="H3720" i="451"/>
  <c r="G3696" i="451"/>
  <c r="G3676" i="451"/>
  <c r="H3672" i="451"/>
  <c r="H3671" i="451"/>
  <c r="H3670" i="451"/>
  <c r="H3669" i="451"/>
  <c r="H3668" i="451"/>
  <c r="H3667" i="451"/>
  <c r="H3666" i="451"/>
  <c r="H3665" i="451"/>
  <c r="H3664" i="451"/>
  <c r="H3663" i="451"/>
  <c r="H3662" i="451"/>
  <c r="H3661" i="451"/>
  <c r="H3660" i="451"/>
  <c r="H3659" i="451"/>
  <c r="H3658" i="451"/>
  <c r="H3657" i="451"/>
  <c r="H3656" i="451"/>
  <c r="E3655" i="451"/>
  <c r="E2496" i="448"/>
  <c r="E2495" i="448"/>
  <c r="E2494" i="448"/>
  <c r="E2493" i="448"/>
  <c r="G2492" i="448"/>
  <c r="G3648" i="451"/>
  <c r="G3628" i="451"/>
  <c r="H3624" i="451"/>
  <c r="H3623" i="451"/>
  <c r="H3622" i="451"/>
  <c r="H3621" i="451"/>
  <c r="H3620" i="451"/>
  <c r="H3619" i="451"/>
  <c r="H3618" i="451"/>
  <c r="H3617" i="451"/>
  <c r="H3616" i="451"/>
  <c r="H3615" i="451"/>
  <c r="H3614" i="451"/>
  <c r="H3613" i="451"/>
  <c r="H3612" i="451"/>
  <c r="H3611" i="451"/>
  <c r="H3610" i="451"/>
  <c r="H3609" i="451"/>
  <c r="H3608" i="451"/>
  <c r="E3607" i="451"/>
  <c r="G3497" i="451"/>
  <c r="G3477" i="451"/>
  <c r="H3473" i="451"/>
  <c r="H3472" i="451"/>
  <c r="H3471" i="451"/>
  <c r="H3470" i="451"/>
  <c r="H3469" i="451"/>
  <c r="H3468" i="451"/>
  <c r="H3467" i="451"/>
  <c r="H3466" i="451"/>
  <c r="H3465" i="451"/>
  <c r="H3464" i="451"/>
  <c r="H3463" i="451"/>
  <c r="H3462" i="451"/>
  <c r="H3461" i="451"/>
  <c r="H3460" i="451"/>
  <c r="H3459" i="451"/>
  <c r="H3458" i="451"/>
  <c r="H3457" i="451"/>
  <c r="E3456" i="451"/>
  <c r="G3391" i="451"/>
  <c r="G3371" i="451"/>
  <c r="H3367" i="451"/>
  <c r="H3366" i="451"/>
  <c r="H3365" i="451"/>
  <c r="H3364" i="451"/>
  <c r="H3363" i="451"/>
  <c r="H3362" i="451"/>
  <c r="H3361" i="451"/>
  <c r="H3360" i="451"/>
  <c r="H3359" i="451"/>
  <c r="H3358" i="451"/>
  <c r="H3357" i="451"/>
  <c r="H3356" i="451"/>
  <c r="H3355" i="451"/>
  <c r="H3354" i="451"/>
  <c r="H3353" i="451"/>
  <c r="H3352" i="451"/>
  <c r="H3351" i="451"/>
  <c r="E3350" i="451"/>
  <c r="G3201" i="451"/>
  <c r="G3181" i="451"/>
  <c r="H3177" i="451"/>
  <c r="H3176" i="451"/>
  <c r="H3175" i="451"/>
  <c r="H3174" i="451"/>
  <c r="H3173" i="451"/>
  <c r="H3172" i="451"/>
  <c r="H3171" i="451"/>
  <c r="H3170" i="451"/>
  <c r="H3169" i="451"/>
  <c r="H3168" i="451"/>
  <c r="H3167" i="451"/>
  <c r="H3166" i="451"/>
  <c r="H3165" i="451"/>
  <c r="H3164" i="451"/>
  <c r="H3163" i="451"/>
  <c r="H3162" i="451"/>
  <c r="H3161" i="451"/>
  <c r="E3160" i="451"/>
  <c r="E2478" i="448"/>
  <c r="G2477" i="448"/>
  <c r="E2970" i="451"/>
  <c r="G3011" i="451"/>
  <c r="G2991" i="451"/>
  <c r="H2987" i="451"/>
  <c r="H2986" i="451"/>
  <c r="H2985" i="451"/>
  <c r="H2984" i="451"/>
  <c r="H2983" i="451"/>
  <c r="H2982" i="451"/>
  <c r="H2981" i="451"/>
  <c r="H2980" i="451"/>
  <c r="H2979" i="451"/>
  <c r="H2978" i="451"/>
  <c r="H2977" i="451"/>
  <c r="H2976" i="451"/>
  <c r="H2975" i="451"/>
  <c r="H2974" i="451"/>
  <c r="H2973" i="451"/>
  <c r="H2972" i="451"/>
  <c r="H2971" i="451"/>
  <c r="E2267" i="448"/>
  <c r="E2266" i="448"/>
  <c r="G2265" i="448"/>
  <c r="E2270" i="448"/>
  <c r="E2269" i="448"/>
  <c r="G2268" i="448"/>
  <c r="E2273" i="448"/>
  <c r="E2272" i="448"/>
  <c r="G2271" i="448"/>
  <c r="I2604" i="451"/>
  <c r="I2605" i="451"/>
  <c r="I2606" i="451"/>
  <c r="I2607" i="451"/>
  <c r="I2608" i="451"/>
  <c r="I2609" i="451"/>
  <c r="I2610" i="451"/>
  <c r="I2611" i="451"/>
  <c r="I2612" i="451"/>
  <c r="I2613" i="451"/>
  <c r="I2614" i="451"/>
  <c r="I2615" i="451"/>
  <c r="I2616" i="451"/>
  <c r="I2617" i="451"/>
  <c r="I2618" i="451"/>
  <c r="I2619" i="451"/>
  <c r="I2620" i="451"/>
  <c r="I2621" i="451"/>
  <c r="I2622" i="451"/>
  <c r="I2623" i="451"/>
  <c r="I2624" i="451"/>
  <c r="I2625" i="451"/>
  <c r="I2626" i="451"/>
  <c r="I2627" i="451"/>
  <c r="I2628" i="451"/>
  <c r="I2629" i="451"/>
  <c r="I2630" i="451"/>
  <c r="I2631" i="451"/>
  <c r="I2632" i="451"/>
  <c r="I2633" i="451"/>
  <c r="I2634" i="451"/>
  <c r="I2635" i="451"/>
  <c r="I2636" i="451"/>
  <c r="I2637" i="451"/>
  <c r="I2638" i="451"/>
  <c r="I2639" i="451"/>
  <c r="I2640" i="451"/>
  <c r="I2641" i="451"/>
  <c r="I2642" i="451"/>
  <c r="I2643" i="451"/>
  <c r="I2644" i="451"/>
  <c r="I2645" i="451"/>
  <c r="I2646" i="451"/>
  <c r="I2647" i="451"/>
  <c r="I2648" i="451"/>
  <c r="I2649" i="451"/>
  <c r="I2650" i="451"/>
  <c r="I2651" i="451"/>
  <c r="I2652" i="451"/>
  <c r="I2653" i="451"/>
  <c r="I2654" i="451"/>
  <c r="I2655" i="451"/>
  <c r="I2656" i="451"/>
  <c r="I2657" i="451"/>
  <c r="I2658" i="451"/>
  <c r="I2659" i="451"/>
  <c r="I2660" i="451"/>
  <c r="I2661" i="451"/>
  <c r="I2662" i="451"/>
  <c r="I2663" i="451"/>
  <c r="I2664" i="451"/>
  <c r="I2665" i="451"/>
  <c r="I2666" i="451"/>
  <c r="I2667" i="451"/>
  <c r="I2668" i="451"/>
  <c r="I2669" i="451"/>
  <c r="I2670" i="451"/>
  <c r="I2671" i="451"/>
  <c r="I2672" i="451"/>
  <c r="I2673" i="451"/>
  <c r="I2674" i="451"/>
  <c r="I2675" i="451"/>
  <c r="I2676" i="451"/>
  <c r="I2677" i="451"/>
  <c r="I2678" i="451"/>
  <c r="I2679" i="451"/>
  <c r="I2680" i="451"/>
  <c r="I2681" i="451"/>
  <c r="I2682" i="451"/>
  <c r="I2683" i="451"/>
  <c r="I2684" i="451"/>
  <c r="I2685" i="451"/>
  <c r="I2686" i="451"/>
  <c r="I2687" i="451"/>
  <c r="I2688" i="451"/>
  <c r="I2689" i="451"/>
  <c r="I2690" i="451"/>
  <c r="I2691" i="451"/>
  <c r="I2603" i="451"/>
  <c r="H2679" i="451"/>
  <c r="H2680" i="451"/>
  <c r="H2681" i="451"/>
  <c r="H2682" i="451"/>
  <c r="H2683" i="451"/>
  <c r="H2684" i="451"/>
  <c r="H2685" i="451"/>
  <c r="H2686" i="451"/>
  <c r="H2687" i="451"/>
  <c r="H2688" i="451"/>
  <c r="H2689" i="451"/>
  <c r="H2690" i="451"/>
  <c r="H2691" i="451"/>
  <c r="G2703" i="451"/>
  <c r="G2797" i="451"/>
  <c r="H2678" i="451"/>
  <c r="H2677" i="451"/>
  <c r="H2676" i="451"/>
  <c r="H2675" i="451"/>
  <c r="H2674" i="451"/>
  <c r="H2673" i="451"/>
  <c r="H2672" i="451"/>
  <c r="H2671" i="451"/>
  <c r="H2670" i="451"/>
  <c r="H2669" i="451"/>
  <c r="H2668" i="451"/>
  <c r="H2667" i="451"/>
  <c r="H2666" i="451"/>
  <c r="H2665" i="451"/>
  <c r="H2664" i="451"/>
  <c r="H2663" i="451"/>
  <c r="H2662" i="451"/>
  <c r="H2661" i="451"/>
  <c r="H2660" i="451"/>
  <c r="H2659" i="451"/>
  <c r="H2658" i="451"/>
  <c r="H2657" i="451"/>
  <c r="H2656" i="451"/>
  <c r="H2655" i="451"/>
  <c r="H2654" i="451"/>
  <c r="H2653" i="451"/>
  <c r="H2652" i="451"/>
  <c r="H2651" i="451"/>
  <c r="H2650" i="451"/>
  <c r="H2649" i="451"/>
  <c r="H2648" i="451"/>
  <c r="H2647" i="451"/>
  <c r="H2646" i="451"/>
  <c r="H2645" i="451"/>
  <c r="H2644" i="451"/>
  <c r="H2643" i="451"/>
  <c r="H2642" i="451"/>
  <c r="H2641" i="451"/>
  <c r="H2640" i="451"/>
  <c r="H2639" i="451"/>
  <c r="H2638" i="451"/>
  <c r="H2637" i="451"/>
  <c r="H2636" i="451"/>
  <c r="H2635" i="451"/>
  <c r="H2634" i="451"/>
  <c r="H2633" i="451"/>
  <c r="H2632" i="451"/>
  <c r="H2631" i="451"/>
  <c r="H2630" i="451"/>
  <c r="H2629" i="451"/>
  <c r="H2628" i="451"/>
  <c r="H2627" i="451"/>
  <c r="H2626" i="451"/>
  <c r="H2625" i="451"/>
  <c r="H2624" i="451"/>
  <c r="H2623" i="451"/>
  <c r="H2622" i="451"/>
  <c r="H2621" i="451"/>
  <c r="H2620" i="451"/>
  <c r="H2619" i="451"/>
  <c r="H2618" i="451"/>
  <c r="H2617" i="451"/>
  <c r="H2616" i="451"/>
  <c r="H2615" i="451"/>
  <c r="H2614" i="451"/>
  <c r="H2613" i="451"/>
  <c r="H2612" i="451"/>
  <c r="H2611" i="451"/>
  <c r="H2610" i="451"/>
  <c r="H2609" i="451"/>
  <c r="H2608" i="451"/>
  <c r="H2607" i="451"/>
  <c r="H2606" i="451"/>
  <c r="H2605" i="451"/>
  <c r="H2604" i="451"/>
  <c r="H2603" i="451"/>
  <c r="D240" i="449"/>
  <c r="G2336" i="448" s="1"/>
  <c r="A240" i="449"/>
  <c r="E2336" i="448"/>
  <c r="G2335" i="448"/>
  <c r="E2433" i="451"/>
  <c r="E2228" i="448"/>
  <c r="E2227" i="448"/>
  <c r="G2226" i="448"/>
  <c r="E2230" i="448"/>
  <c r="D756" i="449"/>
  <c r="G2231" i="448" s="1"/>
  <c r="A756" i="449"/>
  <c r="E2231" i="448"/>
  <c r="G2229" i="448"/>
  <c r="E2210" i="448"/>
  <c r="E2209" i="448"/>
  <c r="G2208" i="448"/>
  <c r="D755" i="449"/>
  <c r="A755" i="449"/>
  <c r="D757" i="449"/>
  <c r="A757" i="449"/>
  <c r="D758" i="449"/>
  <c r="A758" i="449"/>
  <c r="E2207" i="448"/>
  <c r="E2206" i="448"/>
  <c r="E2205" i="448"/>
  <c r="G2204" i="448"/>
  <c r="E2531" i="451"/>
  <c r="G2572" i="451"/>
  <c r="G2552" i="451"/>
  <c r="H2548" i="451"/>
  <c r="H2547" i="451"/>
  <c r="H2546" i="451"/>
  <c r="H2545" i="451"/>
  <c r="H2544" i="451"/>
  <c r="H2543" i="451"/>
  <c r="H2542" i="451"/>
  <c r="H2541" i="451"/>
  <c r="H2540" i="451"/>
  <c r="H2539" i="451"/>
  <c r="L339" i="436" s="1"/>
  <c r="H2538" i="451"/>
  <c r="L338" i="436" s="1"/>
  <c r="H2537" i="451"/>
  <c r="H2536" i="451"/>
  <c r="H2535" i="451"/>
  <c r="H2534" i="451"/>
  <c r="H2533" i="451"/>
  <c r="L337" i="436" s="1"/>
  <c r="H2532" i="451"/>
  <c r="H2436" i="451"/>
  <c r="H2437" i="451"/>
  <c r="H2438" i="451"/>
  <c r="H2439" i="451"/>
  <c r="H2440" i="451"/>
  <c r="H2441" i="451"/>
  <c r="H2442" i="451"/>
  <c r="H2443" i="451"/>
  <c r="H2444" i="451"/>
  <c r="H2445" i="451"/>
  <c r="H2446" i="451"/>
  <c r="H2447" i="451"/>
  <c r="H2448" i="451"/>
  <c r="H2449" i="451"/>
  <c r="H2450" i="451"/>
  <c r="G2474" i="451"/>
  <c r="G2454" i="451"/>
  <c r="H2435" i="451"/>
  <c r="H2434" i="451"/>
  <c r="G2368" i="451"/>
  <c r="G2356" i="451"/>
  <c r="H2352" i="451"/>
  <c r="H2351" i="451"/>
  <c r="H2350" i="451"/>
  <c r="H2349" i="451"/>
  <c r="H2348" i="451"/>
  <c r="L383" i="436" s="1"/>
  <c r="H2347" i="451"/>
  <c r="H2346" i="451"/>
  <c r="H2345" i="451"/>
  <c r="L385" i="436" s="1"/>
  <c r="E2344" i="451"/>
  <c r="G2325" i="451"/>
  <c r="G2313" i="451"/>
  <c r="H2309" i="451"/>
  <c r="H2308" i="451"/>
  <c r="H2307" i="451"/>
  <c r="H2306" i="451"/>
  <c r="H2305" i="451"/>
  <c r="H2304" i="451"/>
  <c r="H2303" i="451"/>
  <c r="H2302" i="451"/>
  <c r="L382" i="436" s="1"/>
  <c r="E2301" i="451"/>
  <c r="E2386" i="448"/>
  <c r="E2385" i="448"/>
  <c r="G2384" i="448"/>
  <c r="E232" i="449"/>
  <c r="E231" i="449"/>
  <c r="D231" i="449" s="1"/>
  <c r="G2412" i="448" s="1"/>
  <c r="E230" i="449"/>
  <c r="D230" i="449" s="1"/>
  <c r="G2409" i="448" s="1"/>
  <c r="A230" i="449"/>
  <c r="A231" i="449"/>
  <c r="E2410" i="448"/>
  <c r="E2409" i="448"/>
  <c r="G2408" i="448"/>
  <c r="E2413" i="448"/>
  <c r="E2412" i="448"/>
  <c r="G2411" i="448"/>
  <c r="E2401" i="448"/>
  <c r="E2400" i="448"/>
  <c r="G2399" i="448"/>
  <c r="G2247" i="451"/>
  <c r="G2235" i="451"/>
  <c r="H2231" i="451"/>
  <c r="L373" i="436" s="1"/>
  <c r="H2230" i="451"/>
  <c r="L372" i="436" s="1"/>
  <c r="H2229" i="451"/>
  <c r="L375" i="436" s="1"/>
  <c r="H2228" i="451"/>
  <c r="L374" i="436" s="1"/>
  <c r="H2227" i="451"/>
  <c r="L370" i="436" s="1"/>
  <c r="H2226" i="451"/>
  <c r="L369" i="436" s="1"/>
  <c r="H2225" i="451"/>
  <c r="L368" i="436" s="1"/>
  <c r="H2224" i="451"/>
  <c r="L371" i="436" s="1"/>
  <c r="E2223" i="451"/>
  <c r="G2119" i="451"/>
  <c r="D203" i="449"/>
  <c r="G2328" i="448" s="1"/>
  <c r="A203" i="449"/>
  <c r="E2328" i="448"/>
  <c r="G2327" i="448"/>
  <c r="H2035" i="451"/>
  <c r="L360" i="436" s="1"/>
  <c r="H1998" i="451"/>
  <c r="H1999" i="451"/>
  <c r="H2000" i="451"/>
  <c r="H2001" i="451"/>
  <c r="H2002" i="451"/>
  <c r="H2003" i="451"/>
  <c r="H2004" i="451"/>
  <c r="H2005" i="451"/>
  <c r="H2006" i="451"/>
  <c r="H2007" i="451"/>
  <c r="H2008" i="451"/>
  <c r="H2009" i="451"/>
  <c r="H2010" i="451"/>
  <c r="H2011" i="451"/>
  <c r="H2012" i="451"/>
  <c r="H2013" i="451"/>
  <c r="H2014" i="451"/>
  <c r="H2015" i="451"/>
  <c r="H2016" i="451"/>
  <c r="H2017" i="451"/>
  <c r="H2018" i="451"/>
  <c r="H2019" i="451"/>
  <c r="H2020" i="451"/>
  <c r="H2021" i="451"/>
  <c r="H2022" i="451"/>
  <c r="H2023" i="451"/>
  <c r="H2024" i="451"/>
  <c r="H2025" i="451"/>
  <c r="H2026" i="451"/>
  <c r="H2027" i="451"/>
  <c r="H2028" i="451"/>
  <c r="H2029" i="451"/>
  <c r="H2030" i="451"/>
  <c r="H2031" i="451"/>
  <c r="L363" i="436" s="1"/>
  <c r="H2032" i="451"/>
  <c r="L362" i="436" s="1"/>
  <c r="H2033" i="451"/>
  <c r="H2034" i="451"/>
  <c r="G2040" i="451"/>
  <c r="E2602" i="451"/>
  <c r="H1997" i="451"/>
  <c r="H1996" i="451"/>
  <c r="H1995" i="451"/>
  <c r="H1994" i="451"/>
  <c r="H1993" i="451"/>
  <c r="H1992" i="451"/>
  <c r="H1991" i="451"/>
  <c r="H1990" i="451"/>
  <c r="H1989" i="451"/>
  <c r="H1988" i="451"/>
  <c r="H1987" i="451"/>
  <c r="H1986" i="451"/>
  <c r="H1985" i="451"/>
  <c r="H1984" i="451"/>
  <c r="H1983" i="451"/>
  <c r="H1982" i="451"/>
  <c r="H1981" i="451"/>
  <c r="H1980" i="451"/>
  <c r="H1979" i="451"/>
  <c r="H1978" i="451"/>
  <c r="H1977" i="451"/>
  <c r="H1976" i="451"/>
  <c r="H1975" i="451"/>
  <c r="H1974" i="451"/>
  <c r="H1973" i="451"/>
  <c r="H1972" i="451"/>
  <c r="H1971" i="451"/>
  <c r="H1970" i="451"/>
  <c r="H1969" i="451"/>
  <c r="H1968" i="451"/>
  <c r="H1967" i="451"/>
  <c r="H1966" i="451"/>
  <c r="H1965" i="451"/>
  <c r="H1964" i="451"/>
  <c r="H1963" i="451"/>
  <c r="H1962" i="451"/>
  <c r="H1961" i="451"/>
  <c r="H1960" i="451"/>
  <c r="H1959" i="451"/>
  <c r="E1958" i="451"/>
  <c r="G1927" i="451"/>
  <c r="G1939" i="451"/>
  <c r="E1915" i="451"/>
  <c r="H1923" i="451"/>
  <c r="H1922" i="451"/>
  <c r="H1921" i="451"/>
  <c r="H1920" i="451"/>
  <c r="H1919" i="451"/>
  <c r="H1918" i="451"/>
  <c r="H1917" i="451"/>
  <c r="H1916" i="451"/>
  <c r="L356" i="436" s="1"/>
  <c r="E2099" i="448"/>
  <c r="F2098" i="448"/>
  <c r="E2098" i="448"/>
  <c r="G2097" i="448"/>
  <c r="G1896" i="451"/>
  <c r="G1884" i="451"/>
  <c r="H1880" i="451"/>
  <c r="H1879" i="451"/>
  <c r="H1878" i="451"/>
  <c r="H1877" i="451"/>
  <c r="H1876" i="451"/>
  <c r="H1875" i="451"/>
  <c r="H1874" i="451"/>
  <c r="H1873" i="451"/>
  <c r="L322" i="436" s="1"/>
  <c r="E1872" i="451"/>
  <c r="E2083" i="448"/>
  <c r="E2082" i="448"/>
  <c r="E2081" i="448"/>
  <c r="E2080" i="448"/>
  <c r="G2079" i="448"/>
  <c r="F2068" i="448"/>
  <c r="F2067" i="448"/>
  <c r="F2066" i="448"/>
  <c r="F2065" i="448"/>
  <c r="E2063" i="448"/>
  <c r="E2062" i="448"/>
  <c r="E2061" i="448"/>
  <c r="E2060" i="448"/>
  <c r="G2059" i="448"/>
  <c r="G1804" i="451"/>
  <c r="G1792" i="451"/>
  <c r="H1788" i="451"/>
  <c r="H1787" i="451"/>
  <c r="H1786" i="451"/>
  <c r="L318" i="436" s="1"/>
  <c r="H1785" i="451"/>
  <c r="L317" i="436" s="1"/>
  <c r="H1784" i="451"/>
  <c r="L334" i="436" s="1"/>
  <c r="L347" i="436" s="1"/>
  <c r="H1783" i="451"/>
  <c r="L319" i="436" s="1"/>
  <c r="H1782" i="451"/>
  <c r="L320" i="436" s="1"/>
  <c r="H1781" i="451"/>
  <c r="E1780" i="451"/>
  <c r="D639" i="449"/>
  <c r="G1485" i="448" s="1"/>
  <c r="A639" i="449"/>
  <c r="E1485" i="448"/>
  <c r="G1484" i="448"/>
  <c r="G1763" i="451"/>
  <c r="G1751" i="451"/>
  <c r="H1747" i="451"/>
  <c r="H1746" i="451"/>
  <c r="H1745" i="451"/>
  <c r="H1744" i="451"/>
  <c r="H1743" i="451"/>
  <c r="H1742" i="451"/>
  <c r="H1741" i="451"/>
  <c r="H1740" i="451"/>
  <c r="L275" i="436" s="1"/>
  <c r="L282" i="436" s="1"/>
  <c r="E1446" i="448"/>
  <c r="E1445" i="448"/>
  <c r="G1444" i="448"/>
  <c r="D539" i="449"/>
  <c r="G1754" i="448" s="1"/>
  <c r="A539" i="449"/>
  <c r="D536" i="449"/>
  <c r="G1752" i="448" s="1"/>
  <c r="A536" i="449"/>
  <c r="E1754" i="448"/>
  <c r="G1753" i="448"/>
  <c r="E1752" i="448"/>
  <c r="G1751" i="448"/>
  <c r="D540" i="449"/>
  <c r="G1756" i="448" s="1"/>
  <c r="A540" i="449"/>
  <c r="D541" i="449"/>
  <c r="A541" i="449"/>
  <c r="E1756" i="448"/>
  <c r="G1755" i="448"/>
  <c r="E1750" i="448"/>
  <c r="G1749" i="448"/>
  <c r="E2017" i="448"/>
  <c r="E2016" i="448"/>
  <c r="E2015" i="448"/>
  <c r="G2014" i="448"/>
  <c r="D535" i="449"/>
  <c r="A535" i="449"/>
  <c r="E1854" i="448"/>
  <c r="E1853" i="448"/>
  <c r="E1852" i="448"/>
  <c r="E1851" i="448"/>
  <c r="G1850" i="448"/>
  <c r="E1966" i="448"/>
  <c r="E1965" i="448"/>
  <c r="E1964" i="448"/>
  <c r="E1963" i="448"/>
  <c r="G1962" i="448"/>
  <c r="D488" i="449"/>
  <c r="G1846" i="448" s="1"/>
  <c r="A488" i="449"/>
  <c r="E1849" i="448"/>
  <c r="E1848" i="448"/>
  <c r="E1847" i="448"/>
  <c r="E1846" i="448"/>
  <c r="G1845" i="448"/>
  <c r="D487" i="449"/>
  <c r="A487" i="449"/>
  <c r="G1810" i="448"/>
  <c r="G1815" i="448"/>
  <c r="G1331" i="448"/>
  <c r="G1336" i="448"/>
  <c r="H1602" i="451"/>
  <c r="H1603" i="451"/>
  <c r="H1604" i="451"/>
  <c r="H1605" i="451"/>
  <c r="H1606" i="451"/>
  <c r="H1607" i="451"/>
  <c r="H1608" i="451"/>
  <c r="H1609" i="451"/>
  <c r="H1610" i="451"/>
  <c r="H1611" i="451"/>
  <c r="H1612" i="451"/>
  <c r="H1613" i="451"/>
  <c r="H1614" i="451"/>
  <c r="H1615" i="451"/>
  <c r="H1616" i="451"/>
  <c r="H1617" i="451"/>
  <c r="H1618" i="451"/>
  <c r="H1619" i="451"/>
  <c r="H1620" i="451"/>
  <c r="H1621" i="451"/>
  <c r="H1622" i="451"/>
  <c r="H1623" i="451"/>
  <c r="H1624" i="451"/>
  <c r="H1625" i="451"/>
  <c r="H1626" i="451"/>
  <c r="H1627" i="451"/>
  <c r="H1628" i="451"/>
  <c r="H1629" i="451"/>
  <c r="H1630" i="451"/>
  <c r="H1631" i="451"/>
  <c r="H1632" i="451"/>
  <c r="H1633" i="451"/>
  <c r="H1634" i="451"/>
  <c r="H1635" i="451"/>
  <c r="H1636" i="451"/>
  <c r="H1637" i="451"/>
  <c r="H1638" i="451"/>
  <c r="H1639" i="451"/>
  <c r="H1640" i="451"/>
  <c r="G1667" i="451"/>
  <c r="G1659" i="451"/>
  <c r="H1601" i="451"/>
  <c r="F1698" i="448"/>
  <c r="E1698" i="448"/>
  <c r="F1697" i="448"/>
  <c r="E1697" i="448"/>
  <c r="F1696" i="448"/>
  <c r="E1696" i="448"/>
  <c r="G1695" i="448"/>
  <c r="D76" i="449"/>
  <c r="A76" i="449"/>
  <c r="H1598" i="451"/>
  <c r="H1597" i="451"/>
  <c r="E1596" i="451"/>
  <c r="F1589" i="448"/>
  <c r="F1588" i="448"/>
  <c r="F1587" i="448"/>
  <c r="E1589" i="448"/>
  <c r="E1588" i="448"/>
  <c r="E1587" i="448"/>
  <c r="G1586" i="448"/>
  <c r="H1469" i="451"/>
  <c r="H1470" i="451"/>
  <c r="L300" i="436" s="1"/>
  <c r="H1471" i="451"/>
  <c r="H1472" i="451"/>
  <c r="G1488" i="451"/>
  <c r="G1476" i="451"/>
  <c r="H1468" i="451"/>
  <c r="L298" i="436" s="1"/>
  <c r="H1467" i="451"/>
  <c r="H1466" i="451"/>
  <c r="H1465" i="451"/>
  <c r="H1462" i="451"/>
  <c r="H1461" i="451"/>
  <c r="E1460" i="451"/>
  <c r="G1434" i="451"/>
  <c r="G1426" i="451"/>
  <c r="H1422" i="451"/>
  <c r="H1421" i="451"/>
  <c r="H1420" i="451"/>
  <c r="H1419" i="451"/>
  <c r="H1418" i="451"/>
  <c r="L291" i="436" s="1"/>
  <c r="H1417" i="451"/>
  <c r="L290" i="436" s="1"/>
  <c r="E1542" i="448"/>
  <c r="E1541" i="448"/>
  <c r="E1540" i="448"/>
  <c r="E1539" i="448"/>
  <c r="E1538" i="448"/>
  <c r="E1537" i="448"/>
  <c r="E1536" i="448"/>
  <c r="E1535" i="448"/>
  <c r="E1534" i="448"/>
  <c r="E1533" i="448"/>
  <c r="G1532" i="448"/>
  <c r="G1370" i="451"/>
  <c r="G1362" i="451"/>
  <c r="H1358" i="451"/>
  <c r="H1357" i="451"/>
  <c r="H1356" i="451"/>
  <c r="H1355" i="451"/>
  <c r="L289" i="436" s="1"/>
  <c r="H1354" i="451"/>
  <c r="L288" i="436" s="1"/>
  <c r="H1353" i="451"/>
  <c r="H1351" i="451"/>
  <c r="H1350" i="451"/>
  <c r="H1349" i="451"/>
  <c r="H1348" i="451"/>
  <c r="H1347" i="451"/>
  <c r="H1346" i="451"/>
  <c r="L149" i="436"/>
  <c r="L128" i="436"/>
  <c r="T4" i="504" a="1"/>
  <c r="T4" i="504" s="1"/>
  <c r="E269" i="449"/>
  <c r="D269" i="449" s="1"/>
  <c r="G1251" i="448" s="1"/>
  <c r="E267" i="449"/>
  <c r="D267" i="449" s="1"/>
  <c r="G1245" i="448" s="1"/>
  <c r="E268" i="449"/>
  <c r="D268" i="449" s="1"/>
  <c r="G1247" i="448" s="1"/>
  <c r="E266" i="449"/>
  <c r="D266" i="449" s="1"/>
  <c r="E263" i="449"/>
  <c r="D263" i="449" s="1"/>
  <c r="E264" i="449"/>
  <c r="D264" i="449" s="1"/>
  <c r="G1234" i="448" s="1"/>
  <c r="E265" i="449"/>
  <c r="D265" i="449" s="1"/>
  <c r="G1239" i="448" s="1"/>
  <c r="E262" i="449"/>
  <c r="D262" i="449" s="1"/>
  <c r="G1244" i="448" s="1"/>
  <c r="E261" i="449"/>
  <c r="D261" i="449" s="1"/>
  <c r="G1229" i="448" s="1"/>
  <c r="G1210" i="448"/>
  <c r="G1212" i="448"/>
  <c r="G1214" i="448"/>
  <c r="G1217" i="448"/>
  <c r="G1219" i="448"/>
  <c r="G1221" i="448"/>
  <c r="G1224" i="448"/>
  <c r="G1226" i="448"/>
  <c r="G1228" i="448"/>
  <c r="G1231" i="448"/>
  <c r="G1233" i="448"/>
  <c r="G1236" i="448"/>
  <c r="G1238" i="448"/>
  <c r="G1240" i="448"/>
  <c r="G1242" i="448"/>
  <c r="G1246" i="448"/>
  <c r="G1248" i="448"/>
  <c r="G1252" i="448"/>
  <c r="G1256" i="448"/>
  <c r="G1258" i="448"/>
  <c r="G1260" i="448"/>
  <c r="G1262" i="448"/>
  <c r="G1264" i="448"/>
  <c r="G1266" i="448"/>
  <c r="G1268" i="448"/>
  <c r="G1270" i="448"/>
  <c r="G1272" i="448"/>
  <c r="A266" i="449"/>
  <c r="A267" i="449"/>
  <c r="A268" i="449"/>
  <c r="D259" i="449"/>
  <c r="A259" i="449"/>
  <c r="D260" i="449"/>
  <c r="A260" i="449"/>
  <c r="A261" i="449"/>
  <c r="A262" i="449"/>
  <c r="A263" i="449"/>
  <c r="A264" i="449"/>
  <c r="A265" i="449"/>
  <c r="A269" i="449"/>
  <c r="D270" i="449"/>
  <c r="G1253" i="448" s="1"/>
  <c r="A270" i="449"/>
  <c r="E1253" i="448"/>
  <c r="E1254" i="448"/>
  <c r="E1249" i="448"/>
  <c r="E1250" i="448"/>
  <c r="E1244" i="448"/>
  <c r="E1229" i="448"/>
  <c r="E1255" i="448"/>
  <c r="E1251" i="448"/>
  <c r="E1247" i="448"/>
  <c r="E1245" i="448"/>
  <c r="E1243" i="448"/>
  <c r="E1241" i="448"/>
  <c r="E1239" i="448"/>
  <c r="E1237" i="448"/>
  <c r="E1235" i="448"/>
  <c r="E1234" i="448"/>
  <c r="E1232" i="448"/>
  <c r="E1230" i="448"/>
  <c r="E1227" i="448"/>
  <c r="E1225" i="448"/>
  <c r="G111" i="504"/>
  <c r="G110" i="504"/>
  <c r="G89" i="504"/>
  <c r="G146" i="504" s="1"/>
  <c r="F14" i="504"/>
  <c r="F15" i="504"/>
  <c r="F16" i="504"/>
  <c r="F17" i="504"/>
  <c r="F18" i="504"/>
  <c r="F19" i="504"/>
  <c r="F20" i="504"/>
  <c r="F21" i="504"/>
  <c r="F22" i="504"/>
  <c r="F23" i="504"/>
  <c r="F24" i="504"/>
  <c r="F25" i="504"/>
  <c r="F26" i="504"/>
  <c r="F27" i="504"/>
  <c r="F28" i="504"/>
  <c r="F29" i="504"/>
  <c r="F30" i="504"/>
  <c r="F31" i="504"/>
  <c r="F32" i="504"/>
  <c r="F33" i="504"/>
  <c r="F34" i="504"/>
  <c r="F35" i="504"/>
  <c r="F36" i="504"/>
  <c r="F37" i="504"/>
  <c r="F38" i="504"/>
  <c r="F39" i="504"/>
  <c r="F40" i="504"/>
  <c r="F41" i="504"/>
  <c r="F42" i="504"/>
  <c r="F43" i="504"/>
  <c r="F44" i="504"/>
  <c r="F45" i="504"/>
  <c r="F46" i="504"/>
  <c r="F47" i="504"/>
  <c r="F48" i="504"/>
  <c r="F49" i="504"/>
  <c r="F50" i="504"/>
  <c r="F51" i="504"/>
  <c r="F52" i="504"/>
  <c r="F53" i="504"/>
  <c r="F54" i="504"/>
  <c r="F55" i="504"/>
  <c r="F56" i="504"/>
  <c r="F57" i="504"/>
  <c r="F58" i="504"/>
  <c r="F59" i="504"/>
  <c r="F60" i="504"/>
  <c r="F61" i="504"/>
  <c r="F62" i="504"/>
  <c r="F63" i="504"/>
  <c r="F64" i="504"/>
  <c r="F65" i="504"/>
  <c r="F66" i="504"/>
  <c r="F67" i="504"/>
  <c r="F68" i="504"/>
  <c r="F69" i="504"/>
  <c r="F70" i="504"/>
  <c r="F71" i="504"/>
  <c r="F72" i="504"/>
  <c r="F73" i="504"/>
  <c r="F74" i="504"/>
  <c r="F75" i="504"/>
  <c r="F76" i="504"/>
  <c r="F77" i="504"/>
  <c r="F78" i="504"/>
  <c r="F79" i="504"/>
  <c r="F80" i="504"/>
  <c r="F81" i="504"/>
  <c r="F82" i="504"/>
  <c r="F83" i="504"/>
  <c r="F84" i="504"/>
  <c r="F85" i="504"/>
  <c r="F86" i="504"/>
  <c r="F87" i="504"/>
  <c r="F88" i="504"/>
  <c r="F89" i="504"/>
  <c r="F90" i="504"/>
  <c r="F91" i="504"/>
  <c r="F92" i="504"/>
  <c r="F93" i="504"/>
  <c r="F94" i="504"/>
  <c r="F95" i="504"/>
  <c r="F96" i="504"/>
  <c r="F97" i="504"/>
  <c r="F98" i="504"/>
  <c r="F99" i="504"/>
  <c r="F100" i="504"/>
  <c r="F101" i="504"/>
  <c r="F102" i="504"/>
  <c r="F103" i="504"/>
  <c r="F104" i="504"/>
  <c r="F105" i="504"/>
  <c r="F106" i="504"/>
  <c r="F107" i="504"/>
  <c r="F108" i="504"/>
  <c r="F109" i="504"/>
  <c r="F110" i="504"/>
  <c r="F111" i="504"/>
  <c r="F112" i="504"/>
  <c r="F113" i="504"/>
  <c r="F114" i="504"/>
  <c r="F115" i="504"/>
  <c r="F116" i="504"/>
  <c r="F117" i="504"/>
  <c r="F118" i="504"/>
  <c r="F119" i="504"/>
  <c r="F120" i="504"/>
  <c r="F121" i="504"/>
  <c r="F122" i="504"/>
  <c r="F123" i="504"/>
  <c r="F124" i="504"/>
  <c r="F125" i="504"/>
  <c r="F126" i="504"/>
  <c r="F127" i="504"/>
  <c r="F128" i="504"/>
  <c r="F129" i="504"/>
  <c r="F130" i="504"/>
  <c r="F131" i="504"/>
  <c r="F132" i="504"/>
  <c r="F133" i="504"/>
  <c r="F134" i="504"/>
  <c r="F135" i="504"/>
  <c r="F136" i="504"/>
  <c r="F137" i="504"/>
  <c r="F138" i="504"/>
  <c r="F139" i="504"/>
  <c r="F140" i="504"/>
  <c r="F141" i="504"/>
  <c r="F142" i="504"/>
  <c r="F143" i="504"/>
  <c r="F144" i="504"/>
  <c r="F145" i="504"/>
  <c r="F13" i="504"/>
  <c r="C259" i="455" l="1"/>
  <c r="C261" i="455" s="1"/>
  <c r="C262" i="455" s="1"/>
  <c r="C263" i="455" s="1"/>
  <c r="C234" i="455"/>
  <c r="C236" i="455"/>
  <c r="C411" i="455"/>
  <c r="C416" i="455" s="1"/>
  <c r="C417" i="455" s="1"/>
  <c r="C418" i="455" s="1"/>
  <c r="C419" i="455" s="1"/>
  <c r="C420" i="455" s="1"/>
  <c r="C421" i="455" s="1"/>
  <c r="C422" i="455" s="1"/>
  <c r="B235" i="455"/>
  <c r="B236" i="455" s="1"/>
  <c r="B237" i="455" s="1"/>
  <c r="B238" i="455" s="1"/>
  <c r="B239" i="455" s="1"/>
  <c r="B240" i="455" s="1"/>
  <c r="B241" i="455" s="1"/>
  <c r="B242" i="455" s="1"/>
  <c r="B243" i="455" s="1"/>
  <c r="B244" i="455" s="1"/>
  <c r="B245" i="455" s="1"/>
  <c r="B246" i="455" s="1"/>
  <c r="B247" i="455" s="1"/>
  <c r="B248" i="455" s="1"/>
  <c r="B249" i="455" s="1"/>
  <c r="B250" i="455" s="1"/>
  <c r="B251" i="455" s="1"/>
  <c r="B252" i="455" s="1"/>
  <c r="B253" i="455" s="1"/>
  <c r="B254" i="455" s="1"/>
  <c r="B255" i="455" s="1"/>
  <c r="B256" i="455" s="1"/>
  <c r="B257" i="455" s="1"/>
  <c r="C295" i="455"/>
  <c r="C296" i="455" s="1"/>
  <c r="C297" i="455" s="1"/>
  <c r="C298" i="455" s="1"/>
  <c r="C299" i="455" s="1"/>
  <c r="C300" i="455" s="1"/>
  <c r="C301" i="455" s="1"/>
  <c r="C302" i="455" s="1"/>
  <c r="C303" i="455" s="1"/>
  <c r="C304" i="455" s="1"/>
  <c r="C305" i="455" s="1"/>
  <c r="C155" i="455"/>
  <c r="C156" i="455" s="1"/>
  <c r="C157" i="455" s="1"/>
  <c r="C158" i="455" s="1"/>
  <c r="C153" i="455"/>
  <c r="C166" i="455"/>
  <c r="C167" i="455" s="1"/>
  <c r="C168" i="455" s="1"/>
  <c r="C169" i="455" s="1"/>
  <c r="C55" i="455"/>
  <c r="B404" i="455"/>
  <c r="B405" i="455" s="1"/>
  <c r="B406" i="455" s="1"/>
  <c r="B407" i="455" s="1"/>
  <c r="B408" i="455" s="1"/>
  <c r="B409" i="455" s="1"/>
  <c r="B410" i="455" s="1"/>
  <c r="B411" i="455" s="1"/>
  <c r="C404" i="455"/>
  <c r="C405" i="455" s="1"/>
  <c r="C406" i="455" s="1"/>
  <c r="C407" i="455" s="1"/>
  <c r="C408" i="455" s="1"/>
  <c r="B370" i="455"/>
  <c r="B371" i="455" s="1"/>
  <c r="B372" i="455" s="1"/>
  <c r="B373" i="455" s="1"/>
  <c r="B374" i="455" s="1"/>
  <c r="B375" i="455" s="1"/>
  <c r="B376" i="455" s="1"/>
  <c r="C370" i="455"/>
  <c r="C371" i="455" s="1"/>
  <c r="C372" i="455" s="1"/>
  <c r="C373" i="455" s="1"/>
  <c r="C374" i="455" s="1"/>
  <c r="C375" i="455" s="1"/>
  <c r="C376" i="455" s="1"/>
  <c r="C220" i="455"/>
  <c r="C221" i="455" s="1"/>
  <c r="C222" i="455" s="1"/>
  <c r="C223" i="455" s="1"/>
  <c r="C224" i="455" s="1"/>
  <c r="C225" i="455" s="1"/>
  <c r="C226" i="455" s="1"/>
  <c r="C227" i="455" s="1"/>
  <c r="C228" i="455" s="1"/>
  <c r="C229" i="455" s="1"/>
  <c r="C230" i="455" s="1"/>
  <c r="C201" i="455"/>
  <c r="C202" i="455" s="1"/>
  <c r="C203" i="455" s="1"/>
  <c r="C204" i="455" s="1"/>
  <c r="B80" i="455"/>
  <c r="B81" i="455" s="1"/>
  <c r="B82" i="455" s="1"/>
  <c r="B83" i="455" s="1"/>
  <c r="B84" i="455" s="1"/>
  <c r="B85" i="455" s="1"/>
  <c r="B86" i="455" s="1"/>
  <c r="B87" i="455" s="1"/>
  <c r="B88" i="455" s="1"/>
  <c r="B89" i="455" s="1"/>
  <c r="B90" i="455" s="1"/>
  <c r="B91" i="455" s="1"/>
  <c r="B92" i="455" s="1"/>
  <c r="B93" i="455" s="1"/>
  <c r="B94" i="455" s="1"/>
  <c r="B95" i="455" s="1"/>
  <c r="B96" i="455" s="1"/>
  <c r="B97" i="455" s="1"/>
  <c r="B98" i="455" s="1"/>
  <c r="B99" i="455" s="1"/>
  <c r="B100" i="455" s="1"/>
  <c r="B101" i="455" s="1"/>
  <c r="B102" i="455" s="1"/>
  <c r="B103" i="455" s="1"/>
  <c r="B104" i="455" s="1"/>
  <c r="B105" i="455" s="1"/>
  <c r="B106" i="455" s="1"/>
  <c r="B107" i="455" s="1"/>
  <c r="B108" i="455" s="1"/>
  <c r="B109" i="455" s="1"/>
  <c r="B110" i="455" s="1"/>
  <c r="B111" i="455" s="1"/>
  <c r="B112" i="455" s="1"/>
  <c r="B113" i="455" s="1"/>
  <c r="B114" i="455" s="1"/>
  <c r="B115" i="455" s="1"/>
  <c r="B116" i="455" s="1"/>
  <c r="B117" i="455" s="1"/>
  <c r="B118" i="455" s="1"/>
  <c r="B119" i="455" s="1"/>
  <c r="B120" i="455" s="1"/>
  <c r="B121" i="455" s="1"/>
  <c r="B122" i="455" s="1"/>
  <c r="B123" i="455" s="1"/>
  <c r="B124" i="455" s="1"/>
  <c r="B125" i="455" s="1"/>
  <c r="B126" i="455" s="1"/>
  <c r="B127" i="455" s="1"/>
  <c r="B128" i="455" s="1"/>
  <c r="B129" i="455" s="1"/>
  <c r="B130" i="455" s="1"/>
  <c r="B131" i="455" s="1"/>
  <c r="B132" i="455" s="1"/>
  <c r="B133" i="455" s="1"/>
  <c r="B134" i="455" s="1"/>
  <c r="B135" i="455" s="1"/>
  <c r="B136" i="455" s="1"/>
  <c r="B137" i="455" s="1"/>
  <c r="B138" i="455" s="1"/>
  <c r="B139" i="455" s="1"/>
  <c r="B140" i="455" s="1"/>
  <c r="B141" i="455" s="1"/>
  <c r="B142" i="455" s="1"/>
  <c r="B143" i="455" s="1"/>
  <c r="B144" i="455" s="1"/>
  <c r="B145" i="455" s="1"/>
  <c r="B146" i="455" s="1"/>
  <c r="B147" i="455" s="1"/>
  <c r="B148" i="455" s="1"/>
  <c r="B149" i="455" s="1"/>
  <c r="B150" i="455" s="1"/>
  <c r="B151" i="455" s="1"/>
  <c r="B152" i="455" s="1"/>
  <c r="B153" i="455" s="1"/>
  <c r="B154" i="455" s="1"/>
  <c r="B155" i="455" s="1"/>
  <c r="B156" i="455" s="1"/>
  <c r="B157" i="455" s="1"/>
  <c r="B158" i="455" s="1"/>
  <c r="B159" i="455" s="1"/>
  <c r="L410" i="436"/>
  <c r="L411" i="436"/>
  <c r="H3719" i="451"/>
  <c r="I3719" i="451" s="1"/>
  <c r="L412" i="436"/>
  <c r="L286" i="436"/>
  <c r="L358" i="436"/>
  <c r="F146" i="504"/>
  <c r="G1357" i="448"/>
  <c r="E149" i="505"/>
  <c r="E137" i="505"/>
  <c r="E129" i="505"/>
  <c r="E132" i="505"/>
  <c r="B100" i="505"/>
  <c r="B101" i="505" s="1"/>
  <c r="B102" i="505" s="1"/>
  <c r="B103" i="505" s="1"/>
  <c r="B104" i="505" s="1"/>
  <c r="E109" i="505"/>
  <c r="E124" i="505"/>
  <c r="E32" i="505"/>
  <c r="E44" i="505"/>
  <c r="C81" i="505"/>
  <c r="C7" i="505"/>
  <c r="C41" i="505"/>
  <c r="B219" i="455"/>
  <c r="C344" i="455"/>
  <c r="C347" i="455" s="1"/>
  <c r="C346" i="455"/>
  <c r="C345" i="455"/>
  <c r="C309" i="455"/>
  <c r="C311" i="455" s="1"/>
  <c r="C313" i="455" s="1"/>
  <c r="C315" i="455" s="1"/>
  <c r="C317" i="455"/>
  <c r="C318" i="455" s="1"/>
  <c r="C319" i="455" s="1"/>
  <c r="C320" i="455" s="1"/>
  <c r="C321" i="455" s="1"/>
  <c r="C322" i="455" s="1"/>
  <c r="C323" i="455" s="1"/>
  <c r="C324" i="455" s="1"/>
  <c r="C325" i="455" s="1"/>
  <c r="C326" i="455" s="1"/>
  <c r="C327" i="455" s="1"/>
  <c r="C328" i="455" s="1"/>
  <c r="C329" i="455" s="1"/>
  <c r="C330" i="455" s="1"/>
  <c r="C355" i="455"/>
  <c r="C186" i="455"/>
  <c r="C187" i="455"/>
  <c r="C193" i="455"/>
  <c r="C192" i="455"/>
  <c r="C194" i="455" s="1"/>
  <c r="C195" i="455" s="1"/>
  <c r="C112" i="455"/>
  <c r="C145" i="455"/>
  <c r="C59" i="455"/>
  <c r="C154" i="455"/>
  <c r="C134" i="455"/>
  <c r="C54" i="455"/>
  <c r="C60" i="455"/>
  <c r="H4323" i="451"/>
  <c r="H4325" i="451"/>
  <c r="I4325" i="451" s="1"/>
  <c r="H4277" i="451"/>
  <c r="I4277" i="451" s="1"/>
  <c r="H3655" i="451"/>
  <c r="I3655" i="451" s="1"/>
  <c r="L408" i="436"/>
  <c r="L419" i="436" s="1"/>
  <c r="H3607" i="451"/>
  <c r="I3607" i="451" s="1"/>
  <c r="L406" i="436"/>
  <c r="L407" i="436"/>
  <c r="L404" i="436"/>
  <c r="H3456" i="451"/>
  <c r="I3456" i="451" s="1"/>
  <c r="L405" i="436"/>
  <c r="H3350" i="451"/>
  <c r="I3350" i="451" s="1"/>
  <c r="H3160" i="451"/>
  <c r="I3160" i="451" s="1"/>
  <c r="H2970" i="451"/>
  <c r="I2970" i="451" s="1"/>
  <c r="K2605" i="451"/>
  <c r="L345" i="436" s="1"/>
  <c r="L352" i="436" s="1"/>
  <c r="L2605" i="451"/>
  <c r="L344" i="436" s="1"/>
  <c r="L349" i="436"/>
  <c r="M2605" i="451"/>
  <c r="L343" i="436" s="1"/>
  <c r="L351" i="436" s="1"/>
  <c r="H2602" i="451"/>
  <c r="I2602" i="451" s="1"/>
  <c r="L387" i="436"/>
  <c r="L341" i="436"/>
  <c r="L340" i="436"/>
  <c r="G2080" i="448"/>
  <c r="H2531" i="451"/>
  <c r="I2531" i="451" s="1"/>
  <c r="L335" i="436"/>
  <c r="H2433" i="451"/>
  <c r="I2433" i="451" s="1"/>
  <c r="H2344" i="451"/>
  <c r="I2344" i="451" s="1"/>
  <c r="H2301" i="451"/>
  <c r="I2301" i="451" s="1"/>
  <c r="L379" i="436"/>
  <c r="H2223" i="451"/>
  <c r="I2223" i="451" s="1"/>
  <c r="H1958" i="451"/>
  <c r="H1915" i="451"/>
  <c r="I1915" i="451" s="1"/>
  <c r="L329" i="436"/>
  <c r="H1872" i="451"/>
  <c r="I1872" i="451" s="1"/>
  <c r="H1780" i="451"/>
  <c r="I1780" i="451" s="1"/>
  <c r="H1739" i="451"/>
  <c r="L307" i="436"/>
  <c r="L308" i="436"/>
  <c r="L310" i="436"/>
  <c r="L309" i="436"/>
  <c r="G1227" i="448"/>
  <c r="G1237" i="448"/>
  <c r="G1232" i="448"/>
  <c r="H1600" i="451"/>
  <c r="H1596" i="451"/>
  <c r="I1596" i="451" s="1"/>
  <c r="H1460" i="451"/>
  <c r="I1460" i="451" s="1"/>
  <c r="L299" i="436"/>
  <c r="L305" i="436"/>
  <c r="L297" i="436"/>
  <c r="H1464" i="451"/>
  <c r="H1416" i="451"/>
  <c r="H1352" i="451"/>
  <c r="H1345" i="451"/>
  <c r="G1255" i="448"/>
  <c r="G1241" i="448"/>
  <c r="G1254" i="448"/>
  <c r="G1230" i="448"/>
  <c r="G1250" i="448"/>
  <c r="G1243" i="448"/>
  <c r="G1249" i="448"/>
  <c r="G1235" i="448"/>
  <c r="G1225" i="448"/>
  <c r="B7" i="504"/>
  <c r="B258" i="455" l="1"/>
  <c r="B259" i="455" s="1"/>
  <c r="B260" i="455" s="1"/>
  <c r="B261" i="455" s="1"/>
  <c r="B262" i="455" s="1"/>
  <c r="B263" i="455" s="1"/>
  <c r="B264" i="455" s="1"/>
  <c r="B265" i="455" s="1"/>
  <c r="B266" i="455" s="1"/>
  <c r="B267" i="455" s="1"/>
  <c r="B268" i="455" s="1"/>
  <c r="B269" i="455" s="1"/>
  <c r="B270" i="455" s="1"/>
  <c r="B271" i="455" s="1"/>
  <c r="B272" i="455" s="1"/>
  <c r="B273" i="455" s="1"/>
  <c r="B274" i="455" s="1"/>
  <c r="B275" i="455" s="1"/>
  <c r="B276" i="455" s="1"/>
  <c r="B277" i="455" s="1"/>
  <c r="B278" i="455" s="1"/>
  <c r="B279" i="455" s="1"/>
  <c r="B280" i="455" s="1"/>
  <c r="B281" i="455" s="1"/>
  <c r="B282" i="455" s="1"/>
  <c r="B283" i="455" s="1"/>
  <c r="B284" i="455" s="1"/>
  <c r="B285" i="455" s="1"/>
  <c r="B286" i="455" s="1"/>
  <c r="B287" i="455" s="1"/>
  <c r="B288" i="455" s="1"/>
  <c r="B289" i="455" s="1"/>
  <c r="B290" i="455" s="1"/>
  <c r="B291" i="455" s="1"/>
  <c r="B292" i="455" s="1"/>
  <c r="B293" i="455" s="1"/>
  <c r="B294" i="455" s="1"/>
  <c r="B295" i="455" s="1"/>
  <c r="B296" i="455" s="1"/>
  <c r="B297" i="455" s="1"/>
  <c r="B298" i="455" s="1"/>
  <c r="B299" i="455" s="1"/>
  <c r="B300" i="455" s="1"/>
  <c r="B301" i="455" s="1"/>
  <c r="B302" i="455" s="1"/>
  <c r="B303" i="455" s="1"/>
  <c r="B304" i="455" s="1"/>
  <c r="B305" i="455" s="1"/>
  <c r="B306" i="455" s="1"/>
  <c r="B307" i="455" s="1"/>
  <c r="B308" i="455" s="1"/>
  <c r="B309" i="455" s="1"/>
  <c r="B310" i="455" s="1"/>
  <c r="B311" i="455" s="1"/>
  <c r="B312" i="455" s="1"/>
  <c r="B313" i="455" s="1"/>
  <c r="B314" i="455" s="1"/>
  <c r="B315" i="455" s="1"/>
  <c r="B316" i="455" s="1"/>
  <c r="B317" i="455" s="1"/>
  <c r="B318" i="455" s="1"/>
  <c r="B319" i="455" s="1"/>
  <c r="B320" i="455" s="1"/>
  <c r="B321" i="455" s="1"/>
  <c r="B322" i="455" s="1"/>
  <c r="B323" i="455" s="1"/>
  <c r="B324" i="455" s="1"/>
  <c r="B325" i="455" s="1"/>
  <c r="B326" i="455" s="1"/>
  <c r="B327" i="455" s="1"/>
  <c r="B328" i="455" s="1"/>
  <c r="B329" i="455" s="1"/>
  <c r="B330" i="455" s="1"/>
  <c r="B331" i="455" s="1"/>
  <c r="B332" i="455" s="1"/>
  <c r="B333" i="455" s="1"/>
  <c r="B334" i="455" s="1"/>
  <c r="B335" i="455" s="1"/>
  <c r="B336" i="455" s="1"/>
  <c r="B337" i="455" s="1"/>
  <c r="B338" i="455" s="1"/>
  <c r="B339" i="455" s="1"/>
  <c r="B340" i="455" s="1"/>
  <c r="B341" i="455" s="1"/>
  <c r="B342" i="455" s="1"/>
  <c r="B343" i="455" s="1"/>
  <c r="B344" i="455" s="1"/>
  <c r="B345" i="455" s="1"/>
  <c r="B346" i="455" s="1"/>
  <c r="B347" i="455" s="1"/>
  <c r="B348" i="455" s="1"/>
  <c r="B349" i="455" s="1"/>
  <c r="B350" i="455" s="1"/>
  <c r="B351" i="455" s="1"/>
  <c r="B352" i="455" s="1"/>
  <c r="B353" i="455" s="1"/>
  <c r="B354" i="455" s="1"/>
  <c r="B355" i="455" s="1"/>
  <c r="C265" i="455"/>
  <c r="C264" i="455"/>
  <c r="C266" i="455" s="1"/>
  <c r="C267" i="455" s="1"/>
  <c r="C268" i="455" s="1"/>
  <c r="C269" i="455" s="1"/>
  <c r="C270" i="455" s="1"/>
  <c r="C271" i="455" s="1"/>
  <c r="C272" i="455" s="1"/>
  <c r="C273" i="455" s="1"/>
  <c r="C274" i="455" s="1"/>
  <c r="C275" i="455" s="1"/>
  <c r="C276" i="455" s="1"/>
  <c r="C277" i="455" s="1"/>
  <c r="C278" i="455" s="1"/>
  <c r="C279" i="455" s="1"/>
  <c r="C280" i="455" s="1"/>
  <c r="C281" i="455" s="1"/>
  <c r="C282" i="455" s="1"/>
  <c r="C283" i="455" s="1"/>
  <c r="C284" i="455" s="1"/>
  <c r="C285" i="455" s="1"/>
  <c r="C239" i="455"/>
  <c r="C237" i="455"/>
  <c r="B416" i="455"/>
  <c r="B417" i="455" s="1"/>
  <c r="B418" i="455" s="1"/>
  <c r="B419" i="455" s="1"/>
  <c r="B420" i="455" s="1"/>
  <c r="B421" i="455" s="1"/>
  <c r="B422" i="455" s="1"/>
  <c r="B160" i="455"/>
  <c r="B161" i="455" s="1"/>
  <c r="B162" i="455" s="1"/>
  <c r="B163" i="455" s="1"/>
  <c r="B164" i="455" s="1"/>
  <c r="B165" i="455" s="1"/>
  <c r="B166" i="455" s="1"/>
  <c r="B167" i="455" s="1"/>
  <c r="B168" i="455" s="1"/>
  <c r="B169" i="455" s="1"/>
  <c r="B170" i="455" s="1"/>
  <c r="B171" i="455" s="1"/>
  <c r="B172" i="455" s="1"/>
  <c r="B173" i="455" s="1"/>
  <c r="B174" i="455" s="1"/>
  <c r="B175" i="455" s="1"/>
  <c r="B176" i="455" s="1"/>
  <c r="B177" i="455" s="1"/>
  <c r="B178" i="455" s="1"/>
  <c r="B179" i="455" s="1"/>
  <c r="B180" i="455" s="1"/>
  <c r="B181" i="455" s="1"/>
  <c r="B182" i="455" s="1"/>
  <c r="B183" i="455" s="1"/>
  <c r="B184" i="455" s="1"/>
  <c r="B185" i="455" s="1"/>
  <c r="B186" i="455" s="1"/>
  <c r="B187" i="455" s="1"/>
  <c r="B188" i="455" s="1"/>
  <c r="B189" i="455" s="1"/>
  <c r="B190" i="455" s="1"/>
  <c r="B191" i="455" s="1"/>
  <c r="B192" i="455" s="1"/>
  <c r="B193" i="455" s="1"/>
  <c r="B194" i="455" s="1"/>
  <c r="B195" i="455" s="1"/>
  <c r="B196" i="455" s="1"/>
  <c r="B197" i="455" s="1"/>
  <c r="B198" i="455" s="1"/>
  <c r="B199" i="455" s="1"/>
  <c r="B200" i="455" s="1"/>
  <c r="B201" i="455" s="1"/>
  <c r="B202" i="455" s="1"/>
  <c r="B203" i="455" s="1"/>
  <c r="B204" i="455" s="1"/>
  <c r="B220" i="455"/>
  <c r="B221" i="455" s="1"/>
  <c r="B222" i="455" s="1"/>
  <c r="B223" i="455" s="1"/>
  <c r="B224" i="455" s="1"/>
  <c r="B225" i="455" s="1"/>
  <c r="B226" i="455" s="1"/>
  <c r="B227" i="455" s="1"/>
  <c r="B228" i="455" s="1"/>
  <c r="B229" i="455" s="1"/>
  <c r="B230" i="455" s="1"/>
  <c r="I1958" i="451"/>
  <c r="E7" i="505"/>
  <c r="B105" i="505"/>
  <c r="B106" i="505" s="1"/>
  <c r="B107" i="505" s="1"/>
  <c r="B108" i="505" s="1"/>
  <c r="B109" i="505" s="1"/>
  <c r="B110" i="505" s="1"/>
  <c r="B111" i="505" s="1"/>
  <c r="B112" i="505" s="1"/>
  <c r="B113" i="505" s="1"/>
  <c r="B114" i="505" s="1"/>
  <c r="B115" i="505" s="1"/>
  <c r="B116" i="505" s="1"/>
  <c r="B117" i="505" s="1"/>
  <c r="B118" i="505" s="1"/>
  <c r="B119" i="505" s="1"/>
  <c r="B120" i="505" s="1"/>
  <c r="B121" i="505" s="1"/>
  <c r="B122" i="505" s="1"/>
  <c r="B123" i="505" s="1"/>
  <c r="B124" i="505" s="1"/>
  <c r="A7" i="505"/>
  <c r="C348" i="455"/>
  <c r="C349" i="455" s="1"/>
  <c r="C350" i="455" s="1"/>
  <c r="C352" i="455" s="1"/>
  <c r="C331" i="455"/>
  <c r="C332" i="455" s="1"/>
  <c r="C333" i="455" s="1"/>
  <c r="C334" i="455" s="1"/>
  <c r="C335" i="455" s="1"/>
  <c r="L421" i="436"/>
  <c r="H4322" i="451"/>
  <c r="I4322" i="451" s="1"/>
  <c r="L440" i="436"/>
  <c r="L350" i="436"/>
  <c r="N352" i="436"/>
  <c r="O352" i="436" s="1"/>
  <c r="L324" i="436"/>
  <c r="L326" i="436"/>
  <c r="D15" i="504"/>
  <c r="D16" i="504"/>
  <c r="D17" i="504"/>
  <c r="D18" i="504"/>
  <c r="D19" i="504"/>
  <c r="D20" i="504"/>
  <c r="D21" i="504"/>
  <c r="D22" i="504"/>
  <c r="D23" i="504"/>
  <c r="D24" i="504"/>
  <c r="D25" i="504"/>
  <c r="D26" i="504"/>
  <c r="D27" i="504"/>
  <c r="D28" i="504"/>
  <c r="D29" i="504"/>
  <c r="D30" i="504"/>
  <c r="D31" i="504"/>
  <c r="D32" i="504"/>
  <c r="D33" i="504"/>
  <c r="D34" i="504"/>
  <c r="D35" i="504"/>
  <c r="D36" i="504"/>
  <c r="D37" i="504"/>
  <c r="D38" i="504"/>
  <c r="D39" i="504"/>
  <c r="D40" i="504"/>
  <c r="D41" i="504"/>
  <c r="D42" i="504"/>
  <c r="D43" i="504"/>
  <c r="D44" i="504"/>
  <c r="D45" i="504"/>
  <c r="D46" i="504"/>
  <c r="D47" i="504"/>
  <c r="D48" i="504"/>
  <c r="D49" i="504"/>
  <c r="D50" i="504"/>
  <c r="D51" i="504"/>
  <c r="D52" i="504"/>
  <c r="D53" i="504"/>
  <c r="D54" i="504"/>
  <c r="D55" i="504"/>
  <c r="D56" i="504"/>
  <c r="D57" i="504"/>
  <c r="D58" i="504"/>
  <c r="D59" i="504"/>
  <c r="D60" i="504"/>
  <c r="D61" i="504"/>
  <c r="D62" i="504"/>
  <c r="D63" i="504"/>
  <c r="D64" i="504"/>
  <c r="D65" i="504"/>
  <c r="D66" i="504"/>
  <c r="D67" i="504"/>
  <c r="D68" i="504"/>
  <c r="D69" i="504"/>
  <c r="D70" i="504"/>
  <c r="D71" i="504"/>
  <c r="D72" i="504"/>
  <c r="D73" i="504"/>
  <c r="D74" i="504"/>
  <c r="D75" i="504"/>
  <c r="D76" i="504"/>
  <c r="D77" i="504"/>
  <c r="D78" i="504"/>
  <c r="D79" i="504"/>
  <c r="D80" i="504"/>
  <c r="D81" i="504"/>
  <c r="D82" i="504"/>
  <c r="D83" i="504"/>
  <c r="D84" i="504"/>
  <c r="D85" i="504"/>
  <c r="D86" i="504"/>
  <c r="D87" i="504"/>
  <c r="D88" i="504"/>
  <c r="D89" i="504"/>
  <c r="D90" i="504"/>
  <c r="D91" i="504"/>
  <c r="D92" i="504"/>
  <c r="D93" i="504"/>
  <c r="D94" i="504"/>
  <c r="D95" i="504"/>
  <c r="D96" i="504"/>
  <c r="D97" i="504"/>
  <c r="D98" i="504"/>
  <c r="D99" i="504"/>
  <c r="D100" i="504"/>
  <c r="D101" i="504"/>
  <c r="D102" i="504"/>
  <c r="D103" i="504"/>
  <c r="D104" i="504"/>
  <c r="D105" i="504"/>
  <c r="D106" i="504"/>
  <c r="D107" i="504"/>
  <c r="D108" i="504"/>
  <c r="D109" i="504"/>
  <c r="D110" i="504"/>
  <c r="D111" i="504"/>
  <c r="D112" i="504"/>
  <c r="D113" i="504"/>
  <c r="D114" i="504"/>
  <c r="D115" i="504"/>
  <c r="D116" i="504"/>
  <c r="D117" i="504"/>
  <c r="D118" i="504"/>
  <c r="D119" i="504"/>
  <c r="D120" i="504"/>
  <c r="D121" i="504"/>
  <c r="D122" i="504"/>
  <c r="D123" i="504"/>
  <c r="D124" i="504"/>
  <c r="D125" i="504"/>
  <c r="D126" i="504"/>
  <c r="D127" i="504"/>
  <c r="D128" i="504"/>
  <c r="D129" i="504"/>
  <c r="D130" i="504"/>
  <c r="D131" i="504"/>
  <c r="D132" i="504"/>
  <c r="D133" i="504"/>
  <c r="D134" i="504"/>
  <c r="D135" i="504"/>
  <c r="D136" i="504"/>
  <c r="D137" i="504"/>
  <c r="D138" i="504"/>
  <c r="D139" i="504"/>
  <c r="D140" i="504"/>
  <c r="D141" i="504"/>
  <c r="D142" i="504"/>
  <c r="D143" i="504"/>
  <c r="D144" i="504"/>
  <c r="D145" i="504"/>
  <c r="D14" i="504"/>
  <c r="D13" i="504"/>
  <c r="B146" i="504"/>
  <c r="C19" i="504"/>
  <c r="C20" i="504"/>
  <c r="C21" i="504"/>
  <c r="C22" i="504"/>
  <c r="C23" i="504"/>
  <c r="C24" i="504"/>
  <c r="C25" i="504"/>
  <c r="C26" i="504"/>
  <c r="C27" i="504"/>
  <c r="C28" i="504"/>
  <c r="C29" i="504"/>
  <c r="C30" i="504"/>
  <c r="C31" i="504"/>
  <c r="C32" i="504"/>
  <c r="C33" i="504"/>
  <c r="C34" i="504"/>
  <c r="C35" i="504"/>
  <c r="C36" i="504"/>
  <c r="C37" i="504"/>
  <c r="C38" i="504"/>
  <c r="C39" i="504"/>
  <c r="C40" i="504"/>
  <c r="C41" i="504"/>
  <c r="C42" i="504"/>
  <c r="C43" i="504"/>
  <c r="C44" i="504"/>
  <c r="C45" i="504"/>
  <c r="C46" i="504"/>
  <c r="C47" i="504"/>
  <c r="C48" i="504"/>
  <c r="C49" i="504"/>
  <c r="C50" i="504"/>
  <c r="C51" i="504"/>
  <c r="C52" i="504"/>
  <c r="C53" i="504"/>
  <c r="C54" i="504"/>
  <c r="C55" i="504"/>
  <c r="C56" i="504"/>
  <c r="C57" i="504"/>
  <c r="C58" i="504"/>
  <c r="C59" i="504"/>
  <c r="C60" i="504"/>
  <c r="C61" i="504"/>
  <c r="C62" i="504"/>
  <c r="C63" i="504"/>
  <c r="C64" i="504"/>
  <c r="C65" i="504"/>
  <c r="C66" i="504"/>
  <c r="C67" i="504"/>
  <c r="C68" i="504"/>
  <c r="C69" i="504"/>
  <c r="C70" i="504"/>
  <c r="C71" i="504"/>
  <c r="C72" i="504"/>
  <c r="C73" i="504"/>
  <c r="C74" i="504"/>
  <c r="C75" i="504"/>
  <c r="C76" i="504"/>
  <c r="C77" i="504"/>
  <c r="C78" i="504"/>
  <c r="C79" i="504"/>
  <c r="C80" i="504"/>
  <c r="C81" i="504"/>
  <c r="C82" i="504"/>
  <c r="C83" i="504"/>
  <c r="C84" i="504"/>
  <c r="C85" i="504"/>
  <c r="C86" i="504"/>
  <c r="C87" i="504"/>
  <c r="C88" i="504"/>
  <c r="C89" i="504"/>
  <c r="C90" i="504"/>
  <c r="C91" i="504"/>
  <c r="C92" i="504"/>
  <c r="C93" i="504"/>
  <c r="C94" i="504"/>
  <c r="C95" i="504"/>
  <c r="C96" i="504"/>
  <c r="C97" i="504"/>
  <c r="C98" i="504"/>
  <c r="C99" i="504"/>
  <c r="C100" i="504"/>
  <c r="C101" i="504"/>
  <c r="C102" i="504"/>
  <c r="C103" i="504"/>
  <c r="C104" i="504"/>
  <c r="C105" i="504"/>
  <c r="C106" i="504"/>
  <c r="C107" i="504"/>
  <c r="C108" i="504"/>
  <c r="C109" i="504"/>
  <c r="C110" i="504"/>
  <c r="C111" i="504"/>
  <c r="C112" i="504"/>
  <c r="C113" i="504"/>
  <c r="C114" i="504"/>
  <c r="C115" i="504"/>
  <c r="C116" i="504"/>
  <c r="C117" i="504"/>
  <c r="C118" i="504"/>
  <c r="C119" i="504"/>
  <c r="C120" i="504"/>
  <c r="C121" i="504"/>
  <c r="C122" i="504"/>
  <c r="C123" i="504"/>
  <c r="C124" i="504"/>
  <c r="C125" i="504"/>
  <c r="C126" i="504"/>
  <c r="C127" i="504"/>
  <c r="C128" i="504"/>
  <c r="C129" i="504"/>
  <c r="C130" i="504"/>
  <c r="C131" i="504"/>
  <c r="C132" i="504"/>
  <c r="C133" i="504"/>
  <c r="C134" i="504"/>
  <c r="C135" i="504"/>
  <c r="C136" i="504"/>
  <c r="C137" i="504"/>
  <c r="C138" i="504"/>
  <c r="C139" i="504"/>
  <c r="C140" i="504"/>
  <c r="C141" i="504"/>
  <c r="C142" i="504"/>
  <c r="C143" i="504"/>
  <c r="C144" i="504"/>
  <c r="C145" i="504"/>
  <c r="C18" i="504"/>
  <c r="A146" i="504"/>
  <c r="C7" i="504"/>
  <c r="C3" i="504"/>
  <c r="C2" i="504"/>
  <c r="C1" i="504"/>
  <c r="E800" i="451"/>
  <c r="G1018" i="451"/>
  <c r="G1010" i="451"/>
  <c r="E1345" i="451"/>
  <c r="I1345" i="451" s="1"/>
  <c r="E1352" i="451"/>
  <c r="I1352" i="451" s="1"/>
  <c r="E1416" i="451"/>
  <c r="I1416" i="451" s="1"/>
  <c r="E1464" i="451"/>
  <c r="I1464" i="451" s="1"/>
  <c r="E1600" i="451"/>
  <c r="I1600" i="451" s="1"/>
  <c r="E1731" i="451"/>
  <c r="E1734" i="451"/>
  <c r="E1739" i="451"/>
  <c r="I1739" i="451" s="1"/>
  <c r="E740" i="451"/>
  <c r="G758" i="451"/>
  <c r="G750" i="451"/>
  <c r="H746" i="451"/>
  <c r="H745" i="451"/>
  <c r="H744" i="451"/>
  <c r="H743" i="451"/>
  <c r="H742" i="451"/>
  <c r="L125" i="436" s="1"/>
  <c r="H741" i="451"/>
  <c r="L126" i="436" s="1"/>
  <c r="D431" i="449"/>
  <c r="A431" i="449"/>
  <c r="E1443" i="448"/>
  <c r="E1442" i="448"/>
  <c r="G1441" i="448"/>
  <c r="G719" i="451"/>
  <c r="G711" i="451"/>
  <c r="H707" i="451"/>
  <c r="H706" i="451"/>
  <c r="H705" i="451"/>
  <c r="H704" i="451"/>
  <c r="H703" i="451"/>
  <c r="H702" i="451"/>
  <c r="L273" i="436" s="1"/>
  <c r="G675" i="451"/>
  <c r="E632" i="451"/>
  <c r="H644" i="451"/>
  <c r="H645" i="451"/>
  <c r="H646" i="451"/>
  <c r="H647" i="451"/>
  <c r="H648" i="451"/>
  <c r="H649" i="451"/>
  <c r="H650" i="451"/>
  <c r="H636" i="451"/>
  <c r="H637" i="451"/>
  <c r="H638" i="451"/>
  <c r="H639" i="451"/>
  <c r="H640" i="451"/>
  <c r="H641" i="451"/>
  <c r="H642" i="451"/>
  <c r="H643" i="451"/>
  <c r="G655" i="451"/>
  <c r="H635" i="451"/>
  <c r="H634" i="451"/>
  <c r="H633" i="451"/>
  <c r="H596" i="451"/>
  <c r="E595" i="451"/>
  <c r="E592" i="451"/>
  <c r="E587" i="451"/>
  <c r="H588" i="451"/>
  <c r="H587" i="451" s="1"/>
  <c r="H593" i="451"/>
  <c r="L267" i="436" s="1"/>
  <c r="L279" i="436" s="1"/>
  <c r="G613" i="451"/>
  <c r="G605" i="451"/>
  <c r="H601" i="451"/>
  <c r="H600" i="451"/>
  <c r="H599" i="451"/>
  <c r="H598" i="451"/>
  <c r="H597" i="451"/>
  <c r="E526" i="451"/>
  <c r="G544" i="451"/>
  <c r="G536" i="451"/>
  <c r="H532" i="451"/>
  <c r="H531" i="451"/>
  <c r="H530" i="451"/>
  <c r="H529" i="451"/>
  <c r="H528" i="451"/>
  <c r="L264" i="436" s="1"/>
  <c r="H527" i="451"/>
  <c r="L265" i="436" s="1"/>
  <c r="E1300" i="448"/>
  <c r="G1299" i="448"/>
  <c r="E465" i="451"/>
  <c r="G483" i="451"/>
  <c r="G475" i="451"/>
  <c r="H471" i="451"/>
  <c r="H470" i="451"/>
  <c r="H469" i="451"/>
  <c r="H468" i="451"/>
  <c r="H467" i="451"/>
  <c r="H466" i="451"/>
  <c r="E1290" i="448"/>
  <c r="G1289" i="448"/>
  <c r="E1292" i="448"/>
  <c r="G1291" i="448"/>
  <c r="E378" i="451"/>
  <c r="G396" i="451"/>
  <c r="G388" i="451"/>
  <c r="H384" i="451"/>
  <c r="H383" i="451"/>
  <c r="H382" i="451"/>
  <c r="H381" i="451"/>
  <c r="H380" i="451"/>
  <c r="L269" i="436" s="1"/>
  <c r="H379" i="451"/>
  <c r="L268" i="436" s="1"/>
  <c r="G339" i="451"/>
  <c r="G331" i="451"/>
  <c r="H327" i="451"/>
  <c r="H326" i="451"/>
  <c r="H325" i="451"/>
  <c r="H324" i="451"/>
  <c r="H323" i="451"/>
  <c r="H322" i="451"/>
  <c r="G211" i="451"/>
  <c r="G203" i="451"/>
  <c r="H199" i="451"/>
  <c r="H198" i="451"/>
  <c r="H197" i="451"/>
  <c r="H196" i="451"/>
  <c r="L114" i="436" s="1"/>
  <c r="H195" i="451"/>
  <c r="L113" i="436" s="1"/>
  <c r="H194" i="451"/>
  <c r="E734" i="448"/>
  <c r="F733" i="448"/>
  <c r="E733" i="448"/>
  <c r="G732" i="448"/>
  <c r="D54" i="449"/>
  <c r="G733" i="448" s="1"/>
  <c r="A54" i="449"/>
  <c r="D56" i="449"/>
  <c r="G739" i="448" s="1"/>
  <c r="A56" i="449"/>
  <c r="D55" i="449"/>
  <c r="G736" i="448" s="1"/>
  <c r="A55" i="449"/>
  <c r="D53" i="449"/>
  <c r="G730" i="448" s="1"/>
  <c r="A53" i="449"/>
  <c r="E740" i="448"/>
  <c r="F739" i="448"/>
  <c r="E739" i="448"/>
  <c r="G738" i="448"/>
  <c r="E737" i="448"/>
  <c r="F736" i="448"/>
  <c r="E736" i="448"/>
  <c r="G735" i="448"/>
  <c r="E731" i="448"/>
  <c r="F730" i="448"/>
  <c r="E730" i="448"/>
  <c r="G729" i="448"/>
  <c r="E98" i="451"/>
  <c r="G116" i="451"/>
  <c r="G108" i="451"/>
  <c r="J105" i="451"/>
  <c r="H104" i="451"/>
  <c r="H103" i="451"/>
  <c r="H102" i="451"/>
  <c r="H101" i="451"/>
  <c r="H100" i="451"/>
  <c r="L109" i="436" s="1"/>
  <c r="H99" i="451"/>
  <c r="H137" i="451"/>
  <c r="H136" i="451"/>
  <c r="H135" i="451"/>
  <c r="H134" i="451"/>
  <c r="H133" i="451"/>
  <c r="H156" i="451"/>
  <c r="H155" i="451"/>
  <c r="H154" i="451"/>
  <c r="H153" i="451"/>
  <c r="H152" i="451"/>
  <c r="H175" i="451"/>
  <c r="H174" i="451"/>
  <c r="H173" i="451"/>
  <c r="H172" i="451"/>
  <c r="H171" i="451"/>
  <c r="H192" i="451"/>
  <c r="H191" i="451"/>
  <c r="H190" i="451"/>
  <c r="E321" i="451"/>
  <c r="D63" i="449"/>
  <c r="A63" i="449"/>
  <c r="E716" i="448"/>
  <c r="F715" i="448"/>
  <c r="E715" i="448"/>
  <c r="G714" i="448"/>
  <c r="G116" i="432"/>
  <c r="L377" i="436" s="1"/>
  <c r="E115" i="432"/>
  <c r="E114" i="432"/>
  <c r="E113" i="432"/>
  <c r="E112" i="432"/>
  <c r="E111" i="432"/>
  <c r="E110" i="432"/>
  <c r="E109" i="432"/>
  <c r="E108" i="432"/>
  <c r="E107" i="432"/>
  <c r="E106" i="432"/>
  <c r="E105" i="432"/>
  <c r="E104" i="432"/>
  <c r="E103" i="432"/>
  <c r="E102" i="432"/>
  <c r="E101" i="432"/>
  <c r="E100" i="432"/>
  <c r="E99" i="432"/>
  <c r="E98" i="432"/>
  <c r="E97" i="432"/>
  <c r="E96" i="432"/>
  <c r="E95" i="432"/>
  <c r="E94" i="432"/>
  <c r="E93" i="432"/>
  <c r="E92" i="432"/>
  <c r="E91" i="432"/>
  <c r="E90" i="432"/>
  <c r="E89" i="432"/>
  <c r="E88" i="432"/>
  <c r="E87" i="432"/>
  <c r="E86" i="432"/>
  <c r="E85" i="432"/>
  <c r="E84" i="432"/>
  <c r="E83" i="432"/>
  <c r="E82" i="432"/>
  <c r="E81" i="432"/>
  <c r="E80" i="432"/>
  <c r="E77" i="432"/>
  <c r="E76" i="432"/>
  <c r="E79" i="432"/>
  <c r="E78" i="432"/>
  <c r="E75" i="432"/>
  <c r="E74" i="432"/>
  <c r="E73" i="432"/>
  <c r="E72" i="432"/>
  <c r="E71" i="432"/>
  <c r="E70" i="432"/>
  <c r="K129" i="504" l="1"/>
  <c r="I129" i="504"/>
  <c r="M129" i="504"/>
  <c r="R129" i="504"/>
  <c r="S129" i="504"/>
  <c r="L129" i="504"/>
  <c r="N129" i="504"/>
  <c r="O129" i="504"/>
  <c r="J129" i="504"/>
  <c r="P129" i="504"/>
  <c r="Q129" i="504"/>
  <c r="H129" i="504"/>
  <c r="M49" i="504"/>
  <c r="P49" i="504"/>
  <c r="J49" i="504"/>
  <c r="H49" i="504"/>
  <c r="N49" i="504"/>
  <c r="O49" i="504"/>
  <c r="Q49" i="504"/>
  <c r="R49" i="504"/>
  <c r="S49" i="504"/>
  <c r="L49" i="504"/>
  <c r="I49" i="504"/>
  <c r="K49" i="504"/>
  <c r="M32" i="504"/>
  <c r="P32" i="504"/>
  <c r="J32" i="504"/>
  <c r="H32" i="504"/>
  <c r="K32" i="504"/>
  <c r="I32" i="504"/>
  <c r="N32" i="504"/>
  <c r="Q32" i="504"/>
  <c r="R32" i="504"/>
  <c r="S32" i="504"/>
  <c r="L32" i="504"/>
  <c r="O32" i="504"/>
  <c r="M114" i="504"/>
  <c r="P114" i="504"/>
  <c r="I114" i="504"/>
  <c r="H114" i="504"/>
  <c r="L114" i="504"/>
  <c r="Q114" i="504"/>
  <c r="R114" i="504"/>
  <c r="S114" i="504"/>
  <c r="J114" i="504"/>
  <c r="K114" i="504"/>
  <c r="N114" i="504"/>
  <c r="O114" i="504"/>
  <c r="R82" i="504"/>
  <c r="O82" i="504"/>
  <c r="P82" i="504"/>
  <c r="Q82" i="504"/>
  <c r="S82" i="504"/>
  <c r="J82" i="504"/>
  <c r="L82" i="504"/>
  <c r="K82" i="504"/>
  <c r="H82" i="504"/>
  <c r="M82" i="504"/>
  <c r="I82" i="504"/>
  <c r="N82" i="504"/>
  <c r="R50" i="504"/>
  <c r="O50" i="504"/>
  <c r="M50" i="504"/>
  <c r="N50" i="504"/>
  <c r="Q50" i="504"/>
  <c r="J50" i="504"/>
  <c r="H50" i="504"/>
  <c r="K50" i="504"/>
  <c r="P50" i="504"/>
  <c r="L50" i="504"/>
  <c r="I50" i="504"/>
  <c r="S50" i="504"/>
  <c r="J18" i="504"/>
  <c r="S18" i="504"/>
  <c r="M18" i="504"/>
  <c r="N18" i="504"/>
  <c r="Q18" i="504"/>
  <c r="P18" i="504"/>
  <c r="O18" i="504"/>
  <c r="I18" i="504"/>
  <c r="K18" i="504"/>
  <c r="L18" i="504"/>
  <c r="H18" i="504"/>
  <c r="R18" i="504"/>
  <c r="K113" i="504"/>
  <c r="J113" i="504"/>
  <c r="I113" i="504"/>
  <c r="S113" i="504"/>
  <c r="H113" i="504"/>
  <c r="P113" i="504"/>
  <c r="R113" i="504"/>
  <c r="L113" i="504"/>
  <c r="M113" i="504"/>
  <c r="N113" i="504"/>
  <c r="O113" i="504"/>
  <c r="Q113" i="504"/>
  <c r="R33" i="504"/>
  <c r="O33" i="504"/>
  <c r="L33" i="504"/>
  <c r="M33" i="504"/>
  <c r="P33" i="504"/>
  <c r="S33" i="504"/>
  <c r="H33" i="504"/>
  <c r="K33" i="504"/>
  <c r="N33" i="504"/>
  <c r="I33" i="504"/>
  <c r="J33" i="504"/>
  <c r="Q33" i="504"/>
  <c r="Q144" i="504"/>
  <c r="K144" i="504"/>
  <c r="L144" i="504"/>
  <c r="N144" i="504"/>
  <c r="M144" i="504"/>
  <c r="H144" i="504"/>
  <c r="O144" i="504"/>
  <c r="I144" i="504"/>
  <c r="S144" i="504"/>
  <c r="J144" i="504"/>
  <c r="P144" i="504"/>
  <c r="R144" i="504"/>
  <c r="S112" i="504"/>
  <c r="M112" i="504"/>
  <c r="P112" i="504"/>
  <c r="Q112" i="504"/>
  <c r="R112" i="504"/>
  <c r="K112" i="504"/>
  <c r="N112" i="504"/>
  <c r="H112" i="504"/>
  <c r="O112" i="504"/>
  <c r="I112" i="504"/>
  <c r="J112" i="504"/>
  <c r="L112" i="504"/>
  <c r="K48" i="504"/>
  <c r="P48" i="504"/>
  <c r="Q48" i="504"/>
  <c r="S48" i="504"/>
  <c r="I48" i="504"/>
  <c r="J48" i="504"/>
  <c r="M48" i="504"/>
  <c r="L48" i="504"/>
  <c r="N48" i="504"/>
  <c r="H48" i="504"/>
  <c r="O48" i="504"/>
  <c r="R48" i="504"/>
  <c r="N95" i="504"/>
  <c r="Q95" i="504"/>
  <c r="R95" i="504"/>
  <c r="O95" i="504"/>
  <c r="P95" i="504"/>
  <c r="S95" i="504"/>
  <c r="L95" i="504"/>
  <c r="M95" i="504"/>
  <c r="H95" i="504"/>
  <c r="K95" i="504"/>
  <c r="I95" i="504"/>
  <c r="J95" i="504"/>
  <c r="S63" i="504"/>
  <c r="P63" i="504"/>
  <c r="I63" i="504"/>
  <c r="J63" i="504"/>
  <c r="L63" i="504"/>
  <c r="N63" i="504"/>
  <c r="O63" i="504"/>
  <c r="R63" i="504"/>
  <c r="Q63" i="504"/>
  <c r="H63" i="504"/>
  <c r="K63" i="504"/>
  <c r="M63" i="504"/>
  <c r="S47" i="504"/>
  <c r="P47" i="504"/>
  <c r="I47" i="504"/>
  <c r="K47" i="504"/>
  <c r="M47" i="504"/>
  <c r="O47" i="504"/>
  <c r="N47" i="504"/>
  <c r="L47" i="504"/>
  <c r="Q47" i="504"/>
  <c r="H47" i="504"/>
  <c r="J47" i="504"/>
  <c r="R47" i="504"/>
  <c r="K15" i="504"/>
  <c r="N15" i="504"/>
  <c r="O15" i="504"/>
  <c r="Q15" i="504"/>
  <c r="H15" i="504"/>
  <c r="I15" i="504"/>
  <c r="J15" i="504"/>
  <c r="P15" i="504"/>
  <c r="L15" i="504"/>
  <c r="M15" i="504"/>
  <c r="R15" i="504"/>
  <c r="S15" i="504"/>
  <c r="S30" i="504"/>
  <c r="P30" i="504"/>
  <c r="J30" i="504"/>
  <c r="H30" i="504"/>
  <c r="I30" i="504"/>
  <c r="M30" i="504"/>
  <c r="K30" i="504"/>
  <c r="L30" i="504"/>
  <c r="N30" i="504"/>
  <c r="O30" i="504"/>
  <c r="R30" i="504"/>
  <c r="Q30" i="504"/>
  <c r="P125" i="504"/>
  <c r="S125" i="504"/>
  <c r="H125" i="504"/>
  <c r="J125" i="504"/>
  <c r="Q125" i="504"/>
  <c r="R125" i="504"/>
  <c r="I125" i="504"/>
  <c r="L125" i="504"/>
  <c r="M125" i="504"/>
  <c r="N125" i="504"/>
  <c r="O125" i="504"/>
  <c r="K125" i="504"/>
  <c r="P93" i="504"/>
  <c r="Q93" i="504"/>
  <c r="S93" i="504"/>
  <c r="R93" i="504"/>
  <c r="O93" i="504"/>
  <c r="H93" i="504"/>
  <c r="I93" i="504"/>
  <c r="J93" i="504"/>
  <c r="K93" i="504"/>
  <c r="L93" i="504"/>
  <c r="M93" i="504"/>
  <c r="N93" i="504"/>
  <c r="I77" i="504"/>
  <c r="L77" i="504"/>
  <c r="M77" i="504"/>
  <c r="P77" i="504"/>
  <c r="K77" i="504"/>
  <c r="J77" i="504"/>
  <c r="Q77" i="504"/>
  <c r="N77" i="504"/>
  <c r="O77" i="504"/>
  <c r="H77" i="504"/>
  <c r="R77" i="504"/>
  <c r="S77" i="504"/>
  <c r="I61" i="504"/>
  <c r="L61" i="504"/>
  <c r="K61" i="504"/>
  <c r="M61" i="504"/>
  <c r="O61" i="504"/>
  <c r="J61" i="504"/>
  <c r="N61" i="504"/>
  <c r="Q61" i="504"/>
  <c r="P61" i="504"/>
  <c r="R61" i="504"/>
  <c r="S61" i="504"/>
  <c r="H61" i="504"/>
  <c r="I45" i="504"/>
  <c r="L45" i="504"/>
  <c r="J45" i="504"/>
  <c r="K45" i="504"/>
  <c r="N45" i="504"/>
  <c r="R45" i="504"/>
  <c r="S45" i="504"/>
  <c r="M45" i="504"/>
  <c r="H45" i="504"/>
  <c r="P45" i="504"/>
  <c r="Q45" i="504"/>
  <c r="O45" i="504"/>
  <c r="K139" i="504"/>
  <c r="L139" i="504"/>
  <c r="O139" i="504"/>
  <c r="M139" i="504"/>
  <c r="N139" i="504"/>
  <c r="J139" i="504"/>
  <c r="Q139" i="504"/>
  <c r="H139" i="504"/>
  <c r="P139" i="504"/>
  <c r="I139" i="504"/>
  <c r="R139" i="504"/>
  <c r="S139" i="504"/>
  <c r="J107" i="504"/>
  <c r="M107" i="504"/>
  <c r="N107" i="504"/>
  <c r="Q107" i="504"/>
  <c r="H107" i="504"/>
  <c r="L107" i="504"/>
  <c r="I107" i="504"/>
  <c r="K107" i="504"/>
  <c r="O107" i="504"/>
  <c r="S107" i="504"/>
  <c r="P107" i="504"/>
  <c r="R107" i="504"/>
  <c r="Q27" i="504"/>
  <c r="S27" i="504"/>
  <c r="K27" i="504"/>
  <c r="L27" i="504"/>
  <c r="N27" i="504"/>
  <c r="M27" i="504"/>
  <c r="O27" i="504"/>
  <c r="R27" i="504"/>
  <c r="I27" i="504"/>
  <c r="J27" i="504"/>
  <c r="P27" i="504"/>
  <c r="H27" i="504"/>
  <c r="M122" i="504"/>
  <c r="P122" i="504"/>
  <c r="K122" i="504"/>
  <c r="O122" i="504"/>
  <c r="L122" i="504"/>
  <c r="N122" i="504"/>
  <c r="Q122" i="504"/>
  <c r="S122" i="504"/>
  <c r="J122" i="504"/>
  <c r="I122" i="504"/>
  <c r="H122" i="504"/>
  <c r="R122" i="504"/>
  <c r="Q90" i="504"/>
  <c r="I90" i="504"/>
  <c r="J90" i="504"/>
  <c r="L90" i="504"/>
  <c r="K90" i="504"/>
  <c r="H90" i="504"/>
  <c r="M90" i="504"/>
  <c r="N90" i="504"/>
  <c r="O90" i="504"/>
  <c r="P90" i="504"/>
  <c r="R90" i="504"/>
  <c r="S90" i="504"/>
  <c r="O26" i="504"/>
  <c r="R26" i="504"/>
  <c r="L26" i="504"/>
  <c r="J26" i="504"/>
  <c r="K26" i="504"/>
  <c r="N26" i="504"/>
  <c r="M26" i="504"/>
  <c r="I26" i="504"/>
  <c r="P26" i="504"/>
  <c r="Q26" i="504"/>
  <c r="S26" i="504"/>
  <c r="H26" i="504"/>
  <c r="P121" i="504"/>
  <c r="S121" i="504"/>
  <c r="I121" i="504"/>
  <c r="O121" i="504"/>
  <c r="R121" i="504"/>
  <c r="Q121" i="504"/>
  <c r="J121" i="504"/>
  <c r="K121" i="504"/>
  <c r="L121" i="504"/>
  <c r="M121" i="504"/>
  <c r="N121" i="504"/>
  <c r="H121" i="504"/>
  <c r="K104" i="504"/>
  <c r="N104" i="504"/>
  <c r="I104" i="504"/>
  <c r="M104" i="504"/>
  <c r="L104" i="504"/>
  <c r="J104" i="504"/>
  <c r="Q104" i="504"/>
  <c r="H104" i="504"/>
  <c r="O104" i="504"/>
  <c r="S104" i="504"/>
  <c r="P104" i="504"/>
  <c r="R104" i="504"/>
  <c r="R40" i="504"/>
  <c r="N40" i="504"/>
  <c r="O40" i="504"/>
  <c r="Q40" i="504"/>
  <c r="L40" i="504"/>
  <c r="M40" i="504"/>
  <c r="S40" i="504"/>
  <c r="P40" i="504"/>
  <c r="K40" i="504"/>
  <c r="H40" i="504"/>
  <c r="J40" i="504"/>
  <c r="I40" i="504"/>
  <c r="S14" i="504"/>
  <c r="P14" i="504"/>
  <c r="I14" i="504"/>
  <c r="J14" i="504"/>
  <c r="N14" i="504"/>
  <c r="K14" i="504"/>
  <c r="M14" i="504"/>
  <c r="L14" i="504"/>
  <c r="H14" i="504"/>
  <c r="Q14" i="504"/>
  <c r="R14" i="504"/>
  <c r="O14" i="504"/>
  <c r="M130" i="504"/>
  <c r="P130" i="504"/>
  <c r="Q130" i="504"/>
  <c r="H130" i="504"/>
  <c r="J130" i="504"/>
  <c r="I130" i="504"/>
  <c r="K130" i="504"/>
  <c r="L130" i="504"/>
  <c r="N130" i="504"/>
  <c r="O130" i="504"/>
  <c r="R130" i="504"/>
  <c r="S130" i="504"/>
  <c r="M98" i="504"/>
  <c r="P98" i="504"/>
  <c r="H98" i="504"/>
  <c r="R98" i="504"/>
  <c r="S98" i="504"/>
  <c r="Q98" i="504"/>
  <c r="I98" i="504"/>
  <c r="J98" i="504"/>
  <c r="K98" i="504"/>
  <c r="L98" i="504"/>
  <c r="N98" i="504"/>
  <c r="O98" i="504"/>
  <c r="R66" i="504"/>
  <c r="O66" i="504"/>
  <c r="N66" i="504"/>
  <c r="P66" i="504"/>
  <c r="S66" i="504"/>
  <c r="I66" i="504"/>
  <c r="J66" i="504"/>
  <c r="K66" i="504"/>
  <c r="M66" i="504"/>
  <c r="Q66" i="504"/>
  <c r="L66" i="504"/>
  <c r="H66" i="504"/>
  <c r="J34" i="504"/>
  <c r="I34" i="504"/>
  <c r="L34" i="504"/>
  <c r="H34" i="504"/>
  <c r="M34" i="504"/>
  <c r="K34" i="504"/>
  <c r="O34" i="504"/>
  <c r="P34" i="504"/>
  <c r="Q34" i="504"/>
  <c r="S34" i="504"/>
  <c r="N34" i="504"/>
  <c r="R34" i="504"/>
  <c r="I145" i="504"/>
  <c r="R145" i="504"/>
  <c r="H145" i="504"/>
  <c r="S145" i="504"/>
  <c r="Q145" i="504"/>
  <c r="L145" i="504"/>
  <c r="M145" i="504"/>
  <c r="O145" i="504"/>
  <c r="N145" i="504"/>
  <c r="P145" i="504"/>
  <c r="J145" i="504"/>
  <c r="K145" i="504"/>
  <c r="K97" i="504"/>
  <c r="N97" i="504"/>
  <c r="Q97" i="504"/>
  <c r="O97" i="504"/>
  <c r="S97" i="504"/>
  <c r="P97" i="504"/>
  <c r="R97" i="504"/>
  <c r="I97" i="504"/>
  <c r="J97" i="504"/>
  <c r="L97" i="504"/>
  <c r="M97" i="504"/>
  <c r="H97" i="504"/>
  <c r="M81" i="504"/>
  <c r="P81" i="504"/>
  <c r="J81" i="504"/>
  <c r="H81" i="504"/>
  <c r="K81" i="504"/>
  <c r="I81" i="504"/>
  <c r="N81" i="504"/>
  <c r="Q81" i="504"/>
  <c r="R81" i="504"/>
  <c r="S81" i="504"/>
  <c r="L81" i="504"/>
  <c r="O81" i="504"/>
  <c r="M65" i="504"/>
  <c r="P65" i="504"/>
  <c r="J65" i="504"/>
  <c r="H65" i="504"/>
  <c r="I65" i="504"/>
  <c r="Q65" i="504"/>
  <c r="R65" i="504"/>
  <c r="S65" i="504"/>
  <c r="L65" i="504"/>
  <c r="K65" i="504"/>
  <c r="N65" i="504"/>
  <c r="O65" i="504"/>
  <c r="R17" i="504"/>
  <c r="O17" i="504"/>
  <c r="K17" i="504"/>
  <c r="L17" i="504"/>
  <c r="N17" i="504"/>
  <c r="H17" i="504"/>
  <c r="I17" i="504"/>
  <c r="J17" i="504"/>
  <c r="M17" i="504"/>
  <c r="P17" i="504"/>
  <c r="Q17" i="504"/>
  <c r="S17" i="504"/>
  <c r="S128" i="504"/>
  <c r="I128" i="504"/>
  <c r="J128" i="504"/>
  <c r="L128" i="504"/>
  <c r="K128" i="504"/>
  <c r="N128" i="504"/>
  <c r="O128" i="504"/>
  <c r="P128" i="504"/>
  <c r="M128" i="504"/>
  <c r="Q128" i="504"/>
  <c r="R128" i="504"/>
  <c r="H128" i="504"/>
  <c r="S96" i="504"/>
  <c r="J96" i="504"/>
  <c r="I96" i="504"/>
  <c r="N96" i="504"/>
  <c r="P96" i="504"/>
  <c r="O96" i="504"/>
  <c r="L96" i="504"/>
  <c r="M96" i="504"/>
  <c r="Q96" i="504"/>
  <c r="R96" i="504"/>
  <c r="K96" i="504"/>
  <c r="H96" i="504"/>
  <c r="K80" i="504"/>
  <c r="R80" i="504"/>
  <c r="P80" i="504"/>
  <c r="Q80" i="504"/>
  <c r="S80" i="504"/>
  <c r="L80" i="504"/>
  <c r="N80" i="504"/>
  <c r="O80" i="504"/>
  <c r="H80" i="504"/>
  <c r="M80" i="504"/>
  <c r="I80" i="504"/>
  <c r="J80" i="504"/>
  <c r="K64" i="504"/>
  <c r="Q64" i="504"/>
  <c r="R64" i="504"/>
  <c r="S64" i="504"/>
  <c r="H64" i="504"/>
  <c r="P64" i="504"/>
  <c r="I64" i="504"/>
  <c r="M64" i="504"/>
  <c r="N64" i="504"/>
  <c r="O64" i="504"/>
  <c r="J64" i="504"/>
  <c r="L64" i="504"/>
  <c r="M16" i="504"/>
  <c r="P16" i="504"/>
  <c r="J16" i="504"/>
  <c r="H16" i="504"/>
  <c r="K16" i="504"/>
  <c r="L16" i="504"/>
  <c r="Q16" i="504"/>
  <c r="O16" i="504"/>
  <c r="N16" i="504"/>
  <c r="S16" i="504"/>
  <c r="I16" i="504"/>
  <c r="R16" i="504"/>
  <c r="L143" i="504"/>
  <c r="O143" i="504"/>
  <c r="H143" i="504"/>
  <c r="Q143" i="504"/>
  <c r="S143" i="504"/>
  <c r="R143" i="504"/>
  <c r="J143" i="504"/>
  <c r="K143" i="504"/>
  <c r="M143" i="504"/>
  <c r="N143" i="504"/>
  <c r="I143" i="504"/>
  <c r="P143" i="504"/>
  <c r="N127" i="504"/>
  <c r="Q127" i="504"/>
  <c r="L127" i="504"/>
  <c r="P127" i="504"/>
  <c r="H127" i="504"/>
  <c r="I127" i="504"/>
  <c r="M127" i="504"/>
  <c r="K127" i="504"/>
  <c r="O127" i="504"/>
  <c r="R127" i="504"/>
  <c r="S127" i="504"/>
  <c r="J127" i="504"/>
  <c r="N111" i="504"/>
  <c r="Q111" i="504"/>
  <c r="I111" i="504"/>
  <c r="K111" i="504"/>
  <c r="J111" i="504"/>
  <c r="P111" i="504"/>
  <c r="S111" i="504"/>
  <c r="R111" i="504"/>
  <c r="H111" i="504"/>
  <c r="L111" i="504"/>
  <c r="M111" i="504"/>
  <c r="O111" i="504"/>
  <c r="S79" i="504"/>
  <c r="P79" i="504"/>
  <c r="J79" i="504"/>
  <c r="M79" i="504"/>
  <c r="I79" i="504"/>
  <c r="O79" i="504"/>
  <c r="R79" i="504"/>
  <c r="Q79" i="504"/>
  <c r="H79" i="504"/>
  <c r="L79" i="504"/>
  <c r="N79" i="504"/>
  <c r="K79" i="504"/>
  <c r="K31" i="504"/>
  <c r="O31" i="504"/>
  <c r="P31" i="504"/>
  <c r="R31" i="504"/>
  <c r="N31" i="504"/>
  <c r="Q31" i="504"/>
  <c r="H31" i="504"/>
  <c r="S31" i="504"/>
  <c r="I31" i="504"/>
  <c r="J31" i="504"/>
  <c r="L31" i="504"/>
  <c r="M31" i="504"/>
  <c r="J142" i="504"/>
  <c r="O142" i="504"/>
  <c r="H142" i="504"/>
  <c r="R142" i="504"/>
  <c r="P142" i="504"/>
  <c r="Q142" i="504"/>
  <c r="K142" i="504"/>
  <c r="M142" i="504"/>
  <c r="N142" i="504"/>
  <c r="S142" i="504"/>
  <c r="I142" i="504"/>
  <c r="L142" i="504"/>
  <c r="I126" i="504"/>
  <c r="L126" i="504"/>
  <c r="J126" i="504"/>
  <c r="N126" i="504"/>
  <c r="K126" i="504"/>
  <c r="M126" i="504"/>
  <c r="H126" i="504"/>
  <c r="R126" i="504"/>
  <c r="S126" i="504"/>
  <c r="O126" i="504"/>
  <c r="P126" i="504"/>
  <c r="Q126" i="504"/>
  <c r="I110" i="504"/>
  <c r="L110" i="504"/>
  <c r="Q110" i="504"/>
  <c r="R110" i="504"/>
  <c r="S110" i="504"/>
  <c r="J110" i="504"/>
  <c r="K110" i="504"/>
  <c r="M110" i="504"/>
  <c r="N110" i="504"/>
  <c r="H110" i="504"/>
  <c r="O110" i="504"/>
  <c r="P110" i="504"/>
  <c r="I94" i="504"/>
  <c r="L94" i="504"/>
  <c r="J94" i="504"/>
  <c r="N94" i="504"/>
  <c r="K94" i="504"/>
  <c r="M94" i="504"/>
  <c r="Q94" i="504"/>
  <c r="O94" i="504"/>
  <c r="H94" i="504"/>
  <c r="P94" i="504"/>
  <c r="R94" i="504"/>
  <c r="S94" i="504"/>
  <c r="N78" i="504"/>
  <c r="Q78" i="504"/>
  <c r="K78" i="504"/>
  <c r="P78" i="504"/>
  <c r="R78" i="504"/>
  <c r="S78" i="504"/>
  <c r="H78" i="504"/>
  <c r="M78" i="504"/>
  <c r="I78" i="504"/>
  <c r="J78" i="504"/>
  <c r="L78" i="504"/>
  <c r="O78" i="504"/>
  <c r="N62" i="504"/>
  <c r="Q62" i="504"/>
  <c r="K62" i="504"/>
  <c r="J62" i="504"/>
  <c r="H62" i="504"/>
  <c r="M62" i="504"/>
  <c r="L62" i="504"/>
  <c r="R62" i="504"/>
  <c r="I62" i="504"/>
  <c r="O62" i="504"/>
  <c r="P62" i="504"/>
  <c r="S62" i="504"/>
  <c r="N46" i="504"/>
  <c r="Q46" i="504"/>
  <c r="K46" i="504"/>
  <c r="S46" i="504"/>
  <c r="J46" i="504"/>
  <c r="I46" i="504"/>
  <c r="M46" i="504"/>
  <c r="H46" i="504"/>
  <c r="O46" i="504"/>
  <c r="P46" i="504"/>
  <c r="R46" i="504"/>
  <c r="L46" i="504"/>
  <c r="R141" i="504"/>
  <c r="I141" i="504"/>
  <c r="K141" i="504"/>
  <c r="J141" i="504"/>
  <c r="O141" i="504"/>
  <c r="P141" i="504"/>
  <c r="Q141" i="504"/>
  <c r="H141" i="504"/>
  <c r="L141" i="504"/>
  <c r="N141" i="504"/>
  <c r="M141" i="504"/>
  <c r="S141" i="504"/>
  <c r="J109" i="504"/>
  <c r="M109" i="504"/>
  <c r="L109" i="504"/>
  <c r="H109" i="504"/>
  <c r="I109" i="504"/>
  <c r="K109" i="504"/>
  <c r="N109" i="504"/>
  <c r="O109" i="504"/>
  <c r="R109" i="504"/>
  <c r="P109" i="504"/>
  <c r="Q109" i="504"/>
  <c r="S109" i="504"/>
  <c r="N29" i="504"/>
  <c r="Q29" i="504"/>
  <c r="K29" i="504"/>
  <c r="R29" i="504"/>
  <c r="S29" i="504"/>
  <c r="L29" i="504"/>
  <c r="M29" i="504"/>
  <c r="P29" i="504"/>
  <c r="O29" i="504"/>
  <c r="I29" i="504"/>
  <c r="J29" i="504"/>
  <c r="H29" i="504"/>
  <c r="M140" i="504"/>
  <c r="P140" i="504"/>
  <c r="S140" i="504"/>
  <c r="I140" i="504"/>
  <c r="J140" i="504"/>
  <c r="H140" i="504"/>
  <c r="N140" i="504"/>
  <c r="K140" i="504"/>
  <c r="L140" i="504"/>
  <c r="O140" i="504"/>
  <c r="Q140" i="504"/>
  <c r="R140" i="504"/>
  <c r="O124" i="504"/>
  <c r="R124" i="504"/>
  <c r="I124" i="504"/>
  <c r="L124" i="504"/>
  <c r="J124" i="504"/>
  <c r="H124" i="504"/>
  <c r="K124" i="504"/>
  <c r="N124" i="504"/>
  <c r="M124" i="504"/>
  <c r="P124" i="504"/>
  <c r="Q124" i="504"/>
  <c r="S124" i="504"/>
  <c r="O108" i="504"/>
  <c r="R108" i="504"/>
  <c r="S108" i="504"/>
  <c r="H108" i="504"/>
  <c r="Q108" i="504"/>
  <c r="P108" i="504"/>
  <c r="N108" i="504"/>
  <c r="I108" i="504"/>
  <c r="J108" i="504"/>
  <c r="K108" i="504"/>
  <c r="L108" i="504"/>
  <c r="M108" i="504"/>
  <c r="O92" i="504"/>
  <c r="R92" i="504"/>
  <c r="M92" i="504"/>
  <c r="Q92" i="504"/>
  <c r="J92" i="504"/>
  <c r="I92" i="504"/>
  <c r="H92" i="504"/>
  <c r="K92" i="504"/>
  <c r="N92" i="504"/>
  <c r="P92" i="504"/>
  <c r="S92" i="504"/>
  <c r="L92" i="504"/>
  <c r="Q76" i="504"/>
  <c r="O76" i="504"/>
  <c r="P76" i="504"/>
  <c r="S76" i="504"/>
  <c r="R76" i="504"/>
  <c r="N76" i="504"/>
  <c r="M76" i="504"/>
  <c r="H76" i="504"/>
  <c r="J76" i="504"/>
  <c r="K76" i="504"/>
  <c r="L76" i="504"/>
  <c r="I76" i="504"/>
  <c r="Q60" i="504"/>
  <c r="K60" i="504"/>
  <c r="R60" i="504"/>
  <c r="S60" i="504"/>
  <c r="I60" i="504"/>
  <c r="J60" i="504"/>
  <c r="L60" i="504"/>
  <c r="H60" i="504"/>
  <c r="M60" i="504"/>
  <c r="N60" i="504"/>
  <c r="O60" i="504"/>
  <c r="P60" i="504"/>
  <c r="Q44" i="504"/>
  <c r="J44" i="504"/>
  <c r="I44" i="504"/>
  <c r="N44" i="504"/>
  <c r="O44" i="504"/>
  <c r="P44" i="504"/>
  <c r="H44" i="504"/>
  <c r="K44" i="504"/>
  <c r="R44" i="504"/>
  <c r="S44" i="504"/>
  <c r="L44" i="504"/>
  <c r="M44" i="504"/>
  <c r="I28" i="504"/>
  <c r="L28" i="504"/>
  <c r="J28" i="504"/>
  <c r="M28" i="504"/>
  <c r="K28" i="504"/>
  <c r="N28" i="504"/>
  <c r="O28" i="504"/>
  <c r="R28" i="504"/>
  <c r="P28" i="504"/>
  <c r="Q28" i="504"/>
  <c r="S28" i="504"/>
  <c r="H28" i="504"/>
  <c r="J123" i="504"/>
  <c r="M123" i="504"/>
  <c r="S123" i="504"/>
  <c r="I123" i="504"/>
  <c r="L123" i="504"/>
  <c r="O123" i="504"/>
  <c r="P123" i="504"/>
  <c r="K123" i="504"/>
  <c r="N123" i="504"/>
  <c r="Q123" i="504"/>
  <c r="R123" i="504"/>
  <c r="H123" i="504"/>
  <c r="J91" i="504"/>
  <c r="M91" i="504"/>
  <c r="I91" i="504"/>
  <c r="R91" i="504"/>
  <c r="H91" i="504"/>
  <c r="S91" i="504"/>
  <c r="L91" i="504"/>
  <c r="O91" i="504"/>
  <c r="N91" i="504"/>
  <c r="P91" i="504"/>
  <c r="Q91" i="504"/>
  <c r="K91" i="504"/>
  <c r="O75" i="504"/>
  <c r="R75" i="504"/>
  <c r="L75" i="504"/>
  <c r="N75" i="504"/>
  <c r="P75" i="504"/>
  <c r="S75" i="504"/>
  <c r="H75" i="504"/>
  <c r="I75" i="504"/>
  <c r="J75" i="504"/>
  <c r="K75" i="504"/>
  <c r="M75" i="504"/>
  <c r="Q75" i="504"/>
  <c r="O59" i="504"/>
  <c r="R59" i="504"/>
  <c r="L59" i="504"/>
  <c r="M59" i="504"/>
  <c r="N59" i="504"/>
  <c r="Q59" i="504"/>
  <c r="I59" i="504"/>
  <c r="K59" i="504"/>
  <c r="J59" i="504"/>
  <c r="S59" i="504"/>
  <c r="P59" i="504"/>
  <c r="H59" i="504"/>
  <c r="O43" i="504"/>
  <c r="R43" i="504"/>
  <c r="L43" i="504"/>
  <c r="K43" i="504"/>
  <c r="M43" i="504"/>
  <c r="P43" i="504"/>
  <c r="Q43" i="504"/>
  <c r="S43" i="504"/>
  <c r="H43" i="504"/>
  <c r="I43" i="504"/>
  <c r="J43" i="504"/>
  <c r="N43" i="504"/>
  <c r="S138" i="504"/>
  <c r="H138" i="504"/>
  <c r="I138" i="504"/>
  <c r="J138" i="504"/>
  <c r="K138" i="504"/>
  <c r="L138" i="504"/>
  <c r="M138" i="504"/>
  <c r="N138" i="504"/>
  <c r="O138" i="504"/>
  <c r="P138" i="504"/>
  <c r="Q138" i="504"/>
  <c r="R138" i="504"/>
  <c r="J106" i="504"/>
  <c r="S106" i="504"/>
  <c r="H106" i="504"/>
  <c r="N106" i="504"/>
  <c r="P106" i="504"/>
  <c r="O106" i="504"/>
  <c r="I106" i="504"/>
  <c r="K106" i="504"/>
  <c r="L106" i="504"/>
  <c r="M106" i="504"/>
  <c r="Q106" i="504"/>
  <c r="R106" i="504"/>
  <c r="J74" i="504"/>
  <c r="M74" i="504"/>
  <c r="I74" i="504"/>
  <c r="O74" i="504"/>
  <c r="P74" i="504"/>
  <c r="R74" i="504"/>
  <c r="Q74" i="504"/>
  <c r="K74" i="504"/>
  <c r="S74" i="504"/>
  <c r="H74" i="504"/>
  <c r="L74" i="504"/>
  <c r="N74" i="504"/>
  <c r="J58" i="504"/>
  <c r="M58" i="504"/>
  <c r="S58" i="504"/>
  <c r="R58" i="504"/>
  <c r="I58" i="504"/>
  <c r="K58" i="504"/>
  <c r="N58" i="504"/>
  <c r="O58" i="504"/>
  <c r="P58" i="504"/>
  <c r="L58" i="504"/>
  <c r="Q58" i="504"/>
  <c r="H58" i="504"/>
  <c r="J42" i="504"/>
  <c r="M42" i="504"/>
  <c r="H42" i="504"/>
  <c r="I42" i="504"/>
  <c r="K42" i="504"/>
  <c r="O42" i="504"/>
  <c r="L42" i="504"/>
  <c r="P42" i="504"/>
  <c r="R42" i="504"/>
  <c r="N42" i="504"/>
  <c r="Q42" i="504"/>
  <c r="S42" i="504"/>
  <c r="P137" i="504"/>
  <c r="S137" i="504"/>
  <c r="L137" i="504"/>
  <c r="O137" i="504"/>
  <c r="M137" i="504"/>
  <c r="R137" i="504"/>
  <c r="N137" i="504"/>
  <c r="Q137" i="504"/>
  <c r="H137" i="504"/>
  <c r="I137" i="504"/>
  <c r="J137" i="504"/>
  <c r="K137" i="504"/>
  <c r="P105" i="504"/>
  <c r="S105" i="504"/>
  <c r="Q105" i="504"/>
  <c r="J105" i="504"/>
  <c r="M105" i="504"/>
  <c r="K105" i="504"/>
  <c r="L105" i="504"/>
  <c r="R105" i="504"/>
  <c r="H105" i="504"/>
  <c r="N105" i="504"/>
  <c r="I105" i="504"/>
  <c r="O105" i="504"/>
  <c r="P89" i="504"/>
  <c r="S89" i="504"/>
  <c r="M89" i="504"/>
  <c r="I89" i="504"/>
  <c r="L89" i="504"/>
  <c r="H89" i="504"/>
  <c r="N89" i="504"/>
  <c r="J89" i="504"/>
  <c r="K89" i="504"/>
  <c r="O89" i="504"/>
  <c r="Q89" i="504"/>
  <c r="R89" i="504"/>
  <c r="R73" i="504"/>
  <c r="P73" i="504"/>
  <c r="Q73" i="504"/>
  <c r="O73" i="504"/>
  <c r="S73" i="504"/>
  <c r="J73" i="504"/>
  <c r="K73" i="504"/>
  <c r="M73" i="504"/>
  <c r="N73" i="504"/>
  <c r="L73" i="504"/>
  <c r="H73" i="504"/>
  <c r="I73" i="504"/>
  <c r="R57" i="504"/>
  <c r="O57" i="504"/>
  <c r="P57" i="504"/>
  <c r="S57" i="504"/>
  <c r="I57" i="504"/>
  <c r="K57" i="504"/>
  <c r="J57" i="504"/>
  <c r="L57" i="504"/>
  <c r="N57" i="504"/>
  <c r="Q57" i="504"/>
  <c r="H57" i="504"/>
  <c r="M57" i="504"/>
  <c r="J25" i="504"/>
  <c r="M25" i="504"/>
  <c r="I25" i="504"/>
  <c r="K25" i="504"/>
  <c r="O25" i="504"/>
  <c r="N25" i="504"/>
  <c r="L25" i="504"/>
  <c r="R25" i="504"/>
  <c r="P25" i="504"/>
  <c r="H25" i="504"/>
  <c r="Q25" i="504"/>
  <c r="S25" i="504"/>
  <c r="K136" i="504"/>
  <c r="N136" i="504"/>
  <c r="R136" i="504"/>
  <c r="S136" i="504"/>
  <c r="L136" i="504"/>
  <c r="M136" i="504"/>
  <c r="H136" i="504"/>
  <c r="Q136" i="504"/>
  <c r="O136" i="504"/>
  <c r="P136" i="504"/>
  <c r="J136" i="504"/>
  <c r="I136" i="504"/>
  <c r="K120" i="504"/>
  <c r="N120" i="504"/>
  <c r="Q120" i="504"/>
  <c r="L120" i="504"/>
  <c r="P120" i="504"/>
  <c r="M120" i="504"/>
  <c r="O120" i="504"/>
  <c r="I120" i="504"/>
  <c r="R120" i="504"/>
  <c r="H120" i="504"/>
  <c r="J120" i="504"/>
  <c r="S120" i="504"/>
  <c r="K88" i="504"/>
  <c r="N88" i="504"/>
  <c r="H88" i="504"/>
  <c r="I88" i="504"/>
  <c r="L88" i="504"/>
  <c r="J88" i="504"/>
  <c r="Q88" i="504"/>
  <c r="S88" i="504"/>
  <c r="R88" i="504"/>
  <c r="P88" i="504"/>
  <c r="M88" i="504"/>
  <c r="O88" i="504"/>
  <c r="P72" i="504"/>
  <c r="S72" i="504"/>
  <c r="M72" i="504"/>
  <c r="I72" i="504"/>
  <c r="K72" i="504"/>
  <c r="L72" i="504"/>
  <c r="N72" i="504"/>
  <c r="Q72" i="504"/>
  <c r="H72" i="504"/>
  <c r="O72" i="504"/>
  <c r="J72" i="504"/>
  <c r="R72" i="504"/>
  <c r="P56" i="504"/>
  <c r="S56" i="504"/>
  <c r="M56" i="504"/>
  <c r="J56" i="504"/>
  <c r="R56" i="504"/>
  <c r="K56" i="504"/>
  <c r="N56" i="504"/>
  <c r="L56" i="504"/>
  <c r="H56" i="504"/>
  <c r="Q56" i="504"/>
  <c r="I56" i="504"/>
  <c r="O56" i="504"/>
  <c r="R24" i="504"/>
  <c r="M24" i="504"/>
  <c r="N24" i="504"/>
  <c r="P24" i="504"/>
  <c r="O24" i="504"/>
  <c r="Q24" i="504"/>
  <c r="S24" i="504"/>
  <c r="I24" i="504"/>
  <c r="J24" i="504"/>
  <c r="L24" i="504"/>
  <c r="K24" i="504"/>
  <c r="H24" i="504"/>
  <c r="I135" i="504"/>
  <c r="P135" i="504"/>
  <c r="S135" i="504"/>
  <c r="N135" i="504"/>
  <c r="O135" i="504"/>
  <c r="R135" i="504"/>
  <c r="Q135" i="504"/>
  <c r="J135" i="504"/>
  <c r="H135" i="504"/>
  <c r="K135" i="504"/>
  <c r="L135" i="504"/>
  <c r="M135" i="504"/>
  <c r="I119" i="504"/>
  <c r="J119" i="504"/>
  <c r="M119" i="504"/>
  <c r="L119" i="504"/>
  <c r="N119" i="504"/>
  <c r="O119" i="504"/>
  <c r="R119" i="504"/>
  <c r="K119" i="504"/>
  <c r="P119" i="504"/>
  <c r="Q119" i="504"/>
  <c r="H119" i="504"/>
  <c r="S119" i="504"/>
  <c r="I103" i="504"/>
  <c r="L103" i="504"/>
  <c r="O103" i="504"/>
  <c r="M103" i="504"/>
  <c r="N103" i="504"/>
  <c r="S103" i="504"/>
  <c r="H103" i="504"/>
  <c r="J103" i="504"/>
  <c r="K103" i="504"/>
  <c r="P103" i="504"/>
  <c r="Q103" i="504"/>
  <c r="R103" i="504"/>
  <c r="I87" i="504"/>
  <c r="S87" i="504"/>
  <c r="L87" i="504"/>
  <c r="O87" i="504"/>
  <c r="R87" i="504"/>
  <c r="H87" i="504"/>
  <c r="K87" i="504"/>
  <c r="J87" i="504"/>
  <c r="M87" i="504"/>
  <c r="P87" i="504"/>
  <c r="Q87" i="504"/>
  <c r="N87" i="504"/>
  <c r="K71" i="504"/>
  <c r="N71" i="504"/>
  <c r="S71" i="504"/>
  <c r="H71" i="504"/>
  <c r="I71" i="504"/>
  <c r="L71" i="504"/>
  <c r="J71" i="504"/>
  <c r="P71" i="504"/>
  <c r="M71" i="504"/>
  <c r="O71" i="504"/>
  <c r="Q71" i="504"/>
  <c r="R71" i="504"/>
  <c r="K55" i="504"/>
  <c r="N55" i="504"/>
  <c r="R55" i="504"/>
  <c r="S55" i="504"/>
  <c r="I55" i="504"/>
  <c r="H55" i="504"/>
  <c r="M55" i="504"/>
  <c r="P55" i="504"/>
  <c r="J55" i="504"/>
  <c r="L55" i="504"/>
  <c r="O55" i="504"/>
  <c r="Q55" i="504"/>
  <c r="P39" i="504"/>
  <c r="S39" i="504"/>
  <c r="M39" i="504"/>
  <c r="I39" i="504"/>
  <c r="H39" i="504"/>
  <c r="J39" i="504"/>
  <c r="K39" i="504"/>
  <c r="L39" i="504"/>
  <c r="N39" i="504"/>
  <c r="Q39" i="504"/>
  <c r="R39" i="504"/>
  <c r="O39" i="504"/>
  <c r="P23" i="504"/>
  <c r="S23" i="504"/>
  <c r="M23" i="504"/>
  <c r="I23" i="504"/>
  <c r="K23" i="504"/>
  <c r="J23" i="504"/>
  <c r="R23" i="504"/>
  <c r="H23" i="504"/>
  <c r="O23" i="504"/>
  <c r="Q23" i="504"/>
  <c r="L23" i="504"/>
  <c r="N23" i="504"/>
  <c r="Q134" i="504"/>
  <c r="I134" i="504"/>
  <c r="L134" i="504"/>
  <c r="N134" i="504"/>
  <c r="P134" i="504"/>
  <c r="O134" i="504"/>
  <c r="H134" i="504"/>
  <c r="J134" i="504"/>
  <c r="K134" i="504"/>
  <c r="M134" i="504"/>
  <c r="R134" i="504"/>
  <c r="S134" i="504"/>
  <c r="Q118" i="504"/>
  <c r="M118" i="504"/>
  <c r="N118" i="504"/>
  <c r="P118" i="504"/>
  <c r="O118" i="504"/>
  <c r="H118" i="504"/>
  <c r="L118" i="504"/>
  <c r="R118" i="504"/>
  <c r="S118" i="504"/>
  <c r="I118" i="504"/>
  <c r="J118" i="504"/>
  <c r="K118" i="504"/>
  <c r="Q102" i="504"/>
  <c r="M102" i="504"/>
  <c r="P102" i="504"/>
  <c r="K102" i="504"/>
  <c r="N102" i="504"/>
  <c r="H102" i="504"/>
  <c r="O102" i="504"/>
  <c r="S102" i="504"/>
  <c r="R102" i="504"/>
  <c r="I102" i="504"/>
  <c r="J102" i="504"/>
  <c r="L102" i="504"/>
  <c r="Q86" i="504"/>
  <c r="N86" i="504"/>
  <c r="I86" i="504"/>
  <c r="K86" i="504"/>
  <c r="J86" i="504"/>
  <c r="M86" i="504"/>
  <c r="L86" i="504"/>
  <c r="R86" i="504"/>
  <c r="O86" i="504"/>
  <c r="P86" i="504"/>
  <c r="S86" i="504"/>
  <c r="H86" i="504"/>
  <c r="I70" i="504"/>
  <c r="S70" i="504"/>
  <c r="K70" i="504"/>
  <c r="L70" i="504"/>
  <c r="N70" i="504"/>
  <c r="J70" i="504"/>
  <c r="H70" i="504"/>
  <c r="O70" i="504"/>
  <c r="M70" i="504"/>
  <c r="P70" i="504"/>
  <c r="Q70" i="504"/>
  <c r="R70" i="504"/>
  <c r="I54" i="504"/>
  <c r="S54" i="504"/>
  <c r="J54" i="504"/>
  <c r="K54" i="504"/>
  <c r="M54" i="504"/>
  <c r="P54" i="504"/>
  <c r="Q54" i="504"/>
  <c r="H54" i="504"/>
  <c r="R54" i="504"/>
  <c r="N54" i="504"/>
  <c r="L54" i="504"/>
  <c r="O54" i="504"/>
  <c r="K38" i="504"/>
  <c r="N38" i="504"/>
  <c r="Q38" i="504"/>
  <c r="R38" i="504"/>
  <c r="J38" i="504"/>
  <c r="L38" i="504"/>
  <c r="O38" i="504"/>
  <c r="M38" i="504"/>
  <c r="P38" i="504"/>
  <c r="H38" i="504"/>
  <c r="I38" i="504"/>
  <c r="S38" i="504"/>
  <c r="K22" i="504"/>
  <c r="N22" i="504"/>
  <c r="P22" i="504"/>
  <c r="Q22" i="504"/>
  <c r="S22" i="504"/>
  <c r="R22" i="504"/>
  <c r="I22" i="504"/>
  <c r="M22" i="504"/>
  <c r="H22" i="504"/>
  <c r="J22" i="504"/>
  <c r="L22" i="504"/>
  <c r="O22" i="504"/>
  <c r="L101" i="504"/>
  <c r="O101" i="504"/>
  <c r="I101" i="504"/>
  <c r="H101" i="504"/>
  <c r="M101" i="504"/>
  <c r="Q101" i="504"/>
  <c r="N101" i="504"/>
  <c r="P101" i="504"/>
  <c r="K101" i="504"/>
  <c r="S101" i="504"/>
  <c r="R101" i="504"/>
  <c r="J101" i="504"/>
  <c r="Q69" i="504"/>
  <c r="N69" i="504"/>
  <c r="S69" i="504"/>
  <c r="H69" i="504"/>
  <c r="I69" i="504"/>
  <c r="K69" i="504"/>
  <c r="L69" i="504"/>
  <c r="M69" i="504"/>
  <c r="O69" i="504"/>
  <c r="P69" i="504"/>
  <c r="R69" i="504"/>
  <c r="J69" i="504"/>
  <c r="I21" i="504"/>
  <c r="S21" i="504"/>
  <c r="K21" i="504"/>
  <c r="L21" i="504"/>
  <c r="J21" i="504"/>
  <c r="N21" i="504"/>
  <c r="Q21" i="504"/>
  <c r="R21" i="504"/>
  <c r="H21" i="504"/>
  <c r="O21" i="504"/>
  <c r="P21" i="504"/>
  <c r="M21" i="504"/>
  <c r="J132" i="504"/>
  <c r="M132" i="504"/>
  <c r="P132" i="504"/>
  <c r="I132" i="504"/>
  <c r="L132" i="504"/>
  <c r="K132" i="504"/>
  <c r="Q132" i="504"/>
  <c r="S132" i="504"/>
  <c r="H132" i="504"/>
  <c r="N132" i="504"/>
  <c r="O132" i="504"/>
  <c r="R132" i="504"/>
  <c r="J116" i="504"/>
  <c r="I116" i="504"/>
  <c r="O116" i="504"/>
  <c r="R116" i="504"/>
  <c r="P116" i="504"/>
  <c r="Q116" i="504"/>
  <c r="N116" i="504"/>
  <c r="S116" i="504"/>
  <c r="H116" i="504"/>
  <c r="L116" i="504"/>
  <c r="K116" i="504"/>
  <c r="M116" i="504"/>
  <c r="J100" i="504"/>
  <c r="Q100" i="504"/>
  <c r="I100" i="504"/>
  <c r="K100" i="504"/>
  <c r="L100" i="504"/>
  <c r="M100" i="504"/>
  <c r="N100" i="504"/>
  <c r="O100" i="504"/>
  <c r="P100" i="504"/>
  <c r="S100" i="504"/>
  <c r="R100" i="504"/>
  <c r="H100" i="504"/>
  <c r="L68" i="504"/>
  <c r="O68" i="504"/>
  <c r="I68" i="504"/>
  <c r="M68" i="504"/>
  <c r="N68" i="504"/>
  <c r="Q68" i="504"/>
  <c r="H68" i="504"/>
  <c r="J68" i="504"/>
  <c r="P68" i="504"/>
  <c r="K68" i="504"/>
  <c r="R68" i="504"/>
  <c r="S68" i="504"/>
  <c r="L52" i="504"/>
  <c r="O52" i="504"/>
  <c r="I52" i="504"/>
  <c r="K52" i="504"/>
  <c r="M52" i="504"/>
  <c r="P52" i="504"/>
  <c r="H52" i="504"/>
  <c r="N52" i="504"/>
  <c r="Q52" i="504"/>
  <c r="S52" i="504"/>
  <c r="R52" i="504"/>
  <c r="J52" i="504"/>
  <c r="Q36" i="504"/>
  <c r="N36" i="504"/>
  <c r="S36" i="504"/>
  <c r="I36" i="504"/>
  <c r="J36" i="504"/>
  <c r="M36" i="504"/>
  <c r="L36" i="504"/>
  <c r="K36" i="504"/>
  <c r="P36" i="504"/>
  <c r="R36" i="504"/>
  <c r="H36" i="504"/>
  <c r="O36" i="504"/>
  <c r="Q20" i="504"/>
  <c r="N20" i="504"/>
  <c r="R20" i="504"/>
  <c r="S20" i="504"/>
  <c r="M20" i="504"/>
  <c r="O20" i="504"/>
  <c r="P20" i="504"/>
  <c r="J20" i="504"/>
  <c r="I20" i="504"/>
  <c r="K20" i="504"/>
  <c r="L20" i="504"/>
  <c r="H20" i="504"/>
  <c r="L133" i="504"/>
  <c r="O133" i="504"/>
  <c r="H133" i="504"/>
  <c r="P133" i="504"/>
  <c r="S133" i="504"/>
  <c r="Q133" i="504"/>
  <c r="R133" i="504"/>
  <c r="I133" i="504"/>
  <c r="J133" i="504"/>
  <c r="K133" i="504"/>
  <c r="M133" i="504"/>
  <c r="N133" i="504"/>
  <c r="L117" i="504"/>
  <c r="O117" i="504"/>
  <c r="M117" i="504"/>
  <c r="Q117" i="504"/>
  <c r="H117" i="504"/>
  <c r="I117" i="504"/>
  <c r="N117" i="504"/>
  <c r="J117" i="504"/>
  <c r="K117" i="504"/>
  <c r="P117" i="504"/>
  <c r="S117" i="504"/>
  <c r="R117" i="504"/>
  <c r="L85" i="504"/>
  <c r="O85" i="504"/>
  <c r="I85" i="504"/>
  <c r="N85" i="504"/>
  <c r="R85" i="504"/>
  <c r="H85" i="504"/>
  <c r="S85" i="504"/>
  <c r="Q85" i="504"/>
  <c r="J85" i="504"/>
  <c r="K85" i="504"/>
  <c r="M85" i="504"/>
  <c r="P85" i="504"/>
  <c r="Q53" i="504"/>
  <c r="N53" i="504"/>
  <c r="H53" i="504"/>
  <c r="L53" i="504"/>
  <c r="O53" i="504"/>
  <c r="M53" i="504"/>
  <c r="S53" i="504"/>
  <c r="K53" i="504"/>
  <c r="P53" i="504"/>
  <c r="R53" i="504"/>
  <c r="I53" i="504"/>
  <c r="J53" i="504"/>
  <c r="I37" i="504"/>
  <c r="S37" i="504"/>
  <c r="J37" i="504"/>
  <c r="L37" i="504"/>
  <c r="O37" i="504"/>
  <c r="P37" i="504"/>
  <c r="Q37" i="504"/>
  <c r="K37" i="504"/>
  <c r="M37" i="504"/>
  <c r="N37" i="504"/>
  <c r="R37" i="504"/>
  <c r="H37" i="504"/>
  <c r="N13" i="504"/>
  <c r="Q13" i="504"/>
  <c r="K13" i="504"/>
  <c r="P13" i="504"/>
  <c r="H13" i="504"/>
  <c r="R13" i="504"/>
  <c r="S13" i="504"/>
  <c r="I13" i="504"/>
  <c r="J13" i="504"/>
  <c r="L13" i="504"/>
  <c r="M13" i="504"/>
  <c r="O13" i="504"/>
  <c r="R131" i="504"/>
  <c r="I131" i="504"/>
  <c r="P131" i="504"/>
  <c r="Q131" i="504"/>
  <c r="S131" i="504"/>
  <c r="O131" i="504"/>
  <c r="J131" i="504"/>
  <c r="K131" i="504"/>
  <c r="L131" i="504"/>
  <c r="M131" i="504"/>
  <c r="N131" i="504"/>
  <c r="H131" i="504"/>
  <c r="R115" i="504"/>
  <c r="P115" i="504"/>
  <c r="I115" i="504"/>
  <c r="H115" i="504"/>
  <c r="J115" i="504"/>
  <c r="Q115" i="504"/>
  <c r="S115" i="504"/>
  <c r="K115" i="504"/>
  <c r="L115" i="504"/>
  <c r="M115" i="504"/>
  <c r="N115" i="504"/>
  <c r="O115" i="504"/>
  <c r="R99" i="504"/>
  <c r="J99" i="504"/>
  <c r="M99" i="504"/>
  <c r="N99" i="504"/>
  <c r="Q99" i="504"/>
  <c r="O99" i="504"/>
  <c r="P99" i="504"/>
  <c r="I99" i="504"/>
  <c r="S99" i="504"/>
  <c r="K99" i="504"/>
  <c r="L99" i="504"/>
  <c r="H99" i="504"/>
  <c r="J83" i="504"/>
  <c r="I83" i="504"/>
  <c r="L83" i="504"/>
  <c r="K83" i="504"/>
  <c r="M83" i="504"/>
  <c r="S83" i="504"/>
  <c r="H83" i="504"/>
  <c r="N83" i="504"/>
  <c r="O83" i="504"/>
  <c r="P83" i="504"/>
  <c r="Q83" i="504"/>
  <c r="R83" i="504"/>
  <c r="J67" i="504"/>
  <c r="Q67" i="504"/>
  <c r="R67" i="504"/>
  <c r="S67" i="504"/>
  <c r="P67" i="504"/>
  <c r="I67" i="504"/>
  <c r="K67" i="504"/>
  <c r="M67" i="504"/>
  <c r="L67" i="504"/>
  <c r="N67" i="504"/>
  <c r="O67" i="504"/>
  <c r="H67" i="504"/>
  <c r="J51" i="504"/>
  <c r="H51" i="504"/>
  <c r="I51" i="504"/>
  <c r="M51" i="504"/>
  <c r="K51" i="504"/>
  <c r="L51" i="504"/>
  <c r="N51" i="504"/>
  <c r="O51" i="504"/>
  <c r="P51" i="504"/>
  <c r="Q51" i="504"/>
  <c r="R51" i="504"/>
  <c r="S51" i="504"/>
  <c r="L35" i="504"/>
  <c r="O35" i="504"/>
  <c r="I35" i="504"/>
  <c r="J35" i="504"/>
  <c r="K35" i="504"/>
  <c r="N35" i="504"/>
  <c r="H35" i="504"/>
  <c r="M35" i="504"/>
  <c r="P35" i="504"/>
  <c r="Q35" i="504"/>
  <c r="R35" i="504"/>
  <c r="S35" i="504"/>
  <c r="L19" i="504"/>
  <c r="O19" i="504"/>
  <c r="I19" i="504"/>
  <c r="J19" i="504"/>
  <c r="M19" i="504"/>
  <c r="H19" i="504"/>
  <c r="K19" i="504"/>
  <c r="P19" i="504"/>
  <c r="R19" i="504"/>
  <c r="S19" i="504"/>
  <c r="N19" i="504"/>
  <c r="Q19" i="504"/>
  <c r="C351" i="455"/>
  <c r="G1445" i="448"/>
  <c r="G2098" i="448"/>
  <c r="L278" i="436"/>
  <c r="G1442" i="448"/>
  <c r="G2015" i="448"/>
  <c r="L311" i="436"/>
  <c r="K84" i="504"/>
  <c r="P84" i="504"/>
  <c r="Q84" i="504"/>
  <c r="L84" i="504"/>
  <c r="M84" i="504"/>
  <c r="N84" i="504"/>
  <c r="R84" i="504"/>
  <c r="O84" i="504"/>
  <c r="S84" i="504"/>
  <c r="H84" i="504"/>
  <c r="I84" i="504"/>
  <c r="J84" i="504"/>
  <c r="M41" i="504"/>
  <c r="N41" i="504"/>
  <c r="O41" i="504"/>
  <c r="P41" i="504"/>
  <c r="R41" i="504"/>
  <c r="Q41" i="504"/>
  <c r="S41" i="504"/>
  <c r="H41" i="504"/>
  <c r="I41" i="504"/>
  <c r="J41" i="504"/>
  <c r="K41" i="504"/>
  <c r="L41" i="504"/>
  <c r="U4" i="504" a="1"/>
  <c r="H800" i="451"/>
  <c r="H740" i="451"/>
  <c r="I740" i="451" s="1"/>
  <c r="H701" i="451"/>
  <c r="L271" i="436"/>
  <c r="L280" i="436" s="1"/>
  <c r="H632" i="451"/>
  <c r="I632" i="451" s="1"/>
  <c r="L266" i="436"/>
  <c r="H595" i="451"/>
  <c r="I595" i="451" s="1"/>
  <c r="L117" i="436"/>
  <c r="H592" i="451"/>
  <c r="I592" i="451" s="1"/>
  <c r="I587" i="451"/>
  <c r="H526" i="451"/>
  <c r="I526" i="451" s="1"/>
  <c r="H465" i="451"/>
  <c r="H378" i="451"/>
  <c r="I378" i="451" s="1"/>
  <c r="H321" i="451"/>
  <c r="I321" i="451" s="1"/>
  <c r="L115" i="436"/>
  <c r="H193" i="451"/>
  <c r="H98" i="451"/>
  <c r="I98" i="451" s="1"/>
  <c r="L108" i="436"/>
  <c r="L120" i="436" s="1"/>
  <c r="P146" i="504" l="1"/>
  <c r="L146" i="504"/>
  <c r="N146" i="504"/>
  <c r="M146" i="504"/>
  <c r="H146" i="504"/>
  <c r="K146" i="504"/>
  <c r="Q146" i="504"/>
  <c r="L327" i="436"/>
  <c r="E152" i="505"/>
  <c r="I146" i="504"/>
  <c r="O146" i="504"/>
  <c r="S146" i="504"/>
  <c r="J146" i="504"/>
  <c r="R146" i="504"/>
  <c r="W9" i="504"/>
  <c r="W10" i="504"/>
  <c r="W11" i="504"/>
  <c r="W12" i="504"/>
  <c r="W14" i="504"/>
  <c r="W13" i="504"/>
  <c r="W6" i="504"/>
  <c r="W15" i="504"/>
  <c r="W5" i="504"/>
  <c r="W7" i="504"/>
  <c r="W8" i="504"/>
  <c r="K5" i="504"/>
  <c r="K7" i="504" s="1"/>
  <c r="J5" i="504"/>
  <c r="J7" i="504" s="1"/>
  <c r="N147" i="504" s="1"/>
  <c r="O5" i="504"/>
  <c r="O7" i="504" s="1"/>
  <c r="S147" i="504" s="1"/>
  <c r="N5" i="504"/>
  <c r="N7" i="504" s="1"/>
  <c r="M5" i="504"/>
  <c r="M7" i="504" s="1"/>
  <c r="Q147" i="504" s="1"/>
  <c r="L5" i="504"/>
  <c r="L7" i="504" s="1"/>
  <c r="P147" i="504" s="1"/>
  <c r="U4" i="504"/>
  <c r="H5" i="504"/>
  <c r="H7" i="504" s="1"/>
  <c r="G5" i="504"/>
  <c r="G7" i="504" s="1"/>
  <c r="F5" i="504"/>
  <c r="F7" i="504" s="1"/>
  <c r="I5" i="504"/>
  <c r="I7" i="504" s="1"/>
  <c r="M147" i="504" s="1"/>
  <c r="E5" i="504"/>
  <c r="E7" i="504" s="1"/>
  <c r="I465" i="451"/>
  <c r="L263" i="436"/>
  <c r="L277" i="436" s="1"/>
  <c r="C29" i="458"/>
  <c r="B29" i="458"/>
  <c r="K147" i="504" l="1"/>
  <c r="O147" i="504"/>
  <c r="L147" i="504"/>
  <c r="R147" i="504"/>
  <c r="I147" i="504"/>
  <c r="J147" i="504"/>
  <c r="B379" i="455"/>
  <c r="D5" i="504"/>
  <c r="D7" i="504" s="1"/>
  <c r="H147" i="504" s="1"/>
  <c r="W4" i="504"/>
  <c r="B380" i="455" l="1"/>
  <c r="F652" i="448"/>
  <c r="E662" i="448"/>
  <c r="G661" i="448"/>
  <c r="E660" i="448"/>
  <c r="E659" i="448"/>
  <c r="E658" i="448"/>
  <c r="E657" i="448"/>
  <c r="E656" i="448"/>
  <c r="E655" i="448"/>
  <c r="E654" i="448"/>
  <c r="E653" i="448"/>
  <c r="E652" i="448"/>
  <c r="G651" i="448"/>
  <c r="I643" i="448"/>
  <c r="B381" i="455" l="1"/>
  <c r="F653" i="448"/>
  <c r="F658" i="448"/>
  <c r="F657" i="448"/>
  <c r="F654" i="448"/>
  <c r="F655" i="448"/>
  <c r="B382" i="455" l="1"/>
  <c r="E1188" i="448"/>
  <c r="G1187" i="448"/>
  <c r="E285" i="449"/>
  <c r="D285" i="449" s="1"/>
  <c r="A285" i="449"/>
  <c r="E3064" i="448"/>
  <c r="E3063" i="448"/>
  <c r="E3062" i="448"/>
  <c r="G3061" i="448"/>
  <c r="H1027" i="451"/>
  <c r="H1028" i="451"/>
  <c r="D731" i="449"/>
  <c r="D730" i="449"/>
  <c r="A730" i="449"/>
  <c r="A731" i="449"/>
  <c r="E2623" i="448"/>
  <c r="E2622" i="448"/>
  <c r="E2621" i="448"/>
  <c r="E2620" i="448"/>
  <c r="G2619" i="448"/>
  <c r="E2628" i="448"/>
  <c r="E2627" i="448"/>
  <c r="E2626" i="448"/>
  <c r="E2625" i="448"/>
  <c r="G2624" i="448"/>
  <c r="E2633" i="448"/>
  <c r="E2632" i="448"/>
  <c r="E2631" i="448"/>
  <c r="E2630" i="448"/>
  <c r="G2629" i="448"/>
  <c r="E2528" i="448"/>
  <c r="E2527" i="448"/>
  <c r="E2526" i="448"/>
  <c r="G2525" i="448"/>
  <c r="E2546" i="448"/>
  <c r="G2545" i="448"/>
  <c r="D209" i="449"/>
  <c r="A209" i="449"/>
  <c r="E2539" i="448"/>
  <c r="G2538" i="448"/>
  <c r="E2484" i="448"/>
  <c r="G2483" i="448"/>
  <c r="E239" i="449"/>
  <c r="D239" i="449" s="1"/>
  <c r="A239" i="449"/>
  <c r="E2424" i="448"/>
  <c r="G2423" i="448"/>
  <c r="E229" i="449"/>
  <c r="D229" i="449" s="1"/>
  <c r="D227" i="449"/>
  <c r="A227" i="449"/>
  <c r="D228" i="449"/>
  <c r="G2397" i="448" s="1"/>
  <c r="A228" i="449"/>
  <c r="A229" i="449"/>
  <c r="E2404" i="448"/>
  <c r="E2403" i="448"/>
  <c r="G2402" i="448"/>
  <c r="E2398" i="448"/>
  <c r="E2397" i="448"/>
  <c r="G2396" i="448"/>
  <c r="E2395" i="448"/>
  <c r="E2394" i="448"/>
  <c r="G2393" i="448"/>
  <c r="E246" i="449"/>
  <c r="D246" i="449" s="1"/>
  <c r="G2436" i="448" s="1"/>
  <c r="E245" i="449"/>
  <c r="D245" i="449" s="1"/>
  <c r="G2434" i="448" s="1"/>
  <c r="E244" i="449"/>
  <c r="D244" i="449" s="1"/>
  <c r="G2432" i="448" s="1"/>
  <c r="E243" i="449"/>
  <c r="D243" i="449" s="1"/>
  <c r="G2430" i="448" s="1"/>
  <c r="A243" i="449"/>
  <c r="A244" i="449"/>
  <c r="A245" i="449"/>
  <c r="A246" i="449"/>
  <c r="E2430" i="448"/>
  <c r="G2429" i="448"/>
  <c r="E2432" i="448"/>
  <c r="G2431" i="448"/>
  <c r="E2434" i="448"/>
  <c r="G2433" i="448"/>
  <c r="E2436" i="448"/>
  <c r="G2435" i="448"/>
  <c r="B383" i="455" l="1"/>
  <c r="G2539" i="448"/>
  <c r="G2541" i="448"/>
  <c r="G2403" i="448"/>
  <c r="G2400" i="448"/>
  <c r="G1188" i="448"/>
  <c r="H1025" i="451"/>
  <c r="H1026" i="451"/>
  <c r="E2332" i="448"/>
  <c r="G2331" i="448"/>
  <c r="E1568" i="448"/>
  <c r="G1567" i="448"/>
  <c r="E1520" i="448"/>
  <c r="G1519" i="448"/>
  <c r="E1518" i="448"/>
  <c r="E1517" i="448"/>
  <c r="G1516" i="448"/>
  <c r="E2102" i="448"/>
  <c r="F2101" i="448"/>
  <c r="E2101" i="448"/>
  <c r="G2100" i="448"/>
  <c r="B384" i="455" l="1"/>
  <c r="B385" i="455" l="1"/>
  <c r="H1736" i="451"/>
  <c r="D466" i="449"/>
  <c r="A466" i="449"/>
  <c r="E2021" i="448"/>
  <c r="G2020" i="448"/>
  <c r="G1805" i="448"/>
  <c r="G1820" i="448"/>
  <c r="G1825" i="448"/>
  <c r="G1830" i="448"/>
  <c r="D467" i="449"/>
  <c r="A467" i="449"/>
  <c r="G1821" i="448" l="1"/>
  <c r="B386" i="455"/>
  <c r="G1337" i="448"/>
  <c r="G1332" i="448"/>
  <c r="G1816" i="448"/>
  <c r="G2021" i="448"/>
  <c r="F1595" i="448"/>
  <c r="F1596" i="448"/>
  <c r="E1596" i="448"/>
  <c r="E1595" i="448"/>
  <c r="G1594" i="448"/>
  <c r="D425" i="449"/>
  <c r="G2526" i="448" s="1"/>
  <c r="A425" i="449"/>
  <c r="E1455" i="448"/>
  <c r="E1454" i="448"/>
  <c r="G1453" i="448"/>
  <c r="E1458" i="448"/>
  <c r="E1457" i="448"/>
  <c r="G1456" i="448"/>
  <c r="E1325" i="448"/>
  <c r="E1324" i="448"/>
  <c r="E1323" i="448"/>
  <c r="E1322" i="448"/>
  <c r="G1321" i="448"/>
  <c r="D544" i="449"/>
  <c r="G1322" i="448" s="1"/>
  <c r="A544" i="449"/>
  <c r="E2982" i="448"/>
  <c r="E2981" i="448"/>
  <c r="E2980" i="448"/>
  <c r="E2979" i="448"/>
  <c r="G2978" i="448"/>
  <c r="E1022" i="448"/>
  <c r="E1030" i="448"/>
  <c r="E1029" i="448"/>
  <c r="E1028" i="448"/>
  <c r="E1027" i="448"/>
  <c r="E1026" i="448"/>
  <c r="E1025" i="448"/>
  <c r="E1024" i="448"/>
  <c r="E1023" i="448"/>
  <c r="E1021" i="448"/>
  <c r="E1020" i="448"/>
  <c r="G1019" i="448"/>
  <c r="E996" i="448"/>
  <c r="E995" i="448"/>
  <c r="E994" i="448"/>
  <c r="E993" i="448"/>
  <c r="E992" i="448"/>
  <c r="E991" i="448"/>
  <c r="E990" i="448"/>
  <c r="E989" i="448"/>
  <c r="E988" i="448"/>
  <c r="E987" i="448"/>
  <c r="G986" i="448"/>
  <c r="E985" i="448"/>
  <c r="E984" i="448"/>
  <c r="E983" i="448"/>
  <c r="E982" i="448"/>
  <c r="E981" i="448"/>
  <c r="E980" i="448"/>
  <c r="E979" i="448"/>
  <c r="E978" i="448"/>
  <c r="E977" i="448"/>
  <c r="E976" i="448"/>
  <c r="G975" i="448"/>
  <c r="E1007" i="448"/>
  <c r="E1006" i="448"/>
  <c r="E1005" i="448"/>
  <c r="E1004" i="448"/>
  <c r="E1003" i="448"/>
  <c r="E1002" i="448"/>
  <c r="E1001" i="448"/>
  <c r="E1000" i="448"/>
  <c r="E999" i="448"/>
  <c r="E998" i="448"/>
  <c r="G997" i="448"/>
  <c r="E1018" i="448"/>
  <c r="E1017" i="448"/>
  <c r="E1016" i="448"/>
  <c r="E1015" i="448"/>
  <c r="E1014" i="448"/>
  <c r="E1013" i="448"/>
  <c r="E1012" i="448"/>
  <c r="E1011" i="448"/>
  <c r="E1010" i="448"/>
  <c r="E1009" i="448"/>
  <c r="G1008" i="448"/>
  <c r="E965" i="448"/>
  <c r="E974" i="448"/>
  <c r="E973" i="448"/>
  <c r="E972" i="448"/>
  <c r="E971" i="448"/>
  <c r="E970" i="448"/>
  <c r="E969" i="448"/>
  <c r="E968" i="448"/>
  <c r="E967" i="448"/>
  <c r="E966" i="448"/>
  <c r="E964" i="448"/>
  <c r="G963" i="448"/>
  <c r="E906" i="448"/>
  <c r="E940" i="448"/>
  <c r="E939" i="448"/>
  <c r="E938" i="448"/>
  <c r="E937" i="448"/>
  <c r="E936" i="448"/>
  <c r="E935" i="448"/>
  <c r="E934" i="448"/>
  <c r="E933" i="448"/>
  <c r="E932" i="448"/>
  <c r="E931" i="448"/>
  <c r="G930" i="448"/>
  <c r="E917" i="448"/>
  <c r="E916" i="448"/>
  <c r="E915" i="448"/>
  <c r="E914" i="448"/>
  <c r="E913" i="448"/>
  <c r="E912" i="448"/>
  <c r="E911" i="448"/>
  <c r="E910" i="448"/>
  <c r="E909" i="448"/>
  <c r="E908" i="448"/>
  <c r="G907" i="448"/>
  <c r="E951" i="448"/>
  <c r="E950" i="448"/>
  <c r="E949" i="448"/>
  <c r="E948" i="448"/>
  <c r="E947" i="448"/>
  <c r="E946" i="448"/>
  <c r="E945" i="448"/>
  <c r="E944" i="448"/>
  <c r="E943" i="448"/>
  <c r="E942" i="448"/>
  <c r="G941" i="448"/>
  <c r="E962" i="448"/>
  <c r="E961" i="448"/>
  <c r="E960" i="448"/>
  <c r="E959" i="448"/>
  <c r="E958" i="448"/>
  <c r="E957" i="448"/>
  <c r="E956" i="448"/>
  <c r="E955" i="448"/>
  <c r="E954" i="448"/>
  <c r="E953" i="448"/>
  <c r="G952" i="448"/>
  <c r="E885" i="448"/>
  <c r="E894" i="448"/>
  <c r="E893" i="448"/>
  <c r="E892" i="448"/>
  <c r="E891" i="448"/>
  <c r="E890" i="448"/>
  <c r="E889" i="448"/>
  <c r="E888" i="448"/>
  <c r="E887" i="448"/>
  <c r="E886" i="448"/>
  <c r="E884" i="448"/>
  <c r="E883" i="448"/>
  <c r="G882" i="448"/>
  <c r="E870" i="448"/>
  <c r="E869" i="448"/>
  <c r="E868" i="448"/>
  <c r="E867" i="448"/>
  <c r="E866" i="448"/>
  <c r="E865" i="448"/>
  <c r="E864" i="448"/>
  <c r="E863" i="448"/>
  <c r="E862" i="448"/>
  <c r="E861" i="448"/>
  <c r="G860" i="448"/>
  <c r="E848" i="448"/>
  <c r="E847" i="448"/>
  <c r="E846" i="448"/>
  <c r="E845" i="448"/>
  <c r="E844" i="448"/>
  <c r="E843" i="448"/>
  <c r="E842" i="448"/>
  <c r="E841" i="448"/>
  <c r="E840" i="448"/>
  <c r="E839" i="448"/>
  <c r="G838" i="448"/>
  <c r="E859" i="448"/>
  <c r="E858" i="448"/>
  <c r="E857" i="448"/>
  <c r="E856" i="448"/>
  <c r="E855" i="448"/>
  <c r="E854" i="448"/>
  <c r="E853" i="448"/>
  <c r="E852" i="448"/>
  <c r="E851" i="448"/>
  <c r="E850" i="448"/>
  <c r="G849" i="448"/>
  <c r="E1067" i="448"/>
  <c r="E1066" i="448"/>
  <c r="E1065" i="448"/>
  <c r="E1064" i="448"/>
  <c r="E1063" i="448"/>
  <c r="G1062" i="448"/>
  <c r="E1073" i="448"/>
  <c r="E1072" i="448"/>
  <c r="E1071" i="448"/>
  <c r="E1070" i="448"/>
  <c r="E1069" i="448"/>
  <c r="G1068" i="448"/>
  <c r="E1061" i="448"/>
  <c r="E1060" i="448"/>
  <c r="E1059" i="448"/>
  <c r="E1058" i="448"/>
  <c r="E1057" i="448"/>
  <c r="F1056" i="448"/>
  <c r="E1053" i="448"/>
  <c r="E1052" i="448"/>
  <c r="E1051" i="448"/>
  <c r="E1049" i="448"/>
  <c r="E1048" i="448"/>
  <c r="G1047" i="448"/>
  <c r="D64" i="449"/>
  <c r="G715" i="448" s="1"/>
  <c r="A64" i="449"/>
  <c r="E710" i="448"/>
  <c r="F709" i="448"/>
  <c r="E709" i="448"/>
  <c r="G708" i="448"/>
  <c r="D71" i="449"/>
  <c r="G757" i="448" s="1"/>
  <c r="A71" i="449"/>
  <c r="E758" i="448"/>
  <c r="F757" i="448"/>
  <c r="E757" i="448"/>
  <c r="G756" i="448"/>
  <c r="G1454" i="448" l="1"/>
  <c r="H1733" i="451" l="1"/>
  <c r="H1029" i="451"/>
  <c r="H1030" i="451"/>
  <c r="H1031" i="451"/>
  <c r="H1032" i="451"/>
  <c r="H1033" i="451"/>
  <c r="H1034" i="451"/>
  <c r="H1035" i="451"/>
  <c r="H1036" i="451"/>
  <c r="H1037" i="451"/>
  <c r="H1038" i="451"/>
  <c r="H1039" i="451"/>
  <c r="H1040" i="451"/>
  <c r="E193" i="451"/>
  <c r="I193" i="451" s="1"/>
  <c r="E12" i="451"/>
  <c r="H13" i="451"/>
  <c r="L105" i="436" s="1"/>
  <c r="H1041" i="451" l="1"/>
  <c r="N256" i="436" l="1"/>
  <c r="C2" i="487" l="1"/>
  <c r="C1" i="487"/>
  <c r="E39" i="487" l="1"/>
  <c r="E38" i="487"/>
  <c r="E37" i="487"/>
  <c r="E36" i="487"/>
  <c r="E35" i="487"/>
  <c r="E34" i="487"/>
  <c r="E43" i="487"/>
  <c r="E42" i="487"/>
  <c r="E41" i="487"/>
  <c r="E40" i="487"/>
  <c r="E47" i="487"/>
  <c r="E46" i="487"/>
  <c r="E45" i="487"/>
  <c r="E44" i="487"/>
  <c r="E52" i="487"/>
  <c r="E51" i="487"/>
  <c r="E50" i="487"/>
  <c r="E49" i="487"/>
  <c r="E48" i="487"/>
  <c r="E33" i="487"/>
  <c r="E68" i="487"/>
  <c r="E67" i="487"/>
  <c r="E66" i="487"/>
  <c r="E65" i="487"/>
  <c r="E64" i="487"/>
  <c r="E63" i="487"/>
  <c r="E60" i="487"/>
  <c r="E59" i="487"/>
  <c r="E58" i="487"/>
  <c r="E57" i="487"/>
  <c r="E56" i="487"/>
  <c r="E55" i="487"/>
  <c r="E30" i="487"/>
  <c r="E29" i="487"/>
  <c r="D26" i="487"/>
  <c r="E26" i="487" s="1"/>
  <c r="E25" i="487"/>
  <c r="E24" i="487"/>
  <c r="D21" i="487"/>
  <c r="E21" i="487" s="1"/>
  <c r="E20" i="487"/>
  <c r="E19" i="487"/>
  <c r="E18" i="487"/>
  <c r="E17" i="487"/>
  <c r="E16" i="487"/>
  <c r="E15" i="487"/>
  <c r="E14" i="487"/>
  <c r="E13" i="487"/>
  <c r="E12" i="487"/>
  <c r="E11" i="487"/>
  <c r="E10" i="487"/>
  <c r="E9" i="487"/>
  <c r="E8" i="487"/>
  <c r="E7" i="487"/>
  <c r="E32" i="487" l="1"/>
  <c r="F32" i="487" s="1"/>
  <c r="E62" i="487"/>
  <c r="E69" i="487" s="1"/>
  <c r="E54" i="487"/>
  <c r="E61" i="487" s="1"/>
  <c r="E53" i="487"/>
  <c r="E6" i="487"/>
  <c r="E22" i="487" s="1"/>
  <c r="E28" i="487"/>
  <c r="E31" i="487" s="1"/>
  <c r="E23" i="487"/>
  <c r="E27" i="487" s="1"/>
  <c r="F219" i="448" l="1"/>
  <c r="F220" i="448"/>
  <c r="F218" i="448"/>
  <c r="C215" i="448"/>
  <c r="C216" i="448" s="1"/>
  <c r="C217" i="448"/>
  <c r="C218" i="448" s="1"/>
  <c r="C219" i="448" s="1"/>
  <c r="C220" i="448" s="1"/>
  <c r="C221" i="448"/>
  <c r="C222" i="448" s="1"/>
  <c r="C223" i="448" s="1"/>
  <c r="C224" i="448" s="1"/>
  <c r="C225" i="448"/>
  <c r="C226" i="448" s="1"/>
  <c r="C227" i="448"/>
  <c r="C228" i="448" s="1"/>
  <c r="C229" i="448"/>
  <c r="E220" i="448"/>
  <c r="E219" i="448"/>
  <c r="E218" i="448"/>
  <c r="G217" i="448"/>
  <c r="D5" i="449" l="1"/>
  <c r="A5" i="449"/>
  <c r="E667" i="448"/>
  <c r="E650" i="448"/>
  <c r="E649" i="448"/>
  <c r="E648" i="448"/>
  <c r="E647" i="448"/>
  <c r="E646" i="448"/>
  <c r="E645" i="448"/>
  <c r="E644" i="448"/>
  <c r="E643" i="448"/>
  <c r="G642" i="448"/>
  <c r="E505" i="448"/>
  <c r="E504" i="448"/>
  <c r="E503" i="448"/>
  <c r="E502" i="448"/>
  <c r="E501" i="448"/>
  <c r="G500" i="448"/>
  <c r="E524" i="448"/>
  <c r="E523" i="448"/>
  <c r="G522" i="448"/>
  <c r="E521" i="448"/>
  <c r="E520" i="448"/>
  <c r="E519" i="448"/>
  <c r="E518" i="448"/>
  <c r="G517" i="448"/>
  <c r="E516" i="448"/>
  <c r="E515" i="448"/>
  <c r="E514" i="448"/>
  <c r="E513" i="448"/>
  <c r="G512" i="448"/>
  <c r="D336" i="449"/>
  <c r="G519" i="448" s="1"/>
  <c r="A336" i="449"/>
  <c r="E25" i="449"/>
  <c r="D25" i="449" s="1"/>
  <c r="G594" i="448" s="1"/>
  <c r="A25" i="449"/>
  <c r="E596" i="448"/>
  <c r="E595" i="448"/>
  <c r="E594" i="448"/>
  <c r="G593" i="448"/>
  <c r="F556" i="448"/>
  <c r="I395" i="448"/>
  <c r="F395" i="448" s="1"/>
  <c r="E381" i="449"/>
  <c r="D381" i="449" s="1"/>
  <c r="G394" i="448" s="1"/>
  <c r="A381" i="449"/>
  <c r="E395" i="448"/>
  <c r="E394" i="448"/>
  <c r="G393" i="448"/>
  <c r="E424" i="448"/>
  <c r="G423" i="448"/>
  <c r="G656" i="448" l="1"/>
  <c r="G662" i="448"/>
  <c r="G524" i="448"/>
  <c r="G514" i="448"/>
  <c r="F116" i="432" l="1"/>
  <c r="E69" i="432"/>
  <c r="E68" i="432"/>
  <c r="E67" i="432"/>
  <c r="E66" i="432"/>
  <c r="H116" i="432" l="1"/>
  <c r="L151" i="436" s="1"/>
  <c r="E271" i="448" l="1"/>
  <c r="G270" i="448"/>
  <c r="E273" i="448"/>
  <c r="G272" i="448"/>
  <c r="E275" i="448"/>
  <c r="G274" i="448"/>
  <c r="E277" i="448"/>
  <c r="G276" i="448"/>
  <c r="E279" i="448"/>
  <c r="G278" i="448"/>
  <c r="E580" i="449"/>
  <c r="E579" i="449"/>
  <c r="D579" i="449" s="1"/>
  <c r="G279" i="448" s="1"/>
  <c r="E578" i="449"/>
  <c r="D578" i="449" s="1"/>
  <c r="G277" i="448" s="1"/>
  <c r="E577" i="449"/>
  <c r="D577" i="449" s="1"/>
  <c r="G275" i="448" s="1"/>
  <c r="E576" i="449"/>
  <c r="D576" i="449" s="1"/>
  <c r="G273" i="448" s="1"/>
  <c r="D575" i="449"/>
  <c r="G424" i="448" s="1"/>
  <c r="A575" i="449"/>
  <c r="A576" i="449"/>
  <c r="A577" i="449"/>
  <c r="A578" i="449"/>
  <c r="A579" i="449"/>
  <c r="E311" i="448"/>
  <c r="E310" i="448"/>
  <c r="E309" i="448"/>
  <c r="G308" i="448"/>
  <c r="G271" i="448" l="1"/>
  <c r="F1041" i="448" l="1"/>
  <c r="E1034" i="448"/>
  <c r="E742" i="449" l="1"/>
  <c r="D742" i="449" s="1"/>
  <c r="G2581" i="448" s="1"/>
  <c r="E741" i="449"/>
  <c r="D741" i="449" s="1"/>
  <c r="G2571" i="448" s="1"/>
  <c r="E740" i="449"/>
  <c r="D740" i="449" s="1"/>
  <c r="G2576" i="448" s="1"/>
  <c r="A742" i="449"/>
  <c r="A741" i="449"/>
  <c r="A740" i="449"/>
  <c r="F2586" i="448"/>
  <c r="E2586" i="448"/>
  <c r="E2585" i="448"/>
  <c r="E2584" i="448"/>
  <c r="E2583" i="448"/>
  <c r="G2582" i="448"/>
  <c r="F2581" i="448"/>
  <c r="E2581" i="448"/>
  <c r="E2580" i="448"/>
  <c r="E2579" i="448"/>
  <c r="E2578" i="448"/>
  <c r="G2577" i="448"/>
  <c r="F2576" i="448"/>
  <c r="E2576" i="448"/>
  <c r="E2575" i="448"/>
  <c r="E2574" i="448"/>
  <c r="E2573" i="448"/>
  <c r="G2572" i="448"/>
  <c r="F2571" i="448"/>
  <c r="E2571" i="448"/>
  <c r="E2570" i="448"/>
  <c r="E2569" i="448"/>
  <c r="E2568" i="448"/>
  <c r="G2567" i="448"/>
  <c r="E2616" i="448"/>
  <c r="G2615" i="448"/>
  <c r="E706" i="449"/>
  <c r="D706" i="449" s="1"/>
  <c r="A706" i="449"/>
  <c r="E2185" i="448"/>
  <c r="E2184" i="448"/>
  <c r="G2183" i="448"/>
  <c r="F2156" i="448"/>
  <c r="E2156" i="448"/>
  <c r="F2155" i="448"/>
  <c r="E2155" i="448"/>
  <c r="G2154" i="448"/>
  <c r="G2185" i="448" l="1"/>
  <c r="G2156" i="448"/>
  <c r="F162" i="448"/>
  <c r="F156" i="448"/>
  <c r="E694" i="449"/>
  <c r="E693" i="449"/>
  <c r="D693" i="449" s="1"/>
  <c r="G2454" i="448" s="1"/>
  <c r="A693" i="449"/>
  <c r="E2454" i="448"/>
  <c r="G2453" i="448"/>
  <c r="E414" i="449"/>
  <c r="E413" i="449"/>
  <c r="D413" i="449" s="1"/>
  <c r="G2318" i="448" s="1"/>
  <c r="A413" i="449"/>
  <c r="F2319" i="448"/>
  <c r="E2319" i="448"/>
  <c r="E2318" i="448"/>
  <c r="G2317" i="448"/>
  <c r="E173" i="449" l="1"/>
  <c r="D167" i="449"/>
  <c r="A167" i="449"/>
  <c r="E1046" i="448"/>
  <c r="E1045" i="448"/>
  <c r="E1044" i="448"/>
  <c r="E1043" i="448"/>
  <c r="E1042" i="448"/>
  <c r="E1038" i="448"/>
  <c r="E1037" i="448"/>
  <c r="E1036" i="448"/>
  <c r="E1033" i="448"/>
  <c r="E1032" i="448"/>
  <c r="G1031" i="448"/>
  <c r="F751" i="448" l="1"/>
  <c r="D69" i="449"/>
  <c r="G748" i="448" s="1"/>
  <c r="A69" i="449"/>
  <c r="F697" i="448"/>
  <c r="G696" i="448"/>
  <c r="E749" i="448"/>
  <c r="F748" i="448"/>
  <c r="E748" i="448"/>
  <c r="G747" i="448"/>
  <c r="C11" i="448" l="1"/>
  <c r="C12" i="448" s="1"/>
  <c r="C13" i="448" s="1"/>
  <c r="C14" i="448" s="1"/>
  <c r="C15" i="448" s="1"/>
  <c r="C16" i="448" s="1"/>
  <c r="C17" i="448" s="1"/>
  <c r="C18" i="448" s="1"/>
  <c r="C19" i="448"/>
  <c r="C20" i="448" s="1"/>
  <c r="C21" i="448" s="1"/>
  <c r="C22" i="448" s="1"/>
  <c r="C23" i="448" s="1"/>
  <c r="C24" i="448" s="1"/>
  <c r="C25" i="448" s="1"/>
  <c r="C26" i="448" s="1"/>
  <c r="C27" i="448"/>
  <c r="C28" i="448" s="1"/>
  <c r="C29" i="448" s="1"/>
  <c r="C30" i="448" s="1"/>
  <c r="C31" i="448" s="1"/>
  <c r="C32" i="448" s="1"/>
  <c r="C33" i="448" s="1"/>
  <c r="C34" i="448" s="1"/>
  <c r="C35" i="448" s="1"/>
  <c r="C36" i="448" s="1"/>
  <c r="C37" i="448"/>
  <c r="C38" i="448" s="1"/>
  <c r="C39" i="448" s="1"/>
  <c r="C40" i="448" s="1"/>
  <c r="C41" i="448" s="1"/>
  <c r="C42" i="448" s="1"/>
  <c r="C43" i="448" s="1"/>
  <c r="C44" i="448" s="1"/>
  <c r="C45" i="448" s="1"/>
  <c r="C46" i="448" s="1"/>
  <c r="C47" i="448"/>
  <c r="C48" i="448" s="1"/>
  <c r="C49" i="448" s="1"/>
  <c r="C50" i="448" s="1"/>
  <c r="C51" i="448" s="1"/>
  <c r="C52" i="448" s="1"/>
  <c r="C53" i="448" s="1"/>
  <c r="C54" i="448" s="1"/>
  <c r="C55" i="448" s="1"/>
  <c r="C56" i="448" s="1"/>
  <c r="C57" i="448"/>
  <c r="C58" i="448" s="1"/>
  <c r="C59" i="448" s="1"/>
  <c r="C60" i="448" s="1"/>
  <c r="C61" i="448" s="1"/>
  <c r="C62" i="448" s="1"/>
  <c r="C63" i="448" s="1"/>
  <c r="C64" i="448" s="1"/>
  <c r="C65" i="448" s="1"/>
  <c r="C66" i="448" s="1"/>
  <c r="C67" i="448"/>
  <c r="C68" i="448" s="1"/>
  <c r="C69" i="448" s="1"/>
  <c r="C70" i="448" s="1"/>
  <c r="C71" i="448" s="1"/>
  <c r="C72" i="448" s="1"/>
  <c r="C73" i="448" s="1"/>
  <c r="C74" i="448" s="1"/>
  <c r="C75" i="448" s="1"/>
  <c r="C76" i="448" s="1"/>
  <c r="C77" i="448"/>
  <c r="C78" i="448" s="1"/>
  <c r="C79" i="448" s="1"/>
  <c r="C80" i="448" s="1"/>
  <c r="C81" i="448" s="1"/>
  <c r="C82" i="448" s="1"/>
  <c r="C83" i="448" s="1"/>
  <c r="C87" i="448"/>
  <c r="C88" i="448" s="1"/>
  <c r="C89" i="448" s="1"/>
  <c r="C90" i="448" s="1"/>
  <c r="C91" i="448" s="1"/>
  <c r="C92" i="448" s="1"/>
  <c r="C93" i="448" s="1"/>
  <c r="C94" i="448" s="1"/>
  <c r="C95" i="448" s="1"/>
  <c r="C96" i="448" s="1"/>
  <c r="C97" i="448"/>
  <c r="C98" i="448" s="1"/>
  <c r="C99" i="448" s="1"/>
  <c r="C100" i="448" s="1"/>
  <c r="C101" i="448" s="1"/>
  <c r="C102" i="448" s="1"/>
  <c r="C103" i="448" s="1"/>
  <c r="C104" i="448" s="1"/>
  <c r="C105" i="448" s="1"/>
  <c r="C106" i="448" s="1"/>
  <c r="C107" i="448"/>
  <c r="C108" i="448" s="1"/>
  <c r="C109" i="448" s="1"/>
  <c r="C110" i="448" s="1"/>
  <c r="C111" i="448" s="1"/>
  <c r="C112" i="448" s="1"/>
  <c r="C113" i="448" s="1"/>
  <c r="C114" i="448" s="1"/>
  <c r="C115" i="448" s="1"/>
  <c r="C116" i="448" s="1"/>
  <c r="C117" i="448" s="1"/>
  <c r="C118" i="448" s="1"/>
  <c r="C119" i="448" s="1"/>
  <c r="C120" i="448" s="1"/>
  <c r="C121" i="448" s="1"/>
  <c r="C122" i="448" s="1"/>
  <c r="C123" i="448" s="1"/>
  <c r="C124" i="448"/>
  <c r="C125" i="448" s="1"/>
  <c r="C126" i="448" s="1"/>
  <c r="C127" i="448" s="1"/>
  <c r="C128" i="448" s="1"/>
  <c r="C129" i="448" s="1"/>
  <c r="C130" i="448" s="1"/>
  <c r="C131" i="448" s="1"/>
  <c r="C132" i="448" s="1"/>
  <c r="C133" i="448" s="1"/>
  <c r="C134" i="448" s="1"/>
  <c r="C135" i="448" s="1"/>
  <c r="C136" i="448" s="1"/>
  <c r="C137" i="448" s="1"/>
  <c r="C138" i="448" s="1"/>
  <c r="C139" i="448" s="1"/>
  <c r="C140" i="448" s="1"/>
  <c r="C141" i="448"/>
  <c r="C142" i="448" s="1"/>
  <c r="C143" i="448" s="1"/>
  <c r="C144" i="448" s="1"/>
  <c r="C145" i="448"/>
  <c r="C146" i="448" s="1"/>
  <c r="C147" i="448" s="1"/>
  <c r="C148" i="448" s="1"/>
  <c r="C149" i="448" s="1"/>
  <c r="C150" i="448" s="1"/>
  <c r="C152" i="448"/>
  <c r="C153" i="448" s="1"/>
  <c r="C154" i="448" s="1"/>
  <c r="C155" i="448" s="1"/>
  <c r="C156" i="448" s="1"/>
  <c r="C157" i="448" s="1"/>
  <c r="C158" i="448"/>
  <c r="C159" i="448" s="1"/>
  <c r="C160" i="448" s="1"/>
  <c r="C161" i="448" s="1"/>
  <c r="C162" i="448" s="1"/>
  <c r="C163" i="448" s="1"/>
  <c r="C164" i="448"/>
  <c r="C165" i="448" s="1"/>
  <c r="C166" i="448" s="1"/>
  <c r="C167" i="448" s="1"/>
  <c r="C168" i="448" s="1"/>
  <c r="C169" i="448"/>
  <c r="C170" i="448" s="1"/>
  <c r="C171" i="448" s="1"/>
  <c r="C172" i="448" s="1"/>
  <c r="C173" i="448" s="1"/>
  <c r="C174" i="448" s="1"/>
  <c r="C175" i="448"/>
  <c r="C176" i="448" s="1"/>
  <c r="C177" i="448" s="1"/>
  <c r="C178" i="448" s="1"/>
  <c r="C179" i="448" s="1"/>
  <c r="C180" i="448"/>
  <c r="C181" i="448" s="1"/>
  <c r="C182" i="448" s="1"/>
  <c r="C183" i="448" s="1"/>
  <c r="C184" i="448" s="1"/>
  <c r="C185" i="448"/>
  <c r="C186" i="448" s="1"/>
  <c r="C187" i="448" s="1"/>
  <c r="C188" i="448" s="1"/>
  <c r="C189" i="448"/>
  <c r="C190" i="448" s="1"/>
  <c r="C191" i="448"/>
  <c r="C192" i="448" s="1"/>
  <c r="C193" i="448" s="1"/>
  <c r="C194" i="448" s="1"/>
  <c r="C195" i="448" s="1"/>
  <c r="C196" i="448" s="1"/>
  <c r="C197" i="448"/>
  <c r="C198" i="448" s="1"/>
  <c r="C199" i="448" s="1"/>
  <c r="C200" i="448" s="1"/>
  <c r="C201" i="448"/>
  <c r="C202" i="448" s="1"/>
  <c r="C204" i="448"/>
  <c r="C205" i="448" s="1"/>
  <c r="C206" i="448" s="1"/>
  <c r="C207" i="448"/>
  <c r="C208" i="448" s="1"/>
  <c r="C209" i="448"/>
  <c r="C210" i="448" s="1"/>
  <c r="C211" i="448"/>
  <c r="C212" i="448" s="1"/>
  <c r="C213" i="448"/>
  <c r="C214" i="448" s="1"/>
  <c r="C230" i="448"/>
  <c r="C231" i="448"/>
  <c r="C233" i="448"/>
  <c r="C234" i="448" s="1"/>
  <c r="C235" i="448"/>
  <c r="C236" i="448" s="1"/>
  <c r="C237" i="448" s="1"/>
  <c r="C238" i="448" s="1"/>
  <c r="C239" i="448" s="1"/>
  <c r="C240" i="448" s="1"/>
  <c r="C241" i="448"/>
  <c r="C242" i="448" s="1"/>
  <c r="C243" i="448"/>
  <c r="C244" i="448" s="1"/>
  <c r="C245" i="448"/>
  <c r="C246" i="448" s="1"/>
  <c r="C248" i="448"/>
  <c r="C249" i="448" s="1"/>
  <c r="C3" i="448"/>
  <c r="C4" i="448" s="1"/>
  <c r="C5" i="448" s="1"/>
  <c r="C6" i="448" s="1"/>
  <c r="C7" i="448" s="1"/>
  <c r="C8" i="448" s="1"/>
  <c r="C9" i="448" s="1"/>
  <c r="C10" i="448" s="1"/>
  <c r="D534" i="449"/>
  <c r="E2220" i="448"/>
  <c r="E2219" i="448"/>
  <c r="G2218" i="448"/>
  <c r="E726" i="449"/>
  <c r="D726" i="449" s="1"/>
  <c r="A726" i="449"/>
  <c r="F2203" i="448"/>
  <c r="F2202" i="448"/>
  <c r="E2202" i="448"/>
  <c r="E2203" i="448"/>
  <c r="E2201" i="448"/>
  <c r="E2200" i="448"/>
  <c r="G2199" i="448"/>
  <c r="E1515" i="448"/>
  <c r="E1514" i="448"/>
  <c r="E1513" i="448"/>
  <c r="E1512" i="448"/>
  <c r="G1511" i="448"/>
  <c r="C84" i="448" l="1"/>
  <c r="C85" i="448" s="1"/>
  <c r="C86" i="448" s="1"/>
  <c r="C232" i="448"/>
  <c r="D453" i="449" l="1"/>
  <c r="A453" i="449"/>
  <c r="D350" i="449"/>
  <c r="A350" i="449"/>
  <c r="E556" i="448"/>
  <c r="E555" i="448"/>
  <c r="E558" i="448"/>
  <c r="E557" i="448"/>
  <c r="D4" i="449"/>
  <c r="G556" i="448" s="1"/>
  <c r="A4" i="449"/>
  <c r="G560" i="448"/>
  <c r="E560" i="448"/>
  <c r="E559" i="448"/>
  <c r="E554" i="448"/>
  <c r="E2456" i="448" l="1"/>
  <c r="G2455" i="448"/>
  <c r="D414" i="449"/>
  <c r="A414" i="449"/>
  <c r="F2322" i="448"/>
  <c r="D694" i="449"/>
  <c r="G2456" i="448" s="1"/>
  <c r="A694" i="449"/>
  <c r="E2322" i="448"/>
  <c r="E2321" i="448"/>
  <c r="G2320" i="448"/>
  <c r="E612" i="448" l="1"/>
  <c r="E611" i="448"/>
  <c r="E610" i="448"/>
  <c r="G609" i="448"/>
  <c r="E552" i="448"/>
  <c r="E551" i="448"/>
  <c r="E550" i="448"/>
  <c r="G549" i="448"/>
  <c r="E508" i="448"/>
  <c r="D445" i="449"/>
  <c r="A445" i="449"/>
  <c r="E511" i="448"/>
  <c r="E510" i="448"/>
  <c r="E509" i="448"/>
  <c r="E507" i="448"/>
  <c r="G506" i="448"/>
  <c r="G507" i="448" l="1"/>
  <c r="G501" i="448"/>
  <c r="G552" i="448"/>
  <c r="E407" i="448" l="1"/>
  <c r="E406" i="448"/>
  <c r="E405" i="448"/>
  <c r="G404" i="448"/>
  <c r="E283" i="448" l="1"/>
  <c r="G282" i="448"/>
  <c r="D584" i="449"/>
  <c r="G259" i="448" s="1"/>
  <c r="A584" i="449"/>
  <c r="D583" i="449"/>
  <c r="G257" i="448" s="1"/>
  <c r="A583" i="449"/>
  <c r="D180" i="449"/>
  <c r="G283" i="448" s="1"/>
  <c r="A180" i="449"/>
  <c r="E257" i="448"/>
  <c r="G256" i="448"/>
  <c r="E259" i="448"/>
  <c r="G258" i="448"/>
  <c r="N189" i="436" l="1"/>
  <c r="N185" i="436" l="1"/>
  <c r="N187" i="436"/>
  <c r="N227" i="436" l="1"/>
  <c r="N175" i="436" l="1"/>
  <c r="N205" i="436" l="1"/>
  <c r="N207" i="436" l="1"/>
  <c r="N244" i="436" l="1"/>
  <c r="N242" i="436" l="1"/>
  <c r="N238" i="436" l="1"/>
  <c r="N237" i="436"/>
  <c r="D624" i="449"/>
  <c r="A624" i="449"/>
  <c r="G1157" i="448"/>
  <c r="E1157" i="448"/>
  <c r="G1156" i="448"/>
  <c r="N240" i="436" l="1"/>
  <c r="E1285" i="448"/>
  <c r="E2216" i="448"/>
  <c r="E2213" i="448"/>
  <c r="E458" i="449"/>
  <c r="E595" i="449"/>
  <c r="D148" i="449"/>
  <c r="A148" i="449"/>
  <c r="D147" i="449"/>
  <c r="A147" i="449"/>
  <c r="E149" i="449"/>
  <c r="E150" i="449"/>
  <c r="E1149" i="448"/>
  <c r="E1148" i="448"/>
  <c r="E1147" i="448"/>
  <c r="E1146" i="448"/>
  <c r="E1145" i="448"/>
  <c r="G1144" i="448"/>
  <c r="E1155" i="448"/>
  <c r="E1154" i="448"/>
  <c r="E1153" i="448"/>
  <c r="E1152" i="448"/>
  <c r="E1151" i="448"/>
  <c r="G1150" i="448"/>
  <c r="H2948" i="451"/>
  <c r="H2945" i="451"/>
  <c r="H2946" i="451"/>
  <c r="H2947" i="451"/>
  <c r="H17" i="451"/>
  <c r="H18" i="451"/>
  <c r="D608" i="449"/>
  <c r="A608" i="449"/>
  <c r="E1167" i="448"/>
  <c r="G1166" i="448"/>
  <c r="D310" i="449"/>
  <c r="G2854" i="448" s="1"/>
  <c r="A310" i="449"/>
  <c r="E2862" i="448"/>
  <c r="E2861" i="448"/>
  <c r="E2860" i="448"/>
  <c r="E2859" i="448"/>
  <c r="E2858" i="448"/>
  <c r="E2857" i="448"/>
  <c r="E2856" i="448"/>
  <c r="E2855" i="448"/>
  <c r="E2854" i="448"/>
  <c r="G2853" i="448"/>
  <c r="N39" i="456"/>
  <c r="L39" i="456"/>
  <c r="I35" i="456"/>
  <c r="J35" i="456"/>
  <c r="K35" i="456"/>
  <c r="L35" i="456"/>
  <c r="M35" i="456"/>
  <c r="N35" i="456"/>
  <c r="O35" i="456"/>
  <c r="P35" i="456"/>
  <c r="Q35" i="456"/>
  <c r="I36" i="456"/>
  <c r="J36" i="456"/>
  <c r="K36" i="456"/>
  <c r="L36" i="456"/>
  <c r="M36" i="456"/>
  <c r="N36" i="456"/>
  <c r="O36" i="456"/>
  <c r="P36" i="456"/>
  <c r="Q36" i="456"/>
  <c r="I37" i="456"/>
  <c r="J37" i="456"/>
  <c r="K37" i="456"/>
  <c r="L37" i="456"/>
  <c r="M37" i="456"/>
  <c r="N37" i="456"/>
  <c r="O37" i="456"/>
  <c r="P37" i="456"/>
  <c r="Q37" i="456"/>
  <c r="I39" i="456"/>
  <c r="K39" i="456"/>
  <c r="O39" i="456"/>
  <c r="P39" i="456"/>
  <c r="Q39" i="456"/>
  <c r="I40" i="456"/>
  <c r="J40" i="456"/>
  <c r="K40" i="456"/>
  <c r="L40" i="456"/>
  <c r="M40" i="456"/>
  <c r="N40" i="456"/>
  <c r="O40" i="456"/>
  <c r="P40" i="456"/>
  <c r="Q40" i="456"/>
  <c r="H47" i="456"/>
  <c r="H46" i="456"/>
  <c r="H45" i="456"/>
  <c r="H44" i="456"/>
  <c r="H43" i="456"/>
  <c r="H42" i="456"/>
  <c r="H41" i="456"/>
  <c r="H40" i="456"/>
  <c r="H39" i="456"/>
  <c r="H37" i="456"/>
  <c r="H36" i="456"/>
  <c r="H35" i="456"/>
  <c r="E4" i="456"/>
  <c r="E2" i="456"/>
  <c r="E1" i="456"/>
  <c r="C7" i="455"/>
  <c r="C72" i="455"/>
  <c r="C74" i="455" s="1"/>
  <c r="C47" i="455"/>
  <c r="C30" i="455"/>
  <c r="C31" i="455" s="1"/>
  <c r="C32" i="455" s="1"/>
  <c r="C33" i="455" s="1"/>
  <c r="C34" i="455" s="1"/>
  <c r="C35" i="455" s="1"/>
  <c r="B29" i="455"/>
  <c r="B30" i="455" l="1"/>
  <c r="B31" i="455" s="1"/>
  <c r="B32" i="455" s="1"/>
  <c r="B33" i="455" s="1"/>
  <c r="B34" i="455" s="1"/>
  <c r="B35" i="455" s="1"/>
  <c r="B36" i="455" s="1"/>
  <c r="C36" i="455"/>
  <c r="E14" i="432"/>
  <c r="E7" i="455"/>
  <c r="C7" i="506"/>
  <c r="C6" i="455"/>
  <c r="A7" i="455"/>
  <c r="C48" i="455"/>
  <c r="M39" i="456"/>
  <c r="B37" i="455" l="1"/>
  <c r="E6" i="455"/>
  <c r="A7" i="506"/>
  <c r="E7" i="506"/>
  <c r="C25" i="455"/>
  <c r="E25" i="455" s="1"/>
  <c r="L12" i="451"/>
  <c r="L365" i="436"/>
  <c r="M431" i="436"/>
  <c r="B38" i="455" l="1"/>
  <c r="B39" i="455" s="1"/>
  <c r="B40" i="455" s="1"/>
  <c r="B41" i="455" s="1"/>
  <c r="B42" i="455" s="1"/>
  <c r="B43" i="455" s="1"/>
  <c r="B44" i="455" s="1"/>
  <c r="B45" i="455" s="1"/>
  <c r="B46" i="455" s="1"/>
  <c r="B47" i="455" s="1"/>
  <c r="B48" i="455" s="1"/>
  <c r="B49" i="455" s="1"/>
  <c r="B50" i="455" s="1"/>
  <c r="B51" i="455" s="1"/>
  <c r="B52" i="455" s="1"/>
  <c r="B53" i="455" s="1"/>
  <c r="B54" i="455" s="1"/>
  <c r="B55" i="455" s="1"/>
  <c r="B56" i="455" s="1"/>
  <c r="B57" i="455" s="1"/>
  <c r="B58" i="455" s="1"/>
  <c r="B59" i="455" s="1"/>
  <c r="B60" i="455" s="1"/>
  <c r="B61" i="455" s="1"/>
  <c r="B62" i="455" s="1"/>
  <c r="B63" i="455" s="1"/>
  <c r="B64" i="455" s="1"/>
  <c r="B65" i="455" s="1"/>
  <c r="B66" i="455" s="1"/>
  <c r="B67" i="455" s="1"/>
  <c r="B68" i="455" s="1"/>
  <c r="B69" i="455" s="1"/>
  <c r="B70" i="455" s="1"/>
  <c r="B71" i="455" s="1"/>
  <c r="B72" i="455" s="1"/>
  <c r="C3" i="455"/>
  <c r="C2" i="455"/>
  <c r="C1" i="455"/>
  <c r="B73" i="455" l="1"/>
  <c r="B74" i="455" s="1"/>
  <c r="G413" i="455" s="1" a="1"/>
  <c r="G413" i="455" s="1"/>
  <c r="G52" i="455" a="1"/>
  <c r="G52" i="455" s="1"/>
  <c r="G163" i="455" a="1"/>
  <c r="G163" i="455" s="1"/>
  <c r="G33" i="455" a="1"/>
  <c r="G33" i="455" s="1"/>
  <c r="G67" i="455" a="1"/>
  <c r="G67" i="455" s="1"/>
  <c r="E184" i="448"/>
  <c r="E183" i="448"/>
  <c r="E182" i="448"/>
  <c r="E181" i="448"/>
  <c r="G180" i="448"/>
  <c r="D173" i="449"/>
  <c r="A173" i="449"/>
  <c r="G259" i="455" l="1" a="1"/>
  <c r="G259" i="455" s="1"/>
  <c r="G235" i="455" a="1"/>
  <c r="G235" i="455" s="1"/>
  <c r="G153" i="455" a="1"/>
  <c r="G153" i="455" s="1"/>
  <c r="G292" i="455" a="1"/>
  <c r="G292" i="455" s="1"/>
  <c r="G92" i="455" a="1"/>
  <c r="G92" i="455" s="1"/>
  <c r="G88" i="455" a="1"/>
  <c r="G88" i="455" s="1"/>
  <c r="H88" i="455" s="1"/>
  <c r="G91" i="455" a="1"/>
  <c r="G91" i="455" s="1"/>
  <c r="G90" i="455" a="1"/>
  <c r="G90" i="455" s="1"/>
  <c r="G89" i="455" a="1"/>
  <c r="G89" i="455" s="1"/>
  <c r="G380" i="455" a="1"/>
  <c r="G380" i="455" s="1"/>
  <c r="G386" i="455" a="1"/>
  <c r="G386" i="455" s="1"/>
  <c r="G377" i="455" a="1"/>
  <c r="G377" i="455" s="1"/>
  <c r="G384" i="455" a="1"/>
  <c r="G384" i="455" s="1"/>
  <c r="G379" i="455" a="1"/>
  <c r="G379" i="455" s="1"/>
  <c r="G381" i="455" a="1"/>
  <c r="G381" i="455" s="1"/>
  <c r="G385" i="455" a="1"/>
  <c r="G385" i="455" s="1"/>
  <c r="G383" i="455" a="1"/>
  <c r="G383" i="455" s="1"/>
  <c r="G378" i="455" a="1"/>
  <c r="G378" i="455" s="1"/>
  <c r="H378" i="455" s="1"/>
  <c r="G382" i="455" a="1"/>
  <c r="G382" i="455" s="1"/>
  <c r="G405" i="455" a="1"/>
  <c r="G405" i="455" s="1"/>
  <c r="G404" i="455" a="1"/>
  <c r="G404" i="455" s="1"/>
  <c r="G406" i="455" a="1"/>
  <c r="G406" i="455" s="1"/>
  <c r="G403" i="455" a="1"/>
  <c r="G403" i="455" s="1"/>
  <c r="G412" i="455" a="1"/>
  <c r="G412" i="455" s="1"/>
  <c r="G414" i="455" a="1"/>
  <c r="G414" i="455" s="1"/>
  <c r="G418" i="455" a="1"/>
  <c r="G418" i="455" s="1"/>
  <c r="G416" i="455" a="1"/>
  <c r="G416" i="455" s="1"/>
  <c r="E1206" i="448"/>
  <c r="E1205" i="448"/>
  <c r="G1204" i="448"/>
  <c r="D675" i="449"/>
  <c r="A675" i="449"/>
  <c r="E2295" i="448"/>
  <c r="G2294" i="448"/>
  <c r="E2287" i="448"/>
  <c r="G2286" i="448"/>
  <c r="E654" i="449"/>
  <c r="D654" i="449" s="1"/>
  <c r="G2762" i="448" s="1"/>
  <c r="E653" i="449"/>
  <c r="D653" i="449" s="1"/>
  <c r="G2760" i="448" s="1"/>
  <c r="A653" i="449"/>
  <c r="A654" i="449"/>
  <c r="E2760" i="448"/>
  <c r="G2759" i="448"/>
  <c r="E2762" i="448"/>
  <c r="G2761" i="448"/>
  <c r="E743" i="449"/>
  <c r="D743" i="449" s="1"/>
  <c r="E744" i="449"/>
  <c r="D744" i="449" s="1"/>
  <c r="E746" i="449"/>
  <c r="D746" i="449" s="1"/>
  <c r="F2591" i="448"/>
  <c r="F2596" i="448"/>
  <c r="F2606" i="448"/>
  <c r="F2601" i="448"/>
  <c r="E745" i="449"/>
  <c r="D745" i="449" s="1"/>
  <c r="A743" i="449"/>
  <c r="A744" i="449"/>
  <c r="A745" i="449"/>
  <c r="A746" i="449"/>
  <c r="F2618" i="448"/>
  <c r="E747" i="449"/>
  <c r="D747" i="449" s="1"/>
  <c r="G2586" i="448" s="1"/>
  <c r="A747" i="449"/>
  <c r="F2608" i="448"/>
  <c r="E748" i="449"/>
  <c r="D748" i="449" s="1"/>
  <c r="A748" i="449"/>
  <c r="E2608" i="448"/>
  <c r="G2607" i="448"/>
  <c r="E2618" i="448"/>
  <c r="G2617" i="448"/>
  <c r="E2596" i="448"/>
  <c r="E2595" i="448"/>
  <c r="E2594" i="448"/>
  <c r="E2593" i="448"/>
  <c r="G2592" i="448"/>
  <c r="E2591" i="448"/>
  <c r="E2590" i="448"/>
  <c r="E2589" i="448"/>
  <c r="E2588" i="448"/>
  <c r="G2587" i="448"/>
  <c r="E2601" i="448"/>
  <c r="E2600" i="448"/>
  <c r="E2599" i="448"/>
  <c r="E2598" i="448"/>
  <c r="G2597" i="448"/>
  <c r="E2606" i="448"/>
  <c r="E2605" i="448"/>
  <c r="E2604" i="448"/>
  <c r="E2603" i="448"/>
  <c r="G2602" i="448"/>
  <c r="E2511" i="448"/>
  <c r="E2510" i="448"/>
  <c r="E2509" i="448"/>
  <c r="E2508" i="448"/>
  <c r="G2507" i="448"/>
  <c r="D481" i="449"/>
  <c r="G2508" i="448" s="1"/>
  <c r="A481" i="449"/>
  <c r="E480" i="449"/>
  <c r="D480" i="449" s="1"/>
  <c r="A480" i="449"/>
  <c r="E2516" i="448"/>
  <c r="E2515" i="448"/>
  <c r="E2514" i="448"/>
  <c r="E2513" i="448"/>
  <c r="G2512" i="448"/>
  <c r="D482" i="449"/>
  <c r="A482" i="449"/>
  <c r="E1330" i="448"/>
  <c r="E1329" i="448"/>
  <c r="E1328" i="448"/>
  <c r="E1327" i="448"/>
  <c r="G1326" i="448"/>
  <c r="D483" i="449"/>
  <c r="A483" i="449"/>
  <c r="E1430" i="448"/>
  <c r="E1429" i="448"/>
  <c r="E1428" i="448"/>
  <c r="E1427" i="448"/>
  <c r="G1426" i="448"/>
  <c r="E3043" i="448"/>
  <c r="G3042" i="448"/>
  <c r="E2491" i="448"/>
  <c r="E2490" i="448"/>
  <c r="G2489" i="448"/>
  <c r="D104" i="449"/>
  <c r="A104" i="449"/>
  <c r="E2971" i="448"/>
  <c r="E2970" i="448"/>
  <c r="E2969" i="448"/>
  <c r="E2968" i="448"/>
  <c r="E2967" i="448"/>
  <c r="G2966" i="448"/>
  <c r="D238" i="449"/>
  <c r="G2422" i="448" s="1"/>
  <c r="A238" i="449"/>
  <c r="E2422" i="448"/>
  <c r="G2421" i="448"/>
  <c r="D219" i="449"/>
  <c r="G2355" i="448" s="1"/>
  <c r="A219" i="449"/>
  <c r="E2356" i="448"/>
  <c r="E2355" i="448"/>
  <c r="G2354" i="448"/>
  <c r="E2438" i="448"/>
  <c r="G2437" i="448"/>
  <c r="E247" i="449"/>
  <c r="D247" i="449" s="1"/>
  <c r="G2438" i="448" s="1"/>
  <c r="A247" i="449"/>
  <c r="E2458" i="448"/>
  <c r="G2457" i="448"/>
  <c r="E2452" i="448"/>
  <c r="G2451" i="448"/>
  <c r="G411" i="455" l="1" a="1"/>
  <c r="G411" i="455" s="1"/>
  <c r="G2616" i="448"/>
  <c r="G2610" i="448"/>
  <c r="G2513" i="448"/>
  <c r="L426" i="436"/>
  <c r="G2608" i="448"/>
  <c r="E2236" i="448"/>
  <c r="G2235" i="448"/>
  <c r="D620" i="449"/>
  <c r="A620" i="449"/>
  <c r="E1711" i="448"/>
  <c r="E1710" i="448"/>
  <c r="G1709" i="448"/>
  <c r="F2075" i="448"/>
  <c r="E2078" i="448"/>
  <c r="E2077" i="448"/>
  <c r="E2076" i="448"/>
  <c r="E2075" i="448"/>
  <c r="G2074" i="448"/>
  <c r="E2068" i="448"/>
  <c r="E2067" i="448"/>
  <c r="E2066" i="448"/>
  <c r="E2065" i="448"/>
  <c r="G2064" i="448"/>
  <c r="G1795" i="448"/>
  <c r="D619" i="449"/>
  <c r="G2127" i="448" s="1"/>
  <c r="A619" i="449"/>
  <c r="E2127" i="448"/>
  <c r="G2126" i="448"/>
  <c r="G236" i="455" l="1" a="1"/>
  <c r="G236" i="455" s="1"/>
  <c r="G295" i="455" a="1"/>
  <c r="G295" i="455" s="1"/>
  <c r="G228" i="455" a="1"/>
  <c r="G228" i="455" s="1"/>
  <c r="G420" i="455" a="1"/>
  <c r="G420" i="455" s="1"/>
  <c r="G422" i="455" a="1"/>
  <c r="G422" i="455" s="1"/>
  <c r="G421" i="455" a="1"/>
  <c r="G421" i="455" s="1"/>
  <c r="G419" i="455" a="1"/>
  <c r="G419" i="455" s="1"/>
  <c r="G417" i="455" a="1"/>
  <c r="G417" i="455" s="1"/>
  <c r="G308" i="455" a="1"/>
  <c r="G308" i="455" s="1"/>
  <c r="G415" i="455" a="1"/>
  <c r="G415" i="455" s="1"/>
  <c r="G275" i="455" a="1"/>
  <c r="G275" i="455" s="1"/>
  <c r="G311" i="455" a="1"/>
  <c r="G311" i="455" s="1"/>
  <c r="G218" i="455" a="1"/>
  <c r="G218" i="455" s="1"/>
  <c r="G217" i="455" a="1"/>
  <c r="G217" i="455" s="1"/>
  <c r="G227" i="455" a="1"/>
  <c r="G227" i="455" s="1"/>
  <c r="G226" i="455" a="1"/>
  <c r="G226" i="455" s="1"/>
  <c r="G39" i="455" a="1"/>
  <c r="G39" i="455" s="1"/>
  <c r="G40" i="455" a="1"/>
  <c r="G40" i="455" s="1"/>
  <c r="G41" i="455" a="1"/>
  <c r="G41" i="455" s="1"/>
  <c r="G44" i="455" a="1"/>
  <c r="G44" i="455" s="1"/>
  <c r="G43" i="455" a="1"/>
  <c r="G43" i="455" s="1"/>
  <c r="G42" i="455" a="1"/>
  <c r="G42" i="455" s="1"/>
  <c r="G45" i="455" a="1"/>
  <c r="G45" i="455" s="1"/>
  <c r="G37" i="455" a="1"/>
  <c r="G37" i="455" s="1"/>
  <c r="G38" i="455" a="1"/>
  <c r="G38" i="455" s="1"/>
  <c r="G205" i="455" a="1"/>
  <c r="G205" i="455" s="1"/>
  <c r="G219" i="455" a="1"/>
  <c r="G219" i="455" s="1"/>
  <c r="G223" i="455" a="1"/>
  <c r="G223" i="455" s="1"/>
  <c r="G209" i="455" a="1"/>
  <c r="G209" i="455" s="1"/>
  <c r="G220" i="455" a="1"/>
  <c r="G220" i="455" s="1"/>
  <c r="G214" i="455" a="1"/>
  <c r="G214" i="455" s="1"/>
  <c r="G224" i="455" a="1"/>
  <c r="G224" i="455" s="1"/>
  <c r="G210" i="455" a="1"/>
  <c r="G210" i="455" s="1"/>
  <c r="G206" i="455" a="1"/>
  <c r="G206" i="455" s="1"/>
  <c r="H206" i="455" s="1"/>
  <c r="G211" i="455" a="1"/>
  <c r="G211" i="455" s="1"/>
  <c r="G225" i="455" a="1"/>
  <c r="G225" i="455" s="1"/>
  <c r="G216" i="455" a="1"/>
  <c r="G216" i="455" s="1"/>
  <c r="G208" i="455" a="1"/>
  <c r="G208" i="455" s="1"/>
  <c r="G230" i="455" a="1"/>
  <c r="G230" i="455" s="1"/>
  <c r="G229" i="455" a="1"/>
  <c r="G229" i="455" s="1"/>
  <c r="G215" i="455" a="1"/>
  <c r="G215" i="455" s="1"/>
  <c r="G222" i="455" a="1"/>
  <c r="G222" i="455" s="1"/>
  <c r="G221" i="455" a="1"/>
  <c r="G221" i="455" s="1"/>
  <c r="G212" i="455" a="1"/>
  <c r="G212" i="455" s="1"/>
  <c r="G213" i="455" a="1"/>
  <c r="G213" i="455" s="1"/>
  <c r="G207" i="455" a="1"/>
  <c r="G207" i="455" s="1"/>
  <c r="G388" i="455" a="1"/>
  <c r="G388" i="455" s="1"/>
  <c r="G394" i="455" a="1"/>
  <c r="G394" i="455" s="1"/>
  <c r="G408" i="455" a="1"/>
  <c r="G408" i="455" s="1"/>
  <c r="G393" i="455" a="1"/>
  <c r="G393" i="455" s="1"/>
  <c r="H393" i="455" s="1"/>
  <c r="G410" i="455" a="1"/>
  <c r="G410" i="455" s="1"/>
  <c r="G390" i="455" a="1"/>
  <c r="G390" i="455" s="1"/>
  <c r="G407" i="455" a="1"/>
  <c r="G407" i="455" s="1"/>
  <c r="G402" i="455" a="1"/>
  <c r="G402" i="455" s="1"/>
  <c r="G387" i="455" a="1"/>
  <c r="G387" i="455" s="1"/>
  <c r="G397" i="455" a="1"/>
  <c r="G397" i="455" s="1"/>
  <c r="G389" i="455" a="1"/>
  <c r="G389" i="455" s="1"/>
  <c r="G391" i="455" a="1"/>
  <c r="G391" i="455" s="1"/>
  <c r="G399" i="455" a="1"/>
  <c r="G399" i="455" s="1"/>
  <c r="G395" i="455" a="1"/>
  <c r="G395" i="455" s="1"/>
  <c r="G400" i="455" a="1"/>
  <c r="G400" i="455" s="1"/>
  <c r="G401" i="455" a="1"/>
  <c r="G401" i="455" s="1"/>
  <c r="G398" i="455" a="1"/>
  <c r="G398" i="455" s="1"/>
  <c r="G392" i="455" a="1"/>
  <c r="G392" i="455" s="1"/>
  <c r="G409" i="455" a="1"/>
  <c r="G409" i="455" s="1"/>
  <c r="G396" i="455" a="1"/>
  <c r="G396" i="455" s="1"/>
  <c r="G369" i="455" a="1"/>
  <c r="G369" i="455" s="1"/>
  <c r="G373" i="455" a="1"/>
  <c r="G373" i="455" s="1"/>
  <c r="G367" i="455" a="1"/>
  <c r="G367" i="455" s="1"/>
  <c r="G376" i="455" a="1"/>
  <c r="G376" i="455" s="1"/>
  <c r="G368" i="455" a="1"/>
  <c r="G368" i="455" s="1"/>
  <c r="G374" i="455" a="1"/>
  <c r="G374" i="455" s="1"/>
  <c r="G301" i="455" a="1"/>
  <c r="G301" i="455" s="1"/>
  <c r="G372" i="455" a="1"/>
  <c r="G372" i="455" s="1"/>
  <c r="G371" i="455" a="1"/>
  <c r="G371" i="455" s="1"/>
  <c r="G375" i="455" a="1"/>
  <c r="G375" i="455" s="1"/>
  <c r="G370" i="455" a="1"/>
  <c r="G370" i="455" s="1"/>
  <c r="G273" i="455" a="1"/>
  <c r="G273" i="455" s="1"/>
  <c r="G315" i="455" a="1"/>
  <c r="G315" i="455" s="1"/>
  <c r="G338" i="455" a="1"/>
  <c r="G338" i="455" s="1"/>
  <c r="G327" i="455" a="1"/>
  <c r="G327" i="455" s="1"/>
  <c r="G343" i="455" a="1"/>
  <c r="G343" i="455" s="1"/>
  <c r="G346" i="455" a="1"/>
  <c r="G346" i="455" s="1"/>
  <c r="G324" i="455" a="1"/>
  <c r="G324" i="455" s="1"/>
  <c r="G363" i="455" a="1"/>
  <c r="G363" i="455" s="1"/>
  <c r="G364" i="455" a="1"/>
  <c r="G364" i="455" s="1"/>
  <c r="G356" i="455" a="1"/>
  <c r="G356" i="455" s="1"/>
  <c r="G360" i="455" a="1"/>
  <c r="G360" i="455" s="1"/>
  <c r="G357" i="455" a="1"/>
  <c r="G357" i="455" s="1"/>
  <c r="H357" i="455" s="1"/>
  <c r="G359" i="455" a="1"/>
  <c r="G359" i="455" s="1"/>
  <c r="G361" i="455" a="1"/>
  <c r="G361" i="455" s="1"/>
  <c r="G362" i="455" a="1"/>
  <c r="G362" i="455" s="1"/>
  <c r="G366" i="455" a="1"/>
  <c r="G366" i="455" s="1"/>
  <c r="G358" i="455" a="1"/>
  <c r="G358" i="455" s="1"/>
  <c r="G365" i="455" a="1"/>
  <c r="G365" i="455" s="1"/>
  <c r="G351" i="455" a="1"/>
  <c r="G351" i="455" s="1"/>
  <c r="G350" i="455" a="1"/>
  <c r="G350" i="455" s="1"/>
  <c r="G28" i="455" a="1"/>
  <c r="G28" i="455" s="1"/>
  <c r="G305" i="455" a="1"/>
  <c r="G305" i="455" s="1"/>
  <c r="G344" i="455" a="1"/>
  <c r="G344" i="455" s="1"/>
  <c r="G320" i="455" a="1"/>
  <c r="G320" i="455" s="1"/>
  <c r="G316" i="455" a="1"/>
  <c r="G316" i="455" s="1"/>
  <c r="G312" i="455" a="1"/>
  <c r="G312" i="455" s="1"/>
  <c r="G317" i="455" a="1"/>
  <c r="G317" i="455" s="1"/>
  <c r="G291" i="455" a="1"/>
  <c r="G291" i="455" s="1"/>
  <c r="G53" i="455" a="1"/>
  <c r="G53" i="455" s="1"/>
  <c r="G330" i="455" a="1"/>
  <c r="G330" i="455" s="1"/>
  <c r="G298" i="455" a="1"/>
  <c r="G298" i="455" s="1"/>
  <c r="G290" i="455" a="1"/>
  <c r="G290" i="455" s="1"/>
  <c r="G339" i="455" a="1"/>
  <c r="G339" i="455" s="1"/>
  <c r="G299" i="455" a="1"/>
  <c r="G299" i="455" s="1"/>
  <c r="G303" i="455" a="1"/>
  <c r="G303" i="455" s="1"/>
  <c r="G342" i="455" a="1"/>
  <c r="G342" i="455" s="1"/>
  <c r="G321" i="455" a="1"/>
  <c r="G321" i="455" s="1"/>
  <c r="G289" i="455" a="1"/>
  <c r="G289" i="455" s="1"/>
  <c r="G307" i="455" a="1"/>
  <c r="G307" i="455" s="1"/>
  <c r="G313" i="455" a="1"/>
  <c r="G313" i="455" s="1"/>
  <c r="G302" i="455" a="1"/>
  <c r="G302" i="455" s="1"/>
  <c r="G233" i="455" a="1"/>
  <c r="G233" i="455" s="1"/>
  <c r="G286" i="455" a="1"/>
  <c r="G286" i="455" s="1"/>
  <c r="M19" i="455" s="1"/>
  <c r="G349" i="455" a="1"/>
  <c r="G349" i="455" s="1"/>
  <c r="G332" i="455" a="1"/>
  <c r="G332" i="455" s="1"/>
  <c r="G294" i="455" a="1"/>
  <c r="G294" i="455" s="1"/>
  <c r="G329" i="455" a="1"/>
  <c r="G329" i="455" s="1"/>
  <c r="G340" i="455" a="1"/>
  <c r="G340" i="455" s="1"/>
  <c r="G296" i="455" a="1"/>
  <c r="G296" i="455" s="1"/>
  <c r="G347" i="455" a="1"/>
  <c r="G347" i="455" s="1"/>
  <c r="G341" i="455" a="1"/>
  <c r="G341" i="455" s="1"/>
  <c r="G322" i="455" a="1"/>
  <c r="G322" i="455" s="1"/>
  <c r="G348" i="455" a="1"/>
  <c r="G348" i="455" s="1"/>
  <c r="G310" i="455" a="1"/>
  <c r="G310" i="455" s="1"/>
  <c r="G314" i="455" a="1"/>
  <c r="G314" i="455" s="1"/>
  <c r="G75" i="455" a="1"/>
  <c r="G75" i="455" s="1"/>
  <c r="G328" i="455" a="1"/>
  <c r="G328" i="455" s="1"/>
  <c r="G300" i="455" a="1"/>
  <c r="G300" i="455" s="1"/>
  <c r="G333" i="455" a="1"/>
  <c r="G333" i="455" s="1"/>
  <c r="G352" i="455" a="1"/>
  <c r="G352" i="455" s="1"/>
  <c r="G334" i="455" a="1"/>
  <c r="G334" i="455" s="1"/>
  <c r="G306" i="455" a="1"/>
  <c r="G306" i="455" s="1"/>
  <c r="M22" i="455" s="1"/>
  <c r="G337" i="455" a="1"/>
  <c r="G337" i="455" s="1"/>
  <c r="G331" i="455" a="1"/>
  <c r="G331" i="455" s="1"/>
  <c r="G287" i="455" a="1"/>
  <c r="G287" i="455" s="1"/>
  <c r="G345" i="455" a="1"/>
  <c r="G345" i="455" s="1"/>
  <c r="G309" i="455" a="1"/>
  <c r="G309" i="455" s="1"/>
  <c r="G54" i="455" a="1"/>
  <c r="G54" i="455" s="1"/>
  <c r="G323" i="455" a="1"/>
  <c r="G323" i="455" s="1"/>
  <c r="G325" i="455" a="1"/>
  <c r="G325" i="455" s="1"/>
  <c r="G318" i="455" a="1"/>
  <c r="G318" i="455" s="1"/>
  <c r="G293" i="455" a="1"/>
  <c r="G293" i="455" s="1"/>
  <c r="G297" i="455" a="1"/>
  <c r="G297" i="455" s="1"/>
  <c r="G319" i="455" a="1"/>
  <c r="G319" i="455" s="1"/>
  <c r="G304" i="455" a="1"/>
  <c r="G304" i="455" s="1"/>
  <c r="G288" i="455" a="1"/>
  <c r="G288" i="455" s="1"/>
  <c r="G274" i="455" a="1"/>
  <c r="G274" i="455" s="1"/>
  <c r="G335" i="455" a="1"/>
  <c r="G335" i="455" s="1"/>
  <c r="G326" i="455" a="1"/>
  <c r="G326" i="455" s="1"/>
  <c r="E344" i="449"/>
  <c r="E343" i="449"/>
  <c r="D343" i="449" s="1"/>
  <c r="G1737" i="448" s="1"/>
  <c r="E342" i="449"/>
  <c r="D342" i="449" s="1"/>
  <c r="G1736" i="448" s="1"/>
  <c r="D341" i="449"/>
  <c r="G551" i="448" s="1"/>
  <c r="A341" i="449"/>
  <c r="A342" i="449"/>
  <c r="A343" i="449"/>
  <c r="E1739" i="448"/>
  <c r="E1736" i="448"/>
  <c r="E1737" i="448"/>
  <c r="E1740" i="448"/>
  <c r="E1738" i="448"/>
  <c r="E1735" i="448"/>
  <c r="E1734" i="448"/>
  <c r="G1733" i="448"/>
  <c r="F1620" i="448"/>
  <c r="E1620" i="448"/>
  <c r="F1619" i="448"/>
  <c r="E1619" i="448"/>
  <c r="G1618" i="448"/>
  <c r="F1608" i="448"/>
  <c r="E1608" i="448"/>
  <c r="E1607" i="448"/>
  <c r="G1606" i="448"/>
  <c r="F1602" i="448"/>
  <c r="F1605" i="448"/>
  <c r="E2544" i="448"/>
  <c r="E2543" i="448"/>
  <c r="G2542" i="448"/>
  <c r="E2535" i="448"/>
  <c r="E2534" i="448"/>
  <c r="G2533" i="448"/>
  <c r="D531" i="449"/>
  <c r="G2534" i="448" s="1"/>
  <c r="A531" i="449"/>
  <c r="D533" i="449"/>
  <c r="G2535" i="448" s="1"/>
  <c r="A533" i="449"/>
  <c r="D532" i="449"/>
  <c r="G2543" i="448" s="1"/>
  <c r="A532" i="449"/>
  <c r="E2506" i="448"/>
  <c r="E2505" i="448"/>
  <c r="E2504" i="448"/>
  <c r="E2503" i="448"/>
  <c r="G2502" i="448"/>
  <c r="G2958" i="451"/>
  <c r="G2952" i="451"/>
  <c r="H2944" i="451"/>
  <c r="H15" i="451"/>
  <c r="L107" i="436" s="1"/>
  <c r="H16" i="451"/>
  <c r="E727" i="449"/>
  <c r="C3085" i="448"/>
  <c r="H1255" i="448" s="1" a="1"/>
  <c r="H1255" i="448" s="1"/>
  <c r="H1254" i="448" s="1" a="1"/>
  <c r="H1254" i="448" s="1"/>
  <c r="H1253" i="448" s="1" a="1"/>
  <c r="H1253" i="448" s="1"/>
  <c r="H1252" i="448" s="1" a="1"/>
  <c r="H1252" i="448" s="1"/>
  <c r="E736" i="449"/>
  <c r="D736" i="449" s="1"/>
  <c r="A736" i="449"/>
  <c r="H2581" i="448" l="1" a="1"/>
  <c r="H2581" i="448" s="1"/>
  <c r="H2900" i="448" a="1"/>
  <c r="H2900" i="448" s="1"/>
  <c r="H2899" i="448" s="1" a="1"/>
  <c r="H2899" i="448" s="1"/>
  <c r="H2422" i="448" a="1"/>
  <c r="H2422" i="448" s="1"/>
  <c r="H2421" i="448" s="1" a="1"/>
  <c r="H2421" i="448" s="1"/>
  <c r="H1471" i="448" a="1"/>
  <c r="H1471" i="448" s="1"/>
  <c r="H1470" i="448" s="1" a="1"/>
  <c r="H1470" i="448" s="1"/>
  <c r="H2021" i="448" a="1"/>
  <c r="H2021" i="448" s="1"/>
  <c r="H2020" i="448" s="1" a="1"/>
  <c r="H2020" i="448" s="1"/>
  <c r="H2608" i="448" a="1"/>
  <c r="H2608" i="448" s="1"/>
  <c r="H2607" i="448" s="1" a="1"/>
  <c r="H2607" i="448" s="1"/>
  <c r="H2760" i="448" a="1"/>
  <c r="H2760" i="448" s="1"/>
  <c r="H2759" i="448" s="1" a="1"/>
  <c r="H2759" i="448" s="1"/>
  <c r="H2336" i="448" a="1"/>
  <c r="H2336" i="448" s="1"/>
  <c r="H2335" i="448" s="1" a="1"/>
  <c r="H2335" i="448" s="1"/>
  <c r="H2884" i="448" a="1"/>
  <c r="H2884" i="448" s="1"/>
  <c r="H2432" i="448" a="1"/>
  <c r="H2432" i="448" s="1"/>
  <c r="H2431" i="448" s="1" a="1"/>
  <c r="H2431" i="448" s="1"/>
  <c r="H2762" i="448" a="1"/>
  <c r="H2762" i="448" s="1"/>
  <c r="H2761" i="448" s="1" a="1"/>
  <c r="H2761" i="448" s="1"/>
  <c r="H2537" i="448" a="1"/>
  <c r="H2537" i="448" s="1"/>
  <c r="H2536" i="448" s="1" a="1"/>
  <c r="H2536" i="448" s="1"/>
  <c r="H2535" i="448" a="1"/>
  <c r="H2535" i="448" s="1"/>
  <c r="H2534" i="448" s="1" a="1"/>
  <c r="H2534" i="448" s="1"/>
  <c r="H2533" i="448" s="1" a="1"/>
  <c r="H2533" i="448" s="1"/>
  <c r="H1754" i="448" a="1"/>
  <c r="H1754" i="448" s="1"/>
  <c r="H1753" i="448" s="1" a="1"/>
  <c r="H1753" i="448" s="1"/>
  <c r="H2156" i="448" a="1"/>
  <c r="H2156" i="448" s="1"/>
  <c r="H275" i="448" a="1"/>
  <c r="H275" i="448" s="1"/>
  <c r="H274" i="448" s="1" a="1"/>
  <c r="H274" i="448" s="1"/>
  <c r="H2576" i="448" a="1"/>
  <c r="H2576" i="448" s="1"/>
  <c r="H2434" i="448" a="1"/>
  <c r="H2434" i="448" s="1"/>
  <c r="H2433" i="448" s="1" a="1"/>
  <c r="H2433" i="448" s="1"/>
  <c r="H1230" i="448" a="1"/>
  <c r="H1230" i="448" s="1"/>
  <c r="H1229" i="448" s="1" a="1"/>
  <c r="H1229" i="448" s="1"/>
  <c r="H1228" i="448" s="1" a="1"/>
  <c r="H1228" i="448" s="1"/>
  <c r="H1951" i="448" a="1"/>
  <c r="H1951" i="448" s="1"/>
  <c r="H1950" i="448" s="1" a="1"/>
  <c r="H1950" i="448" s="1"/>
  <c r="H2436" i="448" a="1"/>
  <c r="H2436" i="448" s="1"/>
  <c r="H2435" i="448" s="1" a="1"/>
  <c r="H2435" i="448" s="1"/>
  <c r="H2231" i="448" a="1"/>
  <c r="H2231" i="448" s="1"/>
  <c r="H2438" i="448" a="1"/>
  <c r="H2438" i="448" s="1"/>
  <c r="H2437" i="448" s="1" a="1"/>
  <c r="H2437" i="448" s="1"/>
  <c r="H2456" i="448" a="1"/>
  <c r="H2456" i="448" s="1"/>
  <c r="H2455" i="448" s="1" a="1"/>
  <c r="H2455" i="448" s="1"/>
  <c r="H1188" i="448" a="1"/>
  <c r="H1188" i="448" s="1"/>
  <c r="H1187" i="448" s="1" a="1"/>
  <c r="H1187" i="448" s="1"/>
  <c r="H1756" i="448" a="1"/>
  <c r="H1756" i="448" s="1"/>
  <c r="H1755" i="448" s="1" a="1"/>
  <c r="H1755" i="448" s="1"/>
  <c r="H2991" i="448" a="1"/>
  <c r="H2991" i="448" s="1"/>
  <c r="H1247" i="448" a="1"/>
  <c r="H1247" i="448" s="1"/>
  <c r="H1246" i="448" s="1" a="1"/>
  <c r="H1246" i="448" s="1"/>
  <c r="H2328" i="448" a="1"/>
  <c r="H2328" i="448" s="1"/>
  <c r="H2327" i="448" s="1" a="1"/>
  <c r="H2327" i="448" s="1"/>
  <c r="H2571" i="448" a="1"/>
  <c r="H2571" i="448" s="1"/>
  <c r="H2886" i="448" a="1"/>
  <c r="H2886" i="448" s="1"/>
  <c r="H662" i="448" a="1"/>
  <c r="H662" i="448" s="1"/>
  <c r="H661" i="448" s="1" a="1"/>
  <c r="H661" i="448" s="1"/>
  <c r="H1157" i="448" a="1"/>
  <c r="H1157" i="448" s="1"/>
  <c r="H1156" i="448" s="1" a="1"/>
  <c r="H1156" i="448" s="1"/>
  <c r="H524" i="448" a="1"/>
  <c r="H524" i="448" s="1"/>
  <c r="H277" i="448" a="1"/>
  <c r="H277" i="448" s="1"/>
  <c r="H276" i="448" s="1" a="1"/>
  <c r="H276" i="448" s="1"/>
  <c r="H283" i="448" a="1"/>
  <c r="H283" i="448" s="1"/>
  <c r="H282" i="448" s="1" a="1"/>
  <c r="H282" i="448" s="1"/>
  <c r="H2894" i="448" a="1"/>
  <c r="H2894" i="448" s="1"/>
  <c r="H1245" i="448" a="1"/>
  <c r="H1245" i="448" s="1"/>
  <c r="H1244" i="448" s="1" a="1"/>
  <c r="H1244" i="448" s="1"/>
  <c r="H1243" i="448" s="1" a="1"/>
  <c r="H1243" i="448" s="1"/>
  <c r="H1242" i="448" s="1" a="1"/>
  <c r="H1242" i="448" s="1"/>
  <c r="H2612" i="448" a="1"/>
  <c r="H2612" i="448" s="1"/>
  <c r="H2611" i="448" s="1" a="1"/>
  <c r="H2611" i="448" s="1"/>
  <c r="H384" i="448" a="1"/>
  <c r="H384" i="448" s="1"/>
  <c r="H383" i="448" s="1" a="1"/>
  <c r="H383" i="448" s="1"/>
  <c r="H382" i="448" s="1" a="1"/>
  <c r="H382" i="448" s="1"/>
  <c r="H1251" i="448" a="1"/>
  <c r="H1251" i="448" s="1"/>
  <c r="H1250" i="448" s="1" a="1"/>
  <c r="H1250" i="448" s="1"/>
  <c r="H1249" i="448" s="1" a="1"/>
  <c r="H1249" i="448" s="1"/>
  <c r="H1248" i="448" s="1" a="1"/>
  <c r="H1248" i="448" s="1"/>
  <c r="H279" i="448" a="1"/>
  <c r="H279" i="448" s="1"/>
  <c r="H278" i="448" s="1" a="1"/>
  <c r="H278" i="448" s="1"/>
  <c r="H2888" i="448" a="1"/>
  <c r="H2888" i="448" s="1"/>
  <c r="H2430" i="448" a="1"/>
  <c r="H2430" i="448" s="1"/>
  <c r="H2429" i="448" s="1" a="1"/>
  <c r="H2429" i="448" s="1"/>
  <c r="H259" i="448" a="1"/>
  <c r="H259" i="448" s="1"/>
  <c r="H258" i="448" s="1" a="1"/>
  <c r="H258" i="448" s="1"/>
  <c r="H1227" i="448" a="1"/>
  <c r="H1227" i="448" s="1"/>
  <c r="H1226" i="448" s="1" a="1"/>
  <c r="H1226" i="448" s="1"/>
  <c r="H2995" i="448" a="1"/>
  <c r="H2995" i="448" s="1"/>
  <c r="H1485" i="448" a="1"/>
  <c r="H1485" i="448" s="1"/>
  <c r="H1484" i="448" s="1" a="1"/>
  <c r="H1484" i="448" s="1"/>
  <c r="H2610" i="448" a="1"/>
  <c r="H2610" i="448" s="1"/>
  <c r="H2609" i="448" s="1" a="1"/>
  <c r="H2609" i="448" s="1"/>
  <c r="H2454" i="448" a="1"/>
  <c r="H2454" i="448" s="1"/>
  <c r="H2453" i="448" s="1" a="1"/>
  <c r="H2453" i="448" s="1"/>
  <c r="H2616" i="448" a="1"/>
  <c r="H2616" i="448" s="1"/>
  <c r="H2615" i="448" s="1" a="1"/>
  <c r="H2615" i="448" s="1"/>
  <c r="H2614" i="448" a="1"/>
  <c r="H2614" i="448" s="1"/>
  <c r="H2613" i="448" s="1" a="1"/>
  <c r="H2613" i="448" s="1"/>
  <c r="H424" i="448" a="1"/>
  <c r="H424" i="448" s="1"/>
  <c r="H423" i="448" s="1" a="1"/>
  <c r="H423" i="448" s="1"/>
  <c r="H1239" i="448" a="1"/>
  <c r="H1239" i="448" s="1"/>
  <c r="H1238" i="448" s="1" a="1"/>
  <c r="H1238" i="448" s="1"/>
  <c r="H2185" i="448" a="1"/>
  <c r="H2185" i="448" s="1"/>
  <c r="H1241" i="448" a="1"/>
  <c r="H1241" i="448" s="1"/>
  <c r="H1240" i="448" s="1" a="1"/>
  <c r="H1240" i="448" s="1"/>
  <c r="H1237" i="448" a="1"/>
  <c r="H1237" i="448" s="1"/>
  <c r="H1236" i="448" s="1" a="1"/>
  <c r="H1236" i="448" s="1"/>
  <c r="H552" i="448" a="1"/>
  <c r="H552" i="448" s="1"/>
  <c r="H551" i="448" s="1" a="1"/>
  <c r="H551" i="448" s="1"/>
  <c r="H257" i="448" a="1"/>
  <c r="H257" i="448" s="1"/>
  <c r="H256" i="448" s="1" a="1"/>
  <c r="H256" i="448" s="1"/>
  <c r="H2586" i="448" a="1"/>
  <c r="H2586" i="448" s="1"/>
  <c r="H1232" i="448" a="1"/>
  <c r="H1232" i="448" s="1"/>
  <c r="H1231" i="448" s="1" a="1"/>
  <c r="H1231" i="448" s="1"/>
  <c r="H273" i="448" a="1"/>
  <c r="H273" i="448" s="1"/>
  <c r="H272" i="448" s="1" a="1"/>
  <c r="H272" i="448" s="1"/>
  <c r="H1235" i="448" a="1"/>
  <c r="H1235" i="448" s="1"/>
  <c r="H1234" i="448" s="1" a="1"/>
  <c r="H1234" i="448" s="1"/>
  <c r="H1233" i="448" s="1" a="1"/>
  <c r="H1233" i="448" s="1"/>
  <c r="H560" i="448" a="1"/>
  <c r="H560" i="448" s="1"/>
  <c r="H2539" i="448" a="1"/>
  <c r="H2539" i="448" s="1"/>
  <c r="H2538" i="448" s="1" a="1"/>
  <c r="H2538" i="448" s="1"/>
  <c r="H2127" i="448" a="1"/>
  <c r="H2127" i="448" s="1"/>
  <c r="H2126" i="448" s="1" a="1"/>
  <c r="H2126" i="448" s="1"/>
  <c r="H2541" i="448" a="1"/>
  <c r="H2541" i="448" s="1"/>
  <c r="H2540" i="448" s="1" a="1"/>
  <c r="H2540" i="448" s="1"/>
  <c r="H1225" i="448" a="1"/>
  <c r="H1225" i="448" s="1"/>
  <c r="H1224" i="448" s="1" a="1"/>
  <c r="H1224" i="448" s="1"/>
  <c r="H1752" i="448" a="1"/>
  <c r="H1752" i="448" s="1"/>
  <c r="H1751" i="448" s="1" a="1"/>
  <c r="H1751" i="448" s="1"/>
  <c r="H271" i="448" a="1"/>
  <c r="H271" i="448" s="1"/>
  <c r="H270" i="448" s="1" a="1"/>
  <c r="H270" i="448" s="1"/>
  <c r="M25" i="455"/>
  <c r="M27" i="455"/>
  <c r="H37" i="455"/>
  <c r="H388" i="455"/>
  <c r="H402" i="455"/>
  <c r="M26" i="455"/>
  <c r="H409" i="455"/>
  <c r="M24" i="455"/>
  <c r="H366" i="455"/>
  <c r="M23" i="455"/>
  <c r="H215" i="455"/>
  <c r="M17" i="455"/>
  <c r="H306" i="455"/>
  <c r="N22" i="455"/>
  <c r="H286" i="455"/>
  <c r="N19" i="455"/>
  <c r="L390" i="436"/>
  <c r="M429" i="436"/>
  <c r="M443" i="436"/>
  <c r="M442" i="436"/>
  <c r="G2544" i="448"/>
  <c r="H2544" i="448" s="1" a="1"/>
  <c r="H2544" i="448" s="1"/>
  <c r="H2543" i="448" s="1" a="1"/>
  <c r="H2543" i="448" s="1"/>
  <c r="H2542" i="448" s="1" a="1"/>
  <c r="H2542" i="448" s="1"/>
  <c r="E282" i="449"/>
  <c r="Q7" i="456"/>
  <c r="P7" i="456"/>
  <c r="O7" i="456"/>
  <c r="N7" i="456"/>
  <c r="M7" i="456"/>
  <c r="L7" i="456"/>
  <c r="K7" i="456"/>
  <c r="J7" i="456"/>
  <c r="I7" i="456"/>
  <c r="H7" i="456"/>
  <c r="Q47" i="456"/>
  <c r="Q46" i="456"/>
  <c r="Q45" i="456"/>
  <c r="Q44" i="456"/>
  <c r="Q43" i="456"/>
  <c r="Q42" i="456"/>
  <c r="Q41" i="456"/>
  <c r="U61" i="456"/>
  <c r="F61" i="456"/>
  <c r="U60" i="456"/>
  <c r="F60" i="456"/>
  <c r="U59" i="456"/>
  <c r="F59" i="456"/>
  <c r="N25" i="455" l="1"/>
  <c r="N26" i="455"/>
  <c r="N24" i="455"/>
  <c r="N27" i="455"/>
  <c r="N23" i="455"/>
  <c r="N17" i="455"/>
  <c r="N211" i="436"/>
  <c r="L348" i="436"/>
  <c r="U58" i="456"/>
  <c r="F58" i="456"/>
  <c r="L163" i="436" l="1"/>
  <c r="M434" i="436"/>
  <c r="N437" i="436" l="1"/>
  <c r="E603" i="449" l="1"/>
  <c r="D651" i="449" l="1"/>
  <c r="G3043" i="448" s="1"/>
  <c r="H3043" i="448" s="1" a="1"/>
  <c r="H3043" i="448" s="1"/>
  <c r="H3042" i="448" s="1" a="1"/>
  <c r="H3042" i="448" s="1"/>
  <c r="A651" i="449"/>
  <c r="E3041" i="448"/>
  <c r="G3040" i="448"/>
  <c r="E465" i="449"/>
  <c r="D465" i="449" s="1"/>
  <c r="E468" i="449"/>
  <c r="D468" i="449" s="1"/>
  <c r="E464" i="449"/>
  <c r="A468" i="449"/>
  <c r="A465" i="449"/>
  <c r="D553" i="449"/>
  <c r="A553" i="449"/>
  <c r="D477" i="449"/>
  <c r="G2665" i="448" s="1"/>
  <c r="A477" i="449"/>
  <c r="E2684" i="448"/>
  <c r="G2683" i="448"/>
  <c r="E2682" i="448"/>
  <c r="G2681" i="448"/>
  <c r="E2738" i="448"/>
  <c r="G2737" i="448"/>
  <c r="E2736" i="448"/>
  <c r="G2735" i="448"/>
  <c r="E2680" i="448"/>
  <c r="E2679" i="448"/>
  <c r="E2678" i="448"/>
  <c r="E2677" i="448"/>
  <c r="G2676" i="448"/>
  <c r="E2675" i="448"/>
  <c r="G2674" i="448"/>
  <c r="E2673" i="448"/>
  <c r="E2672" i="448"/>
  <c r="E2671" i="448"/>
  <c r="E2670" i="448"/>
  <c r="G2669" i="448"/>
  <c r="E2668" i="448"/>
  <c r="E2667" i="448"/>
  <c r="E2666" i="448"/>
  <c r="E2665" i="448"/>
  <c r="G2664" i="448"/>
  <c r="E2658" i="448"/>
  <c r="E2657" i="448"/>
  <c r="E2656" i="448"/>
  <c r="E2655" i="448"/>
  <c r="G2654" i="448"/>
  <c r="E2653" i="448"/>
  <c r="E2652" i="448"/>
  <c r="E2651" i="448"/>
  <c r="E2650" i="448"/>
  <c r="G2649" i="448"/>
  <c r="D432" i="449"/>
  <c r="G2650" i="448" s="1"/>
  <c r="A432" i="449"/>
  <c r="E2475" i="448"/>
  <c r="E2482" i="448"/>
  <c r="G2481" i="448"/>
  <c r="E397" i="449"/>
  <c r="D397" i="449" s="1"/>
  <c r="G2475" i="448" s="1"/>
  <c r="A397" i="449"/>
  <c r="G3041" i="448" l="1"/>
  <c r="H3041" i="448" s="1" a="1"/>
  <c r="H3041" i="448" s="1"/>
  <c r="H3040" i="448" s="1" a="1"/>
  <c r="H3040" i="448" s="1"/>
  <c r="D253" i="449"/>
  <c r="G2444" i="448" s="1"/>
  <c r="H2444" i="448" s="1" a="1"/>
  <c r="H2444" i="448" s="1"/>
  <c r="H2443" i="448" s="1" a="1"/>
  <c r="H2443" i="448" s="1"/>
  <c r="A253" i="449"/>
  <c r="D252" i="449"/>
  <c r="G2442" i="448" s="1"/>
  <c r="H2442" i="448" s="1" a="1"/>
  <c r="H2442" i="448" s="1"/>
  <c r="H2441" i="448" s="1" a="1"/>
  <c r="H2441" i="448" s="1"/>
  <c r="A252" i="449"/>
  <c r="E2444" i="448"/>
  <c r="G2443" i="448"/>
  <c r="E2442" i="448"/>
  <c r="G2441" i="448"/>
  <c r="D213" i="449"/>
  <c r="A213" i="449"/>
  <c r="E2326" i="448"/>
  <c r="G2325" i="448"/>
  <c r="D232" i="449"/>
  <c r="G2415" i="448" s="1"/>
  <c r="A232" i="449"/>
  <c r="E2416" i="448"/>
  <c r="E2415" i="448"/>
  <c r="G2414" i="448"/>
  <c r="D216" i="449"/>
  <c r="G2385" i="448" s="1"/>
  <c r="A216" i="449"/>
  <c r="E2383" i="448"/>
  <c r="E2382" i="448"/>
  <c r="G2381" i="448"/>
  <c r="D242" i="449" l="1"/>
  <c r="A242" i="449"/>
  <c r="E2440" i="448"/>
  <c r="G2439" i="448"/>
  <c r="E393" i="449"/>
  <c r="D393" i="449" s="1"/>
  <c r="G1481" i="448" s="1"/>
  <c r="H1481" i="448" s="1" a="1"/>
  <c r="H1481" i="448" s="1"/>
  <c r="E392" i="449"/>
  <c r="D392" i="449" s="1"/>
  <c r="A393" i="449"/>
  <c r="E1481" i="448"/>
  <c r="G1480" i="448"/>
  <c r="D668" i="449"/>
  <c r="G1499" i="448" s="1"/>
  <c r="H1499" i="448" s="1" a="1"/>
  <c r="H1499" i="448" s="1"/>
  <c r="A668" i="449"/>
  <c r="E1499" i="448"/>
  <c r="G1498" i="448"/>
  <c r="D667" i="449"/>
  <c r="A667" i="449"/>
  <c r="E1495" i="448"/>
  <c r="G1494" i="448"/>
  <c r="D603" i="449"/>
  <c r="G1760" i="448" s="1"/>
  <c r="H1760" i="448" s="1" a="1"/>
  <c r="H1760" i="448" s="1"/>
  <c r="A603" i="449"/>
  <c r="E1760" i="448"/>
  <c r="G1759" i="448"/>
  <c r="D764" i="449"/>
  <c r="D763" i="449"/>
  <c r="D762" i="449"/>
  <c r="D754" i="449"/>
  <c r="D753" i="449"/>
  <c r="D752" i="449"/>
  <c r="D751" i="449"/>
  <c r="D750" i="449"/>
  <c r="D749" i="449"/>
  <c r="D739" i="449"/>
  <c r="D738" i="449"/>
  <c r="D737" i="449"/>
  <c r="D735" i="449"/>
  <c r="D734" i="449"/>
  <c r="D733" i="449"/>
  <c r="D732" i="449"/>
  <c r="G2247" i="448" s="1"/>
  <c r="D728" i="449"/>
  <c r="D727" i="449"/>
  <c r="D725" i="449"/>
  <c r="D724" i="449"/>
  <c r="G2244" i="448" s="1"/>
  <c r="D723" i="449"/>
  <c r="G2241" i="448" s="1"/>
  <c r="D722" i="449"/>
  <c r="G2238" i="448" s="1"/>
  <c r="D721" i="449"/>
  <c r="D720" i="449"/>
  <c r="G2250" i="448" s="1"/>
  <c r="D719" i="449"/>
  <c r="D718" i="449"/>
  <c r="G2623" i="448" s="1"/>
  <c r="H2623" i="448" s="1" a="1"/>
  <c r="H2623" i="448" s="1"/>
  <c r="D717" i="449"/>
  <c r="D716" i="449"/>
  <c r="D715" i="449"/>
  <c r="D714" i="449"/>
  <c r="G1740" i="448" s="1"/>
  <c r="H1740" i="448" s="1" a="1"/>
  <c r="H1740" i="448" s="1"/>
  <c r="D713" i="449"/>
  <c r="G2219" i="448" s="1"/>
  <c r="D712" i="449"/>
  <c r="D711" i="449"/>
  <c r="D710" i="449"/>
  <c r="G1782" i="448" s="1"/>
  <c r="H1782" i="448" s="1" a="1"/>
  <c r="H1782" i="448" s="1"/>
  <c r="D709" i="449"/>
  <c r="D708" i="449"/>
  <c r="D707" i="449"/>
  <c r="D705" i="449"/>
  <c r="G2206" i="448" s="1"/>
  <c r="D704" i="449"/>
  <c r="D703" i="449"/>
  <c r="D702" i="449"/>
  <c r="D701" i="449"/>
  <c r="D700" i="449"/>
  <c r="D699" i="449"/>
  <c r="D698" i="449"/>
  <c r="D697" i="449"/>
  <c r="D696" i="449"/>
  <c r="G2452" i="448" s="1"/>
  <c r="H2452" i="448" s="1" a="1"/>
  <c r="H2452" i="448" s="1"/>
  <c r="H2451" i="448" s="1" a="1"/>
  <c r="H2451" i="448" s="1"/>
  <c r="D695" i="449"/>
  <c r="G2458" i="448" s="1"/>
  <c r="H2458" i="448" s="1" a="1"/>
  <c r="H2458" i="448" s="1"/>
  <c r="H2457" i="448" s="1" a="1"/>
  <c r="H2457" i="448" s="1"/>
  <c r="D692" i="449"/>
  <c r="D691" i="449"/>
  <c r="D690" i="449"/>
  <c r="G219" i="448" s="1"/>
  <c r="D689" i="449"/>
  <c r="D688" i="449"/>
  <c r="G1533" i="448" s="1"/>
  <c r="D686" i="449"/>
  <c r="D685" i="449"/>
  <c r="D684" i="449"/>
  <c r="D683" i="449"/>
  <c r="D682" i="449"/>
  <c r="D681" i="449"/>
  <c r="D680" i="449"/>
  <c r="D679" i="449"/>
  <c r="D678" i="449"/>
  <c r="D677" i="449"/>
  <c r="D676" i="449"/>
  <c r="G1257" i="448" s="1"/>
  <c r="H1257" i="448" s="1" a="1"/>
  <c r="H1257" i="448" s="1"/>
  <c r="H1256" i="448" s="1" a="1"/>
  <c r="H1256" i="448" s="1"/>
  <c r="D674" i="449"/>
  <c r="D673" i="449"/>
  <c r="G1259" i="448" s="1"/>
  <c r="H1259" i="448" s="1" a="1"/>
  <c r="H1259" i="448" s="1"/>
  <c r="H1258" i="448" s="1" a="1"/>
  <c r="H1258" i="448" s="1"/>
  <c r="D672" i="449"/>
  <c r="D671" i="449"/>
  <c r="G2295" i="448" s="1"/>
  <c r="H2295" i="448" s="1" a="1"/>
  <c r="H2295" i="448" s="1"/>
  <c r="H2294" i="448" s="1" a="1"/>
  <c r="H2294" i="448" s="1"/>
  <c r="D670" i="449"/>
  <c r="D669" i="449"/>
  <c r="G1495" i="448" s="1"/>
  <c r="H1495" i="448" s="1" a="1"/>
  <c r="H1495" i="448" s="1"/>
  <c r="H1494" i="448" s="1" a="1"/>
  <c r="H1494" i="448" s="1"/>
  <c r="D666" i="449"/>
  <c r="D665" i="449"/>
  <c r="D664" i="449"/>
  <c r="D663" i="449"/>
  <c r="D662" i="449"/>
  <c r="D661" i="449"/>
  <c r="G1167" i="448" s="1"/>
  <c r="H1167" i="448" s="1" a="1"/>
  <c r="H1167" i="448" s="1"/>
  <c r="H1166" i="448" s="1" a="1"/>
  <c r="H1166" i="448" s="1"/>
  <c r="D660" i="449"/>
  <c r="D659" i="449"/>
  <c r="D658" i="449"/>
  <c r="D657" i="449"/>
  <c r="D656" i="449"/>
  <c r="D655" i="449"/>
  <c r="D652" i="449"/>
  <c r="D650" i="449"/>
  <c r="D649" i="449"/>
  <c r="D648" i="449"/>
  <c r="D647" i="449"/>
  <c r="G1263" i="448" s="1"/>
  <c r="H1263" i="448" s="1" a="1"/>
  <c r="H1263" i="448" s="1"/>
  <c r="H1262" i="448" s="1" a="1"/>
  <c r="H1262" i="448" s="1"/>
  <c r="D646" i="449"/>
  <c r="G1261" i="448" s="1"/>
  <c r="H1261" i="448" s="1" a="1"/>
  <c r="H1261" i="448" s="1"/>
  <c r="H1260" i="448" s="1" a="1"/>
  <c r="H1260" i="448" s="1"/>
  <c r="D645" i="449"/>
  <c r="D644" i="449"/>
  <c r="D643" i="449"/>
  <c r="G1271" i="448" s="1"/>
  <c r="H1271" i="448" s="1" a="1"/>
  <c r="H1271" i="448" s="1"/>
  <c r="H1270" i="448" s="1" a="1"/>
  <c r="H1270" i="448" s="1"/>
  <c r="D642" i="449"/>
  <c r="G1269" i="448" s="1"/>
  <c r="H1269" i="448" s="1" a="1"/>
  <c r="H1269" i="448" s="1"/>
  <c r="H1268" i="448" s="1" a="1"/>
  <c r="H1268" i="448" s="1"/>
  <c r="D641" i="449"/>
  <c r="D640" i="449"/>
  <c r="D638" i="449"/>
  <c r="D637" i="449"/>
  <c r="D636" i="449"/>
  <c r="D635" i="449"/>
  <c r="D634" i="449"/>
  <c r="D633" i="449"/>
  <c r="D632" i="449"/>
  <c r="G1568" i="448" s="1"/>
  <c r="D631" i="449"/>
  <c r="D630" i="449"/>
  <c r="G2287" i="448" s="1"/>
  <c r="H2287" i="448" s="1" a="1"/>
  <c r="H2287" i="448" s="1"/>
  <c r="H2286" i="448" s="1" a="1"/>
  <c r="H2286" i="448" s="1"/>
  <c r="D629" i="449"/>
  <c r="D628" i="449"/>
  <c r="D627" i="449"/>
  <c r="D626" i="449"/>
  <c r="D625" i="449"/>
  <c r="D623" i="449"/>
  <c r="D622" i="449"/>
  <c r="D621" i="449"/>
  <c r="D618" i="449"/>
  <c r="D617" i="449"/>
  <c r="D615" i="449"/>
  <c r="D614" i="449"/>
  <c r="D613" i="449"/>
  <c r="D612" i="449"/>
  <c r="D611" i="449"/>
  <c r="D610" i="449"/>
  <c r="D609" i="449"/>
  <c r="D607" i="449"/>
  <c r="D606" i="449"/>
  <c r="D605" i="449"/>
  <c r="D604" i="449"/>
  <c r="D602" i="449"/>
  <c r="G1548" i="448" s="1"/>
  <c r="H1548" i="448" s="1" a="1"/>
  <c r="H1548" i="448" s="1"/>
  <c r="D601" i="449"/>
  <c r="D600" i="449"/>
  <c r="G1531" i="448" s="1"/>
  <c r="H1531" i="448" s="1" a="1"/>
  <c r="H1531" i="448" s="1"/>
  <c r="D599" i="449"/>
  <c r="G1558" i="448" s="1"/>
  <c r="H1558" i="448" s="1" a="1"/>
  <c r="H1558" i="448" s="1"/>
  <c r="D598" i="449"/>
  <c r="D597" i="449"/>
  <c r="G1529" i="448" s="1"/>
  <c r="H1529" i="448" s="1" a="1"/>
  <c r="H1529" i="448" s="1"/>
  <c r="D596" i="449"/>
  <c r="G1554" i="448" s="1"/>
  <c r="H1554" i="448" s="1" a="1"/>
  <c r="H1554" i="448" s="1"/>
  <c r="H1553" i="448" s="1" a="1"/>
  <c r="H1553" i="448" s="1"/>
  <c r="D595" i="449"/>
  <c r="D594" i="449"/>
  <c r="D592" i="449"/>
  <c r="D591" i="449"/>
  <c r="D590" i="449"/>
  <c r="D589" i="449"/>
  <c r="D588" i="449"/>
  <c r="D587" i="449"/>
  <c r="D586" i="449"/>
  <c r="D585" i="449"/>
  <c r="D582" i="449"/>
  <c r="D581" i="449"/>
  <c r="D580" i="449"/>
  <c r="D574" i="449"/>
  <c r="D573" i="449"/>
  <c r="D572" i="449"/>
  <c r="D571" i="449"/>
  <c r="D570" i="449"/>
  <c r="D569" i="449"/>
  <c r="D568" i="449"/>
  <c r="D567" i="449"/>
  <c r="D566" i="449"/>
  <c r="D565" i="449"/>
  <c r="D564" i="449"/>
  <c r="D563" i="449"/>
  <c r="D562" i="449"/>
  <c r="D561" i="449"/>
  <c r="D560" i="449"/>
  <c r="D559" i="449"/>
  <c r="D558" i="449"/>
  <c r="D557" i="449"/>
  <c r="D556" i="449"/>
  <c r="D555" i="449"/>
  <c r="D554" i="449"/>
  <c r="D552" i="449"/>
  <c r="D551" i="449"/>
  <c r="D550" i="449"/>
  <c r="D549" i="449"/>
  <c r="D547" i="449"/>
  <c r="D546" i="449"/>
  <c r="D545" i="449"/>
  <c r="D543" i="449"/>
  <c r="D542" i="449"/>
  <c r="G1963" i="448" s="1"/>
  <c r="D530" i="449"/>
  <c r="D528" i="449"/>
  <c r="D527" i="449"/>
  <c r="D526" i="449"/>
  <c r="D525" i="449"/>
  <c r="D521" i="449"/>
  <c r="G1750" i="448" s="1"/>
  <c r="H1750" i="448" s="1" a="1"/>
  <c r="H1750" i="448" s="1"/>
  <c r="H1749" i="448" s="1" a="1"/>
  <c r="H1749" i="448" s="1"/>
  <c r="D520" i="449"/>
  <c r="D519" i="449"/>
  <c r="D518" i="449"/>
  <c r="D515" i="449"/>
  <c r="D514" i="449"/>
  <c r="D513" i="449"/>
  <c r="G2060" i="448" s="1"/>
  <c r="D512" i="449"/>
  <c r="D506" i="449"/>
  <c r="D505" i="449"/>
  <c r="G1806" i="448" s="1"/>
  <c r="D504" i="449"/>
  <c r="D503" i="449"/>
  <c r="D502" i="449"/>
  <c r="D501" i="449"/>
  <c r="D500" i="449"/>
  <c r="D496" i="449"/>
  <c r="D495" i="449"/>
  <c r="G1796" i="448" s="1"/>
  <c r="D494" i="449"/>
  <c r="D493" i="449"/>
  <c r="D492" i="449"/>
  <c r="D491" i="449"/>
  <c r="D490" i="449"/>
  <c r="D489" i="449"/>
  <c r="G1811" i="448" s="1"/>
  <c r="D486" i="449"/>
  <c r="D485" i="449"/>
  <c r="D484" i="449"/>
  <c r="D479" i="449"/>
  <c r="G1851" i="448" s="1"/>
  <c r="D478" i="449"/>
  <c r="D476" i="449"/>
  <c r="D475" i="449"/>
  <c r="D474" i="449"/>
  <c r="G2655" i="448" s="1"/>
  <c r="D473" i="449"/>
  <c r="D472" i="449"/>
  <c r="D471" i="449"/>
  <c r="D470" i="449"/>
  <c r="D469" i="449"/>
  <c r="G1427" i="448" s="1"/>
  <c r="D464" i="449"/>
  <c r="D463" i="449"/>
  <c r="D462" i="449"/>
  <c r="D461" i="449"/>
  <c r="D460" i="449"/>
  <c r="D459" i="449"/>
  <c r="D458" i="449"/>
  <c r="D457" i="449"/>
  <c r="D456" i="449"/>
  <c r="D455" i="449"/>
  <c r="D454" i="449"/>
  <c r="G596" i="448" s="1"/>
  <c r="H596" i="448" s="1" a="1"/>
  <c r="H596" i="448" s="1"/>
  <c r="D452" i="449"/>
  <c r="D451" i="449"/>
  <c r="D450" i="449"/>
  <c r="D449" i="449"/>
  <c r="D448" i="449"/>
  <c r="D447" i="449"/>
  <c r="G2968" i="448" s="1"/>
  <c r="D446" i="449"/>
  <c r="D444" i="449"/>
  <c r="D443" i="449"/>
  <c r="D442" i="449"/>
  <c r="D441" i="449"/>
  <c r="G502" i="448" s="1"/>
  <c r="D440" i="449"/>
  <c r="D439" i="449"/>
  <c r="D438" i="449"/>
  <c r="D437" i="449"/>
  <c r="G2858" i="448" s="1"/>
  <c r="D436" i="449"/>
  <c r="D435" i="449"/>
  <c r="D434" i="449"/>
  <c r="G2857" i="448" s="1"/>
  <c r="D433" i="449"/>
  <c r="D430" i="449"/>
  <c r="D429" i="449"/>
  <c r="D428" i="449"/>
  <c r="G1457" i="448" s="1"/>
  <c r="D424" i="449"/>
  <c r="G2101" i="448" s="1"/>
  <c r="D423" i="449"/>
  <c r="D422" i="449"/>
  <c r="D421" i="449"/>
  <c r="D420" i="449"/>
  <c r="D419" i="449"/>
  <c r="D418" i="449"/>
  <c r="D417" i="449"/>
  <c r="D416" i="449"/>
  <c r="D415" i="449"/>
  <c r="G2321" i="448" s="1"/>
  <c r="D412" i="449"/>
  <c r="D411" i="449"/>
  <c r="D410" i="449"/>
  <c r="D409" i="449"/>
  <c r="D408" i="449"/>
  <c r="D407" i="449"/>
  <c r="D406" i="449"/>
  <c r="D405" i="449"/>
  <c r="D404" i="449"/>
  <c r="G1589" i="448" s="1"/>
  <c r="H1589" i="448" s="1" a="1"/>
  <c r="H1589" i="448" s="1"/>
  <c r="D403" i="449"/>
  <c r="G3063" i="448" s="1"/>
  <c r="D402" i="449"/>
  <c r="D401" i="449"/>
  <c r="D400" i="449"/>
  <c r="D399" i="449"/>
  <c r="D398" i="449"/>
  <c r="G3064" i="448" s="1"/>
  <c r="H3064" i="448" s="1" a="1"/>
  <c r="H3064" i="448" s="1"/>
  <c r="D396" i="449"/>
  <c r="D395" i="449"/>
  <c r="D394" i="449"/>
  <c r="G2860" i="448" s="1"/>
  <c r="D391" i="449"/>
  <c r="G554" i="448" s="1"/>
  <c r="D390" i="449"/>
  <c r="D389" i="449"/>
  <c r="D388" i="449"/>
  <c r="D387" i="449"/>
  <c r="G2205" i="448" s="1"/>
  <c r="D386" i="449"/>
  <c r="G2386" i="448" s="1"/>
  <c r="H2386" i="448" s="1" a="1"/>
  <c r="H2386" i="448" s="1"/>
  <c r="H2385" i="448" s="1" a="1"/>
  <c r="H2385" i="448" s="1"/>
  <c r="H2384" i="448" s="1" a="1"/>
  <c r="H2384" i="448" s="1"/>
  <c r="D385" i="449"/>
  <c r="G2861" i="448" s="1"/>
  <c r="D384" i="449"/>
  <c r="D383" i="449"/>
  <c r="D382" i="449"/>
  <c r="D380" i="449"/>
  <c r="D379" i="449"/>
  <c r="D378" i="449"/>
  <c r="D377" i="449"/>
  <c r="D376" i="449"/>
  <c r="D375" i="449"/>
  <c r="G1697" i="448" s="1"/>
  <c r="D374" i="449"/>
  <c r="D373" i="449"/>
  <c r="D372" i="449"/>
  <c r="D371" i="449"/>
  <c r="D370" i="449"/>
  <c r="D369" i="449"/>
  <c r="D368" i="449"/>
  <c r="D367" i="449"/>
  <c r="D366" i="449"/>
  <c r="D365" i="449"/>
  <c r="D364" i="449"/>
  <c r="D363" i="449"/>
  <c r="D362" i="449"/>
  <c r="D361" i="449"/>
  <c r="D360" i="449"/>
  <c r="D359" i="449"/>
  <c r="D358" i="449"/>
  <c r="D357" i="449"/>
  <c r="D356" i="449"/>
  <c r="D355" i="449"/>
  <c r="D354" i="449"/>
  <c r="D353" i="449"/>
  <c r="D352" i="449"/>
  <c r="G183" i="448" s="1"/>
  <c r="D351" i="449"/>
  <c r="G558" i="448" s="1"/>
  <c r="D349" i="449"/>
  <c r="D348" i="449"/>
  <c r="D347" i="449"/>
  <c r="D346" i="449"/>
  <c r="D345" i="449"/>
  <c r="D344" i="449"/>
  <c r="G1739" i="448" s="1"/>
  <c r="D340" i="449"/>
  <c r="D339" i="449"/>
  <c r="D338" i="449"/>
  <c r="D337" i="449"/>
  <c r="D335" i="449"/>
  <c r="D334" i="449"/>
  <c r="D333" i="449"/>
  <c r="D332" i="449"/>
  <c r="D331" i="449"/>
  <c r="D330" i="449"/>
  <c r="D329" i="449"/>
  <c r="D328" i="449"/>
  <c r="D327" i="449"/>
  <c r="D326" i="449"/>
  <c r="D325" i="449"/>
  <c r="D324" i="449"/>
  <c r="D323" i="449"/>
  <c r="G2855" i="448" s="1"/>
  <c r="D322" i="449"/>
  <c r="D321" i="449"/>
  <c r="D320" i="449"/>
  <c r="D319" i="449"/>
  <c r="D318" i="449"/>
  <c r="D317" i="449"/>
  <c r="D316" i="449"/>
  <c r="D315" i="449"/>
  <c r="D314" i="449"/>
  <c r="D313" i="449"/>
  <c r="D312" i="449"/>
  <c r="D311" i="449"/>
  <c r="D309" i="449"/>
  <c r="D307" i="449"/>
  <c r="D306" i="449"/>
  <c r="D305" i="449"/>
  <c r="D304" i="449"/>
  <c r="D303" i="449"/>
  <c r="D302" i="449"/>
  <c r="D301" i="449"/>
  <c r="D300" i="449"/>
  <c r="D299" i="449"/>
  <c r="G2856" i="448" s="1"/>
  <c r="D298" i="449"/>
  <c r="D297" i="449"/>
  <c r="D296" i="449"/>
  <c r="G2862" i="448" s="1"/>
  <c r="H2862" i="448" s="1" a="1"/>
  <c r="H2862" i="448" s="1"/>
  <c r="D295" i="449"/>
  <c r="D294" i="449"/>
  <c r="D293" i="449"/>
  <c r="D292" i="449"/>
  <c r="D291" i="449"/>
  <c r="D290" i="449"/>
  <c r="D289" i="449"/>
  <c r="G2859" i="448" s="1"/>
  <c r="D288" i="449"/>
  <c r="D287" i="449"/>
  <c r="G1223" i="448" s="1"/>
  <c r="H1223" i="448" s="1" a="1"/>
  <c r="H1223" i="448" s="1"/>
  <c r="D286" i="449"/>
  <c r="G1208" i="448" s="1"/>
  <c r="D284" i="449"/>
  <c r="D283" i="449"/>
  <c r="D282" i="449"/>
  <c r="G1658" i="448" s="1"/>
  <c r="D278" i="449"/>
  <c r="D277" i="449"/>
  <c r="D276" i="449"/>
  <c r="D275" i="449"/>
  <c r="G1209" i="448" s="1"/>
  <c r="H1209" i="448" s="1" a="1"/>
  <c r="H1209" i="448" s="1"/>
  <c r="D274" i="449"/>
  <c r="G1220" i="448" s="1"/>
  <c r="H1220" i="448" s="1" a="1"/>
  <c r="H1220" i="448" s="1"/>
  <c r="H1219" i="448" s="1" a="1"/>
  <c r="H1219" i="448" s="1"/>
  <c r="D273" i="449"/>
  <c r="G1218" i="448" s="1"/>
  <c r="H1218" i="448" s="1" a="1"/>
  <c r="H1218" i="448" s="1"/>
  <c r="H1217" i="448" s="1" a="1"/>
  <c r="H1217" i="448" s="1"/>
  <c r="D272" i="449"/>
  <c r="D271" i="449"/>
  <c r="D258" i="449"/>
  <c r="D257" i="449"/>
  <c r="D256" i="449"/>
  <c r="D255" i="449"/>
  <c r="D254" i="449"/>
  <c r="D251" i="449"/>
  <c r="D250" i="449"/>
  <c r="D249" i="449"/>
  <c r="D248" i="449"/>
  <c r="G2440" i="448" s="1"/>
  <c r="H2440" i="448" s="1" a="1"/>
  <c r="H2440" i="448" s="1"/>
  <c r="H2439" i="448" s="1" a="1"/>
  <c r="H2439" i="448" s="1"/>
  <c r="D241" i="449"/>
  <c r="G2424" i="448" s="1"/>
  <c r="H2424" i="448" s="1" a="1"/>
  <c r="H2424" i="448" s="1"/>
  <c r="H2423" i="448" s="1" a="1"/>
  <c r="H2423" i="448" s="1"/>
  <c r="D237" i="449"/>
  <c r="D236" i="449"/>
  <c r="D235" i="449"/>
  <c r="D234" i="449"/>
  <c r="D233" i="449"/>
  <c r="D226" i="449"/>
  <c r="D225" i="449"/>
  <c r="D224" i="449"/>
  <c r="D223" i="449"/>
  <c r="D222" i="449"/>
  <c r="D221" i="449"/>
  <c r="D220" i="449"/>
  <c r="D218" i="449"/>
  <c r="G2394" i="448" s="1"/>
  <c r="D217" i="449"/>
  <c r="G2382" i="448" s="1"/>
  <c r="D215" i="449"/>
  <c r="D214" i="449"/>
  <c r="G2326" i="448" s="1"/>
  <c r="H2326" i="448" s="1" a="1"/>
  <c r="H2326" i="448" s="1"/>
  <c r="H2325" i="448" s="1" a="1"/>
  <c r="H2325" i="448" s="1"/>
  <c r="D212" i="449"/>
  <c r="D210" i="449"/>
  <c r="G2546" i="448" s="1"/>
  <c r="H2546" i="448" s="1" a="1"/>
  <c r="H2546" i="448" s="1"/>
  <c r="H2545" i="448" s="1" a="1"/>
  <c r="H2545" i="448" s="1"/>
  <c r="D206" i="449"/>
  <c r="D205" i="449"/>
  <c r="D204" i="449"/>
  <c r="D202" i="449"/>
  <c r="G2332" i="448" s="1"/>
  <c r="H2332" i="448" s="1" a="1"/>
  <c r="H2332" i="448" s="1"/>
  <c r="H2331" i="448" s="1" a="1"/>
  <c r="H2331" i="448" s="1"/>
  <c r="D201" i="449"/>
  <c r="D197" i="449"/>
  <c r="D196" i="449"/>
  <c r="D195" i="449"/>
  <c r="D194" i="449"/>
  <c r="D193" i="449"/>
  <c r="D192" i="449"/>
  <c r="D191" i="449"/>
  <c r="D190" i="449"/>
  <c r="D189" i="449"/>
  <c r="D188" i="449"/>
  <c r="D187" i="449"/>
  <c r="D186" i="449"/>
  <c r="D185" i="449"/>
  <c r="D184" i="449"/>
  <c r="D183" i="449"/>
  <c r="D182" i="449"/>
  <c r="D181" i="449"/>
  <c r="D179" i="449"/>
  <c r="D178" i="449"/>
  <c r="D177" i="449"/>
  <c r="D176" i="449"/>
  <c r="D175" i="449"/>
  <c r="D174" i="449"/>
  <c r="D172" i="449"/>
  <c r="D171" i="449"/>
  <c r="D170" i="449"/>
  <c r="D169" i="449"/>
  <c r="D168" i="449"/>
  <c r="D166" i="449"/>
  <c r="D165" i="449"/>
  <c r="G202" i="448" s="1"/>
  <c r="D164" i="449"/>
  <c r="D163" i="449"/>
  <c r="D162" i="449"/>
  <c r="D161" i="449"/>
  <c r="D160" i="449"/>
  <c r="D159" i="449"/>
  <c r="D158" i="449"/>
  <c r="G924" i="448" s="1"/>
  <c r="D157" i="449"/>
  <c r="G1537" i="448" s="1"/>
  <c r="D156" i="449"/>
  <c r="D155" i="449"/>
  <c r="G923" i="448" s="1"/>
  <c r="D154" i="449"/>
  <c r="G1536" i="448" s="1"/>
  <c r="D153" i="449"/>
  <c r="D152" i="449"/>
  <c r="D151" i="449"/>
  <c r="D150" i="449"/>
  <c r="D149" i="449"/>
  <c r="D146" i="449"/>
  <c r="D145" i="449"/>
  <c r="D144" i="449"/>
  <c r="D143" i="449"/>
  <c r="D142" i="449"/>
  <c r="D141" i="449"/>
  <c r="D140" i="449"/>
  <c r="D139" i="449"/>
  <c r="G655" i="448" s="1"/>
  <c r="D138" i="449"/>
  <c r="D137" i="449"/>
  <c r="D136" i="449"/>
  <c r="D135" i="449"/>
  <c r="D134" i="449"/>
  <c r="D133" i="449"/>
  <c r="D132" i="449"/>
  <c r="D131" i="449"/>
  <c r="D130" i="449"/>
  <c r="D129" i="449"/>
  <c r="D128" i="449"/>
  <c r="D127" i="449"/>
  <c r="D126" i="449"/>
  <c r="D125" i="449"/>
  <c r="G405" i="448" s="1"/>
  <c r="D124" i="449"/>
  <c r="D123" i="449"/>
  <c r="D122" i="449"/>
  <c r="D121" i="449"/>
  <c r="D120" i="449"/>
  <c r="G610" i="448" s="1"/>
  <c r="D119" i="449"/>
  <c r="D118" i="449"/>
  <c r="G1735" i="448" s="1"/>
  <c r="D117" i="449"/>
  <c r="D116" i="449"/>
  <c r="D115" i="449"/>
  <c r="G218" i="448" s="1"/>
  <c r="D114" i="449"/>
  <c r="D113" i="449"/>
  <c r="D112" i="449"/>
  <c r="D111" i="449"/>
  <c r="D110" i="449"/>
  <c r="D109" i="449"/>
  <c r="D108" i="449"/>
  <c r="G2980" i="448" s="1"/>
  <c r="D107" i="449"/>
  <c r="D106" i="449"/>
  <c r="D105" i="449"/>
  <c r="G2967" i="448" s="1"/>
  <c r="D103" i="449"/>
  <c r="D102" i="449"/>
  <c r="D101" i="449"/>
  <c r="D100" i="449"/>
  <c r="D99" i="449"/>
  <c r="D98" i="449"/>
  <c r="D97" i="449"/>
  <c r="D96" i="449"/>
  <c r="D95" i="449"/>
  <c r="G3062" i="448" s="1"/>
  <c r="D94" i="449"/>
  <c r="D93" i="449"/>
  <c r="D92" i="449"/>
  <c r="D91" i="449"/>
  <c r="G1711" i="448" s="1"/>
  <c r="H1711" i="448" s="1" a="1"/>
  <c r="H1711" i="448" s="1"/>
  <c r="D90" i="449"/>
  <c r="G1696" i="448" s="1"/>
  <c r="D89" i="449"/>
  <c r="D88" i="449"/>
  <c r="D87" i="449"/>
  <c r="G698" i="448" s="1"/>
  <c r="H698" i="448" s="1" a="1"/>
  <c r="H698" i="448" s="1"/>
  <c r="H697" i="448" s="1" a="1"/>
  <c r="H697" i="448" s="1"/>
  <c r="H696" i="448" s="1" a="1"/>
  <c r="H696" i="448" s="1"/>
  <c r="D86" i="449"/>
  <c r="D85" i="449"/>
  <c r="D83" i="449"/>
  <c r="D82" i="449"/>
  <c r="D81" i="449"/>
  <c r="D80" i="449"/>
  <c r="D79" i="449"/>
  <c r="D78" i="449"/>
  <c r="G2484" i="448" s="1"/>
  <c r="H2484" i="448" s="1" a="1"/>
  <c r="H2484" i="448" s="1"/>
  <c r="H2483" i="448" s="1" a="1"/>
  <c r="H2483" i="448" s="1"/>
  <c r="D77" i="449"/>
  <c r="D75" i="449"/>
  <c r="D74" i="449"/>
  <c r="D73" i="449"/>
  <c r="D72" i="449"/>
  <c r="D70" i="449"/>
  <c r="D68" i="449"/>
  <c r="D67" i="449"/>
  <c r="D66" i="449"/>
  <c r="D65" i="449"/>
  <c r="D62" i="449"/>
  <c r="G709" i="448" s="1"/>
  <c r="D61" i="449"/>
  <c r="D60" i="449"/>
  <c r="G697" i="448" s="1"/>
  <c r="D59" i="449"/>
  <c r="D58" i="449"/>
  <c r="D57" i="449"/>
  <c r="D47" i="449"/>
  <c r="D46" i="449"/>
  <c r="D45" i="449"/>
  <c r="D44" i="449"/>
  <c r="D43" i="449"/>
  <c r="D42" i="449"/>
  <c r="D41" i="449"/>
  <c r="D40" i="449"/>
  <c r="D39" i="449"/>
  <c r="D38" i="449"/>
  <c r="D37" i="449"/>
  <c r="D36" i="449"/>
  <c r="D35" i="449"/>
  <c r="D34" i="449"/>
  <c r="D33" i="449"/>
  <c r="D32" i="449"/>
  <c r="D31" i="449"/>
  <c r="D30" i="449"/>
  <c r="D29" i="449"/>
  <c r="D28" i="449"/>
  <c r="D27" i="449"/>
  <c r="D26" i="449"/>
  <c r="G557" i="448" s="1"/>
  <c r="D24" i="449"/>
  <c r="D23" i="449"/>
  <c r="D22" i="449"/>
  <c r="D21" i="449"/>
  <c r="D20" i="449"/>
  <c r="D19" i="449"/>
  <c r="D18" i="449"/>
  <c r="D17" i="449"/>
  <c r="D16" i="449"/>
  <c r="D15" i="449"/>
  <c r="D14" i="449"/>
  <c r="D13" i="449"/>
  <c r="G309" i="448" s="1"/>
  <c r="D12" i="449"/>
  <c r="D11" i="449"/>
  <c r="D10" i="449"/>
  <c r="D9" i="449"/>
  <c r="D8" i="449"/>
  <c r="D7" i="449"/>
  <c r="D6" i="449"/>
  <c r="D3" i="449"/>
  <c r="G595" i="448" s="1"/>
  <c r="A764" i="449"/>
  <c r="A763" i="449"/>
  <c r="A762" i="449"/>
  <c r="A754" i="449"/>
  <c r="A753" i="449"/>
  <c r="A752" i="449"/>
  <c r="A751" i="449"/>
  <c r="A750" i="449"/>
  <c r="A749" i="449"/>
  <c r="A739" i="449"/>
  <c r="A738" i="449"/>
  <c r="A737" i="449"/>
  <c r="A735" i="449"/>
  <c r="A734" i="449"/>
  <c r="A733" i="449"/>
  <c r="A732" i="449"/>
  <c r="A728" i="449"/>
  <c r="A727" i="449"/>
  <c r="A725" i="449"/>
  <c r="A724" i="449"/>
  <c r="A723" i="449"/>
  <c r="A722" i="449"/>
  <c r="A721" i="449"/>
  <c r="A720" i="449"/>
  <c r="A719" i="449"/>
  <c r="A718" i="449"/>
  <c r="A717" i="449"/>
  <c r="A716" i="449"/>
  <c r="A715" i="449"/>
  <c r="A714" i="449"/>
  <c r="A713" i="449"/>
  <c r="A712" i="449"/>
  <c r="A711" i="449"/>
  <c r="A710" i="449"/>
  <c r="A709" i="449"/>
  <c r="A708" i="449"/>
  <c r="A707" i="449"/>
  <c r="A705" i="449"/>
  <c r="A704" i="449"/>
  <c r="A703" i="449"/>
  <c r="A702" i="449"/>
  <c r="A701" i="449"/>
  <c r="A700" i="449"/>
  <c r="A699" i="449"/>
  <c r="A698" i="449"/>
  <c r="A697" i="449"/>
  <c r="A696" i="449"/>
  <c r="A695" i="449"/>
  <c r="A692" i="449"/>
  <c r="A691" i="449"/>
  <c r="A690" i="449"/>
  <c r="A689" i="449"/>
  <c r="A688" i="449"/>
  <c r="A686" i="449"/>
  <c r="A685" i="449"/>
  <c r="A684" i="449"/>
  <c r="A683" i="449"/>
  <c r="A682" i="449"/>
  <c r="A681" i="449"/>
  <c r="A680" i="449"/>
  <c r="A679" i="449"/>
  <c r="A678" i="449"/>
  <c r="A677" i="449"/>
  <c r="A676" i="449"/>
  <c r="A674" i="449"/>
  <c r="A673" i="449"/>
  <c r="A672" i="449"/>
  <c r="A671" i="449"/>
  <c r="A670" i="449"/>
  <c r="A669" i="449"/>
  <c r="A666" i="449"/>
  <c r="A665" i="449"/>
  <c r="A664" i="449"/>
  <c r="A663" i="449"/>
  <c r="A662" i="449"/>
  <c r="A661" i="449"/>
  <c r="A660" i="449"/>
  <c r="A659" i="449"/>
  <c r="A658" i="449"/>
  <c r="A657" i="449"/>
  <c r="A656" i="449"/>
  <c r="A655" i="449"/>
  <c r="A652" i="449"/>
  <c r="A650" i="449"/>
  <c r="A649" i="449"/>
  <c r="A648" i="449"/>
  <c r="A647" i="449"/>
  <c r="A646" i="449"/>
  <c r="A645" i="449"/>
  <c r="A644" i="449"/>
  <c r="A643" i="449"/>
  <c r="A642" i="449"/>
  <c r="A641" i="449"/>
  <c r="A640" i="449"/>
  <c r="A638" i="449"/>
  <c r="A637" i="449"/>
  <c r="A636" i="449"/>
  <c r="A635" i="449"/>
  <c r="A634" i="449"/>
  <c r="A633" i="449"/>
  <c r="A632" i="449"/>
  <c r="A631" i="449"/>
  <c r="A630" i="449"/>
  <c r="A629" i="449"/>
  <c r="A628" i="449"/>
  <c r="A627" i="449"/>
  <c r="A626" i="449"/>
  <c r="A625" i="449"/>
  <c r="A623" i="449"/>
  <c r="A622" i="449"/>
  <c r="A621" i="449"/>
  <c r="A618" i="449"/>
  <c r="A617" i="449"/>
  <c r="A615" i="449"/>
  <c r="A614" i="449"/>
  <c r="A613" i="449"/>
  <c r="A612" i="449"/>
  <c r="A611" i="449"/>
  <c r="A610" i="449"/>
  <c r="A609" i="449"/>
  <c r="A607" i="449"/>
  <c r="A606" i="449"/>
  <c r="A605" i="449"/>
  <c r="A604" i="449"/>
  <c r="A602" i="449"/>
  <c r="A601" i="449"/>
  <c r="A600" i="449"/>
  <c r="A599" i="449"/>
  <c r="A598" i="449"/>
  <c r="A597" i="449"/>
  <c r="A596" i="449"/>
  <c r="A595" i="449"/>
  <c r="A594" i="449"/>
  <c r="A592" i="449"/>
  <c r="A591" i="449"/>
  <c r="A590" i="449"/>
  <c r="A589" i="449"/>
  <c r="A588" i="449"/>
  <c r="A587" i="449"/>
  <c r="A586" i="449"/>
  <c r="A585" i="449"/>
  <c r="A582" i="449"/>
  <c r="A581" i="449"/>
  <c r="A580" i="449"/>
  <c r="A574" i="449"/>
  <c r="A573" i="449"/>
  <c r="A572" i="449"/>
  <c r="A571" i="449"/>
  <c r="A570" i="449"/>
  <c r="A569" i="449"/>
  <c r="A568" i="449"/>
  <c r="A567" i="449"/>
  <c r="A566" i="449"/>
  <c r="A565" i="449"/>
  <c r="A564" i="449"/>
  <c r="A563" i="449"/>
  <c r="A562" i="449"/>
  <c r="A561" i="449"/>
  <c r="A560" i="449"/>
  <c r="A559" i="449"/>
  <c r="A558" i="449"/>
  <c r="A557" i="449"/>
  <c r="A556" i="449"/>
  <c r="A555" i="449"/>
  <c r="A554" i="449"/>
  <c r="A552" i="449"/>
  <c r="A551" i="449"/>
  <c r="A550" i="449"/>
  <c r="A549" i="449"/>
  <c r="A547" i="449"/>
  <c r="A546" i="449"/>
  <c r="A545" i="449"/>
  <c r="A543" i="449"/>
  <c r="A542" i="449"/>
  <c r="A534" i="449"/>
  <c r="A530" i="449"/>
  <c r="A528" i="449"/>
  <c r="A527" i="449"/>
  <c r="A526" i="449"/>
  <c r="A525" i="449"/>
  <c r="A521" i="449"/>
  <c r="A520" i="449"/>
  <c r="A519" i="449"/>
  <c r="A518" i="449"/>
  <c r="A515" i="449"/>
  <c r="A514" i="449"/>
  <c r="A513" i="449"/>
  <c r="A512" i="449"/>
  <c r="A506" i="449"/>
  <c r="A505" i="449"/>
  <c r="A504" i="449"/>
  <c r="A503" i="449"/>
  <c r="A502" i="449"/>
  <c r="A501" i="449"/>
  <c r="A500" i="449"/>
  <c r="A496" i="449"/>
  <c r="A495" i="449"/>
  <c r="A494" i="449"/>
  <c r="A493" i="449"/>
  <c r="A492" i="449"/>
  <c r="A491" i="449"/>
  <c r="A490" i="449"/>
  <c r="A489" i="449"/>
  <c r="A486" i="449"/>
  <c r="A485" i="449"/>
  <c r="A484" i="449"/>
  <c r="A479" i="449"/>
  <c r="A478" i="449"/>
  <c r="A476" i="449"/>
  <c r="A475" i="449"/>
  <c r="A474" i="449"/>
  <c r="A473" i="449"/>
  <c r="A472" i="449"/>
  <c r="A471" i="449"/>
  <c r="A470" i="449"/>
  <c r="A469" i="449"/>
  <c r="A464" i="449"/>
  <c r="A463" i="449"/>
  <c r="A462" i="449"/>
  <c r="A461" i="449"/>
  <c r="A460" i="449"/>
  <c r="A459" i="449"/>
  <c r="A458" i="449"/>
  <c r="A457" i="449"/>
  <c r="A456" i="449"/>
  <c r="A455" i="449"/>
  <c r="A454" i="449"/>
  <c r="A452" i="449"/>
  <c r="A451" i="449"/>
  <c r="A450" i="449"/>
  <c r="A449" i="449"/>
  <c r="A448" i="449"/>
  <c r="A447" i="449"/>
  <c r="A446" i="449"/>
  <c r="A444" i="449"/>
  <c r="A443" i="449"/>
  <c r="A442" i="449"/>
  <c r="A441" i="449"/>
  <c r="A440" i="449"/>
  <c r="A439" i="449"/>
  <c r="A438" i="449"/>
  <c r="A437" i="449"/>
  <c r="A436" i="449"/>
  <c r="A435" i="449"/>
  <c r="A434" i="449"/>
  <c r="A433" i="449"/>
  <c r="A430" i="449"/>
  <c r="A429" i="449"/>
  <c r="A428" i="449"/>
  <c r="A424" i="449"/>
  <c r="A423" i="449"/>
  <c r="A422" i="449"/>
  <c r="A421" i="449"/>
  <c r="A420" i="449"/>
  <c r="A419" i="449"/>
  <c r="A418" i="449"/>
  <c r="A417" i="449"/>
  <c r="A416" i="449"/>
  <c r="A415" i="449"/>
  <c r="A412" i="449"/>
  <c r="A411" i="449"/>
  <c r="A410" i="449"/>
  <c r="A409" i="449"/>
  <c r="A408" i="449"/>
  <c r="A407" i="449"/>
  <c r="A406" i="449"/>
  <c r="A405" i="449"/>
  <c r="A404" i="449"/>
  <c r="A403" i="449"/>
  <c r="A402" i="449"/>
  <c r="A401" i="449"/>
  <c r="A400" i="449"/>
  <c r="A399" i="449"/>
  <c r="A398" i="449"/>
  <c r="A396" i="449"/>
  <c r="A395" i="449"/>
  <c r="A394" i="449"/>
  <c r="A392" i="449"/>
  <c r="A391" i="449"/>
  <c r="A390" i="449"/>
  <c r="A389" i="449"/>
  <c r="A388" i="449"/>
  <c r="A387" i="449"/>
  <c r="A386" i="449"/>
  <c r="A385" i="449"/>
  <c r="A384" i="449"/>
  <c r="A383" i="449"/>
  <c r="A382" i="449"/>
  <c r="A380" i="449"/>
  <c r="A379" i="449"/>
  <c r="A378" i="449"/>
  <c r="A377" i="449"/>
  <c r="A376" i="449"/>
  <c r="A375" i="449"/>
  <c r="A374" i="449"/>
  <c r="A373" i="449"/>
  <c r="A372" i="449"/>
  <c r="A371" i="449"/>
  <c r="A370" i="449"/>
  <c r="A369" i="449"/>
  <c r="A368" i="449"/>
  <c r="A367" i="449"/>
  <c r="A366" i="449"/>
  <c r="A365" i="449"/>
  <c r="A364" i="449"/>
  <c r="A363" i="449"/>
  <c r="A362" i="449"/>
  <c r="A361" i="449"/>
  <c r="A360" i="449"/>
  <c r="A359" i="449"/>
  <c r="A358" i="449"/>
  <c r="A357" i="449"/>
  <c r="A356" i="449"/>
  <c r="A355" i="449"/>
  <c r="A354" i="449"/>
  <c r="A353" i="449"/>
  <c r="A352" i="449"/>
  <c r="A351" i="449"/>
  <c r="A349" i="449"/>
  <c r="A348" i="449"/>
  <c r="A347" i="449"/>
  <c r="A346" i="449"/>
  <c r="A345" i="449"/>
  <c r="A344" i="449"/>
  <c r="A340" i="449"/>
  <c r="A339" i="449"/>
  <c r="A338" i="449"/>
  <c r="A337" i="449"/>
  <c r="A335" i="449"/>
  <c r="A334" i="449"/>
  <c r="A333" i="449"/>
  <c r="A332" i="449"/>
  <c r="A331" i="449"/>
  <c r="A330" i="449"/>
  <c r="A329" i="449"/>
  <c r="A328" i="449"/>
  <c r="A327" i="449"/>
  <c r="A326" i="449"/>
  <c r="A325" i="449"/>
  <c r="A324" i="449"/>
  <c r="A323" i="449"/>
  <c r="A322" i="449"/>
  <c r="A321" i="449"/>
  <c r="A320" i="449"/>
  <c r="A319" i="449"/>
  <c r="A318" i="449"/>
  <c r="A317" i="449"/>
  <c r="A316" i="449"/>
  <c r="A315" i="449"/>
  <c r="A314" i="449"/>
  <c r="A313" i="449"/>
  <c r="A312" i="449"/>
  <c r="A311" i="449"/>
  <c r="A309" i="449"/>
  <c r="A307" i="449"/>
  <c r="A306" i="449"/>
  <c r="A305" i="449"/>
  <c r="A304" i="449"/>
  <c r="A303" i="449"/>
  <c r="A302" i="449"/>
  <c r="A301" i="449"/>
  <c r="A300" i="449"/>
  <c r="A299" i="449"/>
  <c r="A298" i="449"/>
  <c r="A297" i="449"/>
  <c r="A296" i="449"/>
  <c r="A295" i="449"/>
  <c r="A294" i="449"/>
  <c r="A293" i="449"/>
  <c r="A292" i="449"/>
  <c r="A291" i="449"/>
  <c r="A290" i="449"/>
  <c r="A289" i="449"/>
  <c r="A288" i="449"/>
  <c r="A287" i="449"/>
  <c r="A286" i="449"/>
  <c r="A284" i="449"/>
  <c r="A283" i="449"/>
  <c r="A282" i="449"/>
  <c r="A278" i="449"/>
  <c r="A277" i="449"/>
  <c r="A276" i="449"/>
  <c r="A275" i="449"/>
  <c r="A274" i="449"/>
  <c r="A273" i="449"/>
  <c r="A272" i="449"/>
  <c r="A271" i="449"/>
  <c r="A258" i="449"/>
  <c r="A257" i="449"/>
  <c r="A256" i="449"/>
  <c r="A255" i="449"/>
  <c r="A254" i="449"/>
  <c r="A251" i="449"/>
  <c r="A250" i="449"/>
  <c r="A249" i="449"/>
  <c r="A248" i="449"/>
  <c r="A241" i="449"/>
  <c r="A237" i="449"/>
  <c r="A236" i="449"/>
  <c r="A235" i="449"/>
  <c r="A234" i="449"/>
  <c r="A233" i="449"/>
  <c r="A226" i="449"/>
  <c r="A225" i="449"/>
  <c r="A224" i="449"/>
  <c r="A223" i="449"/>
  <c r="A222" i="449"/>
  <c r="A221" i="449"/>
  <c r="A220" i="449"/>
  <c r="A218" i="449"/>
  <c r="A217" i="449"/>
  <c r="A215" i="449"/>
  <c r="A214" i="449"/>
  <c r="A212" i="449"/>
  <c r="A210" i="449"/>
  <c r="A206" i="449"/>
  <c r="A205" i="449"/>
  <c r="A204" i="449"/>
  <c r="A202" i="449"/>
  <c r="A201" i="449"/>
  <c r="A197" i="449"/>
  <c r="A196" i="449"/>
  <c r="A195" i="449"/>
  <c r="A194" i="449"/>
  <c r="A193" i="449"/>
  <c r="A192" i="449"/>
  <c r="A191" i="449"/>
  <c r="A190" i="449"/>
  <c r="A189" i="449"/>
  <c r="A188" i="449"/>
  <c r="A187" i="449"/>
  <c r="A186" i="449"/>
  <c r="A185" i="449"/>
  <c r="A184" i="449"/>
  <c r="A183" i="449"/>
  <c r="A182" i="449"/>
  <c r="A181" i="449"/>
  <c r="A179" i="449"/>
  <c r="A178" i="449"/>
  <c r="A177" i="449"/>
  <c r="A176" i="449"/>
  <c r="A175" i="449"/>
  <c r="A174" i="449"/>
  <c r="A172" i="449"/>
  <c r="A171" i="449"/>
  <c r="A170" i="449"/>
  <c r="A169" i="449"/>
  <c r="A168" i="449"/>
  <c r="A166" i="449"/>
  <c r="A165" i="449"/>
  <c r="A164" i="449"/>
  <c r="A163" i="449"/>
  <c r="A162" i="449"/>
  <c r="A161" i="449"/>
  <c r="A160" i="449"/>
  <c r="A159" i="449"/>
  <c r="A158" i="449"/>
  <c r="A157" i="449"/>
  <c r="A156" i="449"/>
  <c r="A155" i="449"/>
  <c r="A154" i="449"/>
  <c r="A153" i="449"/>
  <c r="A152" i="449"/>
  <c r="A151" i="449"/>
  <c r="A150" i="449"/>
  <c r="A149" i="449"/>
  <c r="A146" i="449"/>
  <c r="A145" i="449"/>
  <c r="A144" i="449"/>
  <c r="A143" i="449"/>
  <c r="A142" i="449"/>
  <c r="A141" i="449"/>
  <c r="A140" i="449"/>
  <c r="A139" i="449"/>
  <c r="A138" i="449"/>
  <c r="A137" i="449"/>
  <c r="A136" i="449"/>
  <c r="A135" i="449"/>
  <c r="A134" i="449"/>
  <c r="A133" i="449"/>
  <c r="A132" i="449"/>
  <c r="A131" i="449"/>
  <c r="A130" i="449"/>
  <c r="A129" i="449"/>
  <c r="A128" i="449"/>
  <c r="A127" i="449"/>
  <c r="A126" i="449"/>
  <c r="A125" i="449"/>
  <c r="A124" i="449"/>
  <c r="A123" i="449"/>
  <c r="A122" i="449"/>
  <c r="A121" i="449"/>
  <c r="A120" i="449"/>
  <c r="A119" i="449"/>
  <c r="A118" i="449"/>
  <c r="A117" i="449"/>
  <c r="A116" i="449"/>
  <c r="A115" i="449"/>
  <c r="A114" i="449"/>
  <c r="A113" i="449"/>
  <c r="A112" i="449"/>
  <c r="A111" i="449"/>
  <c r="A110" i="449"/>
  <c r="A109" i="449"/>
  <c r="A108" i="449"/>
  <c r="A107" i="449"/>
  <c r="A106" i="449"/>
  <c r="A105" i="449"/>
  <c r="A103" i="449"/>
  <c r="A102" i="449"/>
  <c r="A101" i="449"/>
  <c r="A100" i="449"/>
  <c r="A99" i="449"/>
  <c r="A98" i="449"/>
  <c r="A97" i="449"/>
  <c r="A96" i="449"/>
  <c r="A95" i="449"/>
  <c r="A94" i="449"/>
  <c r="A93" i="449"/>
  <c r="A92" i="449"/>
  <c r="A91" i="449"/>
  <c r="A90" i="449"/>
  <c r="A89" i="449"/>
  <c r="A88" i="449"/>
  <c r="A87" i="449"/>
  <c r="A86" i="449"/>
  <c r="A85" i="449"/>
  <c r="A83" i="449"/>
  <c r="A82" i="449"/>
  <c r="A81" i="449"/>
  <c r="A80" i="449"/>
  <c r="A79" i="449"/>
  <c r="A78" i="449"/>
  <c r="A77" i="449"/>
  <c r="A75" i="449"/>
  <c r="A74" i="449"/>
  <c r="A73" i="449"/>
  <c r="A72" i="449"/>
  <c r="A70" i="449"/>
  <c r="A68" i="449"/>
  <c r="A67" i="449"/>
  <c r="A66" i="449"/>
  <c r="A65" i="449"/>
  <c r="A62" i="449"/>
  <c r="A61" i="449"/>
  <c r="A60" i="449"/>
  <c r="A59" i="449"/>
  <c r="A58" i="449"/>
  <c r="A57" i="449"/>
  <c r="A47" i="449"/>
  <c r="A46" i="449"/>
  <c r="A45" i="449"/>
  <c r="A44" i="449"/>
  <c r="A43" i="449"/>
  <c r="A42" i="449"/>
  <c r="A41" i="449"/>
  <c r="A40" i="449"/>
  <c r="A39" i="449"/>
  <c r="A38" i="449"/>
  <c r="A37" i="449"/>
  <c r="A36" i="449"/>
  <c r="A35" i="449"/>
  <c r="A34" i="449"/>
  <c r="A33" i="449"/>
  <c r="A32" i="449"/>
  <c r="A31" i="449"/>
  <c r="A30" i="449"/>
  <c r="A29" i="449"/>
  <c r="A28" i="449"/>
  <c r="A27" i="449"/>
  <c r="A26" i="449"/>
  <c r="A24" i="449"/>
  <c r="A23" i="449"/>
  <c r="A22" i="449"/>
  <c r="A21" i="449"/>
  <c r="A20" i="449"/>
  <c r="A19" i="449"/>
  <c r="A18" i="449"/>
  <c r="A17" i="449"/>
  <c r="A16" i="449"/>
  <c r="A15" i="449"/>
  <c r="A14" i="449"/>
  <c r="A13" i="449"/>
  <c r="A12" i="449"/>
  <c r="A11" i="449"/>
  <c r="A10" i="449"/>
  <c r="A9" i="449"/>
  <c r="A8" i="449"/>
  <c r="A7" i="449"/>
  <c r="A6" i="449"/>
  <c r="A3" i="449"/>
  <c r="E1558" i="448"/>
  <c r="G1557" i="448"/>
  <c r="E1531" i="448"/>
  <c r="G1530" i="448"/>
  <c r="E1548" i="448"/>
  <c r="G1547" i="448"/>
  <c r="E1552" i="448"/>
  <c r="G1551" i="448"/>
  <c r="E1529" i="448"/>
  <c r="G1528" i="448"/>
  <c r="F1713" i="448"/>
  <c r="F1622" i="448"/>
  <c r="E704" i="448"/>
  <c r="F703" i="448"/>
  <c r="G1539" i="448" l="1"/>
  <c r="G926" i="448"/>
  <c r="G1540" i="448"/>
  <c r="G927" i="448"/>
  <c r="G1534" i="448"/>
  <c r="G921" i="448"/>
  <c r="G1538" i="448"/>
  <c r="G925" i="448"/>
  <c r="G1535" i="448"/>
  <c r="G922" i="448"/>
  <c r="G1541" i="448"/>
  <c r="G928" i="448"/>
  <c r="G1542" i="448"/>
  <c r="H1542" i="448" s="1" a="1"/>
  <c r="H1542" i="448" s="1"/>
  <c r="H1541" i="448" s="1" a="1"/>
  <c r="H1541" i="448" s="1"/>
  <c r="H1540" i="448" s="1" a="1"/>
  <c r="H1540" i="448" s="1"/>
  <c r="H1539" i="448" s="1" a="1"/>
  <c r="H1539" i="448" s="1"/>
  <c r="H1538" i="448" s="1" a="1"/>
  <c r="H1538" i="448" s="1"/>
  <c r="H1537" i="448" s="1" a="1"/>
  <c r="H1537" i="448" s="1"/>
  <c r="H1536" i="448" s="1" a="1"/>
  <c r="H1536" i="448" s="1"/>
  <c r="H1535" i="448" s="1" a="1"/>
  <c r="H1535" i="448" s="1"/>
  <c r="H1534" i="448" s="1" a="1"/>
  <c r="H1534" i="448" s="1"/>
  <c r="H1533" i="448" s="1" a="1"/>
  <c r="H1533" i="448" s="1"/>
  <c r="H1532" i="448" s="1" a="1"/>
  <c r="H1532" i="448" s="1"/>
  <c r="G929" i="448"/>
  <c r="G734" i="448"/>
  <c r="H734" i="448" s="1" a="1"/>
  <c r="H734" i="448" s="1"/>
  <c r="H733" i="448" s="1" a="1"/>
  <c r="H733" i="448" s="1"/>
  <c r="H732" i="448" s="1" a="1"/>
  <c r="H732" i="448" s="1"/>
  <c r="H722" i="448" s="1" a="1"/>
  <c r="H722" i="448" s="1"/>
  <c r="H721" i="448" s="1" a="1"/>
  <c r="H721" i="448" s="1"/>
  <c r="H720" i="448" s="1" a="1"/>
  <c r="H720" i="448" s="1"/>
  <c r="G725" i="448"/>
  <c r="G722" i="448"/>
  <c r="G728" i="448"/>
  <c r="G719" i="448"/>
  <c r="G1304" i="448"/>
  <c r="G2480" i="448"/>
  <c r="H1557" i="448" a="1"/>
  <c r="H1557" i="448" s="1"/>
  <c r="H1528" i="448" a="1"/>
  <c r="H1528" i="448" s="1"/>
  <c r="H1498" i="448" a="1"/>
  <c r="H1498" i="448" s="1"/>
  <c r="H595" i="448" a="1"/>
  <c r="H595" i="448" s="1"/>
  <c r="H594" i="448" s="1" a="1"/>
  <c r="H594" i="448" s="1"/>
  <c r="H593" i="448" s="1" a="1"/>
  <c r="H593" i="448" s="1"/>
  <c r="H1208" i="448" a="1"/>
  <c r="H1208" i="448" s="1"/>
  <c r="H3063" i="448" a="1"/>
  <c r="H3063" i="448" s="1"/>
  <c r="H3062" i="448" s="1" a="1"/>
  <c r="H3062" i="448" s="1"/>
  <c r="H3061" i="448" s="1" a="1"/>
  <c r="H3061" i="448" s="1"/>
  <c r="H1480" i="448" a="1"/>
  <c r="H1480" i="448" s="1"/>
  <c r="H1530" i="448" a="1"/>
  <c r="H1530" i="448" s="1"/>
  <c r="H1739" i="448" a="1"/>
  <c r="H1739" i="448" s="1"/>
  <c r="H1547" i="448" a="1"/>
  <c r="H1547" i="448" s="1"/>
  <c r="H1759" i="448" a="1"/>
  <c r="H1759" i="448" s="1"/>
  <c r="H2861" i="448" a="1"/>
  <c r="H2861" i="448" s="1"/>
  <c r="H2860" i="448" s="1" a="1"/>
  <c r="H2860" i="448" s="1"/>
  <c r="H2859" i="448" s="1" a="1"/>
  <c r="H2859" i="448" s="1"/>
  <c r="H2858" i="448" s="1" a="1"/>
  <c r="H2858" i="448" s="1"/>
  <c r="H2857" i="448" s="1" a="1"/>
  <c r="H2857" i="448" s="1"/>
  <c r="H2856" i="448" s="1" a="1"/>
  <c r="H2856" i="448" s="1"/>
  <c r="H2855" i="448" s="1" a="1"/>
  <c r="H2855" i="448" s="1"/>
  <c r="H2854" i="448" s="1" a="1"/>
  <c r="H2854" i="448" s="1"/>
  <c r="H2853" i="448" s="1" a="1"/>
  <c r="H2853" i="448" s="1"/>
  <c r="T14" i="456" s="1"/>
  <c r="U14" i="456" s="1"/>
  <c r="G1389" i="448"/>
  <c r="G1354" i="448"/>
  <c r="G1359" i="448"/>
  <c r="G1388" i="448"/>
  <c r="G1353" i="448"/>
  <c r="G1358" i="448"/>
  <c r="G1425" i="448"/>
  <c r="H1425" i="448" s="1" a="1"/>
  <c r="H1425" i="448" s="1"/>
  <c r="G1360" i="448"/>
  <c r="H1360" i="448" s="1" a="1"/>
  <c r="H1360" i="448" s="1"/>
  <c r="G1355" i="448"/>
  <c r="H1355" i="448" s="1" a="1"/>
  <c r="H1355" i="448" s="1"/>
  <c r="G1395" i="448"/>
  <c r="H1395" i="448" s="1" a="1"/>
  <c r="H1395" i="448" s="1"/>
  <c r="G1390" i="448"/>
  <c r="H1390" i="448" s="1" a="1"/>
  <c r="H1390" i="448" s="1"/>
  <c r="G2242" i="448"/>
  <c r="H2242" i="448" s="1" a="1"/>
  <c r="H2242" i="448" s="1"/>
  <c r="H2241" i="448" s="1" a="1"/>
  <c r="H2241" i="448" s="1"/>
  <c r="H2240" i="448" s="1" a="1"/>
  <c r="H2240" i="448" s="1"/>
  <c r="G2239" i="448"/>
  <c r="H2239" i="448" s="1" a="1"/>
  <c r="H2239" i="448" s="1"/>
  <c r="H2238" i="448" s="1" a="1"/>
  <c r="H2238" i="448" s="1"/>
  <c r="H2237" i="448" s="1" a="1"/>
  <c r="H2237" i="448" s="1"/>
  <c r="G1424" i="448"/>
  <c r="G1394" i="448"/>
  <c r="G1423" i="448"/>
  <c r="G1393" i="448"/>
  <c r="G1380" i="448"/>
  <c r="H1380" i="448" s="1" a="1"/>
  <c r="H1380" i="448" s="1"/>
  <c r="G1879" i="448"/>
  <c r="H1879" i="448" s="1" a="1"/>
  <c r="H1879" i="448" s="1"/>
  <c r="G1378" i="448"/>
  <c r="G1877" i="448"/>
  <c r="G1379" i="448"/>
  <c r="G1878" i="448"/>
  <c r="G1398" i="448"/>
  <c r="G1383" i="448"/>
  <c r="G1399" i="448"/>
  <c r="G1384" i="448"/>
  <c r="G1400" i="448"/>
  <c r="H1400" i="448" s="1" a="1"/>
  <c r="H1400" i="448" s="1"/>
  <c r="G1385" i="448"/>
  <c r="H1385" i="448" s="1" a="1"/>
  <c r="H1385" i="448" s="1"/>
  <c r="G1404" i="448"/>
  <c r="G1913" i="448"/>
  <c r="G1956" i="448"/>
  <c r="H1956" i="448" s="1" a="1"/>
  <c r="H1956" i="448" s="1"/>
  <c r="G1405" i="448"/>
  <c r="H1405" i="448" s="1" a="1"/>
  <c r="H1405" i="448" s="1"/>
  <c r="G1914" i="448"/>
  <c r="H1914" i="448" s="1" a="1"/>
  <c r="H1914" i="448" s="1"/>
  <c r="G1781" i="448"/>
  <c r="H1781" i="448" s="1" a="1"/>
  <c r="H1781" i="448" s="1"/>
  <c r="H1780" i="448" s="1" a="1"/>
  <c r="H1780" i="448" s="1"/>
  <c r="H1779" i="448" s="1" a="1"/>
  <c r="H1779" i="448" s="1"/>
  <c r="G1912" i="448"/>
  <c r="G1403" i="448"/>
  <c r="G2248" i="448"/>
  <c r="H2248" i="448" s="1" a="1"/>
  <c r="H2248" i="448" s="1"/>
  <c r="H2247" i="448" s="1" a="1"/>
  <c r="H2247" i="448" s="1"/>
  <c r="H2246" i="448" s="1" a="1"/>
  <c r="H2246" i="448" s="1"/>
  <c r="G2245" i="448"/>
  <c r="H2245" i="448" s="1" a="1"/>
  <c r="H2245" i="448" s="1"/>
  <c r="H2244" i="448" s="1" a="1"/>
  <c r="H2244" i="448" s="1"/>
  <c r="H2243" i="448" s="1" a="1"/>
  <c r="H2243" i="448" s="1"/>
  <c r="G1960" i="448"/>
  <c r="G1955" i="448"/>
  <c r="G1959" i="448"/>
  <c r="G1954" i="448"/>
  <c r="G1884" i="448"/>
  <c r="H1884" i="448" s="1" a="1"/>
  <c r="H1884" i="448" s="1"/>
  <c r="G1961" i="448"/>
  <c r="H1961" i="448" s="1" a="1"/>
  <c r="H1961" i="448" s="1"/>
  <c r="G2254" i="448"/>
  <c r="H2254" i="448" s="1" a="1"/>
  <c r="H2254" i="448" s="1"/>
  <c r="G2251" i="448"/>
  <c r="H2251" i="448" s="1" a="1"/>
  <c r="H2251" i="448" s="1"/>
  <c r="H2250" i="448" s="1" a="1"/>
  <c r="H2250" i="448" s="1"/>
  <c r="H2249" i="448" s="1" a="1"/>
  <c r="H2249" i="448" s="1"/>
  <c r="G2499" i="448"/>
  <c r="G1363" i="448"/>
  <c r="G2500" i="448"/>
  <c r="G1364" i="448"/>
  <c r="G2501" i="448"/>
  <c r="H2501" i="448" s="1" a="1"/>
  <c r="H2501" i="448" s="1"/>
  <c r="G1365" i="448"/>
  <c r="H1365" i="448" s="1" a="1"/>
  <c r="H1365" i="448" s="1"/>
  <c r="G2266" i="448"/>
  <c r="G2253" i="448"/>
  <c r="G1887" i="448"/>
  <c r="G1882" i="448"/>
  <c r="G1888" i="448"/>
  <c r="G1883" i="448"/>
  <c r="G2083" i="448"/>
  <c r="H2083" i="448" s="1" a="1"/>
  <c r="H2083" i="448" s="1"/>
  <c r="G1889" i="448"/>
  <c r="H1889" i="448" s="1" a="1"/>
  <c r="H1889" i="448" s="1"/>
  <c r="G2272" i="448"/>
  <c r="G2267" i="448"/>
  <c r="H2267" i="448" s="1" a="1"/>
  <c r="H2267" i="448" s="1"/>
  <c r="G1300" i="448"/>
  <c r="H1300" i="448" s="1" a="1"/>
  <c r="H1300" i="448" s="1"/>
  <c r="H1299" i="448" s="1" a="1"/>
  <c r="H1299" i="448" s="1"/>
  <c r="G2478" i="448"/>
  <c r="H2478" i="448" s="1" a="1"/>
  <c r="H2478" i="448" s="1"/>
  <c r="H2477" i="448" s="1" a="1"/>
  <c r="H2477" i="448" s="1"/>
  <c r="G1698" i="448"/>
  <c r="H1698" i="448" s="1" a="1"/>
  <c r="H1698" i="448" s="1"/>
  <c r="H1697" i="448" s="1" a="1"/>
  <c r="H1697" i="448" s="1"/>
  <c r="H1696" i="448" s="1" a="1"/>
  <c r="H1696" i="448" s="1"/>
  <c r="H1695" i="448" s="1" a="1"/>
  <c r="H1695" i="448" s="1"/>
  <c r="G2493" i="448"/>
  <c r="G2209" i="448"/>
  <c r="G2269" i="448"/>
  <c r="G1513" i="448"/>
  <c r="G2494" i="448"/>
  <c r="G1515" i="448"/>
  <c r="H1515" i="448" s="1" a="1"/>
  <c r="H1515" i="448" s="1"/>
  <c r="G2496" i="448"/>
  <c r="H2496" i="448" s="1" a="1"/>
  <c r="H2496" i="448" s="1"/>
  <c r="G2210" i="448"/>
  <c r="H2210" i="448" s="1" a="1"/>
  <c r="H2210" i="448" s="1"/>
  <c r="G2270" i="448"/>
  <c r="H2270" i="448" s="1" a="1"/>
  <c r="H2270" i="448" s="1"/>
  <c r="G2228" i="448"/>
  <c r="H2228" i="448" s="1" a="1"/>
  <c r="H2228" i="448" s="1"/>
  <c r="G2273" i="448"/>
  <c r="H2273" i="448" s="1" a="1"/>
  <c r="H2273" i="448" s="1"/>
  <c r="G1514" i="448"/>
  <c r="G2495" i="448"/>
  <c r="G2230" i="448"/>
  <c r="H2230" i="448" s="1" a="1"/>
  <c r="H2230" i="448" s="1"/>
  <c r="H2229" i="448" s="1" a="1"/>
  <c r="H2229" i="448" s="1"/>
  <c r="G2227" i="448"/>
  <c r="G2202" i="448"/>
  <c r="G2207" i="448"/>
  <c r="H2207" i="448" s="1" a="1"/>
  <c r="H2207" i="448" s="1"/>
  <c r="H2206" i="448" s="1" a="1"/>
  <c r="H2206" i="448" s="1"/>
  <c r="H2205" i="448" s="1" a="1"/>
  <c r="H2205" i="448" s="1"/>
  <c r="H2204" i="448" s="1" a="1"/>
  <c r="H2204" i="448" s="1"/>
  <c r="G2401" i="448"/>
  <c r="H2401" i="448" s="1" a="1"/>
  <c r="H2401" i="448" s="1"/>
  <c r="H2400" i="448" s="1" a="1"/>
  <c r="H2400" i="448" s="1"/>
  <c r="H2399" i="448" s="1" a="1"/>
  <c r="H2399" i="448" s="1"/>
  <c r="G2410" i="448"/>
  <c r="H2410" i="448" s="1" a="1"/>
  <c r="H2410" i="448" s="1"/>
  <c r="H2409" i="448" s="1" a="1"/>
  <c r="H2409" i="448" s="1"/>
  <c r="H2408" i="448" s="1" a="1"/>
  <c r="H2408" i="448" s="1"/>
  <c r="G2413" i="448"/>
  <c r="H2413" i="448" s="1" a="1"/>
  <c r="H2413" i="448" s="1"/>
  <c r="H2412" i="448" s="1" a="1"/>
  <c r="H2412" i="448" s="1"/>
  <c r="H2411" i="448" s="1" a="1"/>
  <c r="H2411" i="448" s="1"/>
  <c r="G1325" i="448"/>
  <c r="H1325" i="448" s="1" a="1"/>
  <c r="H1325" i="448" s="1"/>
  <c r="G2063" i="448"/>
  <c r="H2063" i="448" s="1" a="1"/>
  <c r="H2063" i="448" s="1"/>
  <c r="G2062" i="448"/>
  <c r="G2082" i="448"/>
  <c r="G2099" i="448"/>
  <c r="H2099" i="448" s="1" a="1"/>
  <c r="H2099" i="448" s="1"/>
  <c r="H2098" i="448" s="1" a="1"/>
  <c r="H2098" i="448" s="1"/>
  <c r="H2097" i="448" s="1" a="1"/>
  <c r="H2097" i="448" s="1"/>
  <c r="G2081" i="448"/>
  <c r="G2061" i="448"/>
  <c r="G2016" i="448"/>
  <c r="G1446" i="448"/>
  <c r="H1446" i="448" s="1" a="1"/>
  <c r="H1446" i="448" s="1"/>
  <c r="H1445" i="448" s="1" a="1"/>
  <c r="H1445" i="448" s="1"/>
  <c r="H1444" i="448" s="1" a="1"/>
  <c r="H1444" i="448" s="1"/>
  <c r="G2528" i="448"/>
  <c r="H2528" i="448" s="1" a="1"/>
  <c r="H2528" i="448" s="1"/>
  <c r="G2017" i="448"/>
  <c r="H2017" i="448" s="1" a="1"/>
  <c r="H2017" i="448" s="1"/>
  <c r="G1848" i="448"/>
  <c r="G1965" i="448"/>
  <c r="G1853" i="448"/>
  <c r="G1847" i="448"/>
  <c r="G1964" i="448"/>
  <c r="G1852" i="448"/>
  <c r="G1849" i="448"/>
  <c r="H1849" i="448" s="1" a="1"/>
  <c r="H1849" i="448" s="1"/>
  <c r="G1966" i="448"/>
  <c r="H1966" i="448" s="1" a="1"/>
  <c r="H1966" i="448" s="1"/>
  <c r="G1854" i="448"/>
  <c r="H1854" i="448" s="1" a="1"/>
  <c r="H1854" i="448" s="1"/>
  <c r="G1333" i="448"/>
  <c r="G1817" i="448"/>
  <c r="G1812" i="448"/>
  <c r="G1338" i="448"/>
  <c r="G1339" i="448"/>
  <c r="G1818" i="448"/>
  <c r="G1334" i="448"/>
  <c r="G1813" i="448"/>
  <c r="G1819" i="448"/>
  <c r="H1819" i="448" s="1" a="1"/>
  <c r="H1819" i="448" s="1"/>
  <c r="G1814" i="448"/>
  <c r="H1814" i="448" s="1" a="1"/>
  <c r="H1814" i="448" s="1"/>
  <c r="G1335" i="448"/>
  <c r="H1335" i="448" s="1" a="1"/>
  <c r="H1335" i="448" s="1"/>
  <c r="G1340" i="448"/>
  <c r="H1340" i="448" s="1" a="1"/>
  <c r="H1340" i="448" s="1"/>
  <c r="G1587" i="448"/>
  <c r="G1216" i="448"/>
  <c r="H1216" i="448" s="1" a="1"/>
  <c r="H1216" i="448" s="1"/>
  <c r="G1596" i="448"/>
  <c r="H1596" i="448" s="1" a="1"/>
  <c r="H1596" i="448" s="1"/>
  <c r="G1588" i="448"/>
  <c r="H1588" i="448" s="1" a="1"/>
  <c r="H1588" i="448" s="1"/>
  <c r="G1222" i="448"/>
  <c r="H1222" i="448" s="1" a="1"/>
  <c r="H1222" i="448" s="1"/>
  <c r="H1221" i="448" s="1" a="1"/>
  <c r="H1221" i="448" s="1"/>
  <c r="G1213" i="448"/>
  <c r="H1213" i="448" s="1" a="1"/>
  <c r="H1213" i="448" s="1"/>
  <c r="H1212" i="448" s="1" a="1"/>
  <c r="H1212" i="448" s="1"/>
  <c r="G1215" i="448"/>
  <c r="G1211" i="448"/>
  <c r="G1265" i="448"/>
  <c r="H1265" i="448" s="1" a="1"/>
  <c r="H1265" i="448" s="1"/>
  <c r="H1264" i="448" s="1" a="1"/>
  <c r="H1264" i="448" s="1"/>
  <c r="G1267" i="448"/>
  <c r="H1267" i="448" s="1" a="1"/>
  <c r="H1267" i="448" s="1"/>
  <c r="H1266" i="448" s="1" a="1"/>
  <c r="H1266" i="448" s="1"/>
  <c r="G1206" i="448"/>
  <c r="H1206" i="448" s="1" a="1"/>
  <c r="H1206" i="448" s="1"/>
  <c r="G1205" i="448"/>
  <c r="G1290" i="448"/>
  <c r="H1290" i="448" s="1" a="1"/>
  <c r="H1290" i="448" s="1"/>
  <c r="H1289" i="448" s="1" a="1"/>
  <c r="H1289" i="448" s="1"/>
  <c r="G1292" i="448"/>
  <c r="H1292" i="448" s="1" a="1"/>
  <c r="H1292" i="448" s="1"/>
  <c r="H1291" i="448" s="1" a="1"/>
  <c r="H1291" i="448" s="1"/>
  <c r="G2527" i="448"/>
  <c r="G1443" i="448"/>
  <c r="H1443" i="448" s="1" a="1"/>
  <c r="H1443" i="448" s="1"/>
  <c r="H1442" i="448" s="1" a="1"/>
  <c r="H1442" i="448" s="1"/>
  <c r="H1441" i="448" s="1" a="1"/>
  <c r="H1441" i="448" s="1"/>
  <c r="G740" i="448"/>
  <c r="H740" i="448" s="1" a="1"/>
  <c r="H740" i="448" s="1"/>
  <c r="H739" i="448" s="1" a="1"/>
  <c r="H739" i="448" s="1"/>
  <c r="H738" i="448" s="1" a="1"/>
  <c r="H738" i="448" s="1"/>
  <c r="H728" i="448" s="1" a="1"/>
  <c r="H728" i="448" s="1"/>
  <c r="H727" i="448" s="1" a="1"/>
  <c r="H727" i="448" s="1"/>
  <c r="H726" i="448" s="1" a="1"/>
  <c r="H726" i="448" s="1"/>
  <c r="G737" i="448"/>
  <c r="H737" i="448" s="1" a="1"/>
  <c r="H737" i="448" s="1"/>
  <c r="H736" i="448" s="1" a="1"/>
  <c r="H736" i="448" s="1"/>
  <c r="H735" i="448" s="1" a="1"/>
  <c r="H735" i="448" s="1"/>
  <c r="G731" i="448"/>
  <c r="H731" i="448" s="1" a="1"/>
  <c r="H731" i="448" s="1"/>
  <c r="H730" i="448" s="1" a="1"/>
  <c r="H730" i="448" s="1"/>
  <c r="H729" i="448" s="1" a="1"/>
  <c r="H729" i="448" s="1"/>
  <c r="H719" i="448" s="1" a="1"/>
  <c r="H719" i="448" s="1"/>
  <c r="H718" i="448" s="1" a="1"/>
  <c r="H718" i="448" s="1"/>
  <c r="H717" i="448" s="1" a="1"/>
  <c r="H717" i="448" s="1"/>
  <c r="G649" i="448"/>
  <c r="G659" i="448"/>
  <c r="G645" i="448"/>
  <c r="G654" i="448"/>
  <c r="G648" i="448"/>
  <c r="G658" i="448"/>
  <c r="G647" i="448"/>
  <c r="G657" i="448"/>
  <c r="G710" i="448"/>
  <c r="H710" i="448" s="1" a="1"/>
  <c r="H710" i="448" s="1"/>
  <c r="H709" i="448" s="1" a="1"/>
  <c r="H709" i="448" s="1"/>
  <c r="H708" i="448" s="1" a="1"/>
  <c r="H708" i="448" s="1"/>
  <c r="G716" i="448"/>
  <c r="H716" i="448" s="1" a="1"/>
  <c r="H716" i="448" s="1"/>
  <c r="H715" i="448" s="1" a="1"/>
  <c r="H715" i="448" s="1"/>
  <c r="H714" i="448" s="1" a="1"/>
  <c r="H714" i="448" s="1"/>
  <c r="G650" i="448"/>
  <c r="H650" i="448" s="1" a="1"/>
  <c r="H650" i="448" s="1"/>
  <c r="G660" i="448"/>
  <c r="H660" i="448" s="1" a="1"/>
  <c r="H660" i="448" s="1"/>
  <c r="G643" i="448"/>
  <c r="G652" i="448"/>
  <c r="G644" i="448"/>
  <c r="G653" i="448"/>
  <c r="G2633" i="448"/>
  <c r="H2633" i="448" s="1" a="1"/>
  <c r="H2633" i="448" s="1"/>
  <c r="G2628" i="448"/>
  <c r="H2628" i="448" s="1" a="1"/>
  <c r="H2628" i="448" s="1"/>
  <c r="G2631" i="448"/>
  <c r="G2621" i="448"/>
  <c r="G2626" i="448"/>
  <c r="G2620" i="448"/>
  <c r="G2625" i="448"/>
  <c r="G2630" i="448"/>
  <c r="G2627" i="448"/>
  <c r="G2632" i="448"/>
  <c r="G2622" i="448"/>
  <c r="H2622" i="448" s="1" a="1"/>
  <c r="H2622" i="448" s="1"/>
  <c r="G2356" i="448"/>
  <c r="H2356" i="448" s="1" a="1"/>
  <c r="H2356" i="448" s="1"/>
  <c r="H2355" i="448" s="1" a="1"/>
  <c r="H2355" i="448" s="1"/>
  <c r="H2354" i="448" s="1" a="1"/>
  <c r="H2354" i="448" s="1"/>
  <c r="G2395" i="448"/>
  <c r="H2395" i="448" s="1" a="1"/>
  <c r="H2395" i="448" s="1"/>
  <c r="H2394" i="448" s="1" a="1"/>
  <c r="H2394" i="448" s="1"/>
  <c r="H2393" i="448" s="1" a="1"/>
  <c r="H2393" i="448" s="1"/>
  <c r="G2404" i="448"/>
  <c r="H2404" i="448" s="1" a="1"/>
  <c r="H2404" i="448" s="1"/>
  <c r="H2403" i="448" s="1" a="1"/>
  <c r="H2403" i="448" s="1"/>
  <c r="H2402" i="448" s="1" a="1"/>
  <c r="H2402" i="448" s="1"/>
  <c r="G2398" i="448"/>
  <c r="H2398" i="448" s="1" a="1"/>
  <c r="H2398" i="448" s="1"/>
  <c r="H2397" i="448" s="1" a="1"/>
  <c r="H2397" i="448" s="1"/>
  <c r="H2396" i="448" s="1" a="1"/>
  <c r="H2396" i="448" s="1"/>
  <c r="G2102" i="448"/>
  <c r="H2102" i="448" s="1" a="1"/>
  <c r="H2102" i="448" s="1"/>
  <c r="H2101" i="448" s="1" a="1"/>
  <c r="H2101" i="448" s="1"/>
  <c r="H2100" i="448" s="1" a="1"/>
  <c r="H2100" i="448" s="1"/>
  <c r="G1517" i="448"/>
  <c r="G2491" i="448"/>
  <c r="H2491" i="448" s="1" a="1"/>
  <c r="H2491" i="448" s="1"/>
  <c r="G1518" i="448"/>
  <c r="H1518" i="448" s="1" a="1"/>
  <c r="H1518" i="448" s="1"/>
  <c r="G2482" i="448"/>
  <c r="H2482" i="448" s="1" a="1"/>
  <c r="H2482" i="448" s="1"/>
  <c r="H2481" i="448" s="1" a="1"/>
  <c r="H2481" i="448" s="1"/>
  <c r="G1520" i="448"/>
  <c r="H1520" i="448" s="1" a="1"/>
  <c r="H1520" i="448" s="1"/>
  <c r="H1519" i="448" s="1" a="1"/>
  <c r="H1519" i="448" s="1"/>
  <c r="G1324" i="448"/>
  <c r="G1803" i="448"/>
  <c r="G1808" i="448"/>
  <c r="G1822" i="448"/>
  <c r="G1832" i="448"/>
  <c r="G1827" i="448"/>
  <c r="G1823" i="448"/>
  <c r="G1828" i="448"/>
  <c r="G1833" i="448"/>
  <c r="G1826" i="448"/>
  <c r="G1831" i="448"/>
  <c r="G1802" i="448"/>
  <c r="G1807" i="448"/>
  <c r="G1824" i="448"/>
  <c r="H1824" i="448" s="1" a="1"/>
  <c r="H1824" i="448" s="1"/>
  <c r="G1834" i="448"/>
  <c r="H1834" i="448" s="1" a="1"/>
  <c r="H1834" i="448" s="1"/>
  <c r="G1829" i="448"/>
  <c r="H1829" i="448" s="1" a="1"/>
  <c r="H1829" i="448" s="1"/>
  <c r="G1864" i="448"/>
  <c r="H1864" i="448" s="1" a="1"/>
  <c r="H1864" i="448" s="1"/>
  <c r="G1804" i="448"/>
  <c r="H1804" i="448" s="1" a="1"/>
  <c r="H1804" i="448" s="1"/>
  <c r="H1803" i="448" s="1" a="1"/>
  <c r="H1803" i="448" s="1"/>
  <c r="G1809" i="448"/>
  <c r="H1809" i="448" s="1" a="1"/>
  <c r="H1809" i="448" s="1"/>
  <c r="G1710" i="448"/>
  <c r="H1710" i="448" s="1" a="1"/>
  <c r="H1710" i="448" s="1"/>
  <c r="H1709" i="448" s="1" a="1"/>
  <c r="H1709" i="448" s="1"/>
  <c r="G1595" i="448"/>
  <c r="G2509" i="448"/>
  <c r="G1323" i="448"/>
  <c r="G1455" i="448"/>
  <c r="H1455" i="448" s="1" a="1"/>
  <c r="H1455" i="448" s="1"/>
  <c r="H1454" i="448" s="1" a="1"/>
  <c r="H1454" i="448" s="1"/>
  <c r="H1453" i="448" s="1" a="1"/>
  <c r="H1453" i="448" s="1"/>
  <c r="G1458" i="448"/>
  <c r="H1458" i="448" s="1" a="1"/>
  <c r="H1458" i="448" s="1"/>
  <c r="H1457" i="448" s="1" a="1"/>
  <c r="H1457" i="448" s="1"/>
  <c r="H1456" i="448" s="1" a="1"/>
  <c r="H1456" i="448" s="1"/>
  <c r="G1065" i="448"/>
  <c r="G888" i="448"/>
  <c r="G843" i="448"/>
  <c r="G854" i="448"/>
  <c r="G865" i="448"/>
  <c r="G957" i="448"/>
  <c r="G935" i="448"/>
  <c r="G1071" i="448"/>
  <c r="G912" i="448"/>
  <c r="G969" i="448"/>
  <c r="G946" i="448"/>
  <c r="G1038" i="448"/>
  <c r="G991" i="448"/>
  <c r="G980" i="448"/>
  <c r="G1013" i="448"/>
  <c r="G1053" i="448"/>
  <c r="G1002" i="448"/>
  <c r="G1025" i="448"/>
  <c r="G989" i="448"/>
  <c r="G1063" i="448"/>
  <c r="G852" i="448"/>
  <c r="G955" i="448"/>
  <c r="G933" i="448"/>
  <c r="G863" i="448"/>
  <c r="G841" i="448"/>
  <c r="G967" i="448"/>
  <c r="G944" i="448"/>
  <c r="G978" i="448"/>
  <c r="G886" i="448"/>
  <c r="G1023" i="448"/>
  <c r="G1069" i="448"/>
  <c r="G1051" i="448"/>
  <c r="G1000" i="448"/>
  <c r="G910" i="448"/>
  <c r="G1011" i="448"/>
  <c r="G839" i="448"/>
  <c r="G1009" i="448"/>
  <c r="G1048" i="448"/>
  <c r="G987" i="448"/>
  <c r="G850" i="448"/>
  <c r="G953" i="448"/>
  <c r="G931" i="448"/>
  <c r="G908" i="448"/>
  <c r="G964" i="448"/>
  <c r="G976" i="448"/>
  <c r="G883" i="448"/>
  <c r="G942" i="448"/>
  <c r="G998" i="448"/>
  <c r="G861" i="448"/>
  <c r="G1020" i="448"/>
  <c r="G2969" i="448"/>
  <c r="G2979" i="448"/>
  <c r="G937" i="448"/>
  <c r="G845" i="448"/>
  <c r="G1058" i="448"/>
  <c r="G1015" i="448"/>
  <c r="G993" i="448"/>
  <c r="G971" i="448"/>
  <c r="G856" i="448"/>
  <c r="G1004" i="448"/>
  <c r="G867" i="448"/>
  <c r="G1027" i="448"/>
  <c r="G914" i="448"/>
  <c r="G948" i="448"/>
  <c r="G982" i="448"/>
  <c r="G890" i="448"/>
  <c r="G959" i="448"/>
  <c r="G2971" i="448"/>
  <c r="H2971" i="448" s="1" a="1"/>
  <c r="H2971" i="448" s="1"/>
  <c r="G2982" i="448"/>
  <c r="H2982" i="448" s="1" a="1"/>
  <c r="H2982" i="448" s="1"/>
  <c r="G1049" i="448"/>
  <c r="G943" i="448"/>
  <c r="G884" i="448"/>
  <c r="G1022" i="448"/>
  <c r="G840" i="448"/>
  <c r="G965" i="448"/>
  <c r="G999" i="448"/>
  <c r="G862" i="448"/>
  <c r="G977" i="448"/>
  <c r="G909" i="448"/>
  <c r="G2970" i="448"/>
  <c r="G2981" i="448"/>
  <c r="G1005" i="448"/>
  <c r="G868" i="448"/>
  <c r="G915" i="448"/>
  <c r="G846" i="448"/>
  <c r="G1059" i="448"/>
  <c r="G972" i="448"/>
  <c r="G949" i="448"/>
  <c r="G857" i="448"/>
  <c r="G983" i="448"/>
  <c r="G1028" i="448"/>
  <c r="G1016" i="448"/>
  <c r="G891" i="448"/>
  <c r="G994" i="448"/>
  <c r="G960" i="448"/>
  <c r="G938" i="448"/>
  <c r="G1003" i="448"/>
  <c r="G866" i="448"/>
  <c r="G913" i="448"/>
  <c r="G844" i="448"/>
  <c r="G970" i="448"/>
  <c r="G947" i="448"/>
  <c r="G958" i="448"/>
  <c r="G936" i="448"/>
  <c r="G1026" i="448"/>
  <c r="G1057" i="448"/>
  <c r="G1014" i="448"/>
  <c r="G855" i="448"/>
  <c r="G992" i="448"/>
  <c r="G981" i="448"/>
  <c r="G889" i="448"/>
  <c r="G1034" i="448"/>
  <c r="G966" i="448"/>
  <c r="G885" i="448"/>
  <c r="G851" i="448"/>
  <c r="G1010" i="448"/>
  <c r="G988" i="448"/>
  <c r="G954" i="448"/>
  <c r="G932" i="448"/>
  <c r="G1021" i="448"/>
  <c r="G906" i="448"/>
  <c r="H906" i="448" s="1" a="1"/>
  <c r="H906" i="448" s="1"/>
  <c r="G894" i="448"/>
  <c r="H894" i="448" s="1" a="1"/>
  <c r="H894" i="448" s="1"/>
  <c r="G1060" i="448"/>
  <c r="G1017" i="448"/>
  <c r="G995" i="448"/>
  <c r="G858" i="448"/>
  <c r="G1072" i="448"/>
  <c r="G984" i="448"/>
  <c r="G892" i="448"/>
  <c r="G939" i="448"/>
  <c r="G916" i="448"/>
  <c r="G847" i="448"/>
  <c r="G973" i="448"/>
  <c r="G961" i="448"/>
  <c r="G1066" i="448"/>
  <c r="G950" i="448"/>
  <c r="G1006" i="448"/>
  <c r="G869" i="448"/>
  <c r="G1029" i="448"/>
  <c r="G1061" i="448"/>
  <c r="H1061" i="448" s="1" a="1"/>
  <c r="H1061" i="448" s="1"/>
  <c r="G974" i="448"/>
  <c r="H974" i="448" s="1" a="1"/>
  <c r="H974" i="448" s="1"/>
  <c r="G951" i="448"/>
  <c r="H951" i="448" s="1" a="1"/>
  <c r="H951" i="448" s="1"/>
  <c r="G859" i="448"/>
  <c r="H859" i="448" s="1" a="1"/>
  <c r="H859" i="448" s="1"/>
  <c r="G1073" i="448"/>
  <c r="H1073" i="448" s="1" a="1"/>
  <c r="H1073" i="448" s="1"/>
  <c r="G893" i="448"/>
  <c r="G962" i="448"/>
  <c r="H962" i="448" s="1" a="1"/>
  <c r="H962" i="448" s="1"/>
  <c r="G1007" i="448"/>
  <c r="H1007" i="448" s="1" a="1"/>
  <c r="H1007" i="448" s="1"/>
  <c r="G870" i="448"/>
  <c r="H870" i="448" s="1" a="1"/>
  <c r="H870" i="448" s="1"/>
  <c r="G1018" i="448"/>
  <c r="H1018" i="448" s="1" a="1"/>
  <c r="H1018" i="448" s="1"/>
  <c r="G996" i="448"/>
  <c r="H996" i="448" s="1" a="1"/>
  <c r="H996" i="448" s="1"/>
  <c r="G1067" i="448"/>
  <c r="H1067" i="448" s="1" a="1"/>
  <c r="H1067" i="448" s="1"/>
  <c r="H1066" i="448" s="1" a="1"/>
  <c r="H1066" i="448" s="1"/>
  <c r="G848" i="448"/>
  <c r="H848" i="448" s="1" a="1"/>
  <c r="H848" i="448" s="1"/>
  <c r="G985" i="448"/>
  <c r="H985" i="448" s="1" a="1"/>
  <c r="H985" i="448" s="1"/>
  <c r="G940" i="448"/>
  <c r="H940" i="448" s="1" a="1"/>
  <c r="H940" i="448" s="1"/>
  <c r="G1030" i="448"/>
  <c r="H1030" i="448" s="1" a="1"/>
  <c r="H1030" i="448" s="1"/>
  <c r="G917" i="448"/>
  <c r="H917" i="448" s="1" a="1"/>
  <c r="H917" i="448" s="1"/>
  <c r="G945" i="448"/>
  <c r="G1070" i="448"/>
  <c r="G956" i="448"/>
  <c r="G911" i="448"/>
  <c r="G934" i="448"/>
  <c r="G968" i="448"/>
  <c r="G853" i="448"/>
  <c r="G887" i="448"/>
  <c r="G1064" i="448"/>
  <c r="G864" i="448"/>
  <c r="G842" i="448"/>
  <c r="G1037" i="448"/>
  <c r="G979" i="448"/>
  <c r="G1001" i="448"/>
  <c r="G1024" i="448"/>
  <c r="G1052" i="448"/>
  <c r="G1012" i="448"/>
  <c r="G990" i="448"/>
  <c r="G749" i="448"/>
  <c r="H749" i="448" s="1" a="1"/>
  <c r="H749" i="448" s="1"/>
  <c r="H748" i="448" s="1" a="1"/>
  <c r="H748" i="448" s="1"/>
  <c r="H747" i="448" s="1" a="1"/>
  <c r="H747" i="448" s="1"/>
  <c r="G758" i="448"/>
  <c r="H758" i="448" s="1" a="1"/>
  <c r="H758" i="448" s="1"/>
  <c r="H757" i="448" s="1" a="1"/>
  <c r="H757" i="448" s="1"/>
  <c r="H756" i="448" s="1" a="1"/>
  <c r="H756" i="448" s="1"/>
  <c r="G1512" i="448"/>
  <c r="G220" i="448"/>
  <c r="G511" i="448"/>
  <c r="H511" i="448" s="1" a="1"/>
  <c r="H511" i="448" s="1"/>
  <c r="G521" i="448"/>
  <c r="H521" i="448" s="1" a="1"/>
  <c r="H521" i="448" s="1"/>
  <c r="G516" i="448"/>
  <c r="H516" i="448" s="1" a="1"/>
  <c r="H516" i="448" s="1"/>
  <c r="G505" i="448"/>
  <c r="H505" i="448" s="1" a="1"/>
  <c r="H505" i="448" s="1"/>
  <c r="G510" i="448"/>
  <c r="G504" i="448"/>
  <c r="G520" i="448"/>
  <c r="G515" i="448"/>
  <c r="G513" i="448"/>
  <c r="G518" i="448"/>
  <c r="G523" i="448"/>
  <c r="H523" i="448" s="1" a="1"/>
  <c r="H523" i="448" s="1"/>
  <c r="H522" i="448" s="1" a="1"/>
  <c r="H522" i="448" s="1"/>
  <c r="G667" i="448"/>
  <c r="G646" i="448"/>
  <c r="G509" i="448"/>
  <c r="G503" i="448"/>
  <c r="G311" i="448"/>
  <c r="H311" i="448" s="1" a="1"/>
  <c r="H311" i="448" s="1"/>
  <c r="G2589" i="448"/>
  <c r="G2569" i="448"/>
  <c r="G2579" i="448"/>
  <c r="G2574" i="448"/>
  <c r="G2584" i="448"/>
  <c r="G2575" i="448"/>
  <c r="H2575" i="448" s="1" a="1"/>
  <c r="H2575" i="448" s="1"/>
  <c r="G2585" i="448"/>
  <c r="H2585" i="448" s="1" a="1"/>
  <c r="H2585" i="448" s="1"/>
  <c r="G2570" i="448"/>
  <c r="H2570" i="448" s="1" a="1"/>
  <c r="H2570" i="448" s="1"/>
  <c r="G2580" i="448"/>
  <c r="H2580" i="448" s="1" a="1"/>
  <c r="H2580" i="448" s="1"/>
  <c r="G2583" i="448"/>
  <c r="G2568" i="448"/>
  <c r="G2573" i="448"/>
  <c r="G2578" i="448"/>
  <c r="G2200" i="448"/>
  <c r="G2155" i="448"/>
  <c r="H2155" i="448" s="1" a="1"/>
  <c r="H2155" i="448" s="1"/>
  <c r="H2154" i="448" s="1" a="1"/>
  <c r="H2154" i="448" s="1"/>
  <c r="G2184" i="448"/>
  <c r="H2184" i="448" s="1" a="1"/>
  <c r="H2184" i="448" s="1"/>
  <c r="H2183" i="448" s="1" a="1"/>
  <c r="H2183" i="448" s="1"/>
  <c r="G2322" i="448"/>
  <c r="H2322" i="448" s="1" a="1"/>
  <c r="H2322" i="448" s="1"/>
  <c r="H2321" i="448" s="1" a="1"/>
  <c r="H2321" i="448" s="1"/>
  <c r="H2320" i="448" s="1" a="1"/>
  <c r="H2320" i="448" s="1"/>
  <c r="G2319" i="448"/>
  <c r="H2319" i="448" s="1" a="1"/>
  <c r="H2319" i="448" s="1"/>
  <c r="H2318" i="448" s="1" a="1"/>
  <c r="H2318" i="448" s="1"/>
  <c r="H2317" i="448" s="1" a="1"/>
  <c r="H2317" i="448" s="1"/>
  <c r="G1145" i="448"/>
  <c r="G1033" i="448"/>
  <c r="G1151" i="448"/>
  <c r="G1045" i="448"/>
  <c r="G1032" i="448"/>
  <c r="G1046" i="448"/>
  <c r="H1046" i="448" s="1" a="1"/>
  <c r="H1046" i="448" s="1"/>
  <c r="G1036" i="448"/>
  <c r="G1043" i="448"/>
  <c r="G1044" i="448"/>
  <c r="G1042" i="448"/>
  <c r="G2203" i="448"/>
  <c r="H2203" i="448" s="1" a="1"/>
  <c r="H2203" i="448" s="1"/>
  <c r="G2220" i="448"/>
  <c r="H2220" i="448" s="1" a="1"/>
  <c r="H2220" i="448" s="1"/>
  <c r="H2219" i="448" s="1" a="1"/>
  <c r="H2219" i="448" s="1"/>
  <c r="H2218" i="448" s="1" a="1"/>
  <c r="H2218" i="448" s="1"/>
  <c r="G2213" i="448"/>
  <c r="G2201" i="448"/>
  <c r="G559" i="448"/>
  <c r="H559" i="448" s="1" a="1"/>
  <c r="H559" i="448" s="1"/>
  <c r="H558" i="448" s="1" a="1"/>
  <c r="H558" i="448" s="1"/>
  <c r="H557" i="448" s="1" a="1"/>
  <c r="H557" i="448" s="1"/>
  <c r="H556" i="448" s="1" a="1"/>
  <c r="H556" i="448" s="1"/>
  <c r="G555" i="448"/>
  <c r="G508" i="448"/>
  <c r="G550" i="448"/>
  <c r="H550" i="448" s="1" a="1"/>
  <c r="H550" i="448" s="1"/>
  <c r="H549" i="448" s="1" a="1"/>
  <c r="H549" i="448" s="1"/>
  <c r="G407" i="448"/>
  <c r="H407" i="448" s="1" a="1"/>
  <c r="H407" i="448" s="1"/>
  <c r="G612" i="448"/>
  <c r="H612" i="448" s="1" a="1"/>
  <c r="H612" i="448" s="1"/>
  <c r="G406" i="448"/>
  <c r="G611" i="448"/>
  <c r="G2590" i="448"/>
  <c r="G2216" i="448"/>
  <c r="G1154" i="448"/>
  <c r="G1148" i="448"/>
  <c r="G1155" i="448"/>
  <c r="H1155" i="448" s="1" a="1"/>
  <c r="H1155" i="448" s="1"/>
  <c r="G1149" i="448"/>
  <c r="H1149" i="448" s="1" a="1"/>
  <c r="H1149" i="448" s="1"/>
  <c r="G1146" i="448"/>
  <c r="G1152" i="448"/>
  <c r="G1147" i="448"/>
  <c r="G1153" i="448"/>
  <c r="G1734" i="448"/>
  <c r="G184" i="448"/>
  <c r="H184" i="448" s="1" a="1"/>
  <c r="H184" i="448" s="1"/>
  <c r="H183" i="448" s="1" a="1"/>
  <c r="H183" i="448" s="1"/>
  <c r="H182" i="448" s="1" a="1"/>
  <c r="H182" i="448" s="1"/>
  <c r="G1738" i="448"/>
  <c r="G181" i="448"/>
  <c r="G2596" i="448"/>
  <c r="H2596" i="448" s="1" a="1"/>
  <c r="H2596" i="448" s="1"/>
  <c r="G2606" i="448"/>
  <c r="H2606" i="448" s="1" a="1"/>
  <c r="H2606" i="448" s="1"/>
  <c r="G2591" i="448"/>
  <c r="H2591" i="448" s="1" a="1"/>
  <c r="H2591" i="448" s="1"/>
  <c r="H2590" i="448" s="1" a="1"/>
  <c r="H2590" i="448" s="1"/>
  <c r="G2601" i="448"/>
  <c r="H2601" i="448" s="1" a="1"/>
  <c r="H2601" i="448" s="1"/>
  <c r="G2599" i="448"/>
  <c r="G2604" i="448"/>
  <c r="G2594" i="448"/>
  <c r="G2515" i="448"/>
  <c r="G2510" i="448"/>
  <c r="G2516" i="448"/>
  <c r="H2516" i="448" s="1" a="1"/>
  <c r="H2516" i="448" s="1"/>
  <c r="G2511" i="448"/>
  <c r="H2511" i="448" s="1" a="1"/>
  <c r="H2511" i="448" s="1"/>
  <c r="G2588" i="448"/>
  <c r="G2603" i="448"/>
  <c r="G2593" i="448"/>
  <c r="G2618" i="448"/>
  <c r="H2618" i="448" s="1" a="1"/>
  <c r="H2618" i="448" s="1"/>
  <c r="H2617" i="448" s="1" a="1"/>
  <c r="H2617" i="448" s="1"/>
  <c r="G2598" i="448"/>
  <c r="G2236" i="448"/>
  <c r="H2236" i="448" s="1" a="1"/>
  <c r="H2236" i="448" s="1"/>
  <c r="H2235" i="448" s="1" a="1"/>
  <c r="H2235" i="448" s="1"/>
  <c r="G2600" i="448"/>
  <c r="G2605" i="448"/>
  <c r="G2595" i="448"/>
  <c r="G1328" i="448"/>
  <c r="G2514" i="448"/>
  <c r="G1429" i="448"/>
  <c r="G1329" i="448"/>
  <c r="G2503" i="448"/>
  <c r="G1327" i="448"/>
  <c r="G1430" i="448"/>
  <c r="H1430" i="448" s="1" a="1"/>
  <c r="H1430" i="448" s="1"/>
  <c r="G1330" i="448"/>
  <c r="H1330" i="448" s="1" a="1"/>
  <c r="H1330" i="448" s="1"/>
  <c r="G1428" i="448"/>
  <c r="G2490" i="448"/>
  <c r="G2505" i="448"/>
  <c r="G2077" i="448"/>
  <c r="G2067" i="448"/>
  <c r="G1798" i="448"/>
  <c r="G2504" i="448"/>
  <c r="G2076" i="448"/>
  <c r="G1797" i="448"/>
  <c r="G2066" i="448"/>
  <c r="G1799" i="448"/>
  <c r="H1799" i="448" s="1" a="1"/>
  <c r="H1799" i="448" s="1"/>
  <c r="G2068" i="448"/>
  <c r="H2068" i="448" s="1" a="1"/>
  <c r="H2068" i="448" s="1"/>
  <c r="G2078" i="448"/>
  <c r="H2078" i="448" s="1" a="1"/>
  <c r="H2078" i="448" s="1"/>
  <c r="G2065" i="448"/>
  <c r="G2075" i="448"/>
  <c r="G1619" i="448"/>
  <c r="G1607" i="448"/>
  <c r="G1620" i="448"/>
  <c r="H1620" i="448" s="1" a="1"/>
  <c r="H1620" i="448" s="1"/>
  <c r="G1608" i="448"/>
  <c r="H1608" i="448" s="1" a="1"/>
  <c r="H1608" i="448" s="1"/>
  <c r="G2658" i="448"/>
  <c r="H2658" i="448" s="1" a="1"/>
  <c r="H2658" i="448" s="1"/>
  <c r="G2506" i="448"/>
  <c r="H2506" i="448" s="1" a="1"/>
  <c r="H2506" i="448" s="1"/>
  <c r="G2668" i="448"/>
  <c r="H2668" i="448" s="1" a="1"/>
  <c r="H2668" i="448" s="1"/>
  <c r="G2680" i="448"/>
  <c r="H2680" i="448" s="1" a="1"/>
  <c r="H2680" i="448" s="1"/>
  <c r="G2673" i="448"/>
  <c r="H2673" i="448" s="1" a="1"/>
  <c r="H2673" i="448" s="1"/>
  <c r="G2653" i="448"/>
  <c r="H2653" i="448" s="1" a="1"/>
  <c r="H2653" i="448" s="1"/>
  <c r="G2679" i="448"/>
  <c r="G2652" i="448"/>
  <c r="G2667" i="448"/>
  <c r="G2672" i="448"/>
  <c r="G2657" i="448"/>
  <c r="G2675" i="448"/>
  <c r="H2675" i="448" s="1" a="1"/>
  <c r="H2675" i="448" s="1"/>
  <c r="H2674" i="448" s="1" a="1"/>
  <c r="H2674" i="448" s="1"/>
  <c r="G2684" i="448"/>
  <c r="H2684" i="448" s="1" a="1"/>
  <c r="H2684" i="448" s="1"/>
  <c r="H2683" i="448" s="1" a="1"/>
  <c r="H2683" i="448" s="1"/>
  <c r="G2682" i="448"/>
  <c r="H2682" i="448" s="1" a="1"/>
  <c r="H2682" i="448" s="1"/>
  <c r="H2681" i="448" s="1" a="1"/>
  <c r="H2681" i="448" s="1"/>
  <c r="G2670" i="448"/>
  <c r="G2677" i="448"/>
  <c r="G2671" i="448"/>
  <c r="G2651" i="448"/>
  <c r="G2666" i="448"/>
  <c r="G2678" i="448"/>
  <c r="G2656" i="448"/>
  <c r="G2736" i="448"/>
  <c r="H2736" i="448" s="1" a="1"/>
  <c r="H2736" i="448" s="1"/>
  <c r="H2735" i="448" s="1" a="1"/>
  <c r="H2735" i="448" s="1"/>
  <c r="G2738" i="448"/>
  <c r="H2738" i="448" s="1" a="1"/>
  <c r="H2738" i="448" s="1"/>
  <c r="H2737" i="448" s="1" a="1"/>
  <c r="H2737" i="448" s="1"/>
  <c r="G2383" i="448"/>
  <c r="H2383" i="448" s="1" a="1"/>
  <c r="H2383" i="448" s="1"/>
  <c r="H2382" i="448" s="1" a="1"/>
  <c r="H2382" i="448" s="1"/>
  <c r="H2381" i="448" s="1" a="1"/>
  <c r="H2381" i="448" s="1"/>
  <c r="G2416" i="448"/>
  <c r="H2416" i="448" s="1" a="1"/>
  <c r="H2416" i="448" s="1"/>
  <c r="H2415" i="448" s="1" a="1"/>
  <c r="H2415" i="448" s="1"/>
  <c r="H2414" i="448" s="1" a="1"/>
  <c r="H2414" i="448" s="1"/>
  <c r="G2125" i="448"/>
  <c r="H2125" i="448" s="1" a="1"/>
  <c r="H2125" i="448" s="1"/>
  <c r="E2125" i="448"/>
  <c r="G2124" i="448"/>
  <c r="E2123" i="448"/>
  <c r="G2122" i="448"/>
  <c r="N259" i="436"/>
  <c r="H725" i="448" l="1" a="1"/>
  <c r="H725" i="448" s="1"/>
  <c r="H724" i="448" s="1" a="1"/>
  <c r="H724" i="448" s="1"/>
  <c r="H723" i="448" s="1" a="1"/>
  <c r="H723" i="448" s="1"/>
  <c r="H1045" i="448" a="1"/>
  <c r="H1045" i="448" s="1"/>
  <c r="H1044" i="448" s="1" a="1"/>
  <c r="H1044" i="448" s="1"/>
  <c r="H1043" i="448" s="1" a="1"/>
  <c r="H1043" i="448" s="1"/>
  <c r="H1042" i="448" s="1" a="1"/>
  <c r="H1042" i="448" s="1"/>
  <c r="H1041" i="448" s="1" a="1"/>
  <c r="H1041" i="448" s="1"/>
  <c r="H1040" i="448" s="1" a="1"/>
  <c r="H1040" i="448" s="1"/>
  <c r="H1039" i="448" s="1" a="1"/>
  <c r="H1039" i="448" s="1"/>
  <c r="H1038" i="448" s="1" a="1"/>
  <c r="H1038" i="448" s="1"/>
  <c r="H1037" i="448" s="1" a="1"/>
  <c r="H1037" i="448" s="1"/>
  <c r="H1036" i="448" s="1" a="1"/>
  <c r="H1036" i="448" s="1"/>
  <c r="H1035" i="448" s="1" a="1"/>
  <c r="H1035" i="448" s="1"/>
  <c r="H1034" i="448" s="1" a="1"/>
  <c r="H1034" i="448" s="1"/>
  <c r="H1033" i="448" s="1" a="1"/>
  <c r="H1033" i="448" s="1"/>
  <c r="H1032" i="448" s="1" a="1"/>
  <c r="H1032" i="448" s="1"/>
  <c r="H1031" i="448" s="1" a="1"/>
  <c r="H1031" i="448" s="1"/>
  <c r="H2480" i="448" a="1"/>
  <c r="H2480" i="448" s="1"/>
  <c r="H2479" i="448" s="1" a="1"/>
  <c r="H2479" i="448" s="1"/>
  <c r="H1808" i="448" a="1"/>
  <c r="H1808" i="448" s="1"/>
  <c r="H1807" i="448" s="1" a="1"/>
  <c r="H1807" i="448" s="1"/>
  <c r="H1806" i="448" s="1" a="1"/>
  <c r="H1806" i="448" s="1"/>
  <c r="H1805" i="448" s="1" a="1"/>
  <c r="H1805" i="448" s="1"/>
  <c r="H2679" i="448" a="1"/>
  <c r="H2679" i="448" s="1"/>
  <c r="H2667" i="448" a="1"/>
  <c r="H2667" i="448" s="1"/>
  <c r="H2569" i="448" a="1"/>
  <c r="H2569" i="448" s="1"/>
  <c r="H2568" i="448" s="1" a="1"/>
  <c r="H2568" i="448" s="1"/>
  <c r="H2567" i="448" s="1" a="1"/>
  <c r="H2567" i="448" s="1"/>
  <c r="H939" i="448" a="1"/>
  <c r="H939" i="448" s="1"/>
  <c r="H938" i="448" s="1" a="1"/>
  <c r="H938" i="448" s="1"/>
  <c r="H937" i="448" s="1" a="1"/>
  <c r="H937" i="448" s="1"/>
  <c r="H936" i="448" s="1" a="1"/>
  <c r="H936" i="448" s="1"/>
  <c r="H935" i="448" s="1" a="1"/>
  <c r="H935" i="448" s="1"/>
  <c r="H934" i="448" s="1" a="1"/>
  <c r="H934" i="448" s="1"/>
  <c r="H933" i="448" s="1" a="1"/>
  <c r="H933" i="448" s="1"/>
  <c r="H932" i="448" s="1" a="1"/>
  <c r="H932" i="448" s="1"/>
  <c r="H931" i="448" s="1" a="1"/>
  <c r="H931" i="448" s="1"/>
  <c r="H930" i="448" s="1" a="1"/>
  <c r="H930" i="448" s="1"/>
  <c r="H929" i="448" s="1" a="1"/>
  <c r="H929" i="448" s="1"/>
  <c r="H928" i="448" s="1" a="1"/>
  <c r="H928" i="448" s="1"/>
  <c r="H927" i="448" s="1" a="1"/>
  <c r="H927" i="448" s="1"/>
  <c r="H926" i="448" s="1" a="1"/>
  <c r="H926" i="448" s="1"/>
  <c r="H925" i="448" s="1" a="1"/>
  <c r="H925" i="448" s="1"/>
  <c r="H924" i="448" s="1" a="1"/>
  <c r="H924" i="448" s="1"/>
  <c r="H923" i="448" s="1" a="1"/>
  <c r="H923" i="448" s="1"/>
  <c r="H922" i="448" s="1" a="1"/>
  <c r="H922" i="448" s="1"/>
  <c r="H921" i="448" s="1" a="1"/>
  <c r="H921" i="448" s="1"/>
  <c r="H984" i="448" a="1"/>
  <c r="H984" i="448" s="1"/>
  <c r="H983" i="448" s="1" a="1"/>
  <c r="H983" i="448" s="1"/>
  <c r="H982" i="448" s="1" a="1"/>
  <c r="H982" i="448" s="1"/>
  <c r="H981" i="448" s="1" a="1"/>
  <c r="H981" i="448" s="1"/>
  <c r="H980" i="448" s="1" a="1"/>
  <c r="H980" i="448" s="1"/>
  <c r="H979" i="448" s="1" a="1"/>
  <c r="H979" i="448" s="1"/>
  <c r="H978" i="448" s="1" a="1"/>
  <c r="H978" i="448" s="1"/>
  <c r="H977" i="448" s="1" a="1"/>
  <c r="H977" i="448" s="1"/>
  <c r="H976" i="448" s="1" a="1"/>
  <c r="H976" i="448" s="1"/>
  <c r="H975" i="448" s="1" a="1"/>
  <c r="H975" i="448" s="1"/>
  <c r="H1607" i="448" a="1"/>
  <c r="H1607" i="448" s="1"/>
  <c r="H1606" i="448" s="1" a="1"/>
  <c r="H1606" i="448" s="1"/>
  <c r="H893" i="448" a="1"/>
  <c r="H893" i="448" s="1"/>
  <c r="H892" i="448" s="1" a="1"/>
  <c r="H892" i="448" s="1"/>
  <c r="H891" i="448" s="1" a="1"/>
  <c r="H891" i="448" s="1"/>
  <c r="H890" i="448" s="1" a="1"/>
  <c r="H890" i="448" s="1"/>
  <c r="H889" i="448" s="1" a="1"/>
  <c r="H889" i="448" s="1"/>
  <c r="H888" i="448" s="1" a="1"/>
  <c r="H888" i="448" s="1"/>
  <c r="H887" i="448" s="1" a="1"/>
  <c r="H887" i="448" s="1"/>
  <c r="H886" i="448" s="1" a="1"/>
  <c r="H886" i="448" s="1"/>
  <c r="H885" i="448" s="1" a="1"/>
  <c r="H885" i="448" s="1"/>
  <c r="H884" i="448" s="1" a="1"/>
  <c r="H884" i="448" s="1"/>
  <c r="H883" i="448" s="1" a="1"/>
  <c r="H883" i="448" s="1"/>
  <c r="H882" i="448" s="1" a="1"/>
  <c r="H882" i="448" s="1"/>
  <c r="H2621" i="448" a="1"/>
  <c r="H2621" i="448" s="1"/>
  <c r="H2620" i="448" s="1" a="1"/>
  <c r="H2620" i="448" s="1"/>
  <c r="H2619" i="448" s="1" a="1"/>
  <c r="H2619" i="448" s="1"/>
  <c r="H1379" i="448" a="1"/>
  <c r="H1379" i="448" s="1"/>
  <c r="H1378" i="448" s="1" a="1"/>
  <c r="H1378" i="448" s="1"/>
  <c r="H1377" i="448" s="1" a="1"/>
  <c r="H1377" i="448" s="1"/>
  <c r="H1376" i="448" s="1" a="1"/>
  <c r="H1376" i="448" s="1"/>
  <c r="H2579" i="448" a="1"/>
  <c r="H2579" i="448" s="1"/>
  <c r="H2578" i="448" s="1" a="1"/>
  <c r="H2578" i="448" s="1"/>
  <c r="H2577" i="448" s="1" a="1"/>
  <c r="H2577" i="448" s="1"/>
  <c r="H2082" i="448" a="1"/>
  <c r="H2082" i="448" s="1"/>
  <c r="H2081" i="448" s="1" a="1"/>
  <c r="H2081" i="448" s="1"/>
  <c r="H2080" i="448" s="1" a="1"/>
  <c r="H2080" i="448" s="1"/>
  <c r="H2079" i="448" s="1" a="1"/>
  <c r="H2079" i="448" s="1"/>
  <c r="H1072" i="448" a="1"/>
  <c r="H1072" i="448" s="1"/>
  <c r="H1071" i="448" s="1" a="1"/>
  <c r="H1071" i="448" s="1"/>
  <c r="H1070" i="448" s="1" a="1"/>
  <c r="H1070" i="448" s="1"/>
  <c r="H1069" i="448" s="1" a="1"/>
  <c r="H1069" i="448" s="1"/>
  <c r="H1068" i="448" s="1" a="1"/>
  <c r="H1068" i="448" s="1"/>
  <c r="H1517" i="448" a="1"/>
  <c r="H1517" i="448" s="1"/>
  <c r="H1516" i="448" s="1" a="1"/>
  <c r="H1516" i="448" s="1"/>
  <c r="H2505" i="448" a="1"/>
  <c r="H2505" i="448" s="1"/>
  <c r="H2504" i="448" s="1" a="1"/>
  <c r="H2504" i="448" s="1"/>
  <c r="H2503" i="448" s="1" a="1"/>
  <c r="H2503" i="448" s="1"/>
  <c r="H2502" i="448" s="1" a="1"/>
  <c r="H2502" i="448" s="1"/>
  <c r="H2584" i="448" a="1"/>
  <c r="H2584" i="448" s="1"/>
  <c r="H2583" i="448" s="1" a="1"/>
  <c r="H2583" i="448" s="1"/>
  <c r="H2582" i="448" s="1" a="1"/>
  <c r="H2582" i="448" s="1"/>
  <c r="H1802" i="448" a="1"/>
  <c r="H1802" i="448" s="1"/>
  <c r="H2657" i="448" a="1"/>
  <c r="H2657" i="448" s="1"/>
  <c r="H2656" i="448" s="1" a="1"/>
  <c r="H2656" i="448" s="1"/>
  <c r="H2655" i="448" s="1" a="1"/>
  <c r="H2655" i="448" s="1"/>
  <c r="H2654" i="448" s="1" a="1"/>
  <c r="H2654" i="448" s="1"/>
  <c r="H2574" i="448" a="1"/>
  <c r="H2574" i="448" s="1"/>
  <c r="H2573" i="448" s="1" a="1"/>
  <c r="H2573" i="448" s="1"/>
  <c r="H2572" i="448" s="1" a="1"/>
  <c r="H2572" i="448" s="1"/>
  <c r="H847" i="448" a="1"/>
  <c r="H847" i="448" s="1"/>
  <c r="H846" i="448" s="1" a="1"/>
  <c r="H846" i="448" s="1"/>
  <c r="H845" i="448" s="1" a="1"/>
  <c r="H845" i="448" s="1"/>
  <c r="H844" i="448" s="1" a="1"/>
  <c r="H844" i="448" s="1"/>
  <c r="H843" i="448" s="1" a="1"/>
  <c r="H843" i="448" s="1"/>
  <c r="H842" i="448" s="1" a="1"/>
  <c r="H842" i="448" s="1"/>
  <c r="H841" i="448" s="1" a="1"/>
  <c r="H841" i="448" s="1"/>
  <c r="H840" i="448" s="1" a="1"/>
  <c r="H840" i="448" s="1"/>
  <c r="H839" i="448" s="1" a="1"/>
  <c r="H839" i="448" s="1"/>
  <c r="H838" i="448" s="1" a="1"/>
  <c r="H838" i="448" s="1"/>
  <c r="H2266" i="448" a="1"/>
  <c r="H2266" i="448" s="1"/>
  <c r="H2265" i="448" s="1" a="1"/>
  <c r="H2265" i="448" s="1"/>
  <c r="H2981" i="448" a="1"/>
  <c r="H2981" i="448" s="1"/>
  <c r="H2980" i="448" s="1" a="1"/>
  <c r="H2980" i="448" s="1"/>
  <c r="H2979" i="448" s="1" a="1"/>
  <c r="H2979" i="448" s="1"/>
  <c r="H2978" i="448" s="1" a="1"/>
  <c r="H2978" i="448" s="1"/>
  <c r="H1883" i="448" a="1"/>
  <c r="H1883" i="448" s="1"/>
  <c r="H1882" i="448" s="1" a="1"/>
  <c r="H1882" i="448" s="1"/>
  <c r="H1881" i="448" s="1" a="1"/>
  <c r="H1881" i="448" s="1"/>
  <c r="H1880" i="448" s="1" a="1"/>
  <c r="H1880" i="448" s="1"/>
  <c r="H1329" i="448" a="1"/>
  <c r="H1329" i="448" s="1"/>
  <c r="H1328" i="448" s="1" a="1"/>
  <c r="H1328" i="448" s="1"/>
  <c r="H1327" i="448" s="1" a="1"/>
  <c r="H1327" i="448" s="1"/>
  <c r="H1326" i="448" s="1" a="1"/>
  <c r="H1326" i="448" s="1"/>
  <c r="H2510" i="448" a="1"/>
  <c r="H2510" i="448" s="1"/>
  <c r="H2509" i="448" s="1" a="1"/>
  <c r="H2509" i="448" s="1"/>
  <c r="H2508" i="448" s="1" a="1"/>
  <c r="H2508" i="448" s="1"/>
  <c r="H2507" i="448" s="1" a="1"/>
  <c r="H2507" i="448" s="1"/>
  <c r="H2605" i="448" a="1"/>
  <c r="H2605" i="448" s="1"/>
  <c r="H2604" i="448" s="1" a="1"/>
  <c r="H2604" i="448" s="1"/>
  <c r="H2603" i="448" s="1" a="1"/>
  <c r="H2603" i="448" s="1"/>
  <c r="H2602" i="448" s="1" a="1"/>
  <c r="H2602" i="448" s="1"/>
  <c r="H1359" i="448" a="1"/>
  <c r="H1359" i="448" s="1"/>
  <c r="H1358" i="448" s="1" a="1"/>
  <c r="H1358" i="448" s="1"/>
  <c r="H1357" i="448" s="1" a="1"/>
  <c r="H1357" i="448" s="1"/>
  <c r="H1356" i="448" s="1" a="1"/>
  <c r="H1356" i="448" s="1"/>
  <c r="H1364" i="448" a="1"/>
  <c r="H1364" i="448" s="1"/>
  <c r="H1363" i="448" s="1" a="1"/>
  <c r="H1363" i="448" s="1"/>
  <c r="H1362" i="448" s="1" a="1"/>
  <c r="H1362" i="448" s="1"/>
  <c r="H1361" i="448" s="1" a="1"/>
  <c r="H1361" i="448" s="1"/>
  <c r="H1619" i="448" a="1"/>
  <c r="H1619" i="448" s="1"/>
  <c r="H1618" i="448" s="1" a="1"/>
  <c r="H1618" i="448" s="1"/>
  <c r="H1065" i="448" a="1"/>
  <c r="H1065" i="448" s="1"/>
  <c r="H1064" i="448" s="1" a="1"/>
  <c r="H1064" i="448" s="1"/>
  <c r="H1063" i="448" s="1" a="1"/>
  <c r="H1063" i="448" s="1"/>
  <c r="H1062" i="448" s="1" a="1"/>
  <c r="H1062" i="448" s="1"/>
  <c r="H1828" i="448" a="1"/>
  <c r="H1828" i="448" s="1"/>
  <c r="H1827" i="448" s="1" a="1"/>
  <c r="H1827" i="448" s="1"/>
  <c r="H1826" i="448" s="1" a="1"/>
  <c r="H1826" i="448" s="1"/>
  <c r="H1825" i="448" s="1" a="1"/>
  <c r="H1825" i="448" s="1"/>
  <c r="H2253" i="448" a="1"/>
  <c r="H2253" i="448" s="1"/>
  <c r="H2252" i="448" s="1" a="1"/>
  <c r="H2252" i="448" s="1"/>
  <c r="H2595" i="448" a="1"/>
  <c r="H2595" i="448" s="1"/>
  <c r="H2594" i="448" s="1" a="1"/>
  <c r="H2594" i="448" s="1"/>
  <c r="H2593" i="448" s="1" a="1"/>
  <c r="H2593" i="448" s="1"/>
  <c r="H2592" i="448" s="1" a="1"/>
  <c r="H2592" i="448" s="1"/>
  <c r="H1833" i="448" a="1"/>
  <c r="H1833" i="448" s="1"/>
  <c r="H1832" i="448" s="1" a="1"/>
  <c r="H1832" i="448" s="1"/>
  <c r="H1831" i="448" s="1" a="1"/>
  <c r="H1831" i="448" s="1"/>
  <c r="H1830" i="448" s="1" a="1"/>
  <c r="H1830" i="448" s="1"/>
  <c r="H2269" i="448" a="1"/>
  <c r="H2269" i="448" s="1"/>
  <c r="H2268" i="448" s="1" a="1"/>
  <c r="H2268" i="448" s="1"/>
  <c r="H1017" i="448" a="1"/>
  <c r="H1017" i="448" s="1"/>
  <c r="H1016" i="448" s="1" a="1"/>
  <c r="H1016" i="448" s="1"/>
  <c r="H1015" i="448" s="1" a="1"/>
  <c r="H1015" i="448" s="1"/>
  <c r="H1014" i="448" s="1" a="1"/>
  <c r="H1014" i="448" s="1"/>
  <c r="H1013" i="448" s="1" a="1"/>
  <c r="H1013" i="448" s="1"/>
  <c r="H1012" i="448" s="1" a="1"/>
  <c r="H1012" i="448" s="1"/>
  <c r="H1011" i="448" s="1" a="1"/>
  <c r="H1011" i="448" s="1"/>
  <c r="H1010" i="448" s="1" a="1"/>
  <c r="H1010" i="448" s="1"/>
  <c r="H1009" i="448" s="1" a="1"/>
  <c r="H1009" i="448" s="1"/>
  <c r="H1008" i="448" s="1" a="1"/>
  <c r="H1008" i="448" s="1"/>
  <c r="H2970" i="448" a="1"/>
  <c r="H2970" i="448" s="1"/>
  <c r="H2969" i="448" s="1" a="1"/>
  <c r="H2969" i="448" s="1"/>
  <c r="H2968" i="448" s="1" a="1"/>
  <c r="H2968" i="448" s="1"/>
  <c r="H2967" i="448" s="1" a="1"/>
  <c r="H2967" i="448" s="1"/>
  <c r="H2966" i="448" s="1" a="1"/>
  <c r="H2966" i="448" s="1"/>
  <c r="H2515" i="448" a="1"/>
  <c r="H2515" i="448" s="1"/>
  <c r="H2514" i="448" s="1" a="1"/>
  <c r="H2514" i="448" s="1"/>
  <c r="H2513" i="448" s="1" a="1"/>
  <c r="H2513" i="448" s="1"/>
  <c r="H2512" i="448" s="1" a="1"/>
  <c r="H2512" i="448" s="1"/>
  <c r="H1587" i="448" a="1"/>
  <c r="H1587" i="448" s="1"/>
  <c r="H1586" i="448" s="1" a="1"/>
  <c r="H1586" i="448" s="1"/>
  <c r="H1429" i="448" a="1"/>
  <c r="H1429" i="448" s="1"/>
  <c r="H1428" i="448" s="1" a="1"/>
  <c r="H1428" i="448" s="1"/>
  <c r="H1427" i="448" s="1" a="1"/>
  <c r="H1427" i="448" s="1"/>
  <c r="H1426" i="448" s="1" a="1"/>
  <c r="H1426" i="448" s="1"/>
  <c r="H1148" i="448" a="1"/>
  <c r="H1148" i="448" s="1"/>
  <c r="H1147" i="448" s="1" a="1"/>
  <c r="H1147" i="448" s="1"/>
  <c r="H1146" i="448" s="1" a="1"/>
  <c r="H1146" i="448" s="1"/>
  <c r="H1145" i="448" s="1" a="1"/>
  <c r="H1145" i="448" s="1"/>
  <c r="H1144" i="448" s="1" a="1"/>
  <c r="H1144" i="448" s="1"/>
  <c r="H2527" i="448" a="1"/>
  <c r="H2527" i="448" s="1"/>
  <c r="H2526" i="448" s="1" a="1"/>
  <c r="H2526" i="448" s="1"/>
  <c r="H2525" i="448" s="1" a="1"/>
  <c r="H2525" i="448" s="1"/>
  <c r="H1888" i="448" a="1"/>
  <c r="H1888" i="448" s="1"/>
  <c r="H1887" i="448" s="1" a="1"/>
  <c r="H1887" i="448" s="1"/>
  <c r="H1886" i="448" s="1" a="1"/>
  <c r="H1886" i="448" s="1"/>
  <c r="H1885" i="448" s="1" a="1"/>
  <c r="H1885" i="448" s="1"/>
  <c r="H1960" i="448" a="1"/>
  <c r="H1960" i="448" s="1"/>
  <c r="H1959" i="448" s="1" a="1"/>
  <c r="H1959" i="448" s="1"/>
  <c r="H1958" i="448" s="1" a="1"/>
  <c r="H1958" i="448" s="1"/>
  <c r="H1957" i="448" s="1" a="1"/>
  <c r="H1957" i="448" s="1"/>
  <c r="H1384" i="448" a="1"/>
  <c r="H1384" i="448" s="1"/>
  <c r="H1383" i="448" s="1" a="1"/>
  <c r="H1383" i="448" s="1"/>
  <c r="H1382" i="448" s="1" a="1"/>
  <c r="H1382" i="448" s="1"/>
  <c r="H1381" i="448" s="1" a="1"/>
  <c r="H1381" i="448" s="1"/>
  <c r="H1399" i="448" a="1"/>
  <c r="H1399" i="448" s="1"/>
  <c r="H1398" i="448" s="1" a="1"/>
  <c r="H1398" i="448" s="1"/>
  <c r="H1397" i="448" s="1" a="1"/>
  <c r="H1397" i="448" s="1"/>
  <c r="H1396" i="448" s="1" a="1"/>
  <c r="H1396" i="448" s="1"/>
  <c r="H1389" i="448" a="1"/>
  <c r="H1389" i="448" s="1"/>
  <c r="H1388" i="448" s="1" a="1"/>
  <c r="H1388" i="448" s="1"/>
  <c r="H1387" i="448" s="1" a="1"/>
  <c r="H1387" i="448" s="1"/>
  <c r="H1386" i="448" s="1" a="1"/>
  <c r="H1386" i="448" s="1"/>
  <c r="H2632" i="448" a="1"/>
  <c r="H2632" i="448" s="1"/>
  <c r="H2631" i="448" s="1" a="1"/>
  <c r="H2631" i="448" s="1"/>
  <c r="H2630" i="448" s="1" a="1"/>
  <c r="H2630" i="448" s="1"/>
  <c r="H2629" i="448" s="1" a="1"/>
  <c r="H2629" i="448" s="1"/>
  <c r="H1853" i="448" a="1"/>
  <c r="H1853" i="448" s="1"/>
  <c r="H1852" i="448" s="1" a="1"/>
  <c r="H1852" i="448" s="1"/>
  <c r="H1851" i="448" s="1" a="1"/>
  <c r="H1851" i="448" s="1"/>
  <c r="H1850" i="448" s="1" a="1"/>
  <c r="H1850" i="448" s="1"/>
  <c r="H2209" i="448" a="1"/>
  <c r="H2209" i="448" s="1"/>
  <c r="H2208" i="448" s="1" a="1"/>
  <c r="H2208" i="448" s="1"/>
  <c r="H2227" i="448" a="1"/>
  <c r="H2227" i="448" s="1"/>
  <c r="H2226" i="448" s="1" a="1"/>
  <c r="H2226" i="448" s="1"/>
  <c r="H1595" i="448" a="1"/>
  <c r="H1595" i="448" s="1"/>
  <c r="H1594" i="448" s="1" a="1"/>
  <c r="H1594" i="448" s="1"/>
  <c r="H1965" i="448" a="1"/>
  <c r="H1965" i="448" s="1"/>
  <c r="H1964" i="448" s="1" a="1"/>
  <c r="H1964" i="448" s="1"/>
  <c r="H1963" i="448" s="1" a="1"/>
  <c r="H1963" i="448" s="1"/>
  <c r="H1962" i="448" s="1" a="1"/>
  <c r="H1962" i="448" s="1"/>
  <c r="H995" i="448" a="1"/>
  <c r="H995" i="448" s="1"/>
  <c r="H994" i="448" s="1" a="1"/>
  <c r="H994" i="448" s="1"/>
  <c r="H993" i="448" s="1" a="1"/>
  <c r="H993" i="448" s="1"/>
  <c r="H992" i="448" s="1" a="1"/>
  <c r="H992" i="448" s="1"/>
  <c r="H991" i="448" s="1" a="1"/>
  <c r="H991" i="448" s="1"/>
  <c r="H990" i="448" s="1" a="1"/>
  <c r="H990" i="448" s="1"/>
  <c r="H989" i="448" s="1" a="1"/>
  <c r="H989" i="448" s="1"/>
  <c r="H988" i="448" s="1" a="1"/>
  <c r="H988" i="448" s="1"/>
  <c r="H987" i="448" s="1" a="1"/>
  <c r="H987" i="448" s="1"/>
  <c r="H986" i="448" s="1" a="1"/>
  <c r="H986" i="448" s="1"/>
  <c r="H1823" i="448" a="1"/>
  <c r="H1823" i="448" s="1"/>
  <c r="H1822" i="448" s="1" a="1"/>
  <c r="H1822" i="448" s="1"/>
  <c r="H1821" i="448" s="1" a="1"/>
  <c r="H1821" i="448" s="1"/>
  <c r="H1820" i="448" s="1" a="1"/>
  <c r="H1820" i="448" s="1"/>
  <c r="H1154" i="448" a="1"/>
  <c r="H1154" i="448" s="1"/>
  <c r="H1153" i="448" s="1" a="1"/>
  <c r="H1153" i="448" s="1"/>
  <c r="H1152" i="448" s="1" a="1"/>
  <c r="H1152" i="448" s="1"/>
  <c r="H1151" i="448" s="1" a="1"/>
  <c r="H1151" i="448" s="1"/>
  <c r="H1150" i="448" s="1" a="1"/>
  <c r="H1150" i="448" s="1"/>
  <c r="H1913" i="448" a="1"/>
  <c r="H1913" i="448" s="1"/>
  <c r="H1912" i="448" s="1" a="1"/>
  <c r="H1912" i="448" s="1"/>
  <c r="H1911" i="448" s="1" a="1"/>
  <c r="H1911" i="448" s="1"/>
  <c r="H1910" i="448" s="1" a="1"/>
  <c r="H1910" i="448" s="1"/>
  <c r="H1029" i="448" a="1"/>
  <c r="H1029" i="448" s="1"/>
  <c r="H1028" i="448" s="1" a="1"/>
  <c r="H1028" i="448" s="1"/>
  <c r="H1027" i="448" s="1" a="1"/>
  <c r="H1027" i="448" s="1"/>
  <c r="H1026" i="448" s="1" a="1"/>
  <c r="H1026" i="448" s="1"/>
  <c r="H1025" i="448" s="1" a="1"/>
  <c r="H1025" i="448" s="1"/>
  <c r="H1024" i="448" s="1" a="1"/>
  <c r="H1024" i="448" s="1"/>
  <c r="H1023" i="448" s="1" a="1"/>
  <c r="H1023" i="448" s="1"/>
  <c r="H1022" i="448" s="1" a="1"/>
  <c r="H1022" i="448" s="1"/>
  <c r="H1021" i="448" s="1" a="1"/>
  <c r="H1021" i="448" s="1"/>
  <c r="H1020" i="448" s="1" a="1"/>
  <c r="H1020" i="448" s="1"/>
  <c r="H1019" i="448" s="1" a="1"/>
  <c r="H1019" i="448" s="1"/>
  <c r="H1205" i="448" a="1"/>
  <c r="H1205" i="448" s="1"/>
  <c r="H1204" i="448" s="1" a="1"/>
  <c r="H1204" i="448" s="1"/>
  <c r="H2016" i="448" a="1"/>
  <c r="H2016" i="448" s="1"/>
  <c r="H2015" i="448" s="1" a="1"/>
  <c r="H2015" i="448" s="1"/>
  <c r="H2014" i="448" s="1" a="1"/>
  <c r="H2014" i="448" s="1"/>
  <c r="H1404" i="448" a="1"/>
  <c r="H1404" i="448" s="1"/>
  <c r="H1403" i="448" s="1" a="1"/>
  <c r="H1403" i="448" s="1"/>
  <c r="H1402" i="448" s="1" a="1"/>
  <c r="H1402" i="448" s="1"/>
  <c r="H1401" i="448" s="1" a="1"/>
  <c r="H1401" i="448" s="1"/>
  <c r="H1955" i="448" a="1"/>
  <c r="H1955" i="448" s="1"/>
  <c r="H1954" i="448" s="1" a="1"/>
  <c r="H1954" i="448" s="1"/>
  <c r="H1953" i="448" s="1" a="1"/>
  <c r="H1953" i="448" s="1"/>
  <c r="H1952" i="448" s="1" a="1"/>
  <c r="H1952" i="448" s="1"/>
  <c r="H869" i="448" a="1"/>
  <c r="H869" i="448" s="1"/>
  <c r="H868" i="448" s="1" a="1"/>
  <c r="H868" i="448" s="1"/>
  <c r="H867" i="448" s="1" a="1"/>
  <c r="H867" i="448" s="1"/>
  <c r="H866" i="448" s="1" a="1"/>
  <c r="H866" i="448" s="1"/>
  <c r="H865" i="448" s="1" a="1"/>
  <c r="H865" i="448" s="1"/>
  <c r="H864" i="448" s="1" a="1"/>
  <c r="H864" i="448" s="1"/>
  <c r="H863" i="448" s="1" a="1"/>
  <c r="H863" i="448" s="1"/>
  <c r="H862" i="448" s="1" a="1"/>
  <c r="H862" i="448" s="1"/>
  <c r="H861" i="448" s="1" a="1"/>
  <c r="H861" i="448" s="1"/>
  <c r="H860" i="448" s="1" a="1"/>
  <c r="H860" i="448" s="1"/>
  <c r="H510" i="448" a="1"/>
  <c r="H510" i="448" s="1"/>
  <c r="H509" i="448" s="1" a="1"/>
  <c r="H509" i="448" s="1"/>
  <c r="H508" i="448" s="1" a="1"/>
  <c r="H508" i="448" s="1"/>
  <c r="H507" i="448" s="1" a="1"/>
  <c r="H507" i="448" s="1"/>
  <c r="H506" i="448" s="1" a="1"/>
  <c r="H506" i="448" s="1"/>
  <c r="H1006" i="448" a="1"/>
  <c r="H1006" i="448" s="1"/>
  <c r="H1005" i="448" s="1" a="1"/>
  <c r="H1005" i="448" s="1"/>
  <c r="H1004" i="448" s="1" a="1"/>
  <c r="H1004" i="448" s="1"/>
  <c r="H1003" i="448" s="1" a="1"/>
  <c r="H1003" i="448" s="1"/>
  <c r="H1002" i="448" s="1" a="1"/>
  <c r="H1002" i="448" s="1"/>
  <c r="H1001" i="448" s="1" a="1"/>
  <c r="H1001" i="448" s="1"/>
  <c r="H1000" i="448" s="1" a="1"/>
  <c r="H1000" i="448" s="1"/>
  <c r="H999" i="448" s="1" a="1"/>
  <c r="H999" i="448" s="1"/>
  <c r="H998" i="448" s="1" a="1"/>
  <c r="H998" i="448" s="1"/>
  <c r="H997" i="448" s="1" a="1"/>
  <c r="H997" i="448" s="1"/>
  <c r="H1394" i="448" a="1"/>
  <c r="H1394" i="448" s="1"/>
  <c r="H1393" i="448" s="1" a="1"/>
  <c r="H1393" i="448" s="1"/>
  <c r="H1392" i="448" s="1" a="1"/>
  <c r="H1392" i="448" s="1"/>
  <c r="H1391" i="448" s="1" a="1"/>
  <c r="H1391" i="448" s="1"/>
  <c r="H1738" i="448" a="1"/>
  <c r="H1738" i="448" s="1"/>
  <c r="H1737" i="448" s="1" a="1"/>
  <c r="H1737" i="448" s="1"/>
  <c r="H1736" i="448" s="1" a="1"/>
  <c r="H1736" i="448" s="1"/>
  <c r="H1735" i="448" s="1" a="1"/>
  <c r="H1735" i="448" s="1"/>
  <c r="H1734" i="448" s="1" a="1"/>
  <c r="H1734" i="448" s="1"/>
  <c r="H1733" i="448" s="1" a="1"/>
  <c r="H1733" i="448" s="1"/>
  <c r="H2495" i="448" a="1"/>
  <c r="H2495" i="448" s="1"/>
  <c r="H2494" i="448" s="1" a="1"/>
  <c r="H2494" i="448" s="1"/>
  <c r="H2493" i="448" s="1" a="1"/>
  <c r="H2493" i="448" s="1"/>
  <c r="H2492" i="448" s="1" a="1"/>
  <c r="H2492" i="448" s="1"/>
  <c r="H1354" i="448" a="1"/>
  <c r="H1354" i="448" s="1"/>
  <c r="H1353" i="448" s="1" a="1"/>
  <c r="H1353" i="448" s="1"/>
  <c r="H1352" i="448" s="1" a="1"/>
  <c r="H1352" i="448" s="1"/>
  <c r="H1351" i="448" s="1" a="1"/>
  <c r="H1351" i="448" s="1"/>
  <c r="H406" i="448" a="1"/>
  <c r="H406" i="448" s="1"/>
  <c r="H405" i="448" s="1" a="1"/>
  <c r="H405" i="448" s="1"/>
  <c r="H404" i="448" s="1" a="1"/>
  <c r="H404" i="448" s="1"/>
  <c r="H504" i="448" a="1"/>
  <c r="H504" i="448" s="1"/>
  <c r="H503" i="448" s="1" a="1"/>
  <c r="H503" i="448" s="1"/>
  <c r="H502" i="448" s="1" a="1"/>
  <c r="H502" i="448" s="1"/>
  <c r="H501" i="448" s="1" a="1"/>
  <c r="H501" i="448" s="1"/>
  <c r="H500" i="448" s="1" a="1"/>
  <c r="H500" i="448" s="1"/>
  <c r="H515" i="448" a="1"/>
  <c r="H515" i="448" s="1"/>
  <c r="H514" i="448" s="1" a="1"/>
  <c r="H514" i="448" s="1"/>
  <c r="H513" i="448" s="1" a="1"/>
  <c r="H513" i="448" s="1"/>
  <c r="H512" i="448" s="1" a="1"/>
  <c r="H512" i="448" s="1"/>
  <c r="H2490" i="448" a="1"/>
  <c r="H2490" i="448" s="1"/>
  <c r="H2489" i="448" s="1" a="1"/>
  <c r="H2489" i="448" s="1"/>
  <c r="H1324" i="448" a="1"/>
  <c r="H1324" i="448" s="1"/>
  <c r="H1323" i="448" s="1" a="1"/>
  <c r="H1323" i="448" s="1"/>
  <c r="H1322" i="448" s="1" a="1"/>
  <c r="H1322" i="448" s="1"/>
  <c r="H1321" i="448" s="1" a="1"/>
  <c r="H1321" i="448" s="1"/>
  <c r="H1424" i="448" a="1"/>
  <c r="H1424" i="448" s="1"/>
  <c r="H1423" i="448" s="1" a="1"/>
  <c r="H1423" i="448" s="1"/>
  <c r="H1422" i="448" s="1" a="1"/>
  <c r="H1422" i="448" s="1"/>
  <c r="H1421" i="448" s="1" a="1"/>
  <c r="H1421" i="448" s="1"/>
  <c r="H1215" i="448" a="1"/>
  <c r="H1215" i="448" s="1"/>
  <c r="H1214" i="448" s="1" a="1"/>
  <c r="H1214" i="448" s="1"/>
  <c r="H2062" i="448" a="1"/>
  <c r="H2062" i="448" s="1"/>
  <c r="H2061" i="448" s="1" a="1"/>
  <c r="H2061" i="448" s="1"/>
  <c r="H2060" i="448" s="1" a="1"/>
  <c r="H2060" i="448" s="1"/>
  <c r="H2059" i="448" s="1" a="1"/>
  <c r="H2059" i="448" s="1"/>
  <c r="H1798" i="448" a="1"/>
  <c r="H1798" i="448" s="1"/>
  <c r="H1797" i="448" s="1" a="1"/>
  <c r="H1797" i="448" s="1"/>
  <c r="H1796" i="448" s="1" a="1"/>
  <c r="H1796" i="448" s="1"/>
  <c r="H1795" i="448" s="1" a="1"/>
  <c r="H1795" i="448" s="1"/>
  <c r="H858" i="448" a="1"/>
  <c r="H858" i="448" s="1"/>
  <c r="H857" i="448" s="1" a="1"/>
  <c r="H857" i="448" s="1"/>
  <c r="H856" i="448" s="1" a="1"/>
  <c r="H856" i="448" s="1"/>
  <c r="H855" i="448" s="1" a="1"/>
  <c r="H855" i="448" s="1"/>
  <c r="H854" i="448" s="1" a="1"/>
  <c r="H854" i="448" s="1"/>
  <c r="H853" i="448" s="1" a="1"/>
  <c r="H853" i="448" s="1"/>
  <c r="H852" i="448" s="1" a="1"/>
  <c r="H852" i="448" s="1"/>
  <c r="H851" i="448" s="1" a="1"/>
  <c r="H851" i="448" s="1"/>
  <c r="H850" i="448" s="1" a="1"/>
  <c r="H850" i="448" s="1"/>
  <c r="H849" i="448" s="1" a="1"/>
  <c r="H849" i="448" s="1"/>
  <c r="H1339" i="448" a="1"/>
  <c r="H1339" i="448" s="1"/>
  <c r="H1338" i="448" s="1" a="1"/>
  <c r="H1338" i="448" s="1"/>
  <c r="H1337" i="448" s="1" a="1"/>
  <c r="H1337" i="448" s="1"/>
  <c r="H1336" i="448" s="1" a="1"/>
  <c r="H1336" i="448" s="1"/>
  <c r="H555" i="448" a="1"/>
  <c r="H555" i="448" s="1"/>
  <c r="H554" i="448" s="1" a="1"/>
  <c r="H554" i="448" s="1"/>
  <c r="H553" i="448" s="1" a="1"/>
  <c r="H553" i="448" s="1"/>
  <c r="H961" i="448" a="1"/>
  <c r="H961" i="448" s="1"/>
  <c r="H960" i="448" s="1" a="1"/>
  <c r="H960" i="448" s="1"/>
  <c r="H959" i="448" s="1" a="1"/>
  <c r="H959" i="448" s="1"/>
  <c r="H958" i="448" s="1" a="1"/>
  <c r="H958" i="448" s="1"/>
  <c r="H957" i="448" s="1" a="1"/>
  <c r="H957" i="448" s="1"/>
  <c r="H956" i="448" s="1" a="1"/>
  <c r="H956" i="448" s="1"/>
  <c r="H955" i="448" s="1" a="1"/>
  <c r="H955" i="448" s="1"/>
  <c r="H954" i="448" s="1" a="1"/>
  <c r="H954" i="448" s="1"/>
  <c r="H953" i="448" s="1" a="1"/>
  <c r="H953" i="448" s="1"/>
  <c r="H952" i="448" s="1" a="1"/>
  <c r="H952" i="448" s="1"/>
  <c r="H2202" i="448" a="1"/>
  <c r="H2202" i="448" s="1"/>
  <c r="H2201" i="448" s="1" a="1"/>
  <c r="H2201" i="448" s="1"/>
  <c r="H2200" i="448" s="1" a="1"/>
  <c r="H2200" i="448" s="1"/>
  <c r="H2199" i="448" s="1" a="1"/>
  <c r="H2199" i="448" s="1"/>
  <c r="H950" i="448" a="1"/>
  <c r="H950" i="448" s="1"/>
  <c r="H949" i="448" s="1" a="1"/>
  <c r="H949" i="448" s="1"/>
  <c r="H948" i="448" s="1" a="1"/>
  <c r="H948" i="448" s="1"/>
  <c r="H947" i="448" s="1" a="1"/>
  <c r="H947" i="448" s="1"/>
  <c r="H946" i="448" s="1" a="1"/>
  <c r="H946" i="448" s="1"/>
  <c r="H945" i="448" s="1" a="1"/>
  <c r="H945" i="448" s="1"/>
  <c r="H944" i="448" s="1" a="1"/>
  <c r="H944" i="448" s="1"/>
  <c r="H943" i="448" s="1" a="1"/>
  <c r="H943" i="448" s="1"/>
  <c r="H942" i="448" s="1" a="1"/>
  <c r="H942" i="448" s="1"/>
  <c r="H941" i="448" s="1" a="1"/>
  <c r="H941" i="448" s="1"/>
  <c r="H659" i="448" a="1"/>
  <c r="H659" i="448" s="1"/>
  <c r="H658" i="448" s="1" a="1"/>
  <c r="H658" i="448" s="1"/>
  <c r="H657" i="448" s="1" a="1"/>
  <c r="H657" i="448" s="1"/>
  <c r="H656" i="448" s="1" a="1"/>
  <c r="H656" i="448" s="1"/>
  <c r="H655" i="448" s="1" a="1"/>
  <c r="H655" i="448" s="1"/>
  <c r="H654" i="448" s="1" a="1"/>
  <c r="H654" i="448" s="1"/>
  <c r="H653" i="448" s="1" a="1"/>
  <c r="H653" i="448" s="1"/>
  <c r="H652" i="448" s="1" a="1"/>
  <c r="H652" i="448" s="1"/>
  <c r="H651" i="448" s="1" a="1"/>
  <c r="H651" i="448" s="1"/>
  <c r="H1334" i="448" a="1"/>
  <c r="H1334" i="448" s="1"/>
  <c r="H1333" i="448" s="1" a="1"/>
  <c r="H1333" i="448" s="1"/>
  <c r="H1332" i="448" s="1" a="1"/>
  <c r="H1332" i="448" s="1"/>
  <c r="H1331" i="448" s="1" a="1"/>
  <c r="H1331" i="448" s="1"/>
  <c r="H2666" i="448" a="1"/>
  <c r="H2666" i="448" s="1"/>
  <c r="H2665" i="448" s="1" a="1"/>
  <c r="H2665" i="448" s="1"/>
  <c r="H2664" i="448" s="1" a="1"/>
  <c r="H2664" i="448" s="1"/>
  <c r="H611" i="448" a="1"/>
  <c r="H611" i="448" s="1"/>
  <c r="H610" i="448" s="1" a="1"/>
  <c r="H610" i="448" s="1"/>
  <c r="H609" i="448" s="1" a="1"/>
  <c r="H609" i="448" s="1"/>
  <c r="H2272" i="448" a="1"/>
  <c r="H2272" i="448" s="1"/>
  <c r="H2271" i="448" s="1" a="1"/>
  <c r="H2271" i="448" s="1"/>
  <c r="H2077" i="448" a="1"/>
  <c r="H2077" i="448" s="1"/>
  <c r="H2076" i="448" s="1" a="1"/>
  <c r="H2076" i="448" s="1"/>
  <c r="H2075" i="448" s="1" a="1"/>
  <c r="H2075" i="448" s="1"/>
  <c r="H2074" i="448" s="1" a="1"/>
  <c r="H2074" i="448" s="1"/>
  <c r="H2067" i="448" a="1"/>
  <c r="H2067" i="448" s="1"/>
  <c r="H2066" i="448" s="1" a="1"/>
  <c r="H2066" i="448" s="1"/>
  <c r="H2065" i="448" s="1" a="1"/>
  <c r="H2065" i="448" s="1"/>
  <c r="H2064" i="448" s="1" a="1"/>
  <c r="H2064" i="448" s="1"/>
  <c r="H1848" i="448" a="1"/>
  <c r="H1848" i="448" s="1"/>
  <c r="H1847" i="448" s="1" a="1"/>
  <c r="H1847" i="448" s="1"/>
  <c r="H1846" i="448" s="1" a="1"/>
  <c r="H1846" i="448" s="1"/>
  <c r="H1845" i="448" s="1" a="1"/>
  <c r="H1845" i="448" s="1"/>
  <c r="H1514" i="448" a="1"/>
  <c r="H1514" i="448" s="1"/>
  <c r="H1513" i="448" s="1" a="1"/>
  <c r="H1513" i="448" s="1"/>
  <c r="H1512" i="448" s="1" a="1"/>
  <c r="H1512" i="448" s="1"/>
  <c r="H1511" i="448" s="1" a="1"/>
  <c r="H1511" i="448" s="1"/>
  <c r="H2652" i="448" a="1"/>
  <c r="H2652" i="448" s="1"/>
  <c r="H2651" i="448" s="1" a="1"/>
  <c r="H2651" i="448" s="1"/>
  <c r="H2650" i="448" s="1" a="1"/>
  <c r="H2650" i="448" s="1"/>
  <c r="H2649" i="448" s="1" a="1"/>
  <c r="H2649" i="448" s="1"/>
  <c r="H2672" i="448" a="1"/>
  <c r="H2672" i="448" s="1"/>
  <c r="H2671" i="448" s="1" a="1"/>
  <c r="H2671" i="448" s="1"/>
  <c r="H2670" i="448" s="1" a="1"/>
  <c r="H2670" i="448" s="1"/>
  <c r="H2669" i="448" s="1" a="1"/>
  <c r="H2669" i="448" s="1"/>
  <c r="H2600" i="448" a="1"/>
  <c r="H2600" i="448" s="1"/>
  <c r="H2599" i="448" s="1" a="1"/>
  <c r="H2599" i="448" s="1"/>
  <c r="H2598" i="448" s="1" a="1"/>
  <c r="H2598" i="448" s="1"/>
  <c r="H2597" i="448" s="1" a="1"/>
  <c r="H2597" i="448" s="1"/>
  <c r="H973" i="448" a="1"/>
  <c r="H973" i="448" s="1"/>
  <c r="H972" i="448" s="1" a="1"/>
  <c r="H972" i="448" s="1"/>
  <c r="H971" i="448" s="1" a="1"/>
  <c r="H971" i="448" s="1"/>
  <c r="H970" i="448" s="1" a="1"/>
  <c r="H970" i="448" s="1"/>
  <c r="H969" i="448" s="1" a="1"/>
  <c r="H969" i="448" s="1"/>
  <c r="H968" i="448" s="1" a="1"/>
  <c r="H968" i="448" s="1"/>
  <c r="H967" i="448" s="1" a="1"/>
  <c r="H967" i="448" s="1"/>
  <c r="H966" i="448" s="1" a="1"/>
  <c r="H966" i="448" s="1"/>
  <c r="H965" i="448" s="1" a="1"/>
  <c r="H965" i="448" s="1"/>
  <c r="H964" i="448" s="1" a="1"/>
  <c r="H964" i="448" s="1"/>
  <c r="H963" i="448" s="1" a="1"/>
  <c r="H963" i="448" s="1"/>
  <c r="H649" i="448" a="1"/>
  <c r="H649" i="448" s="1"/>
  <c r="H648" i="448" s="1" a="1"/>
  <c r="H648" i="448" s="1"/>
  <c r="H647" i="448" s="1" a="1"/>
  <c r="H647" i="448" s="1"/>
  <c r="H646" i="448" s="1" a="1"/>
  <c r="H646" i="448" s="1"/>
  <c r="H645" i="448" s="1" a="1"/>
  <c r="H645" i="448" s="1"/>
  <c r="H644" i="448" s="1" a="1"/>
  <c r="H644" i="448" s="1"/>
  <c r="H643" i="448" s="1" a="1"/>
  <c r="H643" i="448" s="1"/>
  <c r="H642" i="448" s="1" a="1"/>
  <c r="H642" i="448" s="1"/>
  <c r="H1813" i="448" a="1"/>
  <c r="H1813" i="448" s="1"/>
  <c r="H1812" i="448" s="1" a="1"/>
  <c r="H1812" i="448" s="1"/>
  <c r="H1811" i="448" s="1" a="1"/>
  <c r="H1811" i="448" s="1"/>
  <c r="H1810" i="448" s="1" a="1"/>
  <c r="H1810" i="448" s="1"/>
  <c r="H2500" i="448" a="1"/>
  <c r="H2500" i="448" s="1"/>
  <c r="H2499" i="448" s="1" a="1"/>
  <c r="H2499" i="448" s="1"/>
  <c r="H2498" i="448" s="1" a="1"/>
  <c r="H2498" i="448" s="1"/>
  <c r="H2497" i="448" s="1" a="1"/>
  <c r="H2497" i="448" s="1"/>
  <c r="H520" i="448" a="1"/>
  <c r="H520" i="448" s="1"/>
  <c r="H519" i="448" s="1" a="1"/>
  <c r="H519" i="448" s="1"/>
  <c r="H518" i="448" s="1" a="1"/>
  <c r="H518" i="448" s="1"/>
  <c r="H517" i="448" s="1" a="1"/>
  <c r="H517" i="448" s="1"/>
  <c r="H2627" i="448" a="1"/>
  <c r="H2627" i="448" s="1"/>
  <c r="H2626" i="448" s="1" a="1"/>
  <c r="H2626" i="448" s="1"/>
  <c r="H2625" i="448" s="1" a="1"/>
  <c r="H2625" i="448" s="1"/>
  <c r="H2624" i="448" s="1" a="1"/>
  <c r="H2624" i="448" s="1"/>
  <c r="H2124" i="448" a="1"/>
  <c r="H2124" i="448" s="1"/>
  <c r="H2678" i="448" a="1"/>
  <c r="H2678" i="448" s="1"/>
  <c r="H2677" i="448" s="1" a="1"/>
  <c r="H2677" i="448" s="1"/>
  <c r="H2676" i="448" s="1" a="1"/>
  <c r="H2676" i="448" s="1"/>
  <c r="H2589" i="448" a="1"/>
  <c r="H2589" i="448" s="1"/>
  <c r="H2588" i="448" s="1" a="1"/>
  <c r="H2588" i="448" s="1"/>
  <c r="H2587" i="448" s="1" a="1"/>
  <c r="H2587" i="448" s="1"/>
  <c r="H916" i="448" a="1"/>
  <c r="H916" i="448" s="1"/>
  <c r="H915" i="448" s="1" a="1"/>
  <c r="H915" i="448" s="1"/>
  <c r="H914" i="448" s="1" a="1"/>
  <c r="H914" i="448" s="1"/>
  <c r="H913" i="448" s="1" a="1"/>
  <c r="H913" i="448" s="1"/>
  <c r="H912" i="448" s="1" a="1"/>
  <c r="H912" i="448" s="1"/>
  <c r="H911" i="448" s="1" a="1"/>
  <c r="H911" i="448" s="1"/>
  <c r="H910" i="448" s="1" a="1"/>
  <c r="H910" i="448" s="1"/>
  <c r="H909" i="448" s="1" a="1"/>
  <c r="H909" i="448" s="1"/>
  <c r="H908" i="448" s="1" a="1"/>
  <c r="H908" i="448" s="1"/>
  <c r="H907" i="448" s="1" a="1"/>
  <c r="H907" i="448" s="1"/>
  <c r="H1060" i="448" a="1"/>
  <c r="H1060" i="448" s="1"/>
  <c r="H1059" i="448" s="1" a="1"/>
  <c r="H1059" i="448" s="1"/>
  <c r="H1058" i="448" s="1" a="1"/>
  <c r="H1058" i="448" s="1"/>
  <c r="H1057" i="448" s="1" a="1"/>
  <c r="H1057" i="448" s="1"/>
  <c r="H1056" i="448" s="1" a="1"/>
  <c r="H1056" i="448" s="1"/>
  <c r="H1055" i="448" s="1" a="1"/>
  <c r="H1055" i="448" s="1"/>
  <c r="H1054" i="448" s="1" a="1"/>
  <c r="H1054" i="448" s="1"/>
  <c r="H1053" i="448" s="1" a="1"/>
  <c r="H1053" i="448" s="1"/>
  <c r="H1052" i="448" s="1" a="1"/>
  <c r="H1052" i="448" s="1"/>
  <c r="H1051" i="448" s="1" a="1"/>
  <c r="H1051" i="448" s="1"/>
  <c r="H1050" i="448" s="1" a="1"/>
  <c r="H1050" i="448" s="1"/>
  <c r="H1049" i="448" s="1" a="1"/>
  <c r="H1049" i="448" s="1"/>
  <c r="H1048" i="448" s="1" a="1"/>
  <c r="H1048" i="448" s="1"/>
  <c r="H1047" i="448" s="1" a="1"/>
  <c r="H1047" i="448" s="1"/>
  <c r="H1818" i="448" a="1"/>
  <c r="H1818" i="448" s="1"/>
  <c r="H1817" i="448" s="1" a="1"/>
  <c r="H1817" i="448" s="1"/>
  <c r="H1816" i="448" s="1" a="1"/>
  <c r="H1816" i="448" s="1"/>
  <c r="H1815" i="448" s="1" a="1"/>
  <c r="H1815" i="448" s="1"/>
  <c r="H1878" i="448" a="1"/>
  <c r="H1878" i="448" s="1"/>
  <c r="H1877" i="448" s="1" a="1"/>
  <c r="H1877" i="448" s="1"/>
  <c r="H1876" i="448" s="1" a="1"/>
  <c r="H1876" i="448" s="1"/>
  <c r="H1875" i="448" s="1" a="1"/>
  <c r="H1875" i="448" s="1"/>
  <c r="H181" i="448" a="1"/>
  <c r="H181" i="448" s="1"/>
  <c r="H180" i="448" s="1" a="1"/>
  <c r="H180" i="448" s="1"/>
  <c r="H919" i="448" l="1" a="1"/>
  <c r="H919" i="448" s="1"/>
  <c r="H920" i="448" a="1"/>
  <c r="H920" i="448" s="1"/>
  <c r="F52" i="456"/>
  <c r="F51" i="456"/>
  <c r="F48" i="456"/>
  <c r="F34" i="456"/>
  <c r="F33" i="456"/>
  <c r="F32" i="456"/>
  <c r="F31" i="456"/>
  <c r="F30" i="456"/>
  <c r="F29" i="456"/>
  <c r="F28" i="456"/>
  <c r="F27" i="456"/>
  <c r="F25" i="456"/>
  <c r="F23" i="456"/>
  <c r="F22" i="456"/>
  <c r="F21" i="456"/>
  <c r="F20" i="456"/>
  <c r="F19" i="456"/>
  <c r="F18" i="456"/>
  <c r="F17" i="456"/>
  <c r="F16" i="456"/>
  <c r="F15" i="456"/>
  <c r="F14" i="456"/>
  <c r="F13" i="456"/>
  <c r="F12" i="456"/>
  <c r="F11" i="456"/>
  <c r="F10" i="456"/>
  <c r="F9" i="456"/>
  <c r="F49" i="456"/>
  <c r="P47" i="456"/>
  <c r="O47" i="456"/>
  <c r="N47" i="456"/>
  <c r="M47" i="456"/>
  <c r="L47" i="456"/>
  <c r="K47" i="456"/>
  <c r="J47" i="456"/>
  <c r="I47" i="456"/>
  <c r="P46" i="456"/>
  <c r="O46" i="456"/>
  <c r="N46" i="456"/>
  <c r="M46" i="456"/>
  <c r="L46" i="456"/>
  <c r="K46" i="456"/>
  <c r="J46" i="456"/>
  <c r="I46" i="456"/>
  <c r="U46" i="456"/>
  <c r="P45" i="456"/>
  <c r="O45" i="456"/>
  <c r="N45" i="456"/>
  <c r="M45" i="456"/>
  <c r="L45" i="456"/>
  <c r="K45" i="456"/>
  <c r="J45" i="456"/>
  <c r="I45" i="456"/>
  <c r="P44" i="456"/>
  <c r="O44" i="456"/>
  <c r="N44" i="456"/>
  <c r="M44" i="456"/>
  <c r="L44" i="456"/>
  <c r="K44" i="456"/>
  <c r="J44" i="456"/>
  <c r="I44" i="456"/>
  <c r="P43" i="456"/>
  <c r="O43" i="456"/>
  <c r="N43" i="456"/>
  <c r="M43" i="456"/>
  <c r="L43" i="456"/>
  <c r="K43" i="456"/>
  <c r="J43" i="456"/>
  <c r="I43" i="456"/>
  <c r="P42" i="456"/>
  <c r="O42" i="456"/>
  <c r="N42" i="456"/>
  <c r="M42" i="456"/>
  <c r="L42" i="456"/>
  <c r="K42" i="456"/>
  <c r="J42" i="456"/>
  <c r="I42" i="456"/>
  <c r="P41" i="456"/>
  <c r="O41" i="456"/>
  <c r="N41" i="456"/>
  <c r="M41" i="456"/>
  <c r="L41" i="456"/>
  <c r="K41" i="456"/>
  <c r="J41" i="456"/>
  <c r="I41" i="456"/>
  <c r="F38" i="456"/>
  <c r="F37" i="456"/>
  <c r="U52" i="456"/>
  <c r="H918" i="448" l="1" a="1"/>
  <c r="H918" i="448" s="1"/>
  <c r="U43" i="456"/>
  <c r="U42" i="456"/>
  <c r="F35" i="456"/>
  <c r="F36" i="456"/>
  <c r="F39" i="456"/>
  <c r="F41" i="456"/>
  <c r="F40" i="456"/>
  <c r="U41" i="456"/>
  <c r="F44" i="456"/>
  <c r="F50" i="456"/>
  <c r="F43" i="456"/>
  <c r="F45" i="456"/>
  <c r="F47" i="456"/>
  <c r="U45" i="456"/>
  <c r="F46" i="456"/>
  <c r="F42" i="456"/>
  <c r="U44" i="456"/>
  <c r="U47" i="456"/>
  <c r="E3039" i="448" l="1"/>
  <c r="E3038" i="448"/>
  <c r="E3037" i="448"/>
  <c r="G3036" i="448"/>
  <c r="F2931" i="448"/>
  <c r="E2931" i="448"/>
  <c r="F2930" i="448"/>
  <c r="E2930" i="448"/>
  <c r="G2929" i="448"/>
  <c r="F2104" i="448"/>
  <c r="F2095" i="448"/>
  <c r="E1141" i="448"/>
  <c r="G1140" i="448"/>
  <c r="E2019" i="448"/>
  <c r="G2018" i="448"/>
  <c r="G1791" i="448"/>
  <c r="G1800" i="448"/>
  <c r="G1835" i="448"/>
  <c r="G1840" i="448"/>
  <c r="G1855" i="448"/>
  <c r="E2289" i="448"/>
  <c r="G2288" i="448"/>
  <c r="E2708" i="448"/>
  <c r="E2709" i="448"/>
  <c r="G2707" i="448"/>
  <c r="E2566" i="448"/>
  <c r="E2565" i="448"/>
  <c r="E2564" i="448"/>
  <c r="E2563" i="448"/>
  <c r="G2562" i="448"/>
  <c r="E2561" i="448"/>
  <c r="E2560" i="448"/>
  <c r="G2559" i="448"/>
  <c r="E2638" i="448"/>
  <c r="E2637" i="448"/>
  <c r="E2636" i="448"/>
  <c r="E2635" i="448"/>
  <c r="G2634" i="448"/>
  <c r="E2259" i="448"/>
  <c r="G2258" i="448"/>
  <c r="E2488" i="448" l="1"/>
  <c r="G2487" i="448"/>
  <c r="G2485" i="448"/>
  <c r="E2476" i="448"/>
  <c r="G2474" i="448"/>
  <c r="F1721" i="448"/>
  <c r="F1720" i="448"/>
  <c r="E1721" i="448"/>
  <c r="E1720" i="448"/>
  <c r="G1719" i="448"/>
  <c r="F1694" i="448"/>
  <c r="F1693" i="448"/>
  <c r="F1704" i="448"/>
  <c r="F1703" i="448"/>
  <c r="F1702" i="448"/>
  <c r="E1704" i="448"/>
  <c r="E1703" i="448"/>
  <c r="E1702" i="448"/>
  <c r="G1701" i="448"/>
  <c r="E1668" i="448"/>
  <c r="G1667" i="448"/>
  <c r="E1667" i="448"/>
  <c r="G1666" i="448"/>
  <c r="E1306" i="448"/>
  <c r="G1305" i="448"/>
  <c r="G1296" i="448"/>
  <c r="H1296" i="448" s="1" a="1"/>
  <c r="H1296" i="448" s="1"/>
  <c r="H1295" i="448" s="1" a="1"/>
  <c r="H1295" i="448" s="1"/>
  <c r="G1295" i="448"/>
  <c r="G1297" i="448"/>
  <c r="G2486" i="448" l="1"/>
  <c r="H2486" i="448" s="1" a="1"/>
  <c r="H2486" i="448" s="1"/>
  <c r="H2485" i="448" s="1" a="1"/>
  <c r="H2485" i="448" s="1"/>
  <c r="G768" i="448" l="1"/>
  <c r="G769" i="448"/>
  <c r="F769" i="448"/>
  <c r="G700" i="448"/>
  <c r="G703" i="448"/>
  <c r="G699" i="448"/>
  <c r="G702" i="448"/>
  <c r="F700" i="448"/>
  <c r="E837" i="448"/>
  <c r="E836" i="448"/>
  <c r="F835" i="448"/>
  <c r="E835" i="448"/>
  <c r="G834" i="448"/>
  <c r="E881" i="448"/>
  <c r="E880" i="448"/>
  <c r="E879" i="448"/>
  <c r="E878" i="448"/>
  <c r="E877" i="448"/>
  <c r="E876" i="448"/>
  <c r="E875" i="448"/>
  <c r="E874" i="448"/>
  <c r="E873" i="448"/>
  <c r="E872" i="448"/>
  <c r="G871" i="448"/>
  <c r="H1732" i="451"/>
  <c r="L313" i="436" s="1"/>
  <c r="L328" i="436" s="1"/>
  <c r="H1735" i="451"/>
  <c r="E701" i="451"/>
  <c r="I701" i="451" s="1"/>
  <c r="G30" i="451"/>
  <c r="G22" i="451"/>
  <c r="H14" i="451"/>
  <c r="H3806" i="451" l="1"/>
  <c r="H4302" i="451"/>
  <c r="H4311" i="451"/>
  <c r="H4301" i="451"/>
  <c r="H4300" i="451"/>
  <c r="H4299" i="451"/>
  <c r="H4315" i="451"/>
  <c r="H4314" i="451"/>
  <c r="H4313" i="451"/>
  <c r="H4312" i="451"/>
  <c r="H4304" i="451"/>
  <c r="H4305" i="451"/>
  <c r="H4303" i="451"/>
  <c r="H4307" i="451"/>
  <c r="H4309" i="451"/>
  <c r="H4310" i="451"/>
  <c r="H4308" i="451"/>
  <c r="H3772" i="451"/>
  <c r="H3774" i="451"/>
  <c r="H3771" i="451"/>
  <c r="H3786" i="451"/>
  <c r="H3770" i="451"/>
  <c r="H3781" i="451"/>
  <c r="H3780" i="451"/>
  <c r="H3773" i="451"/>
  <c r="H3785" i="451"/>
  <c r="H3784" i="451"/>
  <c r="H3783" i="451"/>
  <c r="H3782" i="451"/>
  <c r="H3779" i="451"/>
  <c r="H3778" i="451"/>
  <c r="H3777" i="451"/>
  <c r="H3776" i="451"/>
  <c r="H3775" i="451"/>
  <c r="H3790" i="451"/>
  <c r="H3800" i="451"/>
  <c r="H3799" i="451"/>
  <c r="H3798" i="451"/>
  <c r="H3805" i="451"/>
  <c r="H3804" i="451"/>
  <c r="H3801" i="451"/>
  <c r="H3797" i="451"/>
  <c r="H3803" i="451"/>
  <c r="H3802" i="451"/>
  <c r="H3792" i="451"/>
  <c r="H3796" i="451"/>
  <c r="H3795" i="451"/>
  <c r="H3794" i="451"/>
  <c r="H3793" i="451"/>
  <c r="H3791" i="451"/>
  <c r="H3679" i="451"/>
  <c r="H3678" i="451"/>
  <c r="H3693" i="451"/>
  <c r="H3677" i="451"/>
  <c r="H3692" i="451"/>
  <c r="H3689" i="451"/>
  <c r="H3688" i="451"/>
  <c r="H3687" i="451"/>
  <c r="H3691" i="451"/>
  <c r="H3690" i="451"/>
  <c r="H3686" i="451"/>
  <c r="H3685" i="451"/>
  <c r="H3682" i="451"/>
  <c r="H3684" i="451"/>
  <c r="H3683" i="451"/>
  <c r="H3681" i="451"/>
  <c r="H3680" i="451"/>
  <c r="H3713" i="451"/>
  <c r="H3697" i="451"/>
  <c r="H3712" i="451"/>
  <c r="H3711" i="451"/>
  <c r="H3705" i="451"/>
  <c r="H3710" i="451"/>
  <c r="H3706" i="451"/>
  <c r="H3699" i="451"/>
  <c r="H3709" i="451"/>
  <c r="H3708" i="451"/>
  <c r="H3707" i="451"/>
  <c r="H3700" i="451"/>
  <c r="H3704" i="451"/>
  <c r="H3703" i="451"/>
  <c r="H3702" i="451"/>
  <c r="H3701" i="451"/>
  <c r="H3698" i="451"/>
  <c r="H3632" i="451"/>
  <c r="H3639" i="451"/>
  <c r="H3631" i="451"/>
  <c r="H3630" i="451"/>
  <c r="H3645" i="451"/>
  <c r="H3629" i="451"/>
  <c r="H3636" i="451"/>
  <c r="H3644" i="451"/>
  <c r="H3637" i="451"/>
  <c r="H3643" i="451"/>
  <c r="H3642" i="451"/>
  <c r="H3641" i="451"/>
  <c r="H3640" i="451"/>
  <c r="H3638" i="451"/>
  <c r="H3635" i="451"/>
  <c r="H3634" i="451"/>
  <c r="H3633" i="451"/>
  <c r="H3649" i="451"/>
  <c r="H3653" i="451"/>
  <c r="H3654" i="451"/>
  <c r="H3652" i="451"/>
  <c r="H3651" i="451"/>
  <c r="H3650" i="451"/>
  <c r="H3480" i="451"/>
  <c r="H3479" i="451"/>
  <c r="H3494" i="451"/>
  <c r="H3478" i="451"/>
  <c r="H3493" i="451"/>
  <c r="H3492" i="451"/>
  <c r="H3484" i="451"/>
  <c r="H3491" i="451"/>
  <c r="H3490" i="451"/>
  <c r="H3487" i="451"/>
  <c r="H3489" i="451"/>
  <c r="H3488" i="451"/>
  <c r="H3486" i="451"/>
  <c r="H3485" i="451"/>
  <c r="H3483" i="451"/>
  <c r="H3481" i="451"/>
  <c r="H3482" i="451"/>
  <c r="H3514" i="451"/>
  <c r="H3498" i="451"/>
  <c r="H3513" i="451"/>
  <c r="H3512" i="451"/>
  <c r="H3511" i="451"/>
  <c r="H3502" i="451"/>
  <c r="H3510" i="451"/>
  <c r="H3509" i="451"/>
  <c r="H3508" i="451"/>
  <c r="H3505" i="451"/>
  <c r="H3507" i="451"/>
  <c r="H3506" i="451"/>
  <c r="H3504" i="451"/>
  <c r="H3503" i="451"/>
  <c r="H3501" i="451"/>
  <c r="H3499" i="451"/>
  <c r="H3500" i="451"/>
  <c r="H3375" i="451"/>
  <c r="H3374" i="451"/>
  <c r="H3373" i="451"/>
  <c r="H3388" i="451"/>
  <c r="H3372" i="451"/>
  <c r="H3387" i="451"/>
  <c r="H3386" i="451"/>
  <c r="H3385" i="451"/>
  <c r="H3384" i="451"/>
  <c r="H3383" i="451"/>
  <c r="H3382" i="451"/>
  <c r="H3381" i="451"/>
  <c r="H3380" i="451"/>
  <c r="H3379" i="451"/>
  <c r="H3378" i="451"/>
  <c r="H3377" i="451"/>
  <c r="H3376" i="451"/>
  <c r="H3408" i="451"/>
  <c r="H3392" i="451"/>
  <c r="H3407" i="451"/>
  <c r="H3406" i="451"/>
  <c r="H3405" i="451"/>
  <c r="H3404" i="451"/>
  <c r="H3403" i="451"/>
  <c r="H3402" i="451"/>
  <c r="H3401" i="451"/>
  <c r="H3400" i="451"/>
  <c r="H3399" i="451"/>
  <c r="H3398" i="451"/>
  <c r="H3397" i="451"/>
  <c r="H3396" i="451"/>
  <c r="H3395" i="451"/>
  <c r="H3394" i="451"/>
  <c r="H3393" i="451"/>
  <c r="H3185" i="451"/>
  <c r="H2996" i="451"/>
  <c r="H3184" i="451"/>
  <c r="H2995" i="451"/>
  <c r="H3001" i="451"/>
  <c r="H3000" i="451"/>
  <c r="H3183" i="451"/>
  <c r="H2994" i="451"/>
  <c r="H3193" i="451"/>
  <c r="H3004" i="451"/>
  <c r="H3192" i="451"/>
  <c r="H3003" i="451"/>
  <c r="H3198" i="451"/>
  <c r="H3182" i="451"/>
  <c r="H2993" i="451"/>
  <c r="H3005" i="451"/>
  <c r="H3191" i="451"/>
  <c r="H3002" i="451"/>
  <c r="H3189" i="451"/>
  <c r="H3197" i="451"/>
  <c r="H3008" i="451"/>
  <c r="H2992" i="451"/>
  <c r="H3196" i="451"/>
  <c r="H3007" i="451"/>
  <c r="H3194" i="451"/>
  <c r="H3195" i="451"/>
  <c r="H3006" i="451"/>
  <c r="H3188" i="451"/>
  <c r="H2999" i="451"/>
  <c r="H3190" i="451"/>
  <c r="H3187" i="451"/>
  <c r="H2998" i="451"/>
  <c r="H3186" i="451"/>
  <c r="H2997" i="451"/>
  <c r="H3218" i="451"/>
  <c r="H3202" i="451"/>
  <c r="H3014" i="451"/>
  <c r="H3217" i="451"/>
  <c r="H3013" i="451"/>
  <c r="H3020" i="451"/>
  <c r="H3216" i="451"/>
  <c r="H3028" i="451"/>
  <c r="H3012" i="451"/>
  <c r="H3210" i="451"/>
  <c r="H3022" i="451"/>
  <c r="H3209" i="451"/>
  <c r="H3021" i="451"/>
  <c r="H3215" i="451"/>
  <c r="H3027" i="451"/>
  <c r="H3023" i="451"/>
  <c r="H3019" i="451"/>
  <c r="H3018" i="451"/>
  <c r="H3214" i="451"/>
  <c r="H3026" i="451"/>
  <c r="H3213" i="451"/>
  <c r="H3025" i="451"/>
  <c r="H3211" i="451"/>
  <c r="H3208" i="451"/>
  <c r="H3207" i="451"/>
  <c r="H3212" i="451"/>
  <c r="H3024" i="451"/>
  <c r="H3205" i="451"/>
  <c r="H3017" i="451"/>
  <c r="H3204" i="451"/>
  <c r="H3016" i="451"/>
  <c r="H3203" i="451"/>
  <c r="H3015" i="451"/>
  <c r="H3206" i="451"/>
  <c r="H2885" i="451"/>
  <c r="H2859" i="451"/>
  <c r="H2843" i="451"/>
  <c r="H2827" i="451"/>
  <c r="H2811" i="451"/>
  <c r="H2877" i="451"/>
  <c r="H2867" i="451"/>
  <c r="H2851" i="451"/>
  <c r="H2835" i="451"/>
  <c r="H2819" i="451"/>
  <c r="H2803" i="451"/>
  <c r="H2886" i="451"/>
  <c r="H2858" i="451"/>
  <c r="H2842" i="451"/>
  <c r="H2826" i="451"/>
  <c r="H2810" i="451"/>
  <c r="H2857" i="451"/>
  <c r="H2841" i="451"/>
  <c r="H2825" i="451"/>
  <c r="H2809" i="451"/>
  <c r="H2884" i="451"/>
  <c r="H2860" i="451"/>
  <c r="H2844" i="451"/>
  <c r="H2828" i="451"/>
  <c r="H2812" i="451"/>
  <c r="H2872" i="451"/>
  <c r="H2856" i="451"/>
  <c r="H2840" i="451"/>
  <c r="H2824" i="451"/>
  <c r="H2808" i="451"/>
  <c r="H2878" i="451"/>
  <c r="H2866" i="451"/>
  <c r="H2850" i="451"/>
  <c r="H2834" i="451"/>
  <c r="H2818" i="451"/>
  <c r="H2802" i="451"/>
  <c r="H2879" i="451"/>
  <c r="H2865" i="451"/>
  <c r="H2849" i="451"/>
  <c r="H2833" i="451"/>
  <c r="H2817" i="451"/>
  <c r="H2801" i="451"/>
  <c r="H2882" i="451"/>
  <c r="H2862" i="451"/>
  <c r="H2846" i="451"/>
  <c r="H2830" i="451"/>
  <c r="H2814" i="451"/>
  <c r="H2798" i="451"/>
  <c r="H2873" i="451"/>
  <c r="H2871" i="451"/>
  <c r="H2855" i="451"/>
  <c r="H2839" i="451"/>
  <c r="H2823" i="451"/>
  <c r="H2807" i="451"/>
  <c r="H2874" i="451"/>
  <c r="H2870" i="451"/>
  <c r="H2854" i="451"/>
  <c r="H2838" i="451"/>
  <c r="H2822" i="451"/>
  <c r="H2806" i="451"/>
  <c r="H2875" i="451"/>
  <c r="H2869" i="451"/>
  <c r="H2853" i="451"/>
  <c r="H2837" i="451"/>
  <c r="H2821" i="451"/>
  <c r="H2805" i="451"/>
  <c r="H2876" i="451"/>
  <c r="H2868" i="451"/>
  <c r="H2852" i="451"/>
  <c r="H2836" i="451"/>
  <c r="H2820" i="451"/>
  <c r="H2804" i="451"/>
  <c r="H2880" i="451"/>
  <c r="H2864" i="451"/>
  <c r="H2848" i="451"/>
  <c r="H2832" i="451"/>
  <c r="H2816" i="451"/>
  <c r="H2800" i="451"/>
  <c r="H2881" i="451"/>
  <c r="H2863" i="451"/>
  <c r="H2847" i="451"/>
  <c r="H2831" i="451"/>
  <c r="H2815" i="451"/>
  <c r="H2799" i="451"/>
  <c r="H2883" i="451"/>
  <c r="H2861" i="451"/>
  <c r="H2845" i="451"/>
  <c r="H2829" i="451"/>
  <c r="H2813" i="451"/>
  <c r="H2789" i="451"/>
  <c r="H2779" i="451"/>
  <c r="H2763" i="451"/>
  <c r="H2747" i="451"/>
  <c r="H2731" i="451"/>
  <c r="H2715" i="451"/>
  <c r="H2781" i="451"/>
  <c r="H2771" i="451"/>
  <c r="H2755" i="451"/>
  <c r="H2739" i="451"/>
  <c r="H2723" i="451"/>
  <c r="H2707" i="451"/>
  <c r="H2790" i="451"/>
  <c r="H2778" i="451"/>
  <c r="H2762" i="451"/>
  <c r="H2746" i="451"/>
  <c r="H2730" i="451"/>
  <c r="H2714" i="451"/>
  <c r="H2791" i="451"/>
  <c r="H2777" i="451"/>
  <c r="H2761" i="451"/>
  <c r="H2745" i="451"/>
  <c r="H2729" i="451"/>
  <c r="H2713" i="451"/>
  <c r="H2788" i="451"/>
  <c r="H2780" i="451"/>
  <c r="H2764" i="451"/>
  <c r="H2748" i="451"/>
  <c r="H2732" i="451"/>
  <c r="H2716" i="451"/>
  <c r="H2792" i="451"/>
  <c r="H2776" i="451"/>
  <c r="H2760" i="451"/>
  <c r="H2744" i="451"/>
  <c r="H2728" i="451"/>
  <c r="H2712" i="451"/>
  <c r="H2782" i="451"/>
  <c r="H2770" i="451"/>
  <c r="H2754" i="451"/>
  <c r="H2738" i="451"/>
  <c r="H2722" i="451"/>
  <c r="H2706" i="451"/>
  <c r="H2783" i="451"/>
  <c r="H2769" i="451"/>
  <c r="H2753" i="451"/>
  <c r="H2737" i="451"/>
  <c r="H2721" i="451"/>
  <c r="H2705" i="451"/>
  <c r="H2786" i="451"/>
  <c r="H2766" i="451"/>
  <c r="H2750" i="451"/>
  <c r="H2734" i="451"/>
  <c r="H2718" i="451"/>
  <c r="H2775" i="451"/>
  <c r="H2759" i="451"/>
  <c r="H2743" i="451"/>
  <c r="H2727" i="451"/>
  <c r="H2711" i="451"/>
  <c r="H2774" i="451"/>
  <c r="H2758" i="451"/>
  <c r="H2742" i="451"/>
  <c r="H2726" i="451"/>
  <c r="H2710" i="451"/>
  <c r="H2773" i="451"/>
  <c r="H2757" i="451"/>
  <c r="H2741" i="451"/>
  <c r="H2725" i="451"/>
  <c r="H2709" i="451"/>
  <c r="H2772" i="451"/>
  <c r="H2756" i="451"/>
  <c r="H2740" i="451"/>
  <c r="H2724" i="451"/>
  <c r="H2708" i="451"/>
  <c r="H2784" i="451"/>
  <c r="H2768" i="451"/>
  <c r="H2752" i="451"/>
  <c r="H2736" i="451"/>
  <c r="H2720" i="451"/>
  <c r="H2704" i="451"/>
  <c r="H2785" i="451"/>
  <c r="H2767" i="451"/>
  <c r="H2751" i="451"/>
  <c r="H2735" i="451"/>
  <c r="H2719" i="451"/>
  <c r="H2787" i="451"/>
  <c r="H2765" i="451"/>
  <c r="H2749" i="451"/>
  <c r="H2733" i="451"/>
  <c r="H2717" i="451"/>
  <c r="H2561" i="451"/>
  <c r="H2560" i="451"/>
  <c r="H2559" i="451"/>
  <c r="H2556" i="451"/>
  <c r="H2558" i="451"/>
  <c r="H2557" i="451"/>
  <c r="H2555" i="451"/>
  <c r="H2554" i="451"/>
  <c r="H2568" i="451"/>
  <c r="H2567" i="451"/>
  <c r="H2569" i="451"/>
  <c r="H2553" i="451"/>
  <c r="H2566" i="451"/>
  <c r="H2565" i="451"/>
  <c r="H2564" i="451"/>
  <c r="H2563" i="451"/>
  <c r="H2562" i="451"/>
  <c r="H2579" i="451"/>
  <c r="H2578" i="451"/>
  <c r="H2577" i="451"/>
  <c r="H2574" i="451"/>
  <c r="H2576" i="451"/>
  <c r="H2575" i="451"/>
  <c r="H2589" i="451"/>
  <c r="H2573" i="451"/>
  <c r="H2588" i="451"/>
  <c r="H2586" i="451"/>
  <c r="H2585" i="451"/>
  <c r="H2587" i="451"/>
  <c r="H2584" i="451"/>
  <c r="H2583" i="451"/>
  <c r="H2582" i="451"/>
  <c r="H2581" i="451"/>
  <c r="H2580" i="451"/>
  <c r="H2460" i="451"/>
  <c r="H2456" i="451"/>
  <c r="H2464" i="451"/>
  <c r="H2470" i="451"/>
  <c r="H2471" i="451"/>
  <c r="H2458" i="451"/>
  <c r="H2461" i="451"/>
  <c r="H2455" i="451"/>
  <c r="H2467" i="451"/>
  <c r="H2469" i="451"/>
  <c r="H2459" i="451"/>
  <c r="H2457" i="451"/>
  <c r="H2462" i="451"/>
  <c r="H2463" i="451"/>
  <c r="H2465" i="451"/>
  <c r="H2466" i="451"/>
  <c r="H2468" i="451"/>
  <c r="H2477" i="451"/>
  <c r="H2481" i="451"/>
  <c r="H2487" i="451"/>
  <c r="H2488" i="451"/>
  <c r="H2476" i="451"/>
  <c r="H2489" i="451"/>
  <c r="H2475" i="451"/>
  <c r="H2491" i="451"/>
  <c r="H2478" i="451"/>
  <c r="H2484" i="451"/>
  <c r="H2486" i="451"/>
  <c r="H2479" i="451"/>
  <c r="H2480" i="451"/>
  <c r="H2482" i="451"/>
  <c r="H2483" i="451"/>
  <c r="H2485" i="451"/>
  <c r="H2490" i="451"/>
  <c r="H2358" i="451"/>
  <c r="H2357" i="451"/>
  <c r="H2361" i="451"/>
  <c r="H2360" i="451"/>
  <c r="H2364" i="451"/>
  <c r="H2363" i="451"/>
  <c r="H2362" i="451"/>
  <c r="H2359" i="451"/>
  <c r="H2376" i="451"/>
  <c r="H2370" i="451"/>
  <c r="H2375" i="451"/>
  <c r="H2371" i="451"/>
  <c r="H2374" i="451"/>
  <c r="H2369" i="451"/>
  <c r="H2373" i="451"/>
  <c r="H2372" i="451"/>
  <c r="H2315" i="451"/>
  <c r="H2314" i="451"/>
  <c r="H2321" i="451"/>
  <c r="H2320" i="451"/>
  <c r="H2319" i="451"/>
  <c r="H2318" i="451"/>
  <c r="H2317" i="451"/>
  <c r="H2316" i="451"/>
  <c r="H2333" i="451"/>
  <c r="H2332" i="451"/>
  <c r="H2331" i="451"/>
  <c r="H2328" i="451"/>
  <c r="H2330" i="451"/>
  <c r="H2329" i="451"/>
  <c r="H2327" i="451"/>
  <c r="H2326" i="451"/>
  <c r="H2255" i="451"/>
  <c r="H2139" i="451"/>
  <c r="H2155" i="451"/>
  <c r="H2171" i="451"/>
  <c r="H2187" i="451"/>
  <c r="H2250" i="451"/>
  <c r="H2128" i="451"/>
  <c r="H2144" i="451"/>
  <c r="H2160" i="451"/>
  <c r="H2176" i="451"/>
  <c r="H2192" i="451"/>
  <c r="H2129" i="451"/>
  <c r="H2145" i="451"/>
  <c r="H2161" i="451"/>
  <c r="H2177" i="451"/>
  <c r="H2193" i="451"/>
  <c r="H2134" i="451"/>
  <c r="H2150" i="451"/>
  <c r="H2166" i="451"/>
  <c r="H2182" i="451"/>
  <c r="H2254" i="451"/>
  <c r="H2124" i="451"/>
  <c r="H2140" i="451"/>
  <c r="H2156" i="451"/>
  <c r="H2172" i="451"/>
  <c r="H2188" i="451"/>
  <c r="H2253" i="451"/>
  <c r="H2125" i="451"/>
  <c r="H2141" i="451"/>
  <c r="H2157" i="451"/>
  <c r="H2173" i="451"/>
  <c r="H2189" i="451"/>
  <c r="H2251" i="451"/>
  <c r="H2127" i="451"/>
  <c r="H2143" i="451"/>
  <c r="H2159" i="451"/>
  <c r="H2175" i="451"/>
  <c r="H2191" i="451"/>
  <c r="H2249" i="451"/>
  <c r="H2252" i="451"/>
  <c r="H2126" i="451"/>
  <c r="H2142" i="451"/>
  <c r="H2158" i="451"/>
  <c r="H2174" i="451"/>
  <c r="H2190" i="451"/>
  <c r="H2135" i="451"/>
  <c r="H2151" i="451"/>
  <c r="H2167" i="451"/>
  <c r="H2183" i="451"/>
  <c r="H2248" i="451"/>
  <c r="H2130" i="451"/>
  <c r="H2146" i="451"/>
  <c r="H2162" i="451"/>
  <c r="H2178" i="451"/>
  <c r="H2194" i="451"/>
  <c r="H2131" i="451"/>
  <c r="H2147" i="451"/>
  <c r="H2163" i="451"/>
  <c r="H2179" i="451"/>
  <c r="H2195" i="451"/>
  <c r="H2132" i="451"/>
  <c r="H2148" i="451"/>
  <c r="H2164" i="451"/>
  <c r="H2180" i="451"/>
  <c r="H2196" i="451"/>
  <c r="H2133" i="451"/>
  <c r="H2149" i="451"/>
  <c r="H2165" i="451"/>
  <c r="H2181" i="451"/>
  <c r="H2136" i="451"/>
  <c r="H2152" i="451"/>
  <c r="H2168" i="451"/>
  <c r="H2184" i="451"/>
  <c r="H2137" i="451"/>
  <c r="H2153" i="451"/>
  <c r="H2169" i="451"/>
  <c r="H2185" i="451"/>
  <c r="H2138" i="451"/>
  <c r="H2154" i="451"/>
  <c r="H2170" i="451"/>
  <c r="H2186" i="451"/>
  <c r="H2237" i="451"/>
  <c r="H2048" i="451"/>
  <c r="H2064" i="451"/>
  <c r="H2080" i="451"/>
  <c r="H2096" i="451"/>
  <c r="H2112" i="451"/>
  <c r="H2053" i="451"/>
  <c r="H2069" i="451"/>
  <c r="H2085" i="451"/>
  <c r="H2101" i="451"/>
  <c r="H2117" i="451"/>
  <c r="H2054" i="451"/>
  <c r="H2070" i="451"/>
  <c r="H2086" i="451"/>
  <c r="H2102" i="451"/>
  <c r="H2242" i="451"/>
  <c r="H2043" i="451"/>
  <c r="H2059" i="451"/>
  <c r="H2075" i="451"/>
  <c r="H2091" i="451"/>
  <c r="H2107" i="451"/>
  <c r="H2236" i="451"/>
  <c r="H2049" i="451"/>
  <c r="H2065" i="451"/>
  <c r="H2081" i="451"/>
  <c r="H2097" i="451"/>
  <c r="H2113" i="451"/>
  <c r="H2050" i="451"/>
  <c r="H2066" i="451"/>
  <c r="H2082" i="451"/>
  <c r="H2098" i="451"/>
  <c r="H2114" i="451"/>
  <c r="H2052" i="451"/>
  <c r="H2068" i="451"/>
  <c r="H2084" i="451"/>
  <c r="H2100" i="451"/>
  <c r="H2116" i="451"/>
  <c r="H2051" i="451"/>
  <c r="H2067" i="451"/>
  <c r="H2083" i="451"/>
  <c r="H2099" i="451"/>
  <c r="H2115" i="451"/>
  <c r="H2241" i="451"/>
  <c r="H2044" i="451"/>
  <c r="H2060" i="451"/>
  <c r="H2076" i="451"/>
  <c r="H2092" i="451"/>
  <c r="H2108" i="451"/>
  <c r="H2055" i="451"/>
  <c r="H2071" i="451"/>
  <c r="H2087" i="451"/>
  <c r="H2103" i="451"/>
  <c r="H2056" i="451"/>
  <c r="H2072" i="451"/>
  <c r="H2088" i="451"/>
  <c r="H2104" i="451"/>
  <c r="H2057" i="451"/>
  <c r="H2073" i="451"/>
  <c r="H2089" i="451"/>
  <c r="H2105" i="451"/>
  <c r="H2243" i="451"/>
  <c r="H2042" i="451"/>
  <c r="H2058" i="451"/>
  <c r="H2074" i="451"/>
  <c r="H2090" i="451"/>
  <c r="H2106" i="451"/>
  <c r="H2240" i="451"/>
  <c r="H2045" i="451"/>
  <c r="H2061" i="451"/>
  <c r="H2077" i="451"/>
  <c r="H2093" i="451"/>
  <c r="H2109" i="451"/>
  <c r="H2239" i="451"/>
  <c r="H2046" i="451"/>
  <c r="H2062" i="451"/>
  <c r="H2078" i="451"/>
  <c r="H2094" i="451"/>
  <c r="H2110" i="451"/>
  <c r="H2238" i="451"/>
  <c r="H2047" i="451"/>
  <c r="H2063" i="451"/>
  <c r="H2079" i="451"/>
  <c r="H2095" i="451"/>
  <c r="H2111" i="451"/>
  <c r="H2041" i="451"/>
  <c r="H2121" i="451"/>
  <c r="H2123" i="451"/>
  <c r="H2122" i="451"/>
  <c r="H2120" i="451"/>
  <c r="H1929" i="451"/>
  <c r="H1928" i="451"/>
  <c r="H1892" i="451"/>
  <c r="H1889" i="451"/>
  <c r="H1891" i="451"/>
  <c r="H1890" i="451"/>
  <c r="H1888" i="451"/>
  <c r="H1887" i="451"/>
  <c r="H1886" i="451"/>
  <c r="H1885" i="451"/>
  <c r="H1935" i="451"/>
  <c r="H1934" i="451"/>
  <c r="H1933" i="451"/>
  <c r="H1932" i="451"/>
  <c r="H1931" i="451"/>
  <c r="H1930" i="451"/>
  <c r="H1947" i="451"/>
  <c r="H1902" i="451"/>
  <c r="H1946" i="451"/>
  <c r="H1943" i="451"/>
  <c r="H1901" i="451"/>
  <c r="H1945" i="451"/>
  <c r="H1944" i="451"/>
  <c r="H1900" i="451"/>
  <c r="H1942" i="451"/>
  <c r="H1903" i="451"/>
  <c r="H1941" i="451"/>
  <c r="H1940" i="451"/>
  <c r="H1904" i="451"/>
  <c r="H1899" i="451"/>
  <c r="H1898" i="451"/>
  <c r="H1897" i="451"/>
  <c r="H1794" i="451"/>
  <c r="H1793" i="451"/>
  <c r="H1759" i="451"/>
  <c r="H1756" i="451"/>
  <c r="H1758" i="451"/>
  <c r="H1757" i="451"/>
  <c r="H1755" i="451"/>
  <c r="H1754" i="451"/>
  <c r="H1800" i="451"/>
  <c r="H1753" i="451"/>
  <c r="H1799" i="451"/>
  <c r="H1752" i="451"/>
  <c r="H1798" i="451"/>
  <c r="H1797" i="451"/>
  <c r="H1796" i="451"/>
  <c r="H1795" i="451"/>
  <c r="H1812" i="451"/>
  <c r="H1766" i="451"/>
  <c r="H1811" i="451"/>
  <c r="H1765" i="451"/>
  <c r="H1810" i="451"/>
  <c r="H1764" i="451"/>
  <c r="H1809" i="451"/>
  <c r="H1808" i="451"/>
  <c r="H1807" i="451"/>
  <c r="H1806" i="451"/>
  <c r="H1805" i="451"/>
  <c r="H1770" i="451"/>
  <c r="H1771" i="451"/>
  <c r="H1769" i="451"/>
  <c r="H1768" i="451"/>
  <c r="H1767" i="451"/>
  <c r="H1734" i="451"/>
  <c r="L315" i="436"/>
  <c r="H1664" i="451"/>
  <c r="H1663" i="451"/>
  <c r="H1661" i="451"/>
  <c r="H1665" i="451"/>
  <c r="H1662" i="451"/>
  <c r="H1660" i="451"/>
  <c r="H1671" i="451"/>
  <c r="H1669" i="451"/>
  <c r="H1672" i="451"/>
  <c r="H1668" i="451"/>
  <c r="H1670" i="451"/>
  <c r="H1484" i="451"/>
  <c r="H1483" i="451"/>
  <c r="H1478" i="451"/>
  <c r="H1479" i="451"/>
  <c r="H1477" i="451"/>
  <c r="H1480" i="451"/>
  <c r="H1482" i="451"/>
  <c r="H1481" i="451"/>
  <c r="H1496" i="451"/>
  <c r="H1489" i="451"/>
  <c r="H1491" i="451"/>
  <c r="H1494" i="451"/>
  <c r="H1492" i="451"/>
  <c r="H1495" i="451"/>
  <c r="H1490" i="451"/>
  <c r="H1493" i="451"/>
  <c r="H1432" i="451"/>
  <c r="H1430" i="451"/>
  <c r="H1429" i="451"/>
  <c r="H1428" i="451"/>
  <c r="H1427" i="451"/>
  <c r="H1431" i="451"/>
  <c r="H1435" i="451"/>
  <c r="H1437" i="451"/>
  <c r="H1439" i="451"/>
  <c r="H1438" i="451"/>
  <c r="H1436" i="451"/>
  <c r="H1366" i="451"/>
  <c r="H1368" i="451"/>
  <c r="H1367" i="451"/>
  <c r="H1365" i="451"/>
  <c r="H1364" i="451"/>
  <c r="H1363" i="451"/>
  <c r="H1375" i="451"/>
  <c r="H1374" i="451"/>
  <c r="H1373" i="451"/>
  <c r="H1371" i="451"/>
  <c r="H1372" i="451"/>
  <c r="H1013" i="451"/>
  <c r="H1012" i="451"/>
  <c r="H1016" i="451"/>
  <c r="H1015" i="451"/>
  <c r="H1014" i="451"/>
  <c r="H1011" i="451"/>
  <c r="H1024" i="451"/>
  <c r="H1023" i="451"/>
  <c r="H1022" i="451"/>
  <c r="H1021" i="451"/>
  <c r="H1020" i="451"/>
  <c r="H1019" i="451"/>
  <c r="H751" i="451"/>
  <c r="H755" i="451"/>
  <c r="H756" i="451"/>
  <c r="H754" i="451"/>
  <c r="H753" i="451"/>
  <c r="H752" i="451"/>
  <c r="H763" i="451"/>
  <c r="H764" i="451"/>
  <c r="H762" i="451"/>
  <c r="H761" i="451"/>
  <c r="H760" i="451"/>
  <c r="H759" i="451"/>
  <c r="H717" i="451"/>
  <c r="H716" i="451"/>
  <c r="H715" i="451"/>
  <c r="H714" i="451"/>
  <c r="H713" i="451"/>
  <c r="H712" i="451"/>
  <c r="H725" i="451"/>
  <c r="H724" i="451"/>
  <c r="H723" i="451"/>
  <c r="H722" i="451"/>
  <c r="H721" i="451"/>
  <c r="H720" i="451"/>
  <c r="H672" i="451"/>
  <c r="H657" i="451"/>
  <c r="H673" i="451"/>
  <c r="H658" i="451"/>
  <c r="H659" i="451"/>
  <c r="H660" i="451"/>
  <c r="H661" i="451"/>
  <c r="H662" i="451"/>
  <c r="H663" i="451"/>
  <c r="H664" i="451"/>
  <c r="H665" i="451"/>
  <c r="H666" i="451"/>
  <c r="H667" i="451"/>
  <c r="H669" i="451"/>
  <c r="H670" i="451"/>
  <c r="H671" i="451"/>
  <c r="H668" i="451"/>
  <c r="H693" i="451"/>
  <c r="H679" i="451"/>
  <c r="H680" i="451"/>
  <c r="H681" i="451"/>
  <c r="H682" i="451"/>
  <c r="H683" i="451"/>
  <c r="H684" i="451"/>
  <c r="H685" i="451"/>
  <c r="H686" i="451"/>
  <c r="H687" i="451"/>
  <c r="H688" i="451"/>
  <c r="H690" i="451"/>
  <c r="H691" i="451"/>
  <c r="H692" i="451"/>
  <c r="H689" i="451"/>
  <c r="H656" i="451"/>
  <c r="H678" i="451"/>
  <c r="H677" i="451"/>
  <c r="H676" i="451"/>
  <c r="H608" i="451"/>
  <c r="H607" i="451"/>
  <c r="H542" i="451"/>
  <c r="H606" i="451"/>
  <c r="H541" i="451"/>
  <c r="H540" i="451"/>
  <c r="H394" i="451"/>
  <c r="H539" i="451"/>
  <c r="H538" i="451"/>
  <c r="H537" i="451"/>
  <c r="H479" i="451"/>
  <c r="H391" i="451"/>
  <c r="H480" i="451"/>
  <c r="H392" i="451"/>
  <c r="H611" i="451"/>
  <c r="H478" i="451"/>
  <c r="H390" i="451"/>
  <c r="H610" i="451"/>
  <c r="H477" i="451"/>
  <c r="H389" i="451"/>
  <c r="H609" i="451"/>
  <c r="H476" i="451"/>
  <c r="H481" i="451"/>
  <c r="H393" i="451"/>
  <c r="H402" i="451"/>
  <c r="H614" i="451"/>
  <c r="H549" i="451"/>
  <c r="H489" i="451"/>
  <c r="H401" i="451"/>
  <c r="H619" i="451"/>
  <c r="H617" i="451"/>
  <c r="H488" i="451"/>
  <c r="H400" i="451"/>
  <c r="H487" i="451"/>
  <c r="H399" i="451"/>
  <c r="H486" i="451"/>
  <c r="H398" i="451"/>
  <c r="H618" i="451"/>
  <c r="H485" i="451"/>
  <c r="H397" i="451"/>
  <c r="H484" i="451"/>
  <c r="H615" i="451"/>
  <c r="H550" i="451"/>
  <c r="H616" i="451"/>
  <c r="H548" i="451"/>
  <c r="H547" i="451"/>
  <c r="H546" i="451"/>
  <c r="H545" i="451"/>
  <c r="H334" i="451"/>
  <c r="H337" i="451"/>
  <c r="H336" i="451"/>
  <c r="H335" i="451"/>
  <c r="H332" i="451"/>
  <c r="H333" i="451"/>
  <c r="H345" i="451"/>
  <c r="H340" i="451"/>
  <c r="H344" i="451"/>
  <c r="H343" i="451"/>
  <c r="H342" i="451"/>
  <c r="H341" i="451"/>
  <c r="H217" i="451"/>
  <c r="H216" i="451"/>
  <c r="H215" i="451"/>
  <c r="H214" i="451"/>
  <c r="H213" i="451"/>
  <c r="H212" i="451"/>
  <c r="H208" i="451"/>
  <c r="H205" i="451"/>
  <c r="H206" i="451"/>
  <c r="H204" i="451"/>
  <c r="H209" i="451"/>
  <c r="H207" i="451"/>
  <c r="H114" i="451"/>
  <c r="H113" i="451"/>
  <c r="H112" i="451"/>
  <c r="H111" i="451"/>
  <c r="H109" i="451"/>
  <c r="H110" i="451"/>
  <c r="H120" i="451"/>
  <c r="H122" i="451"/>
  <c r="H121" i="451"/>
  <c r="H119" i="451"/>
  <c r="H118" i="451"/>
  <c r="H117" i="451"/>
  <c r="L106" i="436"/>
  <c r="L121" i="436" s="1"/>
  <c r="L325" i="436"/>
  <c r="H1731" i="451"/>
  <c r="I1731" i="451" s="1"/>
  <c r="L158" i="436"/>
  <c r="H12" i="451"/>
  <c r="H2960" i="451"/>
  <c r="H2962" i="451"/>
  <c r="H2963" i="451"/>
  <c r="H2961" i="451"/>
  <c r="H2954" i="451"/>
  <c r="H2955" i="451"/>
  <c r="H2956" i="451"/>
  <c r="H2957" i="451"/>
  <c r="H27" i="451"/>
  <c r="H28" i="451"/>
  <c r="H35" i="451"/>
  <c r="H36" i="451"/>
  <c r="H2953" i="451"/>
  <c r="H2959" i="451"/>
  <c r="H32" i="451"/>
  <c r="H33" i="451"/>
  <c r="H34" i="451"/>
  <c r="H26" i="451"/>
  <c r="H24" i="451"/>
  <c r="H25" i="451"/>
  <c r="H31" i="451"/>
  <c r="H23" i="451"/>
  <c r="G60" i="455" l="1" a="1"/>
  <c r="G60" i="455" s="1"/>
  <c r="H4306" i="451"/>
  <c r="H4298" i="451"/>
  <c r="H3789" i="451"/>
  <c r="H3769" i="451"/>
  <c r="H3676" i="451"/>
  <c r="H3696" i="451"/>
  <c r="H3628" i="451"/>
  <c r="H3648" i="451"/>
  <c r="H3477" i="451"/>
  <c r="H3497" i="451"/>
  <c r="H3371" i="451"/>
  <c r="H3391" i="451"/>
  <c r="H3181" i="451"/>
  <c r="H3011" i="451"/>
  <c r="H3201" i="451"/>
  <c r="H2991" i="451"/>
  <c r="H2797" i="451"/>
  <c r="H2703" i="451"/>
  <c r="H2552" i="451"/>
  <c r="H2572" i="451"/>
  <c r="H2474" i="451"/>
  <c r="H2454" i="451"/>
  <c r="H2368" i="451"/>
  <c r="H2356" i="451"/>
  <c r="H2325" i="451"/>
  <c r="H2313" i="451"/>
  <c r="H2235" i="451"/>
  <c r="H2040" i="451"/>
  <c r="H2247" i="451"/>
  <c r="H2119" i="451"/>
  <c r="H1884" i="451"/>
  <c r="H1896" i="451"/>
  <c r="H1939" i="451"/>
  <c r="H1927" i="451"/>
  <c r="H1751" i="451"/>
  <c r="H1804" i="451"/>
  <c r="H1763" i="451"/>
  <c r="H1792" i="451"/>
  <c r="H1659" i="451"/>
  <c r="H1488" i="451"/>
  <c r="H1476" i="451"/>
  <c r="H1434" i="451"/>
  <c r="H1426" i="451"/>
  <c r="H1362" i="451"/>
  <c r="H1370" i="451"/>
  <c r="H1018" i="451"/>
  <c r="H1010" i="451"/>
  <c r="H758" i="451"/>
  <c r="H750" i="451"/>
  <c r="H719" i="451"/>
  <c r="H711" i="451"/>
  <c r="H675" i="451"/>
  <c r="H655" i="451"/>
  <c r="H536" i="451"/>
  <c r="H544" i="451"/>
  <c r="H483" i="451"/>
  <c r="H396" i="451"/>
  <c r="H613" i="451"/>
  <c r="H475" i="451"/>
  <c r="H388" i="451"/>
  <c r="H605" i="451"/>
  <c r="H339" i="451"/>
  <c r="H331" i="451"/>
  <c r="H211" i="451"/>
  <c r="H203" i="451"/>
  <c r="H116" i="451"/>
  <c r="H108" i="451"/>
  <c r="L389" i="436"/>
  <c r="L281" i="436"/>
  <c r="L159" i="436"/>
  <c r="L418" i="436"/>
  <c r="J19" i="451"/>
  <c r="L420" i="436"/>
  <c r="H2958" i="451"/>
  <c r="H2952" i="451"/>
  <c r="H30" i="451"/>
  <c r="H22" i="451"/>
  <c r="I1734" i="451"/>
  <c r="L293" i="436"/>
  <c r="I12" i="451"/>
  <c r="G31" i="455" l="1" a="1"/>
  <c r="G31" i="455" s="1"/>
  <c r="G32" i="455" a="1"/>
  <c r="G32" i="455" s="1"/>
  <c r="G34" i="455" a="1"/>
  <c r="G34" i="455" s="1"/>
  <c r="G239" i="455" a="1"/>
  <c r="G239" i="455" s="1"/>
  <c r="G234" i="455" a="1"/>
  <c r="G234" i="455" s="1"/>
  <c r="G232" i="455" a="1"/>
  <c r="G232" i="455" s="1"/>
  <c r="G238" i="455" a="1"/>
  <c r="G238" i="455" s="1"/>
  <c r="G237" i="455" a="1"/>
  <c r="G237" i="455" s="1"/>
  <c r="G250" i="455" a="1"/>
  <c r="G250" i="455" s="1"/>
  <c r="G253" i="455" a="1"/>
  <c r="G253" i="455" s="1"/>
  <c r="G263" i="455" a="1"/>
  <c r="G263" i="455" s="1"/>
  <c r="G101" i="455" a="1"/>
  <c r="G101" i="455" s="1"/>
  <c r="G98" i="455" a="1"/>
  <c r="G98" i="455" s="1"/>
  <c r="G189" i="455" a="1"/>
  <c r="G189" i="455" s="1"/>
  <c r="G203" i="455" a="1"/>
  <c r="G203" i="455" s="1"/>
  <c r="G265" i="455" a="1"/>
  <c r="G265" i="455" s="1"/>
  <c r="G158" i="455" a="1"/>
  <c r="G158" i="455" s="1"/>
  <c r="G355" i="455" a="1"/>
  <c r="G355" i="455" s="1"/>
  <c r="G282" i="455" a="1"/>
  <c r="G282" i="455" s="1"/>
  <c r="G270" i="455" a="1"/>
  <c r="G270" i="455" s="1"/>
  <c r="G269" i="455" a="1"/>
  <c r="G269" i="455" s="1"/>
  <c r="G353" i="455" a="1"/>
  <c r="G353" i="455" s="1"/>
  <c r="G240" i="455" a="1"/>
  <c r="G240" i="455" s="1"/>
  <c r="G271" i="455" a="1"/>
  <c r="G271" i="455" s="1"/>
  <c r="G276" i="455" a="1"/>
  <c r="G276" i="455" s="1"/>
  <c r="G283" i="455" a="1"/>
  <c r="G283" i="455" s="1"/>
  <c r="G278" i="455" a="1"/>
  <c r="G278" i="455" s="1"/>
  <c r="G243" i="455" a="1"/>
  <c r="G243" i="455" s="1"/>
  <c r="G264" i="455" a="1"/>
  <c r="G264" i="455" s="1"/>
  <c r="G251" i="455" a="1"/>
  <c r="G251" i="455" s="1"/>
  <c r="G246" i="455" a="1"/>
  <c r="G246" i="455" s="1"/>
  <c r="G252" i="455" a="1"/>
  <c r="G252" i="455" s="1"/>
  <c r="G256" i="455" a="1"/>
  <c r="G256" i="455" s="1"/>
  <c r="G272" i="455" a="1"/>
  <c r="G272" i="455" s="1"/>
  <c r="G257" i="455" a="1"/>
  <c r="G257" i="455" s="1"/>
  <c r="G260" i="455" a="1"/>
  <c r="G260" i="455" s="1"/>
  <c r="G279" i="455" a="1"/>
  <c r="G279" i="455" s="1"/>
  <c r="G231" i="455" a="1"/>
  <c r="G231" i="455" s="1"/>
  <c r="G255" i="455" a="1"/>
  <c r="G255" i="455" s="1"/>
  <c r="G336" i="455" a="1"/>
  <c r="G336" i="455" s="1"/>
  <c r="G266" i="455" a="1"/>
  <c r="G266" i="455" s="1"/>
  <c r="G140" i="455" a="1"/>
  <c r="G140" i="455" s="1"/>
  <c r="G267" i="455" a="1"/>
  <c r="G267" i="455" s="1"/>
  <c r="G284" i="455" a="1"/>
  <c r="G284" i="455" s="1"/>
  <c r="G126" i="455" a="1"/>
  <c r="G126" i="455" s="1"/>
  <c r="G181" i="455" a="1"/>
  <c r="G181" i="455" s="1"/>
  <c r="G186" i="455" a="1"/>
  <c r="G186" i="455" s="1"/>
  <c r="G248" i="455" a="1"/>
  <c r="G248" i="455" s="1"/>
  <c r="G174" i="455" a="1"/>
  <c r="G174" i="455" s="1"/>
  <c r="G281" i="455" a="1"/>
  <c r="G281" i="455" s="1"/>
  <c r="G258" i="455" a="1"/>
  <c r="G258" i="455" s="1"/>
  <c r="G172" i="455" a="1"/>
  <c r="G172" i="455" s="1"/>
  <c r="G285" i="455" a="1"/>
  <c r="G285" i="455" s="1"/>
  <c r="G249" i="455" a="1"/>
  <c r="G249" i="455" s="1"/>
  <c r="G262" i="455" a="1"/>
  <c r="G262" i="455" s="1"/>
  <c r="G244" i="455" a="1"/>
  <c r="G244" i="455" s="1"/>
  <c r="G242" i="455" a="1"/>
  <c r="G242" i="455" s="1"/>
  <c r="G254" i="455" a="1"/>
  <c r="G254" i="455" s="1"/>
  <c r="M18" i="455" s="1"/>
  <c r="G160" i="455" a="1"/>
  <c r="G160" i="455" s="1"/>
  <c r="G96" i="455" a="1"/>
  <c r="G96" i="455" s="1"/>
  <c r="G354" i="455" a="1"/>
  <c r="G354" i="455" s="1"/>
  <c r="G78" i="455" a="1"/>
  <c r="G78" i="455" s="1"/>
  <c r="G193" i="455" a="1"/>
  <c r="G193" i="455" s="1"/>
  <c r="G85" i="455" a="1"/>
  <c r="G85" i="455" s="1"/>
  <c r="G204" i="455" a="1"/>
  <c r="G204" i="455" s="1"/>
  <c r="G268" i="455" a="1"/>
  <c r="G268" i="455" s="1"/>
  <c r="G133" i="455" a="1"/>
  <c r="G133" i="455" s="1"/>
  <c r="G277" i="455" a="1"/>
  <c r="G277" i="455" s="1"/>
  <c r="G280" i="455" a="1"/>
  <c r="G280" i="455" s="1"/>
  <c r="G241" i="455" a="1"/>
  <c r="G241" i="455" s="1"/>
  <c r="G66" i="455" a="1"/>
  <c r="G66" i="455" s="1"/>
  <c r="G245" i="455" a="1"/>
  <c r="G245" i="455" s="1"/>
  <c r="H245" i="455" s="1"/>
  <c r="G80" i="455" a="1"/>
  <c r="G80" i="455" s="1"/>
  <c r="G261" i="455" a="1"/>
  <c r="G261" i="455" s="1"/>
  <c r="G161" i="455" a="1"/>
  <c r="G161" i="455" s="1"/>
  <c r="G191" i="455" a="1"/>
  <c r="G191" i="455" s="1"/>
  <c r="G247" i="455" a="1"/>
  <c r="G247" i="455" s="1"/>
  <c r="G197" i="455" a="1"/>
  <c r="G197" i="455" s="1"/>
  <c r="G136" i="455" a="1"/>
  <c r="G136" i="455" s="1"/>
  <c r="G104" i="455" a="1"/>
  <c r="G104" i="455" s="1"/>
  <c r="G177" i="455" a="1"/>
  <c r="G177" i="455" s="1"/>
  <c r="G139" i="455" a="1"/>
  <c r="G139" i="455" s="1"/>
  <c r="G150" i="455" a="1"/>
  <c r="G150" i="455" s="1"/>
  <c r="H150" i="455" s="1"/>
  <c r="G180" i="455" a="1"/>
  <c r="G180" i="455" s="1"/>
  <c r="M14" i="455" s="1"/>
  <c r="G125" i="455" a="1"/>
  <c r="G125" i="455" s="1"/>
  <c r="G128" i="455" a="1"/>
  <c r="G128" i="455" s="1"/>
  <c r="G112" i="455" a="1"/>
  <c r="G112" i="455" s="1"/>
  <c r="G188" i="455" a="1"/>
  <c r="G188" i="455" s="1"/>
  <c r="G184" i="455" a="1"/>
  <c r="G184" i="455" s="1"/>
  <c r="G81" i="455" a="1"/>
  <c r="G81" i="455" s="1"/>
  <c r="G143" i="455" a="1"/>
  <c r="G143" i="455" s="1"/>
  <c r="G199" i="455" a="1"/>
  <c r="G199" i="455" s="1"/>
  <c r="G167" i="455" a="1"/>
  <c r="G167" i="455" s="1"/>
  <c r="G183" i="455" a="1"/>
  <c r="G183" i="455" s="1"/>
  <c r="G187" i="455" a="1"/>
  <c r="G187" i="455" s="1"/>
  <c r="G59" i="455" a="1"/>
  <c r="G59" i="455" s="1"/>
  <c r="G152" i="455" a="1"/>
  <c r="G152" i="455" s="1"/>
  <c r="G166" i="455" a="1"/>
  <c r="G166" i="455" s="1"/>
  <c r="G198" i="455" a="1"/>
  <c r="G198" i="455" s="1"/>
  <c r="G100" i="455" a="1"/>
  <c r="G100" i="455" s="1"/>
  <c r="G190" i="455" a="1"/>
  <c r="G190" i="455" s="1"/>
  <c r="G178" i="455" a="1"/>
  <c r="G178" i="455" s="1"/>
  <c r="G194" i="455" a="1"/>
  <c r="G194" i="455" s="1"/>
  <c r="G124" i="455" a="1"/>
  <c r="G124" i="455" s="1"/>
  <c r="G168" i="455" a="1"/>
  <c r="G168" i="455" s="1"/>
  <c r="G99" i="455" a="1"/>
  <c r="G99" i="455" s="1"/>
  <c r="G155" i="455" a="1"/>
  <c r="G155" i="455" s="1"/>
  <c r="G175" i="455" a="1"/>
  <c r="G175" i="455" s="1"/>
  <c r="G129" i="455" a="1"/>
  <c r="G129" i="455" s="1"/>
  <c r="G123" i="455" a="1"/>
  <c r="G123" i="455" s="1"/>
  <c r="G146" i="455" a="1"/>
  <c r="G146" i="455" s="1"/>
  <c r="G118" i="455" a="1"/>
  <c r="G118" i="455" s="1"/>
  <c r="G145" i="455" a="1"/>
  <c r="G145" i="455" s="1"/>
  <c r="G73" i="455" a="1"/>
  <c r="G73" i="455" s="1"/>
  <c r="G196" i="455" a="1"/>
  <c r="G196" i="455" s="1"/>
  <c r="M11" i="455" s="1"/>
  <c r="G195" i="455" a="1"/>
  <c r="G195" i="455" s="1"/>
  <c r="G35" i="455" a="1"/>
  <c r="G35" i="455" s="1"/>
  <c r="G149" i="455" a="1"/>
  <c r="G149" i="455" s="1"/>
  <c r="G79" i="455" a="1"/>
  <c r="G79" i="455" s="1"/>
  <c r="G135" i="455" a="1"/>
  <c r="G135" i="455" s="1"/>
  <c r="G122" i="455" a="1"/>
  <c r="G122" i="455" s="1"/>
  <c r="G169" i="455" a="1"/>
  <c r="G169" i="455" s="1"/>
  <c r="G159" i="455" a="1"/>
  <c r="G159" i="455" s="1"/>
  <c r="M13" i="455" s="1"/>
  <c r="G165" i="455" a="1"/>
  <c r="G165" i="455" s="1"/>
  <c r="G94" i="455" a="1"/>
  <c r="G94" i="455" s="1"/>
  <c r="G171" i="455" a="1"/>
  <c r="G171" i="455" s="1"/>
  <c r="G164" i="455" a="1"/>
  <c r="G164" i="455" s="1"/>
  <c r="G138" i="455" a="1"/>
  <c r="G138" i="455" s="1"/>
  <c r="G154" i="455" a="1"/>
  <c r="G154" i="455" s="1"/>
  <c r="G202" i="455" a="1"/>
  <c r="G202" i="455" s="1"/>
  <c r="G173" i="455" a="1"/>
  <c r="G173" i="455" s="1"/>
  <c r="G157" i="455" a="1"/>
  <c r="G157" i="455" s="1"/>
  <c r="G182" i="455" a="1"/>
  <c r="G182" i="455" s="1"/>
  <c r="G151" i="455" a="1"/>
  <c r="G151" i="455" s="1"/>
  <c r="G132" i="455" a="1"/>
  <c r="G132" i="455" s="1"/>
  <c r="G170" i="455" a="1"/>
  <c r="G170" i="455" s="1"/>
  <c r="M15" i="455" s="1"/>
  <c r="G201" i="455" a="1"/>
  <c r="G201" i="455" s="1"/>
  <c r="G192" i="455" a="1"/>
  <c r="G192" i="455" s="1"/>
  <c r="G97" i="455" a="1"/>
  <c r="G97" i="455" s="1"/>
  <c r="G130" i="455" a="1"/>
  <c r="G130" i="455" s="1"/>
  <c r="G134" i="455" a="1"/>
  <c r="G134" i="455" s="1"/>
  <c r="G127" i="455" a="1"/>
  <c r="G127" i="455" s="1"/>
  <c r="G179" i="455" a="1"/>
  <c r="G179" i="455" s="1"/>
  <c r="G162" i="455" a="1"/>
  <c r="G162" i="455" s="1"/>
  <c r="G200" i="455" a="1"/>
  <c r="G200" i="455" s="1"/>
  <c r="G131" i="455" a="1"/>
  <c r="G131" i="455" s="1"/>
  <c r="G121" i="455" a="1"/>
  <c r="G121" i="455" s="1"/>
  <c r="G156" i="455" a="1"/>
  <c r="G156" i="455" s="1"/>
  <c r="G137" i="455" a="1"/>
  <c r="G137" i="455" s="1"/>
  <c r="G95" i="455" a="1"/>
  <c r="G95" i="455" s="1"/>
  <c r="G176" i="455" a="1"/>
  <c r="G176" i="455" s="1"/>
  <c r="G185" i="455" a="1"/>
  <c r="G185" i="455" s="1"/>
  <c r="H3767" i="451"/>
  <c r="I3767" i="451" s="1"/>
  <c r="H4296" i="451"/>
  <c r="I4296" i="451" s="1"/>
  <c r="H3674" i="451"/>
  <c r="I3674" i="451" s="1"/>
  <c r="H3626" i="451"/>
  <c r="I3626" i="451" s="1"/>
  <c r="H3475" i="451"/>
  <c r="I3475" i="451" s="1"/>
  <c r="H2989" i="451"/>
  <c r="I2989" i="451" s="1"/>
  <c r="H3369" i="451"/>
  <c r="I3369" i="451" s="1"/>
  <c r="H3179" i="451"/>
  <c r="I3179" i="451" s="1"/>
  <c r="H2701" i="451"/>
  <c r="I2701" i="451" s="1"/>
  <c r="H2550" i="451"/>
  <c r="H2452" i="451"/>
  <c r="I2452" i="451" s="1"/>
  <c r="H2311" i="451"/>
  <c r="I2311" i="451" s="1"/>
  <c r="H2354" i="451"/>
  <c r="I2354" i="451" s="1"/>
  <c r="H2233" i="451"/>
  <c r="I2233" i="451" s="1"/>
  <c r="H1925" i="451"/>
  <c r="I1925" i="451" s="1"/>
  <c r="H1882" i="451"/>
  <c r="I1882" i="451" s="1"/>
  <c r="H1749" i="451"/>
  <c r="I1749" i="451" s="1"/>
  <c r="H1790" i="451"/>
  <c r="I1790" i="451" s="1"/>
  <c r="H1474" i="451"/>
  <c r="I1474" i="451" s="1"/>
  <c r="H1424" i="451"/>
  <c r="I1424" i="451" s="1"/>
  <c r="H1360" i="451"/>
  <c r="I1360" i="451" s="1"/>
  <c r="H1008" i="451"/>
  <c r="I1008" i="451" s="1"/>
  <c r="H386" i="451"/>
  <c r="I386" i="451" s="1"/>
  <c r="H603" i="451"/>
  <c r="I603" i="451" s="1"/>
  <c r="H748" i="451"/>
  <c r="I748" i="451" s="1"/>
  <c r="H709" i="451"/>
  <c r="I709" i="451" s="1"/>
  <c r="H473" i="451"/>
  <c r="I473" i="451" s="1"/>
  <c r="H653" i="451"/>
  <c r="I653" i="451" s="1"/>
  <c r="H534" i="451"/>
  <c r="I534" i="451" s="1"/>
  <c r="H329" i="451"/>
  <c r="H201" i="451"/>
  <c r="I201" i="451" s="1"/>
  <c r="H106" i="451"/>
  <c r="I106" i="451" s="1"/>
  <c r="L330" i="436"/>
  <c r="H2950" i="451"/>
  <c r="H20" i="451"/>
  <c r="I20" i="451" s="1"/>
  <c r="M21" i="455" l="1"/>
  <c r="N21" i="455" s="1"/>
  <c r="H240" i="455"/>
  <c r="M28" i="455"/>
  <c r="H336" i="455"/>
  <c r="M20" i="455"/>
  <c r="H232" i="455"/>
  <c r="H159" i="455"/>
  <c r="N13" i="455"/>
  <c r="H170" i="455"/>
  <c r="N15" i="455"/>
  <c r="H180" i="455"/>
  <c r="N14" i="455"/>
  <c r="H196" i="455"/>
  <c r="N11" i="455"/>
  <c r="H254" i="455"/>
  <c r="N18" i="455"/>
  <c r="I329" i="451"/>
  <c r="I2950" i="451"/>
  <c r="G2420" i="448"/>
  <c r="H2420" i="448" s="1" a="1"/>
  <c r="H2420" i="448" s="1"/>
  <c r="E2756" i="448"/>
  <c r="E2755" i="448"/>
  <c r="E2753" i="448"/>
  <c r="E2752" i="448"/>
  <c r="E2750" i="448"/>
  <c r="E2749" i="448"/>
  <c r="E2747" i="448"/>
  <c r="E2746" i="448"/>
  <c r="E2744" i="448"/>
  <c r="G2754" i="448"/>
  <c r="G2751" i="448"/>
  <c r="G2748" i="448"/>
  <c r="G2745" i="448"/>
  <c r="G2743" i="448"/>
  <c r="G2450" i="448"/>
  <c r="H2450" i="448" s="1" a="1"/>
  <c r="H2450" i="448" s="1"/>
  <c r="H2449" i="448" s="1" a="1"/>
  <c r="H2449" i="448" s="1"/>
  <c r="E2450" i="448"/>
  <c r="G2449" i="448"/>
  <c r="E2420" i="448"/>
  <c r="G2419" i="448"/>
  <c r="E1996" i="448"/>
  <c r="E1995" i="448"/>
  <c r="E1994" i="448"/>
  <c r="E1993" i="448"/>
  <c r="E1991" i="448"/>
  <c r="E1990" i="448"/>
  <c r="E1989" i="448"/>
  <c r="E1988" i="448"/>
  <c r="E1986" i="448"/>
  <c r="E1985" i="448"/>
  <c r="E1984" i="448"/>
  <c r="E1983" i="448"/>
  <c r="E1981" i="448"/>
  <c r="E1980" i="448"/>
  <c r="E1979" i="448"/>
  <c r="E1978" i="448"/>
  <c r="E1976" i="448"/>
  <c r="E1975" i="448"/>
  <c r="E1974" i="448"/>
  <c r="E1973" i="448"/>
  <c r="E1971" i="448"/>
  <c r="E1970" i="448"/>
  <c r="E1969" i="448"/>
  <c r="E1968" i="448"/>
  <c r="E1949" i="448"/>
  <c r="E1948" i="448"/>
  <c r="E1947" i="448"/>
  <c r="E1946" i="448"/>
  <c r="E1944" i="448"/>
  <c r="E1943" i="448"/>
  <c r="E1942" i="448"/>
  <c r="E1941" i="448"/>
  <c r="E1939" i="448"/>
  <c r="E1938" i="448"/>
  <c r="E1937" i="448"/>
  <c r="E1936" i="448"/>
  <c r="E1934" i="448"/>
  <c r="E1933" i="448"/>
  <c r="E1932" i="448"/>
  <c r="E1931" i="448"/>
  <c r="E1929" i="448"/>
  <c r="E1928" i="448"/>
  <c r="E1927" i="448"/>
  <c r="E1926" i="448"/>
  <c r="E1924" i="448"/>
  <c r="E1923" i="448"/>
  <c r="E1922" i="448"/>
  <c r="E1921" i="448"/>
  <c r="G1992" i="448"/>
  <c r="G1987" i="448"/>
  <c r="G1982" i="448"/>
  <c r="G1977" i="448"/>
  <c r="G1972" i="448"/>
  <c r="G1967" i="448"/>
  <c r="G1945" i="448"/>
  <c r="G1940" i="448"/>
  <c r="G1935" i="448"/>
  <c r="G1930" i="448"/>
  <c r="G1925" i="448"/>
  <c r="G1920" i="448"/>
  <c r="E1415" i="448"/>
  <c r="E1414" i="448"/>
  <c r="E1413" i="448"/>
  <c r="E1412" i="448"/>
  <c r="G1411" i="448"/>
  <c r="E1410" i="448"/>
  <c r="E1409" i="448"/>
  <c r="E1408" i="448"/>
  <c r="E1407" i="448"/>
  <c r="G1406" i="448"/>
  <c r="E1375" i="448"/>
  <c r="E1374" i="448"/>
  <c r="E1373" i="448"/>
  <c r="E1372" i="448"/>
  <c r="G1371" i="448"/>
  <c r="E1370" i="448"/>
  <c r="E1369" i="448"/>
  <c r="E1368" i="448"/>
  <c r="E1367" i="448"/>
  <c r="G1366" i="448"/>
  <c r="H2419" i="448" l="1" a="1"/>
  <c r="H2419" i="448" s="1"/>
  <c r="N20" i="455"/>
  <c r="N28" i="455"/>
  <c r="G2312" i="448"/>
  <c r="E2312" i="448"/>
  <c r="G2998" i="448"/>
  <c r="H2998" i="448" s="1" a="1"/>
  <c r="H2998" i="448" s="1"/>
  <c r="G2997" i="448"/>
  <c r="G2994" i="448"/>
  <c r="H2994" i="448" s="1" a="1"/>
  <c r="H2994" i="448" s="1"/>
  <c r="G2993" i="448"/>
  <c r="G2990" i="448"/>
  <c r="H2990" i="448" s="1" a="1"/>
  <c r="H2990" i="448" s="1"/>
  <c r="G2989" i="448"/>
  <c r="G2988" i="448"/>
  <c r="E2234" i="448"/>
  <c r="E2233" i="448"/>
  <c r="G2232" i="448"/>
  <c r="E2264" i="448"/>
  <c r="E2263" i="448"/>
  <c r="E2262" i="448"/>
  <c r="E2261" i="448"/>
  <c r="G2260" i="448"/>
  <c r="E2257" i="448"/>
  <c r="E2256" i="448"/>
  <c r="G2255" i="448"/>
  <c r="E2558" i="448"/>
  <c r="G2557" i="448"/>
  <c r="E2214" i="448"/>
  <c r="E2212" i="448"/>
  <c r="G2211" i="448"/>
  <c r="E2178" i="448"/>
  <c r="E2177" i="448"/>
  <c r="G2176" i="448"/>
  <c r="G2234" i="448"/>
  <c r="H2234" i="448" s="1" a="1"/>
  <c r="H2234" i="448" s="1"/>
  <c r="E1786" i="448"/>
  <c r="E1785" i="448"/>
  <c r="E1784" i="448"/>
  <c r="G1783" i="448"/>
  <c r="E1778" i="448"/>
  <c r="E1777" i="448"/>
  <c r="E1776" i="448"/>
  <c r="G1775" i="448"/>
  <c r="E1790" i="448"/>
  <c r="E1789" i="448"/>
  <c r="E1788" i="448"/>
  <c r="G1787" i="448"/>
  <c r="E2027" i="448"/>
  <c r="E2026" i="448"/>
  <c r="E2025" i="448"/>
  <c r="G2024" i="448"/>
  <c r="E1839" i="448"/>
  <c r="E1838" i="448"/>
  <c r="E1837" i="448"/>
  <c r="E1836" i="448"/>
  <c r="G2756" i="448"/>
  <c r="H2756" i="448" s="1" a="1"/>
  <c r="H2756" i="448" s="1"/>
  <c r="G2753" i="448"/>
  <c r="H2753" i="448" s="1" a="1"/>
  <c r="H2753" i="448" s="1"/>
  <c r="G2750" i="448"/>
  <c r="H2750" i="448" s="1" a="1"/>
  <c r="H2750" i="448" s="1"/>
  <c r="G2747" i="448"/>
  <c r="H2747" i="448" s="1" a="1"/>
  <c r="H2747" i="448" s="1"/>
  <c r="G1988" i="448"/>
  <c r="G1983" i="448"/>
  <c r="G1993" i="448"/>
  <c r="G1941" i="448"/>
  <c r="G1367" i="448"/>
  <c r="G1412" i="448"/>
  <c r="G1372" i="448"/>
  <c r="G1931" i="448"/>
  <c r="G1978" i="448"/>
  <c r="G1968" i="448"/>
  <c r="G1936" i="448"/>
  <c r="G1973" i="448"/>
  <c r="H2993" i="448" l="1" a="1"/>
  <c r="H2993" i="448" s="1"/>
  <c r="H2992" i="448" s="1" a="1"/>
  <c r="H2992" i="448" s="1"/>
  <c r="H2989" i="448" a="1"/>
  <c r="H2989" i="448" s="1"/>
  <c r="H2988" i="448" s="1" a="1"/>
  <c r="H2988" i="448" s="1"/>
  <c r="H2997" i="448" a="1"/>
  <c r="H2997" i="448" s="1"/>
  <c r="H2996" i="448" s="1" a="1"/>
  <c r="H2996" i="448" s="1"/>
  <c r="G2744" i="448"/>
  <c r="H2744" i="448" s="1" a="1"/>
  <c r="H2744" i="448" s="1"/>
  <c r="H2743" i="448" s="1" a="1"/>
  <c r="H2743" i="448" s="1"/>
  <c r="G2709" i="448"/>
  <c r="H2709" i="448" s="1" a="1"/>
  <c r="H2709" i="448" s="1"/>
  <c r="G1946" i="448"/>
  <c r="G1407" i="448"/>
  <c r="G1926" i="448"/>
  <c r="G1921" i="448"/>
  <c r="G2178" i="448"/>
  <c r="H2178" i="448" s="1" a="1"/>
  <c r="H2178" i="448" s="1"/>
  <c r="G1792" i="448"/>
  <c r="G1788" i="448"/>
  <c r="G1836" i="448"/>
  <c r="G1839" i="448"/>
  <c r="H1839" i="448" s="1" a="1"/>
  <c r="H1839" i="448" s="1"/>
  <c r="E1717" i="448"/>
  <c r="G2565" i="448" l="1"/>
  <c r="G2637" i="448"/>
  <c r="G2561" i="448"/>
  <c r="H2561" i="448" s="1" a="1"/>
  <c r="H2561" i="448" s="1"/>
  <c r="G2233" i="448"/>
  <c r="H2233" i="448" s="1" a="1"/>
  <c r="H2233" i="448" s="1"/>
  <c r="H2232" i="448" s="1" a="1"/>
  <c r="H2232" i="448" s="1"/>
  <c r="G2263" i="448"/>
  <c r="G2257" i="448"/>
  <c r="H2257" i="448" s="1" a="1"/>
  <c r="H2257" i="448" s="1"/>
  <c r="G813" i="448"/>
  <c r="E814" i="448"/>
  <c r="E813" i="448"/>
  <c r="G812" i="448"/>
  <c r="G802" i="448"/>
  <c r="H802" i="448" s="1" a="1"/>
  <c r="H802" i="448" s="1"/>
  <c r="E802" i="448"/>
  <c r="E801" i="448"/>
  <c r="G800" i="448"/>
  <c r="E224" i="448"/>
  <c r="E223" i="448"/>
  <c r="E222" i="448"/>
  <c r="G221" i="448"/>
  <c r="E210" i="448" l="1"/>
  <c r="G210" i="448"/>
  <c r="H210" i="448" s="1" a="1"/>
  <c r="H210" i="448" s="1"/>
  <c r="H209" i="448" s="1" a="1"/>
  <c r="H209" i="448" s="1"/>
  <c r="G209" i="448"/>
  <c r="G295" i="448" l="1"/>
  <c r="H295" i="448" s="1" a="1"/>
  <c r="H295" i="448" s="1"/>
  <c r="H294" i="448" s="1" a="1"/>
  <c r="H294" i="448" s="1"/>
  <c r="G293" i="448"/>
  <c r="H293" i="448" s="1" a="1"/>
  <c r="H293" i="448" s="1"/>
  <c r="H292" i="448" s="1" a="1"/>
  <c r="H292" i="448" s="1"/>
  <c r="E297" i="448"/>
  <c r="G296" i="448"/>
  <c r="G294" i="448"/>
  <c r="G292" i="448"/>
  <c r="E205" i="448" l="1"/>
  <c r="E206" i="448"/>
  <c r="F206" i="448"/>
  <c r="F205" i="448"/>
  <c r="E419" i="448" l="1"/>
  <c r="E418" i="448"/>
  <c r="E417" i="448"/>
  <c r="G416" i="448"/>
  <c r="G467" i="448"/>
  <c r="E392" i="448"/>
  <c r="E391" i="448"/>
  <c r="E390" i="448"/>
  <c r="G389" i="448"/>
  <c r="G2182" i="448"/>
  <c r="H2182" i="448" s="1" a="1"/>
  <c r="H2182" i="448" s="1"/>
  <c r="G2166" i="448"/>
  <c r="H2166" i="448" s="1" a="1"/>
  <c r="H2166" i="448" s="1"/>
  <c r="G3079" i="448"/>
  <c r="G2170" i="448"/>
  <c r="H2170" i="448" s="1" a="1"/>
  <c r="H2170" i="448" s="1"/>
  <c r="G807" i="448"/>
  <c r="G804" i="448"/>
  <c r="G2714" i="448"/>
  <c r="G2717" i="448"/>
  <c r="G2724" i="448"/>
  <c r="G119" i="448"/>
  <c r="G2721" i="448"/>
  <c r="G3075" i="448"/>
  <c r="G75" i="448"/>
  <c r="G2217" i="448"/>
  <c r="H2217" i="448" s="1" a="1"/>
  <c r="H2217" i="448" s="1"/>
  <c r="H2216" i="448" s="1" a="1"/>
  <c r="H2216" i="448" s="1"/>
  <c r="G2729" i="448"/>
  <c r="G2725" i="448"/>
  <c r="G2460" i="448"/>
  <c r="H2460" i="448" s="1" a="1"/>
  <c r="H2460" i="448" s="1"/>
  <c r="G3070" i="448"/>
  <c r="H3070" i="448" s="1" a="1"/>
  <c r="H3070" i="448" s="1"/>
  <c r="G96" i="448"/>
  <c r="H96" i="448" s="1" a="1"/>
  <c r="H96" i="448" s="1"/>
  <c r="G633" i="448"/>
  <c r="H633" i="448" s="1" a="1"/>
  <c r="H633" i="448" s="1"/>
  <c r="H632" i="448" s="1" a="1"/>
  <c r="H632" i="448" s="1"/>
  <c r="G619" i="448"/>
  <c r="G341" i="448"/>
  <c r="G216" i="448"/>
  <c r="H216" i="448" s="1" a="1"/>
  <c r="H216" i="448" s="1"/>
  <c r="G244" i="448"/>
  <c r="H244" i="448" s="1" a="1"/>
  <c r="H244" i="448" s="1"/>
  <c r="G246" i="448"/>
  <c r="G691" i="448"/>
  <c r="G689" i="448"/>
  <c r="H689" i="448" s="1" a="1"/>
  <c r="H689" i="448" s="1"/>
  <c r="G1273" i="448"/>
  <c r="G2129" i="448"/>
  <c r="H2129" i="448" s="1" a="1"/>
  <c r="H2129" i="448" s="1"/>
  <c r="G3085" i="448"/>
  <c r="G3083" i="448"/>
  <c r="H3083" i="448" s="1" a="1"/>
  <c r="H3083" i="448" s="1"/>
  <c r="G2758" i="448"/>
  <c r="H2758" i="448" s="1" a="1"/>
  <c r="H2758" i="448" s="1"/>
  <c r="G2299" i="448"/>
  <c r="H2299" i="448" s="1" a="1"/>
  <c r="H2299" i="448" s="1"/>
  <c r="G2297" i="448"/>
  <c r="H2297" i="448" s="1" a="1"/>
  <c r="H2297" i="448" s="1"/>
  <c r="G2462" i="448"/>
  <c r="G1497" i="448"/>
  <c r="H1497" i="448" s="1" a="1"/>
  <c r="H1497" i="448" s="1"/>
  <c r="G1493" i="448"/>
  <c r="H1493" i="448" s="1" a="1"/>
  <c r="H1493" i="448" s="1"/>
  <c r="G1491" i="448"/>
  <c r="H1491" i="448" s="1" a="1"/>
  <c r="H1491" i="448" s="1"/>
  <c r="G1489" i="448"/>
  <c r="H1489" i="448" s="1" a="1"/>
  <c r="H1489" i="448" s="1"/>
  <c r="G1163" i="448"/>
  <c r="H1163" i="448" s="1" a="1"/>
  <c r="H1163" i="448" s="1"/>
  <c r="G1161" i="448"/>
  <c r="H1161" i="448" s="1" a="1"/>
  <c r="H1161" i="448" s="1"/>
  <c r="G1169" i="448"/>
  <c r="G1165" i="448"/>
  <c r="H1165" i="448" s="1" a="1"/>
  <c r="H1165" i="448" s="1"/>
  <c r="G1159" i="448"/>
  <c r="H1159" i="448" s="1" a="1"/>
  <c r="H1159" i="448" s="1"/>
  <c r="G2766" i="448"/>
  <c r="H2766" i="448" s="1" a="1"/>
  <c r="H2766" i="448" s="1"/>
  <c r="G2774" i="448"/>
  <c r="H2774" i="448" s="1" a="1"/>
  <c r="H2774" i="448" s="1"/>
  <c r="G2770" i="448"/>
  <c r="H2770" i="448" s="1" a="1"/>
  <c r="H2770" i="448" s="1"/>
  <c r="G2764" i="448"/>
  <c r="H2764" i="448" s="1" a="1"/>
  <c r="H2764" i="448" s="1"/>
  <c r="G2772" i="448"/>
  <c r="H2772" i="448" s="1" a="1"/>
  <c r="H2772" i="448" s="1"/>
  <c r="G2768" i="448"/>
  <c r="H2768" i="448" s="1" a="1"/>
  <c r="H2768" i="448" s="1"/>
  <c r="G1564" i="448"/>
  <c r="H1564" i="448" s="1" a="1"/>
  <c r="H1564" i="448" s="1"/>
  <c r="G1561" i="448"/>
  <c r="H1561" i="448" s="1" a="1"/>
  <c r="H1561" i="448" s="1"/>
  <c r="H1560" i="448" s="1" a="1"/>
  <c r="H1560" i="448" s="1"/>
  <c r="G2133" i="448"/>
  <c r="H2133" i="448" s="1" a="1"/>
  <c r="H2133" i="448" s="1"/>
  <c r="G1501" i="448"/>
  <c r="H1501" i="448" s="1" a="1"/>
  <c r="H1501" i="448" s="1"/>
  <c r="G1767" i="448"/>
  <c r="H1767" i="448" s="1" a="1"/>
  <c r="H1767" i="448" s="1"/>
  <c r="G1483" i="448"/>
  <c r="H1483" i="448" s="1" a="1"/>
  <c r="H1483" i="448" s="1"/>
  <c r="G1505" i="448"/>
  <c r="G1503" i="448"/>
  <c r="H1503" i="448" s="1" a="1"/>
  <c r="H1503" i="448" s="1"/>
  <c r="G2119" i="448"/>
  <c r="H2119" i="448" s="1" a="1"/>
  <c r="H2119" i="448" s="1"/>
  <c r="G2135" i="448"/>
  <c r="H2135" i="448" s="1" a="1"/>
  <c r="H2135" i="448" s="1"/>
  <c r="G1566" i="448"/>
  <c r="H1566" i="448" s="1" a="1"/>
  <c r="H1566" i="448" s="1"/>
  <c r="G2293" i="448"/>
  <c r="H2293" i="448" s="1" a="1"/>
  <c r="H2293" i="448" s="1"/>
  <c r="G2285" i="448"/>
  <c r="H2285" i="448" s="1" a="1"/>
  <c r="H2285" i="448" s="1"/>
  <c r="G2283" i="448"/>
  <c r="H2283" i="448" s="1" a="1"/>
  <c r="H2283" i="448" s="1"/>
  <c r="G2301" i="448"/>
  <c r="G1487" i="448"/>
  <c r="H1487" i="448" s="1" a="1"/>
  <c r="H1487" i="448" s="1"/>
  <c r="G2141" i="448"/>
  <c r="H2141" i="448" s="1" a="1"/>
  <c r="H2141" i="448" s="1"/>
  <c r="G2139" i="448"/>
  <c r="H2139" i="448" s="1" a="1"/>
  <c r="H2139" i="448" s="1"/>
  <c r="H2138" i="448" s="1" a="1"/>
  <c r="H2138" i="448" s="1"/>
  <c r="G1748" i="448"/>
  <c r="H1748" i="448" s="1" a="1"/>
  <c r="H1748" i="448" s="1"/>
  <c r="G1744" i="448"/>
  <c r="G2145" i="448"/>
  <c r="H2145" i="448" s="1" a="1"/>
  <c r="H2145" i="448" s="1"/>
  <c r="G2147" i="448"/>
  <c r="G2143" i="448"/>
  <c r="H2143" i="448" s="1" a="1"/>
  <c r="H2143" i="448" s="1"/>
  <c r="G2137" i="448"/>
  <c r="H2137" i="448" s="1" a="1"/>
  <c r="H2137" i="448" s="1"/>
  <c r="G2131" i="448"/>
  <c r="H2131" i="448" s="1" a="1"/>
  <c r="H2131" i="448" s="1"/>
  <c r="G3000" i="448"/>
  <c r="G1175" i="448"/>
  <c r="G2005" i="448"/>
  <c r="H2005" i="448" s="1" a="1"/>
  <c r="H2005" i="448" s="1"/>
  <c r="G1544" i="448"/>
  <c r="H1544" i="448" s="1" a="1"/>
  <c r="H1544" i="448" s="1"/>
  <c r="G1556" i="448"/>
  <c r="H1556" i="448" s="1" a="1"/>
  <c r="H1556" i="448" s="1"/>
  <c r="G1546" i="448"/>
  <c r="H1546" i="448" s="1" a="1"/>
  <c r="H1546" i="448" s="1"/>
  <c r="G479" i="448"/>
  <c r="G421" i="448"/>
  <c r="G267" i="448"/>
  <c r="H267" i="448" s="1" a="1"/>
  <c r="H267" i="448" s="1"/>
  <c r="G265" i="448"/>
  <c r="H265" i="448" s="1" a="1"/>
  <c r="H265" i="448" s="1"/>
  <c r="G263" i="448"/>
  <c r="H263" i="448" s="1" a="1"/>
  <c r="H263" i="448" s="1"/>
  <c r="G261" i="448"/>
  <c r="H261" i="448" s="1" a="1"/>
  <c r="H261" i="448" s="1"/>
  <c r="G255" i="448"/>
  <c r="H255" i="448" s="1" a="1"/>
  <c r="H255" i="448" s="1"/>
  <c r="G253" i="448"/>
  <c r="H253" i="448" s="1" a="1"/>
  <c r="H253" i="448" s="1"/>
  <c r="G251" i="448"/>
  <c r="H251" i="448" s="1" a="1"/>
  <c r="H251" i="448" s="1"/>
  <c r="G249" i="448"/>
  <c r="H249" i="448" s="1" a="1"/>
  <c r="H249" i="448" s="1"/>
  <c r="G281" i="448"/>
  <c r="H281" i="448" s="1" a="1"/>
  <c r="H281" i="448" s="1"/>
  <c r="G269" i="448"/>
  <c r="H269" i="448" s="1" a="1"/>
  <c r="H269" i="448" s="1"/>
  <c r="G683" i="448"/>
  <c r="H683" i="448" s="1" a="1"/>
  <c r="H683" i="448" s="1"/>
  <c r="G679" i="448"/>
  <c r="H679" i="448" s="1" a="1"/>
  <c r="H679" i="448" s="1"/>
  <c r="G212" i="448"/>
  <c r="H212" i="448" s="1" a="1"/>
  <c r="H212" i="448" s="1"/>
  <c r="G234" i="448"/>
  <c r="H234" i="448" s="1" a="1"/>
  <c r="H234" i="448" s="1"/>
  <c r="G232" i="448"/>
  <c r="H232" i="448" s="1" a="1"/>
  <c r="H232" i="448" s="1"/>
  <c r="G230" i="448"/>
  <c r="H230" i="448" s="1" a="1"/>
  <c r="H230" i="448" s="1"/>
  <c r="G2058" i="448"/>
  <c r="H2058" i="448" s="1" a="1"/>
  <c r="H2058" i="448" s="1"/>
  <c r="H2057" i="448" s="1" a="1"/>
  <c r="H2057" i="448" s="1"/>
  <c r="G2055" i="448"/>
  <c r="H2055" i="448" s="1" a="1"/>
  <c r="H2055" i="448" s="1"/>
  <c r="G2044" i="448"/>
  <c r="G2047" i="448"/>
  <c r="G2030" i="448"/>
  <c r="H2030" i="448" s="1" a="1"/>
  <c r="H2030" i="448" s="1"/>
  <c r="G2691" i="448"/>
  <c r="G1916" i="448"/>
  <c r="G1758" i="448"/>
  <c r="H1758" i="448" s="1" a="1"/>
  <c r="H1758" i="448" s="1"/>
  <c r="G2111" i="448"/>
  <c r="G2107" i="448"/>
  <c r="G1437" i="448"/>
  <c r="G1417" i="448"/>
  <c r="G1563" i="448"/>
  <c r="G1901" i="448"/>
  <c r="G1896" i="448"/>
  <c r="G1861" i="448"/>
  <c r="G1762" i="448"/>
  <c r="H1762" i="448" s="1" a="1"/>
  <c r="H1762" i="448" s="1"/>
  <c r="G2686" i="448"/>
  <c r="G2660" i="448"/>
  <c r="G1906" i="448"/>
  <c r="G2700" i="448"/>
  <c r="G1871" i="448"/>
  <c r="G1866" i="448"/>
  <c r="G1856" i="448"/>
  <c r="G1347" i="448"/>
  <c r="G1766" i="448"/>
  <c r="G2004" i="448"/>
  <c r="G1317" i="448"/>
  <c r="G1432" i="448"/>
  <c r="G2925" i="448"/>
  <c r="G2640" i="448"/>
  <c r="G2701" i="448"/>
  <c r="H2701" i="448" s="1" a="1"/>
  <c r="H2701" i="448" s="1"/>
  <c r="H2700" i="448" s="1" a="1"/>
  <c r="H2700" i="448" s="1"/>
  <c r="G1769" i="448"/>
  <c r="H1769" i="448" s="1" a="1"/>
  <c r="H1769" i="448" s="1"/>
  <c r="H1768" i="448" s="1" a="1"/>
  <c r="H1768" i="448" s="1"/>
  <c r="G1771" i="448"/>
  <c r="G1838" i="448"/>
  <c r="H1838" i="448" s="1" a="1"/>
  <c r="H1838" i="448" s="1"/>
  <c r="G388" i="448"/>
  <c r="H388" i="448" s="1" a="1"/>
  <c r="H388" i="448" s="1"/>
  <c r="G630" i="448"/>
  <c r="G2975" i="448"/>
  <c r="G7" i="448"/>
  <c r="G192" i="448"/>
  <c r="G632" i="448"/>
  <c r="G63" i="448"/>
  <c r="G153" i="448"/>
  <c r="G351" i="448"/>
  <c r="G2936" i="448"/>
  <c r="G2796" i="448"/>
  <c r="G2806" i="448"/>
  <c r="G2848" i="448"/>
  <c r="G2780" i="448"/>
  <c r="G2827" i="448"/>
  <c r="G2795" i="448"/>
  <c r="G3037" i="448"/>
  <c r="G2530" i="448"/>
  <c r="G1463" i="448"/>
  <c r="G1473" i="448"/>
  <c r="G1448" i="448"/>
  <c r="G1466" i="448"/>
  <c r="G1773" i="448"/>
  <c r="G1774" i="448"/>
  <c r="H1774" i="448" s="1" a="1"/>
  <c r="H1774" i="448" s="1"/>
  <c r="G2923" i="448"/>
  <c r="H2923" i="448" s="1" a="1"/>
  <c r="H2923" i="448" s="1"/>
  <c r="G1294" i="448"/>
  <c r="H1294" i="448" s="1" a="1"/>
  <c r="H1294" i="448" s="1"/>
  <c r="G1298" i="448"/>
  <c r="H1298" i="448" s="1" a="1"/>
  <c r="H1298" i="448" s="1"/>
  <c r="H1297" i="448" s="1" a="1"/>
  <c r="H1297" i="448" s="1"/>
  <c r="G2315" i="448"/>
  <c r="G1524" i="448"/>
  <c r="H1524" i="448" s="1" a="1"/>
  <c r="H1524" i="448" s="1"/>
  <c r="G1526" i="448"/>
  <c r="G2931" i="448"/>
  <c r="H2931" i="448" s="1" a="1"/>
  <c r="H2931" i="448" s="1"/>
  <c r="G1742" i="448"/>
  <c r="H1742" i="448" s="1" a="1"/>
  <c r="H1742" i="448" s="1"/>
  <c r="G3067" i="448"/>
  <c r="G226" i="448"/>
  <c r="H226" i="448" s="1" a="1"/>
  <c r="H226" i="448" s="1"/>
  <c r="G3052" i="448"/>
  <c r="H3052" i="448" s="1" a="1"/>
  <c r="H3052" i="448" s="1"/>
  <c r="G1182" i="448"/>
  <c r="G3068" i="448"/>
  <c r="H3068" i="448" s="1" a="1"/>
  <c r="H3068" i="448" s="1"/>
  <c r="G2953" i="448"/>
  <c r="H2953" i="448" s="1" a="1"/>
  <c r="H2953" i="448" s="1"/>
  <c r="G2830" i="448"/>
  <c r="G2518" i="448"/>
  <c r="G635" i="448"/>
  <c r="H635" i="448" s="1" a="1"/>
  <c r="H635" i="448" s="1"/>
  <c r="G12" i="448"/>
  <c r="G2359" i="448"/>
  <c r="H2359" i="448" s="1" a="1"/>
  <c r="H2359" i="448" s="1"/>
  <c r="H2358" i="448" s="1" a="1"/>
  <c r="H2358" i="448" s="1"/>
  <c r="G2807" i="448"/>
  <c r="G2029" i="448"/>
  <c r="G199" i="448"/>
  <c r="G161" i="448"/>
  <c r="G2742" i="448"/>
  <c r="H2742" i="448" s="1" a="1"/>
  <c r="H2742" i="448" s="1"/>
  <c r="G142" i="448"/>
  <c r="G811" i="448"/>
  <c r="H811" i="448" s="1" a="1"/>
  <c r="H811" i="448" s="1"/>
  <c r="G2057" i="448"/>
  <c r="G3050" i="448"/>
  <c r="H3050" i="448" s="1" a="1"/>
  <c r="H3050" i="448" s="1"/>
  <c r="G3059" i="448"/>
  <c r="G3058" i="448"/>
  <c r="G3029" i="448"/>
  <c r="G240" i="448"/>
  <c r="H240" i="448" s="1" a="1"/>
  <c r="H240" i="448" s="1"/>
  <c r="G3049" i="448"/>
  <c r="G3024" i="448"/>
  <c r="G3060" i="448"/>
  <c r="H3060" i="448" s="1" a="1"/>
  <c r="H3060" i="448" s="1"/>
  <c r="G3015" i="448"/>
  <c r="G3009" i="448"/>
  <c r="H3009" i="448" s="1" a="1"/>
  <c r="H3009" i="448" s="1"/>
  <c r="G2922" i="448"/>
  <c r="G631" i="448"/>
  <c r="G356" i="448"/>
  <c r="H356" i="448" s="1" a="1"/>
  <c r="H356" i="448" s="1"/>
  <c r="G171" i="448"/>
  <c r="G1731" i="448"/>
  <c r="G496" i="448"/>
  <c r="H496" i="448" s="1" a="1"/>
  <c r="H496" i="448" s="1"/>
  <c r="G163" i="448"/>
  <c r="H163" i="448" s="1" a="1"/>
  <c r="H163" i="448" s="1"/>
  <c r="G68" i="448"/>
  <c r="G128" i="448"/>
  <c r="G102" i="448"/>
  <c r="G528" i="448"/>
  <c r="G1560" i="448"/>
  <c r="G2933" i="448"/>
  <c r="H2933" i="448" s="1" a="1"/>
  <c r="H2933" i="448" s="1"/>
  <c r="G346" i="448"/>
  <c r="G1747" i="448"/>
  <c r="G79" i="448"/>
  <c r="G537" i="448"/>
  <c r="H537" i="448" s="1" a="1"/>
  <c r="H537" i="448" s="1"/>
  <c r="G187" i="448"/>
  <c r="G489" i="448"/>
  <c r="G160" i="448"/>
  <c r="G150" i="448"/>
  <c r="G1179" i="448"/>
  <c r="G1176" i="448"/>
  <c r="H1176" i="448" s="1" a="1"/>
  <c r="H1176" i="448" s="1"/>
  <c r="G2890" i="448"/>
  <c r="H2890" i="448" s="1" a="1"/>
  <c r="H2890" i="448" s="1"/>
  <c r="G2912" i="448"/>
  <c r="H2912" i="448" s="1" a="1"/>
  <c r="H2912" i="448" s="1"/>
  <c r="G2875" i="448"/>
  <c r="G2910" i="448"/>
  <c r="G2823" i="448"/>
  <c r="G2822" i="448"/>
  <c r="G2911" i="448"/>
  <c r="G2819" i="448"/>
  <c r="H2819" i="448" s="1" a="1"/>
  <c r="H2819" i="448" s="1"/>
  <c r="G2902" i="448"/>
  <c r="H2902" i="448" s="1" a="1"/>
  <c r="H2902" i="448" s="1"/>
  <c r="G2896" i="448"/>
  <c r="H2896" i="448" s="1" a="1"/>
  <c r="H2896" i="448" s="1"/>
  <c r="H2895" i="448" s="1" a="1"/>
  <c r="H2895" i="448" s="1"/>
  <c r="G2864" i="448"/>
  <c r="G2874" i="448"/>
  <c r="G2787" i="448"/>
  <c r="G2844" i="448"/>
  <c r="G2834" i="448"/>
  <c r="G2803" i="448"/>
  <c r="G2821" i="448"/>
  <c r="G2898" i="448"/>
  <c r="H2898" i="448" s="1" a="1"/>
  <c r="H2898" i="448" s="1"/>
  <c r="G2846" i="448"/>
  <c r="G2826" i="448"/>
  <c r="G2801" i="448"/>
  <c r="H2801" i="448" s="1" a="1"/>
  <c r="H2801" i="448" s="1"/>
  <c r="H2800" i="448" s="1" a="1"/>
  <c r="H2800" i="448" s="1"/>
  <c r="G2892" i="448"/>
  <c r="H2892" i="448" s="1" a="1"/>
  <c r="H2892" i="448" s="1"/>
  <c r="G2908" i="448"/>
  <c r="H2908" i="448" s="1" a="1"/>
  <c r="H2908" i="448" s="1"/>
  <c r="G2904" i="448"/>
  <c r="H2904" i="448" s="1" a="1"/>
  <c r="H2904" i="448" s="1"/>
  <c r="G2824" i="448"/>
  <c r="G2906" i="448"/>
  <c r="H2906" i="448" s="1" a="1"/>
  <c r="H2906" i="448" s="1"/>
  <c r="G138" i="448"/>
  <c r="G2879" i="448"/>
  <c r="G2797" i="448"/>
  <c r="G1195" i="448"/>
  <c r="G1670" i="448"/>
  <c r="H1670" i="448" s="1" a="1"/>
  <c r="H1670" i="448" s="1"/>
  <c r="G1664" i="448"/>
  <c r="G1199" i="448"/>
  <c r="H1199" i="448" s="1" a="1"/>
  <c r="H1199" i="448" s="1"/>
  <c r="G1202" i="448"/>
  <c r="G1196" i="448"/>
  <c r="H1196" i="448" s="1" a="1"/>
  <c r="H1196" i="448" s="1"/>
  <c r="G1192" i="448"/>
  <c r="G2418" i="448"/>
  <c r="H2418" i="448" s="1" a="1"/>
  <c r="H2418" i="448" s="1"/>
  <c r="G1143" i="448"/>
  <c r="H1143" i="448" s="1" a="1"/>
  <c r="H1143" i="448" s="1"/>
  <c r="G2448" i="448"/>
  <c r="H2448" i="448" s="1" a="1"/>
  <c r="H2448" i="448" s="1"/>
  <c r="G2446" i="448"/>
  <c r="H2446" i="448" s="1" a="1"/>
  <c r="H2446" i="448" s="1"/>
  <c r="G2428" i="448"/>
  <c r="H2428" i="448" s="1" a="1"/>
  <c r="H2428" i="448" s="1"/>
  <c r="G2426" i="448"/>
  <c r="H2426" i="448" s="1" a="1"/>
  <c r="H2426" i="448" s="1"/>
  <c r="G1764" i="448"/>
  <c r="H1764" i="448" s="1" a="1"/>
  <c r="H1764" i="448" s="1"/>
  <c r="G2342" i="448"/>
  <c r="H2342" i="448" s="1" a="1"/>
  <c r="H2342" i="448" s="1"/>
  <c r="G2338" i="448"/>
  <c r="H2338" i="448" s="1" a="1"/>
  <c r="H2338" i="448" s="1"/>
  <c r="G2928" i="448"/>
  <c r="H2928" i="448" s="1" a="1"/>
  <c r="H2928" i="448" s="1"/>
  <c r="G2379" i="448"/>
  <c r="G2367" i="448"/>
  <c r="G2373" i="448"/>
  <c r="G2364" i="448"/>
  <c r="G2376" i="448"/>
  <c r="G2361" i="448"/>
  <c r="G2358" i="448"/>
  <c r="G2370" i="448"/>
  <c r="G2406" i="448"/>
  <c r="G2388" i="448"/>
  <c r="G2349" i="448"/>
  <c r="H2349" i="448" s="1" a="1"/>
  <c r="H2349" i="448" s="1"/>
  <c r="G2353" i="448"/>
  <c r="H2353" i="448" s="1" a="1"/>
  <c r="H2353" i="448" s="1"/>
  <c r="H2352" i="448" s="1" a="1"/>
  <c r="H2352" i="448" s="1"/>
  <c r="H2351" i="448" s="1" a="1"/>
  <c r="H2351" i="448" s="1"/>
  <c r="H2350" i="448" s="1" a="1"/>
  <c r="H2350" i="448" s="1"/>
  <c r="G2324" i="448"/>
  <c r="H2324" i="448" s="1" a="1"/>
  <c r="H2324" i="448" s="1"/>
  <c r="G2340" i="448"/>
  <c r="H2340" i="448" s="1" a="1"/>
  <c r="H2340" i="448" s="1"/>
  <c r="G2344" i="448"/>
  <c r="H2344" i="448" s="1" a="1"/>
  <c r="H2344" i="448" s="1"/>
  <c r="G2330" i="448"/>
  <c r="H2330" i="448" s="1" a="1"/>
  <c r="H2330" i="448" s="1"/>
  <c r="G2334" i="448"/>
  <c r="H2334" i="448" s="1" a="1"/>
  <c r="H2334" i="448" s="1"/>
  <c r="G2310" i="448"/>
  <c r="H2310" i="448" s="1" a="1"/>
  <c r="H2310" i="448" s="1"/>
  <c r="G237" i="448"/>
  <c r="G239" i="448"/>
  <c r="G3056" i="448"/>
  <c r="G3046" i="448"/>
  <c r="G3054" i="448"/>
  <c r="G3045" i="448"/>
  <c r="G673" i="448"/>
  <c r="G677" i="448"/>
  <c r="H677" i="448" s="1" a="1"/>
  <c r="H677" i="448" s="1"/>
  <c r="G172" i="448"/>
  <c r="G681" i="448"/>
  <c r="H681" i="448" s="1" a="1"/>
  <c r="H681" i="448" s="1"/>
  <c r="H680" i="448" s="1" a="1"/>
  <c r="H680" i="448" s="1"/>
  <c r="G238" i="448"/>
  <c r="G236" i="448"/>
  <c r="G3055" i="448"/>
  <c r="G285" i="448"/>
  <c r="H285" i="448" s="1" a="1"/>
  <c r="H285" i="448" s="1"/>
  <c r="G287" i="448"/>
  <c r="H287" i="448" s="1" a="1"/>
  <c r="H287" i="448" s="1"/>
  <c r="G208" i="448"/>
  <c r="H208" i="448" s="1" a="1"/>
  <c r="H208" i="448" s="1"/>
  <c r="G206" i="448"/>
  <c r="H206" i="448" s="1" a="1"/>
  <c r="H206" i="448" s="1"/>
  <c r="G205" i="448"/>
  <c r="G167" i="448"/>
  <c r="G177" i="448"/>
  <c r="G198" i="448"/>
  <c r="G200" i="448"/>
  <c r="H200" i="448" s="1" a="1"/>
  <c r="H200" i="448" s="1"/>
  <c r="G144" i="448"/>
  <c r="H144" i="448" s="1" a="1"/>
  <c r="H144" i="448" s="1"/>
  <c r="G143" i="448"/>
  <c r="G162" i="448"/>
  <c r="G190" i="448"/>
  <c r="H190" i="448" s="1" a="1"/>
  <c r="H190" i="448" s="1"/>
  <c r="G2520" i="448"/>
  <c r="H2520" i="448" s="1" a="1"/>
  <c r="H2520" i="448" s="1"/>
  <c r="G833" i="448"/>
  <c r="H833" i="448" s="1" a="1"/>
  <c r="H833" i="448" s="1"/>
  <c r="H832" i="448" s="1" a="1"/>
  <c r="H832" i="448" s="1"/>
  <c r="G829" i="448"/>
  <c r="H829" i="448" s="1" a="1"/>
  <c r="H829" i="448" s="1"/>
  <c r="H828" i="448" s="1" a="1"/>
  <c r="H828" i="448" s="1"/>
  <c r="G816" i="448"/>
  <c r="G1085" i="448"/>
  <c r="G1096" i="448"/>
  <c r="G1120" i="448"/>
  <c r="G873" i="448"/>
  <c r="G671" i="448"/>
  <c r="H671" i="448" s="1" a="1"/>
  <c r="H671" i="448" s="1"/>
  <c r="G670" i="448"/>
  <c r="G669" i="448"/>
  <c r="G668" i="448"/>
  <c r="G666" i="448"/>
  <c r="G665" i="448"/>
  <c r="G664" i="448"/>
  <c r="G641" i="448"/>
  <c r="H641" i="448" s="1" a="1"/>
  <c r="H641" i="448" s="1"/>
  <c r="G640" i="448"/>
  <c r="G639" i="448"/>
  <c r="G638" i="448"/>
  <c r="G637" i="448"/>
  <c r="G796" i="448"/>
  <c r="H796" i="448" s="1" a="1"/>
  <c r="H796" i="448" s="1"/>
  <c r="G794" i="448"/>
  <c r="H794" i="448" s="1" a="1"/>
  <c r="H794" i="448" s="1"/>
  <c r="G417" i="448"/>
  <c r="G409" i="448"/>
  <c r="G618" i="448"/>
  <c r="G337" i="448"/>
  <c r="G333" i="448"/>
  <c r="G329" i="448"/>
  <c r="G475" i="448"/>
  <c r="G325" i="448"/>
  <c r="G3035" i="448"/>
  <c r="H3035" i="448" s="1" a="1"/>
  <c r="H3035" i="448" s="1"/>
  <c r="H3034" i="448" s="1" a="1"/>
  <c r="H3034" i="448" s="1"/>
  <c r="G196" i="448"/>
  <c r="H196" i="448" s="1" a="1"/>
  <c r="H196" i="448" s="1"/>
  <c r="G222" i="448"/>
  <c r="G195" i="448"/>
  <c r="G5" i="448"/>
  <c r="G116" i="448"/>
  <c r="G2937" i="448"/>
  <c r="H2937" i="448" s="1" a="1"/>
  <c r="H2937" i="448" s="1"/>
  <c r="G2921" i="448"/>
  <c r="G2941" i="448"/>
  <c r="H2941" i="448" s="1" a="1"/>
  <c r="H2941" i="448" s="1"/>
  <c r="G2985" i="448"/>
  <c r="G2973" i="448"/>
  <c r="G2961" i="448"/>
  <c r="G2955" i="448"/>
  <c r="G2949" i="448"/>
  <c r="G2943" i="448"/>
  <c r="G2918" i="448"/>
  <c r="G2916" i="448"/>
  <c r="H2916" i="448" s="1" a="1"/>
  <c r="H2916" i="448" s="1"/>
  <c r="H2915" i="448" s="1" a="1"/>
  <c r="H2915" i="448" s="1"/>
  <c r="G2914" i="448"/>
  <c r="H2914" i="448" s="1" a="1"/>
  <c r="H2914" i="448" s="1"/>
  <c r="H2913" i="448" s="1" a="1"/>
  <c r="H2913" i="448" s="1"/>
  <c r="G2279" i="448"/>
  <c r="G2275" i="448"/>
  <c r="G3066" i="448"/>
  <c r="G1283" i="448"/>
  <c r="H1283" i="448" s="1" a="1"/>
  <c r="H1283" i="448" s="1"/>
  <c r="G1707" i="448"/>
  <c r="G1702" i="448"/>
  <c r="G808" i="448"/>
  <c r="H808" i="448" s="1" a="1"/>
  <c r="H808" i="448" s="1"/>
  <c r="G1287" i="448"/>
  <c r="G2696" i="448"/>
  <c r="H2696" i="448" s="1" a="1"/>
  <c r="H2696" i="448" s="1"/>
  <c r="G772" i="448"/>
  <c r="G766" i="448"/>
  <c r="G754" i="448"/>
  <c r="G751" i="448"/>
  <c r="G745" i="448"/>
  <c r="G742" i="448"/>
  <c r="G799" i="448"/>
  <c r="H799" i="448" s="1" a="1"/>
  <c r="H799" i="448" s="1"/>
  <c r="G712" i="448"/>
  <c r="G706" i="448"/>
  <c r="G763" i="448"/>
  <c r="G760" i="448"/>
  <c r="G791" i="448"/>
  <c r="G787" i="448"/>
  <c r="G790" i="448"/>
  <c r="G782" i="448"/>
  <c r="G783" i="448"/>
  <c r="G784" i="448"/>
  <c r="G785" i="448"/>
  <c r="G786" i="448"/>
  <c r="G775" i="448"/>
  <c r="G776" i="448"/>
  <c r="G777" i="448"/>
  <c r="G778" i="448"/>
  <c r="G779" i="448"/>
  <c r="G8" i="448"/>
  <c r="G817" i="448"/>
  <c r="G598" i="448"/>
  <c r="G602" i="448"/>
  <c r="G132" i="448"/>
  <c r="G822" i="448"/>
  <c r="G2698" i="448"/>
  <c r="H2698" i="448" s="1" a="1"/>
  <c r="H2698" i="448" s="1"/>
  <c r="G390" i="448"/>
  <c r="G362" i="448"/>
  <c r="G463" i="448"/>
  <c r="G317" i="448"/>
  <c r="G582" i="448"/>
  <c r="G578" i="448"/>
  <c r="G305" i="448"/>
  <c r="G603" i="448"/>
  <c r="D2" i="449"/>
  <c r="G395" i="448" s="1"/>
  <c r="A2" i="449"/>
  <c r="E3085" i="448"/>
  <c r="G3084" i="448"/>
  <c r="E3083" i="448"/>
  <c r="G3082" i="448"/>
  <c r="E3081" i="448"/>
  <c r="E3080" i="448"/>
  <c r="E3079" i="448"/>
  <c r="E3078" i="448"/>
  <c r="G3077" i="448"/>
  <c r="E3076" i="448"/>
  <c r="E3075" i="448"/>
  <c r="E3074" i="448"/>
  <c r="E3073" i="448"/>
  <c r="E3072" i="448"/>
  <c r="G3071" i="448"/>
  <c r="E3070" i="448"/>
  <c r="G3069" i="448"/>
  <c r="E3068" i="448"/>
  <c r="E3067" i="448"/>
  <c r="E3066" i="448"/>
  <c r="G3065" i="448"/>
  <c r="E3060" i="448"/>
  <c r="E3059" i="448"/>
  <c r="E3058" i="448"/>
  <c r="E3057" i="448"/>
  <c r="E3056" i="448"/>
  <c r="E3055" i="448"/>
  <c r="E3054" i="448"/>
  <c r="G3053" i="448"/>
  <c r="E3052" i="448"/>
  <c r="G3051" i="448"/>
  <c r="E3050" i="448"/>
  <c r="E3049" i="448"/>
  <c r="E3048" i="448"/>
  <c r="E3047" i="448"/>
  <c r="E3046" i="448"/>
  <c r="E3045" i="448"/>
  <c r="G3044" i="448"/>
  <c r="E3035" i="448"/>
  <c r="G3034" i="448"/>
  <c r="E3033" i="448"/>
  <c r="E3032" i="448"/>
  <c r="E3031" i="448"/>
  <c r="E3030" i="448"/>
  <c r="E3029" i="448"/>
  <c r="E3028" i="448"/>
  <c r="E3027" i="448"/>
  <c r="G3026" i="448"/>
  <c r="E3025" i="448"/>
  <c r="E3024" i="448"/>
  <c r="E3023" i="448"/>
  <c r="E3022" i="448"/>
  <c r="E3021" i="448"/>
  <c r="E3020" i="448"/>
  <c r="E3019" i="448"/>
  <c r="G3018" i="448"/>
  <c r="E3017" i="448"/>
  <c r="E3016" i="448"/>
  <c r="E3015" i="448"/>
  <c r="E3014" i="448"/>
  <c r="E3013" i="448"/>
  <c r="E3012" i="448"/>
  <c r="E3011" i="448"/>
  <c r="G3010" i="448"/>
  <c r="E3009" i="448"/>
  <c r="E3008" i="448"/>
  <c r="E3007" i="448"/>
  <c r="E3006" i="448"/>
  <c r="E3005" i="448"/>
  <c r="E3004" i="448"/>
  <c r="E3003" i="448"/>
  <c r="G3002" i="448"/>
  <c r="G3001" i="448"/>
  <c r="H3001" i="448" s="1" a="1"/>
  <c r="H3001" i="448" s="1"/>
  <c r="E3000" i="448"/>
  <c r="G2999" i="448"/>
  <c r="E2987" i="448"/>
  <c r="E2986" i="448"/>
  <c r="E2985" i="448"/>
  <c r="E2984" i="448"/>
  <c r="G2983" i="448"/>
  <c r="E2977" i="448"/>
  <c r="E2976" i="448"/>
  <c r="E2975" i="448"/>
  <c r="E2974" i="448"/>
  <c r="E2973" i="448"/>
  <c r="G2972" i="448"/>
  <c r="E2965" i="448"/>
  <c r="E2964" i="448"/>
  <c r="E2963" i="448"/>
  <c r="E2962" i="448"/>
  <c r="E2961" i="448"/>
  <c r="G2960" i="448"/>
  <c r="E2959" i="448"/>
  <c r="E2958" i="448"/>
  <c r="E2957" i="448"/>
  <c r="E2956" i="448"/>
  <c r="E2955" i="448"/>
  <c r="G2954" i="448"/>
  <c r="E2953" i="448"/>
  <c r="E2952" i="448"/>
  <c r="E2951" i="448"/>
  <c r="E2950" i="448"/>
  <c r="E2949" i="448"/>
  <c r="G2948" i="448"/>
  <c r="E2947" i="448"/>
  <c r="E2946" i="448"/>
  <c r="E2945" i="448"/>
  <c r="E2944" i="448"/>
  <c r="E2943" i="448"/>
  <c r="G2942" i="448"/>
  <c r="E2941" i="448"/>
  <c r="E2940" i="448"/>
  <c r="E2939" i="448"/>
  <c r="G2938" i="448"/>
  <c r="E2937" i="448"/>
  <c r="E2936" i="448"/>
  <c r="E2935" i="448"/>
  <c r="G2934" i="448"/>
  <c r="E2933" i="448"/>
  <c r="G2932" i="448"/>
  <c r="E2928" i="448"/>
  <c r="G2927" i="448"/>
  <c r="F2926" i="448"/>
  <c r="E2926" i="448"/>
  <c r="E2925" i="448"/>
  <c r="G2924" i="448"/>
  <c r="E2923" i="448"/>
  <c r="E2922" i="448"/>
  <c r="E2921" i="448"/>
  <c r="G2920" i="448"/>
  <c r="G2919" i="448"/>
  <c r="H2919" i="448" s="1" a="1"/>
  <c r="H2919" i="448" s="1"/>
  <c r="E2918" i="448"/>
  <c r="G2917" i="448"/>
  <c r="E2916" i="448"/>
  <c r="G2915" i="448"/>
  <c r="E2914" i="448"/>
  <c r="G2913" i="448"/>
  <c r="E2912" i="448"/>
  <c r="E2911" i="448"/>
  <c r="E2910" i="448"/>
  <c r="G2909" i="448"/>
  <c r="E2908" i="448"/>
  <c r="G2907" i="448"/>
  <c r="E2906" i="448"/>
  <c r="G2905" i="448"/>
  <c r="E2904" i="448"/>
  <c r="G2903" i="448"/>
  <c r="E2902" i="448"/>
  <c r="G2901" i="448"/>
  <c r="E2898" i="448"/>
  <c r="G2897" i="448"/>
  <c r="E2896" i="448"/>
  <c r="G2895" i="448"/>
  <c r="E2894" i="448"/>
  <c r="G2893" i="448"/>
  <c r="H2893" i="448" s="1" a="1"/>
  <c r="H2893" i="448" s="1"/>
  <c r="E2892" i="448"/>
  <c r="G2891" i="448"/>
  <c r="E2890" i="448"/>
  <c r="G2889" i="448"/>
  <c r="E2888" i="448"/>
  <c r="G2887" i="448"/>
  <c r="H2887" i="448" s="1" a="1"/>
  <c r="H2887" i="448" s="1"/>
  <c r="E2886" i="448"/>
  <c r="G2885" i="448"/>
  <c r="H2885" i="448" s="1" a="1"/>
  <c r="H2885" i="448" s="1"/>
  <c r="E2884" i="448"/>
  <c r="G2883" i="448"/>
  <c r="H2883" i="448" s="1" a="1"/>
  <c r="H2883" i="448" s="1"/>
  <c r="E2882" i="448"/>
  <c r="E2881" i="448"/>
  <c r="E2880" i="448"/>
  <c r="E2879" i="448"/>
  <c r="E2878" i="448"/>
  <c r="E2877" i="448"/>
  <c r="E2876" i="448"/>
  <c r="E2875" i="448"/>
  <c r="E2874" i="448"/>
  <c r="G2873" i="448"/>
  <c r="E2872" i="448"/>
  <c r="E2871" i="448"/>
  <c r="E2870" i="448"/>
  <c r="E2869" i="448"/>
  <c r="E2868" i="448"/>
  <c r="E2867" i="448"/>
  <c r="E2866" i="448"/>
  <c r="E2865" i="448"/>
  <c r="E2864" i="448"/>
  <c r="G2863" i="448"/>
  <c r="E2852" i="448"/>
  <c r="E2851" i="448"/>
  <c r="E2850" i="448"/>
  <c r="E2849" i="448"/>
  <c r="E2848" i="448"/>
  <c r="E2847" i="448"/>
  <c r="E2846" i="448"/>
  <c r="E2845" i="448"/>
  <c r="E2844" i="448"/>
  <c r="G2843" i="448"/>
  <c r="E2842" i="448"/>
  <c r="E2841" i="448"/>
  <c r="E2840" i="448"/>
  <c r="E2839" i="448"/>
  <c r="E2838" i="448"/>
  <c r="E2837" i="448"/>
  <c r="E2836" i="448"/>
  <c r="E2835" i="448"/>
  <c r="E2834" i="448"/>
  <c r="G2833" i="448"/>
  <c r="E2832" i="448"/>
  <c r="E2831" i="448"/>
  <c r="E2830" i="448"/>
  <c r="E2829" i="448"/>
  <c r="E2828" i="448"/>
  <c r="E2827" i="448"/>
  <c r="E2826" i="448"/>
  <c r="E2825" i="448"/>
  <c r="E2824" i="448"/>
  <c r="E2823" i="448"/>
  <c r="E2822" i="448"/>
  <c r="E2821" i="448"/>
  <c r="G2820" i="448"/>
  <c r="E2819" i="448"/>
  <c r="E2818" i="448"/>
  <c r="E2817" i="448"/>
  <c r="E2816" i="448"/>
  <c r="E2815" i="448"/>
  <c r="E2814" i="448"/>
  <c r="E2813" i="448"/>
  <c r="E2812" i="448"/>
  <c r="G2811" i="448"/>
  <c r="E2810" i="448"/>
  <c r="E2809" i="448"/>
  <c r="E2808" i="448"/>
  <c r="E2807" i="448"/>
  <c r="E2806" i="448"/>
  <c r="E2805" i="448"/>
  <c r="E2804" i="448"/>
  <c r="E2803" i="448"/>
  <c r="G2802" i="448"/>
  <c r="E2801" i="448"/>
  <c r="E2800" i="448"/>
  <c r="E2799" i="448"/>
  <c r="E2798" i="448"/>
  <c r="E2797" i="448"/>
  <c r="E2796" i="448"/>
  <c r="E2795" i="448"/>
  <c r="G2794" i="448"/>
  <c r="E2793" i="448"/>
  <c r="E2792" i="448"/>
  <c r="E2791" i="448"/>
  <c r="E2790" i="448"/>
  <c r="E2789" i="448"/>
  <c r="E2788" i="448"/>
  <c r="E2787" i="448"/>
  <c r="G2786" i="448"/>
  <c r="E2785" i="448"/>
  <c r="E2784" i="448"/>
  <c r="E2783" i="448"/>
  <c r="E2782" i="448"/>
  <c r="E2781" i="448"/>
  <c r="E2780" i="448"/>
  <c r="E2779" i="448"/>
  <c r="G2778" i="448"/>
  <c r="G2777" i="448"/>
  <c r="H2777" i="448" s="1" a="1"/>
  <c r="H2777" i="448" s="1"/>
  <c r="H2776" i="448" s="1" a="1"/>
  <c r="H2776" i="448" s="1"/>
  <c r="H2775" i="448" s="1" a="1"/>
  <c r="H2775" i="448" s="1"/>
  <c r="E2774" i="448"/>
  <c r="G2773" i="448"/>
  <c r="E2772" i="448"/>
  <c r="G2771" i="448"/>
  <c r="E2770" i="448"/>
  <c r="G2769" i="448"/>
  <c r="E2768" i="448"/>
  <c r="G2767" i="448"/>
  <c r="E2766" i="448"/>
  <c r="G2765" i="448"/>
  <c r="E2764" i="448"/>
  <c r="G2763" i="448"/>
  <c r="E2758" i="448"/>
  <c r="G2757" i="448"/>
  <c r="E2742" i="448"/>
  <c r="E2741" i="448"/>
  <c r="E2740" i="448"/>
  <c r="G2739" i="448"/>
  <c r="E2734" i="448"/>
  <c r="G2733" i="448"/>
  <c r="G2732" i="448"/>
  <c r="H2732" i="448" s="1" a="1"/>
  <c r="H2732" i="448" s="1"/>
  <c r="E2732" i="448"/>
  <c r="G2731" i="448"/>
  <c r="E2730" i="448"/>
  <c r="E2729" i="448"/>
  <c r="E2728" i="448"/>
  <c r="G2727" i="448"/>
  <c r="E2726" i="448"/>
  <c r="E2725" i="448"/>
  <c r="E2724" i="448"/>
  <c r="G2723" i="448"/>
  <c r="E2722" i="448"/>
  <c r="E2721" i="448"/>
  <c r="E2720" i="448"/>
  <c r="G2719" i="448"/>
  <c r="E2718" i="448"/>
  <c r="E2717" i="448"/>
  <c r="G2716" i="448"/>
  <c r="E2715" i="448"/>
  <c r="E2714" i="448"/>
  <c r="G2713" i="448"/>
  <c r="E2712" i="448"/>
  <c r="E2711" i="448"/>
  <c r="G2710" i="448"/>
  <c r="F2706" i="448"/>
  <c r="E2706" i="448"/>
  <c r="G2705" i="448"/>
  <c r="E2704" i="448"/>
  <c r="E2703" i="448"/>
  <c r="G2702" i="448"/>
  <c r="E2701" i="448"/>
  <c r="E2700" i="448"/>
  <c r="G2699" i="448"/>
  <c r="G2697" i="448"/>
  <c r="E2696" i="448"/>
  <c r="G2695" i="448"/>
  <c r="E2694" i="448"/>
  <c r="E2693" i="448"/>
  <c r="E2692" i="448"/>
  <c r="E2691" i="448"/>
  <c r="G2690" i="448"/>
  <c r="E2689" i="448"/>
  <c r="E2688" i="448"/>
  <c r="E2687" i="448"/>
  <c r="E2686" i="448"/>
  <c r="G2685" i="448"/>
  <c r="E2663" i="448"/>
  <c r="E2662" i="448"/>
  <c r="E2661" i="448"/>
  <c r="E2660" i="448"/>
  <c r="G2659" i="448"/>
  <c r="E2648" i="448"/>
  <c r="E2647" i="448"/>
  <c r="E2646" i="448"/>
  <c r="E2645" i="448"/>
  <c r="G2644" i="448"/>
  <c r="E2643" i="448"/>
  <c r="E2642" i="448"/>
  <c r="E2641" i="448"/>
  <c r="E2640" i="448"/>
  <c r="G2639" i="448"/>
  <c r="E2556" i="448"/>
  <c r="E2555" i="448"/>
  <c r="E2554" i="448"/>
  <c r="E2553" i="448"/>
  <c r="G2552" i="448"/>
  <c r="E2551" i="448"/>
  <c r="E2550" i="448"/>
  <c r="E2549" i="448"/>
  <c r="E2548" i="448"/>
  <c r="G2547" i="448"/>
  <c r="E2532" i="448"/>
  <c r="E2531" i="448"/>
  <c r="E2530" i="448"/>
  <c r="G2529" i="448"/>
  <c r="E2524" i="448"/>
  <c r="E2523" i="448"/>
  <c r="E2522" i="448"/>
  <c r="G2521" i="448"/>
  <c r="E2520" i="448"/>
  <c r="E2519" i="448"/>
  <c r="E2518" i="448"/>
  <c r="G2517" i="448"/>
  <c r="E2473" i="448"/>
  <c r="E2472" i="448"/>
  <c r="E2471" i="448"/>
  <c r="E2470" i="448"/>
  <c r="G2469" i="448"/>
  <c r="E2468" i="448"/>
  <c r="E2467" i="448"/>
  <c r="E2466" i="448"/>
  <c r="E2465" i="448"/>
  <c r="G2464" i="448"/>
  <c r="G2463" i="448"/>
  <c r="H2463" i="448" s="1" a="1"/>
  <c r="H2463" i="448" s="1"/>
  <c r="E2462" i="448"/>
  <c r="G2461" i="448"/>
  <c r="E2460" i="448"/>
  <c r="G2459" i="448"/>
  <c r="E2448" i="448"/>
  <c r="G2447" i="448"/>
  <c r="E2446" i="448"/>
  <c r="G2445" i="448"/>
  <c r="E2428" i="448"/>
  <c r="G2427" i="448"/>
  <c r="E2426" i="448"/>
  <c r="G2425" i="448"/>
  <c r="E2418" i="448"/>
  <c r="G2417" i="448"/>
  <c r="E2407" i="448"/>
  <c r="E2406" i="448"/>
  <c r="G2405" i="448"/>
  <c r="E2392" i="448"/>
  <c r="E2391" i="448"/>
  <c r="G2390" i="448"/>
  <c r="E2389" i="448"/>
  <c r="E2388" i="448"/>
  <c r="G2387" i="448"/>
  <c r="E2380" i="448"/>
  <c r="E2379" i="448"/>
  <c r="G2378" i="448"/>
  <c r="E2377" i="448"/>
  <c r="E2376" i="448"/>
  <c r="G2375" i="448"/>
  <c r="E2374" i="448"/>
  <c r="E2373" i="448"/>
  <c r="G2372" i="448"/>
  <c r="E2371" i="448"/>
  <c r="E2370" i="448"/>
  <c r="G2369" i="448"/>
  <c r="E2368" i="448"/>
  <c r="E2367" i="448"/>
  <c r="G2366" i="448"/>
  <c r="E2365" i="448"/>
  <c r="E2364" i="448"/>
  <c r="G2363" i="448"/>
  <c r="E2362" i="448"/>
  <c r="E2361" i="448"/>
  <c r="G2360" i="448"/>
  <c r="E2359" i="448"/>
  <c r="E2358" i="448"/>
  <c r="G2357" i="448"/>
  <c r="E2353" i="448"/>
  <c r="G2352" i="448"/>
  <c r="E2349" i="448"/>
  <c r="G2348" i="448"/>
  <c r="E2347" i="448"/>
  <c r="E2346" i="448"/>
  <c r="G2345" i="448"/>
  <c r="E2344" i="448"/>
  <c r="G2343" i="448"/>
  <c r="E2342" i="448"/>
  <c r="G2341" i="448"/>
  <c r="E2340" i="448"/>
  <c r="G2339" i="448"/>
  <c r="E2338" i="448"/>
  <c r="G2337" i="448"/>
  <c r="E2334" i="448"/>
  <c r="G2333" i="448"/>
  <c r="E2330" i="448"/>
  <c r="G2329" i="448"/>
  <c r="E2324" i="448"/>
  <c r="G2323" i="448"/>
  <c r="E2316" i="448"/>
  <c r="E2315" i="448"/>
  <c r="G2314" i="448"/>
  <c r="E2313" i="448"/>
  <c r="G2311" i="448"/>
  <c r="E2310" i="448"/>
  <c r="G2309" i="448"/>
  <c r="G2302" i="448"/>
  <c r="H2302" i="448" s="1" a="1"/>
  <c r="H2302" i="448" s="1"/>
  <c r="E2301" i="448"/>
  <c r="G2300" i="448"/>
  <c r="E2299" i="448"/>
  <c r="G2298" i="448"/>
  <c r="E2297" i="448"/>
  <c r="G2296" i="448"/>
  <c r="E2293" i="448"/>
  <c r="G2292" i="448"/>
  <c r="E2291" i="448"/>
  <c r="G2290" i="448"/>
  <c r="E2285" i="448"/>
  <c r="G2284" i="448"/>
  <c r="E2283" i="448"/>
  <c r="G2282" i="448"/>
  <c r="E2281" i="448"/>
  <c r="E2280" i="448"/>
  <c r="E2279" i="448"/>
  <c r="G2278" i="448"/>
  <c r="E2277" i="448"/>
  <c r="E2276" i="448"/>
  <c r="E2275" i="448"/>
  <c r="G2274" i="448"/>
  <c r="E2225" i="448"/>
  <c r="E2224" i="448"/>
  <c r="E2223" i="448"/>
  <c r="E2222" i="448"/>
  <c r="G2221" i="448"/>
  <c r="E2217" i="448"/>
  <c r="G2215" i="448"/>
  <c r="G2198" i="448"/>
  <c r="H2198" i="448" s="1" a="1"/>
  <c r="H2198" i="448" s="1"/>
  <c r="E2198" i="448"/>
  <c r="G2197" i="448"/>
  <c r="E2196" i="448"/>
  <c r="E2195" i="448"/>
  <c r="E2194" i="448"/>
  <c r="E2193" i="448"/>
  <c r="G2192" i="448"/>
  <c r="E2191" i="448"/>
  <c r="G2190" i="448"/>
  <c r="E2189" i="448"/>
  <c r="E2188" i="448"/>
  <c r="E2187" i="448"/>
  <c r="G2186" i="448"/>
  <c r="E2182" i="448"/>
  <c r="E2181" i="448"/>
  <c r="E2180" i="448"/>
  <c r="G2179" i="448"/>
  <c r="E2175" i="448"/>
  <c r="E2174" i="448"/>
  <c r="E2173" i="448"/>
  <c r="E2172" i="448"/>
  <c r="G2171" i="448"/>
  <c r="E2170" i="448"/>
  <c r="E2169" i="448"/>
  <c r="E2168" i="448"/>
  <c r="G2167" i="448"/>
  <c r="E2166" i="448"/>
  <c r="E2165" i="448"/>
  <c r="E2164" i="448"/>
  <c r="E2163" i="448"/>
  <c r="G2162" i="448"/>
  <c r="F2161" i="448"/>
  <c r="E2161" i="448"/>
  <c r="F2160" i="448"/>
  <c r="E2160" i="448"/>
  <c r="F2159" i="448"/>
  <c r="E2159" i="448"/>
  <c r="F2158" i="448"/>
  <c r="E2158" i="448"/>
  <c r="G2157" i="448"/>
  <c r="E2153" i="448"/>
  <c r="E2152" i="448"/>
  <c r="E2151" i="448"/>
  <c r="E2150" i="448"/>
  <c r="G2149" i="448"/>
  <c r="G2148" i="448"/>
  <c r="H2148" i="448" s="1" a="1"/>
  <c r="H2148" i="448" s="1"/>
  <c r="H2147" i="448" s="1" a="1"/>
  <c r="H2147" i="448" s="1"/>
  <c r="E2147" i="448"/>
  <c r="G2146" i="448"/>
  <c r="E2145" i="448"/>
  <c r="G2144" i="448"/>
  <c r="E2143" i="448"/>
  <c r="G2142" i="448"/>
  <c r="E2141" i="448"/>
  <c r="G2140" i="448"/>
  <c r="E2139" i="448"/>
  <c r="G2138" i="448"/>
  <c r="E2137" i="448"/>
  <c r="G2136" i="448"/>
  <c r="E2135" i="448"/>
  <c r="G2134" i="448"/>
  <c r="E2133" i="448"/>
  <c r="G2132" i="448"/>
  <c r="E2131" i="448"/>
  <c r="G2130" i="448"/>
  <c r="E2129" i="448"/>
  <c r="G2128" i="448"/>
  <c r="E2121" i="448"/>
  <c r="G2120" i="448"/>
  <c r="E2119" i="448"/>
  <c r="G2118" i="448"/>
  <c r="E2117" i="448"/>
  <c r="E2116" i="448"/>
  <c r="E2115" i="448"/>
  <c r="G2114" i="448"/>
  <c r="E2113" i="448"/>
  <c r="E2112" i="448"/>
  <c r="E2111" i="448"/>
  <c r="G2110" i="448"/>
  <c r="E2109" i="448"/>
  <c r="E2108" i="448"/>
  <c r="E2107" i="448"/>
  <c r="G2106" i="448"/>
  <c r="E2105" i="448"/>
  <c r="E2104" i="448"/>
  <c r="G2103" i="448"/>
  <c r="E2096" i="448"/>
  <c r="E2095" i="448"/>
  <c r="G2094" i="448"/>
  <c r="E2093" i="448"/>
  <c r="E2092" i="448"/>
  <c r="E2091" i="448"/>
  <c r="E2090" i="448"/>
  <c r="G2089" i="448"/>
  <c r="E2088" i="448"/>
  <c r="E2087" i="448"/>
  <c r="E2086" i="448"/>
  <c r="E2085" i="448"/>
  <c r="G2084" i="448"/>
  <c r="E2073" i="448"/>
  <c r="E2072" i="448"/>
  <c r="E2071" i="448"/>
  <c r="E2070" i="448"/>
  <c r="G2069" i="448"/>
  <c r="E2058" i="448"/>
  <c r="E2057" i="448"/>
  <c r="G2056" i="448"/>
  <c r="E2055" i="448"/>
  <c r="E2054" i="448"/>
  <c r="G2053" i="448"/>
  <c r="E2052" i="448"/>
  <c r="E2051" i="448"/>
  <c r="E2050" i="448"/>
  <c r="G2049" i="448"/>
  <c r="E2048" i="448"/>
  <c r="E2047" i="448"/>
  <c r="G2046" i="448"/>
  <c r="E2045" i="448"/>
  <c r="E2044" i="448"/>
  <c r="G2043" i="448"/>
  <c r="E2042" i="448"/>
  <c r="F2041" i="448"/>
  <c r="E2041" i="448"/>
  <c r="F2040" i="448"/>
  <c r="E2040" i="448"/>
  <c r="G2039" i="448"/>
  <c r="E2038" i="448"/>
  <c r="E2037" i="448"/>
  <c r="E2036" i="448"/>
  <c r="G2035" i="448"/>
  <c r="E2034" i="448"/>
  <c r="E2033" i="448"/>
  <c r="E2032" i="448"/>
  <c r="G2031" i="448"/>
  <c r="E2030" i="448"/>
  <c r="E2029" i="448"/>
  <c r="G2028" i="448"/>
  <c r="E2023" i="448"/>
  <c r="G2022" i="448"/>
  <c r="E2013" i="448"/>
  <c r="E2012" i="448"/>
  <c r="E2011" i="448"/>
  <c r="G2010" i="448"/>
  <c r="E2009" i="448"/>
  <c r="E2008" i="448"/>
  <c r="E2007" i="448"/>
  <c r="G2006" i="448"/>
  <c r="E2005" i="448"/>
  <c r="E2004" i="448"/>
  <c r="E2003" i="448"/>
  <c r="G2002" i="448"/>
  <c r="E2001" i="448"/>
  <c r="E2000" i="448"/>
  <c r="E1999" i="448"/>
  <c r="E1998" i="448"/>
  <c r="G1997" i="448"/>
  <c r="E1919" i="448"/>
  <c r="E1918" i="448"/>
  <c r="E1917" i="448"/>
  <c r="E1916" i="448"/>
  <c r="G1915" i="448"/>
  <c r="E1909" i="448"/>
  <c r="E1908" i="448"/>
  <c r="E1907" i="448"/>
  <c r="E1906" i="448"/>
  <c r="G1905" i="448"/>
  <c r="E1904" i="448"/>
  <c r="E1903" i="448"/>
  <c r="E1902" i="448"/>
  <c r="E1901" i="448"/>
  <c r="G1900" i="448"/>
  <c r="E1899" i="448"/>
  <c r="E1898" i="448"/>
  <c r="E1897" i="448"/>
  <c r="E1896" i="448"/>
  <c r="G1895" i="448"/>
  <c r="E1894" i="448"/>
  <c r="E1893" i="448"/>
  <c r="E1892" i="448"/>
  <c r="E1891" i="448"/>
  <c r="G1890" i="448"/>
  <c r="E1874" i="448"/>
  <c r="E1873" i="448"/>
  <c r="E1872" i="448"/>
  <c r="E1871" i="448"/>
  <c r="G1870" i="448"/>
  <c r="E1869" i="448"/>
  <c r="E1868" i="448"/>
  <c r="E1867" i="448"/>
  <c r="E1866" i="448"/>
  <c r="G1865" i="448"/>
  <c r="E1864" i="448"/>
  <c r="E1863" i="448"/>
  <c r="E1862" i="448"/>
  <c r="E1861" i="448"/>
  <c r="G1860" i="448"/>
  <c r="E1859" i="448"/>
  <c r="E1858" i="448"/>
  <c r="E1857" i="448"/>
  <c r="E1856" i="448"/>
  <c r="E1844" i="448"/>
  <c r="E1843" i="448"/>
  <c r="E1842" i="448"/>
  <c r="E1841" i="448"/>
  <c r="E1794" i="448"/>
  <c r="E1793" i="448"/>
  <c r="E1792" i="448"/>
  <c r="E1774" i="448"/>
  <c r="E1773" i="448"/>
  <c r="G1772" i="448"/>
  <c r="F1771" i="448"/>
  <c r="E1771" i="448"/>
  <c r="G1770" i="448"/>
  <c r="E1769" i="448"/>
  <c r="G1768" i="448"/>
  <c r="E1767" i="448"/>
  <c r="E1766" i="448"/>
  <c r="G1765" i="448"/>
  <c r="E1764" i="448"/>
  <c r="G1763" i="448"/>
  <c r="E1762" i="448"/>
  <c r="G1761" i="448"/>
  <c r="E1758" i="448"/>
  <c r="G1757" i="448"/>
  <c r="E1748" i="448"/>
  <c r="E1747" i="448"/>
  <c r="G1746" i="448"/>
  <c r="E1745" i="448"/>
  <c r="E1744" i="448"/>
  <c r="G1743" i="448"/>
  <c r="E1742" i="448"/>
  <c r="G1741" i="448"/>
  <c r="E1732" i="448"/>
  <c r="E1731" i="448"/>
  <c r="E1730" i="448"/>
  <c r="E1729" i="448"/>
  <c r="G1728" i="448"/>
  <c r="E1727" i="448"/>
  <c r="G1726" i="448"/>
  <c r="E1725" i="448"/>
  <c r="E1724" i="448"/>
  <c r="E1723" i="448"/>
  <c r="G1722" i="448"/>
  <c r="E1718" i="448"/>
  <c r="G1716" i="448"/>
  <c r="E1715" i="448"/>
  <c r="E1714" i="448"/>
  <c r="E1713" i="448"/>
  <c r="G1712" i="448"/>
  <c r="E1708" i="448"/>
  <c r="E1707" i="448"/>
  <c r="E1706" i="448"/>
  <c r="G1705" i="448"/>
  <c r="E1700" i="448"/>
  <c r="G1699" i="448"/>
  <c r="E1694" i="448"/>
  <c r="E1693" i="448"/>
  <c r="E1692" i="448"/>
  <c r="G1691" i="448"/>
  <c r="E1690" i="448"/>
  <c r="E1689" i="448"/>
  <c r="E1688" i="448"/>
  <c r="G1687" i="448"/>
  <c r="E1686" i="448"/>
  <c r="E1685" i="448"/>
  <c r="E1684" i="448"/>
  <c r="G1683" i="448"/>
  <c r="E1682" i="448"/>
  <c r="E1681" i="448"/>
  <c r="E1680" i="448"/>
  <c r="G1679" i="448"/>
  <c r="E1678" i="448"/>
  <c r="E1677" i="448"/>
  <c r="E1676" i="448"/>
  <c r="G1675" i="448"/>
  <c r="E1674" i="448"/>
  <c r="E1673" i="448"/>
  <c r="E1672" i="448"/>
  <c r="G1671" i="448"/>
  <c r="E1670" i="448"/>
  <c r="G1669" i="448"/>
  <c r="E1665" i="448"/>
  <c r="E1664" i="448"/>
  <c r="G1663" i="448"/>
  <c r="F1654" i="448"/>
  <c r="E1654" i="448"/>
  <c r="F1653" i="448"/>
  <c r="E1653" i="448"/>
  <c r="G1652" i="448"/>
  <c r="F1651" i="448"/>
  <c r="E1651" i="448"/>
  <c r="F1650" i="448"/>
  <c r="E1650" i="448"/>
  <c r="G1649" i="448"/>
  <c r="F1648" i="448"/>
  <c r="E1648" i="448"/>
  <c r="F1647" i="448"/>
  <c r="E1647" i="448"/>
  <c r="G1646" i="448"/>
  <c r="F1645" i="448"/>
  <c r="E1645" i="448"/>
  <c r="F1644" i="448"/>
  <c r="E1644" i="448"/>
  <c r="G1643" i="448"/>
  <c r="E1642" i="448"/>
  <c r="F1641" i="448"/>
  <c r="E1641" i="448"/>
  <c r="G1640" i="448"/>
  <c r="E1639" i="448"/>
  <c r="F1638" i="448"/>
  <c r="E1638" i="448"/>
  <c r="G1637" i="448"/>
  <c r="F1636" i="448"/>
  <c r="E1636" i="448"/>
  <c r="F1635" i="448"/>
  <c r="E1635" i="448"/>
  <c r="F1634" i="448"/>
  <c r="E1634" i="448"/>
  <c r="G1633" i="448"/>
  <c r="F1632" i="448"/>
  <c r="E1632" i="448"/>
  <c r="F1631" i="448"/>
  <c r="E1631" i="448"/>
  <c r="G1630" i="448"/>
  <c r="F1629" i="448"/>
  <c r="E1629" i="448"/>
  <c r="F1628" i="448"/>
  <c r="E1628" i="448"/>
  <c r="G1627" i="448"/>
  <c r="F1626" i="448"/>
  <c r="E1626" i="448"/>
  <c r="F1625" i="448"/>
  <c r="E1625" i="448"/>
  <c r="G1624" i="448"/>
  <c r="F1623" i="448"/>
  <c r="E1623" i="448"/>
  <c r="E1622" i="448"/>
  <c r="G1621" i="448"/>
  <c r="E1617" i="448"/>
  <c r="E1616" i="448"/>
  <c r="G1615" i="448"/>
  <c r="E1614" i="448"/>
  <c r="E1613" i="448"/>
  <c r="G1612" i="448"/>
  <c r="E1611" i="448"/>
  <c r="E1610" i="448"/>
  <c r="G1609" i="448"/>
  <c r="E1605" i="448"/>
  <c r="E1604" i="448"/>
  <c r="G1603" i="448"/>
  <c r="E1602" i="448"/>
  <c r="E1601" i="448"/>
  <c r="G1600" i="448"/>
  <c r="E1599" i="448"/>
  <c r="E1598" i="448"/>
  <c r="G1597" i="448"/>
  <c r="E1593" i="448"/>
  <c r="E1592" i="448"/>
  <c r="F1591" i="448"/>
  <c r="E1591" i="448"/>
  <c r="G1590" i="448"/>
  <c r="E1585" i="448"/>
  <c r="E1584" i="448"/>
  <c r="E1583" i="448"/>
  <c r="G1582" i="448"/>
  <c r="E1581" i="448"/>
  <c r="E1580" i="448"/>
  <c r="E1579" i="448"/>
  <c r="G1578" i="448"/>
  <c r="E1577" i="448"/>
  <c r="E1576" i="448"/>
  <c r="E1575" i="448"/>
  <c r="G1574" i="448"/>
  <c r="E1573" i="448"/>
  <c r="E1572" i="448"/>
  <c r="E1571" i="448"/>
  <c r="G1570" i="448"/>
  <c r="G1569" i="448"/>
  <c r="H1569" i="448" s="1" a="1"/>
  <c r="H1569" i="448" s="1"/>
  <c r="H1568" i="448" s="1" a="1"/>
  <c r="H1568" i="448" s="1"/>
  <c r="H1567" i="448" s="1" a="1"/>
  <c r="H1567" i="448" s="1"/>
  <c r="E1566" i="448"/>
  <c r="G1565" i="448"/>
  <c r="E1564" i="448"/>
  <c r="E1563" i="448"/>
  <c r="G1562" i="448"/>
  <c r="E1561" i="448"/>
  <c r="E1560" i="448"/>
  <c r="G1559" i="448"/>
  <c r="E1556" i="448"/>
  <c r="G1555" i="448"/>
  <c r="E1550" i="448"/>
  <c r="G1549" i="448"/>
  <c r="E1546" i="448"/>
  <c r="G1545" i="448"/>
  <c r="E1544" i="448"/>
  <c r="G1543" i="448"/>
  <c r="E1527" i="448"/>
  <c r="E1526" i="448"/>
  <c r="G1525" i="448"/>
  <c r="E1524" i="448"/>
  <c r="G1523" i="448"/>
  <c r="E1522" i="448"/>
  <c r="G1521" i="448"/>
  <c r="E1510" i="448"/>
  <c r="E1509" i="448"/>
  <c r="E1508" i="448"/>
  <c r="G1507" i="448"/>
  <c r="G1506" i="448"/>
  <c r="H1506" i="448" s="1" a="1"/>
  <c r="H1506" i="448" s="1"/>
  <c r="H1505" i="448" s="1" a="1"/>
  <c r="H1505" i="448" s="1"/>
  <c r="E1505" i="448"/>
  <c r="G1504" i="448"/>
  <c r="E1503" i="448"/>
  <c r="G1502" i="448"/>
  <c r="E1501" i="448"/>
  <c r="G1500" i="448"/>
  <c r="E1497" i="448"/>
  <c r="G1496" i="448"/>
  <c r="E1493" i="448"/>
  <c r="G1492" i="448"/>
  <c r="E1491" i="448"/>
  <c r="G1490" i="448"/>
  <c r="E1489" i="448"/>
  <c r="G1488" i="448"/>
  <c r="E1487" i="448"/>
  <c r="G1486" i="448"/>
  <c r="E1483" i="448"/>
  <c r="G1482" i="448"/>
  <c r="E1479" i="448"/>
  <c r="E1478" i="448"/>
  <c r="E1477" i="448"/>
  <c r="G1476" i="448"/>
  <c r="E1475" i="448"/>
  <c r="E1474" i="448"/>
  <c r="E1473" i="448"/>
  <c r="G1472" i="448"/>
  <c r="E1469" i="448"/>
  <c r="E1468" i="448"/>
  <c r="E1467" i="448"/>
  <c r="E1466" i="448"/>
  <c r="G1465" i="448"/>
  <c r="F1464" i="448"/>
  <c r="E1464" i="448"/>
  <c r="F1463" i="448"/>
  <c r="E1463" i="448"/>
  <c r="G1462" i="448"/>
  <c r="E1461" i="448"/>
  <c r="E1460" i="448"/>
  <c r="G1459" i="448"/>
  <c r="F1452" i="448"/>
  <c r="E1452" i="448"/>
  <c r="F1451" i="448"/>
  <c r="E1451" i="448"/>
  <c r="G1450" i="448"/>
  <c r="E1449" i="448"/>
  <c r="E1448" i="448"/>
  <c r="G1447" i="448"/>
  <c r="E1440" i="448"/>
  <c r="E1439" i="448"/>
  <c r="E1438" i="448"/>
  <c r="E1437" i="448"/>
  <c r="G1436" i="448"/>
  <c r="E1435" i="448"/>
  <c r="E1434" i="448"/>
  <c r="E1433" i="448"/>
  <c r="E1432" i="448"/>
  <c r="G1431" i="448"/>
  <c r="E1420" i="448"/>
  <c r="E1419" i="448"/>
  <c r="E1418" i="448"/>
  <c r="E1417" i="448"/>
  <c r="G1416" i="448"/>
  <c r="E1350" i="448"/>
  <c r="E1349" i="448"/>
  <c r="E1348" i="448"/>
  <c r="E1347" i="448"/>
  <c r="G1346" i="448"/>
  <c r="E1345" i="448"/>
  <c r="E1344" i="448"/>
  <c r="E1343" i="448"/>
  <c r="E1342" i="448"/>
  <c r="G1341" i="448"/>
  <c r="E1320" i="448"/>
  <c r="E1319" i="448"/>
  <c r="E1318" i="448"/>
  <c r="E1317" i="448"/>
  <c r="G1316" i="448"/>
  <c r="E1315" i="448"/>
  <c r="E1314" i="448"/>
  <c r="E1313" i="448"/>
  <c r="G1312" i="448"/>
  <c r="E1311" i="448"/>
  <c r="E1310" i="448"/>
  <c r="E1309" i="448"/>
  <c r="E1308" i="448"/>
  <c r="G1307" i="448"/>
  <c r="E1302" i="448"/>
  <c r="G1301" i="448"/>
  <c r="E1298" i="448"/>
  <c r="E1294" i="448"/>
  <c r="G1293" i="448"/>
  <c r="E1288" i="448"/>
  <c r="E1287" i="448"/>
  <c r="G1286" i="448"/>
  <c r="G1284" i="448"/>
  <c r="E1283" i="448"/>
  <c r="G1282" i="448"/>
  <c r="E1281" i="448"/>
  <c r="G1280" i="448"/>
  <c r="E1279" i="448"/>
  <c r="E1278" i="448"/>
  <c r="G1277" i="448"/>
  <c r="E1276" i="448"/>
  <c r="G1275" i="448"/>
  <c r="G1274" i="448"/>
  <c r="H1274" i="448" s="1" a="1"/>
  <c r="H1274" i="448" s="1"/>
  <c r="H1273" i="448" s="1" a="1"/>
  <c r="H1273" i="448" s="1"/>
  <c r="H1272" i="448" s="1" a="1"/>
  <c r="H1272" i="448" s="1"/>
  <c r="E1273" i="448"/>
  <c r="E1271" i="448"/>
  <c r="E1269" i="448"/>
  <c r="E1267" i="448"/>
  <c r="E1265" i="448"/>
  <c r="E1263" i="448"/>
  <c r="E1261" i="448"/>
  <c r="E1259" i="448"/>
  <c r="E1257" i="448"/>
  <c r="E1223" i="448"/>
  <c r="E1222" i="448"/>
  <c r="E1220" i="448"/>
  <c r="E1218" i="448"/>
  <c r="E1216" i="448"/>
  <c r="E1215" i="448"/>
  <c r="E1213" i="448"/>
  <c r="F1211" i="448"/>
  <c r="H1211" i="448" s="1" a="1"/>
  <c r="H1211" i="448" s="1"/>
  <c r="H1210" i="448" s="1" a="1"/>
  <c r="H1210" i="448" s="1"/>
  <c r="E1211" i="448"/>
  <c r="E1209" i="448"/>
  <c r="E1208" i="448"/>
  <c r="G1207" i="448"/>
  <c r="H1207" i="448" s="1" a="1"/>
  <c r="H1207" i="448" s="1"/>
  <c r="E1203" i="448"/>
  <c r="E1202" i="448"/>
  <c r="E1201" i="448"/>
  <c r="G1200" i="448"/>
  <c r="E1199" i="448"/>
  <c r="E1198" i="448"/>
  <c r="G1197" i="448"/>
  <c r="E1196" i="448"/>
  <c r="E1195" i="448"/>
  <c r="G1194" i="448"/>
  <c r="E1193" i="448"/>
  <c r="E1192" i="448"/>
  <c r="E1190" i="448"/>
  <c r="G1189" i="448"/>
  <c r="E1186" i="448"/>
  <c r="E1185" i="448"/>
  <c r="G1184" i="448"/>
  <c r="E1183" i="448"/>
  <c r="E1182" i="448"/>
  <c r="G1181" i="448"/>
  <c r="G1180" i="448"/>
  <c r="H1180" i="448" s="1" a="1"/>
  <c r="H1180" i="448" s="1"/>
  <c r="E1179" i="448"/>
  <c r="E1178" i="448"/>
  <c r="G1177" i="448"/>
  <c r="E1176" i="448"/>
  <c r="E1175" i="448"/>
  <c r="G1174" i="448"/>
  <c r="G1173" i="448"/>
  <c r="H1173" i="448" s="1" a="1"/>
  <c r="H1173" i="448" s="1"/>
  <c r="G1172" i="448"/>
  <c r="G1171" i="448"/>
  <c r="G1170" i="448"/>
  <c r="E1169" i="448"/>
  <c r="G1168" i="448"/>
  <c r="E1165" i="448"/>
  <c r="G1164" i="448"/>
  <c r="E1163" i="448"/>
  <c r="G1162" i="448"/>
  <c r="E1161" i="448"/>
  <c r="G1160" i="448"/>
  <c r="E1159" i="448"/>
  <c r="G1158" i="448"/>
  <c r="E1143" i="448"/>
  <c r="G1142" i="448"/>
  <c r="E1139" i="448"/>
  <c r="E1138" i="448"/>
  <c r="E1137" i="448"/>
  <c r="E1136" i="448"/>
  <c r="E1135" i="448"/>
  <c r="E1134" i="448"/>
  <c r="E1133" i="448"/>
  <c r="E1132" i="448"/>
  <c r="E1131" i="448"/>
  <c r="E1130" i="448"/>
  <c r="E1129" i="448"/>
  <c r="G1128" i="448"/>
  <c r="E1127" i="448"/>
  <c r="E1126" i="448"/>
  <c r="E1125" i="448"/>
  <c r="E1124" i="448"/>
  <c r="E1123" i="448"/>
  <c r="E1122" i="448"/>
  <c r="E1121" i="448"/>
  <c r="E1120" i="448"/>
  <c r="E1119" i="448"/>
  <c r="E1118" i="448"/>
  <c r="E1117" i="448"/>
  <c r="G1116" i="448"/>
  <c r="E1115" i="448"/>
  <c r="E1114" i="448"/>
  <c r="E1113" i="448"/>
  <c r="E1112" i="448"/>
  <c r="E1111" i="448"/>
  <c r="E1110" i="448"/>
  <c r="E1109" i="448"/>
  <c r="E1108" i="448"/>
  <c r="E1107" i="448"/>
  <c r="E1106" i="448"/>
  <c r="E1105" i="448"/>
  <c r="G1104" i="448"/>
  <c r="E1103" i="448"/>
  <c r="E1102" i="448"/>
  <c r="E1101" i="448"/>
  <c r="E1100" i="448"/>
  <c r="E1099" i="448"/>
  <c r="E1098" i="448"/>
  <c r="E1097" i="448"/>
  <c r="E1096" i="448"/>
  <c r="E1095" i="448"/>
  <c r="E1094" i="448"/>
  <c r="E1093" i="448"/>
  <c r="G1092" i="448"/>
  <c r="E1091" i="448"/>
  <c r="E1090" i="448"/>
  <c r="E1089" i="448"/>
  <c r="E1088" i="448"/>
  <c r="E1087" i="448"/>
  <c r="E1086" i="448"/>
  <c r="E1085" i="448"/>
  <c r="E1084" i="448"/>
  <c r="E1083" i="448"/>
  <c r="E1082" i="448"/>
  <c r="E1081" i="448"/>
  <c r="G1080" i="448"/>
  <c r="E1079" i="448"/>
  <c r="E1078" i="448"/>
  <c r="E1077" i="448"/>
  <c r="E1076" i="448"/>
  <c r="E1075" i="448"/>
  <c r="G1074" i="448"/>
  <c r="E905" i="448"/>
  <c r="E904" i="448"/>
  <c r="E903" i="448"/>
  <c r="E902" i="448"/>
  <c r="E901" i="448"/>
  <c r="E900" i="448"/>
  <c r="E899" i="448"/>
  <c r="E898" i="448"/>
  <c r="E897" i="448"/>
  <c r="E896" i="448"/>
  <c r="G895" i="448"/>
  <c r="E827" i="448"/>
  <c r="E826" i="448"/>
  <c r="E825" i="448"/>
  <c r="E824" i="448"/>
  <c r="E823" i="448"/>
  <c r="E822" i="448"/>
  <c r="E821" i="448"/>
  <c r="E820" i="448"/>
  <c r="G819" i="448"/>
  <c r="E818" i="448"/>
  <c r="E817" i="448"/>
  <c r="E816" i="448"/>
  <c r="G815" i="448"/>
  <c r="E811" i="448"/>
  <c r="E810" i="448"/>
  <c r="G809" i="448"/>
  <c r="E808" i="448"/>
  <c r="E807" i="448"/>
  <c r="G806" i="448"/>
  <c r="E805" i="448"/>
  <c r="E804" i="448"/>
  <c r="G803" i="448"/>
  <c r="E799" i="448"/>
  <c r="E798" i="448"/>
  <c r="G797" i="448"/>
  <c r="E796" i="448"/>
  <c r="G795" i="448"/>
  <c r="E794" i="448"/>
  <c r="G793" i="448"/>
  <c r="E792" i="448"/>
  <c r="E791" i="448"/>
  <c r="E790" i="448"/>
  <c r="G789" i="448"/>
  <c r="E788" i="448"/>
  <c r="E787" i="448"/>
  <c r="E786" i="448"/>
  <c r="E785" i="448"/>
  <c r="E784" i="448"/>
  <c r="E783" i="448"/>
  <c r="E782" i="448"/>
  <c r="G781" i="448"/>
  <c r="E780" i="448"/>
  <c r="E779" i="448"/>
  <c r="E778" i="448"/>
  <c r="E777" i="448"/>
  <c r="E776" i="448"/>
  <c r="E775" i="448"/>
  <c r="G774" i="448"/>
  <c r="E773" i="448"/>
  <c r="F772" i="448"/>
  <c r="E772" i="448"/>
  <c r="G771" i="448"/>
  <c r="E767" i="448"/>
  <c r="F766" i="448"/>
  <c r="E766" i="448"/>
  <c r="G765" i="448"/>
  <c r="E764" i="448"/>
  <c r="F763" i="448"/>
  <c r="E763" i="448"/>
  <c r="G762" i="448"/>
  <c r="E761" i="448"/>
  <c r="F760" i="448"/>
  <c r="E760" i="448"/>
  <c r="G759" i="448"/>
  <c r="E755" i="448"/>
  <c r="F754" i="448"/>
  <c r="E754" i="448"/>
  <c r="G753" i="448"/>
  <c r="E752" i="448"/>
  <c r="E751" i="448"/>
  <c r="G750" i="448"/>
  <c r="E746" i="448"/>
  <c r="F745" i="448"/>
  <c r="E745" i="448"/>
  <c r="G744" i="448"/>
  <c r="E743" i="448"/>
  <c r="F742" i="448"/>
  <c r="E742" i="448"/>
  <c r="G741" i="448"/>
  <c r="E713" i="448"/>
  <c r="F712" i="448"/>
  <c r="E712" i="448"/>
  <c r="G711" i="448"/>
  <c r="E707" i="448"/>
  <c r="F706" i="448"/>
  <c r="E706" i="448"/>
  <c r="G705" i="448"/>
  <c r="E695" i="448"/>
  <c r="F694" i="448"/>
  <c r="E694" i="448"/>
  <c r="G693" i="448"/>
  <c r="G692" i="448"/>
  <c r="E691" i="448"/>
  <c r="G690" i="448"/>
  <c r="E689" i="448"/>
  <c r="G688" i="448"/>
  <c r="E687" i="448"/>
  <c r="E686" i="448"/>
  <c r="E685" i="448"/>
  <c r="G684" i="448"/>
  <c r="E683" i="448"/>
  <c r="G682" i="448"/>
  <c r="E681" i="448"/>
  <c r="G680" i="448"/>
  <c r="E679" i="448"/>
  <c r="G678" i="448"/>
  <c r="E677" i="448"/>
  <c r="G676" i="448"/>
  <c r="D675" i="448"/>
  <c r="G674" i="448"/>
  <c r="F673" i="448"/>
  <c r="E673" i="448"/>
  <c r="G672" i="448"/>
  <c r="E671" i="448"/>
  <c r="E670" i="448"/>
  <c r="E669" i="448"/>
  <c r="E668" i="448"/>
  <c r="E666" i="448"/>
  <c r="E665" i="448"/>
  <c r="E664" i="448"/>
  <c r="G663" i="448"/>
  <c r="E641" i="448"/>
  <c r="E640" i="448"/>
  <c r="E639" i="448"/>
  <c r="E638" i="448"/>
  <c r="E637" i="448"/>
  <c r="G636" i="448"/>
  <c r="E635" i="448"/>
  <c r="G634" i="448"/>
  <c r="E633" i="448"/>
  <c r="E632" i="448"/>
  <c r="E631" i="448"/>
  <c r="E630" i="448"/>
  <c r="G629" i="448"/>
  <c r="E628" i="448"/>
  <c r="E627" i="448"/>
  <c r="G626" i="448"/>
  <c r="E626" i="448"/>
  <c r="G625" i="448"/>
  <c r="E624" i="448"/>
  <c r="E623" i="448"/>
  <c r="E622" i="448"/>
  <c r="G621" i="448"/>
  <c r="E620" i="448"/>
  <c r="E619" i="448"/>
  <c r="E618" i="448"/>
  <c r="G617" i="448"/>
  <c r="E616" i="448"/>
  <c r="E615" i="448"/>
  <c r="E614" i="448"/>
  <c r="G613" i="448"/>
  <c r="E608" i="448"/>
  <c r="E607" i="448"/>
  <c r="E606" i="448"/>
  <c r="G605" i="448"/>
  <c r="E604" i="448"/>
  <c r="E603" i="448"/>
  <c r="E602" i="448"/>
  <c r="G601" i="448"/>
  <c r="E600" i="448"/>
  <c r="E599" i="448"/>
  <c r="E598" i="448"/>
  <c r="G597" i="448"/>
  <c r="E592" i="448"/>
  <c r="E591" i="448"/>
  <c r="E590" i="448"/>
  <c r="G589" i="448"/>
  <c r="E588" i="448"/>
  <c r="E587" i="448"/>
  <c r="E586" i="448"/>
  <c r="G585" i="448"/>
  <c r="E584" i="448"/>
  <c r="E583" i="448"/>
  <c r="E582" i="448"/>
  <c r="G581" i="448"/>
  <c r="E580" i="448"/>
  <c r="E579" i="448"/>
  <c r="E578" i="448"/>
  <c r="G577" i="448"/>
  <c r="E576" i="448"/>
  <c r="E575" i="448"/>
  <c r="E574" i="448"/>
  <c r="G573" i="448"/>
  <c r="E572" i="448"/>
  <c r="E571" i="448"/>
  <c r="E570" i="448"/>
  <c r="G569" i="448"/>
  <c r="E568" i="448"/>
  <c r="E567" i="448"/>
  <c r="E566" i="448"/>
  <c r="G565" i="448"/>
  <c r="E564" i="448"/>
  <c r="E563" i="448"/>
  <c r="E562" i="448"/>
  <c r="G561" i="448"/>
  <c r="E548" i="448"/>
  <c r="E547" i="448"/>
  <c r="G546" i="448"/>
  <c r="E545" i="448"/>
  <c r="E544" i="448"/>
  <c r="E543" i="448"/>
  <c r="E542" i="448"/>
  <c r="G541" i="448"/>
  <c r="E540" i="448"/>
  <c r="E539" i="448"/>
  <c r="G538" i="448"/>
  <c r="E537" i="448"/>
  <c r="E536" i="448"/>
  <c r="G535" i="448"/>
  <c r="E534" i="448"/>
  <c r="E533" i="448"/>
  <c r="E532" i="448"/>
  <c r="E531" i="448"/>
  <c r="G530" i="448"/>
  <c r="E529" i="448"/>
  <c r="E528" i="448"/>
  <c r="E527" i="448"/>
  <c r="E526" i="448"/>
  <c r="G525" i="448"/>
  <c r="E499" i="448"/>
  <c r="E498" i="448"/>
  <c r="G497" i="448"/>
  <c r="E496" i="448"/>
  <c r="E495" i="448"/>
  <c r="E494" i="448"/>
  <c r="E493" i="448"/>
  <c r="G492" i="448"/>
  <c r="E491" i="448"/>
  <c r="E490" i="448"/>
  <c r="E489" i="448"/>
  <c r="E488" i="448"/>
  <c r="G487" i="448"/>
  <c r="E486" i="448"/>
  <c r="E485" i="448"/>
  <c r="E484" i="448"/>
  <c r="E483" i="448"/>
  <c r="E482" i="448"/>
  <c r="G481" i="448"/>
  <c r="G480" i="448"/>
  <c r="E479" i="448"/>
  <c r="G478" i="448"/>
  <c r="E478" i="448"/>
  <c r="E477" i="448"/>
  <c r="E476" i="448"/>
  <c r="E475" i="448"/>
  <c r="G474" i="448"/>
  <c r="E473" i="448"/>
  <c r="E472" i="448"/>
  <c r="E471" i="448"/>
  <c r="G470" i="448"/>
  <c r="E469" i="448"/>
  <c r="E468" i="448"/>
  <c r="E467" i="448"/>
  <c r="G466" i="448"/>
  <c r="E465" i="448"/>
  <c r="E464" i="448"/>
  <c r="E463" i="448"/>
  <c r="G462" i="448"/>
  <c r="E461" i="448"/>
  <c r="E460" i="448"/>
  <c r="E459" i="448"/>
  <c r="G458" i="448"/>
  <c r="E457" i="448"/>
  <c r="E456" i="448"/>
  <c r="E455" i="448"/>
  <c r="G454" i="448"/>
  <c r="E453" i="448"/>
  <c r="E452" i="448"/>
  <c r="E451" i="448"/>
  <c r="G450" i="448"/>
  <c r="E449" i="448"/>
  <c r="E448" i="448"/>
  <c r="E447" i="448"/>
  <c r="G446" i="448"/>
  <c r="E445" i="448"/>
  <c r="E444" i="448"/>
  <c r="E443" i="448"/>
  <c r="G442" i="448"/>
  <c r="E441" i="448"/>
  <c r="E440" i="448"/>
  <c r="E439" i="448"/>
  <c r="G438" i="448"/>
  <c r="E437" i="448"/>
  <c r="E436" i="448"/>
  <c r="E435" i="448"/>
  <c r="E434" i="448"/>
  <c r="E433" i="448"/>
  <c r="E432" i="448"/>
  <c r="G431" i="448"/>
  <c r="E430" i="448"/>
  <c r="E429" i="448"/>
  <c r="E428" i="448"/>
  <c r="G427" i="448"/>
  <c r="E426" i="448"/>
  <c r="G425" i="448"/>
  <c r="G422" i="448"/>
  <c r="E421" i="448"/>
  <c r="G420" i="448"/>
  <c r="E415" i="448"/>
  <c r="E414" i="448"/>
  <c r="E413" i="448"/>
  <c r="G412" i="448"/>
  <c r="E411" i="448"/>
  <c r="E410" i="448"/>
  <c r="E409" i="448"/>
  <c r="G408" i="448"/>
  <c r="E403" i="448"/>
  <c r="E402" i="448"/>
  <c r="E401" i="448"/>
  <c r="G400" i="448"/>
  <c r="E399" i="448"/>
  <c r="E398" i="448"/>
  <c r="E397" i="448"/>
  <c r="G396" i="448"/>
  <c r="E388" i="448"/>
  <c r="E387" i="448"/>
  <c r="E386" i="448"/>
  <c r="G385" i="448"/>
  <c r="E384" i="448"/>
  <c r="E383" i="448"/>
  <c r="E382" i="448"/>
  <c r="G381" i="448"/>
  <c r="H381" i="448" s="1" a="1"/>
  <c r="H381" i="448" s="1"/>
  <c r="E380" i="448"/>
  <c r="E379" i="448"/>
  <c r="E378" i="448"/>
  <c r="G377" i="448"/>
  <c r="E376" i="448"/>
  <c r="E375" i="448"/>
  <c r="E374" i="448"/>
  <c r="G373" i="448"/>
  <c r="E372" i="448"/>
  <c r="E371" i="448"/>
  <c r="E370" i="448"/>
  <c r="G369" i="448"/>
  <c r="E368" i="448"/>
  <c r="E367" i="448"/>
  <c r="E366" i="448"/>
  <c r="G365" i="448"/>
  <c r="E364" i="448"/>
  <c r="E363" i="448"/>
  <c r="E362" i="448"/>
  <c r="G361" i="448"/>
  <c r="E360" i="448"/>
  <c r="E359" i="448"/>
  <c r="E358" i="448"/>
  <c r="G357" i="448"/>
  <c r="E356" i="448"/>
  <c r="E355" i="448"/>
  <c r="E354" i="448"/>
  <c r="E353" i="448"/>
  <c r="E352" i="448"/>
  <c r="E351" i="448"/>
  <c r="G350" i="448"/>
  <c r="E349" i="448"/>
  <c r="E348" i="448"/>
  <c r="E347" i="448"/>
  <c r="E346" i="448"/>
  <c r="E345" i="448"/>
  <c r="E344" i="448"/>
  <c r="G343" i="448"/>
  <c r="G342" i="448"/>
  <c r="E341" i="448"/>
  <c r="G340" i="448"/>
  <c r="E339" i="448"/>
  <c r="E338" i="448"/>
  <c r="E337" i="448"/>
  <c r="G336" i="448"/>
  <c r="E335" i="448"/>
  <c r="E334" i="448"/>
  <c r="E333" i="448"/>
  <c r="G332" i="448"/>
  <c r="E331" i="448"/>
  <c r="E330" i="448"/>
  <c r="E329" i="448"/>
  <c r="G328" i="448"/>
  <c r="E327" i="448"/>
  <c r="E326" i="448"/>
  <c r="E325" i="448"/>
  <c r="G324" i="448"/>
  <c r="E323" i="448"/>
  <c r="E322" i="448"/>
  <c r="E321" i="448"/>
  <c r="G320" i="448"/>
  <c r="E319" i="448"/>
  <c r="E318" i="448"/>
  <c r="E317" i="448"/>
  <c r="G316" i="448"/>
  <c r="E315" i="448"/>
  <c r="E314" i="448"/>
  <c r="E313" i="448"/>
  <c r="G312" i="448"/>
  <c r="E307" i="448"/>
  <c r="E306" i="448"/>
  <c r="E305" i="448"/>
  <c r="G304" i="448"/>
  <c r="E303" i="448"/>
  <c r="E302" i="448"/>
  <c r="E301" i="448"/>
  <c r="G300" i="448"/>
  <c r="E299" i="448"/>
  <c r="E298" i="448"/>
  <c r="G291" i="448"/>
  <c r="H291" i="448" s="1" a="1"/>
  <c r="H291" i="448" s="1"/>
  <c r="G290" i="448"/>
  <c r="G289" i="448"/>
  <c r="H289" i="448" s="1" a="1"/>
  <c r="H289" i="448" s="1"/>
  <c r="G288" i="448"/>
  <c r="E287" i="448"/>
  <c r="G286" i="448"/>
  <c r="E285" i="448"/>
  <c r="G284" i="448"/>
  <c r="E281" i="448"/>
  <c r="G280" i="448"/>
  <c r="E269" i="448"/>
  <c r="G268" i="448"/>
  <c r="E267" i="448"/>
  <c r="G266" i="448"/>
  <c r="E265" i="448"/>
  <c r="G264" i="448"/>
  <c r="E263" i="448"/>
  <c r="G262" i="448"/>
  <c r="E261" i="448"/>
  <c r="G260" i="448"/>
  <c r="E255" i="448"/>
  <c r="G254" i="448"/>
  <c r="E253" i="448"/>
  <c r="G252" i="448"/>
  <c r="E251" i="448"/>
  <c r="G250" i="448"/>
  <c r="E249" i="448"/>
  <c r="G248" i="448"/>
  <c r="G247" i="448"/>
  <c r="E246" i="448"/>
  <c r="G245" i="448"/>
  <c r="E244" i="448"/>
  <c r="G243" i="448"/>
  <c r="E242" i="448"/>
  <c r="G241" i="448"/>
  <c r="E240" i="448"/>
  <c r="E239" i="448"/>
  <c r="E238" i="448"/>
  <c r="E237" i="448"/>
  <c r="E236" i="448"/>
  <c r="G235" i="448"/>
  <c r="E234" i="448"/>
  <c r="G233" i="448"/>
  <c r="E232" i="448"/>
  <c r="G231" i="448"/>
  <c r="E230" i="448"/>
  <c r="G229" i="448"/>
  <c r="E228" i="448"/>
  <c r="G227" i="448"/>
  <c r="E226" i="448"/>
  <c r="G225" i="448"/>
  <c r="E216" i="448"/>
  <c r="G215" i="448"/>
  <c r="E214" i="448"/>
  <c r="G213" i="448"/>
  <c r="E212" i="448"/>
  <c r="G211" i="448"/>
  <c r="E208" i="448"/>
  <c r="G207" i="448"/>
  <c r="G204" i="448"/>
  <c r="G203" i="448"/>
  <c r="E202" i="448"/>
  <c r="G201" i="448"/>
  <c r="E200" i="448"/>
  <c r="E199" i="448"/>
  <c r="E198" i="448"/>
  <c r="G197" i="448"/>
  <c r="E196" i="448"/>
  <c r="E195" i="448"/>
  <c r="E194" i="448"/>
  <c r="E193" i="448"/>
  <c r="E192" i="448"/>
  <c r="G191" i="448"/>
  <c r="E190" i="448"/>
  <c r="G189" i="448"/>
  <c r="E188" i="448"/>
  <c r="E187" i="448"/>
  <c r="E186" i="448"/>
  <c r="G185" i="448"/>
  <c r="E179" i="448"/>
  <c r="E178" i="448"/>
  <c r="E177" i="448"/>
  <c r="E176" i="448"/>
  <c r="G175" i="448"/>
  <c r="E174" i="448"/>
  <c r="E173" i="448"/>
  <c r="E172" i="448"/>
  <c r="E171" i="448"/>
  <c r="E170" i="448"/>
  <c r="G169" i="448"/>
  <c r="E168" i="448"/>
  <c r="E167" i="448"/>
  <c r="E166" i="448"/>
  <c r="E165" i="448"/>
  <c r="G164" i="448"/>
  <c r="E163" i="448"/>
  <c r="E162" i="448"/>
  <c r="E161" i="448"/>
  <c r="E160" i="448"/>
  <c r="E159" i="448"/>
  <c r="G158" i="448"/>
  <c r="E157" i="448"/>
  <c r="E156" i="448"/>
  <c r="E155" i="448"/>
  <c r="E154" i="448"/>
  <c r="E153" i="448"/>
  <c r="G152" i="448"/>
  <c r="G151" i="448"/>
  <c r="E149" i="448"/>
  <c r="E148" i="448"/>
  <c r="E147" i="448"/>
  <c r="E146" i="448"/>
  <c r="G145" i="448"/>
  <c r="E144" i="448"/>
  <c r="E143" i="448"/>
  <c r="E142" i="448"/>
  <c r="G141" i="448"/>
  <c r="E140" i="448"/>
  <c r="E139" i="448"/>
  <c r="E138" i="448"/>
  <c r="E137" i="448"/>
  <c r="E136" i="448"/>
  <c r="E135" i="448"/>
  <c r="E134" i="448"/>
  <c r="E133" i="448"/>
  <c r="E132" i="448"/>
  <c r="E131" i="448"/>
  <c r="E130" i="448"/>
  <c r="E129" i="448"/>
  <c r="E128" i="448"/>
  <c r="E127" i="448"/>
  <c r="E126" i="448"/>
  <c r="E125" i="448"/>
  <c r="G124" i="448"/>
  <c r="E123" i="448"/>
  <c r="E122" i="448"/>
  <c r="E121" i="448"/>
  <c r="E120" i="448"/>
  <c r="E119" i="448"/>
  <c r="E118" i="448"/>
  <c r="E117" i="448"/>
  <c r="E116" i="448"/>
  <c r="E115" i="448"/>
  <c r="E114" i="448"/>
  <c r="E113" i="448"/>
  <c r="E112" i="448"/>
  <c r="E111" i="448"/>
  <c r="E110" i="448"/>
  <c r="E109" i="448"/>
  <c r="E108" i="448"/>
  <c r="G107" i="448"/>
  <c r="E106" i="448"/>
  <c r="E105" i="448"/>
  <c r="E104" i="448"/>
  <c r="E103" i="448"/>
  <c r="E102" i="448"/>
  <c r="E101" i="448"/>
  <c r="E100" i="448"/>
  <c r="E99" i="448"/>
  <c r="E98" i="448"/>
  <c r="G97" i="448"/>
  <c r="E96" i="448"/>
  <c r="E95" i="448"/>
  <c r="E94" i="448"/>
  <c r="E93" i="448"/>
  <c r="E92" i="448"/>
  <c r="E91" i="448"/>
  <c r="E90" i="448"/>
  <c r="E89" i="448"/>
  <c r="E88" i="448"/>
  <c r="G87" i="448"/>
  <c r="E86" i="448"/>
  <c r="E85" i="448"/>
  <c r="E84" i="448"/>
  <c r="E83" i="448"/>
  <c r="E82" i="448"/>
  <c r="E81" i="448"/>
  <c r="E80" i="448"/>
  <c r="E79" i="448"/>
  <c r="E78" i="448"/>
  <c r="G77" i="448"/>
  <c r="E76" i="448"/>
  <c r="E75" i="448"/>
  <c r="E74" i="448"/>
  <c r="E73" i="448"/>
  <c r="E72" i="448"/>
  <c r="E71" i="448"/>
  <c r="E70" i="448"/>
  <c r="E69" i="448"/>
  <c r="E68" i="448"/>
  <c r="G67" i="448"/>
  <c r="E66" i="448"/>
  <c r="E65" i="448"/>
  <c r="E64" i="448"/>
  <c r="E63" i="448"/>
  <c r="E62" i="448"/>
  <c r="E61" i="448"/>
  <c r="E60" i="448"/>
  <c r="E59" i="448"/>
  <c r="E58" i="448"/>
  <c r="G57" i="448"/>
  <c r="E56" i="448"/>
  <c r="E55" i="448"/>
  <c r="E54" i="448"/>
  <c r="E53" i="448"/>
  <c r="E52" i="448"/>
  <c r="E51" i="448"/>
  <c r="E50" i="448"/>
  <c r="E49" i="448"/>
  <c r="E48" i="448"/>
  <c r="G47" i="448"/>
  <c r="E46" i="448"/>
  <c r="E45" i="448"/>
  <c r="E44" i="448"/>
  <c r="E43" i="448"/>
  <c r="E42" i="448"/>
  <c r="E41" i="448"/>
  <c r="E40" i="448"/>
  <c r="E39" i="448"/>
  <c r="E38" i="448"/>
  <c r="G37" i="448"/>
  <c r="E36" i="448"/>
  <c r="E35" i="448"/>
  <c r="E34" i="448"/>
  <c r="E33" i="448"/>
  <c r="E32" i="448"/>
  <c r="E31" i="448"/>
  <c r="E30" i="448"/>
  <c r="E29" i="448"/>
  <c r="E28" i="448"/>
  <c r="G27" i="448"/>
  <c r="E26" i="448"/>
  <c r="E25" i="448"/>
  <c r="E24" i="448"/>
  <c r="E23" i="448"/>
  <c r="E22" i="448"/>
  <c r="E21" i="448"/>
  <c r="E20" i="448"/>
  <c r="G19" i="448"/>
  <c r="E18" i="448"/>
  <c r="E17" i="448"/>
  <c r="E16" i="448"/>
  <c r="E15" i="448"/>
  <c r="E14" i="448"/>
  <c r="E13" i="448"/>
  <c r="E12" i="448"/>
  <c r="G11" i="448"/>
  <c r="E10" i="448"/>
  <c r="E9" i="448"/>
  <c r="E8" i="448"/>
  <c r="E7" i="448"/>
  <c r="E6" i="448"/>
  <c r="E5" i="448"/>
  <c r="E4" i="448"/>
  <c r="G3" i="448"/>
  <c r="G2" i="448"/>
  <c r="A920" i="448" l="1"/>
  <c r="M410" i="436"/>
  <c r="H2343" i="448" a="1"/>
  <c r="H2343" i="448" s="1"/>
  <c r="A918" i="448"/>
  <c r="A929" i="448"/>
  <c r="A928" i="448"/>
  <c r="A922" i="448"/>
  <c r="A927" i="448"/>
  <c r="A921" i="448"/>
  <c r="M118" i="436"/>
  <c r="N118" i="436" s="1"/>
  <c r="A924" i="448"/>
  <c r="A926" i="448"/>
  <c r="A923" i="448"/>
  <c r="A919" i="448"/>
  <c r="A925" i="448"/>
  <c r="A1657" i="448"/>
  <c r="A1658" i="448"/>
  <c r="H2357" i="448" a="1"/>
  <c r="H2357" i="448" s="1"/>
  <c r="H2197" i="448" a="1"/>
  <c r="H2197" i="448" s="1"/>
  <c r="H2337" i="448" a="1"/>
  <c r="H2337" i="448" s="1"/>
  <c r="A1655" i="448"/>
  <c r="A1656" i="448"/>
  <c r="A1660" i="448"/>
  <c r="A1659" i="448"/>
  <c r="A1661" i="448"/>
  <c r="A1662" i="448"/>
  <c r="A721" i="448"/>
  <c r="A726" i="448"/>
  <c r="A723" i="448"/>
  <c r="A720" i="448"/>
  <c r="A727" i="448"/>
  <c r="A718" i="448"/>
  <c r="A728" i="448"/>
  <c r="A719" i="448"/>
  <c r="A725" i="448"/>
  <c r="A717" i="448"/>
  <c r="A722" i="448"/>
  <c r="A724" i="448"/>
  <c r="A2308" i="448"/>
  <c r="A2307" i="448"/>
  <c r="H1766" i="448" a="1"/>
  <c r="H1766" i="448" s="1"/>
  <c r="H1765" i="448" s="1" a="1"/>
  <c r="H1765" i="448" s="1"/>
  <c r="A2304" i="448"/>
  <c r="A2303" i="448"/>
  <c r="A2305" i="448"/>
  <c r="A2306" i="448"/>
  <c r="H247" i="448" a="1"/>
  <c r="H247" i="448" s="1"/>
  <c r="H246" i="448" s="1" a="1"/>
  <c r="H246" i="448" s="1"/>
  <c r="H245" i="448" s="1" a="1"/>
  <c r="H245" i="448" s="1"/>
  <c r="M20" i="436" s="1"/>
  <c r="H151" i="448" a="1"/>
  <c r="H151" i="448" s="1"/>
  <c r="H203" i="448" a="1"/>
  <c r="H203" i="448" s="1"/>
  <c r="H692" i="448" a="1"/>
  <c r="H692" i="448" s="1"/>
  <c r="H691" i="448" s="1" a="1"/>
  <c r="H691" i="448" s="1"/>
  <c r="H690" i="448" s="1" a="1"/>
  <c r="H690" i="448" s="1"/>
  <c r="H342" i="448" a="1"/>
  <c r="H342" i="448" s="1"/>
  <c r="H480" i="448" a="1"/>
  <c r="H480" i="448" s="1"/>
  <c r="H422" i="448" a="1"/>
  <c r="H422" i="448" s="1"/>
  <c r="H2140" i="448" a="1"/>
  <c r="H2140" i="448" s="1"/>
  <c r="A2480" i="448"/>
  <c r="A2479" i="448"/>
  <c r="H2425" i="448" a="1"/>
  <c r="H2425" i="448" s="1"/>
  <c r="H3059" i="448" a="1"/>
  <c r="H3059" i="448" s="1"/>
  <c r="H3058" i="448" s="1" a="1"/>
  <c r="H3058" i="448" s="1"/>
  <c r="H3000" i="448" a="1"/>
  <c r="H3000" i="448" s="1"/>
  <c r="H2999" i="448" s="1" a="1"/>
  <c r="H2999" i="448" s="1"/>
  <c r="H290" i="448" a="1"/>
  <c r="H290" i="448" s="1"/>
  <c r="H1175" i="448" a="1"/>
  <c r="H1175" i="448" s="1"/>
  <c r="H1174" i="448" s="1" a="1"/>
  <c r="H1174" i="448" s="1"/>
  <c r="T26" i="456" s="1"/>
  <c r="U26" i="456" s="1"/>
  <c r="H2144" i="448" a="1"/>
  <c r="H2144" i="448" s="1"/>
  <c r="H1488" i="448" a="1"/>
  <c r="H1488" i="448" s="1"/>
  <c r="H2339" i="448" a="1"/>
  <c r="H2339" i="448" s="1"/>
  <c r="H1559" i="448" a="1"/>
  <c r="H1559" i="448" s="1"/>
  <c r="H1545" i="448" a="1"/>
  <c r="H1545" i="448" s="1"/>
  <c r="H2771" i="448" a="1"/>
  <c r="H2771" i="448" s="1"/>
  <c r="H2298" i="448" a="1"/>
  <c r="H2298" i="448" s="1"/>
  <c r="H1773" i="448" a="1"/>
  <c r="H1773" i="448" s="1"/>
  <c r="H1772" i="448" s="1" a="1"/>
  <c r="H1772" i="448" s="1"/>
  <c r="H479" i="448" a="1"/>
  <c r="H479" i="448" s="1"/>
  <c r="H478" i="448" s="1" a="1"/>
  <c r="H478" i="448" s="1"/>
  <c r="H2056" i="448" a="1"/>
  <c r="H2056" i="448" s="1"/>
  <c r="H266" i="448" a="1"/>
  <c r="H266" i="448" s="1"/>
  <c r="H2348" i="448" a="1"/>
  <c r="H2348" i="448" s="1"/>
  <c r="H2901" i="448" a="1"/>
  <c r="H2901" i="448" s="1"/>
  <c r="H2699" i="448" a="1"/>
  <c r="H2699" i="448" s="1"/>
  <c r="H1563" i="448" a="1"/>
  <c r="H1563" i="448" s="1"/>
  <c r="H1562" i="448" s="1" a="1"/>
  <c r="H1562" i="448" s="1"/>
  <c r="H2731" i="448" a="1"/>
  <c r="H2731" i="448" s="1"/>
  <c r="A2351" i="448"/>
  <c r="A2350" i="448"/>
  <c r="H1179" i="448" a="1"/>
  <c r="H1179" i="448" s="1"/>
  <c r="H1195" i="448" a="1"/>
  <c r="H1195" i="448" s="1"/>
  <c r="H1194" i="448" s="1" a="1"/>
  <c r="H1194" i="448" s="1"/>
  <c r="H640" i="448" a="1"/>
  <c r="H640" i="448" s="1"/>
  <c r="H639" i="448" s="1" a="1"/>
  <c r="H639" i="448" s="1"/>
  <c r="H638" i="448" s="1" a="1"/>
  <c r="H638" i="448" s="1"/>
  <c r="H637" i="448" s="1" a="1"/>
  <c r="H637" i="448" s="1"/>
  <c r="H636" i="448" s="1" a="1"/>
  <c r="H636" i="448" s="1"/>
  <c r="H631" i="448" a="1"/>
  <c r="H631" i="448" s="1"/>
  <c r="H630" i="448" s="1" a="1"/>
  <c r="H630" i="448" s="1"/>
  <c r="H629" i="448" s="1" a="1"/>
  <c r="H629" i="448" s="1"/>
  <c r="H673" i="448" a="1"/>
  <c r="H673" i="448" s="1"/>
  <c r="H672" i="448" s="1" a="1"/>
  <c r="H672" i="448" s="1"/>
  <c r="H807" i="448" a="1"/>
  <c r="H807" i="448" s="1"/>
  <c r="H806" i="448" s="1" a="1"/>
  <c r="H806" i="448" s="1"/>
  <c r="H260" i="448" a="1"/>
  <c r="H260" i="448" s="1"/>
  <c r="H1741" i="448" a="1"/>
  <c r="H1741" i="448" s="1"/>
  <c r="H1771" i="448" a="1"/>
  <c r="H1771" i="448" s="1"/>
  <c r="H1770" i="448" s="1" a="1"/>
  <c r="H1770" i="448" s="1"/>
  <c r="H2932" i="448" a="1"/>
  <c r="H2932" i="448" s="1"/>
  <c r="H1555" i="448" a="1"/>
  <c r="H1555" i="448" s="1"/>
  <c r="A1304" i="448"/>
  <c r="A1303" i="448"/>
  <c r="M149" i="436"/>
  <c r="H1523" i="448" a="1"/>
  <c r="H1523" i="448" s="1"/>
  <c r="H2907" i="448" a="1"/>
  <c r="H2907" i="448" s="1"/>
  <c r="H284" i="448" a="1"/>
  <c r="H284" i="448" s="1"/>
  <c r="H262" i="448" a="1"/>
  <c r="H262" i="448" s="1"/>
  <c r="H1500" i="448" a="1"/>
  <c r="H1500" i="448" s="1"/>
  <c r="H1490" i="448" a="1"/>
  <c r="H1490" i="448" s="1"/>
  <c r="H676" i="448" a="1"/>
  <c r="H676" i="448" s="1"/>
  <c r="H2903" i="448" a="1"/>
  <c r="H2903" i="448" s="1"/>
  <c r="H2296" i="448" a="1"/>
  <c r="H2296" i="448" s="1"/>
  <c r="H1504" i="448" a="1"/>
  <c r="H1504" i="448" s="1"/>
  <c r="H2757" i="448" a="1"/>
  <c r="H2757" i="448" s="1"/>
  <c r="H2146" i="448" a="1"/>
  <c r="H2146" i="448" s="1"/>
  <c r="H395" i="448" a="1"/>
  <c r="H395" i="448" s="1"/>
  <c r="H394" i="448" s="1" a="1"/>
  <c r="H394" i="448" s="1"/>
  <c r="H393" i="448" s="1" a="1"/>
  <c r="H393" i="448" s="1"/>
  <c r="M55" i="436" s="1"/>
  <c r="N55" i="436" s="1"/>
  <c r="H2323" i="448" a="1"/>
  <c r="H2323" i="448" s="1"/>
  <c r="H1763" i="448" a="1"/>
  <c r="H1763" i="448" s="1"/>
  <c r="H264" i="448" a="1"/>
  <c r="H264" i="448" s="1"/>
  <c r="H1747" i="448" a="1"/>
  <c r="H1747" i="448" s="1"/>
  <c r="H1746" i="448" s="1" a="1"/>
  <c r="H1746" i="448" s="1"/>
  <c r="H2132" i="448" a="1"/>
  <c r="H2132" i="448" s="1"/>
  <c r="H1492" i="448" a="1"/>
  <c r="H1492" i="448" s="1"/>
  <c r="H1496" i="448" a="1"/>
  <c r="H1496" i="448" s="1"/>
  <c r="M281" i="436" s="1"/>
  <c r="H2445" i="448" a="1"/>
  <c r="H2445" i="448" s="1"/>
  <c r="H1486" i="448" a="1"/>
  <c r="H1486" i="448" s="1"/>
  <c r="H2767" i="448" a="1"/>
  <c r="H2767" i="448" s="1"/>
  <c r="H3069" i="448" a="1"/>
  <c r="H3069" i="448" s="1"/>
  <c r="H2427" i="448" a="1"/>
  <c r="H2427" i="448" s="1"/>
  <c r="H2459" i="448" a="1"/>
  <c r="H2459" i="448" s="1"/>
  <c r="M389" i="436" s="1"/>
  <c r="H1142" i="448" a="1"/>
  <c r="H1142" i="448" s="1"/>
  <c r="H2282" i="448" a="1"/>
  <c r="H2282" i="448" s="1"/>
  <c r="H1172" i="448" a="1"/>
  <c r="H1172" i="448" s="1"/>
  <c r="H1171" i="448" s="1" a="1"/>
  <c r="H1171" i="448" s="1"/>
  <c r="H1170" i="448" s="1" a="1"/>
  <c r="H1170" i="448" s="1"/>
  <c r="H1169" i="448" s="1" a="1"/>
  <c r="H1169" i="448" s="1"/>
  <c r="H1168" i="448" s="1" a="1"/>
  <c r="H1168" i="448" s="1"/>
  <c r="H2905" i="448" a="1"/>
  <c r="H2905" i="448" s="1"/>
  <c r="H1761" i="448" a="1"/>
  <c r="H1761" i="448" s="1"/>
  <c r="H2417" i="448" a="1"/>
  <c r="H2417" i="448" s="1"/>
  <c r="H634" i="448" a="1"/>
  <c r="H634" i="448" s="1"/>
  <c r="H2922" i="448" a="1"/>
  <c r="H2922" i="448" s="1"/>
  <c r="H2921" i="448" s="1" a="1"/>
  <c r="H2921" i="448" s="1"/>
  <c r="H2920" i="448" s="1" a="1"/>
  <c r="H2920" i="448" s="1"/>
  <c r="H678" i="448" a="1"/>
  <c r="H678" i="448" s="1"/>
  <c r="H1543" i="448" a="1"/>
  <c r="H1543" i="448" s="1"/>
  <c r="H2284" i="448" a="1"/>
  <c r="H2284" i="448" s="1"/>
  <c r="H2769" i="448" a="1"/>
  <c r="H2769" i="448" s="1"/>
  <c r="H3082" i="448" a="1"/>
  <c r="H3082" i="448" s="1"/>
  <c r="H682" i="448" a="1"/>
  <c r="H682" i="448" s="1"/>
  <c r="H2004" i="448" a="1"/>
  <c r="H2004" i="448" s="1"/>
  <c r="H2292" i="448" a="1"/>
  <c r="H2292" i="448" s="1"/>
  <c r="H2773" i="448" a="1"/>
  <c r="H2773" i="448" s="1"/>
  <c r="H2215" i="448" a="1"/>
  <c r="H2215" i="448" s="1"/>
  <c r="H268" i="448" a="1"/>
  <c r="H268" i="448" s="1"/>
  <c r="H1565" i="448" a="1"/>
  <c r="H1565" i="448" s="1"/>
  <c r="H2765" i="448" a="1"/>
  <c r="H2765" i="448" s="1"/>
  <c r="H2128" i="448" a="1"/>
  <c r="H2128" i="448" s="1"/>
  <c r="H1293" i="448" a="1"/>
  <c r="H1293" i="448" s="1"/>
  <c r="H2697" i="448" a="1"/>
  <c r="H2697" i="448" s="1"/>
  <c r="H2897" i="448" a="1"/>
  <c r="H2897" i="448" s="1"/>
  <c r="H2911" i="448" a="1"/>
  <c r="H2911" i="448" s="1"/>
  <c r="H2910" i="448" s="1" a="1"/>
  <c r="H2910" i="448" s="1"/>
  <c r="H2909" i="448" s="1" a="1"/>
  <c r="H2909" i="448" s="1"/>
  <c r="H280" i="448" a="1"/>
  <c r="H280" i="448" s="1"/>
  <c r="H2134" i="448" a="1"/>
  <c r="H2134" i="448" s="1"/>
  <c r="H1158" i="448" a="1"/>
  <c r="H1158" i="448" s="1"/>
  <c r="H670" i="448" a="1"/>
  <c r="H670" i="448" s="1"/>
  <c r="H669" i="448" s="1" a="1"/>
  <c r="H669" i="448" s="1"/>
  <c r="H668" i="448" s="1" a="1"/>
  <c r="H668" i="448" s="1"/>
  <c r="H667" i="448" s="1" a="1"/>
  <c r="H667" i="448" s="1"/>
  <c r="H666" i="448" s="1" a="1"/>
  <c r="H666" i="448" s="1"/>
  <c r="H665" i="448" s="1" a="1"/>
  <c r="H665" i="448" s="1"/>
  <c r="H664" i="448" s="1" a="1"/>
  <c r="H664" i="448" s="1"/>
  <c r="H663" i="448" s="1" a="1"/>
  <c r="H663" i="448" s="1"/>
  <c r="H341" i="448" a="1"/>
  <c r="H341" i="448" s="1"/>
  <c r="H340" i="448" s="1" a="1"/>
  <c r="H340" i="448" s="1"/>
  <c r="M73" i="436" s="1"/>
  <c r="H2889" i="448" a="1"/>
  <c r="H2889" i="448" s="1"/>
  <c r="H3067" i="448" a="1"/>
  <c r="H3067" i="448" s="1"/>
  <c r="H3066" i="448" s="1" a="1"/>
  <c r="H3066" i="448" s="1"/>
  <c r="H3065" i="448" s="1" a="1"/>
  <c r="H3065" i="448" s="1"/>
  <c r="H1757" i="448" a="1"/>
  <c r="H1757" i="448" s="1"/>
  <c r="H2130" i="448" a="1"/>
  <c r="H2130" i="448" s="1"/>
  <c r="H2118" i="448" a="1"/>
  <c r="H2118" i="448" s="1"/>
  <c r="H1164" i="448" a="1"/>
  <c r="H1164" i="448" s="1"/>
  <c r="H688" i="448" a="1"/>
  <c r="H688" i="448" s="1"/>
  <c r="M101" i="436" s="1"/>
  <c r="H288" i="448" a="1"/>
  <c r="H288" i="448" s="1"/>
  <c r="H2341" i="448" a="1"/>
  <c r="H2341" i="448" s="1"/>
  <c r="H2462" i="448" a="1"/>
  <c r="H2462" i="448" s="1"/>
  <c r="H2461" i="448" s="1" a="1"/>
  <c r="H2461" i="448" s="1"/>
  <c r="H2695" i="448" a="1"/>
  <c r="H2695" i="448" s="1"/>
  <c r="H421" i="448" a="1"/>
  <c r="H421" i="448" s="1"/>
  <c r="H420" i="448" s="1" a="1"/>
  <c r="H420" i="448" s="1"/>
  <c r="H793" i="448" a="1"/>
  <c r="H793" i="448" s="1"/>
  <c r="H2309" i="448" a="1"/>
  <c r="H2309" i="448" s="1"/>
  <c r="H2308" i="448" s="1" a="1"/>
  <c r="H2308" i="448" s="1"/>
  <c r="H2307" i="448" s="1" a="1"/>
  <c r="H2307" i="448" s="1"/>
  <c r="H3049" i="448" a="1"/>
  <c r="H3049" i="448" s="1"/>
  <c r="H250" i="448" a="1"/>
  <c r="H250" i="448" s="1"/>
  <c r="H2136" i="448" a="1"/>
  <c r="H2136" i="448" s="1"/>
  <c r="H1502" i="448" a="1"/>
  <c r="H1502" i="448" s="1"/>
  <c r="H2301" i="448" a="1"/>
  <c r="H2301" i="448" s="1"/>
  <c r="H2300" i="448" s="1" a="1"/>
  <c r="H2300" i="448" s="1"/>
  <c r="H2918" i="448" a="1"/>
  <c r="H2918" i="448" s="1"/>
  <c r="H2917" i="448" s="1" a="1"/>
  <c r="H2917" i="448" s="1"/>
  <c r="H2936" i="448" a="1"/>
  <c r="H2936" i="448" s="1"/>
  <c r="H795" i="448" a="1"/>
  <c r="H795" i="448" s="1"/>
  <c r="H286" i="448" a="1"/>
  <c r="H286" i="448" s="1"/>
  <c r="M62" i="436" s="1"/>
  <c r="H2333" i="448" a="1"/>
  <c r="H2333" i="448" s="1"/>
  <c r="H1669" i="448" a="1"/>
  <c r="H1669" i="448" s="1"/>
  <c r="H3051" i="448" a="1"/>
  <c r="H3051" i="448" s="1"/>
  <c r="H252" i="448" a="1"/>
  <c r="H252" i="448" s="1"/>
  <c r="H2142" i="448" a="1"/>
  <c r="H2142" i="448" s="1"/>
  <c r="H1160" i="448" a="1"/>
  <c r="H1160" i="448" s="1"/>
  <c r="H2447" i="448" a="1"/>
  <c r="H2447" i="448" s="1"/>
  <c r="H2891" i="448" a="1"/>
  <c r="H2891" i="448" s="1"/>
  <c r="H2763" i="448" a="1"/>
  <c r="H2763" i="448" s="1"/>
  <c r="H1282" i="448" a="1"/>
  <c r="H1282" i="448" s="1"/>
  <c r="H2329" i="448" a="1"/>
  <c r="H2329" i="448" s="1"/>
  <c r="H2927" i="448" a="1"/>
  <c r="H2927" i="448" s="1"/>
  <c r="H2029" i="448" a="1"/>
  <c r="H2029" i="448" s="1"/>
  <c r="H2028" i="448" s="1" a="1"/>
  <c r="H2028" i="448" s="1"/>
  <c r="H254" i="448" a="1"/>
  <c r="H254" i="448" s="1"/>
  <c r="H1482" i="448" a="1"/>
  <c r="H1482" i="448" s="1"/>
  <c r="H1162" i="448" a="1"/>
  <c r="H1162" i="448" s="1"/>
  <c r="A1352" i="448"/>
  <c r="A1353" i="448"/>
  <c r="A1355" i="448"/>
  <c r="A1354" i="448"/>
  <c r="A1351" i="448"/>
  <c r="A1358" i="448"/>
  <c r="A1359" i="448"/>
  <c r="A1360" i="448"/>
  <c r="A1357" i="448"/>
  <c r="A1356" i="448"/>
  <c r="A1388" i="448"/>
  <c r="A1386" i="448"/>
  <c r="A1390" i="448"/>
  <c r="A1389" i="448"/>
  <c r="A1387" i="448"/>
  <c r="A1393" i="448"/>
  <c r="A1394" i="448"/>
  <c r="A1391" i="448"/>
  <c r="A1395" i="448"/>
  <c r="A1392" i="448"/>
  <c r="A2237" i="448"/>
  <c r="A2238" i="448"/>
  <c r="A2239" i="448"/>
  <c r="A1423" i="448"/>
  <c r="A1425" i="448"/>
  <c r="A1422" i="448"/>
  <c r="A1424" i="448"/>
  <c r="A1421" i="448"/>
  <c r="A1554" i="448"/>
  <c r="A1553" i="448"/>
  <c r="A1877" i="448"/>
  <c r="A1879" i="448"/>
  <c r="A1876" i="448"/>
  <c r="A1878" i="448"/>
  <c r="A1875" i="448"/>
  <c r="A1378" i="448"/>
  <c r="A1376" i="448"/>
  <c r="A1380" i="448"/>
  <c r="A1377" i="448"/>
  <c r="A1379" i="448"/>
  <c r="A2240" i="448"/>
  <c r="A2242" i="448"/>
  <c r="A2241" i="448"/>
  <c r="A1383" i="448"/>
  <c r="A1385" i="448"/>
  <c r="A1382" i="448"/>
  <c r="A1384" i="448"/>
  <c r="A1381" i="448"/>
  <c r="A1399" i="448"/>
  <c r="A1398" i="448"/>
  <c r="A1396" i="448"/>
  <c r="A1400" i="448"/>
  <c r="A1397" i="448"/>
  <c r="A1401" i="448"/>
  <c r="A1403" i="448"/>
  <c r="A1402" i="448"/>
  <c r="A1404" i="448"/>
  <c r="A1405" i="448"/>
  <c r="A2243" i="448"/>
  <c r="A2245" i="448"/>
  <c r="A2244" i="448"/>
  <c r="A1912" i="448"/>
  <c r="A1910" i="448"/>
  <c r="A1914" i="448"/>
  <c r="A1911" i="448"/>
  <c r="A1913" i="448"/>
  <c r="A1782" i="448"/>
  <c r="A1779" i="448"/>
  <c r="A1780" i="448"/>
  <c r="A1781" i="448"/>
  <c r="A2246" i="448"/>
  <c r="A2247" i="448"/>
  <c r="A2248" i="448"/>
  <c r="A1951" i="448"/>
  <c r="A1950" i="448"/>
  <c r="A1954" i="448"/>
  <c r="A1953" i="448"/>
  <c r="A1952" i="448"/>
  <c r="A1956" i="448"/>
  <c r="A1955" i="448"/>
  <c r="A1959" i="448"/>
  <c r="A1961" i="448"/>
  <c r="A1958" i="448"/>
  <c r="A1960" i="448"/>
  <c r="A1957" i="448"/>
  <c r="A2249" i="448"/>
  <c r="A2251" i="448"/>
  <c r="A2250" i="448"/>
  <c r="A1362" i="448"/>
  <c r="A1363" i="448"/>
  <c r="A1364" i="448"/>
  <c r="A1361" i="448"/>
  <c r="A1365" i="448"/>
  <c r="A2501" i="448"/>
  <c r="A2499" i="448"/>
  <c r="A2500" i="448"/>
  <c r="A2498" i="448"/>
  <c r="A2497" i="448"/>
  <c r="A2252" i="448"/>
  <c r="A2254" i="448"/>
  <c r="A2253" i="448"/>
  <c r="A1471" i="448"/>
  <c r="A1470" i="448"/>
  <c r="A1882" i="448"/>
  <c r="A1880" i="448"/>
  <c r="A1884" i="448"/>
  <c r="A1883" i="448"/>
  <c r="A1881" i="448"/>
  <c r="A1888" i="448"/>
  <c r="A1885" i="448"/>
  <c r="A1887" i="448"/>
  <c r="A1889" i="448"/>
  <c r="A1886" i="448"/>
  <c r="A2900" i="448"/>
  <c r="A2899" i="448"/>
  <c r="A2776" i="448"/>
  <c r="A2775" i="448"/>
  <c r="A2537" i="448"/>
  <c r="A2536" i="448"/>
  <c r="A2540" i="448"/>
  <c r="A2541" i="448"/>
  <c r="A2610" i="448"/>
  <c r="A2609" i="448"/>
  <c r="A2612" i="448"/>
  <c r="A2611" i="448"/>
  <c r="A2614" i="448"/>
  <c r="A2613" i="448"/>
  <c r="A2496" i="448"/>
  <c r="A2495" i="448"/>
  <c r="A2492" i="448"/>
  <c r="M408" i="436"/>
  <c r="N408" i="436" s="1"/>
  <c r="A2494" i="448"/>
  <c r="A2493" i="448"/>
  <c r="M404" i="436"/>
  <c r="N404" i="436" s="1"/>
  <c r="A2478" i="448"/>
  <c r="A2477" i="448"/>
  <c r="A2265" i="448"/>
  <c r="A2267" i="448"/>
  <c r="A2266" i="448"/>
  <c r="A2268" i="448"/>
  <c r="A2270" i="448"/>
  <c r="A2269" i="448"/>
  <c r="A2271" i="448"/>
  <c r="A2273" i="448"/>
  <c r="A2272" i="448"/>
  <c r="M343" i="436"/>
  <c r="N343" i="436" s="1"/>
  <c r="M344" i="436"/>
  <c r="N344" i="436" s="1"/>
  <c r="A2335" i="448"/>
  <c r="A2336" i="448"/>
  <c r="A2230" i="448"/>
  <c r="A2226" i="448"/>
  <c r="A2228" i="448"/>
  <c r="A2227" i="448"/>
  <c r="A2229" i="448"/>
  <c r="A2231" i="448"/>
  <c r="M339" i="436"/>
  <c r="N339" i="436" s="1"/>
  <c r="M340" i="436"/>
  <c r="N340" i="436" s="1"/>
  <c r="A2210" i="448"/>
  <c r="A2209" i="448"/>
  <c r="A2208" i="448"/>
  <c r="A2206" i="448"/>
  <c r="A2205" i="448"/>
  <c r="A2207" i="448"/>
  <c r="A2204" i="448"/>
  <c r="A2384" i="448"/>
  <c r="A2386" i="448"/>
  <c r="A2385" i="448"/>
  <c r="A2408" i="448"/>
  <c r="A2409" i="448"/>
  <c r="A2410" i="448"/>
  <c r="A2411" i="448"/>
  <c r="A2412" i="448"/>
  <c r="A2413" i="448"/>
  <c r="A2399" i="448"/>
  <c r="A2401" i="448"/>
  <c r="A2400" i="448"/>
  <c r="M365" i="436"/>
  <c r="A2327" i="448"/>
  <c r="A2328" i="448"/>
  <c r="A2097" i="448"/>
  <c r="A2099" i="448"/>
  <c r="A2098" i="448"/>
  <c r="A2079" i="448"/>
  <c r="A2081" i="448"/>
  <c r="A2080" i="448"/>
  <c r="A2083" i="448"/>
  <c r="A2082" i="448"/>
  <c r="A2061" i="448"/>
  <c r="A2063" i="448"/>
  <c r="A2062" i="448"/>
  <c r="A2060" i="448"/>
  <c r="A2059" i="448"/>
  <c r="A1485" i="448"/>
  <c r="A1484" i="448"/>
  <c r="A1444" i="448"/>
  <c r="A1446" i="448"/>
  <c r="A1445" i="448"/>
  <c r="A1752" i="448"/>
  <c r="A1754" i="448"/>
  <c r="A1753" i="448"/>
  <c r="A1751" i="448"/>
  <c r="A1756" i="448"/>
  <c r="A1755" i="448"/>
  <c r="A2017" i="448"/>
  <c r="A1749" i="448"/>
  <c r="A1750" i="448"/>
  <c r="A2014" i="448"/>
  <c r="A2016" i="448"/>
  <c r="A2015" i="448"/>
  <c r="A1850" i="448"/>
  <c r="A1852" i="448"/>
  <c r="A1853" i="448"/>
  <c r="A1851" i="448"/>
  <c r="A1854" i="448"/>
  <c r="A1965" i="448"/>
  <c r="A1962" i="448"/>
  <c r="A1964" i="448"/>
  <c r="A1966" i="448"/>
  <c r="A1963" i="448"/>
  <c r="A1846" i="448"/>
  <c r="A1847" i="448"/>
  <c r="A1849" i="448"/>
  <c r="A1848" i="448"/>
  <c r="A1845" i="448"/>
  <c r="A1811" i="448"/>
  <c r="A1814" i="448"/>
  <c r="A1810" i="448"/>
  <c r="A1813" i="448"/>
  <c r="A1812" i="448"/>
  <c r="A1816" i="448"/>
  <c r="A1819" i="448"/>
  <c r="A1815" i="448"/>
  <c r="A1818" i="448"/>
  <c r="A1817" i="448"/>
  <c r="A1333" i="448"/>
  <c r="A1335" i="448"/>
  <c r="A1334" i="448"/>
  <c r="A1332" i="448"/>
  <c r="A1331" i="448"/>
  <c r="A1337" i="448"/>
  <c r="A1339" i="448"/>
  <c r="A1340" i="448"/>
  <c r="A1336" i="448"/>
  <c r="A1338" i="448"/>
  <c r="A1696" i="448"/>
  <c r="A1698" i="448"/>
  <c r="A1695" i="448"/>
  <c r="A1697" i="448"/>
  <c r="A1587" i="448"/>
  <c r="A1589" i="448"/>
  <c r="A1588" i="448"/>
  <c r="A1586" i="448"/>
  <c r="A1532" i="448"/>
  <c r="A1537" i="448"/>
  <c r="A1536" i="448"/>
  <c r="A1541" i="448"/>
  <c r="A1540" i="448"/>
  <c r="A1535" i="448"/>
  <c r="A1542" i="448"/>
  <c r="A1534" i="448"/>
  <c r="A1539" i="448"/>
  <c r="A1533" i="448"/>
  <c r="A1538" i="448"/>
  <c r="M142" i="436"/>
  <c r="M131" i="436"/>
  <c r="M147" i="436"/>
  <c r="M132" i="436"/>
  <c r="M133" i="436"/>
  <c r="M134" i="436"/>
  <c r="M156" i="436"/>
  <c r="M155" i="436"/>
  <c r="M137" i="436"/>
  <c r="M130" i="436"/>
  <c r="M136" i="436"/>
  <c r="M146" i="436"/>
  <c r="M138" i="436"/>
  <c r="M135" i="436"/>
  <c r="M278" i="436"/>
  <c r="N278" i="436" s="1"/>
  <c r="A1253" i="448"/>
  <c r="A1254" i="448"/>
  <c r="A1250" i="448"/>
  <c r="A1249" i="448"/>
  <c r="A1229" i="448"/>
  <c r="A1244" i="448"/>
  <c r="A1238" i="448"/>
  <c r="A1251" i="448"/>
  <c r="A1236" i="448"/>
  <c r="A1233" i="448"/>
  <c r="A1226" i="448"/>
  <c r="A1252" i="448"/>
  <c r="A1241" i="448"/>
  <c r="A1231" i="448"/>
  <c r="A1247" i="448"/>
  <c r="A1230" i="448"/>
  <c r="A1255" i="448"/>
  <c r="A1239" i="448"/>
  <c r="A1243" i="448"/>
  <c r="A1227" i="448"/>
  <c r="A1242" i="448"/>
  <c r="A1224" i="448"/>
  <c r="A1225" i="448"/>
  <c r="A1237" i="448"/>
  <c r="A1248" i="448"/>
  <c r="A1228" i="448"/>
  <c r="A1246" i="448"/>
  <c r="A1235" i="448"/>
  <c r="A1232" i="448"/>
  <c r="A1245" i="448"/>
  <c r="A1234" i="448"/>
  <c r="A1240" i="448"/>
  <c r="A1441" i="448"/>
  <c r="A1443" i="448"/>
  <c r="A1442" i="448"/>
  <c r="M271" i="436"/>
  <c r="N271" i="436" s="1"/>
  <c r="A1299" i="448"/>
  <c r="A1300" i="448"/>
  <c r="A1290" i="448"/>
  <c r="A1289" i="448"/>
  <c r="A1292" i="448"/>
  <c r="A1291" i="448"/>
  <c r="A734" i="448"/>
  <c r="A732" i="448"/>
  <c r="A733" i="448"/>
  <c r="A730" i="448"/>
  <c r="A738" i="448"/>
  <c r="A740" i="448"/>
  <c r="A737" i="448"/>
  <c r="A731" i="448"/>
  <c r="A739" i="448"/>
  <c r="A736" i="448"/>
  <c r="A735" i="448"/>
  <c r="A729" i="448"/>
  <c r="A715" i="448"/>
  <c r="A714" i="448"/>
  <c r="A716" i="448"/>
  <c r="A625" i="448"/>
  <c r="A661" i="448"/>
  <c r="A662" i="448"/>
  <c r="A651" i="448"/>
  <c r="A659" i="448"/>
  <c r="A658" i="448"/>
  <c r="A657" i="448"/>
  <c r="A656" i="448"/>
  <c r="A653" i="448"/>
  <c r="A660" i="448"/>
  <c r="A655" i="448"/>
  <c r="A652" i="448"/>
  <c r="A654" i="448"/>
  <c r="A1188" i="448"/>
  <c r="A1187" i="448"/>
  <c r="A3061" i="448"/>
  <c r="A3063" i="448"/>
  <c r="A3062" i="448"/>
  <c r="A3064" i="448"/>
  <c r="A2619" i="448"/>
  <c r="A2621" i="448"/>
  <c r="A2622" i="448"/>
  <c r="A2623" i="448"/>
  <c r="A2620" i="448"/>
  <c r="A2625" i="448"/>
  <c r="A2624" i="448"/>
  <c r="A2626" i="448"/>
  <c r="A2628" i="448"/>
  <c r="A2627" i="448"/>
  <c r="A2629" i="448"/>
  <c r="A2631" i="448"/>
  <c r="A2633" i="448"/>
  <c r="A2630" i="448"/>
  <c r="A2632" i="448"/>
  <c r="A2526" i="448"/>
  <c r="A2525" i="448"/>
  <c r="A2527" i="448"/>
  <c r="A2528" i="448"/>
  <c r="A2546" i="448"/>
  <c r="A2545" i="448"/>
  <c r="A2538" i="448"/>
  <c r="A2539" i="448"/>
  <c r="A2483" i="448"/>
  <c r="A2484" i="448"/>
  <c r="A2423" i="448"/>
  <c r="A2424" i="448"/>
  <c r="A2402" i="448"/>
  <c r="A2404" i="448"/>
  <c r="A2396" i="448"/>
  <c r="A2403" i="448"/>
  <c r="A2398" i="448"/>
  <c r="A2397" i="448"/>
  <c r="A2393" i="448"/>
  <c r="A2395" i="448"/>
  <c r="A2394" i="448"/>
  <c r="A2430" i="448"/>
  <c r="A2429" i="448"/>
  <c r="A2431" i="448"/>
  <c r="A2432" i="448"/>
  <c r="A2434" i="448"/>
  <c r="A2433" i="448"/>
  <c r="A2436" i="448"/>
  <c r="A2435" i="448"/>
  <c r="A2332" i="448"/>
  <c r="A2331" i="448"/>
  <c r="A1568" i="448"/>
  <c r="A1567" i="448"/>
  <c r="A1519" i="448"/>
  <c r="A1520" i="448"/>
  <c r="A1516" i="448"/>
  <c r="A1517" i="448"/>
  <c r="A1518" i="448"/>
  <c r="A2102" i="448"/>
  <c r="A2100" i="448"/>
  <c r="A2101" i="448"/>
  <c r="A2021" i="448"/>
  <c r="A2020" i="448"/>
  <c r="A1824" i="448"/>
  <c r="A1821" i="448"/>
  <c r="A1820" i="448"/>
  <c r="A1822" i="448"/>
  <c r="A1823" i="448"/>
  <c r="A1594" i="448"/>
  <c r="A1595" i="448"/>
  <c r="A1596" i="448"/>
  <c r="A1453" i="448"/>
  <c r="A1454" i="448"/>
  <c r="A1455" i="448"/>
  <c r="A1456" i="448"/>
  <c r="A1458" i="448"/>
  <c r="A1457" i="448"/>
  <c r="A1322" i="448"/>
  <c r="A1323" i="448"/>
  <c r="A1325" i="448"/>
  <c r="A1324" i="448"/>
  <c r="A1321" i="448"/>
  <c r="A1022" i="448"/>
  <c r="A2980" i="448"/>
  <c r="A2979" i="448"/>
  <c r="A2982" i="448"/>
  <c r="A2981" i="448"/>
  <c r="A2978" i="448"/>
  <c r="A1019" i="448"/>
  <c r="A1024" i="448"/>
  <c r="A1028" i="448"/>
  <c r="A1023" i="448"/>
  <c r="A1025" i="448"/>
  <c r="A1030" i="448"/>
  <c r="A1021" i="448"/>
  <c r="A1020" i="448"/>
  <c r="A1027" i="448"/>
  <c r="A1029" i="448"/>
  <c r="A1026" i="448"/>
  <c r="A975" i="448"/>
  <c r="A986" i="448"/>
  <c r="A978" i="448"/>
  <c r="A994" i="448"/>
  <c r="A983" i="448"/>
  <c r="A991" i="448"/>
  <c r="A980" i="448"/>
  <c r="A996" i="448"/>
  <c r="A988" i="448"/>
  <c r="A985" i="448"/>
  <c r="A977" i="448"/>
  <c r="A984" i="448"/>
  <c r="A976" i="448"/>
  <c r="A993" i="448"/>
  <c r="A982" i="448"/>
  <c r="A990" i="448"/>
  <c r="A979" i="448"/>
  <c r="A995" i="448"/>
  <c r="A987" i="448"/>
  <c r="A992" i="448"/>
  <c r="A981" i="448"/>
  <c r="A989" i="448"/>
  <c r="A997" i="448"/>
  <c r="A1005" i="448"/>
  <c r="A998" i="448"/>
  <c r="A1007" i="448"/>
  <c r="A1000" i="448"/>
  <c r="A1002" i="448"/>
  <c r="A999" i="448"/>
  <c r="A1004" i="448"/>
  <c r="A1001" i="448"/>
  <c r="A1006" i="448"/>
  <c r="A1003" i="448"/>
  <c r="A965" i="448"/>
  <c r="A1017" i="448"/>
  <c r="A1009" i="448"/>
  <c r="A1013" i="448"/>
  <c r="A1010" i="448"/>
  <c r="A1014" i="448"/>
  <c r="A1011" i="448"/>
  <c r="A1018" i="448"/>
  <c r="A1008" i="448"/>
  <c r="A1016" i="448"/>
  <c r="A1015" i="448"/>
  <c r="A1012" i="448"/>
  <c r="A906" i="448"/>
  <c r="A963" i="448"/>
  <c r="A966" i="448"/>
  <c r="A968" i="448"/>
  <c r="A972" i="448"/>
  <c r="A974" i="448"/>
  <c r="A964" i="448"/>
  <c r="A973" i="448"/>
  <c r="A971" i="448"/>
  <c r="A970" i="448"/>
  <c r="A967" i="448"/>
  <c r="A969" i="448"/>
  <c r="A930" i="448"/>
  <c r="A939" i="448"/>
  <c r="A938" i="448"/>
  <c r="A940" i="448"/>
  <c r="A934" i="448"/>
  <c r="A931" i="448"/>
  <c r="A936" i="448"/>
  <c r="A935" i="448"/>
  <c r="A932" i="448"/>
  <c r="A937" i="448"/>
  <c r="A933" i="448"/>
  <c r="A907" i="448"/>
  <c r="A915" i="448"/>
  <c r="A916" i="448"/>
  <c r="A908" i="448"/>
  <c r="A912" i="448"/>
  <c r="A911" i="448"/>
  <c r="A914" i="448"/>
  <c r="A913" i="448"/>
  <c r="A910" i="448"/>
  <c r="A917" i="448"/>
  <c r="A909" i="448"/>
  <c r="A941" i="448"/>
  <c r="A949" i="448"/>
  <c r="A946" i="448"/>
  <c r="A943" i="448"/>
  <c r="A951" i="448"/>
  <c r="A948" i="448"/>
  <c r="A945" i="448"/>
  <c r="A950" i="448"/>
  <c r="A942" i="448"/>
  <c r="A947" i="448"/>
  <c r="A944" i="448"/>
  <c r="A885" i="448"/>
  <c r="A961" i="448"/>
  <c r="A953" i="448"/>
  <c r="A955" i="448"/>
  <c r="A958" i="448"/>
  <c r="A962" i="448"/>
  <c r="A954" i="448"/>
  <c r="A959" i="448"/>
  <c r="A956" i="448"/>
  <c r="A957" i="448"/>
  <c r="A952" i="448"/>
  <c r="A960" i="448"/>
  <c r="A892" i="448"/>
  <c r="A883" i="448"/>
  <c r="A890" i="448"/>
  <c r="A889" i="448"/>
  <c r="A888" i="448"/>
  <c r="A894" i="448"/>
  <c r="A886" i="448"/>
  <c r="A882" i="448"/>
  <c r="A891" i="448"/>
  <c r="A887" i="448"/>
  <c r="A893" i="448"/>
  <c r="A884" i="448"/>
  <c r="A869" i="448"/>
  <c r="A861" i="448"/>
  <c r="A863" i="448"/>
  <c r="A866" i="448"/>
  <c r="A868" i="448"/>
  <c r="A870" i="448"/>
  <c r="A865" i="448"/>
  <c r="A862" i="448"/>
  <c r="A860" i="448"/>
  <c r="A867" i="448"/>
  <c r="A864" i="448"/>
  <c r="A838" i="448"/>
  <c r="A842" i="448"/>
  <c r="A839" i="448"/>
  <c r="A846" i="448"/>
  <c r="A840" i="448"/>
  <c r="A844" i="448"/>
  <c r="A841" i="448"/>
  <c r="A848" i="448"/>
  <c r="A847" i="448"/>
  <c r="A843" i="448"/>
  <c r="A845" i="448"/>
  <c r="A852" i="448"/>
  <c r="A858" i="448"/>
  <c r="A850" i="448"/>
  <c r="A857" i="448"/>
  <c r="A854" i="448"/>
  <c r="A851" i="448"/>
  <c r="A853" i="448"/>
  <c r="A855" i="448"/>
  <c r="A849" i="448"/>
  <c r="A859" i="448"/>
  <c r="A856" i="448"/>
  <c r="A1065" i="448"/>
  <c r="A1063" i="448"/>
  <c r="A1062" i="448"/>
  <c r="A1067" i="448"/>
  <c r="A1064" i="448"/>
  <c r="A1066" i="448"/>
  <c r="A1068" i="448"/>
  <c r="A1073" i="448"/>
  <c r="A1071" i="448"/>
  <c r="A1070" i="448"/>
  <c r="A1072" i="448"/>
  <c r="A1069" i="448"/>
  <c r="A1053" i="448"/>
  <c r="A1050" i="448"/>
  <c r="A1061" i="448"/>
  <c r="A1059" i="448"/>
  <c r="A1047" i="448"/>
  <c r="A1056" i="448"/>
  <c r="A1049" i="448"/>
  <c r="A1048" i="448"/>
  <c r="A1055" i="448"/>
  <c r="A1052" i="448"/>
  <c r="A1054" i="448"/>
  <c r="A1057" i="448"/>
  <c r="A1060" i="448"/>
  <c r="A1051" i="448"/>
  <c r="A1058" i="448"/>
  <c r="A708" i="448"/>
  <c r="A709" i="448"/>
  <c r="A710" i="448"/>
  <c r="A756" i="448"/>
  <c r="A758" i="448"/>
  <c r="A757" i="448"/>
  <c r="H199" i="448" a="1"/>
  <c r="H199" i="448" s="1"/>
  <c r="H198" i="448" s="1" a="1"/>
  <c r="H198" i="448" s="1"/>
  <c r="H197" i="448" s="1" a="1"/>
  <c r="H197" i="448" s="1"/>
  <c r="A667" i="448"/>
  <c r="A218" i="448"/>
  <c r="A220" i="448"/>
  <c r="A217" i="448"/>
  <c r="A219" i="448"/>
  <c r="A648" i="448"/>
  <c r="A645" i="448"/>
  <c r="A650" i="448"/>
  <c r="A647" i="448"/>
  <c r="A644" i="448"/>
  <c r="A642" i="448"/>
  <c r="A649" i="448"/>
  <c r="A646" i="448"/>
  <c r="A643" i="448"/>
  <c r="A502" i="448"/>
  <c r="A501" i="448"/>
  <c r="A503" i="448"/>
  <c r="A505" i="448"/>
  <c r="A504" i="448"/>
  <c r="A500" i="448"/>
  <c r="A522" i="448"/>
  <c r="A524" i="448"/>
  <c r="A513" i="448"/>
  <c r="A514" i="448"/>
  <c r="A519" i="448"/>
  <c r="A521" i="448"/>
  <c r="A518" i="448"/>
  <c r="A512" i="448"/>
  <c r="A523" i="448"/>
  <c r="A517" i="448"/>
  <c r="A516" i="448"/>
  <c r="A515" i="448"/>
  <c r="A520" i="448"/>
  <c r="A594" i="448"/>
  <c r="A593" i="448"/>
  <c r="A596" i="448"/>
  <c r="A595" i="448"/>
  <c r="A394" i="448"/>
  <c r="A393" i="448"/>
  <c r="A395" i="448"/>
  <c r="A424" i="448"/>
  <c r="A423" i="448"/>
  <c r="A271" i="448"/>
  <c r="A270" i="448"/>
  <c r="A272" i="448"/>
  <c r="A273" i="448"/>
  <c r="A275" i="448"/>
  <c r="A274" i="448"/>
  <c r="A277" i="448"/>
  <c r="A276" i="448"/>
  <c r="A278" i="448"/>
  <c r="A279" i="448"/>
  <c r="G302" i="448"/>
  <c r="G310" i="448"/>
  <c r="H310" i="448" s="1" a="1"/>
  <c r="H310" i="448" s="1"/>
  <c r="H309" i="448" s="1" a="1"/>
  <c r="H309" i="448" s="1"/>
  <c r="H308" i="448" s="1" a="1"/>
  <c r="H308" i="448" s="1"/>
  <c r="A311" i="448"/>
  <c r="A308" i="448"/>
  <c r="A309" i="448"/>
  <c r="A310" i="448"/>
  <c r="A1039" i="448"/>
  <c r="A1040" i="448"/>
  <c r="A1041" i="448"/>
  <c r="A1034" i="448"/>
  <c r="A2572" i="448"/>
  <c r="A2582" i="448"/>
  <c r="A2579" i="448"/>
  <c r="A2571" i="448"/>
  <c r="A2576" i="448"/>
  <c r="A2568" i="448"/>
  <c r="A2581" i="448"/>
  <c r="A2573" i="448"/>
  <c r="A2586" i="448"/>
  <c r="A2578" i="448"/>
  <c r="A2570" i="448"/>
  <c r="A2575" i="448"/>
  <c r="A2584" i="448"/>
  <c r="A2567" i="448"/>
  <c r="A2583" i="448"/>
  <c r="A2569" i="448"/>
  <c r="A2580" i="448"/>
  <c r="A2577" i="448"/>
  <c r="A2585" i="448"/>
  <c r="A2574" i="448"/>
  <c r="A2616" i="448"/>
  <c r="A2615" i="448"/>
  <c r="A2185" i="448"/>
  <c r="A2183" i="448"/>
  <c r="A2184" i="448"/>
  <c r="H150" i="448" a="1"/>
  <c r="H150" i="448" s="1"/>
  <c r="A2154" i="448"/>
  <c r="A2155" i="448"/>
  <c r="A2156" i="448"/>
  <c r="A2454" i="448"/>
  <c r="A2453" i="448"/>
  <c r="A2317" i="448"/>
  <c r="A2319" i="448"/>
  <c r="A2318" i="448"/>
  <c r="H202" i="448" a="1"/>
  <c r="H202" i="448" s="1"/>
  <c r="H201" i="448" s="1" a="1"/>
  <c r="H201" i="448" s="1"/>
  <c r="A1045" i="448"/>
  <c r="A1036" i="448"/>
  <c r="A1044" i="448"/>
  <c r="A1032" i="448"/>
  <c r="A1046" i="448"/>
  <c r="A1038" i="448"/>
  <c r="A1035" i="448"/>
  <c r="A1037" i="448"/>
  <c r="A1042" i="448"/>
  <c r="A1031" i="448"/>
  <c r="A1043" i="448"/>
  <c r="A1033" i="448"/>
  <c r="A697" i="448"/>
  <c r="A698" i="448"/>
  <c r="A696" i="448"/>
  <c r="M419" i="436"/>
  <c r="N419" i="436" s="1"/>
  <c r="A747" i="448"/>
  <c r="A749" i="448"/>
  <c r="A748" i="448"/>
  <c r="H162" i="448" a="1"/>
  <c r="H162" i="448" s="1"/>
  <c r="H161" i="448" s="1" a="1"/>
  <c r="H161" i="448" s="1"/>
  <c r="H160" i="448" s="1" a="1"/>
  <c r="H160" i="448" s="1"/>
  <c r="H143" i="448" a="1"/>
  <c r="H143" i="448" s="1"/>
  <c r="H142" i="448" s="1" a="1"/>
  <c r="H142" i="448" s="1"/>
  <c r="H141" i="448" s="1" a="1"/>
  <c r="H141" i="448" s="1"/>
  <c r="H229" i="448" a="1"/>
  <c r="H229" i="448" s="1"/>
  <c r="M11" i="436" s="1"/>
  <c r="H205" i="448" a="1"/>
  <c r="H205" i="448" s="1"/>
  <c r="H204" i="448" s="1" a="1"/>
  <c r="H204" i="448" s="1"/>
  <c r="H248" i="448" a="1"/>
  <c r="H248" i="448" s="1"/>
  <c r="H225" i="448" a="1"/>
  <c r="H225" i="448" s="1"/>
  <c r="H231" i="448" a="1"/>
  <c r="H231" i="448" s="1"/>
  <c r="H243" i="448" a="1"/>
  <c r="H243" i="448" s="1"/>
  <c r="H195" i="448" a="1"/>
  <c r="H195" i="448" s="1"/>
  <c r="M50" i="436"/>
  <c r="H233" i="448" a="1"/>
  <c r="H233" i="448" s="1"/>
  <c r="M12" i="436" s="1"/>
  <c r="H215" i="448" a="1"/>
  <c r="H215" i="448" s="1"/>
  <c r="H189" i="448" a="1"/>
  <c r="H189" i="448" s="1"/>
  <c r="M387" i="436"/>
  <c r="N387" i="436" s="1"/>
  <c r="M268" i="436"/>
  <c r="N268" i="436" s="1"/>
  <c r="H211" i="448" a="1"/>
  <c r="H211" i="448" s="1"/>
  <c r="N348" i="436"/>
  <c r="T25" i="456"/>
  <c r="U25" i="456" s="1"/>
  <c r="H207" i="448" a="1"/>
  <c r="H207" i="448" s="1"/>
  <c r="H239" i="448" a="1"/>
  <c r="H239" i="448" s="1"/>
  <c r="H238" i="448" s="1" a="1"/>
  <c r="H238" i="448" s="1"/>
  <c r="H237" i="448" s="1" a="1"/>
  <c r="H237" i="448" s="1"/>
  <c r="H236" i="448" s="1" a="1"/>
  <c r="H236" i="448" s="1"/>
  <c r="H235" i="448" s="1" a="1"/>
  <c r="H235" i="448" s="1"/>
  <c r="A2202" i="448"/>
  <c r="A2220" i="448"/>
  <c r="A2218" i="448"/>
  <c r="A2219" i="448"/>
  <c r="A2203" i="448"/>
  <c r="A2200" i="448"/>
  <c r="A2199" i="448"/>
  <c r="A2201" i="448"/>
  <c r="A1511" i="448"/>
  <c r="A1513" i="448"/>
  <c r="A1515" i="448"/>
  <c r="A1514" i="448"/>
  <c r="A1512" i="448"/>
  <c r="A556" i="448"/>
  <c r="A555" i="448"/>
  <c r="A558" i="448"/>
  <c r="A557" i="448"/>
  <c r="A554" i="448"/>
  <c r="A553" i="448"/>
  <c r="A560" i="448"/>
  <c r="A559" i="448"/>
  <c r="A2456" i="448"/>
  <c r="A2455" i="448"/>
  <c r="A2320" i="448"/>
  <c r="A2321" i="448"/>
  <c r="A2322" i="448"/>
  <c r="A609" i="448"/>
  <c r="A611" i="448"/>
  <c r="A610" i="448"/>
  <c r="A612" i="448"/>
  <c r="A508" i="448"/>
  <c r="A551" i="448"/>
  <c r="A549" i="448"/>
  <c r="A552" i="448"/>
  <c r="A550" i="448"/>
  <c r="A506" i="448"/>
  <c r="A509" i="448"/>
  <c r="A510" i="448"/>
  <c r="A511" i="448"/>
  <c r="A507" i="448"/>
  <c r="A405" i="448"/>
  <c r="A404" i="448"/>
  <c r="A406" i="448"/>
  <c r="A407" i="448"/>
  <c r="A282" i="448"/>
  <c r="A283" i="448"/>
  <c r="A257" i="448"/>
  <c r="A256" i="448"/>
  <c r="A259" i="448"/>
  <c r="A258" i="448"/>
  <c r="A2216" i="448"/>
  <c r="A1156" i="448"/>
  <c r="A1157" i="448"/>
  <c r="A2213" i="448"/>
  <c r="A1149" i="448"/>
  <c r="A1147" i="448"/>
  <c r="A1148" i="448"/>
  <c r="A1145" i="448"/>
  <c r="A1144" i="448"/>
  <c r="A1146" i="448"/>
  <c r="A1155" i="448"/>
  <c r="A1154" i="448"/>
  <c r="A1152" i="448"/>
  <c r="A1151" i="448"/>
  <c r="A1153" i="448"/>
  <c r="A1150" i="448"/>
  <c r="A1166" i="448"/>
  <c r="A1167" i="448"/>
  <c r="A2862" i="448"/>
  <c r="A2860" i="448"/>
  <c r="A2857" i="448"/>
  <c r="A2856" i="448"/>
  <c r="A2854" i="448"/>
  <c r="A2859" i="448"/>
  <c r="A2853" i="448"/>
  <c r="A2858" i="448"/>
  <c r="A2861" i="448"/>
  <c r="A2855" i="448"/>
  <c r="A182" i="448"/>
  <c r="A181" i="448"/>
  <c r="A184" i="448"/>
  <c r="A183" i="448"/>
  <c r="A180" i="448"/>
  <c r="A1204" i="448"/>
  <c r="A1206" i="448"/>
  <c r="A1205" i="448"/>
  <c r="A2295" i="448"/>
  <c r="A2294" i="448"/>
  <c r="A2287" i="448"/>
  <c r="A2286" i="448"/>
  <c r="A2760" i="448"/>
  <c r="A2759" i="448"/>
  <c r="A2761" i="448"/>
  <c r="A2762" i="448"/>
  <c r="A2608" i="448"/>
  <c r="A2607" i="448"/>
  <c r="A2617" i="448"/>
  <c r="A2618" i="448"/>
  <c r="A2594" i="448"/>
  <c r="A2593" i="448"/>
  <c r="A2595" i="448"/>
  <c r="A2592" i="448"/>
  <c r="A2596" i="448"/>
  <c r="A2590" i="448"/>
  <c r="A2589" i="448"/>
  <c r="A2587" i="448"/>
  <c r="A2591" i="448"/>
  <c r="A2588" i="448"/>
  <c r="A2600" i="448"/>
  <c r="A2597" i="448"/>
  <c r="A2599" i="448"/>
  <c r="A2601" i="448"/>
  <c r="A2598" i="448"/>
  <c r="A2606" i="448"/>
  <c r="A2605" i="448"/>
  <c r="A2604" i="448"/>
  <c r="A2603" i="448"/>
  <c r="A2602" i="448"/>
  <c r="A2511" i="448"/>
  <c r="A2509" i="448"/>
  <c r="A2508" i="448"/>
  <c r="A2510" i="448"/>
  <c r="A2507" i="448"/>
  <c r="A2512" i="448"/>
  <c r="A2514" i="448"/>
  <c r="A2516" i="448"/>
  <c r="A2515" i="448"/>
  <c r="A2513" i="448"/>
  <c r="A1328" i="448"/>
  <c r="A1330" i="448"/>
  <c r="A1326" i="448"/>
  <c r="A1329" i="448"/>
  <c r="A1327" i="448"/>
  <c r="A1428" i="448"/>
  <c r="A1430" i="448"/>
  <c r="A1426" i="448"/>
  <c r="A1427" i="448"/>
  <c r="A1429" i="448"/>
  <c r="A3042" i="448"/>
  <c r="A3043" i="448"/>
  <c r="A2489" i="448"/>
  <c r="A2491" i="448"/>
  <c r="A2490" i="448"/>
  <c r="A2969" i="448"/>
  <c r="A2966" i="448"/>
  <c r="A2968" i="448"/>
  <c r="A2967" i="448"/>
  <c r="A2970" i="448"/>
  <c r="A2971" i="448"/>
  <c r="A2422" i="448"/>
  <c r="A2421" i="448"/>
  <c r="A2354" i="448"/>
  <c r="A2356" i="448"/>
  <c r="A2355" i="448"/>
  <c r="A2438" i="448"/>
  <c r="A2437" i="448"/>
  <c r="A2457" i="448"/>
  <c r="A2458" i="448"/>
  <c r="A2452" i="448"/>
  <c r="N400" i="436"/>
  <c r="A2451" i="448"/>
  <c r="A2235" i="448"/>
  <c r="A2236" i="448"/>
  <c r="A1710" i="448"/>
  <c r="A1709" i="448"/>
  <c r="A1711" i="448"/>
  <c r="A2076" i="448"/>
  <c r="A2078" i="448"/>
  <c r="A2077" i="448"/>
  <c r="A2075" i="448"/>
  <c r="A2074" i="448"/>
  <c r="A2066" i="448"/>
  <c r="A2067" i="448"/>
  <c r="A2065" i="448"/>
  <c r="A2064" i="448"/>
  <c r="A2068" i="448"/>
  <c r="A1796" i="448"/>
  <c r="A1795" i="448"/>
  <c r="A1799" i="448"/>
  <c r="A1798" i="448"/>
  <c r="A1797" i="448"/>
  <c r="A2126" i="448"/>
  <c r="A2127" i="448"/>
  <c r="A1736" i="448"/>
  <c r="A1739" i="448"/>
  <c r="A1737" i="448"/>
  <c r="A1735" i="448"/>
  <c r="A1740" i="448"/>
  <c r="A1734" i="448"/>
  <c r="A1738" i="448"/>
  <c r="A1733" i="448"/>
  <c r="A1619" i="448"/>
  <c r="A1618" i="448"/>
  <c r="A1620" i="448"/>
  <c r="A1606" i="448"/>
  <c r="A1607" i="448"/>
  <c r="A1608" i="448"/>
  <c r="A2542" i="448"/>
  <c r="A2544" i="448"/>
  <c r="A2543" i="448"/>
  <c r="A2533" i="448"/>
  <c r="A2535" i="448"/>
  <c r="A2534" i="448"/>
  <c r="A2504" i="448"/>
  <c r="A2506" i="448"/>
  <c r="A2502" i="448"/>
  <c r="A2505" i="448"/>
  <c r="A2503" i="448"/>
  <c r="M415" i="436"/>
  <c r="M282" i="436"/>
  <c r="M406" i="436"/>
  <c r="A3040" i="448"/>
  <c r="A3041" i="448"/>
  <c r="A2682" i="448"/>
  <c r="A2684" i="448"/>
  <c r="A2681" i="448"/>
  <c r="A2683" i="448"/>
  <c r="A2736" i="448"/>
  <c r="A2737" i="448"/>
  <c r="A2735" i="448"/>
  <c r="A2738" i="448"/>
  <c r="A2680" i="448"/>
  <c r="A2677" i="448"/>
  <c r="A2679" i="448"/>
  <c r="A2676" i="448"/>
  <c r="A2678" i="448"/>
  <c r="A2675" i="448"/>
  <c r="A2674" i="448"/>
  <c r="A2672" i="448"/>
  <c r="A2669" i="448"/>
  <c r="A2671" i="448"/>
  <c r="A2673" i="448"/>
  <c r="A2670" i="448"/>
  <c r="A2664" i="448"/>
  <c r="A2666" i="448"/>
  <c r="A2668" i="448"/>
  <c r="A2665" i="448"/>
  <c r="A2667" i="448"/>
  <c r="A2658" i="448"/>
  <c r="A2655" i="448"/>
  <c r="A2654" i="448"/>
  <c r="A2657" i="448"/>
  <c r="A2656" i="448"/>
  <c r="A2652" i="448"/>
  <c r="A2651" i="448"/>
  <c r="A2649" i="448"/>
  <c r="A2653" i="448"/>
  <c r="A2650" i="448"/>
  <c r="A2475" i="448"/>
  <c r="A2482" i="448"/>
  <c r="A2481" i="448"/>
  <c r="A2442" i="448"/>
  <c r="A2443" i="448"/>
  <c r="A2441" i="448"/>
  <c r="A2444" i="448"/>
  <c r="A2325" i="448"/>
  <c r="A2326" i="448"/>
  <c r="A2415" i="448"/>
  <c r="A2416" i="448"/>
  <c r="A2414" i="448"/>
  <c r="A2383" i="448"/>
  <c r="A2382" i="448"/>
  <c r="A2381" i="448"/>
  <c r="A2440" i="448"/>
  <c r="A2439" i="448"/>
  <c r="A1481" i="448"/>
  <c r="A1480" i="448"/>
  <c r="A1499" i="448"/>
  <c r="A1498" i="448"/>
  <c r="A1495" i="448"/>
  <c r="A1494" i="448"/>
  <c r="A1760" i="448"/>
  <c r="A1759" i="448"/>
  <c r="A1557" i="448"/>
  <c r="A1558" i="448"/>
  <c r="A1530" i="448"/>
  <c r="A1531" i="448"/>
  <c r="A1547" i="448"/>
  <c r="A1548" i="448"/>
  <c r="G1550" i="448"/>
  <c r="H1550" i="448" s="1" a="1"/>
  <c r="H1550" i="448" s="1"/>
  <c r="H1549" i="448" s="1" a="1"/>
  <c r="H1549" i="448" s="1"/>
  <c r="G1552" i="448"/>
  <c r="H1552" i="448" s="1" a="1"/>
  <c r="H1552" i="448" s="1"/>
  <c r="H1551" i="448" s="1" a="1"/>
  <c r="H1551" i="448" s="1"/>
  <c r="A1551" i="448"/>
  <c r="A1552" i="448"/>
  <c r="A1529" i="448"/>
  <c r="A1528" i="448"/>
  <c r="G2121" i="448"/>
  <c r="H2121" i="448" s="1" a="1"/>
  <c r="H2121" i="448" s="1"/>
  <c r="H2120" i="448" s="1" a="1"/>
  <c r="H2120" i="448" s="1"/>
  <c r="G2123" i="448"/>
  <c r="H2123" i="448" s="1" a="1"/>
  <c r="H2123" i="448" s="1"/>
  <c r="H2122" i="448" s="1" a="1"/>
  <c r="H2122" i="448" s="1"/>
  <c r="A2124" i="448"/>
  <c r="A2125" i="448"/>
  <c r="G1139" i="448"/>
  <c r="H1139" i="448" s="1" a="1"/>
  <c r="H1139" i="448" s="1"/>
  <c r="G1141" i="448"/>
  <c r="H1141" i="448" s="1" a="1"/>
  <c r="H1141" i="448" s="1"/>
  <c r="H1140" i="448" s="1" a="1"/>
  <c r="H1140" i="448" s="1"/>
  <c r="G2291" i="448"/>
  <c r="H2291" i="448" s="1" a="1"/>
  <c r="H2291" i="448" s="1"/>
  <c r="H2290" i="448" s="1" a="1"/>
  <c r="H2290" i="448" s="1"/>
  <c r="G2289" i="448"/>
  <c r="H2289" i="448" s="1" a="1"/>
  <c r="H2289" i="448" s="1"/>
  <c r="H2288" i="448" s="1" a="1"/>
  <c r="H2288" i="448" s="1"/>
  <c r="G1794" i="448"/>
  <c r="H1794" i="448" s="1" a="1"/>
  <c r="H1794" i="448" s="1"/>
  <c r="G3039" i="448"/>
  <c r="H3039" i="448" s="1" a="1"/>
  <c r="H3039" i="448" s="1"/>
  <c r="G1790" i="448"/>
  <c r="H1790" i="448" s="1" a="1"/>
  <c r="H1790" i="448" s="1"/>
  <c r="G2023" i="448"/>
  <c r="H2023" i="448" s="1" a="1"/>
  <c r="H2023" i="448" s="1"/>
  <c r="H2022" i="448" s="1" a="1"/>
  <c r="H2022" i="448" s="1"/>
  <c r="G2019" i="448"/>
  <c r="H2019" i="448" s="1" a="1"/>
  <c r="H2019" i="448" s="1"/>
  <c r="H2018" i="448" s="1" a="1"/>
  <c r="H2018" i="448" s="1"/>
  <c r="G2488" i="448"/>
  <c r="H2488" i="448" s="1" a="1"/>
  <c r="H2488" i="448" s="1"/>
  <c r="H2487" i="448" s="1" a="1"/>
  <c r="H2487" i="448" s="1"/>
  <c r="G1793" i="448"/>
  <c r="G1842" i="448"/>
  <c r="G1789" i="448"/>
  <c r="G3038" i="448"/>
  <c r="G1837" i="448"/>
  <c r="H1837" i="448" s="1" a="1"/>
  <c r="H1837" i="448" s="1"/>
  <c r="H1836" i="448" s="1" a="1"/>
  <c r="H1836" i="448" s="1"/>
  <c r="H1835" i="448" s="1" a="1"/>
  <c r="H1835" i="448" s="1"/>
  <c r="G1720" i="448"/>
  <c r="G2930" i="448"/>
  <c r="H2930" i="448" s="1" a="1"/>
  <c r="H2930" i="448" s="1"/>
  <c r="H2929" i="448" s="1" a="1"/>
  <c r="H2929" i="448" s="1"/>
  <c r="G1843" i="448"/>
  <c r="G1844" i="448"/>
  <c r="H1844" i="448" s="1" a="1"/>
  <c r="H1844" i="448" s="1"/>
  <c r="G1841" i="448"/>
  <c r="G1801" i="448"/>
  <c r="H1801" i="448" s="1" a="1"/>
  <c r="H1801" i="448" s="1"/>
  <c r="H1800" i="448" s="1" a="1"/>
  <c r="H1800" i="448" s="1"/>
  <c r="A2122" i="448"/>
  <c r="A2123" i="448"/>
  <c r="A3037" i="448"/>
  <c r="A3039" i="448"/>
  <c r="A3036" i="448"/>
  <c r="A3038" i="448"/>
  <c r="A2929" i="448"/>
  <c r="A2930" i="448"/>
  <c r="A2931" i="448"/>
  <c r="A1140" i="448"/>
  <c r="A1141" i="448"/>
  <c r="A2019" i="448"/>
  <c r="A2018" i="448"/>
  <c r="A1832" i="448"/>
  <c r="A1829" i="448"/>
  <c r="A1828" i="448"/>
  <c r="A1825" i="448"/>
  <c r="A1833" i="448"/>
  <c r="A1827" i="448"/>
  <c r="A1826" i="448"/>
  <c r="A1834" i="448"/>
  <c r="A1831" i="448"/>
  <c r="A1830" i="448"/>
  <c r="A1807" i="448"/>
  <c r="A1804" i="448"/>
  <c r="A1801" i="448"/>
  <c r="A1808" i="448"/>
  <c r="A1809" i="448"/>
  <c r="A1800" i="448"/>
  <c r="A1806" i="448"/>
  <c r="A1803" i="448"/>
  <c r="A1805" i="448"/>
  <c r="A1802" i="448"/>
  <c r="A2708" i="448"/>
  <c r="A2289" i="448"/>
  <c r="A2288" i="448"/>
  <c r="G2711" i="448"/>
  <c r="G2708" i="448"/>
  <c r="H2708" i="448" s="1" a="1"/>
  <c r="H2708" i="448" s="1"/>
  <c r="H2707" i="448" s="1" a="1"/>
  <c r="H2707" i="448" s="1"/>
  <c r="A2707" i="448"/>
  <c r="A2709" i="448"/>
  <c r="G477" i="448"/>
  <c r="H477" i="448" s="1" a="1"/>
  <c r="H477" i="448" s="1"/>
  <c r="G1704" i="448"/>
  <c r="H1704" i="448" s="1" a="1"/>
  <c r="H1704" i="448" s="1"/>
  <c r="G1732" i="448"/>
  <c r="H1732" i="448" s="1" a="1"/>
  <c r="H1732" i="448" s="1"/>
  <c r="H1731" i="448" s="1" a="1"/>
  <c r="H1731" i="448" s="1"/>
  <c r="G1721" i="448"/>
  <c r="H1721" i="448" s="1" a="1"/>
  <c r="H1721" i="448" s="1"/>
  <c r="G1306" i="448"/>
  <c r="H1306" i="448" s="1" a="1"/>
  <c r="H1306" i="448" s="1"/>
  <c r="H1305" i="448" s="1" a="1"/>
  <c r="H1305" i="448" s="1"/>
  <c r="H1304" i="448" s="1" a="1"/>
  <c r="H1304" i="448" s="1"/>
  <c r="H1303" i="448" s="1" a="1"/>
  <c r="H1303" i="448" s="1"/>
  <c r="G2476" i="448"/>
  <c r="H2476" i="448" s="1" a="1"/>
  <c r="H2476" i="448" s="1"/>
  <c r="H2475" i="448" s="1" a="1"/>
  <c r="H2475" i="448" s="1"/>
  <c r="H2474" i="448" s="1" a="1"/>
  <c r="H2474" i="448" s="1"/>
  <c r="G1654" i="448"/>
  <c r="H1654" i="448" s="1" a="1"/>
  <c r="H1654" i="448" s="1"/>
  <c r="G1703" i="448"/>
  <c r="G2636" i="448"/>
  <c r="G2564" i="448"/>
  <c r="G2635" i="448"/>
  <c r="G2563" i="448"/>
  <c r="G2638" i="448"/>
  <c r="H2638" i="448" s="1" a="1"/>
  <c r="H2638" i="448" s="1"/>
  <c r="H2637" i="448" s="1" a="1"/>
  <c r="H2637" i="448" s="1"/>
  <c r="G2259" i="448"/>
  <c r="H2259" i="448" s="1" a="1"/>
  <c r="H2259" i="448" s="1"/>
  <c r="H2258" i="448" s="1" a="1"/>
  <c r="H2258" i="448" s="1"/>
  <c r="G2560" i="448"/>
  <c r="H2560" i="448" s="1" a="1"/>
  <c r="H2560" i="448" s="1"/>
  <c r="H2559" i="448" s="1" a="1"/>
  <c r="H2559" i="448" s="1"/>
  <c r="G2566" i="448"/>
  <c r="H2566" i="448" s="1" a="1"/>
  <c r="H2566" i="448" s="1"/>
  <c r="H2565" i="448" s="1" a="1"/>
  <c r="H2565" i="448" s="1"/>
  <c r="A2564" i="448"/>
  <c r="A2563" i="448"/>
  <c r="A2565" i="448"/>
  <c r="A2562" i="448"/>
  <c r="A2566" i="448"/>
  <c r="A2559" i="448"/>
  <c r="A2561" i="448"/>
  <c r="A2560" i="448"/>
  <c r="A2636" i="448"/>
  <c r="A2635" i="448"/>
  <c r="A2638" i="448"/>
  <c r="A2637" i="448"/>
  <c r="A2634" i="448"/>
  <c r="A2259" i="448"/>
  <c r="A2258" i="448"/>
  <c r="A2488" i="448"/>
  <c r="A2487" i="448"/>
  <c r="A2486" i="448"/>
  <c r="A2485" i="448"/>
  <c r="A2476" i="448"/>
  <c r="A2474" i="448"/>
  <c r="A1719" i="448"/>
  <c r="A1721" i="448"/>
  <c r="A1720" i="448"/>
  <c r="A1702" i="448"/>
  <c r="A1701" i="448"/>
  <c r="A1703" i="448"/>
  <c r="A1704" i="448"/>
  <c r="G1665" i="448"/>
  <c r="H1665" i="448" s="1" a="1"/>
  <c r="H1665" i="448" s="1"/>
  <c r="H1664" i="448" s="1" a="1"/>
  <c r="H1664" i="448" s="1"/>
  <c r="H1663" i="448" s="1" a="1"/>
  <c r="H1663" i="448" s="1"/>
  <c r="H1662" i="448" s="1" a="1"/>
  <c r="H1662" i="448" s="1"/>
  <c r="H1661" i="448" s="1" a="1"/>
  <c r="H1661" i="448" s="1"/>
  <c r="G1668" i="448"/>
  <c r="H1668" i="448" s="1" a="1"/>
  <c r="H1668" i="448" s="1"/>
  <c r="H1667" i="448" s="1" a="1"/>
  <c r="H1667" i="448" s="1"/>
  <c r="H1666" i="448" s="1" a="1"/>
  <c r="H1666" i="448" s="1"/>
  <c r="A1666" i="448"/>
  <c r="A1668" i="448"/>
  <c r="A1667" i="448"/>
  <c r="A1306" i="448"/>
  <c r="A1305" i="448"/>
  <c r="A1296" i="448"/>
  <c r="A1295" i="448"/>
  <c r="G801" i="448"/>
  <c r="H801" i="448" s="1" a="1"/>
  <c r="H801" i="448" s="1"/>
  <c r="H800" i="448" s="1" a="1"/>
  <c r="H800" i="448" s="1"/>
  <c r="G770" i="448"/>
  <c r="H770" i="448" s="1" a="1"/>
  <c r="H770" i="448" s="1"/>
  <c r="H769" i="448" s="1" a="1"/>
  <c r="H769" i="448" s="1"/>
  <c r="H768" i="448" s="1" a="1"/>
  <c r="H768" i="448" s="1"/>
  <c r="A770" i="448"/>
  <c r="A768" i="448"/>
  <c r="A769" i="448"/>
  <c r="G1129" i="448"/>
  <c r="G872" i="448"/>
  <c r="G900" i="448"/>
  <c r="G876" i="448"/>
  <c r="G713" i="448"/>
  <c r="H713" i="448" s="1" a="1"/>
  <c r="H713" i="448" s="1"/>
  <c r="H712" i="448" s="1" a="1"/>
  <c r="H712" i="448" s="1"/>
  <c r="H711" i="448" s="1" a="1"/>
  <c r="H711" i="448" s="1"/>
  <c r="G701" i="448"/>
  <c r="H701" i="448" s="1" a="1"/>
  <c r="H701" i="448" s="1"/>
  <c r="H700" i="448" s="1" a="1"/>
  <c r="H700" i="448" s="1"/>
  <c r="H699" i="448" s="1" a="1"/>
  <c r="H699" i="448" s="1"/>
  <c r="G836" i="448"/>
  <c r="G704" i="448"/>
  <c r="H704" i="448" s="1" a="1"/>
  <c r="H704" i="448" s="1"/>
  <c r="H703" i="448" s="1" a="1"/>
  <c r="H703" i="448" s="1"/>
  <c r="H702" i="448" s="1" a="1"/>
  <c r="H702" i="448" s="1"/>
  <c r="G695" i="448"/>
  <c r="H695" i="448" s="1" a="1"/>
  <c r="H695" i="448" s="1"/>
  <c r="G878" i="448"/>
  <c r="G899" i="448"/>
  <c r="G875" i="448"/>
  <c r="G1095" i="448"/>
  <c r="G874" i="448"/>
  <c r="G1138" i="448"/>
  <c r="G881" i="448"/>
  <c r="H881" i="448" s="1" a="1"/>
  <c r="H881" i="448" s="1"/>
  <c r="G1100" i="448"/>
  <c r="G879" i="448"/>
  <c r="G694" i="448"/>
  <c r="G835" i="448"/>
  <c r="G1134" i="448"/>
  <c r="G877" i="448"/>
  <c r="G837" i="448"/>
  <c r="H837" i="448" s="1" a="1"/>
  <c r="H837" i="448" s="1"/>
  <c r="H836" i="448" s="1" a="1"/>
  <c r="H836" i="448" s="1"/>
  <c r="G1137" i="448"/>
  <c r="G880" i="448"/>
  <c r="A837" i="448"/>
  <c r="A702" i="448"/>
  <c r="A699" i="448"/>
  <c r="A701" i="448"/>
  <c r="A703" i="448"/>
  <c r="A704" i="448"/>
  <c r="A700" i="448"/>
  <c r="A834" i="448"/>
  <c r="A836" i="448"/>
  <c r="A835" i="448"/>
  <c r="A874" i="448"/>
  <c r="A880" i="448"/>
  <c r="A872" i="448"/>
  <c r="A879" i="448"/>
  <c r="A876" i="448"/>
  <c r="A877" i="448"/>
  <c r="A871" i="448"/>
  <c r="A881" i="448"/>
  <c r="A873" i="448"/>
  <c r="A878" i="448"/>
  <c r="A875" i="448"/>
  <c r="G1979" i="448"/>
  <c r="G1994" i="448"/>
  <c r="G1408" i="448"/>
  <c r="G1373" i="448"/>
  <c r="G1969" i="448"/>
  <c r="G1368" i="448"/>
  <c r="G1984" i="448"/>
  <c r="G1932" i="448"/>
  <c r="G1947" i="448"/>
  <c r="G1413" i="448"/>
  <c r="G1942" i="448"/>
  <c r="G1937" i="448"/>
  <c r="G1974" i="448"/>
  <c r="G1989" i="448"/>
  <c r="G1435" i="448"/>
  <c r="H1435" i="448" s="1" a="1"/>
  <c r="H1435" i="448" s="1"/>
  <c r="G1929" i="448"/>
  <c r="H1929" i="448" s="1" a="1"/>
  <c r="H1929" i="448" s="1"/>
  <c r="G1944" i="448"/>
  <c r="H1944" i="448" s="1" a="1"/>
  <c r="H1944" i="448" s="1"/>
  <c r="G1971" i="448"/>
  <c r="H1971" i="448" s="1" a="1"/>
  <c r="H1971" i="448" s="1"/>
  <c r="G1976" i="448"/>
  <c r="H1976" i="448" s="1" a="1"/>
  <c r="H1976" i="448" s="1"/>
  <c r="G1939" i="448"/>
  <c r="H1939" i="448" s="1" a="1"/>
  <c r="H1939" i="448" s="1"/>
  <c r="G1415" i="448"/>
  <c r="H1415" i="448" s="1" a="1"/>
  <c r="H1415" i="448" s="1"/>
  <c r="G1934" i="448"/>
  <c r="H1934" i="448" s="1" a="1"/>
  <c r="H1934" i="448" s="1"/>
  <c r="G1949" i="448"/>
  <c r="H1949" i="448" s="1" a="1"/>
  <c r="H1949" i="448" s="1"/>
  <c r="G1375" i="448"/>
  <c r="H1375" i="448" s="1" a="1"/>
  <c r="H1375" i="448" s="1"/>
  <c r="G1981" i="448"/>
  <c r="H1981" i="448" s="1" a="1"/>
  <c r="H1981" i="448" s="1"/>
  <c r="G1996" i="448"/>
  <c r="H1996" i="448" s="1" a="1"/>
  <c r="H1996" i="448" s="1"/>
  <c r="G1991" i="448"/>
  <c r="H1991" i="448" s="1" a="1"/>
  <c r="H1991" i="448" s="1"/>
  <c r="G1410" i="448"/>
  <c r="H1410" i="448" s="1" a="1"/>
  <c r="H1410" i="448" s="1"/>
  <c r="G1370" i="448"/>
  <c r="H1370" i="448" s="1" a="1"/>
  <c r="H1370" i="448" s="1"/>
  <c r="G1986" i="448"/>
  <c r="H1986" i="448" s="1" a="1"/>
  <c r="H1986" i="448" s="1"/>
  <c r="G1924" i="448"/>
  <c r="H1924" i="448" s="1" a="1"/>
  <c r="H1924" i="448" s="1"/>
  <c r="G1923" i="448"/>
  <c r="G1928" i="448"/>
  <c r="G1902" i="448"/>
  <c r="G1922" i="448"/>
  <c r="G1927" i="448"/>
  <c r="G2749" i="448"/>
  <c r="H2749" i="448" s="1" a="1"/>
  <c r="H2749" i="448" s="1"/>
  <c r="H2748" i="448" s="1" a="1"/>
  <c r="H2748" i="448" s="1"/>
  <c r="G2755" i="448"/>
  <c r="H2755" i="448" s="1" a="1"/>
  <c r="H2755" i="448" s="1"/>
  <c r="H2754" i="448" s="1" a="1"/>
  <c r="H2754" i="448" s="1"/>
  <c r="G2752" i="448"/>
  <c r="H2752" i="448" s="1" a="1"/>
  <c r="H2752" i="448" s="1"/>
  <c r="H2751" i="448" s="1" a="1"/>
  <c r="H2751" i="448" s="1"/>
  <c r="G2746" i="448"/>
  <c r="H2746" i="448" s="1" a="1"/>
  <c r="H2746" i="448" s="1"/>
  <c r="H2745" i="448" s="1" a="1"/>
  <c r="H2745" i="448" s="1"/>
  <c r="G1995" i="448"/>
  <c r="G1943" i="448"/>
  <c r="G1938" i="448"/>
  <c r="G1369" i="448"/>
  <c r="G1985" i="448"/>
  <c r="G1933" i="448"/>
  <c r="G1414" i="448"/>
  <c r="G1948" i="448"/>
  <c r="G1980" i="448"/>
  <c r="G1374" i="448"/>
  <c r="G1975" i="448"/>
  <c r="G1409" i="448"/>
  <c r="G1970" i="448"/>
  <c r="G1990" i="448"/>
  <c r="A2743" i="448"/>
  <c r="A2754" i="448"/>
  <c r="A2751" i="448"/>
  <c r="A2745" i="448"/>
  <c r="A2748" i="448"/>
  <c r="A2750" i="448"/>
  <c r="A2747" i="448"/>
  <c r="A2752" i="448"/>
  <c r="A2744" i="448"/>
  <c r="A2755" i="448"/>
  <c r="A2749" i="448"/>
  <c r="A2746" i="448"/>
  <c r="A2756" i="448"/>
  <c r="A2753" i="448"/>
  <c r="A2450" i="448"/>
  <c r="A2449" i="448"/>
  <c r="A2420" i="448"/>
  <c r="A2419" i="448"/>
  <c r="A1977" i="448"/>
  <c r="A1949" i="448"/>
  <c r="A1938" i="448"/>
  <c r="A1927" i="448"/>
  <c r="A1981" i="448"/>
  <c r="A1970" i="448"/>
  <c r="A1931" i="448"/>
  <c r="A1984" i="448"/>
  <c r="A1925" i="448"/>
  <c r="A1989" i="448"/>
  <c r="A1986" i="448"/>
  <c r="A1980" i="448"/>
  <c r="A1941" i="448"/>
  <c r="A1994" i="448"/>
  <c r="A1983" i="448"/>
  <c r="A1935" i="448"/>
  <c r="A1924" i="448"/>
  <c r="A1974" i="448"/>
  <c r="A1946" i="448"/>
  <c r="A1921" i="448"/>
  <c r="A1923" i="448"/>
  <c r="A1942" i="448"/>
  <c r="A1967" i="448"/>
  <c r="A1975" i="448"/>
  <c r="A1936" i="448"/>
  <c r="A1944" i="448"/>
  <c r="A1933" i="448"/>
  <c r="A1969" i="448"/>
  <c r="A1991" i="448"/>
  <c r="A1971" i="448"/>
  <c r="A1943" i="448"/>
  <c r="A1932" i="448"/>
  <c r="A1990" i="448"/>
  <c r="A1987" i="448"/>
  <c r="A1995" i="448"/>
  <c r="A1978" i="448"/>
  <c r="A1947" i="448"/>
  <c r="A1972" i="448"/>
  <c r="A1930" i="448"/>
  <c r="A1988" i="448"/>
  <c r="A1940" i="448"/>
  <c r="A1929" i="448"/>
  <c r="A1985" i="448"/>
  <c r="A1996" i="448"/>
  <c r="A1979" i="448"/>
  <c r="A1968" i="448"/>
  <c r="A1982" i="448"/>
  <c r="A1976" i="448"/>
  <c r="A1948" i="448"/>
  <c r="A1937" i="448"/>
  <c r="A1926" i="448"/>
  <c r="A1993" i="448"/>
  <c r="A1945" i="448"/>
  <c r="A1934" i="448"/>
  <c r="A1973" i="448"/>
  <c r="A1920" i="448"/>
  <c r="A1939" i="448"/>
  <c r="A1928" i="448"/>
  <c r="A1992" i="448"/>
  <c r="A1922" i="448"/>
  <c r="A2312" i="448"/>
  <c r="A1406" i="448"/>
  <c r="A1414" i="448"/>
  <c r="A1373" i="448"/>
  <c r="A1370" i="448"/>
  <c r="A1413" i="448"/>
  <c r="A1372" i="448"/>
  <c r="A1366" i="448"/>
  <c r="A1412" i="448"/>
  <c r="A1410" i="448"/>
  <c r="A1369" i="448"/>
  <c r="A1371" i="448"/>
  <c r="A1368" i="448"/>
  <c r="A1411" i="448"/>
  <c r="A1407" i="448"/>
  <c r="A1415" i="448"/>
  <c r="A1374" i="448"/>
  <c r="A1409" i="448"/>
  <c r="A1408" i="448"/>
  <c r="A1367" i="448"/>
  <c r="A1375" i="448"/>
  <c r="A27" i="448"/>
  <c r="A336" i="448"/>
  <c r="A152" i="448"/>
  <c r="A11" i="448"/>
  <c r="A2989" i="448"/>
  <c r="A2990" i="448"/>
  <c r="A2991" i="448"/>
  <c r="A2988" i="448"/>
  <c r="A2992" i="448"/>
  <c r="A2993" i="448"/>
  <c r="A2994" i="448"/>
  <c r="A2995" i="448"/>
  <c r="A2997" i="448"/>
  <c r="A2996" i="448"/>
  <c r="A2998" i="448"/>
  <c r="G2262" i="448"/>
  <c r="G1863" i="448"/>
  <c r="H1863" i="448" s="1" a="1"/>
  <c r="H1863" i="448" s="1"/>
  <c r="G2556" i="448"/>
  <c r="H2556" i="448" s="1" a="1"/>
  <c r="H2556" i="448" s="1"/>
  <c r="G2256" i="448"/>
  <c r="H2256" i="448" s="1" a="1"/>
  <c r="H2256" i="448" s="1"/>
  <c r="H2255" i="448" s="1" a="1"/>
  <c r="H2255" i="448" s="1"/>
  <c r="G2214" i="448"/>
  <c r="H2214" i="448" s="1" a="1"/>
  <c r="H2214" i="448" s="1"/>
  <c r="H2213" i="448" s="1" a="1"/>
  <c r="H2213" i="448" s="1"/>
  <c r="G2558" i="448"/>
  <c r="H2558" i="448" s="1" a="1"/>
  <c r="H2558" i="448" s="1"/>
  <c r="H2557" i="448" s="1" a="1"/>
  <c r="H2557" i="448" s="1"/>
  <c r="G2264" i="448"/>
  <c r="H2264" i="448" s="1" a="1"/>
  <c r="H2264" i="448" s="1"/>
  <c r="H2263" i="448" s="1" a="1"/>
  <c r="H2263" i="448" s="1"/>
  <c r="G896" i="448"/>
  <c r="G2151" i="448"/>
  <c r="G2177" i="448"/>
  <c r="H2177" i="448" s="1" a="1"/>
  <c r="H2177" i="448" s="1"/>
  <c r="H2176" i="448" s="1" a="1"/>
  <c r="H2176" i="448" s="1"/>
  <c r="G2212" i="448"/>
  <c r="G2548" i="448"/>
  <c r="G2261" i="448"/>
  <c r="G1117" i="448"/>
  <c r="G214" i="448"/>
  <c r="A2232" i="448"/>
  <c r="A2234" i="448"/>
  <c r="A2233" i="448"/>
  <c r="A2260" i="448"/>
  <c r="A2262" i="448"/>
  <c r="A2264" i="448"/>
  <c r="A2263" i="448"/>
  <c r="A2261" i="448"/>
  <c r="A2255" i="448"/>
  <c r="A2257" i="448"/>
  <c r="A2256" i="448"/>
  <c r="A2557" i="448"/>
  <c r="A2558" i="448"/>
  <c r="A2211" i="448"/>
  <c r="A2214" i="448"/>
  <c r="A2212" i="448"/>
  <c r="A350" i="448"/>
  <c r="A2177" i="448"/>
  <c r="A2176" i="448"/>
  <c r="A2178" i="448"/>
  <c r="G2693" i="448"/>
  <c r="G2645" i="448"/>
  <c r="G1784" i="448"/>
  <c r="G1908" i="448"/>
  <c r="G2051" i="448"/>
  <c r="G1785" i="448"/>
  <c r="G1777" i="448"/>
  <c r="G2026" i="448"/>
  <c r="G2470" i="448"/>
  <c r="G1776" i="448"/>
  <c r="G136" i="448"/>
  <c r="G2038" i="448"/>
  <c r="H2038" i="448" s="1" a="1"/>
  <c r="H2038" i="448" s="1"/>
  <c r="G2027" i="448"/>
  <c r="H2027" i="448" s="1" a="1"/>
  <c r="H2027" i="448" s="1"/>
  <c r="G1786" i="448"/>
  <c r="H1786" i="448" s="1" a="1"/>
  <c r="H1786" i="448" s="1"/>
  <c r="G2040" i="448"/>
  <c r="G2025" i="448"/>
  <c r="G2196" i="448"/>
  <c r="H2196" i="448" s="1" a="1"/>
  <c r="H2196" i="448" s="1"/>
  <c r="G2225" i="448"/>
  <c r="H2225" i="448" s="1" a="1"/>
  <c r="H2225" i="448" s="1"/>
  <c r="G2551" i="448"/>
  <c r="H2551" i="448" s="1" a="1"/>
  <c r="H2551" i="448" s="1"/>
  <c r="G1778" i="448"/>
  <c r="H1778" i="448" s="1" a="1"/>
  <c r="H1778" i="448" s="1"/>
  <c r="A478" i="448"/>
  <c r="A412" i="448"/>
  <c r="A396" i="448"/>
  <c r="A617" i="448"/>
  <c r="A252" i="448"/>
  <c r="A164" i="448"/>
  <c r="A225" i="448"/>
  <c r="A492" i="448"/>
  <c r="A340" i="448"/>
  <c r="A185" i="448"/>
  <c r="A201" i="448"/>
  <c r="A288" i="448"/>
  <c r="A328" i="448"/>
  <c r="A466" i="448"/>
  <c r="A247" i="448"/>
  <c r="A233" i="448"/>
  <c r="A264" i="448"/>
  <c r="A422" i="448"/>
  <c r="A454" i="448"/>
  <c r="A19" i="448"/>
  <c r="A250" i="448"/>
  <c r="A425" i="448"/>
  <c r="A215" i="448"/>
  <c r="A300" i="448"/>
  <c r="A458" i="448"/>
  <c r="A2" i="448"/>
  <c r="A107" i="448"/>
  <c r="A169" i="448"/>
  <c r="A280" i="448"/>
  <c r="A241" i="448"/>
  <c r="A124" i="448"/>
  <c r="A525" i="448"/>
  <c r="A3" i="448"/>
  <c r="A47" i="448"/>
  <c r="A229" i="448"/>
  <c r="A284" i="448"/>
  <c r="A585" i="448"/>
  <c r="A446" i="448"/>
  <c r="A474" i="448"/>
  <c r="A175" i="448"/>
  <c r="A1786" i="448"/>
  <c r="A1785" i="448"/>
  <c r="A1784" i="448"/>
  <c r="A1783" i="448"/>
  <c r="A1776" i="448"/>
  <c r="A1775" i="448"/>
  <c r="A1777" i="448"/>
  <c r="A1778" i="448"/>
  <c r="A211" i="448"/>
  <c r="A427" i="448"/>
  <c r="A231" i="448"/>
  <c r="A408" i="448"/>
  <c r="A324" i="448"/>
  <c r="A442" i="448"/>
  <c r="A1790" i="448"/>
  <c r="A1788" i="448"/>
  <c r="A1787" i="448"/>
  <c r="A1789" i="448"/>
  <c r="A2025" i="448"/>
  <c r="A2027" i="448"/>
  <c r="A2024" i="448"/>
  <c r="A2026" i="448"/>
  <c r="A377" i="448"/>
  <c r="A613" i="448"/>
  <c r="A189" i="448"/>
  <c r="A1839" i="448"/>
  <c r="A1835" i="448"/>
  <c r="A1837" i="448"/>
  <c r="A1836" i="448"/>
  <c r="A1838" i="448"/>
  <c r="A243" i="448"/>
  <c r="A400" i="448"/>
  <c r="A450" i="448"/>
  <c r="A530" i="448"/>
  <c r="A676" i="448"/>
  <c r="A213" i="448"/>
  <c r="A260" i="448"/>
  <c r="A304" i="448"/>
  <c r="A381" i="448"/>
  <c r="A97" i="448"/>
  <c r="A1717" i="448"/>
  <c r="A67" i="448"/>
  <c r="A158" i="448"/>
  <c r="A227" i="448"/>
  <c r="A316" i="448"/>
  <c r="A343" i="448"/>
  <c r="A357" i="448"/>
  <c r="A470" i="448"/>
  <c r="A497" i="448"/>
  <c r="A535" i="448"/>
  <c r="A629" i="448"/>
  <c r="G1105" i="448"/>
  <c r="G1093" i="448"/>
  <c r="G1081" i="448"/>
  <c r="G1083" i="448"/>
  <c r="G1113" i="448"/>
  <c r="G322" i="448"/>
  <c r="G166" i="448"/>
  <c r="G155" i="448"/>
  <c r="G110" i="448"/>
  <c r="G2042" i="448"/>
  <c r="H2042" i="448" s="1" a="1"/>
  <c r="H2042" i="448" s="1"/>
  <c r="G2789" i="448"/>
  <c r="G70" i="448"/>
  <c r="G764" i="448"/>
  <c r="H764" i="448" s="1" a="1"/>
  <c r="H764" i="448" s="1"/>
  <c r="H763" i="448" s="1" a="1"/>
  <c r="H763" i="448" s="1"/>
  <c r="H762" i="448" s="1" a="1"/>
  <c r="H762" i="448" s="1"/>
  <c r="G780" i="448"/>
  <c r="H780" i="448" s="1" a="1"/>
  <c r="H780" i="448" s="1"/>
  <c r="H779" i="448" s="1" a="1"/>
  <c r="H779" i="448" s="1"/>
  <c r="H778" i="448" s="1" a="1"/>
  <c r="H778" i="448" s="1"/>
  <c r="H777" i="448" s="1" a="1"/>
  <c r="H777" i="448" s="1"/>
  <c r="H776" i="448" s="1" a="1"/>
  <c r="H776" i="448" s="1"/>
  <c r="H775" i="448" s="1" a="1"/>
  <c r="H775" i="448" s="1"/>
  <c r="H774" i="448" s="1" a="1"/>
  <c r="H774" i="448" s="1"/>
  <c r="G90" i="448"/>
  <c r="G798" i="448"/>
  <c r="H798" i="448" s="1" a="1"/>
  <c r="H798" i="448" s="1"/>
  <c r="H797" i="448" s="1" a="1"/>
  <c r="H797" i="448" s="1"/>
  <c r="G3008" i="448"/>
  <c r="H3008" i="448" s="1" a="1"/>
  <c r="H3008" i="448" s="1"/>
  <c r="G156" i="448"/>
  <c r="G2048" i="448"/>
  <c r="H2048" i="448" s="1" a="1"/>
  <c r="H2048" i="448" s="1"/>
  <c r="H2047" i="448" s="1" a="1"/>
  <c r="H2047" i="448" s="1"/>
  <c r="H2046" i="448" s="1" a="1"/>
  <c r="H2046" i="448" s="1"/>
  <c r="G904" i="448"/>
  <c r="G1309" i="448"/>
  <c r="G2054" i="448"/>
  <c r="M320" i="436" s="1"/>
  <c r="N320" i="436" s="1"/>
  <c r="G354" i="448"/>
  <c r="G1131" i="448"/>
  <c r="G2781" i="448"/>
  <c r="G443" i="448"/>
  <c r="G495" i="448"/>
  <c r="H495" i="448" s="1" a="1"/>
  <c r="H495" i="448" s="1"/>
  <c r="G435" i="448"/>
  <c r="G100" i="448"/>
  <c r="G2193" i="448"/>
  <c r="G80" i="448"/>
  <c r="G533" i="448"/>
  <c r="G788" i="448"/>
  <c r="H788" i="448" s="1" a="1"/>
  <c r="H788" i="448" s="1"/>
  <c r="H787" i="448" s="1" a="1"/>
  <c r="H787" i="448" s="1"/>
  <c r="H786" i="448" s="1" a="1"/>
  <c r="H786" i="448" s="1"/>
  <c r="H785" i="448" s="1" a="1"/>
  <c r="H785" i="448" s="1"/>
  <c r="H784" i="448" s="1" a="1"/>
  <c r="H784" i="448" s="1"/>
  <c r="H783" i="448" s="1" a="1"/>
  <c r="H783" i="448" s="1"/>
  <c r="H782" i="448" s="1" a="1"/>
  <c r="H782" i="448" s="1"/>
  <c r="H781" i="448" s="1" a="1"/>
  <c r="H781" i="448" s="1"/>
  <c r="G2003" i="448"/>
  <c r="G363" i="448"/>
  <c r="G1075" i="448"/>
  <c r="G2316" i="448"/>
  <c r="G3080" i="448"/>
  <c r="G1119" i="448"/>
  <c r="G50" i="448"/>
  <c r="G2281" i="448"/>
  <c r="H2281" i="448" s="1" a="1"/>
  <c r="H2281" i="448" s="1"/>
  <c r="G2090" i="448"/>
  <c r="G2223" i="448"/>
  <c r="G2662" i="448"/>
  <c r="G1584" i="448"/>
  <c r="G2173" i="448"/>
  <c r="G3032" i="448"/>
  <c r="G137" i="448"/>
  <c r="G301" i="448"/>
  <c r="G529" i="448"/>
  <c r="H529" i="448" s="1" a="1"/>
  <c r="H529" i="448" s="1"/>
  <c r="H528" i="448" s="1" a="1"/>
  <c r="H528" i="448" s="1"/>
  <c r="G1101" i="448"/>
  <c r="G2045" i="448"/>
  <c r="H2045" i="448" s="1" a="1"/>
  <c r="H2045" i="448" s="1"/>
  <c r="H2044" i="448" s="1" a="1"/>
  <c r="H2044" i="448" s="1"/>
  <c r="H2043" i="448" s="1" a="1"/>
  <c r="H2043" i="448" s="1"/>
  <c r="G40" i="448"/>
  <c r="G570" i="448"/>
  <c r="G767" i="448"/>
  <c r="H767" i="448" s="1" a="1"/>
  <c r="H767" i="448" s="1"/>
  <c r="H766" i="448" s="1" a="1"/>
  <c r="H766" i="448" s="1"/>
  <c r="H765" i="448" s="1" a="1"/>
  <c r="H765" i="448" s="1"/>
  <c r="G2113" i="448"/>
  <c r="H2113" i="448" s="1" a="1"/>
  <c r="H2113" i="448" s="1"/>
  <c r="G178" i="448"/>
  <c r="G2984" i="448"/>
  <c r="G146" i="448"/>
  <c r="G1132" i="448"/>
  <c r="G49" i="448"/>
  <c r="G2842" i="448"/>
  <c r="H2842" i="448" s="1" a="1"/>
  <c r="H2842" i="448" s="1"/>
  <c r="G3047" i="448"/>
  <c r="G1605" i="448"/>
  <c r="H1605" i="448" s="1" a="1"/>
  <c r="H1605" i="448" s="1"/>
  <c r="G823" i="448"/>
  <c r="G38" i="448"/>
  <c r="G824" i="448"/>
  <c r="G168" i="448"/>
  <c r="H168" i="448" s="1" a="1"/>
  <c r="H168" i="448" s="1"/>
  <c r="H167" i="448" s="1" a="1"/>
  <c r="H167" i="448" s="1"/>
  <c r="G1509" i="448"/>
  <c r="G39" i="448"/>
  <c r="G2692" i="448"/>
  <c r="G1108" i="448"/>
  <c r="G4" i="448"/>
  <c r="G397" i="448"/>
  <c r="G1084" i="448"/>
  <c r="G2471" i="448"/>
  <c r="G614" i="448"/>
  <c r="G1076" i="448"/>
  <c r="G1438" i="448"/>
  <c r="G1681" i="448"/>
  <c r="G2740" i="448"/>
  <c r="G21" i="448"/>
  <c r="G125" i="448"/>
  <c r="G16" i="448"/>
  <c r="G1626" i="448"/>
  <c r="H1626" i="448" s="1" a="1"/>
  <c r="H1626" i="448" s="1"/>
  <c r="G2473" i="448"/>
  <c r="H2473" i="448" s="1" a="1"/>
  <c r="H2473" i="448" s="1"/>
  <c r="G28" i="448"/>
  <c r="G133" i="448"/>
  <c r="G3048" i="448"/>
  <c r="G429" i="448"/>
  <c r="G2945" i="448"/>
  <c r="G147" i="448"/>
  <c r="G3013" i="448"/>
  <c r="G81" i="448"/>
  <c r="G69" i="448"/>
  <c r="G1461" i="448"/>
  <c r="H1461" i="448" s="1" a="1"/>
  <c r="H1461" i="448" s="1"/>
  <c r="G58" i="448"/>
  <c r="G59" i="448"/>
  <c r="G366" i="448"/>
  <c r="G48" i="448"/>
  <c r="G901" i="448"/>
  <c r="G1193" i="448"/>
  <c r="H1193" i="448" s="1" a="1"/>
  <c r="H1193" i="448" s="1"/>
  <c r="H1192" i="448" s="1" a="1"/>
  <c r="H1192" i="448" s="1"/>
  <c r="H1191" i="448" s="1" a="1"/>
  <c r="H1191" i="448" s="1"/>
  <c r="G1602" i="448"/>
  <c r="H1602" i="448" s="1" a="1"/>
  <c r="H1602" i="448" s="1"/>
  <c r="G2852" i="448"/>
  <c r="H2852" i="448" s="1" a="1"/>
  <c r="H2852" i="448" s="1"/>
  <c r="G6" i="448"/>
  <c r="G2161" i="448"/>
  <c r="H2161" i="448" s="1" a="1"/>
  <c r="H2161" i="448" s="1"/>
  <c r="G82" i="448"/>
  <c r="G20" i="448"/>
  <c r="G72" i="448"/>
  <c r="G105" i="448"/>
  <c r="G532" i="448"/>
  <c r="G545" i="448"/>
  <c r="H545" i="448" s="1" a="1"/>
  <c r="H545" i="448" s="1"/>
  <c r="G903" i="448"/>
  <c r="G1198" i="448"/>
  <c r="H1198" i="448" s="1" a="1"/>
  <c r="H1198" i="448" s="1"/>
  <c r="H1197" i="448" s="1" a="1"/>
  <c r="H1197" i="448" s="1"/>
  <c r="G1285" i="448"/>
  <c r="H1285" i="448" s="1" a="1"/>
  <c r="H1285" i="448" s="1"/>
  <c r="H1284" i="448" s="1" a="1"/>
  <c r="H1284" i="448" s="1"/>
  <c r="G1311" i="448"/>
  <c r="H1311" i="448" s="1" a="1"/>
  <c r="H1311" i="448" s="1"/>
  <c r="G1464" i="448"/>
  <c r="H1464" i="448" s="1" a="1"/>
  <c r="H1464" i="448" s="1"/>
  <c r="H1463" i="448" s="1" a="1"/>
  <c r="H1463" i="448" s="1"/>
  <c r="H1462" i="448" s="1" a="1"/>
  <c r="H1462" i="448" s="1"/>
  <c r="G1478" i="448"/>
  <c r="G1635" i="448"/>
  <c r="G1892" i="448"/>
  <c r="G2728" i="448"/>
  <c r="G2791" i="448"/>
  <c r="G2817" i="448"/>
  <c r="G2867" i="448"/>
  <c r="G2951" i="448"/>
  <c r="G2661" i="448"/>
  <c r="G486" i="448"/>
  <c r="H486" i="448" s="1" a="1"/>
  <c r="H486" i="448" s="1"/>
  <c r="G71" i="448"/>
  <c r="G2086" i="448"/>
  <c r="G1345" i="448"/>
  <c r="H1345" i="448" s="1" a="1"/>
  <c r="H1345" i="448" s="1"/>
  <c r="G2720" i="448"/>
  <c r="G31" i="448"/>
  <c r="G139" i="448"/>
  <c r="G1112" i="448"/>
  <c r="G1433" i="448"/>
  <c r="G1645" i="448"/>
  <c r="H1645" i="448" s="1" a="1"/>
  <c r="H1645" i="448" s="1"/>
  <c r="G42" i="448"/>
  <c r="G129" i="448"/>
  <c r="G574" i="448"/>
  <c r="G2466" i="448"/>
  <c r="G588" i="448"/>
  <c r="H588" i="448" s="1" a="1"/>
  <c r="H588" i="448" s="1"/>
  <c r="G905" i="448"/>
  <c r="H905" i="448" s="1" a="1"/>
  <c r="H905" i="448" s="1"/>
  <c r="G1090" i="448"/>
  <c r="G1201" i="448"/>
  <c r="G1599" i="448"/>
  <c r="H1599" i="448" s="1" a="1"/>
  <c r="H1599" i="448" s="1"/>
  <c r="G2783" i="448"/>
  <c r="G2847" i="448"/>
  <c r="G3005" i="448"/>
  <c r="G112" i="448"/>
  <c r="G2096" i="448"/>
  <c r="H2096" i="448" s="1" a="1"/>
  <c r="H2096" i="448" s="1"/>
  <c r="G2175" i="448"/>
  <c r="H2175" i="448" s="1" a="1"/>
  <c r="H2175" i="448" s="1"/>
  <c r="G1420" i="448"/>
  <c r="H1420" i="448" s="1" a="1"/>
  <c r="H1420" i="448" s="1"/>
  <c r="G1891" i="448"/>
  <c r="G2531" i="448"/>
  <c r="G126" i="448"/>
  <c r="G2641" i="448"/>
  <c r="G62" i="448"/>
  <c r="G370" i="448"/>
  <c r="G1685" i="448"/>
  <c r="G2033" i="448"/>
  <c r="G2088" i="448"/>
  <c r="H2088" i="448" s="1" a="1"/>
  <c r="H2088" i="448" s="1"/>
  <c r="G2465" i="448"/>
  <c r="G1673" i="448"/>
  <c r="G1919" i="448"/>
  <c r="H1919" i="448" s="1" a="1"/>
  <c r="H1919" i="448" s="1"/>
  <c r="G2882" i="448"/>
  <c r="H2882" i="448" s="1" a="1"/>
  <c r="H2882" i="448" s="1"/>
  <c r="G2940" i="448"/>
  <c r="H2940" i="448" s="1" a="1"/>
  <c r="H2940" i="448" s="1"/>
  <c r="G228" i="448"/>
  <c r="H228" i="448" s="1" a="1"/>
  <c r="H228" i="448" s="1"/>
  <c r="H227" i="448" s="1" a="1"/>
  <c r="H227" i="448" s="1"/>
  <c r="G606" i="448"/>
  <c r="G831" i="448"/>
  <c r="H831" i="448" s="1" a="1"/>
  <c r="H831" i="448" s="1"/>
  <c r="H830" i="448" s="1" a="1"/>
  <c r="H830" i="448" s="1"/>
  <c r="G1124" i="448"/>
  <c r="G2793" i="448"/>
  <c r="H2793" i="448" s="1" a="1"/>
  <c r="H2793" i="448" s="1"/>
  <c r="G22" i="448"/>
  <c r="G88" i="448"/>
  <c r="G98" i="448"/>
  <c r="G108" i="448"/>
  <c r="G349" i="448"/>
  <c r="H349" i="448" s="1" a="1"/>
  <c r="H349" i="448" s="1"/>
  <c r="G607" i="448"/>
  <c r="G1102" i="448"/>
  <c r="G1276" i="448"/>
  <c r="H1276" i="448" s="1" a="1"/>
  <c r="H1276" i="448" s="1"/>
  <c r="H1275" i="448" s="1" a="1"/>
  <c r="H1275" i="448" s="1"/>
  <c r="G1348" i="448"/>
  <c r="G1452" i="448"/>
  <c r="H1452" i="448" s="1" a="1"/>
  <c r="H1452" i="448" s="1"/>
  <c r="G1467" i="448"/>
  <c r="G1857" i="448"/>
  <c r="G1998" i="448"/>
  <c r="G2011" i="448"/>
  <c r="G2036" i="448"/>
  <c r="G29" i="448"/>
  <c r="G114" i="448"/>
  <c r="G1449" i="448"/>
  <c r="H1449" i="448" s="1" a="1"/>
  <c r="H1449" i="448" s="1"/>
  <c r="H1448" i="448" s="1" a="1"/>
  <c r="H1448" i="448" s="1"/>
  <c r="H1447" i="448" s="1" a="1"/>
  <c r="H1447" i="448" s="1"/>
  <c r="G1724" i="448"/>
  <c r="G2104" i="448"/>
  <c r="G402" i="448"/>
  <c r="G1088" i="448"/>
  <c r="G1135" i="448"/>
  <c r="G2105" i="448"/>
  <c r="H2105" i="448" s="1" a="1"/>
  <c r="H2105" i="448" s="1"/>
  <c r="G827" i="448"/>
  <c r="H827" i="448" s="1" a="1"/>
  <c r="H827" i="448" s="1"/>
  <c r="G2519" i="448"/>
  <c r="H2519" i="448" s="1" a="1"/>
  <c r="H2519" i="448" s="1"/>
  <c r="H2518" i="448" s="1" a="1"/>
  <c r="H2518" i="448" s="1"/>
  <c r="H2517" i="448" s="1" a="1"/>
  <c r="H2517" i="448" s="1"/>
  <c r="G401" i="448"/>
  <c r="G1717" i="448"/>
  <c r="G52" i="448"/>
  <c r="G437" i="448"/>
  <c r="H437" i="448" s="1" a="1"/>
  <c r="H437" i="448" s="1"/>
  <c r="G1136" i="448"/>
  <c r="G1611" i="448"/>
  <c r="H1611" i="448" s="1" a="1"/>
  <c r="H1611" i="448" s="1"/>
  <c r="G1867" i="448"/>
  <c r="G2832" i="448"/>
  <c r="H2832" i="448" s="1" a="1"/>
  <c r="H2832" i="448" s="1"/>
  <c r="G32" i="448"/>
  <c r="G131" i="448"/>
  <c r="G338" i="448"/>
  <c r="G1114" i="448"/>
  <c r="G1689" i="448"/>
  <c r="G2091" i="448"/>
  <c r="G2468" i="448"/>
  <c r="H2468" i="448" s="1" a="1"/>
  <c r="H2468" i="448" s="1"/>
  <c r="G2522" i="448"/>
  <c r="G2808" i="448"/>
  <c r="G2872" i="448"/>
  <c r="H2872" i="448" s="1" a="1"/>
  <c r="H2872" i="448" s="1"/>
  <c r="G92" i="448"/>
  <c r="G1099" i="448"/>
  <c r="G1917" i="448"/>
  <c r="G447" i="448"/>
  <c r="G78" i="448"/>
  <c r="G2037" i="448"/>
  <c r="G1418" i="448"/>
  <c r="G1343" i="448"/>
  <c r="G1477" i="448"/>
  <c r="G61" i="448"/>
  <c r="G14" i="448"/>
  <c r="G24" i="448"/>
  <c r="G45" i="448"/>
  <c r="G89" i="448"/>
  <c r="G99" i="448"/>
  <c r="G109" i="448"/>
  <c r="G451" i="448"/>
  <c r="G1677" i="448"/>
  <c r="G1999" i="448"/>
  <c r="G2012" i="448"/>
  <c r="G2189" i="448"/>
  <c r="H2189" i="448" s="1" a="1"/>
  <c r="H2189" i="448" s="1"/>
  <c r="G2648" i="448"/>
  <c r="H2648" i="448" s="1" a="1"/>
  <c r="H2648" i="448" s="1"/>
  <c r="G2703" i="448"/>
  <c r="G2785" i="448"/>
  <c r="H2785" i="448" s="1" a="1"/>
  <c r="H2785" i="448" s="1"/>
  <c r="G3021" i="448"/>
  <c r="G3057" i="448"/>
  <c r="G35" i="448"/>
  <c r="G527" i="448"/>
  <c r="G1318" i="448"/>
  <c r="G1460" i="448"/>
  <c r="G1632" i="448"/>
  <c r="H1632" i="448" s="1" a="1"/>
  <c r="H1632" i="448" s="1"/>
  <c r="G1859" i="448"/>
  <c r="H1859" i="448" s="1" a="1"/>
  <c r="H1859" i="448" s="1"/>
  <c r="G1899" i="448"/>
  <c r="H1899" i="448" s="1" a="1"/>
  <c r="H1899" i="448" s="1"/>
  <c r="G2523" i="448"/>
  <c r="G2957" i="448"/>
  <c r="A438" i="448"/>
  <c r="A621" i="448"/>
  <c r="A151" i="448"/>
  <c r="A191" i="448"/>
  <c r="A204" i="448"/>
  <c r="A248" i="448"/>
  <c r="A262" i="448"/>
  <c r="A480" i="448"/>
  <c r="G13" i="448"/>
  <c r="G2095" i="448"/>
  <c r="G586" i="448"/>
  <c r="G378" i="448"/>
  <c r="G2866" i="448"/>
  <c r="G9" i="448"/>
  <c r="G17" i="448"/>
  <c r="G473" i="448"/>
  <c r="H473" i="448" s="1" a="1"/>
  <c r="H473" i="448" s="1"/>
  <c r="G2371" i="448"/>
  <c r="H2371" i="448" s="1" a="1"/>
  <c r="H2371" i="448" s="1"/>
  <c r="H2370" i="448" s="1" a="1"/>
  <c r="H2370" i="448" s="1"/>
  <c r="H2369" i="448" s="1" a="1"/>
  <c r="H2369" i="448" s="1"/>
  <c r="G25" i="448"/>
  <c r="G1527" i="448"/>
  <c r="H1527" i="448" s="1" a="1"/>
  <c r="H1527" i="448" s="1"/>
  <c r="H1526" i="448" s="1" a="1"/>
  <c r="H1526" i="448" s="1"/>
  <c r="H1525" i="448" s="1" a="1"/>
  <c r="H1525" i="448" s="1"/>
  <c r="G1115" i="448"/>
  <c r="H1115" i="448" s="1" a="1"/>
  <c r="H1115" i="448" s="1"/>
  <c r="G1077" i="448"/>
  <c r="G1097" i="448"/>
  <c r="G2553" i="448"/>
  <c r="G415" i="448"/>
  <c r="H415" i="448" s="1" a="1"/>
  <c r="H415" i="448" s="1"/>
  <c r="G818" i="448"/>
  <c r="H818" i="448" s="1" a="1"/>
  <c r="H818" i="448" s="1"/>
  <c r="H817" i="448" s="1" a="1"/>
  <c r="H817" i="448" s="1"/>
  <c r="H816" i="448" s="1" a="1"/>
  <c r="H816" i="448" s="1"/>
  <c r="H815" i="448" s="1" a="1"/>
  <c r="H815" i="448" s="1"/>
  <c r="G1718" i="448"/>
  <c r="H1718" i="448" s="1" a="1"/>
  <c r="H1718" i="448" s="1"/>
  <c r="G2117" i="448"/>
  <c r="H2117" i="448" s="1" a="1"/>
  <c r="H2117" i="448" s="1"/>
  <c r="G2549" i="448"/>
  <c r="G2836" i="448"/>
  <c r="G455" i="448"/>
  <c r="G313" i="448"/>
  <c r="G2782" i="448"/>
  <c r="G2790" i="448"/>
  <c r="G2845" i="448"/>
  <c r="G2835" i="448"/>
  <c r="G2825" i="448"/>
  <c r="G3030" i="448"/>
  <c r="G3006" i="448"/>
  <c r="G3014" i="448"/>
  <c r="G1279" i="448"/>
  <c r="H1279" i="448" s="1" a="1"/>
  <c r="H1279" i="448" s="1"/>
  <c r="G1288" i="448"/>
  <c r="H1288" i="448" s="1" a="1"/>
  <c r="H1288" i="448" s="1"/>
  <c r="H1287" i="448" s="1" a="1"/>
  <c r="H1287" i="448" s="1"/>
  <c r="H1286" i="448" s="1" a="1"/>
  <c r="H1286" i="448" s="1"/>
  <c r="G2816" i="448"/>
  <c r="G2784" i="448"/>
  <c r="G2881" i="448"/>
  <c r="G2792" i="448"/>
  <c r="G2871" i="448"/>
  <c r="G2851" i="448"/>
  <c r="G2841" i="448"/>
  <c r="G2831" i="448"/>
  <c r="G2799" i="448"/>
  <c r="H2799" i="448" s="1" a="1"/>
  <c r="H2799" i="448" s="1"/>
  <c r="G2870" i="448"/>
  <c r="G2880" i="448"/>
  <c r="G2850" i="448"/>
  <c r="G1581" i="448"/>
  <c r="H1581" i="448" s="1" a="1"/>
  <c r="H1581" i="448" s="1"/>
  <c r="G1593" i="448"/>
  <c r="H1593" i="448" s="1" a="1"/>
  <c r="H1593" i="448" s="1"/>
  <c r="G1577" i="448"/>
  <c r="H1577" i="448" s="1" a="1"/>
  <c r="H1577" i="448" s="1"/>
  <c r="G2939" i="448"/>
  <c r="G2935" i="448"/>
  <c r="G315" i="448"/>
  <c r="H315" i="448" s="1" a="1"/>
  <c r="H315" i="448" s="1"/>
  <c r="G604" i="448"/>
  <c r="H604" i="448" s="1" a="1"/>
  <c r="H604" i="448" s="1"/>
  <c r="H603" i="448" s="1" a="1"/>
  <c r="H603" i="448" s="1"/>
  <c r="H602" i="448" s="1" a="1"/>
  <c r="H602" i="448" s="1"/>
  <c r="H601" i="448" s="1" a="1"/>
  <c r="H601" i="448" s="1"/>
  <c r="G584" i="448"/>
  <c r="H584" i="448" s="1" a="1"/>
  <c r="H584" i="448" s="1"/>
  <c r="G2172" i="448"/>
  <c r="G2163" i="448"/>
  <c r="G1898" i="448"/>
  <c r="G2688" i="448"/>
  <c r="G2072" i="448"/>
  <c r="G2472" i="448"/>
  <c r="G1344" i="448"/>
  <c r="G2092" i="448"/>
  <c r="G1439" i="448"/>
  <c r="G1868" i="448"/>
  <c r="G2194" i="448"/>
  <c r="G2554" i="448"/>
  <c r="G2195" i="448"/>
  <c r="G2718" i="448"/>
  <c r="H2718" i="448" s="1" a="1"/>
  <c r="H2718" i="448" s="1"/>
  <c r="H2717" i="448" s="1" a="1"/>
  <c r="H2717" i="448" s="1"/>
  <c r="H2716" i="448" s="1" a="1"/>
  <c r="H2716" i="448" s="1"/>
  <c r="G2712" i="448"/>
  <c r="H2712" i="448" s="1" a="1"/>
  <c r="H2712" i="448" s="1"/>
  <c r="G2550" i="448"/>
  <c r="G1573" i="448"/>
  <c r="H1573" i="448" s="1" a="1"/>
  <c r="H1573" i="448" s="1"/>
  <c r="G2798" i="448"/>
  <c r="G1110" i="448"/>
  <c r="G1434" i="448"/>
  <c r="G2391" i="448"/>
  <c r="G379" i="448"/>
  <c r="G314" i="448"/>
  <c r="G456" i="448"/>
  <c r="G358" i="448"/>
  <c r="G439" i="448"/>
  <c r="G174" i="448"/>
  <c r="H174" i="448" s="1" a="1"/>
  <c r="H174" i="448" s="1"/>
  <c r="G464" i="448"/>
  <c r="G120" i="448"/>
  <c r="G359" i="448"/>
  <c r="G2869" i="448"/>
  <c r="G157" i="448"/>
  <c r="H157" i="448" s="1" a="1"/>
  <c r="H157" i="448" s="1"/>
  <c r="G685" i="448"/>
  <c r="G547" i="448"/>
  <c r="G536" i="448"/>
  <c r="M79" i="436" s="1"/>
  <c r="G113" i="448"/>
  <c r="G170" i="448"/>
  <c r="G825" i="448"/>
  <c r="G1190" i="448"/>
  <c r="H1190" i="448" s="1" a="1"/>
  <c r="H1190" i="448" s="1"/>
  <c r="H1189" i="448" s="1" a="1"/>
  <c r="H1189" i="448" s="1"/>
  <c r="G2865" i="448"/>
  <c r="G1094" i="448"/>
  <c r="G1106" i="448"/>
  <c r="G33" i="448"/>
  <c r="G592" i="448"/>
  <c r="H592" i="448" s="1" a="1"/>
  <c r="H592" i="448" s="1"/>
  <c r="G2115" i="448"/>
  <c r="G1676" i="448"/>
  <c r="G1622" i="448"/>
  <c r="G1598" i="448"/>
  <c r="G348" i="448"/>
  <c r="G1729" i="448"/>
  <c r="G1893" i="448"/>
  <c r="G2642" i="448"/>
  <c r="G2878" i="448"/>
  <c r="G56" i="448"/>
  <c r="H56" i="448" s="1" a="1"/>
  <c r="H56" i="448" s="1"/>
  <c r="G123" i="448"/>
  <c r="H123" i="448" s="1" a="1"/>
  <c r="H123" i="448" s="1"/>
  <c r="G36" i="448"/>
  <c r="H36" i="448" s="1" a="1"/>
  <c r="H36" i="448" s="1"/>
  <c r="G46" i="448"/>
  <c r="H46" i="448" s="1" a="1"/>
  <c r="H46" i="448" s="1"/>
  <c r="G66" i="448"/>
  <c r="H66" i="448" s="1" a="1"/>
  <c r="H66" i="448" s="1"/>
  <c r="G1319" i="448"/>
  <c r="G327" i="448"/>
  <c r="H327" i="448" s="1" a="1"/>
  <c r="H327" i="448" s="1"/>
  <c r="G2722" i="448"/>
  <c r="H2722" i="448" s="1" a="1"/>
  <c r="H2722" i="448" s="1"/>
  <c r="H2721" i="448" s="1" a="1"/>
  <c r="H2721" i="448" s="1"/>
  <c r="G434" i="448"/>
  <c r="G1098" i="448"/>
  <c r="G1086" i="448"/>
  <c r="G115" i="448"/>
  <c r="G539" i="448"/>
  <c r="G64" i="448"/>
  <c r="G121" i="448"/>
  <c r="G104" i="448"/>
  <c r="G94" i="448"/>
  <c r="G54" i="448"/>
  <c r="G2347" i="448"/>
  <c r="H2347" i="448" s="1" a="1"/>
  <c r="H2347" i="448" s="1"/>
  <c r="G814" i="448"/>
  <c r="H814" i="448" s="1" a="1"/>
  <c r="H814" i="448" s="1"/>
  <c r="H813" i="448" s="1" a="1"/>
  <c r="H813" i="448" s="1"/>
  <c r="H812" i="448" s="1" a="1"/>
  <c r="H812" i="448" s="1"/>
  <c r="G2959" i="448"/>
  <c r="H2959" i="448" s="1" a="1"/>
  <c r="H2959" i="448" s="1"/>
  <c r="G2947" i="448"/>
  <c r="H2947" i="448" s="1" a="1"/>
  <c r="H2947" i="448" s="1"/>
  <c r="G2977" i="448"/>
  <c r="H2977" i="448" s="1" a="1"/>
  <c r="H2977" i="448" s="1"/>
  <c r="G1203" i="448"/>
  <c r="H1203" i="448" s="1" a="1"/>
  <c r="H1203" i="448" s="1"/>
  <c r="H1202" i="448" s="1" a="1"/>
  <c r="H1202" i="448" s="1"/>
  <c r="G1585" i="448"/>
  <c r="H1585" i="448" s="1" a="1"/>
  <c r="H1585" i="448" s="1"/>
  <c r="G2224" i="448"/>
  <c r="G1686" i="448"/>
  <c r="H1686" i="448" s="1" a="1"/>
  <c r="H1686" i="448" s="1"/>
  <c r="G616" i="448"/>
  <c r="H616" i="448" s="1" a="1"/>
  <c r="H616" i="448" s="1"/>
  <c r="G335" i="448"/>
  <c r="H335" i="448" s="1" a="1"/>
  <c r="H335" i="448" s="1"/>
  <c r="G1315" i="448"/>
  <c r="H1315" i="448" s="1" a="1"/>
  <c r="H1315" i="448" s="1"/>
  <c r="G242" i="448"/>
  <c r="H242" i="448" s="1" a="1"/>
  <c r="H242" i="448" s="1"/>
  <c r="H241" i="448" s="1" a="1"/>
  <c r="H241" i="448" s="1"/>
  <c r="G542" i="448"/>
  <c r="G1451" i="448"/>
  <c r="G1694" i="448"/>
  <c r="H1694" i="448" s="1" a="1"/>
  <c r="H1694" i="448" s="1"/>
  <c r="G1122" i="448"/>
  <c r="G1349" i="448"/>
  <c r="G2034" i="448"/>
  <c r="H2034" i="448" s="1" a="1"/>
  <c r="H2034" i="448" s="1"/>
  <c r="G3022" i="448"/>
  <c r="G452" i="448"/>
  <c r="G1281" i="448"/>
  <c r="H1281" i="448" s="1" a="1"/>
  <c r="H1281" i="448" s="1"/>
  <c r="H1280" i="448" s="1" a="1"/>
  <c r="H1280" i="448" s="1"/>
  <c r="G1858" i="448"/>
  <c r="G498" i="448"/>
  <c r="G805" i="448"/>
  <c r="H805" i="448" s="1" a="1"/>
  <c r="H805" i="448" s="1"/>
  <c r="H804" i="448" s="1" a="1"/>
  <c r="H804" i="448" s="1"/>
  <c r="H803" i="448" s="1" a="1"/>
  <c r="H803" i="448" s="1"/>
  <c r="G2849" i="448"/>
  <c r="G2987" i="448"/>
  <c r="H2987" i="448" s="1" a="1"/>
  <c r="H2987" i="448" s="1"/>
  <c r="G154" i="448"/>
  <c r="G360" i="448"/>
  <c r="H360" i="448" s="1" a="1"/>
  <c r="H360" i="448" s="1"/>
  <c r="G444" i="448"/>
  <c r="G1468" i="448"/>
  <c r="G2839" i="448"/>
  <c r="G387" i="448"/>
  <c r="H387" i="448" s="1" a="1"/>
  <c r="H387" i="448" s="1"/>
  <c r="G445" i="448"/>
  <c r="H445" i="448" s="1" a="1"/>
  <c r="H445" i="448" s="1"/>
  <c r="G1082" i="448"/>
  <c r="G1342" i="448"/>
  <c r="G1674" i="448"/>
  <c r="H1674" i="448" s="1" a="1"/>
  <c r="H1674" i="448" s="1"/>
  <c r="H1673" i="448" s="1" a="1"/>
  <c r="H1673" i="448" s="1"/>
  <c r="G1907" i="448"/>
  <c r="G2730" i="448"/>
  <c r="H2730" i="448" s="1" a="1"/>
  <c r="H2730" i="448" s="1"/>
  <c r="H2729" i="448" s="1" a="1"/>
  <c r="H2729" i="448" s="1"/>
  <c r="G2829" i="448"/>
  <c r="G2840" i="448"/>
  <c r="G2965" i="448"/>
  <c r="H2965" i="448" s="1" a="1"/>
  <c r="H2965" i="448" s="1"/>
  <c r="G193" i="448"/>
  <c r="G375" i="448"/>
  <c r="G436" i="448"/>
  <c r="G1631" i="448"/>
  <c r="G2704" i="448"/>
  <c r="H2704" i="448" s="1" a="1"/>
  <c r="H2704" i="448" s="1"/>
  <c r="G194" i="448"/>
  <c r="G490" i="448"/>
  <c r="G820" i="448"/>
  <c r="G1125" i="448"/>
  <c r="G2070" i="448"/>
  <c r="G122" i="448"/>
  <c r="G761" i="448"/>
  <c r="H761" i="448" s="1" a="1"/>
  <c r="H761" i="448" s="1"/>
  <c r="H760" i="448" s="1" a="1"/>
  <c r="H760" i="448" s="1"/>
  <c r="H759" i="448" s="1" a="1"/>
  <c r="H759" i="448" s="1"/>
  <c r="G1079" i="448"/>
  <c r="H1079" i="448" s="1" a="1"/>
  <c r="H1079" i="448" s="1"/>
  <c r="G1126" i="448"/>
  <c r="G1278" i="448"/>
  <c r="G2687" i="448"/>
  <c r="G65" i="448"/>
  <c r="G85" i="448"/>
  <c r="G95" i="448"/>
  <c r="H95" i="448" s="1" a="1"/>
  <c r="H95" i="448" s="1"/>
  <c r="G773" i="448"/>
  <c r="H773" i="448" s="1" a="1"/>
  <c r="H773" i="448" s="1"/>
  <c r="H772" i="448" s="1" a="1"/>
  <c r="H772" i="448" s="1"/>
  <c r="H771" i="448" s="1" a="1"/>
  <c r="H771" i="448" s="1"/>
  <c r="G1107" i="448"/>
  <c r="G1730" i="448"/>
  <c r="G1897" i="448"/>
  <c r="G2008" i="448"/>
  <c r="G2032" i="448"/>
  <c r="G2153" i="448"/>
  <c r="H2153" i="448" s="1" a="1"/>
  <c r="H2153" i="448" s="1"/>
  <c r="G3016" i="448"/>
  <c r="G1078" i="448"/>
  <c r="G55" i="448"/>
  <c r="G2071" i="448"/>
  <c r="G2646" i="448"/>
  <c r="G347" i="448"/>
  <c r="G898" i="448"/>
  <c r="G1474" i="448"/>
  <c r="G1862" i="448"/>
  <c r="G1872" i="448"/>
  <c r="G2041" i="448"/>
  <c r="G2313" i="448"/>
  <c r="G810" i="448"/>
  <c r="H810" i="448" s="1" a="1"/>
  <c r="H810" i="448" s="1"/>
  <c r="H809" i="448" s="1" a="1"/>
  <c r="H809" i="448" s="1"/>
  <c r="G1089" i="448"/>
  <c r="A569" i="448"/>
  <c r="A812" i="448"/>
  <c r="A814" i="448"/>
  <c r="A813" i="448"/>
  <c r="A207" i="448"/>
  <c r="A320" i="448"/>
  <c r="A605" i="448"/>
  <c r="A57" i="448"/>
  <c r="A235" i="448"/>
  <c r="A268" i="448"/>
  <c r="A361" i="448"/>
  <c r="A420" i="448"/>
  <c r="A462" i="448"/>
  <c r="A24" i="448"/>
  <c r="A663" i="448"/>
  <c r="A87" i="448"/>
  <c r="A197" i="448"/>
  <c r="A245" i="448"/>
  <c r="A312" i="448"/>
  <c r="A332" i="448"/>
  <c r="A342" i="448"/>
  <c r="A385" i="448"/>
  <c r="G2152" i="448"/>
  <c r="G2160" i="448"/>
  <c r="G2174" i="448"/>
  <c r="G2165" i="448"/>
  <c r="H2165" i="448" s="1" a="1"/>
  <c r="H2165" i="448" s="1"/>
  <c r="G1571" i="448"/>
  <c r="G1715" i="448"/>
  <c r="H1715" i="448" s="1" a="1"/>
  <c r="H1715" i="448" s="1"/>
  <c r="G2876" i="448"/>
  <c r="G3023" i="448"/>
  <c r="G526" i="448"/>
  <c r="G493" i="448"/>
  <c r="G103" i="448"/>
  <c r="G93" i="448"/>
  <c r="G345" i="448"/>
  <c r="G433" i="448"/>
  <c r="G176" i="448"/>
  <c r="G43" i="448"/>
  <c r="G352" i="448"/>
  <c r="G531" i="448"/>
  <c r="G392" i="448"/>
  <c r="H392" i="448" s="1" a="1"/>
  <c r="H392" i="448" s="1"/>
  <c r="G600" i="448"/>
  <c r="H600" i="448" s="1" a="1"/>
  <c r="H600" i="448" s="1"/>
  <c r="G372" i="448"/>
  <c r="H372" i="448" s="1" a="1"/>
  <c r="H372" i="448" s="1"/>
  <c r="G449" i="448"/>
  <c r="H449" i="448" s="1" a="1"/>
  <c r="H449" i="448" s="1"/>
  <c r="G441" i="448"/>
  <c r="H441" i="448" s="1" a="1"/>
  <c r="H441" i="448" s="1"/>
  <c r="G299" i="448"/>
  <c r="H299" i="448" s="1" a="1"/>
  <c r="H299" i="448" s="1"/>
  <c r="G576" i="448"/>
  <c r="H576" i="448" s="1" a="1"/>
  <c r="H576" i="448" s="1"/>
  <c r="G307" i="448"/>
  <c r="H307" i="448" s="1" a="1"/>
  <c r="H307" i="448" s="1"/>
  <c r="G465" i="448"/>
  <c r="H465" i="448" s="1" a="1"/>
  <c r="H465" i="448" s="1"/>
  <c r="G319" i="448"/>
  <c r="H319" i="448" s="1" a="1"/>
  <c r="H319" i="448" s="1"/>
  <c r="G457" i="448"/>
  <c r="H457" i="448" s="1" a="1"/>
  <c r="H457" i="448" s="1"/>
  <c r="G380" i="448"/>
  <c r="H380" i="448" s="1" a="1"/>
  <c r="H380" i="448" s="1"/>
  <c r="G368" i="448"/>
  <c r="H368" i="448" s="1" a="1"/>
  <c r="H368" i="448" s="1"/>
  <c r="G53" i="448"/>
  <c r="G355" i="448"/>
  <c r="H355" i="448" s="1" a="1"/>
  <c r="H355" i="448" s="1"/>
  <c r="H354" i="448" s="1" a="1"/>
  <c r="H354" i="448" s="1"/>
  <c r="G364" i="448"/>
  <c r="H364" i="448" s="1" a="1"/>
  <c r="H364" i="448" s="1"/>
  <c r="G376" i="448"/>
  <c r="H376" i="448" s="1" a="1"/>
  <c r="H376" i="448" s="1"/>
  <c r="G430" i="448"/>
  <c r="H430" i="448" s="1" a="1"/>
  <c r="H430" i="448" s="1"/>
  <c r="G624" i="448"/>
  <c r="H624" i="448" s="1" a="1"/>
  <c r="H624" i="448" s="1"/>
  <c r="G686" i="448"/>
  <c r="G746" i="448"/>
  <c r="H746" i="448" s="1" a="1"/>
  <c r="H746" i="448" s="1"/>
  <c r="H745" i="448" s="1" a="1"/>
  <c r="H745" i="448" s="1"/>
  <c r="H744" i="448" s="1" a="1"/>
  <c r="H744" i="448" s="1"/>
  <c r="G902" i="448"/>
  <c r="G1178" i="448"/>
  <c r="G1583" i="448"/>
  <c r="G2158" i="448"/>
  <c r="G2346" i="448"/>
  <c r="G2706" i="448"/>
  <c r="H2706" i="448" s="1" a="1"/>
  <c r="H2706" i="448" s="1"/>
  <c r="H2705" i="448" s="1" a="1"/>
  <c r="H2705" i="448" s="1"/>
  <c r="G1302" i="448"/>
  <c r="H1302" i="448" s="1" a="1"/>
  <c r="H1302" i="448" s="1"/>
  <c r="H1301" i="448" s="1" a="1"/>
  <c r="H1301" i="448" s="1"/>
  <c r="G44" i="448"/>
  <c r="G84" i="448"/>
  <c r="G34" i="448"/>
  <c r="G2813" i="448"/>
  <c r="G2804" i="448"/>
  <c r="G2818" i="448"/>
  <c r="H2818" i="448" s="1" a="1"/>
  <c r="H2818" i="448" s="1"/>
  <c r="G2809" i="448"/>
  <c r="G543" i="448"/>
  <c r="G353" i="448"/>
  <c r="G483" i="448"/>
  <c r="G540" i="448"/>
  <c r="H540" i="448" s="1" a="1"/>
  <c r="H540" i="448" s="1"/>
  <c r="G3033" i="448"/>
  <c r="H3033" i="448" s="1" a="1"/>
  <c r="H3033" i="448" s="1"/>
  <c r="G3025" i="448"/>
  <c r="H3025" i="448" s="1" a="1"/>
  <c r="H3025" i="448" s="1"/>
  <c r="H3024" i="448" s="1" a="1"/>
  <c r="H3024" i="448" s="1"/>
  <c r="G2368" i="448"/>
  <c r="H2368" i="448" s="1" a="1"/>
  <c r="H2368" i="448" s="1"/>
  <c r="H2367" i="448" s="1" a="1"/>
  <c r="H2367" i="448" s="1"/>
  <c r="H2366" i="448" s="1" a="1"/>
  <c r="H2366" i="448" s="1"/>
  <c r="G2377" i="448"/>
  <c r="H2377" i="448" s="1" a="1"/>
  <c r="H2377" i="448" s="1"/>
  <c r="H2376" i="448" s="1" a="1"/>
  <c r="H2376" i="448" s="1"/>
  <c r="H2375" i="448" s="1" a="1"/>
  <c r="H2375" i="448" s="1"/>
  <c r="G2362" i="448"/>
  <c r="H2362" i="448" s="1" a="1"/>
  <c r="H2362" i="448" s="1"/>
  <c r="H2361" i="448" s="1" a="1"/>
  <c r="H2361" i="448" s="1"/>
  <c r="H2360" i="448" s="1" a="1"/>
  <c r="H2360" i="448" s="1"/>
  <c r="G2392" i="448"/>
  <c r="H2392" i="448" s="1" a="1"/>
  <c r="H2392" i="448" s="1"/>
  <c r="G2374" i="448"/>
  <c r="G2365" i="448"/>
  <c r="H2365" i="448" s="1" a="1"/>
  <c r="H2365" i="448" s="1"/>
  <c r="H2364" i="448" s="1" a="1"/>
  <c r="H2364" i="448" s="1"/>
  <c r="H2363" i="448" s="1" a="1"/>
  <c r="H2363" i="448" s="1"/>
  <c r="G1310" i="448"/>
  <c r="G106" i="448"/>
  <c r="H106" i="448" s="1" a="1"/>
  <c r="H106" i="448" s="1"/>
  <c r="G459" i="448"/>
  <c r="G469" i="448"/>
  <c r="H469" i="448" s="1" a="1"/>
  <c r="H469" i="448" s="1"/>
  <c r="G488" i="448"/>
  <c r="G564" i="448"/>
  <c r="H564" i="448" s="1" a="1"/>
  <c r="H564" i="448" s="1"/>
  <c r="G707" i="448"/>
  <c r="H707" i="448" s="1" a="1"/>
  <c r="H707" i="448" s="1"/>
  <c r="H706" i="448" s="1" a="1"/>
  <c r="H706" i="448" s="1"/>
  <c r="H705" i="448" s="1" a="1"/>
  <c r="H705" i="448" s="1"/>
  <c r="G1109" i="448"/>
  <c r="G1118" i="448"/>
  <c r="G2877" i="448"/>
  <c r="G3073" i="448"/>
  <c r="G10" i="448"/>
  <c r="H10" i="448" s="1" a="1"/>
  <c r="H10" i="448" s="1"/>
  <c r="G26" i="448"/>
  <c r="H26" i="448" s="1" a="1"/>
  <c r="H26" i="448" s="1"/>
  <c r="G18" i="448"/>
  <c r="H18" i="448" s="1" a="1"/>
  <c r="H18" i="448" s="1"/>
  <c r="G3072" i="448"/>
  <c r="G2168" i="448"/>
  <c r="G3078" i="448"/>
  <c r="G2180" i="448"/>
  <c r="G134" i="448"/>
  <c r="G117" i="448"/>
  <c r="G159" i="448"/>
  <c r="G2007" i="448"/>
  <c r="G1700" i="448"/>
  <c r="H1700" i="448" s="1" a="1"/>
  <c r="H1700" i="448" s="1"/>
  <c r="H1699" i="448" s="1" a="1"/>
  <c r="H1699" i="448" s="1"/>
  <c r="G1628" i="448"/>
  <c r="G1727" i="448"/>
  <c r="H1727" i="448" s="1" a="1"/>
  <c r="H1727" i="448" s="1"/>
  <c r="H1726" i="448" s="1" a="1"/>
  <c r="H1726" i="448" s="1"/>
  <c r="G1604" i="448"/>
  <c r="G1625" i="448"/>
  <c r="G1610" i="448"/>
  <c r="G1634" i="448"/>
  <c r="G1579" i="448"/>
  <c r="G1591" i="448"/>
  <c r="G1684" i="448"/>
  <c r="G1613" i="448"/>
  <c r="G1692" i="448"/>
  <c r="G1185" i="448"/>
  <c r="G3027" i="448"/>
  <c r="G3019" i="448"/>
  <c r="G3011" i="448"/>
  <c r="G2159" i="448"/>
  <c r="G2181" i="448"/>
  <c r="H2181" i="448" s="1" a="1"/>
  <c r="H2181" i="448" s="1"/>
  <c r="G2169" i="448"/>
  <c r="H2169" i="448" s="1" a="1"/>
  <c r="H2169" i="448" s="1"/>
  <c r="G419" i="448"/>
  <c r="H419" i="448" s="1" a="1"/>
  <c r="H419" i="448" s="1"/>
  <c r="G224" i="448"/>
  <c r="H224" i="448" s="1" a="1"/>
  <c r="H224" i="448" s="1"/>
  <c r="G1678" i="448"/>
  <c r="H1678" i="448" s="1" a="1"/>
  <c r="H1678" i="448" s="1"/>
  <c r="G1510" i="448"/>
  <c r="H1510" i="448" s="1" a="1"/>
  <c r="H1510" i="448" s="1"/>
  <c r="G1725" i="448"/>
  <c r="H1725" i="448" s="1" a="1"/>
  <c r="H1725" i="448" s="1"/>
  <c r="G1708" i="448"/>
  <c r="H1708" i="448" s="1" a="1"/>
  <c r="H1708" i="448" s="1"/>
  <c r="H1707" i="448" s="1" a="1"/>
  <c r="H1707" i="448" s="1"/>
  <c r="G403" i="448"/>
  <c r="H403" i="448" s="1" a="1"/>
  <c r="H403" i="448" s="1"/>
  <c r="G179" i="448"/>
  <c r="H179" i="448" s="1" a="1"/>
  <c r="H179" i="448" s="1"/>
  <c r="G2956" i="448"/>
  <c r="G2950" i="448"/>
  <c r="G2974" i="448"/>
  <c r="G1903" i="448"/>
  <c r="G1419" i="448"/>
  <c r="G2734" i="448"/>
  <c r="H2734" i="448" s="1" a="1"/>
  <c r="H2734" i="448" s="1"/>
  <c r="H2733" i="448" s="1" a="1"/>
  <c r="H2733" i="448" s="1"/>
  <c r="G2926" i="448"/>
  <c r="H2926" i="448" s="1" a="1"/>
  <c r="H2926" i="448" s="1"/>
  <c r="H2925" i="448" s="1" a="1"/>
  <c r="H2925" i="448" s="1"/>
  <c r="H2924" i="448" s="1" a="1"/>
  <c r="H2924" i="448" s="1"/>
  <c r="G2532" i="448"/>
  <c r="H2532" i="448" s="1" a="1"/>
  <c r="H2532" i="448" s="1"/>
  <c r="G2009" i="448"/>
  <c r="H2009" i="448" s="1" a="1"/>
  <c r="H2009" i="448" s="1"/>
  <c r="G2052" i="448"/>
  <c r="H2052" i="448" s="1" a="1"/>
  <c r="H2052" i="448" s="1"/>
  <c r="G2013" i="448"/>
  <c r="H2013" i="448" s="1" a="1"/>
  <c r="H2013" i="448" s="1"/>
  <c r="G1475" i="448"/>
  <c r="H1475" i="448" s="1" a="1"/>
  <c r="H1475" i="448" s="1"/>
  <c r="G2524" i="448"/>
  <c r="H2524" i="448" s="1" a="1"/>
  <c r="H2524" i="448" s="1"/>
  <c r="G2964" i="448"/>
  <c r="G2946" i="448"/>
  <c r="G2976" i="448"/>
  <c r="G2958" i="448"/>
  <c r="G386" i="448"/>
  <c r="G562" i="448"/>
  <c r="G330" i="448"/>
  <c r="G1130" i="448"/>
  <c r="G1601" i="448"/>
  <c r="G1688" i="448"/>
  <c r="G2187" i="448"/>
  <c r="G471" i="448"/>
  <c r="G499" i="448"/>
  <c r="H499" i="448" s="1" a="1"/>
  <c r="H499" i="448" s="1"/>
  <c r="G1723" i="448"/>
  <c r="G2407" i="448"/>
  <c r="H2407" i="448" s="1" a="1"/>
  <c r="H2407" i="448" s="1"/>
  <c r="H2406" i="448" s="1" a="1"/>
  <c r="H2406" i="448" s="1"/>
  <c r="H2405" i="448" s="1" a="1"/>
  <c r="H2405" i="448" s="1"/>
  <c r="G73" i="448"/>
  <c r="G91" i="448"/>
  <c r="G627" i="448"/>
  <c r="G752" i="448"/>
  <c r="H752" i="448" s="1" a="1"/>
  <c r="H752" i="448" s="1"/>
  <c r="H751" i="448" s="1" a="1"/>
  <c r="H751" i="448" s="1"/>
  <c r="H750" i="448" s="1" a="1"/>
  <c r="H750" i="448" s="1"/>
  <c r="G1121" i="448"/>
  <c r="G2805" i="448"/>
  <c r="G2815" i="448"/>
  <c r="G2962" i="448"/>
  <c r="G3007" i="448"/>
  <c r="G3017" i="448"/>
  <c r="H3017" i="448" s="1" a="1"/>
  <c r="H3017" i="448" s="1"/>
  <c r="G83" i="448"/>
  <c r="G186" i="448"/>
  <c r="G411" i="448"/>
  <c r="H411" i="448" s="1" a="1"/>
  <c r="H411" i="448" s="1"/>
  <c r="G453" i="448"/>
  <c r="H453" i="448" s="1" a="1"/>
  <c r="H453" i="448" s="1"/>
  <c r="G472" i="448"/>
  <c r="G580" i="448"/>
  <c r="H580" i="448" s="1" a="1"/>
  <c r="H580" i="448" s="1"/>
  <c r="G1320" i="448"/>
  <c r="H1320" i="448" s="1" a="1"/>
  <c r="H1320" i="448" s="1"/>
  <c r="G1636" i="448"/>
  <c r="H1636" i="448" s="1" a="1"/>
  <c r="H1636" i="448" s="1"/>
  <c r="G1680" i="448"/>
  <c r="G1706" i="448"/>
  <c r="G2150" i="448"/>
  <c r="G2380" i="448"/>
  <c r="H2380" i="448" s="1" a="1"/>
  <c r="H2380" i="448" s="1"/>
  <c r="H2379" i="448" s="1" a="1"/>
  <c r="H2379" i="448" s="1"/>
  <c r="H2378" i="448" s="1" a="1"/>
  <c r="H2378" i="448" s="1"/>
  <c r="G2952" i="448"/>
  <c r="H2952" i="448" s="1" a="1"/>
  <c r="H2952" i="448" s="1"/>
  <c r="G534" i="448"/>
  <c r="H534" i="448" s="1" a="1"/>
  <c r="H534" i="448" s="1"/>
  <c r="G826" i="448"/>
  <c r="G491" i="448"/>
  <c r="H491" i="448" s="1" a="1"/>
  <c r="H491" i="448" s="1"/>
  <c r="G1308" i="448"/>
  <c r="G3074" i="448"/>
  <c r="G76" i="448"/>
  <c r="H76" i="448" s="1" a="1"/>
  <c r="H76" i="448" s="1"/>
  <c r="H75" i="448" s="1" a="1"/>
  <c r="H75" i="448" s="1"/>
  <c r="G140" i="448"/>
  <c r="H140" i="448" s="1" a="1"/>
  <c r="H140" i="448" s="1"/>
  <c r="G321" i="448"/>
  <c r="G339" i="448"/>
  <c r="H339" i="448" s="1" a="1"/>
  <c r="H339" i="448" s="1"/>
  <c r="G461" i="448"/>
  <c r="H461" i="448" s="1" a="1"/>
  <c r="H461" i="448" s="1"/>
  <c r="G2814" i="448"/>
  <c r="G821" i="448"/>
  <c r="G1575" i="448"/>
  <c r="G2050" i="448"/>
  <c r="G331" i="448"/>
  <c r="H331" i="448" s="1" a="1"/>
  <c r="H331" i="448" s="1"/>
  <c r="G568" i="448"/>
  <c r="H568" i="448" s="1" a="1"/>
  <c r="H568" i="448" s="1"/>
  <c r="G590" i="448"/>
  <c r="G1508" i="448"/>
  <c r="G2188" i="448"/>
  <c r="G2663" i="448"/>
  <c r="H2663" i="448" s="1" a="1"/>
  <c r="H2663" i="448" s="1"/>
  <c r="G74" i="448"/>
  <c r="G165" i="448"/>
  <c r="G173" i="448"/>
  <c r="G323" i="448"/>
  <c r="H323" i="448" s="1" a="1"/>
  <c r="H323" i="448" s="1"/>
  <c r="G426" i="448"/>
  <c r="H426" i="448" s="1" a="1"/>
  <c r="H426" i="448" s="1"/>
  <c r="H425" i="448" s="1" a="1"/>
  <c r="H425" i="448" s="1"/>
  <c r="G482" i="448"/>
  <c r="G628" i="448"/>
  <c r="H628" i="448" s="1" a="1"/>
  <c r="H628" i="448" s="1"/>
  <c r="G897" i="448"/>
  <c r="G1183" i="448"/>
  <c r="H1183" i="448" s="1" a="1"/>
  <c r="H1183" i="448" s="1"/>
  <c r="H1182" i="448" s="1" a="1"/>
  <c r="H1182" i="448" s="1"/>
  <c r="H1181" i="448" s="1" a="1"/>
  <c r="H1181" i="448" s="1"/>
  <c r="G1350" i="448"/>
  <c r="H1350" i="448" s="1" a="1"/>
  <c r="H1350" i="448" s="1"/>
  <c r="G1690" i="448"/>
  <c r="H1690" i="448" s="1" a="1"/>
  <c r="H1690" i="448" s="1"/>
  <c r="G2963" i="448"/>
  <c r="G2986" i="448"/>
  <c r="G3031" i="448"/>
  <c r="G23" i="448"/>
  <c r="G620" i="448"/>
  <c r="H620" i="448" s="1" a="1"/>
  <c r="H620" i="448" s="1"/>
  <c r="H619" i="448" s="1" a="1"/>
  <c r="H619" i="448" s="1"/>
  <c r="H618" i="448" s="1" a="1"/>
  <c r="H618" i="448" s="1"/>
  <c r="H617" i="448" s="1" a="1"/>
  <c r="H617" i="448" s="1"/>
  <c r="G418" i="448"/>
  <c r="G223" i="448"/>
  <c r="G476" i="448"/>
  <c r="G334" i="448"/>
  <c r="G326" i="448"/>
  <c r="G1572" i="448"/>
  <c r="G623" i="448"/>
  <c r="G615" i="448"/>
  <c r="G398" i="448"/>
  <c r="G410" i="448"/>
  <c r="G3081" i="448"/>
  <c r="H3081" i="448" s="1" a="1"/>
  <c r="H3081" i="448" s="1"/>
  <c r="G3076" i="448"/>
  <c r="H3076" i="448" s="1" a="1"/>
  <c r="H3076" i="448" s="1"/>
  <c r="H3075" i="448" s="1" a="1"/>
  <c r="H3075" i="448" s="1"/>
  <c r="G399" i="448"/>
  <c r="H399" i="448" s="1" a="1"/>
  <c r="H399" i="448" s="1"/>
  <c r="G1133" i="448"/>
  <c r="G1672" i="448"/>
  <c r="G2788" i="448"/>
  <c r="G1123" i="448"/>
  <c r="G1111" i="448"/>
  <c r="G111" i="448"/>
  <c r="G101" i="448"/>
  <c r="G51" i="448"/>
  <c r="G149" i="448"/>
  <c r="G2280" i="448"/>
  <c r="G2108" i="448"/>
  <c r="G2276" i="448"/>
  <c r="G2116" i="448"/>
  <c r="G15" i="448"/>
  <c r="G41" i="448"/>
  <c r="G148" i="448"/>
  <c r="G188" i="448"/>
  <c r="H188" i="448" s="1" a="1"/>
  <c r="H188" i="448" s="1"/>
  <c r="H187" i="448" s="1" a="1"/>
  <c r="H187" i="448" s="1"/>
  <c r="G494" i="448"/>
  <c r="G608" i="448"/>
  <c r="H608" i="448" s="1" a="1"/>
  <c r="H608" i="448" s="1"/>
  <c r="G743" i="448"/>
  <c r="H743" i="448" s="1" a="1"/>
  <c r="H743" i="448" s="1"/>
  <c r="H742" i="448" s="1" a="1"/>
  <c r="H742" i="448" s="1"/>
  <c r="H741" i="448" s="1" a="1"/>
  <c r="H741" i="448" s="1"/>
  <c r="G1087" i="448"/>
  <c r="G1313" i="448"/>
  <c r="G1479" i="448"/>
  <c r="H1479" i="448" s="1" a="1"/>
  <c r="H1479" i="448" s="1"/>
  <c r="G1616" i="448"/>
  <c r="G1682" i="448"/>
  <c r="H1682" i="448" s="1" a="1"/>
  <c r="H1682" i="448" s="1"/>
  <c r="G2112" i="448"/>
  <c r="G2944" i="448"/>
  <c r="G432" i="448"/>
  <c r="G344" i="448"/>
  <c r="G2694" i="448"/>
  <c r="H2694" i="448" s="1" a="1"/>
  <c r="H2694" i="448" s="1"/>
  <c r="G1909" i="448"/>
  <c r="H1909" i="448" s="1" a="1"/>
  <c r="H1909" i="448" s="1"/>
  <c r="G1469" i="448"/>
  <c r="H1469" i="448" s="1" a="1"/>
  <c r="H1469" i="448" s="1"/>
  <c r="G2689" i="448"/>
  <c r="H2689" i="448" s="1" a="1"/>
  <c r="H2689" i="448" s="1"/>
  <c r="G1904" i="448"/>
  <c r="H1904" i="448" s="1" a="1"/>
  <c r="H1904" i="448" s="1"/>
  <c r="G1874" i="448"/>
  <c r="H1874" i="448" s="1" a="1"/>
  <c r="H1874" i="448" s="1"/>
  <c r="G2093" i="448"/>
  <c r="H2093" i="448" s="1" a="1"/>
  <c r="H2093" i="448" s="1"/>
  <c r="G1440" i="448"/>
  <c r="H1440" i="448" s="1" a="1"/>
  <c r="H1440" i="448" s="1"/>
  <c r="G2073" i="448"/>
  <c r="H2073" i="448" s="1" a="1"/>
  <c r="H2073" i="448" s="1"/>
  <c r="G2643" i="448"/>
  <c r="H2643" i="448" s="1" a="1"/>
  <c r="H2643" i="448" s="1"/>
  <c r="G2001" i="448"/>
  <c r="H2001" i="448" s="1" a="1"/>
  <c r="H2001" i="448" s="1"/>
  <c r="G135" i="448"/>
  <c r="G118" i="448"/>
  <c r="G413" i="448"/>
  <c r="G622" i="448"/>
  <c r="G86" i="448"/>
  <c r="H86" i="448" s="1" a="1"/>
  <c r="H86" i="448" s="1"/>
  <c r="G130" i="448"/>
  <c r="G303" i="448"/>
  <c r="H303" i="448" s="1" a="1"/>
  <c r="H303" i="448" s="1"/>
  <c r="G414" i="448"/>
  <c r="G428" i="448"/>
  <c r="G485" i="448"/>
  <c r="G548" i="448"/>
  <c r="H548" i="448" s="1" a="1"/>
  <c r="H548" i="448" s="1"/>
  <c r="G572" i="448"/>
  <c r="H572" i="448" s="1" a="1"/>
  <c r="H572" i="448" s="1"/>
  <c r="G755" i="448"/>
  <c r="H755" i="448" s="1" a="1"/>
  <c r="H755" i="448" s="1"/>
  <c r="H754" i="448" s="1" a="1"/>
  <c r="H754" i="448" s="1"/>
  <c r="H753" i="448" s="1" a="1"/>
  <c r="H753" i="448" s="1"/>
  <c r="G1522" i="448"/>
  <c r="H1522" i="448" s="1" a="1"/>
  <c r="H1522" i="448" s="1"/>
  <c r="H1521" i="448" s="1" a="1"/>
  <c r="H1521" i="448" s="1"/>
  <c r="G1713" i="448"/>
  <c r="G1869" i="448"/>
  <c r="H1869" i="448" s="1" a="1"/>
  <c r="H1869" i="448" s="1"/>
  <c r="G1894" i="448"/>
  <c r="H1894" i="448" s="1" a="1"/>
  <c r="H1894" i="448" s="1"/>
  <c r="G2164" i="448"/>
  <c r="G2389" i="448"/>
  <c r="H2389" i="448" s="1" a="1"/>
  <c r="H2389" i="448" s="1"/>
  <c r="H2388" i="448" s="1" a="1"/>
  <c r="H2388" i="448" s="1"/>
  <c r="H2387" i="448" s="1" a="1"/>
  <c r="H2387" i="448" s="1"/>
  <c r="G2837" i="448"/>
  <c r="G1091" i="448"/>
  <c r="H1091" i="448" s="1" a="1"/>
  <c r="H1091" i="448" s="1"/>
  <c r="G2838" i="448"/>
  <c r="G2868" i="448"/>
  <c r="G2467" i="448"/>
  <c r="G2087" i="448"/>
  <c r="G1873" i="448"/>
  <c r="G2000" i="448"/>
  <c r="G1918" i="448"/>
  <c r="G2715" i="448"/>
  <c r="H2715" i="448" s="1" a="1"/>
  <c r="H2715" i="448" s="1"/>
  <c r="H2714" i="448" s="1" a="1"/>
  <c r="H2714" i="448" s="1"/>
  <c r="H2713" i="448" s="1" a="1"/>
  <c r="H2713" i="448" s="1"/>
  <c r="G2555" i="448"/>
  <c r="G2726" i="448"/>
  <c r="H2726" i="448" s="1" a="1"/>
  <c r="H2726" i="448" s="1"/>
  <c r="H2725" i="448" s="1" a="1"/>
  <c r="H2725" i="448" s="1"/>
  <c r="H2724" i="448" s="1" a="1"/>
  <c r="H2724" i="448" s="1"/>
  <c r="H2723" i="448" s="1" a="1"/>
  <c r="H2723" i="448" s="1"/>
  <c r="G391" i="448"/>
  <c r="G468" i="448"/>
  <c r="G460" i="448"/>
  <c r="G367" i="448"/>
  <c r="G318" i="448"/>
  <c r="G306" i="448"/>
  <c r="G298" i="448"/>
  <c r="G440" i="448"/>
  <c r="G2222" i="448"/>
  <c r="G2741" i="448"/>
  <c r="H2741" i="448" s="1" a="1"/>
  <c r="H2741" i="448" s="1"/>
  <c r="G687" i="448"/>
  <c r="H687" i="448" s="1" a="1"/>
  <c r="H687" i="448" s="1"/>
  <c r="G127" i="448"/>
  <c r="G30" i="448"/>
  <c r="G544" i="448"/>
  <c r="G566" i="448"/>
  <c r="G1186" i="448"/>
  <c r="H1186" i="448" s="1" a="1"/>
  <c r="H1186" i="448" s="1"/>
  <c r="G1592" i="448"/>
  <c r="G1629" i="448"/>
  <c r="H1629" i="448" s="1" a="1"/>
  <c r="H1629" i="448" s="1"/>
  <c r="G1648" i="448"/>
  <c r="H1648" i="448" s="1" a="1"/>
  <c r="H1648" i="448" s="1"/>
  <c r="G1693" i="448"/>
  <c r="G2085" i="448"/>
  <c r="G2810" i="448"/>
  <c r="H2810" i="448" s="1" a="1"/>
  <c r="H2810" i="448" s="1"/>
  <c r="G2277" i="448"/>
  <c r="H2277" i="448" s="1" a="1"/>
  <c r="H2277" i="448" s="1"/>
  <c r="G1745" i="448"/>
  <c r="H1745" i="448" s="1" a="1"/>
  <c r="H1745" i="448" s="1"/>
  <c r="H1744" i="448" s="1" a="1"/>
  <c r="H1744" i="448" s="1"/>
  <c r="H1743" i="448" s="1" a="1"/>
  <c r="H1743" i="448" s="1"/>
  <c r="G448" i="448"/>
  <c r="G1127" i="448"/>
  <c r="H1127" i="448" s="1" a="1"/>
  <c r="H1127" i="448" s="1"/>
  <c r="G371" i="448"/>
  <c r="G2109" i="448"/>
  <c r="H2109" i="448" s="1" a="1"/>
  <c r="H2109" i="448" s="1"/>
  <c r="G2191" i="448"/>
  <c r="H2191" i="448" s="1" a="1"/>
  <c r="H2191" i="448" s="1"/>
  <c r="H2190" i="448" s="1" a="1"/>
  <c r="H2190" i="448" s="1"/>
  <c r="G60" i="448"/>
  <c r="G484" i="448"/>
  <c r="G792" i="448"/>
  <c r="H792" i="448" s="1" a="1"/>
  <c r="H792" i="448" s="1"/>
  <c r="H791" i="448" s="1" a="1"/>
  <c r="H791" i="448" s="1"/>
  <c r="H790" i="448" s="1" a="1"/>
  <c r="H790" i="448" s="1"/>
  <c r="H789" i="448" s="1" a="1"/>
  <c r="H789" i="448" s="1"/>
  <c r="G1103" i="448"/>
  <c r="H1103" i="448" s="1" a="1"/>
  <c r="H1103" i="448" s="1"/>
  <c r="G1580" i="448"/>
  <c r="G2647" i="448"/>
  <c r="G2828" i="448"/>
  <c r="G1714" i="448"/>
  <c r="G1651" i="448"/>
  <c r="H1651" i="448" s="1" a="1"/>
  <c r="H1651" i="448" s="1"/>
  <c r="G1614" i="448"/>
  <c r="H1614" i="448" s="1" a="1"/>
  <c r="H1614" i="448" s="1"/>
  <c r="G1639" i="448"/>
  <c r="H1639" i="448" s="1" a="1"/>
  <c r="H1639" i="448" s="1"/>
  <c r="G1623" i="448"/>
  <c r="H1623" i="448" s="1" a="1"/>
  <c r="H1623" i="448" s="1"/>
  <c r="G1642" i="448"/>
  <c r="H1642" i="448" s="1" a="1"/>
  <c r="H1642" i="448" s="1"/>
  <c r="G1617" i="448"/>
  <c r="H1617" i="448" s="1" a="1"/>
  <c r="H1617" i="448" s="1"/>
  <c r="G1576" i="448"/>
  <c r="G1314" i="448"/>
  <c r="A286" i="448"/>
  <c r="A37" i="448"/>
  <c r="A77" i="448"/>
  <c r="A431" i="448"/>
  <c r="A541" i="448"/>
  <c r="A800" i="448"/>
  <c r="A802" i="448"/>
  <c r="A801" i="448"/>
  <c r="A203" i="448"/>
  <c r="A254" i="448"/>
  <c r="A266" i="448"/>
  <c r="A830" i="448"/>
  <c r="A573" i="448"/>
  <c r="A895" i="448"/>
  <c r="A481" i="448"/>
  <c r="A565" i="448"/>
  <c r="A674" i="448"/>
  <c r="A577" i="448"/>
  <c r="A634" i="448"/>
  <c r="A774" i="448"/>
  <c r="A141" i="448"/>
  <c r="A145" i="448"/>
  <c r="A290" i="448"/>
  <c r="A365" i="448"/>
  <c r="A369" i="448"/>
  <c r="A373" i="448"/>
  <c r="A1301" i="448"/>
  <c r="A222" i="448"/>
  <c r="A223" i="448"/>
  <c r="A221" i="448"/>
  <c r="A224" i="448"/>
  <c r="A597" i="448"/>
  <c r="A1074" i="448"/>
  <c r="A705" i="448"/>
  <c r="A636" i="448"/>
  <c r="A693" i="448"/>
  <c r="A684" i="448"/>
  <c r="A688" i="448"/>
  <c r="A795" i="448"/>
  <c r="A1416" i="448"/>
  <c r="A1080" i="448"/>
  <c r="A1092" i="448"/>
  <c r="A1104" i="448"/>
  <c r="A1116" i="448"/>
  <c r="A1128" i="448"/>
  <c r="A487" i="448"/>
  <c r="A561" i="448"/>
  <c r="A589" i="448"/>
  <c r="A672" i="448"/>
  <c r="A1168" i="448"/>
  <c r="A1158" i="448"/>
  <c r="A601" i="448"/>
  <c r="A1162" i="448"/>
  <c r="A1214" i="448"/>
  <c r="A209" i="448"/>
  <c r="A210" i="448"/>
  <c r="A1210" i="448"/>
  <c r="A538" i="448"/>
  <c r="A546" i="448"/>
  <c r="A692" i="448"/>
  <c r="A711" i="448"/>
  <c r="A1142" i="448"/>
  <c r="A765" i="448"/>
  <c r="A1217" i="448"/>
  <c r="A1258" i="448"/>
  <c r="A1488" i="448"/>
  <c r="A771" i="448"/>
  <c r="A1160" i="448"/>
  <c r="A1164" i="448"/>
  <c r="A1170" i="448"/>
  <c r="A1472" i="448"/>
  <c r="A1346" i="448"/>
  <c r="A1172" i="448"/>
  <c r="A1189" i="448"/>
  <c r="A1221" i="448"/>
  <c r="A1262" i="448"/>
  <c r="A1174" i="448"/>
  <c r="A1997" i="448"/>
  <c r="A680" i="448"/>
  <c r="A806" i="448"/>
  <c r="A1184" i="448"/>
  <c r="A1200" i="448"/>
  <c r="A1207" i="448"/>
  <c r="A1450" i="448"/>
  <c r="A1274" i="448"/>
  <c r="A1436" i="448"/>
  <c r="A1270" i="448"/>
  <c r="A815" i="448"/>
  <c r="A819" i="448"/>
  <c r="A1212" i="448"/>
  <c r="A1266" i="448"/>
  <c r="A1507" i="448"/>
  <c r="A1521" i="448"/>
  <c r="A1476" i="448"/>
  <c r="A1482" i="448"/>
  <c r="A452" i="448"/>
  <c r="A54" i="448"/>
  <c r="A168" i="448"/>
  <c r="A1459" i="448"/>
  <c r="A1545" i="448"/>
  <c r="A74" i="448"/>
  <c r="A161" i="448"/>
  <c r="A759" i="448"/>
  <c r="A781" i="448"/>
  <c r="A789" i="448"/>
  <c r="A793" i="448"/>
  <c r="A797" i="448"/>
  <c r="A1171" i="448"/>
  <c r="A1180" i="448"/>
  <c r="A1341" i="448"/>
  <c r="A121" i="448"/>
  <c r="A106" i="448"/>
  <c r="A753" i="448"/>
  <c r="A809" i="448"/>
  <c r="A828" i="448"/>
  <c r="A1256" i="448"/>
  <c r="A1260" i="448"/>
  <c r="A1264" i="448"/>
  <c r="A1268" i="448"/>
  <c r="A1447" i="448"/>
  <c r="A1705" i="448"/>
  <c r="A1712" i="448"/>
  <c r="A1716" i="448"/>
  <c r="A1763" i="448"/>
  <c r="A1768" i="448"/>
  <c r="A2084" i="448"/>
  <c r="A1275" i="448"/>
  <c r="A1307" i="448"/>
  <c r="A1640" i="448"/>
  <c r="A1770" i="448"/>
  <c r="G1650" i="448"/>
  <c r="G1647" i="448"/>
  <c r="G1644" i="448"/>
  <c r="G1641" i="448"/>
  <c r="G1638" i="448"/>
  <c r="G1653" i="448"/>
  <c r="G297" i="448"/>
  <c r="G3003" i="448"/>
  <c r="A1282" i="448"/>
  <c r="A1312" i="448"/>
  <c r="A1316" i="448"/>
  <c r="A1431" i="448"/>
  <c r="A1462" i="448"/>
  <c r="A1465" i="448"/>
  <c r="A1492" i="448"/>
  <c r="A375" i="448"/>
  <c r="A292" i="448"/>
  <c r="A296" i="448"/>
  <c r="A295" i="448"/>
  <c r="A294" i="448"/>
  <c r="A297" i="448"/>
  <c r="A293" i="448"/>
  <c r="A741" i="448"/>
  <c r="A762" i="448"/>
  <c r="A803" i="448"/>
  <c r="A832" i="448"/>
  <c r="A1173" i="448"/>
  <c r="A1177" i="448"/>
  <c r="A1181" i="448"/>
  <c r="A1191" i="448"/>
  <c r="A1219" i="448"/>
  <c r="A1555" i="448"/>
  <c r="A14" i="448"/>
  <c r="A41" i="448"/>
  <c r="A1297" i="448"/>
  <c r="A1500" i="448"/>
  <c r="A1570" i="448"/>
  <c r="A1574" i="448"/>
  <c r="A1578" i="448"/>
  <c r="A1582" i="448"/>
  <c r="A1590" i="448"/>
  <c r="A2142" i="448"/>
  <c r="A2056" i="448"/>
  <c r="A2138" i="448"/>
  <c r="A2463" i="448"/>
  <c r="A2190" i="448"/>
  <c r="A2459" i="448"/>
  <c r="A1652" i="448"/>
  <c r="A1865" i="448"/>
  <c r="A2094" i="448"/>
  <c r="A2445" i="448"/>
  <c r="A7" i="448"/>
  <c r="A18" i="448"/>
  <c r="A44" i="448"/>
  <c r="A581" i="448"/>
  <c r="A690" i="448"/>
  <c r="A750" i="448"/>
  <c r="A1197" i="448"/>
  <c r="A1293" i="448"/>
  <c r="A1543" i="448"/>
  <c r="A1549" i="448"/>
  <c r="A1559" i="448"/>
  <c r="A1597" i="448"/>
  <c r="A1600" i="448"/>
  <c r="A1603" i="448"/>
  <c r="A1643" i="448"/>
  <c r="A2425" i="448"/>
  <c r="A34" i="448"/>
  <c r="A111" i="448"/>
  <c r="A267" i="448"/>
  <c r="A678" i="448"/>
  <c r="A682" i="448"/>
  <c r="A744" i="448"/>
  <c r="A1194" i="448"/>
  <c r="A1277" i="448"/>
  <c r="A1286" i="448"/>
  <c r="A1741" i="448"/>
  <c r="A1761" i="448"/>
  <c r="A1890" i="448"/>
  <c r="A2120" i="448"/>
  <c r="A2274" i="448"/>
  <c r="A1504" i="448"/>
  <c r="A1523" i="448"/>
  <c r="A1569" i="448"/>
  <c r="A1627" i="448"/>
  <c r="A1637" i="448"/>
  <c r="A1791" i="448"/>
  <c r="A2069" i="448"/>
  <c r="A2134" i="448"/>
  <c r="A2162" i="448"/>
  <c r="A61" i="448"/>
  <c r="A195" i="448"/>
  <c r="A352" i="448"/>
  <c r="A2130" i="448"/>
  <c r="A2149" i="448"/>
  <c r="A2215" i="448"/>
  <c r="A2417" i="448"/>
  <c r="A2427" i="448"/>
  <c r="A2447" i="448"/>
  <c r="A2461" i="448"/>
  <c r="A51" i="448"/>
  <c r="A240" i="448"/>
  <c r="A1609" i="448"/>
  <c r="A1612" i="448"/>
  <c r="A1615" i="448"/>
  <c r="A1621" i="448"/>
  <c r="A1630" i="448"/>
  <c r="A1728" i="448"/>
  <c r="A1757" i="448"/>
  <c r="A1855" i="448"/>
  <c r="A2002" i="448"/>
  <c r="A2006" i="448"/>
  <c r="A2010" i="448"/>
  <c r="A2022" i="448"/>
  <c r="A1486" i="448"/>
  <c r="A1490" i="448"/>
  <c r="A1496" i="448"/>
  <c r="A1502" i="448"/>
  <c r="A1506" i="448"/>
  <c r="A1525" i="448"/>
  <c r="A1565" i="448"/>
  <c r="A1765" i="448"/>
  <c r="A2053" i="448"/>
  <c r="A2089" i="448"/>
  <c r="A2103" i="448"/>
  <c r="A2278" i="448"/>
  <c r="A2282" i="448"/>
  <c r="A2341" i="448"/>
  <c r="A2378" i="448"/>
  <c r="A307" i="448"/>
  <c r="A1438" i="448"/>
  <c r="A2106" i="448"/>
  <c r="A2110" i="448"/>
  <c r="A2114" i="448"/>
  <c r="A2118" i="448"/>
  <c r="A2128" i="448"/>
  <c r="A2132" i="448"/>
  <c r="A2136" i="448"/>
  <c r="A2140" i="448"/>
  <c r="A2144" i="448"/>
  <c r="A2148" i="448"/>
  <c r="A2357" i="448"/>
  <c r="A2366" i="448"/>
  <c r="A1722" i="448"/>
  <c r="A1726" i="448"/>
  <c r="A1746" i="448"/>
  <c r="A2049" i="448"/>
  <c r="A2311" i="448"/>
  <c r="A1272" i="448"/>
  <c r="A1280" i="448"/>
  <c r="A1284" i="448"/>
  <c r="A1562" i="448"/>
  <c r="A1633" i="448"/>
  <c r="A1646" i="448"/>
  <c r="A1663" i="448"/>
  <c r="A1743" i="448"/>
  <c r="A1905" i="448"/>
  <c r="A2197" i="448"/>
  <c r="A2221" i="448"/>
  <c r="A2296" i="448"/>
  <c r="A2146" i="448"/>
  <c r="A2157" i="448"/>
  <c r="A2179" i="448"/>
  <c r="A2186" i="448"/>
  <c r="A2290" i="448"/>
  <c r="A2345" i="448"/>
  <c r="G374" i="448"/>
  <c r="G563" i="448"/>
  <c r="G567" i="448"/>
  <c r="G571" i="448"/>
  <c r="G575" i="448"/>
  <c r="G579" i="448"/>
  <c r="G583" i="448"/>
  <c r="G587" i="448"/>
  <c r="G591" i="448"/>
  <c r="G599" i="448"/>
  <c r="A33" i="448"/>
  <c r="A50" i="448"/>
  <c r="A94" i="448"/>
  <c r="A165" i="448"/>
  <c r="A334" i="448"/>
  <c r="A10" i="448"/>
  <c r="A30" i="448"/>
  <c r="A131" i="448"/>
  <c r="A319" i="448"/>
  <c r="A5" i="448"/>
  <c r="A16" i="448"/>
  <c r="A22" i="448"/>
  <c r="A36" i="448"/>
  <c r="A39" i="448"/>
  <c r="A56" i="448"/>
  <c r="A59" i="448"/>
  <c r="A76" i="448"/>
  <c r="A79" i="448"/>
  <c r="A82" i="448"/>
  <c r="A85" i="448"/>
  <c r="A88" i="448"/>
  <c r="A91" i="448"/>
  <c r="A100" i="448"/>
  <c r="A113" i="448"/>
  <c r="A116" i="448"/>
  <c r="A119" i="448"/>
  <c r="A323" i="448"/>
  <c r="A624" i="448"/>
  <c r="A2695" i="448"/>
  <c r="A416" i="448"/>
  <c r="A13" i="448"/>
  <c r="A73" i="448"/>
  <c r="A134" i="448"/>
  <c r="A206" i="448"/>
  <c r="A360" i="448"/>
  <c r="A8" i="448"/>
  <c r="A25" i="448"/>
  <c r="A28" i="448"/>
  <c r="A45" i="448"/>
  <c r="A48" i="448"/>
  <c r="A62" i="448"/>
  <c r="A65" i="448"/>
  <c r="A68" i="448"/>
  <c r="A71" i="448"/>
  <c r="A129" i="448"/>
  <c r="A155" i="448"/>
  <c r="A200" i="448"/>
  <c r="A261" i="448"/>
  <c r="A305" i="448"/>
  <c r="A402" i="448"/>
  <c r="A533" i="448"/>
  <c r="A1649" i="448"/>
  <c r="A1671" i="448"/>
  <c r="A1675" i="448"/>
  <c r="A1679" i="448"/>
  <c r="A1683" i="448"/>
  <c r="A1687" i="448"/>
  <c r="A1691" i="448"/>
  <c r="A1699" i="448"/>
  <c r="A1860" i="448"/>
  <c r="A1895" i="448"/>
  <c r="A2302" i="448"/>
  <c r="A2348" i="448"/>
  <c r="A2375" i="448"/>
  <c r="A419" i="448"/>
  <c r="A95" i="448"/>
  <c r="A132" i="448"/>
  <c r="A148" i="448"/>
  <c r="A177" i="448"/>
  <c r="A302" i="448"/>
  <c r="A339" i="448"/>
  <c r="A388" i="448"/>
  <c r="A435" i="448"/>
  <c r="A489" i="448"/>
  <c r="A2167" i="448"/>
  <c r="A2171" i="448"/>
  <c r="A2192" i="448"/>
  <c r="A2284" i="448"/>
  <c r="A2292" i="448"/>
  <c r="A2298" i="448"/>
  <c r="A2727" i="448"/>
  <c r="A126" i="448"/>
  <c r="A138" i="448"/>
  <c r="A43" i="448"/>
  <c r="A86" i="448"/>
  <c r="A117" i="448"/>
  <c r="A123" i="448"/>
  <c r="A186" i="448"/>
  <c r="A299" i="448"/>
  <c r="A347" i="448"/>
  <c r="A2372" i="448"/>
  <c r="A418" i="448"/>
  <c r="A98" i="448"/>
  <c r="A17" i="448"/>
  <c r="A60" i="448"/>
  <c r="A80" i="448"/>
  <c r="A9" i="448"/>
  <c r="A12" i="448"/>
  <c r="A26" i="448"/>
  <c r="A29" i="448"/>
  <c r="A32" i="448"/>
  <c r="A46" i="448"/>
  <c r="A49" i="448"/>
  <c r="A63" i="448"/>
  <c r="A66" i="448"/>
  <c r="A69" i="448"/>
  <c r="A72" i="448"/>
  <c r="A130" i="448"/>
  <c r="A142" i="448"/>
  <c r="A228" i="448"/>
  <c r="A411" i="448"/>
  <c r="A2697" i="448"/>
  <c r="A2843" i="448"/>
  <c r="A135" i="448"/>
  <c r="A6" i="448"/>
  <c r="A23" i="448"/>
  <c r="A40" i="448"/>
  <c r="A83" i="448"/>
  <c r="A89" i="448"/>
  <c r="A120" i="448"/>
  <c r="A4" i="448"/>
  <c r="A15" i="448"/>
  <c r="A21" i="448"/>
  <c r="A35" i="448"/>
  <c r="A38" i="448"/>
  <c r="A52" i="448"/>
  <c r="A55" i="448"/>
  <c r="A58" i="448"/>
  <c r="A75" i="448"/>
  <c r="A78" i="448"/>
  <c r="A96" i="448"/>
  <c r="A99" i="448"/>
  <c r="A102" i="448"/>
  <c r="A109" i="448"/>
  <c r="A112" i="448"/>
  <c r="A115" i="448"/>
  <c r="A136" i="448"/>
  <c r="A139" i="448"/>
  <c r="A146" i="448"/>
  <c r="A149" i="448"/>
  <c r="A171" i="448"/>
  <c r="A214" i="448"/>
  <c r="A236" i="448"/>
  <c r="A382" i="448"/>
  <c r="A429" i="448"/>
  <c r="A444" i="448"/>
  <c r="A467" i="448"/>
  <c r="A1624" i="448"/>
  <c r="A1669" i="448"/>
  <c r="A1772" i="448"/>
  <c r="A1840" i="448"/>
  <c r="A1870" i="448"/>
  <c r="A1900" i="448"/>
  <c r="A2031" i="448"/>
  <c r="A2035" i="448"/>
  <c r="A2337" i="448"/>
  <c r="A417" i="448"/>
  <c r="A2329" i="448"/>
  <c r="A2733" i="448"/>
  <c r="A389" i="448"/>
  <c r="A2309" i="448"/>
  <c r="A2352" i="448"/>
  <c r="A2363" i="448"/>
  <c r="A2390" i="448"/>
  <c r="A2685" i="448"/>
  <c r="A2710" i="448"/>
  <c r="A2719" i="448"/>
  <c r="A392" i="448"/>
  <c r="A110" i="448"/>
  <c r="A128" i="448"/>
  <c r="A162" i="448"/>
  <c r="A178" i="448"/>
  <c r="A216" i="448"/>
  <c r="A226" i="448"/>
  <c r="A263" i="448"/>
  <c r="A349" i="448"/>
  <c r="A356" i="448"/>
  <c r="A378" i="448"/>
  <c r="A414" i="448"/>
  <c r="A476" i="448"/>
  <c r="A479" i="448"/>
  <c r="A2777" i="448"/>
  <c r="A2811" i="448"/>
  <c r="A2300" i="448"/>
  <c r="A2314" i="448"/>
  <c r="A2323" i="448"/>
  <c r="A2333" i="448"/>
  <c r="A2339" i="448"/>
  <c r="A2343" i="448"/>
  <c r="A2360" i="448"/>
  <c r="A2469" i="448"/>
  <c r="A2552" i="448"/>
  <c r="A2771" i="448"/>
  <c r="A391" i="448"/>
  <c r="A20" i="448"/>
  <c r="A31" i="448"/>
  <c r="A42" i="448"/>
  <c r="A53" i="448"/>
  <c r="A64" i="448"/>
  <c r="A90" i="448"/>
  <c r="A93" i="448"/>
  <c r="A105" i="448"/>
  <c r="A108" i="448"/>
  <c r="A140" i="448"/>
  <c r="A143" i="448"/>
  <c r="A153" i="448"/>
  <c r="A160" i="448"/>
  <c r="A172" i="448"/>
  <c r="A198" i="448"/>
  <c r="A249" i="448"/>
  <c r="A287" i="448"/>
  <c r="A314" i="448"/>
  <c r="A364" i="448"/>
  <c r="A439" i="448"/>
  <c r="A2767" i="448"/>
  <c r="A2763" i="448"/>
  <c r="A390" i="448"/>
  <c r="A150" i="448"/>
  <c r="A167" i="448"/>
  <c r="A170" i="448"/>
  <c r="A192" i="448"/>
  <c r="A301" i="448"/>
  <c r="A337" i="448"/>
  <c r="A344" i="448"/>
  <c r="A409" i="448"/>
  <c r="A433" i="448"/>
  <c r="A496" i="448"/>
  <c r="A580" i="448"/>
  <c r="A2644" i="448"/>
  <c r="A2919" i="448"/>
  <c r="A2369" i="448"/>
  <c r="A2387" i="448"/>
  <c r="A2464" i="448"/>
  <c r="A2639" i="448"/>
  <c r="A2690" i="448"/>
  <c r="A70" i="448"/>
  <c r="A84" i="448"/>
  <c r="A101" i="448"/>
  <c r="A104" i="448"/>
  <c r="A118" i="448"/>
  <c r="A127" i="448"/>
  <c r="A154" i="448"/>
  <c r="A157" i="448"/>
  <c r="A239" i="448"/>
  <c r="A253" i="448"/>
  <c r="A281" i="448"/>
  <c r="A355" i="448"/>
  <c r="A358" i="448"/>
  <c r="A403" i="448"/>
  <c r="A410" i="448"/>
  <c r="A413" i="448"/>
  <c r="A426" i="448"/>
  <c r="A453" i="448"/>
  <c r="A486" i="448"/>
  <c r="A545" i="448"/>
  <c r="A2901" i="448"/>
  <c r="A2960" i="448"/>
  <c r="A2833" i="448"/>
  <c r="A387" i="448"/>
  <c r="A430" i="448"/>
  <c r="A473" i="448"/>
  <c r="A2723" i="448"/>
  <c r="A2731" i="448"/>
  <c r="A2739" i="448"/>
  <c r="A2757" i="448"/>
  <c r="A2765" i="448"/>
  <c r="A2769" i="448"/>
  <c r="A2773" i="448"/>
  <c r="A2405" i="448"/>
  <c r="A2517" i="448"/>
  <c r="A2521" i="448"/>
  <c r="A2529" i="448"/>
  <c r="A2547" i="448"/>
  <c r="A2659" i="448"/>
  <c r="A174" i="448"/>
  <c r="A196" i="448"/>
  <c r="A199" i="448"/>
  <c r="A202" i="448"/>
  <c r="A208" i="448"/>
  <c r="A234" i="448"/>
  <c r="A244" i="448"/>
  <c r="A315" i="448"/>
  <c r="A322" i="448"/>
  <c r="A333" i="448"/>
  <c r="A363" i="448"/>
  <c r="A374" i="448"/>
  <c r="A398" i="448"/>
  <c r="A441" i="448"/>
  <c r="A448" i="448"/>
  <c r="A590" i="448"/>
  <c r="A2897" i="448"/>
  <c r="A2713" i="448"/>
  <c r="A2716" i="448"/>
  <c r="A2820" i="448"/>
  <c r="A2907" i="448"/>
  <c r="A81" i="448"/>
  <c r="A92" i="448"/>
  <c r="A103" i="448"/>
  <c r="A114" i="448"/>
  <c r="A122" i="448"/>
  <c r="A125" i="448"/>
  <c r="A133" i="448"/>
  <c r="A144" i="448"/>
  <c r="A147" i="448"/>
  <c r="A156" i="448"/>
  <c r="A159" i="448"/>
  <c r="A173" i="448"/>
  <c r="A176" i="448"/>
  <c r="A212" i="448"/>
  <c r="A238" i="448"/>
  <c r="A251" i="448"/>
  <c r="A265" i="448"/>
  <c r="A313" i="448"/>
  <c r="A335" i="448"/>
  <c r="A338" i="448"/>
  <c r="A348" i="448"/>
  <c r="A351" i="448"/>
  <c r="A376" i="448"/>
  <c r="A386" i="448"/>
  <c r="A428" i="448"/>
  <c r="A434" i="448"/>
  <c r="A440" i="448"/>
  <c r="A443" i="448"/>
  <c r="A449" i="448"/>
  <c r="A485" i="448"/>
  <c r="A488" i="448"/>
  <c r="A575" i="448"/>
  <c r="A901" i="448"/>
  <c r="A1915" i="448"/>
  <c r="A2028" i="448"/>
  <c r="A2043" i="448"/>
  <c r="A2883" i="448"/>
  <c r="A2932" i="448"/>
  <c r="A179" i="448"/>
  <c r="A187" i="448"/>
  <c r="A190" i="448"/>
  <c r="A193" i="448"/>
  <c r="A205" i="448"/>
  <c r="A232" i="448"/>
  <c r="A291" i="448"/>
  <c r="A303" i="448"/>
  <c r="A326" i="448"/>
  <c r="A329" i="448"/>
  <c r="A367" i="448"/>
  <c r="A370" i="448"/>
  <c r="A383" i="448"/>
  <c r="A456" i="448"/>
  <c r="A469" i="448"/>
  <c r="A491" i="448"/>
  <c r="A494" i="448"/>
  <c r="A529" i="448"/>
  <c r="A543" i="448"/>
  <c r="A572" i="448"/>
  <c r="A586" i="448"/>
  <c r="A600" i="448"/>
  <c r="A607" i="448"/>
  <c r="A632" i="448"/>
  <c r="A664" i="448"/>
  <c r="A2917" i="448"/>
  <c r="A615" i="448"/>
  <c r="A668" i="448"/>
  <c r="A2705" i="448"/>
  <c r="A2889" i="448"/>
  <c r="A2893" i="448"/>
  <c r="A804" i="448"/>
  <c r="A1095" i="448"/>
  <c r="A2778" i="448"/>
  <c r="A2786" i="448"/>
  <c r="A2794" i="448"/>
  <c r="A2802" i="448"/>
  <c r="A2909" i="448"/>
  <c r="A2942" i="448"/>
  <c r="A137" i="448"/>
  <c r="A163" i="448"/>
  <c r="A166" i="448"/>
  <c r="A188" i="448"/>
  <c r="A194" i="448"/>
  <c r="A230" i="448"/>
  <c r="A246" i="448"/>
  <c r="A289" i="448"/>
  <c r="A321" i="448"/>
  <c r="A327" i="448"/>
  <c r="A362" i="448"/>
  <c r="A368" i="448"/>
  <c r="A401" i="448"/>
  <c r="A421" i="448"/>
  <c r="A457" i="448"/>
  <c r="A464" i="448"/>
  <c r="A495" i="448"/>
  <c r="A498" i="448"/>
  <c r="A544" i="448"/>
  <c r="A570" i="448"/>
  <c r="A584" i="448"/>
  <c r="A598" i="448"/>
  <c r="A623" i="448"/>
  <c r="A633" i="448"/>
  <c r="A798" i="448"/>
  <c r="A2702" i="448"/>
  <c r="A2873" i="448"/>
  <c r="A2927" i="448"/>
  <c r="A2934" i="448"/>
  <c r="A461" i="448"/>
  <c r="A484" i="448"/>
  <c r="A563" i="448"/>
  <c r="A616" i="448"/>
  <c r="A673" i="448"/>
  <c r="A436" i="448"/>
  <c r="A445" i="448"/>
  <c r="A468" i="448"/>
  <c r="A471" i="448"/>
  <c r="A490" i="448"/>
  <c r="A493" i="448"/>
  <c r="A531" i="448"/>
  <c r="A542" i="448"/>
  <c r="A548" i="448"/>
  <c r="A588" i="448"/>
  <c r="A602" i="448"/>
  <c r="A631" i="448"/>
  <c r="A677" i="448"/>
  <c r="A2039" i="448"/>
  <c r="A2046" i="448"/>
  <c r="A2699" i="448"/>
  <c r="A2891" i="448"/>
  <c r="A2924" i="448"/>
  <c r="A237" i="448"/>
  <c r="A242" i="448"/>
  <c r="A255" i="448"/>
  <c r="A269" i="448"/>
  <c r="A306" i="448"/>
  <c r="A318" i="448"/>
  <c r="A331" i="448"/>
  <c r="A341" i="448"/>
  <c r="A346" i="448"/>
  <c r="A354" i="448"/>
  <c r="A359" i="448"/>
  <c r="A372" i="448"/>
  <c r="A380" i="448"/>
  <c r="A397" i="448"/>
  <c r="A399" i="448"/>
  <c r="A451" i="448"/>
  <c r="A459" i="448"/>
  <c r="A483" i="448"/>
  <c r="A526" i="448"/>
  <c r="A528" i="448"/>
  <c r="A536" i="448"/>
  <c r="A568" i="448"/>
  <c r="A578" i="448"/>
  <c r="A583" i="448"/>
  <c r="A614" i="448"/>
  <c r="A619" i="448"/>
  <c r="A622" i="448"/>
  <c r="A630" i="448"/>
  <c r="A641" i="448"/>
  <c r="A687" i="448"/>
  <c r="A499" i="448"/>
  <c r="A534" i="448"/>
  <c r="A539" i="448"/>
  <c r="A566" i="448"/>
  <c r="A571" i="448"/>
  <c r="A576" i="448"/>
  <c r="A591" i="448"/>
  <c r="A603" i="448"/>
  <c r="A608" i="448"/>
  <c r="A639" i="448"/>
  <c r="A665" i="448"/>
  <c r="A685" i="448"/>
  <c r="A1103" i="448"/>
  <c r="A2885" i="448"/>
  <c r="A2903" i="448"/>
  <c r="A2913" i="448"/>
  <c r="A3034" i="448"/>
  <c r="A2863" i="448"/>
  <c r="A2895" i="448"/>
  <c r="A2920" i="448"/>
  <c r="A2954" i="448"/>
  <c r="A2983" i="448"/>
  <c r="A3001" i="448"/>
  <c r="A3051" i="448"/>
  <c r="A447" i="448"/>
  <c r="A455" i="448"/>
  <c r="A460" i="448"/>
  <c r="A472" i="448"/>
  <c r="A477" i="448"/>
  <c r="A482" i="448"/>
  <c r="A527" i="448"/>
  <c r="A532" i="448"/>
  <c r="A537" i="448"/>
  <c r="A547" i="448"/>
  <c r="A564" i="448"/>
  <c r="A574" i="448"/>
  <c r="A579" i="448"/>
  <c r="A618" i="448"/>
  <c r="A626" i="448"/>
  <c r="A637" i="448"/>
  <c r="A669" i="448"/>
  <c r="A285" i="448"/>
  <c r="A298" i="448"/>
  <c r="A317" i="448"/>
  <c r="A325" i="448"/>
  <c r="A330" i="448"/>
  <c r="A345" i="448"/>
  <c r="A353" i="448"/>
  <c r="A366" i="448"/>
  <c r="A371" i="448"/>
  <c r="A379" i="448"/>
  <c r="A384" i="448"/>
  <c r="A415" i="448"/>
  <c r="A432" i="448"/>
  <c r="A437" i="448"/>
  <c r="A463" i="448"/>
  <c r="A465" i="448"/>
  <c r="A475" i="448"/>
  <c r="A540" i="448"/>
  <c r="A562" i="448"/>
  <c r="A567" i="448"/>
  <c r="A582" i="448"/>
  <c r="A587" i="448"/>
  <c r="A592" i="448"/>
  <c r="A604" i="448"/>
  <c r="A640" i="448"/>
  <c r="A675" i="448"/>
  <c r="A686" i="448"/>
  <c r="A712" i="448"/>
  <c r="A763" i="448"/>
  <c r="A3002" i="448"/>
  <c r="A695" i="448"/>
  <c r="A742" i="448"/>
  <c r="A1108" i="448"/>
  <c r="A1298" i="448"/>
  <c r="A2948" i="448"/>
  <c r="A2972" i="448"/>
  <c r="A2999" i="448"/>
  <c r="A638" i="448"/>
  <c r="G675" i="448"/>
  <c r="H675" i="448" s="1" a="1"/>
  <c r="H675" i="448" s="1"/>
  <c r="H674" i="448" s="1" a="1"/>
  <c r="H674" i="448" s="1"/>
  <c r="A2887" i="448"/>
  <c r="A2905" i="448"/>
  <c r="A2915" i="448"/>
  <c r="A2938" i="448"/>
  <c r="A3065" i="448"/>
  <c r="A767" i="448"/>
  <c r="A773" i="448"/>
  <c r="A776" i="448"/>
  <c r="A779" i="448"/>
  <c r="A785" i="448"/>
  <c r="A788" i="448"/>
  <c r="A791" i="448"/>
  <c r="A811" i="448"/>
  <c r="A816" i="448"/>
  <c r="A1099" i="448"/>
  <c r="A1112" i="448"/>
  <c r="A1196" i="448"/>
  <c r="A1526" i="448"/>
  <c r="A1602" i="448"/>
  <c r="A599" i="448"/>
  <c r="A606" i="448"/>
  <c r="A628" i="448"/>
  <c r="A635" i="448"/>
  <c r="A671" i="448"/>
  <c r="A766" i="448"/>
  <c r="A805" i="448"/>
  <c r="A808" i="448"/>
  <c r="A821" i="448"/>
  <c r="A826" i="448"/>
  <c r="A898" i="448"/>
  <c r="A1223" i="448"/>
  <c r="A3081" i="448"/>
  <c r="A3070" i="448"/>
  <c r="A3059" i="448"/>
  <c r="A3055" i="448"/>
  <c r="A3048" i="448"/>
  <c r="A3033" i="448"/>
  <c r="A3029" i="448"/>
  <c r="A3018" i="448"/>
  <c r="A3014" i="448"/>
  <c r="A2985" i="448"/>
  <c r="A2963" i="448"/>
  <c r="A2952" i="448"/>
  <c r="A2941" i="448"/>
  <c r="A2914" i="448"/>
  <c r="A2904" i="448"/>
  <c r="A2886" i="448"/>
  <c r="A2879" i="448"/>
  <c r="A2875" i="448"/>
  <c r="A3074" i="448"/>
  <c r="A3067" i="448"/>
  <c r="A3052" i="448"/>
  <c r="A3026" i="448"/>
  <c r="A3022" i="448"/>
  <c r="A3007" i="448"/>
  <c r="A3003" i="448"/>
  <c r="A3000" i="448"/>
  <c r="A2977" i="448"/>
  <c r="A2973" i="448"/>
  <c r="A2956" i="448"/>
  <c r="A2945" i="448"/>
  <c r="A3085" i="448"/>
  <c r="A3082" i="448"/>
  <c r="A3078" i="448"/>
  <c r="A3071" i="448"/>
  <c r="A3060" i="448"/>
  <c r="A3056" i="448"/>
  <c r="A3049" i="448"/>
  <c r="A3045" i="448"/>
  <c r="A3030" i="448"/>
  <c r="A3015" i="448"/>
  <c r="A3011" i="448"/>
  <c r="A2986" i="448"/>
  <c r="A2964" i="448"/>
  <c r="A2953" i="448"/>
  <c r="A3075" i="448"/>
  <c r="A3068" i="448"/>
  <c r="A3053" i="448"/>
  <c r="A3023" i="448"/>
  <c r="A3019" i="448"/>
  <c r="A3008" i="448"/>
  <c r="A3004" i="448"/>
  <c r="A2974" i="448"/>
  <c r="A2957" i="448"/>
  <c r="A2946" i="448"/>
  <c r="A3079" i="448"/>
  <c r="A3057" i="448"/>
  <c r="A3050" i="448"/>
  <c r="A3046" i="448"/>
  <c r="A3031" i="448"/>
  <c r="A3027" i="448"/>
  <c r="A3016" i="448"/>
  <c r="A3012" i="448"/>
  <c r="A2987" i="448"/>
  <c r="A2965" i="448"/>
  <c r="A3083" i="448"/>
  <c r="A3076" i="448"/>
  <c r="A3072" i="448"/>
  <c r="A3069" i="448"/>
  <c r="A3035" i="448"/>
  <c r="A3024" i="448"/>
  <c r="A3020" i="448"/>
  <c r="A3009" i="448"/>
  <c r="A3005" i="448"/>
  <c r="A2975" i="448"/>
  <c r="A2958" i="448"/>
  <c r="A2947" i="448"/>
  <c r="A2943" i="448"/>
  <c r="A2936" i="448"/>
  <c r="A2926" i="448"/>
  <c r="A2916" i="448"/>
  <c r="A3084" i="448"/>
  <c r="A3077" i="448"/>
  <c r="A3073" i="448"/>
  <c r="A3066" i="448"/>
  <c r="A3044" i="448"/>
  <c r="A3025" i="448"/>
  <c r="A3021" i="448"/>
  <c r="A3010" i="448"/>
  <c r="A3006" i="448"/>
  <c r="A2976" i="448"/>
  <c r="A2959" i="448"/>
  <c r="A2955" i="448"/>
  <c r="A2944" i="448"/>
  <c r="A2937" i="448"/>
  <c r="A2910" i="448"/>
  <c r="A2892" i="448"/>
  <c r="A3080" i="448"/>
  <c r="A3017" i="448"/>
  <c r="A2984" i="448"/>
  <c r="A2921" i="448"/>
  <c r="A2882" i="448"/>
  <c r="A2876" i="448"/>
  <c r="A2867" i="448"/>
  <c r="A2842" i="448"/>
  <c r="A2838" i="448"/>
  <c r="A2834" i="448"/>
  <c r="A2819" i="448"/>
  <c r="A2815" i="448"/>
  <c r="A3047" i="448"/>
  <c r="A2949" i="448"/>
  <c r="A2935" i="448"/>
  <c r="A2928" i="448"/>
  <c r="A2912" i="448"/>
  <c r="A2902" i="448"/>
  <c r="A2890" i="448"/>
  <c r="A2850" i="448"/>
  <c r="A2846" i="448"/>
  <c r="A2831" i="448"/>
  <c r="A2827" i="448"/>
  <c r="A2823" i="448"/>
  <c r="A2808" i="448"/>
  <c r="A2804" i="448"/>
  <c r="A2793" i="448"/>
  <c r="A2789" i="448"/>
  <c r="A2742" i="448"/>
  <c r="A2726" i="448"/>
  <c r="A3032" i="448"/>
  <c r="A3013" i="448"/>
  <c r="A2961" i="448"/>
  <c r="A2951" i="448"/>
  <c r="A2933" i="448"/>
  <c r="A2880" i="448"/>
  <c r="A2877" i="448"/>
  <c r="A2871" i="448"/>
  <c r="A2868" i="448"/>
  <c r="A2864" i="448"/>
  <c r="A2839" i="448"/>
  <c r="A2835" i="448"/>
  <c r="A3028" i="448"/>
  <c r="A2940" i="448"/>
  <c r="A2922" i="448"/>
  <c r="A2898" i="448"/>
  <c r="A2896" i="448"/>
  <c r="A2881" i="448"/>
  <c r="A2872" i="448"/>
  <c r="A2865" i="448"/>
  <c r="A2840" i="448"/>
  <c r="A2836" i="448"/>
  <c r="A2817" i="448"/>
  <c r="A2813" i="448"/>
  <c r="A2798" i="448"/>
  <c r="A2783" i="448"/>
  <c r="A2779" i="448"/>
  <c r="A2774" i="448"/>
  <c r="A2729" i="448"/>
  <c r="A2722" i="448"/>
  <c r="A2950" i="448"/>
  <c r="A2908" i="448"/>
  <c r="A2894" i="448"/>
  <c r="A2884" i="448"/>
  <c r="A2878" i="448"/>
  <c r="A2869" i="448"/>
  <c r="A2852" i="448"/>
  <c r="A2848" i="448"/>
  <c r="A2844" i="448"/>
  <c r="A2829" i="448"/>
  <c r="A2825" i="448"/>
  <c r="A2821" i="448"/>
  <c r="A2810" i="448"/>
  <c r="A2806" i="448"/>
  <c r="A2791" i="448"/>
  <c r="A2787" i="448"/>
  <c r="A2768" i="448"/>
  <c r="A3058" i="448"/>
  <c r="A2962" i="448"/>
  <c r="A2925" i="448"/>
  <c r="A2918" i="448"/>
  <c r="A2911" i="448"/>
  <c r="A2866" i="448"/>
  <c r="A2841" i="448"/>
  <c r="A3054" i="448"/>
  <c r="A2939" i="448"/>
  <c r="A2923" i="448"/>
  <c r="A2906" i="448"/>
  <c r="A2870" i="448"/>
  <c r="A2845" i="448"/>
  <c r="A2832" i="448"/>
  <c r="A2830" i="448"/>
  <c r="A2828" i="448"/>
  <c r="A2826" i="448"/>
  <c r="A2824" i="448"/>
  <c r="A2822" i="448"/>
  <c r="A2740" i="448"/>
  <c r="A2725" i="448"/>
  <c r="A2715" i="448"/>
  <c r="A2703" i="448"/>
  <c r="A2847" i="448"/>
  <c r="A2800" i="448"/>
  <c r="A2784" i="448"/>
  <c r="A2766" i="448"/>
  <c r="A2717" i="448"/>
  <c r="A2700" i="448"/>
  <c r="A2694" i="448"/>
  <c r="A2662" i="448"/>
  <c r="A2641" i="448"/>
  <c r="A2548" i="448"/>
  <c r="A2523" i="448"/>
  <c r="A2473" i="448"/>
  <c r="A2446" i="448"/>
  <c r="A2377" i="448"/>
  <c r="A2370" i="448"/>
  <c r="A2782" i="448"/>
  <c r="A2734" i="448"/>
  <c r="A2704" i="448"/>
  <c r="A2687" i="448"/>
  <c r="A2645" i="448"/>
  <c r="A2556" i="448"/>
  <c r="A2531" i="448"/>
  <c r="A2520" i="448"/>
  <c r="A2466" i="448"/>
  <c r="A2418" i="448"/>
  <c r="A2374" i="448"/>
  <c r="A2874" i="448"/>
  <c r="A2849" i="448"/>
  <c r="A2837" i="448"/>
  <c r="A2809" i="448"/>
  <c r="A2807" i="448"/>
  <c r="A2805" i="448"/>
  <c r="A2796" i="448"/>
  <c r="A2780" i="448"/>
  <c r="A2764" i="448"/>
  <c r="A2741" i="448"/>
  <c r="A2718" i="448"/>
  <c r="A2701" i="448"/>
  <c r="A2698" i="448"/>
  <c r="A2803" i="448"/>
  <c r="A2801" i="448"/>
  <c r="A2758" i="448"/>
  <c r="A2732" i="448"/>
  <c r="A2724" i="448"/>
  <c r="A2720" i="448"/>
  <c r="A2688" i="448"/>
  <c r="A2646" i="448"/>
  <c r="A2553" i="448"/>
  <c r="A2532" i="448"/>
  <c r="A2851" i="448"/>
  <c r="A2799" i="448"/>
  <c r="A2792" i="448"/>
  <c r="A2785" i="448"/>
  <c r="A2730" i="448"/>
  <c r="A2711" i="448"/>
  <c r="A2692" i="448"/>
  <c r="A2660" i="448"/>
  <c r="A2643" i="448"/>
  <c r="A2550" i="448"/>
  <c r="A2471" i="448"/>
  <c r="A2888" i="448"/>
  <c r="A2797" i="448"/>
  <c r="A2790" i="448"/>
  <c r="A2721" i="448"/>
  <c r="A2714" i="448"/>
  <c r="A2696" i="448"/>
  <c r="A2689" i="448"/>
  <c r="A2818" i="448"/>
  <c r="A2816" i="448"/>
  <c r="A2814" i="448"/>
  <c r="A2812" i="448"/>
  <c r="A2795" i="448"/>
  <c r="A2788" i="448"/>
  <c r="A2781" i="448"/>
  <c r="A2772" i="448"/>
  <c r="A2770" i="448"/>
  <c r="A2728" i="448"/>
  <c r="A2712" i="448"/>
  <c r="A2706" i="448"/>
  <c r="A2554" i="448"/>
  <c r="A2465" i="448"/>
  <c r="A2379" i="448"/>
  <c r="A2353" i="448"/>
  <c r="A2338" i="448"/>
  <c r="A2642" i="448"/>
  <c r="A2640" i="448"/>
  <c r="A2472" i="448"/>
  <c r="A2468" i="448"/>
  <c r="A2388" i="448"/>
  <c r="A2648" i="448"/>
  <c r="A2530" i="448"/>
  <c r="A2524" i="448"/>
  <c r="A2522" i="448"/>
  <c r="A2470" i="448"/>
  <c r="A2428" i="448"/>
  <c r="A2391" i="448"/>
  <c r="A2367" i="448"/>
  <c r="A2342" i="448"/>
  <c r="A2315" i="448"/>
  <c r="A2297" i="448"/>
  <c r="A2518" i="448"/>
  <c r="A2406" i="448"/>
  <c r="A2364" i="448"/>
  <c r="A2349" i="448"/>
  <c r="A2334" i="448"/>
  <c r="A2313" i="448"/>
  <c r="A2285" i="448"/>
  <c r="A2223" i="448"/>
  <c r="A2180" i="448"/>
  <c r="A2170" i="448"/>
  <c r="A2141" i="448"/>
  <c r="A2119" i="448"/>
  <c r="A2112" i="448"/>
  <c r="A2691" i="448"/>
  <c r="A2663" i="448"/>
  <c r="A2661" i="448"/>
  <c r="A2426" i="448"/>
  <c r="A2392" i="448"/>
  <c r="A2389" i="448"/>
  <c r="A2380" i="448"/>
  <c r="A2368" i="448"/>
  <c r="A2361" i="448"/>
  <c r="A2346" i="448"/>
  <c r="A2686" i="448"/>
  <c r="A2647" i="448"/>
  <c r="A2555" i="448"/>
  <c r="A2462" i="448"/>
  <c r="A2460" i="448"/>
  <c r="A2373" i="448"/>
  <c r="A2371" i="448"/>
  <c r="A2365" i="448"/>
  <c r="A2358" i="448"/>
  <c r="A2340" i="448"/>
  <c r="A2693" i="448"/>
  <c r="A2551" i="448"/>
  <c r="A2549" i="448"/>
  <c r="A2448" i="448"/>
  <c r="A2407" i="448"/>
  <c r="A2362" i="448"/>
  <c r="A2347" i="448"/>
  <c r="A2330" i="448"/>
  <c r="A2316" i="448"/>
  <c r="A2291" i="448"/>
  <c r="A2281" i="448"/>
  <c r="A2275" i="448"/>
  <c r="A2224" i="448"/>
  <c r="A2182" i="448"/>
  <c r="A2359" i="448"/>
  <c r="A2324" i="448"/>
  <c r="A2196" i="448"/>
  <c r="A2193" i="448"/>
  <c r="A2188" i="448"/>
  <c r="A2173" i="448"/>
  <c r="A2164" i="448"/>
  <c r="A2161" i="448"/>
  <c r="A2150" i="448"/>
  <c r="A2145" i="448"/>
  <c r="A2131" i="448"/>
  <c r="A2107" i="448"/>
  <c r="A2087" i="448"/>
  <c r="A2376" i="448"/>
  <c r="A2344" i="448"/>
  <c r="A2225" i="448"/>
  <c r="A2117" i="448"/>
  <c r="A2111" i="448"/>
  <c r="A2104" i="448"/>
  <c r="A2091" i="448"/>
  <c r="A2070" i="448"/>
  <c r="A2038" i="448"/>
  <c r="A2012" i="448"/>
  <c r="A2005" i="448"/>
  <c r="A1917" i="448"/>
  <c r="A1901" i="448"/>
  <c r="A2467" i="448"/>
  <c r="A2310" i="448"/>
  <c r="A2279" i="448"/>
  <c r="A2276" i="448"/>
  <c r="A2222" i="448"/>
  <c r="A2191" i="448"/>
  <c r="A2519" i="448"/>
  <c r="A2299" i="448"/>
  <c r="A2217" i="448"/>
  <c r="A2194" i="448"/>
  <c r="A2135" i="448"/>
  <c r="A2105" i="448"/>
  <c r="A2092" i="448"/>
  <c r="A2071" i="448"/>
  <c r="A2054" i="448"/>
  <c r="A2050" i="448"/>
  <c r="A2301" i="448"/>
  <c r="A2283" i="448"/>
  <c r="A2280" i="448"/>
  <c r="A2277" i="448"/>
  <c r="A2121" i="448"/>
  <c r="A2115" i="448"/>
  <c r="A2109" i="448"/>
  <c r="A2096" i="448"/>
  <c r="A2085" i="448"/>
  <c r="A2058" i="448"/>
  <c r="A2051" i="448"/>
  <c r="A2047" i="448"/>
  <c r="A2032" i="448"/>
  <c r="A1999" i="448"/>
  <c r="A1906" i="448"/>
  <c r="A2198" i="448"/>
  <c r="A2293" i="448"/>
  <c r="A2159" i="448"/>
  <c r="A2037" i="448"/>
  <c r="A2009" i="448"/>
  <c r="A2001" i="448"/>
  <c r="A1909" i="448"/>
  <c r="A1896" i="448"/>
  <c r="A1874" i="448"/>
  <c r="A1863" i="448"/>
  <c r="A1842" i="448"/>
  <c r="A1771" i="448"/>
  <c r="A1748" i="448"/>
  <c r="A2166" i="448"/>
  <c r="A2108" i="448"/>
  <c r="A2055" i="448"/>
  <c r="A2048" i="448"/>
  <c r="A2040" i="448"/>
  <c r="A2029" i="448"/>
  <c r="A2004" i="448"/>
  <c r="A1893" i="448"/>
  <c r="A1867" i="448"/>
  <c r="A1856" i="448"/>
  <c r="A1745" i="448"/>
  <c r="A2195" i="448"/>
  <c r="A2174" i="448"/>
  <c r="A2168" i="448"/>
  <c r="A2160" i="448"/>
  <c r="A2116" i="448"/>
  <c r="A2057" i="448"/>
  <c r="A2041" i="448"/>
  <c r="A2023" i="448"/>
  <c r="A1894" i="448"/>
  <c r="A1868" i="448"/>
  <c r="A1857" i="448"/>
  <c r="A2181" i="448"/>
  <c r="A2163" i="448"/>
  <c r="A2139" i="448"/>
  <c r="A2137" i="448"/>
  <c r="A2095" i="448"/>
  <c r="A2073" i="448"/>
  <c r="A2044" i="448"/>
  <c r="A2033" i="448"/>
  <c r="A2030" i="448"/>
  <c r="A1902" i="448"/>
  <c r="A1898" i="448"/>
  <c r="A1872" i="448"/>
  <c r="A1861" i="448"/>
  <c r="A1844" i="448"/>
  <c r="A1773" i="448"/>
  <c r="A1766" i="448"/>
  <c r="A2165" i="448"/>
  <c r="A2143" i="448"/>
  <c r="A2042" i="448"/>
  <c r="A2036" i="448"/>
  <c r="A2013" i="448"/>
  <c r="A2008" i="448"/>
  <c r="A2000" i="448"/>
  <c r="A1918" i="448"/>
  <c r="A1908" i="448"/>
  <c r="A1891" i="448"/>
  <c r="A1869" i="448"/>
  <c r="A1858" i="448"/>
  <c r="A1793" i="448"/>
  <c r="A1758" i="448"/>
  <c r="A1732" i="448"/>
  <c r="A2175" i="448"/>
  <c r="A2169" i="448"/>
  <c r="A2158" i="448"/>
  <c r="A2147" i="448"/>
  <c r="A2003" i="448"/>
  <c r="A1903" i="448"/>
  <c r="A1899" i="448"/>
  <c r="A1873" i="448"/>
  <c r="A1862" i="448"/>
  <c r="A1841" i="448"/>
  <c r="A1774" i="448"/>
  <c r="A2189" i="448"/>
  <c r="A1998" i="448"/>
  <c r="A1907" i="448"/>
  <c r="A1859" i="448"/>
  <c r="A1723" i="448"/>
  <c r="A1713" i="448"/>
  <c r="A1707" i="448"/>
  <c r="A1688" i="448"/>
  <c r="A1681" i="448"/>
  <c r="A1674" i="448"/>
  <c r="A1664" i="448"/>
  <c r="A1644" i="448"/>
  <c r="A1641" i="448"/>
  <c r="A1638" i="448"/>
  <c r="A1625" i="448"/>
  <c r="A1613" i="448"/>
  <c r="A1605" i="448"/>
  <c r="A1571" i="448"/>
  <c r="A1566" i="448"/>
  <c r="A1550" i="448"/>
  <c r="A1509" i="448"/>
  <c r="A1489" i="448"/>
  <c r="A1475" i="448"/>
  <c r="A2172" i="448"/>
  <c r="A2151" i="448"/>
  <c r="A2088" i="448"/>
  <c r="A2072" i="448"/>
  <c r="A2011" i="448"/>
  <c r="A1904" i="448"/>
  <c r="A1866" i="448"/>
  <c r="A1747" i="448"/>
  <c r="A1729" i="448"/>
  <c r="A1685" i="448"/>
  <c r="A1678" i="448"/>
  <c r="A1645" i="448"/>
  <c r="A1642" i="448"/>
  <c r="A1639" i="448"/>
  <c r="A1626" i="448"/>
  <c r="A1616" i="448"/>
  <c r="A1611" i="448"/>
  <c r="A1575" i="448"/>
  <c r="A1563" i="448"/>
  <c r="A1527" i="448"/>
  <c r="A1503" i="448"/>
  <c r="A2187" i="448"/>
  <c r="A2093" i="448"/>
  <c r="A2045" i="448"/>
  <c r="A1871" i="448"/>
  <c r="A1843" i="448"/>
  <c r="A1792" i="448"/>
  <c r="A1718" i="448"/>
  <c r="A1714" i="448"/>
  <c r="A1692" i="448"/>
  <c r="A1689" i="448"/>
  <c r="A1682" i="448"/>
  <c r="A1665" i="448"/>
  <c r="A1653" i="448"/>
  <c r="A1634" i="448"/>
  <c r="A1622" i="448"/>
  <c r="A1614" i="448"/>
  <c r="A1579" i="448"/>
  <c r="A1572" i="448"/>
  <c r="A2153" i="448"/>
  <c r="A2090" i="448"/>
  <c r="A2007" i="448"/>
  <c r="A1794" i="448"/>
  <c r="A1762" i="448"/>
  <c r="A1730" i="448"/>
  <c r="A1727" i="448"/>
  <c r="A1724" i="448"/>
  <c r="A1708" i="448"/>
  <c r="A1686" i="448"/>
  <c r="A1654" i="448"/>
  <c r="A1635" i="448"/>
  <c r="A2129" i="448"/>
  <c r="A1764" i="448"/>
  <c r="A1690" i="448"/>
  <c r="A1672" i="448"/>
  <c r="A1650" i="448"/>
  <c r="A1636" i="448"/>
  <c r="A1631" i="448"/>
  <c r="A1598" i="448"/>
  <c r="A1591" i="448"/>
  <c r="A1580" i="448"/>
  <c r="A1573" i="448"/>
  <c r="A1561" i="448"/>
  <c r="A1501" i="448"/>
  <c r="A1473" i="448"/>
  <c r="A1463" i="448"/>
  <c r="A1440" i="448"/>
  <c r="A1419" i="448"/>
  <c r="A1343" i="448"/>
  <c r="A1294" i="448"/>
  <c r="A1261" i="448"/>
  <c r="A2052" i="448"/>
  <c r="A1897" i="448"/>
  <c r="A1725" i="448"/>
  <c r="A1715" i="448"/>
  <c r="A1700" i="448"/>
  <c r="A1693" i="448"/>
  <c r="A1676" i="448"/>
  <c r="A1651" i="448"/>
  <c r="A1632" i="448"/>
  <c r="A1601" i="448"/>
  <c r="A1592" i="448"/>
  <c r="A1584" i="448"/>
  <c r="A1577" i="448"/>
  <c r="A2152" i="448"/>
  <c r="A2113" i="448"/>
  <c r="A2034" i="448"/>
  <c r="A1919" i="448"/>
  <c r="A1916" i="448"/>
  <c r="A1767" i="448"/>
  <c r="A1744" i="448"/>
  <c r="A1731" i="448"/>
  <c r="A1706" i="448"/>
  <c r="A1680" i="448"/>
  <c r="A1673" i="448"/>
  <c r="A1647" i="448"/>
  <c r="A1628" i="448"/>
  <c r="A1604" i="448"/>
  <c r="A1599" i="448"/>
  <c r="A1581" i="448"/>
  <c r="A1544" i="448"/>
  <c r="A2133" i="448"/>
  <c r="A2086" i="448"/>
  <c r="A1892" i="448"/>
  <c r="A1864" i="448"/>
  <c r="A1769" i="448"/>
  <c r="A1742" i="448"/>
  <c r="A1694" i="448"/>
  <c r="A1585" i="448"/>
  <c r="A1487" i="448"/>
  <c r="A1478" i="448"/>
  <c r="A1468" i="448"/>
  <c r="A1318" i="448"/>
  <c r="A1288" i="448"/>
  <c r="A1263" i="448"/>
  <c r="A1257" i="448"/>
  <c r="A1215" i="448"/>
  <c r="A1208" i="448"/>
  <c r="A1198" i="448"/>
  <c r="A1183" i="448"/>
  <c r="A1159" i="448"/>
  <c r="A1136" i="448"/>
  <c r="A1132" i="448"/>
  <c r="A1113" i="448"/>
  <c r="A1109" i="448"/>
  <c r="A1105" i="448"/>
  <c r="A1090" i="448"/>
  <c r="A1086" i="448"/>
  <c r="A1082" i="448"/>
  <c r="A1617" i="448"/>
  <c r="A1522" i="448"/>
  <c r="A1510" i="448"/>
  <c r="A1449" i="448"/>
  <c r="A1437" i="448"/>
  <c r="A1434" i="448"/>
  <c r="A1418" i="448"/>
  <c r="A1350" i="448"/>
  <c r="A1347" i="448"/>
  <c r="A1344" i="448"/>
  <c r="A1315" i="448"/>
  <c r="A1309" i="448"/>
  <c r="A1302" i="448"/>
  <c r="A1269" i="448"/>
  <c r="A1222" i="448"/>
  <c r="A1202" i="448"/>
  <c r="A1195" i="448"/>
  <c r="A1125" i="448"/>
  <c r="A1121" i="448"/>
  <c r="A1117" i="448"/>
  <c r="A1102" i="448"/>
  <c r="A1098" i="448"/>
  <c r="A1094" i="448"/>
  <c r="A1075" i="448"/>
  <c r="A1648" i="448"/>
  <c r="A1593" i="448"/>
  <c r="A1508" i="448"/>
  <c r="A1497" i="448"/>
  <c r="A1483" i="448"/>
  <c r="A1479" i="448"/>
  <c r="A1283" i="448"/>
  <c r="A1216" i="448"/>
  <c r="A1209" i="448"/>
  <c r="A1199" i="448"/>
  <c r="A1192" i="448"/>
  <c r="A1163" i="448"/>
  <c r="A1137" i="448"/>
  <c r="A1133" i="448"/>
  <c r="A1129" i="448"/>
  <c r="A1114" i="448"/>
  <c r="A1110" i="448"/>
  <c r="A1106" i="448"/>
  <c r="A1091" i="448"/>
  <c r="A1087" i="448"/>
  <c r="A1083" i="448"/>
  <c r="A903" i="448"/>
  <c r="A899" i="448"/>
  <c r="A827" i="448"/>
  <c r="A823" i="448"/>
  <c r="A1684" i="448"/>
  <c r="A1670" i="448"/>
  <c r="A1629" i="448"/>
  <c r="A1623" i="448"/>
  <c r="A1493" i="448"/>
  <c r="A1491" i="448"/>
  <c r="A1477" i="448"/>
  <c r="A1460" i="448"/>
  <c r="A1432" i="448"/>
  <c r="A1348" i="448"/>
  <c r="A1342" i="448"/>
  <c r="A1313" i="448"/>
  <c r="A1310" i="448"/>
  <c r="A1281" i="448"/>
  <c r="A1278" i="448"/>
  <c r="A1267" i="448"/>
  <c r="A1220" i="448"/>
  <c r="A1193" i="448"/>
  <c r="A1190" i="448"/>
  <c r="A1178" i="448"/>
  <c r="A1169" i="448"/>
  <c r="A1138" i="448"/>
  <c r="A1134" i="448"/>
  <c r="A1130" i="448"/>
  <c r="A1115" i="448"/>
  <c r="A1111" i="448"/>
  <c r="A1107" i="448"/>
  <c r="A1088" i="448"/>
  <c r="A1084" i="448"/>
  <c r="A904" i="448"/>
  <c r="A900" i="448"/>
  <c r="A896" i="448"/>
  <c r="A1556" i="448"/>
  <c r="A1320" i="448"/>
  <c r="A1287" i="448"/>
  <c r="A1259" i="448"/>
  <c r="A1185" i="448"/>
  <c r="A1175" i="448"/>
  <c r="A1161" i="448"/>
  <c r="A1127" i="448"/>
  <c r="A1123" i="448"/>
  <c r="A1119" i="448"/>
  <c r="A1100" i="448"/>
  <c r="A1096" i="448"/>
  <c r="A1078" i="448"/>
  <c r="A1077" i="448"/>
  <c r="A817" i="448"/>
  <c r="A807" i="448"/>
  <c r="A794" i="448"/>
  <c r="A787" i="448"/>
  <c r="A783" i="448"/>
  <c r="A761" i="448"/>
  <c r="A743" i="448"/>
  <c r="A1677" i="448"/>
  <c r="A1610" i="448"/>
  <c r="A1583" i="448"/>
  <c r="A1564" i="448"/>
  <c r="A1560" i="448"/>
  <c r="A1546" i="448"/>
  <c r="A1467" i="448"/>
  <c r="A1464" i="448"/>
  <c r="A1451" i="448"/>
  <c r="A1448" i="448"/>
  <c r="A1439" i="448"/>
  <c r="A1433" i="448"/>
  <c r="A1420" i="448"/>
  <c r="A1417" i="448"/>
  <c r="A1349" i="448"/>
  <c r="A1317" i="448"/>
  <c r="A1314" i="448"/>
  <c r="A1311" i="448"/>
  <c r="A1279" i="448"/>
  <c r="A1273" i="448"/>
  <c r="A1265" i="448"/>
  <c r="A1182" i="448"/>
  <c r="A1179" i="448"/>
  <c r="A1139" i="448"/>
  <c r="A1135" i="448"/>
  <c r="A1131" i="448"/>
  <c r="A1505" i="448"/>
  <c r="A1461" i="448"/>
  <c r="A1452" i="448"/>
  <c r="A1308" i="448"/>
  <c r="A1285" i="448"/>
  <c r="A1276" i="448"/>
  <c r="A1271" i="448"/>
  <c r="A1218" i="448"/>
  <c r="A1211" i="448"/>
  <c r="A1201" i="448"/>
  <c r="A1186" i="448"/>
  <c r="A1176" i="448"/>
  <c r="A1165" i="448"/>
  <c r="A1124" i="448"/>
  <c r="A1120" i="448"/>
  <c r="A1101" i="448"/>
  <c r="A1097" i="448"/>
  <c r="A1093" i="448"/>
  <c r="A1079" i="448"/>
  <c r="A831" i="448"/>
  <c r="A681" i="448"/>
  <c r="A691" i="448"/>
  <c r="A694" i="448"/>
  <c r="A707" i="448"/>
  <c r="A713" i="448"/>
  <c r="A772" i="448"/>
  <c r="A775" i="448"/>
  <c r="A784" i="448"/>
  <c r="A790" i="448"/>
  <c r="A796" i="448"/>
  <c r="A799" i="448"/>
  <c r="A810" i="448"/>
  <c r="A818" i="448"/>
  <c r="A905" i="448"/>
  <c r="A1081" i="448"/>
  <c r="A1089" i="448"/>
  <c r="A1524" i="448"/>
  <c r="A620" i="448"/>
  <c r="A627" i="448"/>
  <c r="A666" i="448"/>
  <c r="A670" i="448"/>
  <c r="E675" i="448"/>
  <c r="A706" i="448"/>
  <c r="A746" i="448"/>
  <c r="A778" i="448"/>
  <c r="A820" i="448"/>
  <c r="A833" i="448"/>
  <c r="A1118" i="448"/>
  <c r="A1213" i="448"/>
  <c r="A683" i="448"/>
  <c r="A745" i="448"/>
  <c r="A752" i="448"/>
  <c r="A755" i="448"/>
  <c r="A777" i="448"/>
  <c r="A786" i="448"/>
  <c r="A792" i="448"/>
  <c r="A822" i="448"/>
  <c r="A825" i="448"/>
  <c r="A1122" i="448"/>
  <c r="A1203" i="448"/>
  <c r="A751" i="448"/>
  <c r="A764" i="448"/>
  <c r="A780" i="448"/>
  <c r="A829" i="448"/>
  <c r="A897" i="448"/>
  <c r="A1085" i="448"/>
  <c r="A1143" i="448"/>
  <c r="A1319" i="448"/>
  <c r="A1345" i="448"/>
  <c r="A1466" i="448"/>
  <c r="A1469" i="448"/>
  <c r="A1576" i="448"/>
  <c r="A679" i="448"/>
  <c r="A689" i="448"/>
  <c r="A754" i="448"/>
  <c r="A760" i="448"/>
  <c r="A782" i="448"/>
  <c r="A824" i="448"/>
  <c r="A902" i="448"/>
  <c r="A1076" i="448"/>
  <c r="A1126" i="448"/>
  <c r="A1435" i="448"/>
  <c r="A1474" i="448"/>
  <c r="G3004" i="448"/>
  <c r="G3012" i="448"/>
  <c r="G3020" i="448"/>
  <c r="G3028" i="448"/>
  <c r="M303" i="436" l="1"/>
  <c r="N303" i="436" s="1"/>
  <c r="H1660" i="448" a="1"/>
  <c r="H1660" i="448" s="1"/>
  <c r="H1659" i="448" s="1" a="1"/>
  <c r="H1659" i="448" s="1"/>
  <c r="H1658" i="448" s="1" a="1"/>
  <c r="H1658" i="448" s="1"/>
  <c r="H1657" i="448" s="1" a="1"/>
  <c r="H1657" i="448" s="1"/>
  <c r="H2306" i="448" a="1"/>
  <c r="H2306" i="448" s="1"/>
  <c r="H2305" i="448" s="1" a="1"/>
  <c r="H2305" i="448" s="1"/>
  <c r="H2304" i="448" s="1" a="1"/>
  <c r="H2304" i="448" s="1"/>
  <c r="H2303" i="448" s="1" a="1"/>
  <c r="H2303" i="448" s="1"/>
  <c r="M359" i="436" s="1"/>
  <c r="H2092" i="448" a="1"/>
  <c r="H2092" i="448" s="1"/>
  <c r="H2091" i="448" s="1" a="1"/>
  <c r="H2091" i="448" s="1"/>
  <c r="H2090" i="448" s="1" a="1"/>
  <c r="H2090" i="448" s="1"/>
  <c r="H2089" i="448" s="1" a="1"/>
  <c r="H2089" i="448" s="1"/>
  <c r="H3032" i="448" a="1"/>
  <c r="H3032" i="448" s="1"/>
  <c r="H3057" i="448" a="1"/>
  <c r="H3057" i="448" s="1"/>
  <c r="H3056" i="448" s="1" a="1"/>
  <c r="H3056" i="448" s="1"/>
  <c r="H3055" i="448" s="1" a="1"/>
  <c r="H3055" i="448" s="1"/>
  <c r="H3054" i="448" s="1" a="1"/>
  <c r="H3054" i="448" s="1"/>
  <c r="H3053" i="448" s="1" a="1"/>
  <c r="H3053" i="448" s="1"/>
  <c r="H1102" i="448" a="1"/>
  <c r="H1102" i="448" s="1"/>
  <c r="H1101" i="448" s="1" a="1"/>
  <c r="H1101" i="448" s="1"/>
  <c r="H1100" i="448" s="1" a="1"/>
  <c r="H1100" i="448" s="1"/>
  <c r="H1099" i="448" s="1" a="1"/>
  <c r="H1099" i="448" s="1"/>
  <c r="H1098" i="448" s="1" a="1"/>
  <c r="H1098" i="448" s="1"/>
  <c r="H1097" i="448" s="1" a="1"/>
  <c r="H1097" i="448" s="1"/>
  <c r="H1096" i="448" s="1" a="1"/>
  <c r="H1096" i="448" s="1"/>
  <c r="H1095" i="448" s="1" a="1"/>
  <c r="H1095" i="448" s="1"/>
  <c r="H1094" i="448" s="1" a="1"/>
  <c r="H1094" i="448" s="1"/>
  <c r="H1093" i="448" s="1" a="1"/>
  <c r="H1093" i="448" s="1"/>
  <c r="H1092" i="448" s="1" a="1"/>
  <c r="H1092" i="448" s="1"/>
  <c r="H456" i="448" a="1"/>
  <c r="H456" i="448" s="1"/>
  <c r="H455" i="448" s="1" a="1"/>
  <c r="H455" i="448" s="1"/>
  <c r="H454" i="448" s="1" a="1"/>
  <c r="H454" i="448" s="1"/>
  <c r="H429" i="448" a="1"/>
  <c r="H429" i="448" s="1"/>
  <c r="H428" i="448" s="1" a="1"/>
  <c r="H428" i="448" s="1"/>
  <c r="H427" i="448" s="1" a="1"/>
  <c r="H427" i="448" s="1"/>
  <c r="H1178" i="448" a="1"/>
  <c r="H1178" i="448" s="1"/>
  <c r="H1177" i="448" s="1" a="1"/>
  <c r="H1177" i="448" s="1"/>
  <c r="T27" i="456" s="1"/>
  <c r="U27" i="456" s="1"/>
  <c r="H1185" i="448" a="1"/>
  <c r="H1185" i="448" s="1"/>
  <c r="H1184" i="448" s="1" a="1"/>
  <c r="H1184" i="448" s="1"/>
  <c r="H2642" i="448" a="1"/>
  <c r="H2642" i="448" s="1"/>
  <c r="H2641" i="448" s="1" a="1"/>
  <c r="H2641" i="448" s="1"/>
  <c r="H2640" i="448" s="1" a="1"/>
  <c r="H2640" i="448" s="1"/>
  <c r="H2639" i="448" s="1" a="1"/>
  <c r="H2639" i="448" s="1"/>
  <c r="H1868" i="448" a="1"/>
  <c r="H1868" i="448" s="1"/>
  <c r="H1867" i="448" s="1" a="1"/>
  <c r="H1867" i="448" s="1"/>
  <c r="H1866" i="448" s="1" a="1"/>
  <c r="H1866" i="448" s="1"/>
  <c r="H1865" i="448" s="1" a="1"/>
  <c r="H1865" i="448" s="1"/>
  <c r="H1509" i="448" a="1"/>
  <c r="H1509" i="448" s="1"/>
  <c r="H1508" i="448" s="1" a="1"/>
  <c r="H1508" i="448" s="1"/>
  <c r="H1507" i="448" s="1" a="1"/>
  <c r="H1507" i="448" s="1"/>
  <c r="H1677" i="448" a="1"/>
  <c r="H1677" i="448" s="1"/>
  <c r="H1676" i="448" s="1" a="1"/>
  <c r="H1676" i="448" s="1"/>
  <c r="H1675" i="448" s="1" a="1"/>
  <c r="H1675" i="448" s="1"/>
  <c r="H1478" i="448" a="1"/>
  <c r="H1478" i="448" s="1"/>
  <c r="H1477" i="448" s="1" a="1"/>
  <c r="H1477" i="448" s="1"/>
  <c r="H1476" i="448" s="1" a="1"/>
  <c r="H1476" i="448" s="1"/>
  <c r="H444" i="448" a="1"/>
  <c r="H444" i="448" s="1"/>
  <c r="H443" i="448" s="1" a="1"/>
  <c r="H443" i="448" s="1"/>
  <c r="H442" i="448" s="1" a="1"/>
  <c r="H442" i="448" s="1"/>
  <c r="H460" i="448" a="1"/>
  <c r="H460" i="448" s="1"/>
  <c r="H459" i="448" s="1" a="1"/>
  <c r="H459" i="448" s="1"/>
  <c r="H458" i="448" s="1" a="1"/>
  <c r="H458" i="448" s="1"/>
  <c r="H322" i="448" a="1"/>
  <c r="H322" i="448" s="1"/>
  <c r="H321" i="448" s="1" a="1"/>
  <c r="H321" i="448" s="1"/>
  <c r="H320" i="448" s="1" a="1"/>
  <c r="H320" i="448" s="1"/>
  <c r="H686" i="448" a="1"/>
  <c r="H686" i="448" s="1"/>
  <c r="H685" i="448" s="1" a="1"/>
  <c r="H685" i="448" s="1"/>
  <c r="H684" i="448" s="1" a="1"/>
  <c r="H684" i="448" s="1"/>
  <c r="H1903" i="448" a="1"/>
  <c r="H1903" i="448" s="1"/>
  <c r="H1902" i="448" s="1" a="1"/>
  <c r="H1902" i="448" s="1"/>
  <c r="H1901" i="448" s="1" a="1"/>
  <c r="H1901" i="448" s="1"/>
  <c r="H1900" i="448" s="1" a="1"/>
  <c r="H1900" i="448" s="1"/>
  <c r="H1374" i="448" a="1"/>
  <c r="H1374" i="448" s="1"/>
  <c r="H1373" i="448" s="1" a="1"/>
  <c r="H1373" i="448" s="1"/>
  <c r="H1372" i="448" s="1" a="1"/>
  <c r="H1372" i="448" s="1"/>
  <c r="H1371" i="448" s="1" a="1"/>
  <c r="H1371" i="448" s="1"/>
  <c r="H490" i="448" a="1"/>
  <c r="H490" i="448" s="1"/>
  <c r="H489" i="448" s="1" a="1"/>
  <c r="H489" i="448" s="1"/>
  <c r="H488" i="448" s="1" a="1"/>
  <c r="H488" i="448" s="1"/>
  <c r="H487" i="448" s="1" a="1"/>
  <c r="H487" i="448" s="1"/>
  <c r="H2026" i="448" a="1"/>
  <c r="H2026" i="448" s="1"/>
  <c r="H2025" i="448" s="1" a="1"/>
  <c r="H2025" i="448" s="1"/>
  <c r="H2024" i="448" s="1" a="1"/>
  <c r="H2024" i="448" s="1"/>
  <c r="H1369" i="448" a="1"/>
  <c r="H1369" i="448" s="1"/>
  <c r="H1368" i="448" s="1" a="1"/>
  <c r="H1368" i="448" s="1"/>
  <c r="H1367" i="448" s="1" a="1"/>
  <c r="H1367" i="448" s="1"/>
  <c r="H1366" i="448" s="1" a="1"/>
  <c r="H1366" i="448" s="1"/>
  <c r="H2881" i="448" a="1"/>
  <c r="H2881" i="448" s="1"/>
  <c r="H2880" i="448" s="1" a="1"/>
  <c r="H2880" i="448" s="1"/>
  <c r="H2879" i="448" s="1" a="1"/>
  <c r="H2879" i="448" s="1"/>
  <c r="H2878" i="448" s="1" a="1"/>
  <c r="H2878" i="448" s="1"/>
  <c r="H2877" i="448" s="1" a="1"/>
  <c r="H2877" i="448" s="1"/>
  <c r="H2876" i="448" s="1" a="1"/>
  <c r="H2876" i="448" s="1"/>
  <c r="H2875" i="448" s="1" a="1"/>
  <c r="H2875" i="448" s="1"/>
  <c r="H2874" i="448" s="1" a="1"/>
  <c r="H2874" i="448" s="1"/>
  <c r="H2873" i="448" s="1" a="1"/>
  <c r="H2873" i="448" s="1"/>
  <c r="T19" i="456" s="1"/>
  <c r="U19" i="456" s="1"/>
  <c r="H1923" i="448" a="1"/>
  <c r="H1923" i="448" s="1"/>
  <c r="H1922" i="448" s="1" a="1"/>
  <c r="H1922" i="448" s="1"/>
  <c r="H1921" i="448" s="1" a="1"/>
  <c r="H1921" i="448" s="1"/>
  <c r="H1920" i="448" s="1" a="1"/>
  <c r="H1920" i="448" s="1"/>
  <c r="H1717" i="448" a="1"/>
  <c r="H1717" i="448" s="1"/>
  <c r="H1716" i="448" s="1" a="1"/>
  <c r="H1716" i="448" s="1"/>
  <c r="H2012" i="448" a="1"/>
  <c r="H2012" i="448" s="1"/>
  <c r="H2011" i="448" s="1" a="1"/>
  <c r="H2011" i="448" s="1"/>
  <c r="H2010" i="448" s="1" a="1"/>
  <c r="H2010" i="448" s="1"/>
  <c r="H2104" i="448" a="1"/>
  <c r="H2104" i="448" s="1"/>
  <c r="H2103" i="448" s="1" a="1"/>
  <c r="H2103" i="448" s="1"/>
  <c r="H498" i="448" a="1"/>
  <c r="H498" i="448" s="1"/>
  <c r="H497" i="448" s="1" a="1"/>
  <c r="H497" i="448" s="1"/>
  <c r="H2051" i="448" a="1"/>
  <c r="H2051" i="448" s="1"/>
  <c r="H2050" i="448" s="1" a="1"/>
  <c r="H2050" i="448" s="1"/>
  <c r="H2049" i="448" s="1" a="1"/>
  <c r="H2049" i="448" s="1"/>
  <c r="H2531" i="448" a="1"/>
  <c r="H2531" i="448" s="1"/>
  <c r="H2530" i="448" s="1" a="1"/>
  <c r="H2530" i="448" s="1"/>
  <c r="H2529" i="448" s="1" a="1"/>
  <c r="H2529" i="448" s="1"/>
  <c r="H2168" i="448" a="1"/>
  <c r="H2168" i="448" s="1"/>
  <c r="H2167" i="448" s="1" a="1"/>
  <c r="H2167" i="448" s="1"/>
  <c r="H1995" i="448" a="1"/>
  <c r="H1995" i="448" s="1"/>
  <c r="H1994" i="448" s="1" a="1"/>
  <c r="H1994" i="448" s="1"/>
  <c r="H1993" i="448" s="1" a="1"/>
  <c r="H1993" i="448" s="1"/>
  <c r="H1992" i="448" s="1" a="1"/>
  <c r="H1992" i="448" s="1"/>
  <c r="H1703" i="448" a="1"/>
  <c r="H1703" i="448" s="1"/>
  <c r="H1702" i="448" s="1" a="1"/>
  <c r="H1702" i="448" s="1"/>
  <c r="H1701" i="448" s="1" a="1"/>
  <c r="H1701" i="448" s="1"/>
  <c r="H2740" i="448" a="1"/>
  <c r="H2740" i="448" s="1"/>
  <c r="H2739" i="448" s="1" a="1"/>
  <c r="H2739" i="448" s="1"/>
  <c r="H2688" i="448" a="1"/>
  <c r="H2688" i="448" s="1"/>
  <c r="H2687" i="448" s="1" a="1"/>
  <c r="H2687" i="448" s="1"/>
  <c r="H2686" i="448" s="1" a="1"/>
  <c r="H2686" i="448" s="1"/>
  <c r="H2685" i="448" s="1" a="1"/>
  <c r="H2685" i="448" s="1"/>
  <c r="H563" i="448" a="1"/>
  <c r="H563" i="448" s="1"/>
  <c r="H562" i="448" s="1" a="1"/>
  <c r="H562" i="448" s="1"/>
  <c r="H561" i="448" s="1" a="1"/>
  <c r="H561" i="448" s="1"/>
  <c r="H1948" i="448" a="1"/>
  <c r="H1948" i="448" s="1"/>
  <c r="H1947" i="448" s="1" a="1"/>
  <c r="H1947" i="448" s="1"/>
  <c r="H1946" i="448" s="1" a="1"/>
  <c r="H1946" i="448" s="1"/>
  <c r="H1945" i="448" s="1" a="1"/>
  <c r="H1945" i="448" s="1"/>
  <c r="H440" i="448" a="1"/>
  <c r="H440" i="448" s="1"/>
  <c r="H439" i="448" s="1" a="1"/>
  <c r="H439" i="448" s="1"/>
  <c r="H438" i="448" s="1" a="1"/>
  <c r="H438" i="448" s="1"/>
  <c r="M67" i="436" s="1"/>
  <c r="H2831" i="448" a="1"/>
  <c r="H2831" i="448" s="1"/>
  <c r="H2830" i="448" s="1" a="1"/>
  <c r="H2830" i="448" s="1"/>
  <c r="H2829" i="448" s="1" a="1"/>
  <c r="H2829" i="448" s="1"/>
  <c r="H2828" i="448" s="1" a="1"/>
  <c r="H2828" i="448" s="1"/>
  <c r="H2827" i="448" s="1" a="1"/>
  <c r="H2827" i="448" s="1"/>
  <c r="H2826" i="448" s="1" a="1"/>
  <c r="H2826" i="448" s="1"/>
  <c r="H2825" i="448" s="1" a="1"/>
  <c r="H2825" i="448" s="1"/>
  <c r="H2824" i="448" s="1" a="1"/>
  <c r="H2824" i="448" s="1"/>
  <c r="H2823" i="448" s="1" a="1"/>
  <c r="H2823" i="448" s="1"/>
  <c r="H2822" i="448" s="1" a="1"/>
  <c r="H2822" i="448" s="1"/>
  <c r="H2821" i="448" s="1" a="1"/>
  <c r="H2821" i="448" s="1"/>
  <c r="H2820" i="448" s="1" a="1"/>
  <c r="H2820" i="448" s="1"/>
  <c r="H2798" i="448" a="1"/>
  <c r="H2798" i="448" s="1"/>
  <c r="H2797" i="448" s="1" a="1"/>
  <c r="H2797" i="448" s="1"/>
  <c r="H2796" i="448" s="1" a="1"/>
  <c r="H2796" i="448" s="1"/>
  <c r="H2795" i="448" s="1" a="1"/>
  <c r="H2795" i="448" s="1"/>
  <c r="H2794" i="448" s="1" a="1"/>
  <c r="H2794" i="448" s="1"/>
  <c r="H2817" i="448" a="1"/>
  <c r="H2817" i="448" s="1"/>
  <c r="H2816" i="448" s="1" a="1"/>
  <c r="H2816" i="448" s="1"/>
  <c r="H2815" i="448" s="1" a="1"/>
  <c r="H2815" i="448" s="1"/>
  <c r="H2814" i="448" s="1" a="1"/>
  <c r="H2814" i="448" s="1"/>
  <c r="H2813" i="448" s="1" a="1"/>
  <c r="H2813" i="448" s="1"/>
  <c r="H2812" i="448" s="1" a="1"/>
  <c r="H2812" i="448" s="1"/>
  <c r="H2811" i="448" s="1" a="1"/>
  <c r="H2811" i="448" s="1"/>
  <c r="T11" i="456" s="1"/>
  <c r="U11" i="456" s="1"/>
  <c r="H2164" i="448" a="1"/>
  <c r="H2164" i="448" s="1"/>
  <c r="H2163" i="448" s="1" a="1"/>
  <c r="H2163" i="448" s="1"/>
  <c r="H2162" i="448" s="1" a="1"/>
  <c r="H2162" i="448" s="1"/>
  <c r="H2809" i="448" a="1"/>
  <c r="H2809" i="448" s="1"/>
  <c r="H2808" i="448" s="1" a="1"/>
  <c r="H2808" i="448" s="1"/>
  <c r="H2807" i="448" s="1" a="1"/>
  <c r="H2807" i="448" s="1"/>
  <c r="H2806" i="448" s="1" a="1"/>
  <c r="H2806" i="448" s="1"/>
  <c r="H2805" i="448" s="1" a="1"/>
  <c r="H2805" i="448" s="1"/>
  <c r="H2804" i="448" s="1" a="1"/>
  <c r="H2804" i="448" s="1"/>
  <c r="H2803" i="448" s="1" a="1"/>
  <c r="H2803" i="448" s="1"/>
  <c r="H2802" i="448" s="1" a="1"/>
  <c r="H2802" i="448" s="1"/>
  <c r="H436" i="448" a="1"/>
  <c r="H436" i="448" s="1"/>
  <c r="H435" i="448" s="1" a="1"/>
  <c r="H435" i="448" s="1"/>
  <c r="H434" i="448" s="1" a="1"/>
  <c r="H434" i="448" s="1"/>
  <c r="H433" i="448" s="1" a="1"/>
  <c r="H433" i="448" s="1"/>
  <c r="H432" i="448" s="1" a="1"/>
  <c r="H432" i="448" s="1"/>
  <c r="H431" i="448" s="1" a="1"/>
  <c r="H431" i="448" s="1"/>
  <c r="M64" i="436" s="1"/>
  <c r="H2871" i="448" a="1"/>
  <c r="H2871" i="448" s="1"/>
  <c r="H2870" i="448" s="1" a="1"/>
  <c r="H2870" i="448" s="1"/>
  <c r="H2869" i="448" s="1" a="1"/>
  <c r="H2869" i="448" s="1"/>
  <c r="H2868" i="448" s="1" a="1"/>
  <c r="H2868" i="448" s="1"/>
  <c r="H2867" i="448" s="1" a="1"/>
  <c r="H2867" i="448" s="1"/>
  <c r="H2866" i="448" s="1" a="1"/>
  <c r="H2866" i="448" s="1"/>
  <c r="H2865" i="448" s="1" a="1"/>
  <c r="H2865" i="448" s="1"/>
  <c r="H2864" i="448" s="1" a="1"/>
  <c r="H2864" i="448" s="1"/>
  <c r="H2863" i="448" s="1" a="1"/>
  <c r="H2863" i="448" s="1"/>
  <c r="H1635" i="448" a="1"/>
  <c r="H1635" i="448" s="1"/>
  <c r="H1634" i="448" s="1" a="1"/>
  <c r="H1634" i="448" s="1"/>
  <c r="H1633" i="448" s="1" a="1"/>
  <c r="H1633" i="448" s="1"/>
  <c r="H2711" i="448" a="1"/>
  <c r="H2711" i="448" s="1"/>
  <c r="H2710" i="448" s="1" a="1"/>
  <c r="H2710" i="448" s="1"/>
  <c r="H2523" i="448" a="1"/>
  <c r="H2523" i="448" s="1"/>
  <c r="H2522" i="448" s="1" a="1"/>
  <c r="H2522" i="448" s="1"/>
  <c r="H2521" i="448" s="1" a="1"/>
  <c r="H2521" i="448" s="1"/>
  <c r="H2728" i="448" a="1"/>
  <c r="H2728" i="448" s="1"/>
  <c r="H2727" i="448" s="1" a="1"/>
  <c r="H2727" i="448" s="1"/>
  <c r="H1777" i="448" a="1"/>
  <c r="H1777" i="448" s="1"/>
  <c r="H1776" i="448" s="1" a="1"/>
  <c r="H1776" i="448" s="1"/>
  <c r="H1775" i="448" s="1" a="1"/>
  <c r="H1775" i="448" s="1"/>
  <c r="H1672" i="448" a="1"/>
  <c r="H1672" i="448" s="1"/>
  <c r="H1671" i="448" s="1" a="1"/>
  <c r="H1671" i="448" s="1"/>
  <c r="H2976" i="448" a="1"/>
  <c r="H2976" i="448" s="1"/>
  <c r="H2975" i="448" s="1" a="1"/>
  <c r="H2975" i="448" s="1"/>
  <c r="H2974" i="448" s="1" a="1"/>
  <c r="H2974" i="448" s="1"/>
  <c r="H2973" i="448" s="1" a="1"/>
  <c r="H2973" i="448" s="1"/>
  <c r="H2972" i="448" s="1" a="1"/>
  <c r="H2972" i="448" s="1"/>
  <c r="H2212" i="448" a="1"/>
  <c r="H2212" i="448" s="1"/>
  <c r="H2211" i="448" s="1" a="1"/>
  <c r="H2211" i="448" s="1"/>
  <c r="H2072" i="448" a="1"/>
  <c r="H2072" i="448" s="1"/>
  <c r="H2071" i="448" s="1" a="1"/>
  <c r="H2071" i="448" s="1"/>
  <c r="H2070" i="448" s="1" a="1"/>
  <c r="H2070" i="448" s="1"/>
  <c r="H2069" i="448" s="1" a="1"/>
  <c r="H2069" i="448" s="1"/>
  <c r="H318" i="448" a="1"/>
  <c r="H318" i="448" s="1"/>
  <c r="H317" i="448" s="1" a="1"/>
  <c r="H317" i="448" s="1"/>
  <c r="H316" i="448" s="1" a="1"/>
  <c r="H316" i="448" s="1"/>
  <c r="H1439" i="448" a="1"/>
  <c r="H1439" i="448" s="1"/>
  <c r="H1438" i="448" s="1" a="1"/>
  <c r="H1438" i="448" s="1"/>
  <c r="H1437" i="448" s="1" a="1"/>
  <c r="H1437" i="448" s="1"/>
  <c r="H1436" i="448" s="1" a="1"/>
  <c r="H1436" i="448" s="1"/>
  <c r="H410" i="448" a="1"/>
  <c r="H410" i="448" s="1"/>
  <c r="H409" i="448" s="1" a="1"/>
  <c r="H409" i="448" s="1"/>
  <c r="H408" i="448" s="1" a="1"/>
  <c r="H408" i="448" s="1"/>
  <c r="H3023" i="448" a="1"/>
  <c r="H3023" i="448" s="1"/>
  <c r="H3022" i="448" s="1" a="1"/>
  <c r="H3022" i="448" s="1"/>
  <c r="H3021" i="448" s="1" a="1"/>
  <c r="H3021" i="448" s="1"/>
  <c r="H3020" i="448" s="1" a="1"/>
  <c r="H3020" i="448" s="1"/>
  <c r="H3019" i="448" s="1" a="1"/>
  <c r="H3019" i="448" s="1"/>
  <c r="H3018" i="448" s="1" a="1"/>
  <c r="H3018" i="448" s="1"/>
  <c r="H2958" i="448" a="1"/>
  <c r="H2958" i="448" s="1"/>
  <c r="H2957" i="448" s="1" a="1"/>
  <c r="H2957" i="448" s="1"/>
  <c r="H2956" i="448" s="1" a="1"/>
  <c r="H2956" i="448" s="1"/>
  <c r="H2955" i="448" s="1" a="1"/>
  <c r="H2955" i="448" s="1"/>
  <c r="H2954" i="448" s="1" a="1"/>
  <c r="H2954" i="448" s="1"/>
  <c r="H1598" i="448" a="1"/>
  <c r="H1598" i="448" s="1"/>
  <c r="H1597" i="448" s="1" a="1"/>
  <c r="H1597" i="448" s="1"/>
  <c r="H694" i="448" a="1"/>
  <c r="H694" i="448" s="1"/>
  <c r="H693" i="448" s="1" a="1"/>
  <c r="H693" i="448" s="1"/>
  <c r="H571" i="448" a="1"/>
  <c r="H571" i="448" s="1"/>
  <c r="H570" i="448" s="1" a="1"/>
  <c r="H570" i="448" s="1"/>
  <c r="H569" i="448" s="1" a="1"/>
  <c r="H569" i="448" s="1"/>
  <c r="H3031" i="448" a="1"/>
  <c r="H3031" i="448" s="1"/>
  <c r="H3030" i="448" s="1" a="1"/>
  <c r="H3030" i="448" s="1"/>
  <c r="H3029" i="448" s="1" a="1"/>
  <c r="H3029" i="448" s="1"/>
  <c r="H3028" i="448" s="1" a="1"/>
  <c r="H3028" i="448" s="1"/>
  <c r="H3027" i="448" s="1" a="1"/>
  <c r="H3027" i="448" s="1"/>
  <c r="H3026" i="448" s="1" a="1"/>
  <c r="H3026" i="448" s="1"/>
  <c r="H306" i="448" a="1"/>
  <c r="H306" i="448" s="1"/>
  <c r="H305" i="448" s="1" a="1"/>
  <c r="H305" i="448" s="1"/>
  <c r="H304" i="448" s="1" a="1"/>
  <c r="H304" i="448" s="1"/>
  <c r="H348" i="448" a="1"/>
  <c r="H348" i="448" s="1"/>
  <c r="H347" i="448" s="1" a="1"/>
  <c r="H347" i="448" s="1"/>
  <c r="H346" i="448" s="1" a="1"/>
  <c r="H346" i="448" s="1"/>
  <c r="H345" i="448" s="1" a="1"/>
  <c r="H345" i="448" s="1"/>
  <c r="H344" i="448" s="1" a="1"/>
  <c r="H344" i="448" s="1"/>
  <c r="H343" i="448" s="1" a="1"/>
  <c r="H343" i="448" s="1"/>
  <c r="H1862" i="448" a="1"/>
  <c r="H1862" i="448" s="1"/>
  <c r="H1861" i="448" s="1" a="1"/>
  <c r="H1861" i="448" s="1"/>
  <c r="H1860" i="448" s="1" a="1"/>
  <c r="H1860" i="448" s="1"/>
  <c r="H547" i="448" a="1"/>
  <c r="H547" i="448" s="1"/>
  <c r="H546" i="448" s="1" a="1"/>
  <c r="H546" i="448" s="1"/>
  <c r="M83" i="436" s="1"/>
  <c r="H2662" i="448" a="1"/>
  <c r="H2662" i="448" s="1"/>
  <c r="H2661" i="448" s="1" a="1"/>
  <c r="H2661" i="448" s="1"/>
  <c r="H2660" i="448" s="1" a="1"/>
  <c r="H2660" i="448" s="1"/>
  <c r="H2659" i="448" s="1" a="1"/>
  <c r="H2659" i="448" s="1"/>
  <c r="H2180" i="448" a="1"/>
  <c r="H2180" i="448" s="1"/>
  <c r="H2179" i="448" s="1" a="1"/>
  <c r="H2179" i="448" s="1"/>
  <c r="H386" i="448" a="1"/>
  <c r="H386" i="448" s="1"/>
  <c r="H385" i="448" s="1" a="1"/>
  <c r="H385" i="448" s="1"/>
  <c r="H452" i="448" a="1"/>
  <c r="H452" i="448" s="1"/>
  <c r="H451" i="448" s="1" a="1"/>
  <c r="H451" i="448" s="1"/>
  <c r="H450" i="448" s="1" a="1"/>
  <c r="H450" i="448" s="1"/>
  <c r="H1576" i="448" a="1"/>
  <c r="H1576" i="448" s="1"/>
  <c r="H1575" i="448" s="1" a="1"/>
  <c r="H1575" i="448" s="1"/>
  <c r="H1574" i="448" s="1" a="1"/>
  <c r="H1574" i="448" s="1"/>
  <c r="H414" i="448" a="1"/>
  <c r="H414" i="448" s="1"/>
  <c r="H413" i="448" s="1" a="1"/>
  <c r="H413" i="448" s="1"/>
  <c r="H412" i="448" s="1" a="1"/>
  <c r="H412" i="448" s="1"/>
  <c r="H1409" i="448" a="1"/>
  <c r="H1409" i="448" s="1"/>
  <c r="H1408" i="448" s="1" a="1"/>
  <c r="H1408" i="448" s="1"/>
  <c r="H1407" i="448" s="1" a="1"/>
  <c r="H1407" i="448" s="1"/>
  <c r="H1406" i="448" s="1" a="1"/>
  <c r="H1406" i="448" s="1"/>
  <c r="H2054" i="448" a="1"/>
  <c r="H2054" i="448" s="1"/>
  <c r="H2053" i="448" s="1" a="1"/>
  <c r="H2053" i="448" s="1"/>
  <c r="H2008" i="448" a="1"/>
  <c r="H2008" i="448" s="1"/>
  <c r="H2007" i="448" s="1" a="1"/>
  <c r="H2007" i="448" s="1"/>
  <c r="H2006" i="448" s="1" a="1"/>
  <c r="H2006" i="448" s="1"/>
  <c r="H418" i="448" a="1"/>
  <c r="H418" i="448" s="1"/>
  <c r="H417" i="448" s="1" a="1"/>
  <c r="H417" i="448" s="1"/>
  <c r="H416" i="448" s="1" a="1"/>
  <c r="H416" i="448" s="1"/>
  <c r="H464" i="448" a="1"/>
  <c r="H464" i="448" s="1"/>
  <c r="H463" i="448" s="1" a="1"/>
  <c r="H463" i="448" s="1"/>
  <c r="H462" i="448" s="1" a="1"/>
  <c r="H462" i="448" s="1"/>
  <c r="H2033" i="448" a="1"/>
  <c r="H2033" i="448" s="1"/>
  <c r="H2032" i="448" s="1" a="1"/>
  <c r="H2032" i="448" s="1"/>
  <c r="H2031" i="448" s="1" a="1"/>
  <c r="H2031" i="448" s="1"/>
  <c r="H2087" i="448" a="1"/>
  <c r="H2087" i="448" s="1"/>
  <c r="H2086" i="448" s="1" a="1"/>
  <c r="H2086" i="448" s="1"/>
  <c r="H2085" i="448" s="1" a="1"/>
  <c r="H2085" i="448" s="1"/>
  <c r="H2084" i="448" s="1" a="1"/>
  <c r="H2084" i="448" s="1"/>
  <c r="H3007" i="448" a="1"/>
  <c r="H3007" i="448" s="1"/>
  <c r="H3006" i="448" s="1" a="1"/>
  <c r="H3006" i="448" s="1"/>
  <c r="H3005" i="448" s="1" a="1"/>
  <c r="H3005" i="448" s="1"/>
  <c r="H3004" i="448" s="1" a="1"/>
  <c r="H3004" i="448" s="1"/>
  <c r="H3003" i="448" s="1" a="1"/>
  <c r="H3003" i="448" s="1"/>
  <c r="H3002" i="448" s="1" a="1"/>
  <c r="H3002" i="448" s="1"/>
  <c r="H1990" i="448" a="1"/>
  <c r="H1990" i="448" s="1"/>
  <c r="H1989" i="448" s="1" a="1"/>
  <c r="H1989" i="448" s="1"/>
  <c r="H1988" i="448" s="1" a="1"/>
  <c r="H1988" i="448" s="1"/>
  <c r="H1987" i="448" s="1" a="1"/>
  <c r="H1987" i="448" s="1"/>
  <c r="H1730" i="448" a="1"/>
  <c r="H1730" i="448" s="1"/>
  <c r="H1729" i="448" s="1" a="1"/>
  <c r="H1729" i="448" s="1"/>
  <c r="H1728" i="448" s="1" a="1"/>
  <c r="H1728" i="448" s="1"/>
  <c r="H298" i="448" a="1"/>
  <c r="H298" i="448" s="1"/>
  <c r="H297" i="448" s="1" a="1"/>
  <c r="H297" i="448" s="1"/>
  <c r="H296" i="448" s="1" a="1"/>
  <c r="H296" i="448" s="1"/>
  <c r="H2841" i="448" a="1"/>
  <c r="H2841" i="448" s="1"/>
  <c r="H2840" i="448" s="1" a="1"/>
  <c r="H2840" i="448" s="1"/>
  <c r="H2839" i="448" s="1" a="1"/>
  <c r="H2839" i="448" s="1"/>
  <c r="H2838" i="448" s="1" a="1"/>
  <c r="H2838" i="448" s="1"/>
  <c r="H2837" i="448" s="1" a="1"/>
  <c r="H2837" i="448" s="1"/>
  <c r="H2836" i="448" s="1" a="1"/>
  <c r="H2836" i="448" s="1"/>
  <c r="H2835" i="448" s="1" a="1"/>
  <c r="H2835" i="448" s="1"/>
  <c r="H2834" i="448" s="1" a="1"/>
  <c r="H2834" i="448" s="1"/>
  <c r="H2833" i="448" s="1" a="1"/>
  <c r="H2833" i="448" s="1"/>
  <c r="T16" i="456" s="1"/>
  <c r="U16" i="456" s="1"/>
  <c r="H2951" i="448" a="1"/>
  <c r="H2951" i="448" s="1"/>
  <c r="H2950" i="448" s="1" a="1"/>
  <c r="H2950" i="448" s="1"/>
  <c r="H2949" i="448" s="1" a="1"/>
  <c r="H2949" i="448" s="1"/>
  <c r="H2948" i="448" s="1" a="1"/>
  <c r="H2948" i="448" s="1"/>
  <c r="H1090" i="448" a="1"/>
  <c r="H1090" i="448" s="1"/>
  <c r="H1089" i="448" s="1" a="1"/>
  <c r="H1089" i="448" s="1"/>
  <c r="H1088" i="448" s="1" a="1"/>
  <c r="H1088" i="448" s="1"/>
  <c r="H1087" i="448" s="1" a="1"/>
  <c r="H1087" i="448" s="1"/>
  <c r="H1086" i="448" s="1" a="1"/>
  <c r="H1086" i="448" s="1"/>
  <c r="H1085" i="448" s="1" a="1"/>
  <c r="H1085" i="448" s="1"/>
  <c r="H1084" i="448" s="1" a="1"/>
  <c r="H1084" i="448" s="1"/>
  <c r="H1083" i="448" s="1" a="1"/>
  <c r="H1083" i="448" s="1"/>
  <c r="H1082" i="448" s="1" a="1"/>
  <c r="H1082" i="448" s="1"/>
  <c r="H1081" i="448" s="1" a="1"/>
  <c r="H1081" i="448" s="1"/>
  <c r="H1080" i="448" s="1" a="1"/>
  <c r="H1080" i="448" s="1"/>
  <c r="H1898" i="448" a="1"/>
  <c r="H1898" i="448" s="1"/>
  <c r="H1897" i="448" s="1" a="1"/>
  <c r="H1897" i="448" s="1"/>
  <c r="H1896" i="448" s="1" a="1"/>
  <c r="H1896" i="448" s="1"/>
  <c r="H1895" i="448" s="1" a="1"/>
  <c r="H1895" i="448" s="1"/>
  <c r="H1970" i="448" a="1"/>
  <c r="H1970" i="448" s="1"/>
  <c r="H1969" i="448" s="1" a="1"/>
  <c r="H1969" i="448" s="1"/>
  <c r="H1968" i="448" s="1" a="1"/>
  <c r="H1968" i="448" s="1"/>
  <c r="H1967" i="448" s="1" a="1"/>
  <c r="H1967" i="448" s="1"/>
  <c r="H1789" i="448" a="1"/>
  <c r="H1789" i="448" s="1"/>
  <c r="H1788" i="448" s="1" a="1"/>
  <c r="H1788" i="448" s="1"/>
  <c r="H1787" i="448" s="1" a="1"/>
  <c r="H1787" i="448" s="1"/>
  <c r="H375" i="448" a="1"/>
  <c r="H375" i="448" s="1"/>
  <c r="H374" i="448" s="1" a="1"/>
  <c r="H374" i="448" s="1"/>
  <c r="H373" i="448" s="1" a="1"/>
  <c r="H373" i="448" s="1"/>
  <c r="M48" i="436" s="1"/>
  <c r="H353" i="448" a="1"/>
  <c r="H353" i="448" s="1"/>
  <c r="H352" i="448" s="1" a="1"/>
  <c r="H352" i="448" s="1"/>
  <c r="H351" i="448" s="1" a="1"/>
  <c r="H351" i="448" s="1"/>
  <c r="H350" i="448" s="1" a="1"/>
  <c r="H350" i="448" s="1"/>
  <c r="H583" i="448" a="1"/>
  <c r="H583" i="448" s="1"/>
  <c r="H582" i="448" s="1" a="1"/>
  <c r="H582" i="448" s="1"/>
  <c r="H581" i="448" s="1" a="1"/>
  <c r="H581" i="448" s="1"/>
  <c r="H2174" i="448" a="1"/>
  <c r="H2174" i="448" s="1"/>
  <c r="H2173" i="448" s="1" a="1"/>
  <c r="H2173" i="448" s="1"/>
  <c r="H2172" i="448" s="1" a="1"/>
  <c r="H2172" i="448" s="1"/>
  <c r="H2171" i="448" s="1" a="1"/>
  <c r="H2171" i="448" s="1"/>
  <c r="H3038" i="448" a="1"/>
  <c r="H3038" i="448" s="1"/>
  <c r="H3037" i="448" s="1" a="1"/>
  <c r="H3037" i="448" s="1"/>
  <c r="H3036" i="448" s="1" a="1"/>
  <c r="H3036" i="448" s="1"/>
  <c r="H402" i="448" a="1"/>
  <c r="H402" i="448" s="1"/>
  <c r="H401" i="448" s="1" a="1"/>
  <c r="H401" i="448" s="1"/>
  <c r="H400" i="448" s="1" a="1"/>
  <c r="H400" i="448" s="1"/>
  <c r="H1685" i="448" a="1"/>
  <c r="H1685" i="448" s="1"/>
  <c r="H1684" i="448" s="1" a="1"/>
  <c r="H1684" i="448" s="1"/>
  <c r="H1683" i="448" s="1" a="1"/>
  <c r="H1683" i="448" s="1"/>
  <c r="H1706" i="448" a="1"/>
  <c r="H1706" i="448" s="1"/>
  <c r="H1705" i="448" s="1" a="1"/>
  <c r="H1705" i="448" s="1"/>
  <c r="H1631" i="448" a="1"/>
  <c r="H1631" i="448" s="1"/>
  <c r="H1630" i="448" s="1" a="1"/>
  <c r="H1630" i="448" s="1"/>
  <c r="H2939" i="448" a="1"/>
  <c r="H2939" i="448" s="1"/>
  <c r="H2938" i="448" s="1" a="1"/>
  <c r="H2938" i="448" s="1"/>
  <c r="H1793" i="448" a="1"/>
  <c r="H1793" i="448" s="1"/>
  <c r="H1792" i="448" s="1" a="1"/>
  <c r="H1792" i="448" s="1"/>
  <c r="H1791" i="448" s="1" a="1"/>
  <c r="H1791" i="448" s="1"/>
  <c r="H1628" i="448" a="1"/>
  <c r="H1628" i="448" s="1"/>
  <c r="H1627" i="448" s="1" a="1"/>
  <c r="H1627" i="448" s="1"/>
  <c r="H1893" i="448" a="1"/>
  <c r="H1893" i="448" s="1"/>
  <c r="H1892" i="448" s="1" a="1"/>
  <c r="H1892" i="448" s="1"/>
  <c r="H1891" i="448" s="1" a="1"/>
  <c r="H1891" i="448" s="1"/>
  <c r="H1890" i="448" s="1" a="1"/>
  <c r="H1890" i="448" s="1"/>
  <c r="H1681" i="448" a="1"/>
  <c r="H1681" i="448" s="1"/>
  <c r="H1680" i="448" s="1" a="1"/>
  <c r="H1680" i="448" s="1"/>
  <c r="H1679" i="448" s="1" a="1"/>
  <c r="H1679" i="448" s="1"/>
  <c r="H1319" i="448" a="1"/>
  <c r="H1319" i="448" s="1"/>
  <c r="H1318" i="448" s="1" a="1"/>
  <c r="H1318" i="448" s="1"/>
  <c r="H1317" i="448" s="1" a="1"/>
  <c r="H1317" i="448" s="1"/>
  <c r="H1316" i="448" s="1" a="1"/>
  <c r="H1316" i="448" s="1"/>
  <c r="H1724" i="448" a="1"/>
  <c r="H1724" i="448" s="1"/>
  <c r="H1723" i="448" s="1" a="1"/>
  <c r="H1723" i="448" s="1"/>
  <c r="H1722" i="448" s="1" a="1"/>
  <c r="H1722" i="448" s="1"/>
  <c r="H2391" i="448" a="1"/>
  <c r="H2391" i="448" s="1"/>
  <c r="H2390" i="448" s="1" a="1"/>
  <c r="H2390" i="448" s="1"/>
  <c r="H367" i="448" a="1"/>
  <c r="H367" i="448" s="1"/>
  <c r="H366" i="448" s="1" a="1"/>
  <c r="H366" i="448" s="1"/>
  <c r="H365" i="448" s="1" a="1"/>
  <c r="H365" i="448" s="1"/>
  <c r="M46" i="436" s="1"/>
  <c r="H1584" i="448" a="1"/>
  <c r="H1584" i="448" s="1"/>
  <c r="H1583" i="448" s="1" a="1"/>
  <c r="H1583" i="448" s="1"/>
  <c r="H1582" i="448" s="1" a="1"/>
  <c r="H1582" i="448" s="1"/>
  <c r="H314" i="448" a="1"/>
  <c r="H314" i="448" s="1"/>
  <c r="H313" i="448" s="1" a="1"/>
  <c r="H313" i="448" s="1"/>
  <c r="H312" i="448" s="1" a="1"/>
  <c r="H312" i="448" s="1"/>
  <c r="H2116" i="448" a="1"/>
  <c r="H2116" i="448" s="1"/>
  <c r="H2115" i="448" s="1" a="1"/>
  <c r="H2115" i="448" s="1"/>
  <c r="H2114" i="448" s="1" a="1"/>
  <c r="H2114" i="448" s="1"/>
  <c r="H1451" i="448" a="1"/>
  <c r="H1451" i="448" s="1"/>
  <c r="H1450" i="448" s="1" a="1"/>
  <c r="H1450" i="448" s="1"/>
  <c r="H2262" i="448" a="1"/>
  <c r="H2262" i="448" s="1"/>
  <c r="H2261" i="448" s="1" a="1"/>
  <c r="H2261" i="448" s="1"/>
  <c r="H2260" i="448" s="1" a="1"/>
  <c r="H2260" i="448" s="1"/>
  <c r="H1434" i="448" a="1"/>
  <c r="H1434" i="448" s="1"/>
  <c r="H1433" i="448" s="1" a="1"/>
  <c r="H1433" i="448" s="1"/>
  <c r="H1432" i="448" s="1" a="1"/>
  <c r="H1432" i="448" s="1"/>
  <c r="H1431" i="448" s="1" a="1"/>
  <c r="H1431" i="448" s="1"/>
  <c r="H2000" i="448" a="1"/>
  <c r="H2000" i="448" s="1"/>
  <c r="H1999" i="448" s="1" a="1"/>
  <c r="H1999" i="448" s="1"/>
  <c r="H1998" i="448" s="1" a="1"/>
  <c r="H1998" i="448" s="1"/>
  <c r="H1997" i="448" s="1" a="1"/>
  <c r="H1997" i="448" s="1"/>
  <c r="H338" i="448" a="1"/>
  <c r="H338" i="448" s="1"/>
  <c r="H337" i="448" s="1" a="1"/>
  <c r="H337" i="448" s="1"/>
  <c r="H336" i="448" s="1" a="1"/>
  <c r="H336" i="448" s="1"/>
  <c r="H579" i="448" a="1"/>
  <c r="H579" i="448" s="1"/>
  <c r="H578" i="448" s="1" a="1"/>
  <c r="H578" i="448" s="1"/>
  <c r="H577" i="448" s="1" a="1"/>
  <c r="H577" i="448" s="1"/>
  <c r="H1474" i="448" a="1"/>
  <c r="H1474" i="448" s="1"/>
  <c r="H1473" i="448" s="1" a="1"/>
  <c r="H1473" i="448" s="1"/>
  <c r="H1472" i="448" s="1" a="1"/>
  <c r="H1472" i="448" s="1"/>
  <c r="H379" i="448" a="1"/>
  <c r="H379" i="448" s="1"/>
  <c r="H378" i="448" s="1" a="1"/>
  <c r="H378" i="448" s="1"/>
  <c r="H377" i="448" s="1" a="1"/>
  <c r="H377" i="448" s="1"/>
  <c r="M49" i="436" s="1"/>
  <c r="H1201" i="448" a="1"/>
  <c r="H1201" i="448" s="1"/>
  <c r="H1200" i="448" s="1" a="1"/>
  <c r="H1200" i="448" s="1"/>
  <c r="H2720" i="448" a="1"/>
  <c r="H2720" i="448" s="1"/>
  <c r="H2719" i="448" s="1" a="1"/>
  <c r="H2719" i="448" s="1"/>
  <c r="H2467" i="448" a="1"/>
  <c r="H2467" i="448" s="1"/>
  <c r="H2466" i="448" s="1" a="1"/>
  <c r="H2466" i="448" s="1"/>
  <c r="H2465" i="448" s="1" a="1"/>
  <c r="H2465" i="448" s="1"/>
  <c r="H2464" i="448" s="1" a="1"/>
  <c r="H2464" i="448" s="1"/>
  <c r="H826" i="448" a="1"/>
  <c r="H826" i="448" s="1"/>
  <c r="H825" i="448" s="1" a="1"/>
  <c r="H825" i="448" s="1"/>
  <c r="H824" i="448" s="1" a="1"/>
  <c r="H824" i="448" s="1"/>
  <c r="H823" i="448" s="1" a="1"/>
  <c r="H823" i="448" s="1"/>
  <c r="H822" i="448" s="1" a="1"/>
  <c r="H822" i="448" s="1"/>
  <c r="H821" i="448" s="1" a="1"/>
  <c r="H821" i="448" s="1"/>
  <c r="H820" i="448" s="1" a="1"/>
  <c r="H820" i="448" s="1"/>
  <c r="H819" i="448" s="1" a="1"/>
  <c r="H819" i="448" s="1"/>
  <c r="H1918" i="448" a="1"/>
  <c r="H1918" i="448" s="1"/>
  <c r="H1917" i="448" s="1" a="1"/>
  <c r="H1917" i="448" s="1"/>
  <c r="H1916" i="448" s="1" a="1"/>
  <c r="H1916" i="448" s="1"/>
  <c r="H1915" i="448" s="1" a="1"/>
  <c r="H1915" i="448" s="1"/>
  <c r="H1310" i="448" a="1"/>
  <c r="H1310" i="448" s="1"/>
  <c r="H1309" i="448" s="1" a="1"/>
  <c r="H1309" i="448" s="1"/>
  <c r="H1308" i="448" s="1" a="1"/>
  <c r="H1308" i="448" s="1"/>
  <c r="H1307" i="448" s="1" a="1"/>
  <c r="H1307" i="448" s="1"/>
  <c r="M267" i="436" s="1"/>
  <c r="N267" i="436" s="1"/>
  <c r="H2550" i="448" a="1"/>
  <c r="H2550" i="448" s="1"/>
  <c r="H2549" i="448" s="1" a="1"/>
  <c r="H2549" i="448" s="1"/>
  <c r="H2548" i="448" s="1" a="1"/>
  <c r="H2548" i="448" s="1"/>
  <c r="H2547" i="448" s="1" a="1"/>
  <c r="H2547" i="448" s="1"/>
  <c r="H1985" i="448" a="1"/>
  <c r="H1985" i="448" s="1"/>
  <c r="H1984" i="448" s="1" a="1"/>
  <c r="H1984" i="448" s="1"/>
  <c r="H1983" i="448" s="1" a="1"/>
  <c r="H1983" i="448" s="1"/>
  <c r="H1982" i="448" s="1" a="1"/>
  <c r="H1982" i="448" s="1"/>
  <c r="H1843" i="448" a="1"/>
  <c r="H1843" i="448" s="1"/>
  <c r="H1842" i="448" s="1" a="1"/>
  <c r="H1842" i="448" s="1"/>
  <c r="H1841" i="448" s="1" a="1"/>
  <c r="H1841" i="448" s="1"/>
  <c r="H1840" i="448" s="1" a="1"/>
  <c r="H1840" i="448" s="1"/>
  <c r="H1858" i="448" a="1"/>
  <c r="H1858" i="448" s="1"/>
  <c r="H1857" i="448" s="1" a="1"/>
  <c r="H1857" i="448" s="1"/>
  <c r="H1856" i="448" s="1" a="1"/>
  <c r="H1856" i="448" s="1"/>
  <c r="H1855" i="448" s="1" a="1"/>
  <c r="H1855" i="448" s="1"/>
  <c r="H1601" i="448" a="1"/>
  <c r="H1601" i="448" s="1"/>
  <c r="H1600" i="448" s="1" a="1"/>
  <c r="H1600" i="448" s="1"/>
  <c r="H1943" i="448" a="1"/>
  <c r="H1943" i="448" s="1"/>
  <c r="H1942" i="448" s="1" a="1"/>
  <c r="H1942" i="448" s="1"/>
  <c r="H1941" i="448" s="1" a="1"/>
  <c r="H1941" i="448" s="1"/>
  <c r="H1940" i="448" s="1" a="1"/>
  <c r="H1940" i="448" s="1"/>
  <c r="H1647" i="448" a="1"/>
  <c r="H1647" i="448" s="1"/>
  <c r="H1646" i="448" s="1" a="1"/>
  <c r="H1646" i="448" s="1"/>
  <c r="H627" i="448" a="1"/>
  <c r="H627" i="448" s="1"/>
  <c r="H626" i="448" s="1" a="1"/>
  <c r="H626" i="448" s="1"/>
  <c r="H625" i="448" s="1" a="1"/>
  <c r="H625" i="448" s="1"/>
  <c r="M373" i="436"/>
  <c r="N373" i="436" s="1"/>
  <c r="H2374" i="448" a="1"/>
  <c r="H2374" i="448" s="1"/>
  <c r="H2373" i="448" s="1" a="1"/>
  <c r="H2373" i="448" s="1"/>
  <c r="H2372" i="448" s="1" a="1"/>
  <c r="H2372" i="448" s="1"/>
  <c r="H2095" i="448" a="1"/>
  <c r="H2095" i="448" s="1"/>
  <c r="H2094" i="448" s="1" a="1"/>
  <c r="H2094" i="448" s="1"/>
  <c r="H2472" i="448" a="1"/>
  <c r="H2472" i="448" s="1"/>
  <c r="H2471" i="448" s="1" a="1"/>
  <c r="H2471" i="448" s="1"/>
  <c r="H2470" i="448" s="1" a="1"/>
  <c r="H2470" i="448" s="1"/>
  <c r="H2469" i="448" s="1" a="1"/>
  <c r="H2469" i="448" s="1"/>
  <c r="H1928" i="448" a="1"/>
  <c r="H1928" i="448" s="1"/>
  <c r="H1927" i="448" s="1" a="1"/>
  <c r="H1927" i="448" s="1"/>
  <c r="H1926" i="448" s="1" a="1"/>
  <c r="H1926" i="448" s="1"/>
  <c r="H1925" i="448" s="1" a="1"/>
  <c r="H1925" i="448" s="1"/>
  <c r="H494" i="448" a="1"/>
  <c r="H494" i="448" s="1"/>
  <c r="H493" i="448" s="1" a="1"/>
  <c r="H493" i="448" s="1"/>
  <c r="H492" i="448" s="1" a="1"/>
  <c r="H492" i="448" s="1"/>
  <c r="H1078" i="448" a="1"/>
  <c r="H1078" i="448" s="1"/>
  <c r="H1077" i="448" s="1" a="1"/>
  <c r="H1077" i="448" s="1"/>
  <c r="H1076" i="448" s="1" a="1"/>
  <c r="H1076" i="448" s="1"/>
  <c r="H1075" i="448" s="1" a="1"/>
  <c r="H1075" i="448" s="1"/>
  <c r="H1074" i="448" s="1" a="1"/>
  <c r="H1074" i="448" s="1"/>
  <c r="H1625" i="448" a="1"/>
  <c r="H1625" i="448" s="1"/>
  <c r="H1624" i="448" s="1" a="1"/>
  <c r="H1624" i="448" s="1"/>
  <c r="H2316" i="448" a="1"/>
  <c r="H2316" i="448" s="1"/>
  <c r="H2315" i="448" s="1" a="1"/>
  <c r="H2315" i="448" s="1"/>
  <c r="H2314" i="448" s="1" a="1"/>
  <c r="H2314" i="448" s="1"/>
  <c r="M356" i="436" s="1"/>
  <c r="N356" i="436" s="1"/>
  <c r="H1653" i="448" a="1"/>
  <c r="H1653" i="448" s="1"/>
  <c r="H1652" i="448" s="1" a="1"/>
  <c r="H1652" i="448" s="1"/>
  <c r="H326" i="448" a="1"/>
  <c r="H326" i="448" s="1"/>
  <c r="H325" i="448" s="1" a="1"/>
  <c r="H325" i="448" s="1"/>
  <c r="H324" i="448" s="1" a="1"/>
  <c r="H324" i="448" s="1"/>
  <c r="M71" i="436" s="1"/>
  <c r="H591" i="448" a="1"/>
  <c r="H591" i="448" s="1"/>
  <c r="H590" i="448" s="1" a="1"/>
  <c r="H590" i="448" s="1"/>
  <c r="H589" i="448" s="1" a="1"/>
  <c r="H589" i="448" s="1"/>
  <c r="H2224" i="448" a="1"/>
  <c r="H2224" i="448" s="1"/>
  <c r="H2223" i="448" s="1" a="1"/>
  <c r="H2223" i="448" s="1"/>
  <c r="H2222" i="448" s="1" a="1"/>
  <c r="H2222" i="448" s="1"/>
  <c r="H2221" i="448" s="1" a="1"/>
  <c r="H2221" i="448" s="1"/>
  <c r="H536" i="448" a="1"/>
  <c r="H536" i="448" s="1"/>
  <c r="H535" i="448" s="1" a="1"/>
  <c r="H535" i="448" s="1"/>
  <c r="H2003" i="448" a="1"/>
  <c r="H2003" i="448" s="1"/>
  <c r="H2002" i="448" s="1" a="1"/>
  <c r="H2002" i="448" s="1"/>
  <c r="H2152" i="448" a="1"/>
  <c r="H2152" i="448" s="1"/>
  <c r="H2151" i="448" s="1" a="1"/>
  <c r="H2151" i="448" s="1"/>
  <c r="H2150" i="448" s="1" a="1"/>
  <c r="H2150" i="448" s="1"/>
  <c r="H2149" i="448" s="1" a="1"/>
  <c r="H2149" i="448" s="1"/>
  <c r="H2946" i="448" a="1"/>
  <c r="H2946" i="448" s="1"/>
  <c r="H2945" i="448" s="1" a="1"/>
  <c r="H2945" i="448" s="1"/>
  <c r="H2944" i="448" s="1" a="1"/>
  <c r="H2944" i="448" s="1"/>
  <c r="H2943" i="448" s="1" a="1"/>
  <c r="H2943" i="448" s="1"/>
  <c r="H2942" i="448" s="1" a="1"/>
  <c r="H2942" i="448" s="1"/>
  <c r="H1278" i="448" a="1"/>
  <c r="H1278" i="448" s="1"/>
  <c r="H1277" i="448" s="1" a="1"/>
  <c r="H1277" i="448" s="1"/>
  <c r="H1344" i="448" a="1"/>
  <c r="H1344" i="448" s="1"/>
  <c r="H1343" i="448" s="1" a="1"/>
  <c r="H1343" i="448" s="1"/>
  <c r="H1342" i="448" s="1" a="1"/>
  <c r="H1342" i="448" s="1"/>
  <c r="H1341" i="448" s="1" a="1"/>
  <c r="H1341" i="448" s="1"/>
  <c r="H527" i="448" a="1"/>
  <c r="H527" i="448" s="1"/>
  <c r="H526" i="448" s="1" a="1"/>
  <c r="H526" i="448" s="1"/>
  <c r="H525" i="448" s="1" a="1"/>
  <c r="H525" i="448" s="1"/>
  <c r="H2195" i="448" a="1"/>
  <c r="H2195" i="448" s="1"/>
  <c r="H2194" i="448" s="1" a="1"/>
  <c r="H2194" i="448" s="1"/>
  <c r="H2193" i="448" s="1" a="1"/>
  <c r="H2193" i="448" s="1"/>
  <c r="H2192" i="448" s="1" a="1"/>
  <c r="H2192" i="448" s="1"/>
  <c r="H1720" i="448" a="1"/>
  <c r="H1720" i="448" s="1"/>
  <c r="H1719" i="448" s="1" a="1"/>
  <c r="H1719" i="448" s="1"/>
  <c r="H1138" i="448" a="1"/>
  <c r="H1138" i="448" s="1"/>
  <c r="H1137" i="448" s="1" a="1"/>
  <c r="H1137" i="448" s="1"/>
  <c r="H1136" i="448" s="1" a="1"/>
  <c r="H1136" i="448" s="1"/>
  <c r="H1135" i="448" s="1" a="1"/>
  <c r="H1135" i="448" s="1"/>
  <c r="H1134" i="448" s="1" a="1"/>
  <c r="H1134" i="448" s="1"/>
  <c r="H1133" i="448" s="1" a="1"/>
  <c r="H1133" i="448" s="1"/>
  <c r="H1132" i="448" s="1" a="1"/>
  <c r="H1132" i="448" s="1"/>
  <c r="H1131" i="448" s="1" a="1"/>
  <c r="H1131" i="448" s="1"/>
  <c r="H1130" i="448" s="1" a="1"/>
  <c r="H1130" i="448" s="1"/>
  <c r="H1129" i="448" s="1" a="1"/>
  <c r="H1129" i="448" s="1"/>
  <c r="H1128" i="448" s="1" a="1"/>
  <c r="H1128" i="448" s="1"/>
  <c r="H2935" i="448" a="1"/>
  <c r="H2935" i="448" s="1"/>
  <c r="H2934" i="448" s="1" a="1"/>
  <c r="H2934" i="448" s="1"/>
  <c r="H544" i="448" a="1"/>
  <c r="H544" i="448" s="1"/>
  <c r="H543" i="448" s="1" a="1"/>
  <c r="H543" i="448" s="1"/>
  <c r="H542" i="448" s="1" a="1"/>
  <c r="H542" i="448" s="1"/>
  <c r="H541" i="448" s="1" a="1"/>
  <c r="H541" i="448" s="1"/>
  <c r="H2108" i="448" a="1"/>
  <c r="H2108" i="448" s="1"/>
  <c r="H2107" i="448" s="1" a="1"/>
  <c r="H2107" i="448" s="1"/>
  <c r="H2106" i="448" s="1" a="1"/>
  <c r="H2106" i="448" s="1"/>
  <c r="H1873" i="448" a="1"/>
  <c r="H1873" i="448" s="1"/>
  <c r="H1872" i="448" s="1" a="1"/>
  <c r="H1872" i="448" s="1"/>
  <c r="H1871" i="448" s="1" a="1"/>
  <c r="H1871" i="448" s="1"/>
  <c r="H1870" i="448" s="1" a="1"/>
  <c r="H1870" i="448" s="1"/>
  <c r="H607" i="448" a="1"/>
  <c r="H607" i="448" s="1"/>
  <c r="H606" i="448" s="1" a="1"/>
  <c r="H606" i="448" s="1"/>
  <c r="H605" i="448" s="1" a="1"/>
  <c r="H605" i="448" s="1"/>
  <c r="H539" i="448" a="1"/>
  <c r="H539" i="448" s="1"/>
  <c r="H538" i="448" s="1" a="1"/>
  <c r="H538" i="448" s="1"/>
  <c r="H575" i="448" a="1"/>
  <c r="H575" i="448" s="1"/>
  <c r="H574" i="448" s="1" a="1"/>
  <c r="H574" i="448" s="1"/>
  <c r="H573" i="448" s="1" a="1"/>
  <c r="H573" i="448" s="1"/>
  <c r="H2346" i="448" a="1"/>
  <c r="H2346" i="448" s="1"/>
  <c r="H2345" i="448" s="1" a="1"/>
  <c r="H2345" i="448" s="1"/>
  <c r="H2784" i="448" a="1"/>
  <c r="H2784" i="448" s="1"/>
  <c r="H2783" i="448" s="1" a="1"/>
  <c r="H2783" i="448" s="1"/>
  <c r="H2782" i="448" s="1" a="1"/>
  <c r="H2782" i="448" s="1"/>
  <c r="H2781" i="448" s="1" a="1"/>
  <c r="H2781" i="448" s="1"/>
  <c r="H2780" i="448" s="1" a="1"/>
  <c r="H2780" i="448" s="1"/>
  <c r="H2779" i="448" s="1" a="1"/>
  <c r="H2779" i="448" s="1"/>
  <c r="H2778" i="448" s="1" a="1"/>
  <c r="H2778" i="448" s="1"/>
  <c r="T9" i="456" s="1"/>
  <c r="H485" i="448" a="1"/>
  <c r="H485" i="448" s="1"/>
  <c r="H484" i="448" s="1" a="1"/>
  <c r="H484" i="448" s="1"/>
  <c r="H483" i="448" s="1" a="1"/>
  <c r="H483" i="448" s="1"/>
  <c r="H482" i="448" s="1" a="1"/>
  <c r="H482" i="448" s="1"/>
  <c r="H481" i="448" s="1" a="1"/>
  <c r="H481" i="448" s="1"/>
  <c r="H1785" i="448" a="1"/>
  <c r="H1785" i="448" s="1"/>
  <c r="H1784" i="448" s="1" a="1"/>
  <c r="H1784" i="448" s="1"/>
  <c r="H1783" i="448" s="1" a="1"/>
  <c r="H1783" i="448" s="1"/>
  <c r="H1980" i="448" a="1"/>
  <c r="H1980" i="448" s="1"/>
  <c r="H1979" i="448" s="1" a="1"/>
  <c r="H1979" i="448" s="1"/>
  <c r="H1978" i="448" s="1" a="1"/>
  <c r="H1978" i="448" s="1"/>
  <c r="H1977" i="448" s="1" a="1"/>
  <c r="H1977" i="448" s="1"/>
  <c r="H835" i="448" a="1"/>
  <c r="H835" i="448" s="1"/>
  <c r="H834" i="448" s="1" a="1"/>
  <c r="H834" i="448" s="1"/>
  <c r="H476" i="448" a="1"/>
  <c r="H476" i="448" s="1"/>
  <c r="H475" i="448" s="1" a="1"/>
  <c r="H475" i="448" s="1"/>
  <c r="H474" i="448" s="1" a="1"/>
  <c r="H474" i="448" s="1"/>
  <c r="H904" i="448" a="1"/>
  <c r="H904" i="448" s="1"/>
  <c r="H903" i="448" s="1" a="1"/>
  <c r="H903" i="448" s="1"/>
  <c r="H902" i="448" s="1" a="1"/>
  <c r="H902" i="448" s="1"/>
  <c r="H901" i="448" s="1" a="1"/>
  <c r="H901" i="448" s="1"/>
  <c r="H900" i="448" s="1" a="1"/>
  <c r="H900" i="448" s="1"/>
  <c r="H899" i="448" s="1" a="1"/>
  <c r="H899" i="448" s="1"/>
  <c r="H898" i="448" s="1" a="1"/>
  <c r="H898" i="448" s="1"/>
  <c r="H897" i="448" s="1" a="1"/>
  <c r="H897" i="448" s="1"/>
  <c r="H896" i="448" s="1" a="1"/>
  <c r="H896" i="448" s="1"/>
  <c r="H895" i="448" s="1" a="1"/>
  <c r="H895" i="448" s="1"/>
  <c r="H2564" i="448" a="1"/>
  <c r="H2564" i="448" s="1"/>
  <c r="H2563" i="448" s="1" a="1"/>
  <c r="H2563" i="448" s="1"/>
  <c r="H2562" i="448" s="1" a="1"/>
  <c r="H2562" i="448" s="1"/>
  <c r="H2555" i="448" a="1"/>
  <c r="H2555" i="448" s="1"/>
  <c r="H2554" i="448" s="1" a="1"/>
  <c r="H2554" i="448" s="1"/>
  <c r="H2553" i="448" s="1" a="1"/>
  <c r="H2553" i="448" s="1"/>
  <c r="H2552" i="448" s="1" a="1"/>
  <c r="H2552" i="448" s="1"/>
  <c r="H1460" i="448" a="1"/>
  <c r="H1460" i="448" s="1"/>
  <c r="H1459" i="448" s="1" a="1"/>
  <c r="H1459" i="448" s="1"/>
  <c r="H1616" i="448" a="1"/>
  <c r="H1616" i="448" s="1"/>
  <c r="H1615" i="448" s="1" a="1"/>
  <c r="H1615" i="448" s="1"/>
  <c r="H1114" i="448" a="1"/>
  <c r="H1114" i="448" s="1"/>
  <c r="H1113" i="448" s="1" a="1"/>
  <c r="H1113" i="448" s="1"/>
  <c r="H1112" i="448" s="1" a="1"/>
  <c r="H1112" i="448" s="1"/>
  <c r="H1111" i="448" s="1" a="1"/>
  <c r="H1111" i="448" s="1"/>
  <c r="H1110" i="448" s="1" a="1"/>
  <c r="H1110" i="448" s="1"/>
  <c r="H1109" i="448" s="1" a="1"/>
  <c r="H1109" i="448" s="1"/>
  <c r="H1108" i="448" s="1" a="1"/>
  <c r="H1108" i="448" s="1"/>
  <c r="H1107" i="448" s="1" a="1"/>
  <c r="H1107" i="448" s="1"/>
  <c r="H1106" i="448" s="1" a="1"/>
  <c r="H1106" i="448" s="1"/>
  <c r="H1105" i="448" s="1" a="1"/>
  <c r="H1105" i="448" s="1"/>
  <c r="H1104" i="448" s="1" a="1"/>
  <c r="H1104" i="448" s="1"/>
  <c r="H2703" i="448" a="1"/>
  <c r="H2703" i="448" s="1"/>
  <c r="H2702" i="448" s="1" a="1"/>
  <c r="H2702" i="448" s="1"/>
  <c r="H587" i="448" a="1"/>
  <c r="H587" i="448" s="1"/>
  <c r="H586" i="448" s="1" a="1"/>
  <c r="H586" i="448" s="1"/>
  <c r="H585" i="448" s="1" a="1"/>
  <c r="H585" i="448" s="1"/>
  <c r="H2037" i="448" a="1"/>
  <c r="H2037" i="448" s="1"/>
  <c r="H2036" i="448" s="1" a="1"/>
  <c r="H2036" i="448" s="1"/>
  <c r="H2035" i="448" s="1" a="1"/>
  <c r="H2035" i="448" s="1"/>
  <c r="H533" i="448" a="1"/>
  <c r="H533" i="448" s="1"/>
  <c r="H532" i="448" s="1" a="1"/>
  <c r="H532" i="448" s="1"/>
  <c r="H531" i="448" s="1" a="1"/>
  <c r="H531" i="448" s="1"/>
  <c r="H530" i="448" s="1" a="1"/>
  <c r="H530" i="448" s="1"/>
  <c r="H448" i="448" a="1"/>
  <c r="H448" i="448" s="1"/>
  <c r="H447" i="448" s="1" a="1"/>
  <c r="H447" i="448" s="1"/>
  <c r="H446" i="448" s="1" a="1"/>
  <c r="H446" i="448" s="1"/>
  <c r="H1714" i="448" a="1"/>
  <c r="H1714" i="448" s="1"/>
  <c r="H1713" i="448" s="1" a="1"/>
  <c r="H1713" i="448" s="1"/>
  <c r="H1712" i="448" s="1" a="1"/>
  <c r="H1712" i="448" s="1"/>
  <c r="H2188" i="448" a="1"/>
  <c r="H2188" i="448" s="1"/>
  <c r="H2187" i="448" s="1" a="1"/>
  <c r="H2187" i="448" s="1"/>
  <c r="H2186" i="448" s="1" a="1"/>
  <c r="H2186" i="448" s="1"/>
  <c r="H1933" i="448" a="1"/>
  <c r="H1933" i="448" s="1"/>
  <c r="H1932" i="448" s="1" a="1"/>
  <c r="H1932" i="448" s="1"/>
  <c r="H1931" i="448" s="1" a="1"/>
  <c r="H1931" i="448" s="1"/>
  <c r="H1930" i="448" s="1" a="1"/>
  <c r="H1930" i="448" s="1"/>
  <c r="H1592" i="448" a="1"/>
  <c r="H1592" i="448" s="1"/>
  <c r="H1591" i="448" s="1" a="1"/>
  <c r="H1591" i="448" s="1"/>
  <c r="H1590" i="448" s="1" a="1"/>
  <c r="H1590" i="448" s="1"/>
  <c r="H3016" i="448" a="1"/>
  <c r="H3016" i="448" s="1"/>
  <c r="H3015" i="448" s="1" a="1"/>
  <c r="H3015" i="448" s="1"/>
  <c r="H3014" i="448" s="1" a="1"/>
  <c r="H3014" i="448" s="1"/>
  <c r="H3013" i="448" s="1" a="1"/>
  <c r="H3013" i="448" s="1"/>
  <c r="H3012" i="448" s="1" a="1"/>
  <c r="H3012" i="448" s="1"/>
  <c r="H3011" i="448" s="1" a="1"/>
  <c r="H3011" i="448" s="1"/>
  <c r="H3010" i="448" s="1" a="1"/>
  <c r="H3010" i="448" s="1"/>
  <c r="H1693" i="448" a="1"/>
  <c r="H1693" i="448" s="1"/>
  <c r="H1692" i="448" s="1" a="1"/>
  <c r="H1692" i="448" s="1"/>
  <c r="H1691" i="448" s="1" a="1"/>
  <c r="H1691" i="448" s="1"/>
  <c r="H1126" i="448" a="1"/>
  <c r="H1126" i="448" s="1"/>
  <c r="H1125" i="448" s="1" a="1"/>
  <c r="H1125" i="448" s="1"/>
  <c r="H1124" i="448" s="1" a="1"/>
  <c r="H1124" i="448" s="1"/>
  <c r="H1123" i="448" s="1" a="1"/>
  <c r="H1123" i="448" s="1"/>
  <c r="H1122" i="448" s="1" a="1"/>
  <c r="H1122" i="448" s="1"/>
  <c r="H1121" i="448" s="1" a="1"/>
  <c r="H1121" i="448" s="1"/>
  <c r="H1120" i="448" s="1" a="1"/>
  <c r="H1120" i="448" s="1"/>
  <c r="H1119" i="448" s="1" a="1"/>
  <c r="H1119" i="448" s="1"/>
  <c r="H1118" i="448" s="1" a="1"/>
  <c r="H1118" i="448" s="1"/>
  <c r="H1117" i="448" s="1" a="1"/>
  <c r="H1117" i="448" s="1"/>
  <c r="H1116" i="448" s="1" a="1"/>
  <c r="H1116" i="448" s="1"/>
  <c r="H1622" i="448" a="1"/>
  <c r="H1622" i="448" s="1"/>
  <c r="H1621" i="448" s="1" a="1"/>
  <c r="H1621" i="448" s="1"/>
  <c r="H1468" i="448" a="1"/>
  <c r="H1468" i="448" s="1"/>
  <c r="H1467" i="448" s="1" a="1"/>
  <c r="H1467" i="448" s="1"/>
  <c r="H1466" i="448" s="1" a="1"/>
  <c r="H1466" i="448" s="1"/>
  <c r="H1465" i="448" s="1" a="1"/>
  <c r="H1465" i="448" s="1"/>
  <c r="H1638" i="448" a="1"/>
  <c r="H1638" i="448" s="1"/>
  <c r="H1637" i="448" s="1" a="1"/>
  <c r="H1637" i="448" s="1"/>
  <c r="H1908" i="448" a="1"/>
  <c r="H1908" i="448" s="1"/>
  <c r="H1907" i="448" s="1" a="1"/>
  <c r="H1907" i="448" s="1"/>
  <c r="H1906" i="448" s="1" a="1"/>
  <c r="H1906" i="448" s="1"/>
  <c r="H1905" i="448" s="1" a="1"/>
  <c r="H1905" i="448" s="1"/>
  <c r="H3074" i="448" a="1"/>
  <c r="H3074" i="448" s="1"/>
  <c r="H3073" i="448" s="1" a="1"/>
  <c r="H3073" i="448" s="1"/>
  <c r="H3072" i="448" s="1" a="1"/>
  <c r="H3072" i="448" s="1"/>
  <c r="H3071" i="448" s="1" a="1"/>
  <c r="H3071" i="448" s="1"/>
  <c r="H468" i="448" a="1"/>
  <c r="H468" i="448" s="1"/>
  <c r="H467" i="448" s="1" a="1"/>
  <c r="H467" i="448" s="1"/>
  <c r="H466" i="448" s="1" a="1"/>
  <c r="H466" i="448" s="1"/>
  <c r="M66" i="436" s="1"/>
  <c r="H623" i="448" a="1"/>
  <c r="H623" i="448" s="1"/>
  <c r="H622" i="448" s="1" a="1"/>
  <c r="H622" i="448" s="1"/>
  <c r="H621" i="448" s="1" a="1"/>
  <c r="H621" i="448" s="1"/>
  <c r="H371" i="448" a="1"/>
  <c r="H371" i="448" s="1"/>
  <c r="H370" i="448" s="1" a="1"/>
  <c r="H370" i="448" s="1"/>
  <c r="H369" i="448" s="1" a="1"/>
  <c r="H369" i="448" s="1"/>
  <c r="M47" i="436" s="1"/>
  <c r="H359" i="448" a="1"/>
  <c r="H359" i="448" s="1"/>
  <c r="H358" i="448" s="1" a="1"/>
  <c r="H358" i="448" s="1"/>
  <c r="H357" i="448" s="1" a="1"/>
  <c r="H357" i="448" s="1"/>
  <c r="M44" i="436" s="1"/>
  <c r="H1610" i="448" a="1"/>
  <c r="H1610" i="448" s="1"/>
  <c r="H1609" i="448" s="1" a="1"/>
  <c r="H1609" i="448" s="1"/>
  <c r="H2792" i="448" a="1"/>
  <c r="H2792" i="448" s="1"/>
  <c r="H2791" i="448" s="1" a="1"/>
  <c r="H2791" i="448" s="1"/>
  <c r="H2790" i="448" s="1" a="1"/>
  <c r="H2790" i="448" s="1"/>
  <c r="H2789" i="448" s="1" a="1"/>
  <c r="H2789" i="448" s="1"/>
  <c r="H2788" i="448" s="1" a="1"/>
  <c r="H2788" i="448" s="1"/>
  <c r="H2787" i="448" s="1" a="1"/>
  <c r="H2787" i="448" s="1"/>
  <c r="H2786" i="448" s="1" a="1"/>
  <c r="H2786" i="448" s="1"/>
  <c r="T23" i="456" s="1"/>
  <c r="U23" i="456" s="1"/>
  <c r="H1414" i="448" a="1"/>
  <c r="H1414" i="448" s="1"/>
  <c r="H1413" i="448" s="1" a="1"/>
  <c r="H1413" i="448" s="1"/>
  <c r="H1412" i="448" s="1" a="1"/>
  <c r="H1412" i="448" s="1"/>
  <c r="H1411" i="448" s="1" a="1"/>
  <c r="H1411" i="448" s="1"/>
  <c r="H2636" i="448" a="1"/>
  <c r="H2636" i="448" s="1"/>
  <c r="H2635" i="448" s="1" a="1"/>
  <c r="H2635" i="448" s="1"/>
  <c r="H2634" i="448" s="1" a="1"/>
  <c r="H2634" i="448" s="1"/>
  <c r="H3048" i="448" a="1"/>
  <c r="H3048" i="448" s="1"/>
  <c r="H3047" i="448" s="1" a="1"/>
  <c r="H3047" i="448" s="1"/>
  <c r="H3046" i="448" s="1" a="1"/>
  <c r="H3046" i="448" s="1"/>
  <c r="H3045" i="448" s="1" a="1"/>
  <c r="H3045" i="448" s="1"/>
  <c r="H3044" i="448" s="1" a="1"/>
  <c r="H3044" i="448" s="1"/>
  <c r="H2313" i="448" a="1"/>
  <c r="H2313" i="448" s="1"/>
  <c r="H2312" i="448" s="1" a="1"/>
  <c r="H2312" i="448" s="1"/>
  <c r="H2311" i="448" s="1" a="1"/>
  <c r="H2311" i="448" s="1"/>
  <c r="M382" i="436" s="1"/>
  <c r="H1641" i="448" a="1"/>
  <c r="H1641" i="448" s="1"/>
  <c r="H1640" i="448" s="1" a="1"/>
  <c r="H1640" i="448" s="1"/>
  <c r="H2647" i="448" a="1"/>
  <c r="H2647" i="448" s="1"/>
  <c r="H2646" i="448" s="1" a="1"/>
  <c r="H2646" i="448" s="1"/>
  <c r="H2645" i="448" s="1" a="1"/>
  <c r="H2645" i="448" s="1"/>
  <c r="H2644" i="448" s="1" a="1"/>
  <c r="H2644" i="448" s="1"/>
  <c r="H398" i="448" a="1"/>
  <c r="H398" i="448" s="1"/>
  <c r="H397" i="448" s="1" a="1"/>
  <c r="H397" i="448" s="1"/>
  <c r="H396" i="448" s="1" a="1"/>
  <c r="H396" i="448" s="1"/>
  <c r="H302" i="448" a="1"/>
  <c r="H302" i="448" s="1"/>
  <c r="H301" i="448" s="1" a="1"/>
  <c r="H301" i="448" s="1"/>
  <c r="H300" i="448" s="1" a="1"/>
  <c r="H300" i="448" s="1"/>
  <c r="H567" i="448" a="1"/>
  <c r="H567" i="448" s="1"/>
  <c r="H566" i="448" s="1" a="1"/>
  <c r="H566" i="448" s="1"/>
  <c r="H565" i="448" s="1" a="1"/>
  <c r="H565" i="448" s="1"/>
  <c r="H1613" i="448" a="1"/>
  <c r="H1613" i="448" s="1"/>
  <c r="H1612" i="448" s="1" a="1"/>
  <c r="H1612" i="448" s="1"/>
  <c r="H2276" i="448" a="1"/>
  <c r="H2276" i="448" s="1"/>
  <c r="H2275" i="448" s="1" a="1"/>
  <c r="H2275" i="448" s="1"/>
  <c r="H2274" i="448" s="1" a="1"/>
  <c r="H2274" i="448" s="1"/>
  <c r="H2693" i="448" a="1"/>
  <c r="H2693" i="448" s="1"/>
  <c r="H2692" i="448" s="1" a="1"/>
  <c r="H2692" i="448" s="1"/>
  <c r="H2691" i="448" s="1" a="1"/>
  <c r="H2691" i="448" s="1"/>
  <c r="H2690" i="448" s="1" a="1"/>
  <c r="H2690" i="448" s="1"/>
  <c r="H3080" i="448" a="1"/>
  <c r="H3080" i="448" s="1"/>
  <c r="H3079" i="448" s="1" a="1"/>
  <c r="H3079" i="448" s="1"/>
  <c r="H3078" i="448" s="1" a="1"/>
  <c r="H3078" i="448" s="1"/>
  <c r="H3077" i="448" s="1" a="1"/>
  <c r="H3077" i="448" s="1"/>
  <c r="H1689" i="448" a="1"/>
  <c r="H1689" i="448" s="1"/>
  <c r="H1688" i="448" s="1" a="1"/>
  <c r="H1688" i="448" s="1"/>
  <c r="H1687" i="448" s="1" a="1"/>
  <c r="H1687" i="448" s="1"/>
  <c r="H330" i="448" a="1"/>
  <c r="H330" i="448" s="1"/>
  <c r="H329" i="448" s="1" a="1"/>
  <c r="H329" i="448" s="1"/>
  <c r="H328" i="448" s="1" a="1"/>
  <c r="H328" i="448" s="1"/>
  <c r="H599" i="448" a="1"/>
  <c r="H599" i="448" s="1"/>
  <c r="H598" i="448" s="1" a="1"/>
  <c r="H598" i="448" s="1"/>
  <c r="H597" i="448" s="1" a="1"/>
  <c r="H597" i="448" s="1"/>
  <c r="H1314" i="448" a="1"/>
  <c r="H1314" i="448" s="1"/>
  <c r="H1313" i="448" s="1" a="1"/>
  <c r="H1313" i="448" s="1"/>
  <c r="H1312" i="448" s="1" a="1"/>
  <c r="H1312" i="448" s="1"/>
  <c r="H472" i="448" a="1"/>
  <c r="H472" i="448" s="1"/>
  <c r="H471" i="448" s="1" a="1"/>
  <c r="H471" i="448" s="1"/>
  <c r="H470" i="448" s="1" a="1"/>
  <c r="H470" i="448" s="1"/>
  <c r="H2160" i="448" a="1"/>
  <c r="H2160" i="448" s="1"/>
  <c r="H2159" i="448" s="1" a="1"/>
  <c r="H2159" i="448" s="1"/>
  <c r="H2158" i="448" s="1" a="1"/>
  <c r="H2158" i="448" s="1"/>
  <c r="H2157" i="448" s="1" a="1"/>
  <c r="H2157" i="448" s="1"/>
  <c r="H2041" i="448" a="1"/>
  <c r="H2041" i="448" s="1"/>
  <c r="H2040" i="448" s="1" a="1"/>
  <c r="H2040" i="448" s="1"/>
  <c r="H2039" i="448" s="1" a="1"/>
  <c r="H2039" i="448" s="1"/>
  <c r="H1938" i="448" a="1"/>
  <c r="H1938" i="448" s="1"/>
  <c r="H1937" i="448" s="1" a="1"/>
  <c r="H1937" i="448" s="1"/>
  <c r="H1936" i="448" s="1" a="1"/>
  <c r="H1936" i="448" s="1"/>
  <c r="H1935" i="448" s="1" a="1"/>
  <c r="H1935" i="448" s="1"/>
  <c r="H1580" i="448" a="1"/>
  <c r="H1580" i="448" s="1"/>
  <c r="H1579" i="448" s="1" a="1"/>
  <c r="H1579" i="448" s="1"/>
  <c r="H1578" i="448" s="1" a="1"/>
  <c r="H1578" i="448" s="1"/>
  <c r="H1604" i="448" a="1"/>
  <c r="H1604" i="448" s="1"/>
  <c r="H1603" i="448" s="1" a="1"/>
  <c r="H1603" i="448" s="1"/>
  <c r="H1650" i="448" a="1"/>
  <c r="H1650" i="448" s="1"/>
  <c r="H1649" i="448" s="1" a="1"/>
  <c r="H1649" i="448" s="1"/>
  <c r="H391" i="448" a="1"/>
  <c r="H391" i="448" s="1"/>
  <c r="H390" i="448" s="1" a="1"/>
  <c r="H390" i="448" s="1"/>
  <c r="H389" i="448" s="1" a="1"/>
  <c r="H389" i="448" s="1"/>
  <c r="H2986" i="448" a="1"/>
  <c r="H2986" i="448" s="1"/>
  <c r="H2985" i="448" s="1" a="1"/>
  <c r="H2985" i="448" s="1"/>
  <c r="H2984" i="448" s="1" a="1"/>
  <c r="H2984" i="448" s="1"/>
  <c r="H2983" i="448" s="1" a="1"/>
  <c r="H2983" i="448" s="1"/>
  <c r="H334" i="448" a="1"/>
  <c r="H334" i="448" s="1"/>
  <c r="H333" i="448" s="1" a="1"/>
  <c r="H333" i="448" s="1"/>
  <c r="H332" i="448" s="1" a="1"/>
  <c r="H332" i="448" s="1"/>
  <c r="H2280" i="448" a="1"/>
  <c r="H2280" i="448" s="1"/>
  <c r="H2279" i="448" s="1" a="1"/>
  <c r="H2279" i="448" s="1"/>
  <c r="H2278" i="448" s="1" a="1"/>
  <c r="H2278" i="448" s="1"/>
  <c r="H1975" i="448" a="1"/>
  <c r="H1975" i="448" s="1"/>
  <c r="H1974" i="448" s="1" a="1"/>
  <c r="H1974" i="448" s="1"/>
  <c r="H1973" i="448" s="1" a="1"/>
  <c r="H1973" i="448" s="1"/>
  <c r="H1972" i="448" s="1" a="1"/>
  <c r="H1972" i="448" s="1"/>
  <c r="H1349" i="448" a="1"/>
  <c r="H1349" i="448" s="1"/>
  <c r="H1348" i="448" s="1" a="1"/>
  <c r="H1348" i="448" s="1"/>
  <c r="H1347" i="448" s="1" a="1"/>
  <c r="H1347" i="448" s="1"/>
  <c r="H1346" i="448" s="1" a="1"/>
  <c r="H1346" i="448" s="1"/>
  <c r="H363" i="448" a="1"/>
  <c r="H363" i="448" s="1"/>
  <c r="H362" i="448" s="1" a="1"/>
  <c r="H362" i="448" s="1"/>
  <c r="H361" i="448" s="1" a="1"/>
  <c r="H361" i="448" s="1"/>
  <c r="M45" i="436" s="1"/>
  <c r="H2964" i="448" a="1"/>
  <c r="H2964" i="448" s="1"/>
  <c r="H2963" i="448" s="1" a="1"/>
  <c r="H2963" i="448" s="1"/>
  <c r="H2962" i="448" s="1" a="1"/>
  <c r="H2962" i="448" s="1"/>
  <c r="H2961" i="448" s="1" a="1"/>
  <c r="H2961" i="448" s="1"/>
  <c r="H2960" i="448" s="1" a="1"/>
  <c r="H2960" i="448" s="1"/>
  <c r="H615" i="448" a="1"/>
  <c r="H615" i="448" s="1"/>
  <c r="H614" i="448" s="1" a="1"/>
  <c r="H614" i="448" s="1"/>
  <c r="H613" i="448" s="1" a="1"/>
  <c r="H613" i="448" s="1"/>
  <c r="H1572" i="448" a="1"/>
  <c r="H1572" i="448" s="1"/>
  <c r="H1571" i="448" s="1" a="1"/>
  <c r="H1571" i="448" s="1"/>
  <c r="H1570" i="448" s="1" a="1"/>
  <c r="H1570" i="448" s="1"/>
  <c r="H1419" i="448" a="1"/>
  <c r="H1419" i="448" s="1"/>
  <c r="H1418" i="448" s="1" a="1"/>
  <c r="H1418" i="448" s="1"/>
  <c r="H1417" i="448" s="1" a="1"/>
  <c r="H1417" i="448" s="1"/>
  <c r="H1416" i="448" s="1" a="1"/>
  <c r="H1416" i="448" s="1"/>
  <c r="H1644" i="448" a="1"/>
  <c r="H1644" i="448" s="1"/>
  <c r="H1643" i="448" s="1" a="1"/>
  <c r="H1643" i="448" s="1"/>
  <c r="H2851" i="448" a="1"/>
  <c r="H2851" i="448" s="1"/>
  <c r="H2850" i="448" s="1" a="1"/>
  <c r="H2850" i="448" s="1"/>
  <c r="H2849" i="448" s="1" a="1"/>
  <c r="H2849" i="448" s="1"/>
  <c r="H2848" i="448" s="1" a="1"/>
  <c r="H2848" i="448" s="1"/>
  <c r="H2847" i="448" s="1" a="1"/>
  <c r="H2847" i="448" s="1"/>
  <c r="H2846" i="448" s="1" a="1"/>
  <c r="H2846" i="448" s="1"/>
  <c r="H2845" i="448" s="1" a="1"/>
  <c r="H2845" i="448" s="1"/>
  <c r="H2844" i="448" s="1" a="1"/>
  <c r="H2844" i="448" s="1"/>
  <c r="H2843" i="448" s="1" a="1"/>
  <c r="H2843" i="448" s="1"/>
  <c r="H2112" i="448" a="1"/>
  <c r="H2112" i="448" s="1"/>
  <c r="H2111" i="448" s="1" a="1"/>
  <c r="H2111" i="448" s="1"/>
  <c r="H2110" i="448" s="1" a="1"/>
  <c r="H2110" i="448" s="1"/>
  <c r="H880" i="448" a="1"/>
  <c r="H880" i="448" s="1"/>
  <c r="H879" i="448" s="1" a="1"/>
  <c r="H879" i="448" s="1"/>
  <c r="H878" i="448" s="1" a="1"/>
  <c r="H878" i="448" s="1"/>
  <c r="H877" i="448" s="1" a="1"/>
  <c r="H877" i="448" s="1"/>
  <c r="H876" i="448" s="1" a="1"/>
  <c r="H876" i="448" s="1"/>
  <c r="H875" i="448" s="1" a="1"/>
  <c r="H875" i="448" s="1"/>
  <c r="H874" i="448" s="1" a="1"/>
  <c r="H874" i="448" s="1"/>
  <c r="H873" i="448" s="1" a="1"/>
  <c r="H873" i="448" s="1"/>
  <c r="H872" i="448" s="1" a="1"/>
  <c r="H872" i="448" s="1"/>
  <c r="H871" i="448" s="1" a="1"/>
  <c r="H871" i="448" s="1"/>
  <c r="F145" i="505"/>
  <c r="M363" i="436"/>
  <c r="N363" i="436" s="1"/>
  <c r="M145" i="436"/>
  <c r="M109" i="436"/>
  <c r="N109" i="436" s="1"/>
  <c r="M110" i="436"/>
  <c r="N110" i="436" s="1"/>
  <c r="M108" i="436"/>
  <c r="N108" i="436" s="1"/>
  <c r="M385" i="436"/>
  <c r="N385" i="436" s="1"/>
  <c r="M372" i="436"/>
  <c r="M374" i="436"/>
  <c r="M375" i="436"/>
  <c r="N12" i="436"/>
  <c r="N20" i="436"/>
  <c r="N11" i="436"/>
  <c r="N406" i="436"/>
  <c r="N73" i="436"/>
  <c r="N282" i="436"/>
  <c r="O282" i="436" s="1"/>
  <c r="N79" i="436"/>
  <c r="N281" i="436"/>
  <c r="O281" i="436" s="1"/>
  <c r="N365" i="436"/>
  <c r="N415" i="436"/>
  <c r="N291" i="436"/>
  <c r="N62" i="436"/>
  <c r="N389" i="436"/>
  <c r="N101" i="436"/>
  <c r="M61" i="436"/>
  <c r="M29" i="436"/>
  <c r="M30" i="436"/>
  <c r="M28" i="436"/>
  <c r="M27" i="436"/>
  <c r="H149" i="448" a="1"/>
  <c r="H149" i="448" s="1"/>
  <c r="H148" i="448" s="1" a="1"/>
  <c r="H148" i="448" s="1"/>
  <c r="H147" i="448" s="1" a="1"/>
  <c r="H147" i="448" s="1"/>
  <c r="H146" i="448" s="1" a="1"/>
  <c r="H146" i="448" s="1"/>
  <c r="H145" i="448" s="1" a="1"/>
  <c r="H145" i="448" s="1"/>
  <c r="H35" i="448" a="1"/>
  <c r="H35" i="448" s="1"/>
  <c r="H34" i="448" s="1" a="1"/>
  <c r="H34" i="448" s="1"/>
  <c r="H33" i="448" s="1" a="1"/>
  <c r="H33" i="448" s="1"/>
  <c r="H32" i="448" s="1" a="1"/>
  <c r="H32" i="448" s="1"/>
  <c r="H31" i="448" s="1" a="1"/>
  <c r="H31" i="448" s="1"/>
  <c r="H30" i="448" s="1" a="1"/>
  <c r="H30" i="448" s="1"/>
  <c r="H29" i="448" s="1" a="1"/>
  <c r="H29" i="448" s="1"/>
  <c r="H28" i="448" s="1" a="1"/>
  <c r="H28" i="448" s="1"/>
  <c r="H27" i="448" s="1" a="1"/>
  <c r="H27" i="448" s="1"/>
  <c r="H17" i="448" a="1"/>
  <c r="H17" i="448" s="1"/>
  <c r="H16" i="448" s="1" a="1"/>
  <c r="H16" i="448" s="1"/>
  <c r="H15" i="448" s="1" a="1"/>
  <c r="H15" i="448" s="1"/>
  <c r="H14" i="448" s="1" a="1"/>
  <c r="H14" i="448" s="1"/>
  <c r="H13" i="448" s="1" a="1"/>
  <c r="H13" i="448" s="1"/>
  <c r="H12" i="448" s="1" a="1"/>
  <c r="H12" i="448" s="1"/>
  <c r="H11" i="448" s="1" a="1"/>
  <c r="H11" i="448" s="1"/>
  <c r="H178" i="448" a="1"/>
  <c r="H178" i="448" s="1"/>
  <c r="H177" i="448" s="1" a="1"/>
  <c r="H177" i="448" s="1"/>
  <c r="H176" i="448" s="1" a="1"/>
  <c r="H176" i="448" s="1"/>
  <c r="H175" i="448" s="1" a="1"/>
  <c r="H175" i="448" s="1"/>
  <c r="H159" i="448" a="1"/>
  <c r="H159" i="448" s="1"/>
  <c r="H158" i="448" s="1" a="1"/>
  <c r="H158" i="448" s="1"/>
  <c r="H122" i="448" a="1"/>
  <c r="H122" i="448" s="1"/>
  <c r="H121" i="448" s="1" a="1"/>
  <c r="H121" i="448" s="1"/>
  <c r="H120" i="448" s="1" a="1"/>
  <c r="H120" i="448" s="1"/>
  <c r="H119" i="448" s="1" a="1"/>
  <c r="H119" i="448" s="1"/>
  <c r="H118" i="448" s="1" a="1"/>
  <c r="H118" i="448" s="1"/>
  <c r="H117" i="448" s="1" a="1"/>
  <c r="H117" i="448" s="1"/>
  <c r="H116" i="448" s="1" a="1"/>
  <c r="H116" i="448" s="1"/>
  <c r="H115" i="448" s="1" a="1"/>
  <c r="H115" i="448" s="1"/>
  <c r="H114" i="448" s="1" a="1"/>
  <c r="H114" i="448" s="1"/>
  <c r="H113" i="448" s="1" a="1"/>
  <c r="H113" i="448" s="1"/>
  <c r="H112" i="448" s="1" a="1"/>
  <c r="H112" i="448" s="1"/>
  <c r="H111" i="448" s="1" a="1"/>
  <c r="H111" i="448" s="1"/>
  <c r="H110" i="448" s="1" a="1"/>
  <c r="H110" i="448" s="1"/>
  <c r="H109" i="448" s="1" a="1"/>
  <c r="H109" i="448" s="1"/>
  <c r="H108" i="448" s="1" a="1"/>
  <c r="H108" i="448" s="1"/>
  <c r="H107" i="448" s="1" a="1"/>
  <c r="H107" i="448" s="1"/>
  <c r="H173" i="448" a="1"/>
  <c r="H173" i="448" s="1"/>
  <c r="H172" i="448" s="1" a="1"/>
  <c r="H172" i="448" s="1"/>
  <c r="H171" i="448" s="1" a="1"/>
  <c r="H171" i="448" s="1"/>
  <c r="H170" i="448" s="1" a="1"/>
  <c r="H170" i="448" s="1"/>
  <c r="H169" i="448" s="1" a="1"/>
  <c r="H169" i="448" s="1"/>
  <c r="H166" i="448" a="1"/>
  <c r="H166" i="448" s="1"/>
  <c r="H165" i="448" s="1" a="1"/>
  <c r="H165" i="448" s="1"/>
  <c r="H164" i="448" s="1" a="1"/>
  <c r="H164" i="448" s="1"/>
  <c r="H94" i="448" a="1"/>
  <c r="H94" i="448" s="1"/>
  <c r="H93" i="448" s="1" a="1"/>
  <c r="H93" i="448" s="1"/>
  <c r="H92" i="448" s="1" a="1"/>
  <c r="H92" i="448" s="1"/>
  <c r="H91" i="448" s="1" a="1"/>
  <c r="H91" i="448" s="1"/>
  <c r="H90" i="448" s="1" a="1"/>
  <c r="H90" i="448" s="1"/>
  <c r="H89" i="448" s="1" a="1"/>
  <c r="H89" i="448" s="1"/>
  <c r="H88" i="448" s="1" a="1"/>
  <c r="H88" i="448" s="1"/>
  <c r="H87" i="448" s="1" a="1"/>
  <c r="H87" i="448" s="1"/>
  <c r="H156" i="448" a="1"/>
  <c r="H156" i="448" s="1"/>
  <c r="H155" i="448" s="1" a="1"/>
  <c r="H155" i="448" s="1"/>
  <c r="H154" i="448" s="1" a="1"/>
  <c r="H154" i="448" s="1"/>
  <c r="H153" i="448" s="1" a="1"/>
  <c r="H153" i="448" s="1"/>
  <c r="H152" i="448" s="1" a="1"/>
  <c r="H152" i="448" s="1"/>
  <c r="H25" i="448" a="1"/>
  <c r="H25" i="448" s="1"/>
  <c r="H24" i="448" s="1" a="1"/>
  <c r="H24" i="448" s="1"/>
  <c r="H23" i="448" s="1" a="1"/>
  <c r="H23" i="448" s="1"/>
  <c r="H22" i="448" s="1" a="1"/>
  <c r="H22" i="448" s="1"/>
  <c r="H21" i="448" s="1" a="1"/>
  <c r="H21" i="448" s="1"/>
  <c r="H20" i="448" s="1" a="1"/>
  <c r="H20" i="448" s="1"/>
  <c r="H19" i="448" s="1" a="1"/>
  <c r="H19" i="448" s="1"/>
  <c r="M414" i="436"/>
  <c r="H105" i="448" a="1"/>
  <c r="H105" i="448" s="1"/>
  <c r="H104" i="448" s="1" a="1"/>
  <c r="H104" i="448" s="1"/>
  <c r="H103" i="448" s="1" a="1"/>
  <c r="H103" i="448" s="1"/>
  <c r="H102" i="448" s="1" a="1"/>
  <c r="H102" i="448" s="1"/>
  <c r="H101" i="448" s="1" a="1"/>
  <c r="H101" i="448" s="1"/>
  <c r="H100" i="448" s="1" a="1"/>
  <c r="H100" i="448" s="1"/>
  <c r="H99" i="448" s="1" a="1"/>
  <c r="H99" i="448" s="1"/>
  <c r="H98" i="448" s="1" a="1"/>
  <c r="H98" i="448" s="1"/>
  <c r="H97" i="448" s="1" a="1"/>
  <c r="H97" i="448" s="1"/>
  <c r="H214" i="448" a="1"/>
  <c r="H214" i="448" s="1"/>
  <c r="H213" i="448" s="1" a="1"/>
  <c r="H213" i="448" s="1"/>
  <c r="H9" i="448" a="1"/>
  <c r="H9" i="448" s="1"/>
  <c r="H8" i="448" s="1" a="1"/>
  <c r="H8" i="448" s="1"/>
  <c r="H7" i="448" s="1" a="1"/>
  <c r="H7" i="448" s="1"/>
  <c r="H6" i="448" s="1" a="1"/>
  <c r="H6" i="448" s="1"/>
  <c r="H5" i="448" s="1" a="1"/>
  <c r="H5" i="448" s="1"/>
  <c r="H4" i="448" s="1" a="1"/>
  <c r="H4" i="448" s="1"/>
  <c r="H3" i="448" s="1" a="1"/>
  <c r="H3" i="448" s="1"/>
  <c r="M347" i="436"/>
  <c r="H139" i="448" a="1"/>
  <c r="H139" i="448" s="1"/>
  <c r="H138" i="448" s="1" a="1"/>
  <c r="H138" i="448" s="1"/>
  <c r="H137" i="448" s="1" a="1"/>
  <c r="H137" i="448" s="1"/>
  <c r="H136" i="448" s="1" a="1"/>
  <c r="H136" i="448" s="1"/>
  <c r="H135" i="448" s="1" a="1"/>
  <c r="H135" i="448" s="1"/>
  <c r="H134" i="448" s="1" a="1"/>
  <c r="H134" i="448" s="1"/>
  <c r="H133" i="448" s="1" a="1"/>
  <c r="H133" i="448" s="1"/>
  <c r="H132" i="448" s="1" a="1"/>
  <c r="H132" i="448" s="1"/>
  <c r="H131" i="448" s="1" a="1"/>
  <c r="H131" i="448" s="1"/>
  <c r="H130" i="448" s="1" a="1"/>
  <c r="H130" i="448" s="1"/>
  <c r="H129" i="448" s="1" a="1"/>
  <c r="H129" i="448" s="1"/>
  <c r="H128" i="448" s="1" a="1"/>
  <c r="H128" i="448" s="1"/>
  <c r="H127" i="448" s="1" a="1"/>
  <c r="H127" i="448" s="1"/>
  <c r="H126" i="448" s="1" a="1"/>
  <c r="H126" i="448" s="1"/>
  <c r="H125" i="448" s="1" a="1"/>
  <c r="H125" i="448" s="1"/>
  <c r="H124" i="448" s="1" a="1"/>
  <c r="H124" i="448" s="1"/>
  <c r="M80" i="436"/>
  <c r="H223" i="448" a="1"/>
  <c r="H223" i="448" s="1"/>
  <c r="H222" i="448" s="1" a="1"/>
  <c r="H222" i="448" s="1"/>
  <c r="H221" i="448" s="1" a="1"/>
  <c r="H221" i="448" s="1"/>
  <c r="H74" i="448" a="1"/>
  <c r="H74" i="448" s="1"/>
  <c r="H73" i="448" s="1" a="1"/>
  <c r="H73" i="448" s="1"/>
  <c r="H72" i="448" s="1" a="1"/>
  <c r="H72" i="448" s="1"/>
  <c r="H71" i="448" s="1" a="1"/>
  <c r="H71" i="448" s="1"/>
  <c r="H70" i="448" s="1" a="1"/>
  <c r="H70" i="448" s="1"/>
  <c r="H69" i="448" s="1" a="1"/>
  <c r="H69" i="448" s="1"/>
  <c r="H68" i="448" s="1" a="1"/>
  <c r="H68" i="448" s="1"/>
  <c r="H67" i="448" s="1" a="1"/>
  <c r="H67" i="448" s="1"/>
  <c r="H65" i="448" a="1"/>
  <c r="H65" i="448" s="1"/>
  <c r="H64" i="448" s="1" a="1"/>
  <c r="H64" i="448" s="1"/>
  <c r="H63" i="448" s="1" a="1"/>
  <c r="H63" i="448" s="1"/>
  <c r="H62" i="448" s="1" a="1"/>
  <c r="H62" i="448" s="1"/>
  <c r="H61" i="448" s="1" a="1"/>
  <c r="H61" i="448" s="1"/>
  <c r="H60" i="448" s="1" a="1"/>
  <c r="H60" i="448" s="1"/>
  <c r="H59" i="448" s="1" a="1"/>
  <c r="H59" i="448" s="1"/>
  <c r="H58" i="448" s="1" a="1"/>
  <c r="H58" i="448" s="1"/>
  <c r="H57" i="448" s="1" a="1"/>
  <c r="H57" i="448" s="1"/>
  <c r="M263" i="436"/>
  <c r="N263" i="436" s="1"/>
  <c r="H186" i="448" a="1"/>
  <c r="H186" i="448" s="1"/>
  <c r="H185" i="448" s="1" a="1"/>
  <c r="H185" i="448" s="1"/>
  <c r="H45" i="448" a="1"/>
  <c r="H45" i="448" s="1"/>
  <c r="H44" i="448" s="1" a="1"/>
  <c r="H44" i="448" s="1"/>
  <c r="H43" i="448" s="1" a="1"/>
  <c r="H43" i="448" s="1"/>
  <c r="H42" i="448" s="1" a="1"/>
  <c r="H42" i="448" s="1"/>
  <c r="H41" i="448" s="1" a="1"/>
  <c r="H41" i="448" s="1"/>
  <c r="H40" i="448" s="1" a="1"/>
  <c r="H40" i="448" s="1"/>
  <c r="H39" i="448" s="1" a="1"/>
  <c r="H39" i="448" s="1"/>
  <c r="H38" i="448" s="1" a="1"/>
  <c r="H38" i="448" s="1"/>
  <c r="H37" i="448" s="1" a="1"/>
  <c r="H37" i="448" s="1"/>
  <c r="M405" i="436"/>
  <c r="H194" i="448" a="1"/>
  <c r="H194" i="448" s="1"/>
  <c r="H193" i="448" s="1" a="1"/>
  <c r="H193" i="448" s="1"/>
  <c r="H192" i="448" s="1" a="1"/>
  <c r="H192" i="448" s="1"/>
  <c r="H191" i="448" s="1" a="1"/>
  <c r="H191" i="448" s="1"/>
  <c r="H85" i="448" a="1"/>
  <c r="H85" i="448" s="1"/>
  <c r="H84" i="448" s="1" a="1"/>
  <c r="H84" i="448" s="1"/>
  <c r="H83" i="448" s="1" a="1"/>
  <c r="H83" i="448" s="1"/>
  <c r="H82" i="448" s="1" a="1"/>
  <c r="H82" i="448" s="1"/>
  <c r="H81" i="448" s="1" a="1"/>
  <c r="H81" i="448" s="1"/>
  <c r="H80" i="448" s="1" a="1"/>
  <c r="H80" i="448" s="1"/>
  <c r="H79" i="448" s="1" a="1"/>
  <c r="H79" i="448" s="1"/>
  <c r="H78" i="448" s="1" a="1"/>
  <c r="H78" i="448" s="1"/>
  <c r="H77" i="448" s="1" a="1"/>
  <c r="H77" i="448" s="1"/>
  <c r="M319" i="436"/>
  <c r="N319" i="436" s="1"/>
  <c r="H55" i="448" a="1"/>
  <c r="H55" i="448" s="1"/>
  <c r="H54" i="448" s="1" a="1"/>
  <c r="H54" i="448" s="1"/>
  <c r="H53" i="448" s="1" a="1"/>
  <c r="H53" i="448" s="1"/>
  <c r="H52" i="448" s="1" a="1"/>
  <c r="H52" i="448" s="1"/>
  <c r="H51" i="448" s="1" a="1"/>
  <c r="H51" i="448" s="1"/>
  <c r="H50" i="448" s="1" a="1"/>
  <c r="H50" i="448" s="1"/>
  <c r="H49" i="448" s="1" a="1"/>
  <c r="H49" i="448" s="1"/>
  <c r="H48" i="448" s="1" a="1"/>
  <c r="H48" i="448" s="1"/>
  <c r="H47" i="448" s="1" a="1"/>
  <c r="H47" i="448" s="1"/>
  <c r="M153" i="436"/>
  <c r="M418" i="436"/>
  <c r="M280" i="436"/>
  <c r="M407" i="436"/>
  <c r="M154" i="436"/>
  <c r="H1656" i="448" l="1" a="1"/>
  <c r="H1656" i="448" s="1"/>
  <c r="H1655" i="448" s="1" a="1"/>
  <c r="H1655" i="448" s="1"/>
  <c r="M301" i="436" s="1"/>
  <c r="N301" i="436" s="1"/>
  <c r="M302" i="436"/>
  <c r="N302" i="436" s="1"/>
  <c r="M358" i="436"/>
  <c r="N358" i="436" s="1"/>
  <c r="U9" i="456"/>
  <c r="M322" i="436"/>
  <c r="N322" i="436" s="1"/>
  <c r="M318" i="436"/>
  <c r="N318" i="436" s="1"/>
  <c r="M317" i="436"/>
  <c r="N317" i="436" s="1"/>
  <c r="M305" i="436"/>
  <c r="N305" i="436" s="1"/>
  <c r="M275" i="436"/>
  <c r="M95" i="436"/>
  <c r="M97" i="436"/>
  <c r="M412" i="436"/>
  <c r="N375" i="436"/>
  <c r="N374" i="436"/>
  <c r="N372" i="436"/>
  <c r="M313" i="436"/>
  <c r="N313" i="436" s="1"/>
  <c r="M315" i="436"/>
  <c r="N315" i="436" s="1"/>
  <c r="M297" i="436"/>
  <c r="M440" i="436"/>
  <c r="N440" i="436" s="1"/>
  <c r="M117" i="436"/>
  <c r="N83" i="436"/>
  <c r="N290" i="436"/>
  <c r="N405" i="436"/>
  <c r="N407" i="436"/>
  <c r="N418" i="436"/>
  <c r="N61" i="436"/>
  <c r="N66" i="436"/>
  <c r="N80" i="436"/>
  <c r="N67" i="436"/>
  <c r="N347" i="436"/>
  <c r="N71" i="436"/>
  <c r="N414" i="436"/>
  <c r="N64" i="436"/>
  <c r="N280" i="436"/>
  <c r="O280" i="436" s="1"/>
  <c r="H220" i="448" a="1"/>
  <c r="H220" i="448" s="1"/>
  <c r="H219" i="448" s="1" a="1"/>
  <c r="H219" i="448" s="1"/>
  <c r="H218" i="448" s="1" a="1"/>
  <c r="H218" i="448" s="1"/>
  <c r="H217" i="448" s="1" a="1"/>
  <c r="H217" i="448" s="1"/>
  <c r="M14" i="436"/>
  <c r="M51" i="436"/>
  <c r="M34" i="436"/>
  <c r="M68" i="436"/>
  <c r="M82" i="436"/>
  <c r="M81" i="436"/>
  <c r="M89" i="436"/>
  <c r="M88" i="436"/>
  <c r="M90" i="436"/>
  <c r="M105" i="436"/>
  <c r="M77" i="436"/>
  <c r="M78" i="436"/>
  <c r="M86" i="436"/>
  <c r="M91" i="436"/>
  <c r="M92" i="436"/>
  <c r="M87" i="436"/>
  <c r="M84" i="436"/>
  <c r="M421" i="436"/>
  <c r="M300" i="436"/>
  <c r="T13" i="456"/>
  <c r="U13" i="456" s="1"/>
  <c r="M269" i="436"/>
  <c r="F104" i="505" l="1"/>
  <c r="M309" i="436"/>
  <c r="F132" i="505" s="1"/>
  <c r="M335" i="436"/>
  <c r="N335" i="436" s="1"/>
  <c r="M334" i="436"/>
  <c r="N334" i="436" s="1"/>
  <c r="M273" i="436"/>
  <c r="N273" i="436" s="1"/>
  <c r="M94" i="436"/>
  <c r="N412" i="436"/>
  <c r="M411" i="436"/>
  <c r="N297" i="436"/>
  <c r="N275" i="436"/>
  <c r="N117" i="436"/>
  <c r="N92" i="436"/>
  <c r="N68" i="436"/>
  <c r="N300" i="436"/>
  <c r="N88" i="436"/>
  <c r="N89" i="436"/>
  <c r="N97" i="436"/>
  <c r="N269" i="436"/>
  <c r="N421" i="436"/>
  <c r="N91" i="436"/>
  <c r="N34" i="436"/>
  <c r="N90" i="436"/>
  <c r="M35" i="436"/>
  <c r="M69" i="436"/>
  <c r="N105" i="436"/>
  <c r="N429" i="436"/>
  <c r="F131" i="505" l="1"/>
  <c r="F92" i="505"/>
  <c r="F93" i="505"/>
  <c r="F44" i="505"/>
  <c r="F31" i="505"/>
  <c r="N309" i="436"/>
  <c r="F118" i="505"/>
  <c r="N95" i="436"/>
  <c r="M93" i="436"/>
  <c r="N411" i="436"/>
  <c r="N410" i="436"/>
  <c r="N69" i="436"/>
  <c r="N35" i="436"/>
  <c r="M345" i="436" l="1"/>
  <c r="N345" i="436" s="1"/>
  <c r="N94" i="436"/>
  <c r="M337" i="436" l="1"/>
  <c r="N337" i="436" s="1"/>
  <c r="E617" i="436"/>
  <c r="E618" i="436" s="1"/>
  <c r="E619" i="436" s="1"/>
  <c r="E620" i="436" s="1"/>
  <c r="E621" i="436" s="1"/>
  <c r="E622" i="436" s="1"/>
  <c r="E623" i="436" s="1"/>
  <c r="E624" i="436" s="1"/>
  <c r="E625" i="436" s="1"/>
  <c r="E626" i="436" s="1"/>
  <c r="E627" i="436" s="1"/>
  <c r="E628" i="436" s="1"/>
  <c r="E629" i="436" s="1"/>
  <c r="E630" i="436" s="1"/>
  <c r="E631" i="436" s="1"/>
  <c r="E632" i="436" s="1"/>
  <c r="E633" i="436" s="1"/>
  <c r="E634" i="436" s="1"/>
  <c r="E635" i="436" s="1"/>
  <c r="E636" i="436" s="1"/>
  <c r="E637" i="436" s="1"/>
  <c r="E638" i="436" s="1"/>
  <c r="E639" i="436" s="1"/>
  <c r="E640" i="436" s="1"/>
  <c r="E641" i="436" s="1"/>
  <c r="E642" i="436" s="1"/>
  <c r="E643" i="436" s="1"/>
  <c r="E644" i="436" s="1"/>
  <c r="E645" i="436" s="1"/>
  <c r="E646" i="436" s="1"/>
  <c r="E647" i="436" s="1"/>
  <c r="E648" i="436" s="1"/>
  <c r="E649" i="436" s="1"/>
  <c r="E650" i="436" s="1"/>
  <c r="E651" i="436" s="1"/>
  <c r="E652" i="436" s="1"/>
  <c r="E653" i="436" s="1"/>
  <c r="E654" i="436" s="1"/>
  <c r="E655" i="436" s="1"/>
  <c r="E656" i="436" s="1"/>
  <c r="E657" i="436" s="1"/>
  <c r="E658" i="436" s="1"/>
  <c r="E659" i="436" s="1"/>
  <c r="E660" i="436" s="1"/>
  <c r="E661" i="436" s="1"/>
  <c r="E662" i="436" s="1"/>
  <c r="E663" i="436" s="1"/>
  <c r="E664" i="436" s="1"/>
  <c r="E665" i="436" s="1"/>
  <c r="E666" i="436" s="1"/>
  <c r="E667" i="436" s="1"/>
  <c r="E668" i="436" s="1"/>
  <c r="E669" i="436" s="1"/>
  <c r="E670" i="436" s="1"/>
  <c r="E671" i="436" s="1"/>
  <c r="E672" i="436" s="1"/>
  <c r="E673" i="436" s="1"/>
  <c r="E674" i="436" s="1"/>
  <c r="E675" i="436" s="1"/>
  <c r="E676" i="436" s="1"/>
  <c r="E677" i="436" s="1"/>
  <c r="E678" i="436" s="1"/>
  <c r="E679" i="436" s="1"/>
  <c r="E680" i="436" s="1"/>
  <c r="E681" i="436" s="1"/>
  <c r="E682" i="436" s="1"/>
  <c r="E683" i="436" s="1"/>
  <c r="E684" i="436" s="1"/>
  <c r="E685" i="436" s="1"/>
  <c r="E686" i="436" s="1"/>
  <c r="E687" i="436" s="1"/>
  <c r="E688" i="436" s="1"/>
  <c r="E689" i="436" s="1"/>
  <c r="E690" i="436" s="1"/>
  <c r="E691" i="436" s="1"/>
  <c r="E692" i="436" s="1"/>
  <c r="E693" i="436" s="1"/>
  <c r="E694" i="436" s="1"/>
  <c r="E695" i="436" s="1"/>
  <c r="E696" i="436" s="1"/>
  <c r="E697" i="436" s="1"/>
  <c r="E698" i="436" s="1"/>
  <c r="E699" i="436" s="1"/>
  <c r="E700" i="436" s="1"/>
  <c r="E701" i="436" s="1"/>
  <c r="E702" i="436" s="1"/>
  <c r="E703" i="436" s="1"/>
  <c r="E704" i="436" s="1"/>
  <c r="E705" i="436" s="1"/>
  <c r="E706" i="436" s="1"/>
  <c r="E707" i="436" s="1"/>
  <c r="E708" i="436" s="1"/>
  <c r="E709" i="436" s="1"/>
  <c r="E710" i="436" s="1"/>
  <c r="E711" i="436" s="1"/>
  <c r="E712" i="436" s="1"/>
  <c r="E713" i="436" s="1"/>
  <c r="E714" i="436" s="1"/>
  <c r="E715" i="436" s="1"/>
  <c r="E716" i="436" s="1"/>
  <c r="E717" i="436" s="1"/>
  <c r="E718" i="436" s="1"/>
  <c r="E719" i="436" s="1"/>
  <c r="E720" i="436" s="1"/>
  <c r="E721" i="436" s="1"/>
  <c r="E722" i="436" s="1"/>
  <c r="E723" i="436" s="1"/>
  <c r="E724" i="436" s="1"/>
  <c r="E725" i="436" s="1"/>
  <c r="E726" i="436" s="1"/>
  <c r="E727" i="436" s="1"/>
  <c r="E728" i="436" s="1"/>
  <c r="E729" i="436" s="1"/>
  <c r="E730" i="436" s="1"/>
  <c r="E731" i="436" s="1"/>
  <c r="E732" i="436" s="1"/>
  <c r="E733" i="436" s="1"/>
  <c r="E734" i="436" s="1"/>
  <c r="E735" i="436" s="1"/>
  <c r="E736" i="436" s="1"/>
  <c r="E737" i="436" s="1"/>
  <c r="E738" i="436" s="1"/>
  <c r="E739" i="436" s="1"/>
  <c r="E740" i="436" s="1"/>
  <c r="E741" i="436" s="1"/>
  <c r="E742" i="436" s="1"/>
  <c r="E743" i="436" s="1"/>
  <c r="E744" i="436" s="1"/>
  <c r="E745" i="436" s="1"/>
  <c r="E746" i="436" s="1"/>
  <c r="E747" i="436" s="1"/>
  <c r="E748" i="436" s="1"/>
  <c r="E749" i="436" s="1"/>
  <c r="E750" i="436" s="1"/>
  <c r="E751" i="436" s="1"/>
  <c r="E752" i="436" s="1"/>
  <c r="E753" i="436" s="1"/>
  <c r="E754" i="436" s="1"/>
  <c r="E755" i="436" s="1"/>
  <c r="E756" i="436" s="1"/>
  <c r="E757" i="436" s="1"/>
  <c r="E758" i="436" s="1"/>
  <c r="E759" i="436" s="1"/>
  <c r="E760" i="436" s="1"/>
  <c r="E761" i="436" s="1"/>
  <c r="E762" i="436" s="1"/>
  <c r="E763" i="436" s="1"/>
  <c r="E764" i="436" s="1"/>
  <c r="E765" i="436" s="1"/>
  <c r="E766" i="436" s="1"/>
  <c r="E767" i="436" s="1"/>
  <c r="E768" i="436" s="1"/>
  <c r="E769" i="436" s="1"/>
  <c r="E770" i="436" s="1"/>
  <c r="E771" i="436" s="1"/>
  <c r="E772" i="436" s="1"/>
  <c r="E773" i="436" s="1"/>
  <c r="E774" i="436" s="1"/>
  <c r="E775" i="436" s="1"/>
  <c r="E776" i="436" s="1"/>
  <c r="E777" i="436" s="1"/>
  <c r="E778" i="436" s="1"/>
  <c r="E779" i="436" s="1"/>
  <c r="E780" i="436" s="1"/>
  <c r="E781" i="436" s="1"/>
  <c r="E782" i="436" s="1"/>
  <c r="E783" i="436" s="1"/>
  <c r="E784" i="436" s="1"/>
  <c r="E785" i="436" s="1"/>
  <c r="E786" i="436" s="1"/>
  <c r="E787" i="436" s="1"/>
  <c r="E788" i="436" s="1"/>
  <c r="E789" i="436" s="1"/>
  <c r="E790" i="436" s="1"/>
  <c r="E791" i="436" s="1"/>
  <c r="E792" i="436" s="1"/>
  <c r="E793" i="436" s="1"/>
  <c r="E794" i="436" s="1"/>
  <c r="E795" i="436" s="1"/>
  <c r="E796" i="436" s="1"/>
  <c r="E797" i="436" s="1"/>
  <c r="E798" i="436" s="1"/>
  <c r="E799" i="436" s="1"/>
  <c r="E800" i="436" s="1"/>
  <c r="E801" i="436" s="1"/>
  <c r="E802" i="436" s="1"/>
  <c r="E803" i="436" s="1"/>
  <c r="E804" i="436" s="1"/>
  <c r="E805" i="436" s="1"/>
  <c r="E806" i="436" s="1"/>
  <c r="E807" i="436" s="1"/>
  <c r="E808" i="436" s="1"/>
  <c r="E809" i="436" s="1"/>
  <c r="E810" i="436" s="1"/>
  <c r="E811" i="436" s="1"/>
  <c r="E812" i="436" s="1"/>
  <c r="E813" i="436" s="1"/>
  <c r="E814" i="436" s="1"/>
  <c r="E815" i="436" s="1"/>
  <c r="E816" i="436" s="1"/>
  <c r="E817" i="436" s="1"/>
  <c r="E818" i="436" s="1"/>
  <c r="E819" i="436" s="1"/>
  <c r="E820" i="436" s="1"/>
  <c r="E821" i="436" s="1"/>
  <c r="E822" i="436" s="1"/>
  <c r="E823" i="436" s="1"/>
  <c r="E824" i="436" s="1"/>
  <c r="E825" i="436" s="1"/>
  <c r="E826" i="436" s="1"/>
  <c r="E827" i="436" s="1"/>
  <c r="E828" i="436" s="1"/>
  <c r="E829" i="436" s="1"/>
  <c r="E830" i="436" s="1"/>
  <c r="E831" i="436" s="1"/>
  <c r="E832" i="436" s="1"/>
  <c r="E833" i="436" s="1"/>
  <c r="E834" i="436" s="1"/>
  <c r="E835" i="436" s="1"/>
  <c r="E836" i="436" s="1"/>
  <c r="E837" i="436" s="1"/>
  <c r="E838" i="436" s="1"/>
  <c r="E839" i="436" s="1"/>
  <c r="E840" i="436" s="1"/>
  <c r="E841" i="436" s="1"/>
  <c r="E842" i="436" s="1"/>
  <c r="E843" i="436" s="1"/>
  <c r="E844" i="436" s="1"/>
  <c r="E845" i="436" s="1"/>
  <c r="E846" i="436" s="1"/>
  <c r="E847" i="436" s="1"/>
  <c r="E848" i="436" s="1"/>
  <c r="E849" i="436" s="1"/>
  <c r="E850" i="436" s="1"/>
  <c r="E851" i="436" s="1"/>
  <c r="E852" i="436" s="1"/>
  <c r="E853" i="436" s="1"/>
  <c r="E854" i="436" s="1"/>
  <c r="E855" i="436" s="1"/>
  <c r="E856" i="436" s="1"/>
  <c r="E857" i="436" s="1"/>
  <c r="E858" i="436" s="1"/>
  <c r="E859" i="436" s="1"/>
  <c r="E860" i="436" s="1"/>
  <c r="E861" i="436" s="1"/>
  <c r="E862" i="436" s="1"/>
  <c r="E863" i="436" s="1"/>
  <c r="E864" i="436" s="1"/>
  <c r="E865" i="436" s="1"/>
  <c r="E866" i="436" s="1"/>
  <c r="E867" i="436" s="1"/>
  <c r="E868" i="436" s="1"/>
  <c r="E869" i="436" s="1"/>
  <c r="E870" i="436" s="1"/>
  <c r="E871" i="436" s="1"/>
  <c r="E872" i="436" s="1"/>
  <c r="E873" i="436" s="1"/>
  <c r="E874" i="436" s="1"/>
  <c r="E875" i="436" s="1"/>
  <c r="E876" i="436" s="1"/>
  <c r="E877" i="436" s="1"/>
  <c r="E878" i="436" s="1"/>
  <c r="E879" i="436" s="1"/>
  <c r="E880" i="436" s="1"/>
  <c r="E881" i="436" s="1"/>
  <c r="E882" i="436" s="1"/>
  <c r="E883" i="436" s="1"/>
  <c r="E884" i="436" s="1"/>
  <c r="E885" i="436" s="1"/>
  <c r="E886" i="436" s="1"/>
  <c r="E887" i="436" s="1"/>
  <c r="E888" i="436" s="1"/>
  <c r="E889" i="436" s="1"/>
  <c r="E890" i="436" s="1"/>
  <c r="E891" i="436" s="1"/>
  <c r="E892" i="436" s="1"/>
  <c r="E893" i="436" s="1"/>
  <c r="E894" i="436" s="1"/>
  <c r="E895" i="436" s="1"/>
  <c r="E896" i="436" s="1"/>
  <c r="E897" i="436" s="1"/>
  <c r="E898" i="436" s="1"/>
  <c r="E899" i="436" s="1"/>
  <c r="E900" i="436" s="1"/>
  <c r="E901" i="436" s="1"/>
  <c r="E902" i="436" s="1"/>
  <c r="E903" i="436" s="1"/>
  <c r="E904" i="436" s="1"/>
  <c r="E905" i="436" s="1"/>
  <c r="E906" i="436" s="1"/>
  <c r="E907" i="436" s="1"/>
  <c r="E908" i="436" s="1"/>
  <c r="E909" i="436" s="1"/>
  <c r="E910" i="436" s="1"/>
  <c r="E911" i="436" s="1"/>
  <c r="E912" i="436" s="1"/>
  <c r="E913" i="436" s="1"/>
  <c r="E914" i="436" s="1"/>
  <c r="E915" i="436" s="1"/>
  <c r="E916" i="436" s="1"/>
  <c r="E917" i="436" s="1"/>
  <c r="E918" i="436" s="1"/>
  <c r="E919" i="436" s="1"/>
  <c r="E920" i="436" s="1"/>
  <c r="E921" i="436" s="1"/>
  <c r="E922" i="436" s="1"/>
  <c r="E923" i="436" s="1"/>
  <c r="E924" i="436" s="1"/>
  <c r="E925" i="436" s="1"/>
  <c r="E926" i="436" s="1"/>
  <c r="E927" i="436" s="1"/>
  <c r="E928" i="436" s="1"/>
  <c r="E929" i="436" s="1"/>
  <c r="E930" i="436" s="1"/>
  <c r="E931" i="436" s="1"/>
  <c r="E932" i="436" s="1"/>
  <c r="E933" i="436" s="1"/>
  <c r="E934" i="436" s="1"/>
  <c r="E935" i="436" s="1"/>
  <c r="E936" i="436" s="1"/>
  <c r="E937" i="436" s="1"/>
  <c r="E938" i="436" s="1"/>
  <c r="E939" i="436" s="1"/>
  <c r="E940" i="436" s="1"/>
  <c r="E941" i="436" s="1"/>
  <c r="E942" i="436" s="1"/>
  <c r="E943" i="436" s="1"/>
  <c r="E944" i="436" s="1"/>
  <c r="E945" i="436" s="1"/>
  <c r="E946" i="436" s="1"/>
  <c r="E947" i="436" s="1"/>
  <c r="E948" i="436" s="1"/>
  <c r="E949" i="436" s="1"/>
  <c r="E950" i="436" s="1"/>
  <c r="E951" i="436" s="1"/>
  <c r="E952" i="436" s="1"/>
  <c r="E953" i="436" s="1"/>
  <c r="E954" i="436" s="1"/>
  <c r="E955" i="436" s="1"/>
  <c r="E956" i="436" s="1"/>
  <c r="E957" i="436" s="1"/>
  <c r="E958" i="436" s="1"/>
  <c r="E959" i="436" s="1"/>
  <c r="E960" i="436" s="1"/>
  <c r="E961" i="436" s="1"/>
  <c r="E962" i="436" s="1"/>
  <c r="E963" i="436" s="1"/>
  <c r="E964" i="436" s="1"/>
  <c r="E965" i="436" s="1"/>
  <c r="E966" i="436" s="1"/>
  <c r="E967" i="436" s="1"/>
  <c r="E968" i="436" s="1"/>
  <c r="E969" i="436" s="1"/>
  <c r="E970" i="436" s="1"/>
  <c r="E971" i="436" s="1"/>
  <c r="E972" i="436" s="1"/>
  <c r="E973" i="436" s="1"/>
  <c r="E974" i="436" s="1"/>
  <c r="E975" i="436" s="1"/>
  <c r="E976" i="436" s="1"/>
  <c r="E977" i="436" s="1"/>
  <c r="E978" i="436" s="1"/>
  <c r="E979" i="436" s="1"/>
  <c r="E980" i="436" s="1"/>
  <c r="E981" i="436" s="1"/>
  <c r="E982" i="436" s="1"/>
  <c r="E983" i="436" s="1"/>
  <c r="E984" i="436" s="1"/>
  <c r="E985" i="436" s="1"/>
  <c r="E986" i="436" s="1"/>
  <c r="E987" i="436" s="1"/>
  <c r="E988" i="436" s="1"/>
  <c r="E989" i="436" s="1"/>
  <c r="E990" i="436" s="1"/>
  <c r="E991" i="436" s="1"/>
  <c r="E992" i="436" s="1"/>
  <c r="E993" i="436" s="1"/>
  <c r="E994" i="436" s="1"/>
  <c r="E995" i="436" s="1"/>
  <c r="E996" i="436" s="1"/>
  <c r="E997" i="436" s="1"/>
  <c r="E998" i="436" s="1"/>
  <c r="E999" i="436" s="1"/>
  <c r="E1000" i="436" s="1"/>
  <c r="E1001" i="436" s="1"/>
  <c r="E1002" i="436" s="1"/>
  <c r="E1003" i="436" s="1"/>
  <c r="E1004" i="436" s="1"/>
  <c r="E1005" i="436" s="1"/>
  <c r="E1006" i="436" s="1"/>
  <c r="E1007" i="436" s="1"/>
  <c r="E1008" i="436" s="1"/>
  <c r="E1009" i="436" s="1"/>
  <c r="E1010" i="436" s="1"/>
  <c r="E1011" i="436" s="1"/>
  <c r="E1012" i="436" s="1"/>
  <c r="E1013" i="436" s="1"/>
  <c r="E1014" i="436" s="1"/>
  <c r="E1015" i="436" s="1"/>
  <c r="E1016" i="436" s="1"/>
  <c r="E1017" i="436" s="1"/>
  <c r="E1018" i="436" s="1"/>
  <c r="E1019" i="436" s="1"/>
  <c r="E1020" i="436" s="1"/>
  <c r="E1021" i="436" s="1"/>
  <c r="E1022" i="436" s="1"/>
  <c r="E1023" i="436" s="1"/>
  <c r="E1024" i="436" s="1"/>
  <c r="E1025" i="436" s="1"/>
  <c r="E1026" i="436" s="1"/>
  <c r="E1027" i="436" s="1"/>
  <c r="E1028" i="436" s="1"/>
  <c r="E1029" i="436" s="1"/>
  <c r="E1030" i="436" s="1"/>
  <c r="E1031" i="436" s="1"/>
  <c r="E1032" i="436" s="1"/>
  <c r="E1033" i="436" s="1"/>
  <c r="E1034" i="436" s="1"/>
  <c r="E1035" i="436" s="1"/>
  <c r="E1036" i="436" s="1"/>
  <c r="E1037" i="436" s="1"/>
  <c r="E1038" i="436" s="1"/>
  <c r="E1039" i="436" s="1"/>
  <c r="E1040" i="436" s="1"/>
  <c r="E1041" i="436" s="1"/>
  <c r="E1042" i="436" s="1"/>
  <c r="E1043" i="436" s="1"/>
  <c r="E1044" i="436" s="1"/>
  <c r="E1045" i="436" s="1"/>
  <c r="E1046" i="436" s="1"/>
  <c r="E1047" i="436" s="1"/>
  <c r="E1048" i="436" s="1"/>
  <c r="E1049" i="436" s="1"/>
  <c r="E1050" i="436" s="1"/>
  <c r="E1051" i="436" s="1"/>
  <c r="E1052" i="436" s="1"/>
  <c r="E1053" i="436" s="1"/>
  <c r="E1054" i="436" s="1"/>
  <c r="E1055" i="436" s="1"/>
  <c r="E1056" i="436" s="1"/>
  <c r="E1057" i="436" s="1"/>
  <c r="E1058" i="436" s="1"/>
  <c r="E1059" i="436" s="1"/>
  <c r="E1060" i="436" s="1"/>
  <c r="E1061" i="436" s="1"/>
  <c r="E1062" i="436" s="1"/>
  <c r="E1063" i="436" s="1"/>
  <c r="E1064" i="436" s="1"/>
  <c r="E1065" i="436" s="1"/>
  <c r="E1066" i="436" s="1"/>
  <c r="E1067" i="436" s="1"/>
  <c r="E1068" i="436" s="1"/>
  <c r="E1069" i="436" s="1"/>
  <c r="E1070" i="436" s="1"/>
  <c r="E1071" i="436" s="1"/>
  <c r="E1072" i="436" s="1"/>
  <c r="E1073" i="436" s="1"/>
  <c r="E1074" i="436" s="1"/>
  <c r="E1075" i="436" s="1"/>
  <c r="E1076" i="436" s="1"/>
  <c r="E1077" i="436" s="1"/>
  <c r="E1078" i="436" s="1"/>
  <c r="E1079" i="436" s="1"/>
  <c r="E1080" i="436" s="1"/>
  <c r="E1081" i="436" s="1"/>
  <c r="E1082" i="436" s="1"/>
  <c r="E1083" i="436" s="1"/>
  <c r="E1084" i="436" s="1"/>
  <c r="E1085" i="436" s="1"/>
  <c r="E116" i="432" l="1"/>
  <c r="H117" i="432" s="1"/>
  <c r="E12" i="432"/>
  <c r="N53" i="436" l="1"/>
  <c r="A36" i="441" l="1"/>
  <c r="A35" i="441"/>
  <c r="A34" i="441"/>
  <c r="A33" i="441"/>
  <c r="A32" i="441"/>
  <c r="A31" i="441"/>
  <c r="A30" i="441"/>
  <c r="A29" i="441"/>
  <c r="A28" i="441"/>
  <c r="A27" i="441"/>
  <c r="A26" i="441"/>
  <c r="C3" i="441"/>
  <c r="C2" i="441"/>
  <c r="C1" i="441"/>
  <c r="N443" i="436" l="1"/>
  <c r="N442" i="436"/>
  <c r="N434" i="436"/>
  <c r="N436" i="436"/>
  <c r="N431" i="436"/>
  <c r="N231" i="436"/>
  <c r="N233" i="436"/>
  <c r="N254" i="436"/>
  <c r="N252" i="436"/>
  <c r="N250" i="436"/>
  <c r="N248" i="436"/>
  <c r="N223" i="436"/>
  <c r="N221" i="436"/>
  <c r="N219" i="436"/>
  <c r="N217" i="436"/>
  <c r="N215" i="436"/>
  <c r="N209" i="436"/>
  <c r="N203" i="436"/>
  <c r="N201" i="436"/>
  <c r="N179" i="436"/>
  <c r="N177" i="436"/>
  <c r="N173" i="436"/>
  <c r="N171" i="436"/>
  <c r="N169" i="436"/>
  <c r="N167" i="436"/>
  <c r="N197" i="436"/>
  <c r="N195" i="436"/>
  <c r="N193" i="436"/>
  <c r="N191" i="436"/>
  <c r="N183" i="436"/>
  <c r="N93" i="436"/>
  <c r="N87" i="436"/>
  <c r="N86" i="436"/>
  <c r="N84" i="436"/>
  <c r="N82" i="436"/>
  <c r="N81" i="436"/>
  <c r="N78" i="436"/>
  <c r="N77" i="436"/>
  <c r="E8" i="436" l="1"/>
  <c r="E9" i="436" s="1"/>
  <c r="D8" i="436"/>
  <c r="C8" i="436"/>
  <c r="C9" i="436" s="1"/>
  <c r="C10" i="436" s="1"/>
  <c r="C11" i="436" s="1"/>
  <c r="C12" i="436" s="1"/>
  <c r="C13" i="436" s="1"/>
  <c r="C14" i="436" s="1"/>
  <c r="C15" i="436" s="1"/>
  <c r="C16" i="436" s="1"/>
  <c r="C17" i="436" s="1"/>
  <c r="C18" i="436" s="1"/>
  <c r="C19" i="436" s="1"/>
  <c r="C20" i="436" s="1"/>
  <c r="C21" i="436" s="1"/>
  <c r="C22" i="436" s="1"/>
  <c r="B8" i="436"/>
  <c r="B9" i="436" s="1"/>
  <c r="B10" i="436" s="1"/>
  <c r="B11" i="436" s="1"/>
  <c r="B12" i="436" s="1"/>
  <c r="B13" i="436" s="1"/>
  <c r="B14" i="436" s="1"/>
  <c r="B15" i="436" s="1"/>
  <c r="B16" i="436" s="1"/>
  <c r="B17" i="436" s="1"/>
  <c r="B18" i="436" s="1"/>
  <c r="B19" i="436" s="1"/>
  <c r="B20" i="436" s="1"/>
  <c r="B21" i="436" s="1"/>
  <c r="B22" i="436" s="1"/>
  <c r="B23" i="436" s="1"/>
  <c r="B24" i="436" s="1"/>
  <c r="B25" i="436" s="1"/>
  <c r="B26" i="436" s="1"/>
  <c r="B27" i="436" s="1"/>
  <c r="B28" i="436" s="1"/>
  <c r="B29" i="436" s="1"/>
  <c r="B30" i="436" s="1"/>
  <c r="B31" i="436" s="1"/>
  <c r="B32" i="436" s="1"/>
  <c r="B33" i="436" s="1"/>
  <c r="B34" i="436" s="1"/>
  <c r="B35" i="436" s="1"/>
  <c r="B36" i="436" s="1"/>
  <c r="B37" i="436" s="1"/>
  <c r="B38" i="436" s="1"/>
  <c r="B39" i="436" s="1"/>
  <c r="B40" i="436" s="1"/>
  <c r="B41" i="436" s="1"/>
  <c r="B42" i="436" s="1"/>
  <c r="B43" i="436" s="1"/>
  <c r="B44" i="436" s="1"/>
  <c r="B45" i="436" s="1"/>
  <c r="B46" i="436" s="1"/>
  <c r="B47" i="436" s="1"/>
  <c r="B48" i="436" s="1"/>
  <c r="B49" i="436" s="1"/>
  <c r="B50" i="436" s="1"/>
  <c r="B51" i="436" s="1"/>
  <c r="B52" i="436" s="1"/>
  <c r="B53" i="436" s="1"/>
  <c r="B54" i="436" s="1"/>
  <c r="B55" i="436" s="1"/>
  <c r="B56" i="436" s="1"/>
  <c r="B57" i="436" s="1"/>
  <c r="B58" i="436" s="1"/>
  <c r="B59" i="436" s="1"/>
  <c r="B60" i="436" s="1"/>
  <c r="B61" i="436" s="1"/>
  <c r="B62" i="436" s="1"/>
  <c r="B63" i="436" s="1"/>
  <c r="B64" i="436" s="1"/>
  <c r="B65" i="436" s="1"/>
  <c r="B66" i="436" s="1"/>
  <c r="B67" i="436" s="1"/>
  <c r="B68" i="436" s="1"/>
  <c r="B69" i="436" s="1"/>
  <c r="B70" i="436" s="1"/>
  <c r="B71" i="436" s="1"/>
  <c r="B72" i="436" s="1"/>
  <c r="B73" i="436" s="1"/>
  <c r="B74" i="436" s="1"/>
  <c r="B75" i="436" s="1"/>
  <c r="B76" i="436" s="1"/>
  <c r="B77" i="436" s="1"/>
  <c r="B78" i="436" s="1"/>
  <c r="B79" i="436" s="1"/>
  <c r="B80" i="436" s="1"/>
  <c r="B81" i="436" s="1"/>
  <c r="B82" i="436" s="1"/>
  <c r="B83" i="436" s="1"/>
  <c r="B84" i="436" s="1"/>
  <c r="B85" i="436" s="1"/>
  <c r="B86" i="436" s="1"/>
  <c r="B87" i="436" s="1"/>
  <c r="B88" i="436" s="1"/>
  <c r="B89" i="436" s="1"/>
  <c r="B90" i="436" s="1"/>
  <c r="B91" i="436" s="1"/>
  <c r="B92" i="436" s="1"/>
  <c r="B93" i="436" s="1"/>
  <c r="B94" i="436" s="1"/>
  <c r="B95" i="436" s="1"/>
  <c r="B96" i="436" s="1"/>
  <c r="B97" i="436" s="1"/>
  <c r="B98" i="436" s="1"/>
  <c r="B99" i="436" s="1"/>
  <c r="B100" i="436" s="1"/>
  <c r="B101" i="436" s="1"/>
  <c r="B102" i="436" s="1"/>
  <c r="B103" i="436" s="1"/>
  <c r="A8" i="436"/>
  <c r="A9" i="436" l="1"/>
  <c r="A10" i="436" s="1"/>
  <c r="A11" i="436" s="1"/>
  <c r="I8" i="436"/>
  <c r="A12" i="436" l="1"/>
  <c r="I94" i="436"/>
  <c r="I10" i="436"/>
  <c r="I9" i="436"/>
  <c r="A13" i="436" l="1"/>
  <c r="I11" i="436"/>
  <c r="A14" i="436" l="1"/>
  <c r="A15" i="436" s="1"/>
  <c r="I12" i="436"/>
  <c r="A16" i="436" l="1"/>
  <c r="A17" i="436" s="1"/>
  <c r="I13" i="436"/>
  <c r="A18" i="436" l="1"/>
  <c r="I14" i="436"/>
  <c r="A19" i="436" l="1"/>
  <c r="I15" i="436"/>
  <c r="A20" i="436" l="1"/>
  <c r="I16" i="436"/>
  <c r="E14" i="506" l="1"/>
  <c r="E13" i="506"/>
  <c r="A21" i="436"/>
  <c r="A22" i="436" s="1"/>
  <c r="A23" i="436" s="1"/>
  <c r="A24" i="436" s="1"/>
  <c r="A25" i="436" s="1"/>
  <c r="A26" i="436" s="1"/>
  <c r="A27" i="436" s="1"/>
  <c r="A28" i="436" s="1"/>
  <c r="A29" i="436" s="1"/>
  <c r="A30" i="436" s="1"/>
  <c r="A31" i="436" s="1"/>
  <c r="A32" i="436" s="1"/>
  <c r="A33" i="436" s="1"/>
  <c r="A34" i="436" s="1"/>
  <c r="A35" i="436" s="1"/>
  <c r="A36" i="436" s="1"/>
  <c r="A37" i="436" s="1"/>
  <c r="A38" i="436" s="1"/>
  <c r="A39" i="436" s="1"/>
  <c r="A40" i="436" s="1"/>
  <c r="A41" i="436" s="1"/>
  <c r="A42" i="436" s="1"/>
  <c r="A43" i="436" s="1"/>
  <c r="A44" i="436" s="1"/>
  <c r="A45" i="436" s="1"/>
  <c r="A46" i="436" s="1"/>
  <c r="A47" i="436" s="1"/>
  <c r="A48" i="436" s="1"/>
  <c r="A49" i="436" s="1"/>
  <c r="A50" i="436" s="1"/>
  <c r="A51" i="436" s="1"/>
  <c r="A52" i="436" s="1"/>
  <c r="A53" i="436" s="1"/>
  <c r="A54" i="436" s="1"/>
  <c r="A55" i="436" s="1"/>
  <c r="A56" i="436" s="1"/>
  <c r="A57" i="436" s="1"/>
  <c r="A58" i="436" s="1"/>
  <c r="A59" i="436" s="1"/>
  <c r="A60" i="436" s="1"/>
  <c r="A61" i="436" s="1"/>
  <c r="A62" i="436" s="1"/>
  <c r="A63" i="436" s="1"/>
  <c r="A64" i="436" s="1"/>
  <c r="A65" i="436" s="1"/>
  <c r="A66" i="436" s="1"/>
  <c r="A67" i="436" s="1"/>
  <c r="A68" i="436" s="1"/>
  <c r="A69" i="436" s="1"/>
  <c r="A70" i="436" s="1"/>
  <c r="A71" i="436" s="1"/>
  <c r="A72" i="436" s="1"/>
  <c r="A73" i="436" s="1"/>
  <c r="A74" i="436" s="1"/>
  <c r="A75" i="436" s="1"/>
  <c r="A76" i="436" s="1"/>
  <c r="A77" i="436" s="1"/>
  <c r="A78" i="436" s="1"/>
  <c r="A79" i="436" s="1"/>
  <c r="A80" i="436" s="1"/>
  <c r="A81" i="436" s="1"/>
  <c r="A82" i="436" s="1"/>
  <c r="A83" i="436" s="1"/>
  <c r="A84" i="436" s="1"/>
  <c r="A85" i="436" s="1"/>
  <c r="A86" i="436" s="1"/>
  <c r="A87" i="436" s="1"/>
  <c r="A88" i="436" s="1"/>
  <c r="A89" i="436" s="1"/>
  <c r="A90" i="436" s="1"/>
  <c r="A91" i="436" s="1"/>
  <c r="A92" i="436" s="1"/>
  <c r="A93" i="436" s="1"/>
  <c r="A94" i="436" s="1"/>
  <c r="A95" i="436" s="1"/>
  <c r="A96" i="436" s="1"/>
  <c r="A97" i="436" s="1"/>
  <c r="A98" i="436" s="1"/>
  <c r="A99" i="436" s="1"/>
  <c r="A100" i="436" s="1"/>
  <c r="A101" i="436" s="1"/>
  <c r="A102" i="436" s="1"/>
  <c r="A103" i="436" s="1"/>
  <c r="A108" i="436" s="1"/>
  <c r="I20" i="436"/>
  <c r="I27" i="436" l="1"/>
  <c r="I28" i="436" l="1"/>
  <c r="I29" i="436" l="1"/>
  <c r="I30" i="436" l="1"/>
  <c r="I55" i="436" l="1"/>
  <c r="I58" i="436" l="1"/>
  <c r="I59" i="436" l="1"/>
  <c r="I60" i="436" l="1"/>
  <c r="I61" i="436" l="1"/>
  <c r="I62" i="436" l="1"/>
  <c r="I63" i="436" l="1"/>
  <c r="I64" i="436" l="1"/>
  <c r="I65" i="436" l="1"/>
  <c r="I66" i="436" l="1"/>
  <c r="I67" i="436" l="1"/>
  <c r="N27" i="436" l="1"/>
  <c r="N29" i="436"/>
  <c r="N30" i="436"/>
  <c r="I68" i="436"/>
  <c r="N28" i="436" l="1"/>
  <c r="I69" i="436"/>
  <c r="N14" i="436"/>
  <c r="I70" i="436" l="1"/>
  <c r="D617" i="436"/>
  <c r="D618" i="436" s="1"/>
  <c r="D619" i="436" s="1"/>
  <c r="D620" i="436" s="1"/>
  <c r="D621" i="436" s="1"/>
  <c r="D622" i="436" s="1"/>
  <c r="D623" i="436" s="1"/>
  <c r="D624" i="436" s="1"/>
  <c r="D625" i="436" s="1"/>
  <c r="D626" i="436" s="1"/>
  <c r="D627" i="436" s="1"/>
  <c r="D628" i="436" s="1"/>
  <c r="D629" i="436" s="1"/>
  <c r="D630" i="436" s="1"/>
  <c r="D631" i="436" s="1"/>
  <c r="D632" i="436" s="1"/>
  <c r="D633" i="436" s="1"/>
  <c r="D634" i="436" s="1"/>
  <c r="D635" i="436" s="1"/>
  <c r="D636" i="436" s="1"/>
  <c r="D637" i="436" s="1"/>
  <c r="D638" i="436" s="1"/>
  <c r="D639" i="436" s="1"/>
  <c r="D640" i="436" s="1"/>
  <c r="D641" i="436" s="1"/>
  <c r="D642" i="436" s="1"/>
  <c r="D643" i="436" s="1"/>
  <c r="D644" i="436" s="1"/>
  <c r="D645" i="436" s="1"/>
  <c r="D646" i="436" s="1"/>
  <c r="D647" i="436" s="1"/>
  <c r="D648" i="436" s="1"/>
  <c r="D649" i="436" s="1"/>
  <c r="D650" i="436" s="1"/>
  <c r="D651" i="436" s="1"/>
  <c r="D652" i="436" s="1"/>
  <c r="D653" i="436" s="1"/>
  <c r="D654" i="436" s="1"/>
  <c r="D655" i="436" s="1"/>
  <c r="D656" i="436" s="1"/>
  <c r="D657" i="436" s="1"/>
  <c r="D658" i="436" s="1"/>
  <c r="D659" i="436" s="1"/>
  <c r="D660" i="436" s="1"/>
  <c r="D661" i="436" s="1"/>
  <c r="D662" i="436" s="1"/>
  <c r="D663" i="436" s="1"/>
  <c r="D664" i="436" s="1"/>
  <c r="D665" i="436" s="1"/>
  <c r="D666" i="436" s="1"/>
  <c r="D667" i="436" s="1"/>
  <c r="D668" i="436" s="1"/>
  <c r="D669" i="436" s="1"/>
  <c r="D670" i="436" s="1"/>
  <c r="D671" i="436" s="1"/>
  <c r="D672" i="436" s="1"/>
  <c r="D673" i="436" s="1"/>
  <c r="D674" i="436" s="1"/>
  <c r="D675" i="436" s="1"/>
  <c r="D676" i="436" s="1"/>
  <c r="D677" i="436" s="1"/>
  <c r="D678" i="436" s="1"/>
  <c r="D679" i="436" s="1"/>
  <c r="D680" i="436" s="1"/>
  <c r="D681" i="436" s="1"/>
  <c r="D682" i="436" s="1"/>
  <c r="D683" i="436" s="1"/>
  <c r="D684" i="436" s="1"/>
  <c r="D685" i="436" s="1"/>
  <c r="D686" i="436" s="1"/>
  <c r="D687" i="436" s="1"/>
  <c r="D688" i="436" s="1"/>
  <c r="D689" i="436" s="1"/>
  <c r="D690" i="436" s="1"/>
  <c r="D691" i="436" s="1"/>
  <c r="D692" i="436" s="1"/>
  <c r="D693" i="436" s="1"/>
  <c r="D694" i="436" s="1"/>
  <c r="D695" i="436" s="1"/>
  <c r="D696" i="436" s="1"/>
  <c r="D697" i="436" s="1"/>
  <c r="D698" i="436" s="1"/>
  <c r="D699" i="436" s="1"/>
  <c r="D700" i="436" s="1"/>
  <c r="D701" i="436" s="1"/>
  <c r="D702" i="436" s="1"/>
  <c r="D703" i="436" s="1"/>
  <c r="D704" i="436" s="1"/>
  <c r="D705" i="436" s="1"/>
  <c r="D706" i="436" s="1"/>
  <c r="D707" i="436" s="1"/>
  <c r="D708" i="436" s="1"/>
  <c r="D709" i="436" s="1"/>
  <c r="D710" i="436" s="1"/>
  <c r="D711" i="436" s="1"/>
  <c r="D712" i="436" s="1"/>
  <c r="D713" i="436" s="1"/>
  <c r="D714" i="436" s="1"/>
  <c r="D715" i="436" s="1"/>
  <c r="D716" i="436" s="1"/>
  <c r="D717" i="436" s="1"/>
  <c r="D718" i="436" s="1"/>
  <c r="D719" i="436" s="1"/>
  <c r="D720" i="436" s="1"/>
  <c r="D721" i="436" s="1"/>
  <c r="D722" i="436" s="1"/>
  <c r="D723" i="436" s="1"/>
  <c r="D724" i="436" s="1"/>
  <c r="D725" i="436" s="1"/>
  <c r="D726" i="436" s="1"/>
  <c r="D727" i="436" s="1"/>
  <c r="D728" i="436" s="1"/>
  <c r="D729" i="436" s="1"/>
  <c r="D730" i="436" s="1"/>
  <c r="D731" i="436" s="1"/>
  <c r="D732" i="436" s="1"/>
  <c r="D733" i="436" s="1"/>
  <c r="D734" i="436" s="1"/>
  <c r="D735" i="436" s="1"/>
  <c r="D736" i="436" s="1"/>
  <c r="D737" i="436" s="1"/>
  <c r="D738" i="436" s="1"/>
  <c r="D739" i="436" s="1"/>
  <c r="D740" i="436" s="1"/>
  <c r="D741" i="436" s="1"/>
  <c r="D742" i="436" s="1"/>
  <c r="D743" i="436" s="1"/>
  <c r="D744" i="436" s="1"/>
  <c r="D745" i="436" s="1"/>
  <c r="D746" i="436" s="1"/>
  <c r="D747" i="436" s="1"/>
  <c r="D748" i="436" s="1"/>
  <c r="D749" i="436" s="1"/>
  <c r="D750" i="436" s="1"/>
  <c r="D751" i="436" s="1"/>
  <c r="D752" i="436" s="1"/>
  <c r="D753" i="436" s="1"/>
  <c r="D754" i="436" s="1"/>
  <c r="D755" i="436" s="1"/>
  <c r="D756" i="436" s="1"/>
  <c r="D757" i="436" s="1"/>
  <c r="D758" i="436" s="1"/>
  <c r="D759" i="436" s="1"/>
  <c r="D760" i="436" s="1"/>
  <c r="D761" i="436" s="1"/>
  <c r="D762" i="436" s="1"/>
  <c r="D763" i="436" s="1"/>
  <c r="D764" i="436" s="1"/>
  <c r="D765" i="436" s="1"/>
  <c r="D766" i="436" s="1"/>
  <c r="D767" i="436" s="1"/>
  <c r="D768" i="436" s="1"/>
  <c r="D769" i="436" s="1"/>
  <c r="D770" i="436" s="1"/>
  <c r="D771" i="436" s="1"/>
  <c r="D772" i="436" s="1"/>
  <c r="D773" i="436" s="1"/>
  <c r="D774" i="436" s="1"/>
  <c r="D775" i="436" s="1"/>
  <c r="D776" i="436" s="1"/>
  <c r="D777" i="436" s="1"/>
  <c r="D778" i="436" s="1"/>
  <c r="D779" i="436" s="1"/>
  <c r="D780" i="436" s="1"/>
  <c r="D781" i="436" s="1"/>
  <c r="D782" i="436" s="1"/>
  <c r="D783" i="436" s="1"/>
  <c r="D784" i="436" s="1"/>
  <c r="D785" i="436" s="1"/>
  <c r="D786" i="436" s="1"/>
  <c r="D787" i="436" s="1"/>
  <c r="D788" i="436" s="1"/>
  <c r="D789" i="436" s="1"/>
  <c r="D790" i="436" s="1"/>
  <c r="D791" i="436" s="1"/>
  <c r="D792" i="436" s="1"/>
  <c r="D793" i="436" s="1"/>
  <c r="D794" i="436" s="1"/>
  <c r="D795" i="436" s="1"/>
  <c r="D796" i="436" s="1"/>
  <c r="D797" i="436" s="1"/>
  <c r="D798" i="436" s="1"/>
  <c r="D799" i="436" s="1"/>
  <c r="D800" i="436" s="1"/>
  <c r="D801" i="436" s="1"/>
  <c r="D802" i="436" s="1"/>
  <c r="D803" i="436" s="1"/>
  <c r="D804" i="436" s="1"/>
  <c r="D805" i="436" s="1"/>
  <c r="D806" i="436" s="1"/>
  <c r="D807" i="436" s="1"/>
  <c r="D808" i="436" s="1"/>
  <c r="D809" i="436" s="1"/>
  <c r="D810" i="436" s="1"/>
  <c r="D811" i="436" s="1"/>
  <c r="D812" i="436" s="1"/>
  <c r="D813" i="436" s="1"/>
  <c r="D814" i="436" s="1"/>
  <c r="D815" i="436" s="1"/>
  <c r="D816" i="436" s="1"/>
  <c r="D817" i="436" s="1"/>
  <c r="D818" i="436" s="1"/>
  <c r="D819" i="436" s="1"/>
  <c r="D820" i="436" s="1"/>
  <c r="D821" i="436" s="1"/>
  <c r="D822" i="436" s="1"/>
  <c r="D823" i="436" s="1"/>
  <c r="D824" i="436" s="1"/>
  <c r="D825" i="436" s="1"/>
  <c r="D826" i="436" s="1"/>
  <c r="D827" i="436" s="1"/>
  <c r="D828" i="436" s="1"/>
  <c r="D829" i="436" s="1"/>
  <c r="D830" i="436" s="1"/>
  <c r="D831" i="436" s="1"/>
  <c r="D832" i="436" s="1"/>
  <c r="D833" i="436" s="1"/>
  <c r="D834" i="436" s="1"/>
  <c r="D835" i="436" s="1"/>
  <c r="D836" i="436" s="1"/>
  <c r="D837" i="436" s="1"/>
  <c r="D838" i="436" s="1"/>
  <c r="D839" i="436" s="1"/>
  <c r="D840" i="436" s="1"/>
  <c r="D841" i="436" s="1"/>
  <c r="D842" i="436" s="1"/>
  <c r="D843" i="436" s="1"/>
  <c r="D844" i="436" s="1"/>
  <c r="D845" i="436" s="1"/>
  <c r="D846" i="436" s="1"/>
  <c r="D847" i="436" s="1"/>
  <c r="D848" i="436" s="1"/>
  <c r="D849" i="436" s="1"/>
  <c r="D850" i="436" s="1"/>
  <c r="D851" i="436" s="1"/>
  <c r="D852" i="436" s="1"/>
  <c r="D853" i="436" s="1"/>
  <c r="D854" i="436" s="1"/>
  <c r="D855" i="436" s="1"/>
  <c r="D856" i="436" s="1"/>
  <c r="D857" i="436" s="1"/>
  <c r="D858" i="436" s="1"/>
  <c r="D859" i="436" s="1"/>
  <c r="D860" i="436" s="1"/>
  <c r="D861" i="436" s="1"/>
  <c r="D862" i="436" s="1"/>
  <c r="D863" i="436" s="1"/>
  <c r="D864" i="436" s="1"/>
  <c r="D865" i="436" s="1"/>
  <c r="D866" i="436" s="1"/>
  <c r="D867" i="436" s="1"/>
  <c r="D868" i="436" s="1"/>
  <c r="D869" i="436" s="1"/>
  <c r="D870" i="436" s="1"/>
  <c r="D871" i="436" s="1"/>
  <c r="D872" i="436" s="1"/>
  <c r="D873" i="436" s="1"/>
  <c r="D874" i="436" s="1"/>
  <c r="D875" i="436" s="1"/>
  <c r="D876" i="436" s="1"/>
  <c r="D877" i="436" s="1"/>
  <c r="D878" i="436" s="1"/>
  <c r="D879" i="436" s="1"/>
  <c r="D880" i="436" s="1"/>
  <c r="D881" i="436" s="1"/>
  <c r="D882" i="436" s="1"/>
  <c r="D883" i="436" s="1"/>
  <c r="D884" i="436" s="1"/>
  <c r="D885" i="436" s="1"/>
  <c r="D886" i="436" s="1"/>
  <c r="D887" i="436" s="1"/>
  <c r="D888" i="436" s="1"/>
  <c r="D889" i="436" s="1"/>
  <c r="D890" i="436" s="1"/>
  <c r="D891" i="436" s="1"/>
  <c r="D892" i="436" s="1"/>
  <c r="D893" i="436" s="1"/>
  <c r="D894" i="436" s="1"/>
  <c r="D895" i="436" s="1"/>
  <c r="D896" i="436" s="1"/>
  <c r="D897" i="436" s="1"/>
  <c r="D898" i="436" s="1"/>
  <c r="D899" i="436" s="1"/>
  <c r="D900" i="436" s="1"/>
  <c r="D901" i="436" s="1"/>
  <c r="D902" i="436" s="1"/>
  <c r="D903" i="436" s="1"/>
  <c r="D904" i="436" s="1"/>
  <c r="D905" i="436" s="1"/>
  <c r="D906" i="436" s="1"/>
  <c r="D907" i="436" s="1"/>
  <c r="D908" i="436" s="1"/>
  <c r="D909" i="436" s="1"/>
  <c r="D910" i="436" s="1"/>
  <c r="D911" i="436" s="1"/>
  <c r="D912" i="436" s="1"/>
  <c r="D913" i="436" s="1"/>
  <c r="D914" i="436" s="1"/>
  <c r="D915" i="436" s="1"/>
  <c r="D916" i="436" s="1"/>
  <c r="D917" i="436" s="1"/>
  <c r="D918" i="436" s="1"/>
  <c r="D919" i="436" s="1"/>
  <c r="D920" i="436" s="1"/>
  <c r="D921" i="436" s="1"/>
  <c r="D922" i="436" s="1"/>
  <c r="D923" i="436" s="1"/>
  <c r="D924" i="436" s="1"/>
  <c r="D925" i="436" s="1"/>
  <c r="D926" i="436" s="1"/>
  <c r="D927" i="436" s="1"/>
  <c r="D928" i="436" s="1"/>
  <c r="D929" i="436" s="1"/>
  <c r="D930" i="436" s="1"/>
  <c r="D931" i="436" s="1"/>
  <c r="D932" i="436" s="1"/>
  <c r="D933" i="436" s="1"/>
  <c r="D934" i="436" s="1"/>
  <c r="D935" i="436" s="1"/>
  <c r="D936" i="436" s="1"/>
  <c r="D937" i="436" s="1"/>
  <c r="D938" i="436" s="1"/>
  <c r="D939" i="436" s="1"/>
  <c r="D940" i="436" s="1"/>
  <c r="D941" i="436" s="1"/>
  <c r="D942" i="436" s="1"/>
  <c r="D943" i="436" s="1"/>
  <c r="D944" i="436" s="1"/>
  <c r="D945" i="436" s="1"/>
  <c r="D946" i="436" s="1"/>
  <c r="D947" i="436" s="1"/>
  <c r="D948" i="436" s="1"/>
  <c r="D949" i="436" s="1"/>
  <c r="D950" i="436" s="1"/>
  <c r="D951" i="436" s="1"/>
  <c r="D952" i="436" s="1"/>
  <c r="D953" i="436" s="1"/>
  <c r="D954" i="436" s="1"/>
  <c r="D955" i="436" s="1"/>
  <c r="D956" i="436" s="1"/>
  <c r="D957" i="436" s="1"/>
  <c r="D958" i="436" s="1"/>
  <c r="D959" i="436" s="1"/>
  <c r="D960" i="436" s="1"/>
  <c r="D961" i="436" s="1"/>
  <c r="D962" i="436" s="1"/>
  <c r="D963" i="436" s="1"/>
  <c r="D964" i="436" s="1"/>
  <c r="D965" i="436" s="1"/>
  <c r="D966" i="436" s="1"/>
  <c r="D967" i="436" s="1"/>
  <c r="D968" i="436" s="1"/>
  <c r="D969" i="436" s="1"/>
  <c r="D970" i="436" s="1"/>
  <c r="D971" i="436" s="1"/>
  <c r="D972" i="436" s="1"/>
  <c r="D973" i="436" s="1"/>
  <c r="D974" i="436" s="1"/>
  <c r="D975" i="436" s="1"/>
  <c r="D976" i="436" s="1"/>
  <c r="D977" i="436" s="1"/>
  <c r="D978" i="436" s="1"/>
  <c r="D979" i="436" s="1"/>
  <c r="D980" i="436" s="1"/>
  <c r="D981" i="436" s="1"/>
  <c r="D982" i="436" s="1"/>
  <c r="D983" i="436" s="1"/>
  <c r="D984" i="436" s="1"/>
  <c r="D985" i="436" s="1"/>
  <c r="D986" i="436" s="1"/>
  <c r="D987" i="436" s="1"/>
  <c r="D988" i="436" s="1"/>
  <c r="D989" i="436" s="1"/>
  <c r="D990" i="436" s="1"/>
  <c r="D991" i="436" s="1"/>
  <c r="D992" i="436" s="1"/>
  <c r="D993" i="436" s="1"/>
  <c r="D994" i="436" s="1"/>
  <c r="D995" i="436" s="1"/>
  <c r="D996" i="436" s="1"/>
  <c r="D997" i="436" s="1"/>
  <c r="D998" i="436" s="1"/>
  <c r="D999" i="436" s="1"/>
  <c r="D1000" i="436" s="1"/>
  <c r="D1001" i="436" s="1"/>
  <c r="D1002" i="436" s="1"/>
  <c r="D1003" i="436" s="1"/>
  <c r="D1004" i="436" s="1"/>
  <c r="D1005" i="436" s="1"/>
  <c r="D1006" i="436" s="1"/>
  <c r="D1007" i="436" s="1"/>
  <c r="D1008" i="436" s="1"/>
  <c r="D1009" i="436" s="1"/>
  <c r="D1010" i="436" s="1"/>
  <c r="D1011" i="436" s="1"/>
  <c r="D1012" i="436" s="1"/>
  <c r="D1013" i="436" s="1"/>
  <c r="D1014" i="436" s="1"/>
  <c r="D1015" i="436" s="1"/>
  <c r="D1016" i="436" s="1"/>
  <c r="D1017" i="436" s="1"/>
  <c r="D1018" i="436" s="1"/>
  <c r="D1019" i="436" s="1"/>
  <c r="D1020" i="436" s="1"/>
  <c r="D1021" i="436" s="1"/>
  <c r="D1022" i="436" s="1"/>
  <c r="D1023" i="436" s="1"/>
  <c r="D1024" i="436" s="1"/>
  <c r="D1025" i="436" s="1"/>
  <c r="D1026" i="436" s="1"/>
  <c r="D1027" i="436" s="1"/>
  <c r="D1028" i="436" s="1"/>
  <c r="D1029" i="436" s="1"/>
  <c r="D1030" i="436" s="1"/>
  <c r="D1031" i="436" s="1"/>
  <c r="D1032" i="436" s="1"/>
  <c r="D1033" i="436" s="1"/>
  <c r="D1034" i="436" s="1"/>
  <c r="D1035" i="436" s="1"/>
  <c r="D1036" i="436" s="1"/>
  <c r="D1037" i="436" s="1"/>
  <c r="D1038" i="436" s="1"/>
  <c r="D1039" i="436" s="1"/>
  <c r="D1040" i="436" s="1"/>
  <c r="D1041" i="436" s="1"/>
  <c r="D1042" i="436" s="1"/>
  <c r="D1043" i="436" s="1"/>
  <c r="D1044" i="436" s="1"/>
  <c r="D1045" i="436" s="1"/>
  <c r="D1046" i="436" s="1"/>
  <c r="D1047" i="436" s="1"/>
  <c r="D1048" i="436" s="1"/>
  <c r="D1049" i="436" s="1"/>
  <c r="D1050" i="436" s="1"/>
  <c r="D1051" i="436" s="1"/>
  <c r="D1052" i="436" s="1"/>
  <c r="D1053" i="436" s="1"/>
  <c r="D1054" i="436" s="1"/>
  <c r="D1055" i="436" s="1"/>
  <c r="D1056" i="436" s="1"/>
  <c r="D1057" i="436" s="1"/>
  <c r="D1058" i="436" s="1"/>
  <c r="D1059" i="436" s="1"/>
  <c r="D1060" i="436" s="1"/>
  <c r="D1061" i="436" s="1"/>
  <c r="D1062" i="436" s="1"/>
  <c r="D1063" i="436" s="1"/>
  <c r="D1064" i="436" s="1"/>
  <c r="D1065" i="436" s="1"/>
  <c r="D1066" i="436" s="1"/>
  <c r="D1067" i="436" s="1"/>
  <c r="D1068" i="436" s="1"/>
  <c r="D1069" i="436" s="1"/>
  <c r="D1070" i="436" s="1"/>
  <c r="D1071" i="436" s="1"/>
  <c r="D1072" i="436" s="1"/>
  <c r="D1073" i="436" s="1"/>
  <c r="D1074" i="436" s="1"/>
  <c r="D1075" i="436" s="1"/>
  <c r="D1076" i="436" s="1"/>
  <c r="D1077" i="436" s="1"/>
  <c r="D1078" i="436" s="1"/>
  <c r="D1079" i="436" s="1"/>
  <c r="D1080" i="436" s="1"/>
  <c r="D1081" i="436" s="1"/>
  <c r="D1082" i="436" s="1"/>
  <c r="D1083" i="436" s="1"/>
  <c r="D1084" i="436" s="1"/>
  <c r="D1085" i="436" s="1"/>
  <c r="I71" i="436" l="1"/>
  <c r="H2" i="448" a="1"/>
  <c r="H2" i="448" s="1"/>
  <c r="M368" i="436"/>
  <c r="M379" i="436"/>
  <c r="M338" i="436"/>
  <c r="M341" i="436"/>
  <c r="T51" i="456"/>
  <c r="U51" i="456" s="1"/>
  <c r="M425" i="436"/>
  <c r="M15" i="436"/>
  <c r="M16" i="436"/>
  <c r="M21" i="436"/>
  <c r="M22" i="436"/>
  <c r="M18" i="436"/>
  <c r="M26" i="436"/>
  <c r="M31" i="436"/>
  <c r="M32" i="436"/>
  <c r="M37" i="436"/>
  <c r="M39" i="436"/>
  <c r="M42" i="436"/>
  <c r="N44" i="436"/>
  <c r="N45" i="436"/>
  <c r="N46" i="436"/>
  <c r="N47" i="436"/>
  <c r="N48" i="436"/>
  <c r="N49" i="436"/>
  <c r="N50" i="436"/>
  <c r="N51" i="436"/>
  <c r="M54" i="436"/>
  <c r="N57" i="436"/>
  <c r="M106" i="436"/>
  <c r="M107" i="436"/>
  <c r="M111" i="436"/>
  <c r="M113" i="436"/>
  <c r="M114" i="436"/>
  <c r="M115" i="436"/>
  <c r="M120" i="436"/>
  <c r="M121" i="436"/>
  <c r="M298" i="436"/>
  <c r="M299" i="436"/>
  <c r="M264" i="436"/>
  <c r="M265" i="436"/>
  <c r="M266" i="436"/>
  <c r="M286" i="436"/>
  <c r="M324" i="436"/>
  <c r="M325" i="436"/>
  <c r="M277" i="436"/>
  <c r="M279" i="436"/>
  <c r="M293" i="436"/>
  <c r="M288" i="436"/>
  <c r="M289" i="436"/>
  <c r="M125" i="436"/>
  <c r="M126" i="436"/>
  <c r="M128" i="436"/>
  <c r="M139" i="436"/>
  <c r="M141" i="436"/>
  <c r="M144" i="436"/>
  <c r="M151" i="436"/>
  <c r="M158" i="436"/>
  <c r="M159" i="436"/>
  <c r="M160" i="436"/>
  <c r="M161" i="436"/>
  <c r="M162" i="436"/>
  <c r="M163" i="436"/>
  <c r="N349" i="436"/>
  <c r="O349" i="436" s="1"/>
  <c r="N350" i="436"/>
  <c r="N351" i="436"/>
  <c r="O351" i="436" s="1"/>
  <c r="M307" i="436"/>
  <c r="M308" i="436"/>
  <c r="M310" i="436"/>
  <c r="F151" i="505" s="1"/>
  <c r="M311" i="436"/>
  <c r="F152" i="505" s="1"/>
  <c r="M326" i="436"/>
  <c r="M327" i="436"/>
  <c r="M328" i="436"/>
  <c r="M329" i="436"/>
  <c r="M330" i="436"/>
  <c r="M360" i="436"/>
  <c r="M362" i="436"/>
  <c r="M369" i="436"/>
  <c r="M371" i="436"/>
  <c r="N377" i="436"/>
  <c r="M390" i="436"/>
  <c r="M426" i="436"/>
  <c r="M420" i="436"/>
  <c r="T10" i="456"/>
  <c r="T12" i="456"/>
  <c r="U12" i="456" s="1"/>
  <c r="T15" i="456"/>
  <c r="U15" i="456" s="1"/>
  <c r="T22" i="456"/>
  <c r="U22" i="456" s="1"/>
  <c r="T30" i="456"/>
  <c r="U30" i="456" s="1"/>
  <c r="T32" i="456"/>
  <c r="U32" i="456" s="1"/>
  <c r="T33" i="456"/>
  <c r="U33" i="456" s="1"/>
  <c r="T34" i="456"/>
  <c r="U34" i="456" s="1"/>
  <c r="T35" i="456"/>
  <c r="U35" i="456" s="1"/>
  <c r="T36" i="456"/>
  <c r="U36" i="456" s="1"/>
  <c r="T37" i="456"/>
  <c r="U37" i="456" s="1"/>
  <c r="T38" i="456"/>
  <c r="U38" i="456" s="1"/>
  <c r="T39" i="456"/>
  <c r="U39" i="456" s="1"/>
  <c r="T40" i="456"/>
  <c r="U40" i="456" s="1"/>
  <c r="T48" i="456"/>
  <c r="U48" i="456" s="1"/>
  <c r="T49" i="456"/>
  <c r="U49" i="456" s="1"/>
  <c r="T50" i="456"/>
  <c r="U50" i="456" s="1"/>
  <c r="F108" i="505" l="1"/>
  <c r="F149" i="505"/>
  <c r="F148" i="505"/>
  <c r="F109" i="505"/>
  <c r="F137" i="505"/>
  <c r="F136" i="505"/>
  <c r="F107" i="505"/>
  <c r="F135" i="505"/>
  <c r="F147" i="505"/>
  <c r="F127" i="505"/>
  <c r="F129" i="505"/>
  <c r="F128" i="505"/>
  <c r="F100" i="505"/>
  <c r="F101" i="505"/>
  <c r="F142" i="505"/>
  <c r="F141" i="505"/>
  <c r="F102" i="505"/>
  <c r="F105" i="505"/>
  <c r="F96" i="505"/>
  <c r="F98" i="505"/>
  <c r="F122" i="505"/>
  <c r="F97" i="505"/>
  <c r="F111" i="505"/>
  <c r="F124" i="505"/>
  <c r="F88" i="505"/>
  <c r="F123" i="505"/>
  <c r="F84" i="505"/>
  <c r="F90" i="505"/>
  <c r="F89" i="505"/>
  <c r="F56" i="505"/>
  <c r="F57" i="505"/>
  <c r="F55" i="505"/>
  <c r="F51" i="505"/>
  <c r="F52" i="505"/>
  <c r="F45" i="505"/>
  <c r="F53" i="505"/>
  <c r="F43" i="505"/>
  <c r="F30" i="505"/>
  <c r="F46" i="505"/>
  <c r="F33" i="505"/>
  <c r="F41" i="505"/>
  <c r="F32" i="505"/>
  <c r="F39" i="505"/>
  <c r="F155" i="505"/>
  <c r="F35" i="505"/>
  <c r="F36" i="505"/>
  <c r="F37" i="505"/>
  <c r="F40" i="505"/>
  <c r="F154" i="505"/>
  <c r="F120" i="505"/>
  <c r="F119" i="505"/>
  <c r="F116" i="505"/>
  <c r="F49" i="505"/>
  <c r="F115" i="505"/>
  <c r="F113" i="505"/>
  <c r="F77" i="505"/>
  <c r="F76" i="505"/>
  <c r="F112" i="505"/>
  <c r="F75" i="505"/>
  <c r="F79" i="505"/>
  <c r="F80" i="505"/>
  <c r="F73" i="505"/>
  <c r="F81" i="505"/>
  <c r="F68" i="505"/>
  <c r="F71" i="505"/>
  <c r="F85" i="505"/>
  <c r="F66" i="505"/>
  <c r="F83" i="505"/>
  <c r="F64" i="505"/>
  <c r="F60" i="505"/>
  <c r="F65" i="505"/>
  <c r="F59" i="505"/>
  <c r="F62" i="505"/>
  <c r="F63" i="505"/>
  <c r="U10" i="456"/>
  <c r="H54" i="456" a="1"/>
  <c r="H54" i="456" s="1"/>
  <c r="S56" i="456" a="1"/>
  <c r="S56" i="456" s="1"/>
  <c r="R54" i="456" a="1"/>
  <c r="R54" i="456" s="1"/>
  <c r="S54" i="456" a="1"/>
  <c r="S54" i="456" s="1"/>
  <c r="S55" i="456" a="1"/>
  <c r="S55" i="456" s="1"/>
  <c r="R55" i="456" a="1"/>
  <c r="R55" i="456" s="1"/>
  <c r="R56" i="456" a="1"/>
  <c r="R56" i="456" s="1"/>
  <c r="N338" i="436"/>
  <c r="O338" i="436" s="1"/>
  <c r="N18" i="436"/>
  <c r="N426" i="436"/>
  <c r="N289" i="436"/>
  <c r="N341" i="436"/>
  <c r="N163" i="436"/>
  <c r="N279" i="436"/>
  <c r="N379" i="436"/>
  <c r="N39" i="436"/>
  <c r="N32" i="436"/>
  <c r="N311" i="436"/>
  <c r="N362" i="436"/>
  <c r="N22" i="436"/>
  <c r="N128" i="436"/>
  <c r="N15" i="436"/>
  <c r="N126" i="436"/>
  <c r="N420" i="436"/>
  <c r="N329" i="436"/>
  <c r="N125" i="436"/>
  <c r="N328" i="436"/>
  <c r="N121" i="436"/>
  <c r="N327" i="436"/>
  <c r="N120" i="436"/>
  <c r="N326" i="436"/>
  <c r="N115" i="436"/>
  <c r="N113" i="436"/>
  <c r="N325" i="436"/>
  <c r="N371" i="436"/>
  <c r="N324" i="436"/>
  <c r="N158" i="436"/>
  <c r="N31" i="436"/>
  <c r="N149" i="436"/>
  <c r="N308" i="436"/>
  <c r="N307" i="436"/>
  <c r="N21" i="436"/>
  <c r="N330" i="436"/>
  <c r="N299" i="436"/>
  <c r="N425" i="436"/>
  <c r="N298" i="436"/>
  <c r="N390" i="436"/>
  <c r="N288" i="436"/>
  <c r="N382" i="436"/>
  <c r="N293" i="436"/>
  <c r="N114" i="436"/>
  <c r="N277" i="436"/>
  <c r="N368" i="436"/>
  <c r="N159" i="436"/>
  <c r="N111" i="436"/>
  <c r="N369" i="436"/>
  <c r="N286" i="436"/>
  <c r="N151" i="436"/>
  <c r="N26" i="436"/>
  <c r="N310" i="436"/>
  <c r="N360" i="436"/>
  <c r="N359" i="436"/>
  <c r="N16" i="436"/>
  <c r="I72" i="436"/>
  <c r="N37" i="436"/>
  <c r="N264" i="436"/>
  <c r="N265" i="436"/>
  <c r="N266" i="436"/>
  <c r="N107" i="436"/>
  <c r="N106" i="436"/>
  <c r="M54" i="456" a="1"/>
  <c r="M54" i="456" s="1"/>
  <c r="K55" i="456" a="1"/>
  <c r="K55" i="456" s="1"/>
  <c r="K54" i="456" a="1"/>
  <c r="K54" i="456" s="1"/>
  <c r="J54" i="456" a="1"/>
  <c r="J54" i="456" s="1"/>
  <c r="J55" i="456" a="1"/>
  <c r="J55" i="456" s="1"/>
  <c r="I55" i="456" a="1"/>
  <c r="I55" i="456" s="1"/>
  <c r="P55" i="456" a="1"/>
  <c r="P55" i="456" s="1"/>
  <c r="H56" i="456" a="1"/>
  <c r="H56" i="456" s="1"/>
  <c r="O55" i="456" a="1"/>
  <c r="H55" i="456" a="1"/>
  <c r="H55" i="456" s="1"/>
  <c r="L54" i="456" a="1"/>
  <c r="L54" i="456" s="1"/>
  <c r="O54" i="456" a="1"/>
  <c r="O54" i="456" s="1"/>
  <c r="Q55" i="456" a="1"/>
  <c r="Q55" i="456" s="1"/>
  <c r="K56" i="456" a="1"/>
  <c r="K56" i="456" s="1"/>
  <c r="P56" i="456" a="1"/>
  <c r="P56" i="456" s="1"/>
  <c r="N56" i="456" a="1"/>
  <c r="N55" i="456" a="1"/>
  <c r="N55" i="456" s="1"/>
  <c r="P54" i="456" a="1"/>
  <c r="P54" i="456" s="1"/>
  <c r="L56" i="456" a="1"/>
  <c r="L56" i="456" s="1"/>
  <c r="L55" i="456" a="1"/>
  <c r="L55" i="456" s="1"/>
  <c r="N54" i="456" a="1"/>
  <c r="N54" i="456" s="1"/>
  <c r="Q56" i="456" a="1"/>
  <c r="Q56" i="456" s="1"/>
  <c r="M56" i="456" a="1"/>
  <c r="M56" i="456" s="1"/>
  <c r="J56" i="456" a="1"/>
  <c r="J56" i="456" s="1"/>
  <c r="I56" i="456" a="1"/>
  <c r="I56" i="456" s="1"/>
  <c r="O56" i="456" a="1"/>
  <c r="O56" i="456" s="1"/>
  <c r="I54" i="456" a="1"/>
  <c r="I54" i="456" s="1"/>
  <c r="M55" i="456" a="1"/>
  <c r="M55" i="456" s="1"/>
  <c r="N54" i="436"/>
  <c r="N42" i="436"/>
  <c r="Q54" i="456" a="1"/>
  <c r="Q54" i="456" s="1"/>
  <c r="N56" i="456"/>
  <c r="O55" i="456"/>
  <c r="M370" i="436"/>
  <c r="M383" i="436"/>
  <c r="T55" i="456" l="1"/>
  <c r="M396" i="436" s="1"/>
  <c r="T56" i="456"/>
  <c r="M398" i="436" s="1"/>
  <c r="T54" i="456"/>
  <c r="M394" i="436" s="1"/>
  <c r="N383" i="436"/>
  <c r="N370" i="436"/>
  <c r="I73" i="436"/>
  <c r="I17" i="436"/>
  <c r="I18" i="436"/>
  <c r="N398" i="436" l="1"/>
  <c r="N396" i="436"/>
  <c r="N394" i="436"/>
  <c r="I79" i="436"/>
  <c r="U54" i="456"/>
  <c r="I19" i="436"/>
  <c r="I21" i="436"/>
  <c r="I83" i="436" l="1"/>
  <c r="I22" i="436"/>
  <c r="I95" i="436" l="1"/>
  <c r="I23" i="436"/>
  <c r="I34" i="436" l="1"/>
  <c r="I24" i="436"/>
  <c r="I35" i="436" l="1"/>
  <c r="I25" i="436"/>
  <c r="I26" i="436" l="1"/>
  <c r="I31" i="436" l="1"/>
  <c r="I32" i="436" l="1"/>
  <c r="I33" i="436" l="1"/>
  <c r="I36" i="436" l="1"/>
  <c r="I37" i="436" l="1"/>
  <c r="I38" i="436" l="1"/>
  <c r="I39" i="436" l="1"/>
  <c r="I40" i="436" l="1"/>
  <c r="I41" i="436" l="1"/>
  <c r="I42" i="436" l="1"/>
  <c r="I43" i="436" l="1"/>
  <c r="I44" i="436" l="1"/>
  <c r="I45" i="436" l="1"/>
  <c r="I46" i="436" l="1"/>
  <c r="I47" i="436" l="1"/>
  <c r="I48" i="436" l="1"/>
  <c r="I49" i="436" l="1"/>
  <c r="I50" i="436" l="1"/>
  <c r="I51" i="436" l="1"/>
  <c r="I52" i="436" l="1"/>
  <c r="C617" i="436" l="1"/>
  <c r="C618" i="436" s="1"/>
  <c r="C619" i="436" s="1"/>
  <c r="C620" i="436" s="1"/>
  <c r="C621" i="436" s="1"/>
  <c r="C622" i="436" s="1"/>
  <c r="C623" i="436" s="1"/>
  <c r="C624" i="436" s="1"/>
  <c r="C625" i="436" s="1"/>
  <c r="C626" i="436" s="1"/>
  <c r="C627" i="436" s="1"/>
  <c r="C628" i="436" s="1"/>
  <c r="C629" i="436" s="1"/>
  <c r="C630" i="436" s="1"/>
  <c r="C631" i="436" s="1"/>
  <c r="C632" i="436" s="1"/>
  <c r="C633" i="436" s="1"/>
  <c r="C634" i="436" s="1"/>
  <c r="C635" i="436" s="1"/>
  <c r="C636" i="436" s="1"/>
  <c r="C637" i="436" s="1"/>
  <c r="C638" i="436" s="1"/>
  <c r="C639" i="436" s="1"/>
  <c r="C640" i="436" s="1"/>
  <c r="C641" i="436" s="1"/>
  <c r="C642" i="436" s="1"/>
  <c r="C643" i="436" s="1"/>
  <c r="C644" i="436" s="1"/>
  <c r="C645" i="436" s="1"/>
  <c r="C646" i="436" s="1"/>
  <c r="C647" i="436" s="1"/>
  <c r="C648" i="436" s="1"/>
  <c r="C649" i="436" s="1"/>
  <c r="C650" i="436" s="1"/>
  <c r="C651" i="436" s="1"/>
  <c r="C652" i="436" s="1"/>
  <c r="C653" i="436" s="1"/>
  <c r="C654" i="436" s="1"/>
  <c r="C655" i="436" s="1"/>
  <c r="C656" i="436" s="1"/>
  <c r="C657" i="436" s="1"/>
  <c r="C658" i="436" s="1"/>
  <c r="C659" i="436" s="1"/>
  <c r="C660" i="436" s="1"/>
  <c r="C661" i="436" s="1"/>
  <c r="C662" i="436" s="1"/>
  <c r="C663" i="436" s="1"/>
  <c r="C664" i="436" s="1"/>
  <c r="C665" i="436" s="1"/>
  <c r="C666" i="436" s="1"/>
  <c r="C667" i="436" s="1"/>
  <c r="C668" i="436" s="1"/>
  <c r="C669" i="436" s="1"/>
  <c r="C670" i="436" s="1"/>
  <c r="C671" i="436" s="1"/>
  <c r="C672" i="436" s="1"/>
  <c r="C673" i="436" s="1"/>
  <c r="C674" i="436" s="1"/>
  <c r="C675" i="436" s="1"/>
  <c r="C676" i="436" s="1"/>
  <c r="C677" i="436" s="1"/>
  <c r="C678" i="436" s="1"/>
  <c r="C679" i="436" s="1"/>
  <c r="C680" i="436" s="1"/>
  <c r="C681" i="436" s="1"/>
  <c r="C682" i="436" s="1"/>
  <c r="C683" i="436" s="1"/>
  <c r="C684" i="436" s="1"/>
  <c r="C685" i="436" s="1"/>
  <c r="C686" i="436" s="1"/>
  <c r="C687" i="436" s="1"/>
  <c r="C688" i="436" s="1"/>
  <c r="C689" i="436" s="1"/>
  <c r="C690" i="436" s="1"/>
  <c r="C691" i="436" s="1"/>
  <c r="C692" i="436" s="1"/>
  <c r="C693" i="436" s="1"/>
  <c r="C694" i="436" s="1"/>
  <c r="C695" i="436" s="1"/>
  <c r="C696" i="436" s="1"/>
  <c r="C697" i="436" s="1"/>
  <c r="C698" i="436" s="1"/>
  <c r="C699" i="436" s="1"/>
  <c r="C700" i="436" s="1"/>
  <c r="C701" i="436" s="1"/>
  <c r="C702" i="436" s="1"/>
  <c r="C703" i="436" s="1"/>
  <c r="C704" i="436" s="1"/>
  <c r="C705" i="436" s="1"/>
  <c r="C706" i="436" s="1"/>
  <c r="C707" i="436" s="1"/>
  <c r="C708" i="436" s="1"/>
  <c r="C709" i="436" s="1"/>
  <c r="C710" i="436" s="1"/>
  <c r="C711" i="436" s="1"/>
  <c r="C712" i="436" s="1"/>
  <c r="C713" i="436" s="1"/>
  <c r="C714" i="436" s="1"/>
  <c r="C715" i="436" s="1"/>
  <c r="C716" i="436" s="1"/>
  <c r="C717" i="436" s="1"/>
  <c r="C718" i="436" s="1"/>
  <c r="C719" i="436" s="1"/>
  <c r="C720" i="436" s="1"/>
  <c r="C721" i="436" s="1"/>
  <c r="C722" i="436" s="1"/>
  <c r="C723" i="436" s="1"/>
  <c r="C724" i="436" s="1"/>
  <c r="C725" i="436" s="1"/>
  <c r="C726" i="436" s="1"/>
  <c r="C727" i="436" s="1"/>
  <c r="C728" i="436" s="1"/>
  <c r="C729" i="436" s="1"/>
  <c r="C730" i="436" s="1"/>
  <c r="C731" i="436" s="1"/>
  <c r="C732" i="436" s="1"/>
  <c r="C733" i="436" s="1"/>
  <c r="C734" i="436" s="1"/>
  <c r="C735" i="436" s="1"/>
  <c r="C736" i="436" s="1"/>
  <c r="C737" i="436" s="1"/>
  <c r="C738" i="436" s="1"/>
  <c r="C739" i="436" s="1"/>
  <c r="C740" i="436" s="1"/>
  <c r="C741" i="436" s="1"/>
  <c r="C742" i="436" s="1"/>
  <c r="C743" i="436" s="1"/>
  <c r="C744" i="436" s="1"/>
  <c r="C745" i="436" s="1"/>
  <c r="C746" i="436" s="1"/>
  <c r="C747" i="436" s="1"/>
  <c r="C748" i="436" s="1"/>
  <c r="C749" i="436" s="1"/>
  <c r="C750" i="436" s="1"/>
  <c r="C751" i="436" s="1"/>
  <c r="C752" i="436" s="1"/>
  <c r="C753" i="436" s="1"/>
  <c r="C754" i="436" s="1"/>
  <c r="C755" i="436" s="1"/>
  <c r="C756" i="436" s="1"/>
  <c r="C757" i="436" s="1"/>
  <c r="C758" i="436" s="1"/>
  <c r="C759" i="436" s="1"/>
  <c r="C760" i="436" s="1"/>
  <c r="C761" i="436" s="1"/>
  <c r="C762" i="436" s="1"/>
  <c r="C763" i="436" s="1"/>
  <c r="C764" i="436" s="1"/>
  <c r="C765" i="436" s="1"/>
  <c r="C766" i="436" s="1"/>
  <c r="C767" i="436" s="1"/>
  <c r="C768" i="436" s="1"/>
  <c r="C769" i="436" s="1"/>
  <c r="C770" i="436" s="1"/>
  <c r="C771" i="436" s="1"/>
  <c r="C772" i="436" s="1"/>
  <c r="C773" i="436" s="1"/>
  <c r="C774" i="436" s="1"/>
  <c r="C775" i="436" s="1"/>
  <c r="C776" i="436" s="1"/>
  <c r="C777" i="436" s="1"/>
  <c r="C778" i="436" s="1"/>
  <c r="C779" i="436" s="1"/>
  <c r="C780" i="436" s="1"/>
  <c r="C781" i="436" s="1"/>
  <c r="C782" i="436" s="1"/>
  <c r="C783" i="436" s="1"/>
  <c r="C784" i="436" s="1"/>
  <c r="C785" i="436" s="1"/>
  <c r="C786" i="436" s="1"/>
  <c r="C787" i="436" s="1"/>
  <c r="C788" i="436" s="1"/>
  <c r="C789" i="436" s="1"/>
  <c r="C790" i="436" s="1"/>
  <c r="C791" i="436" s="1"/>
  <c r="C792" i="436" s="1"/>
  <c r="C793" i="436" s="1"/>
  <c r="C794" i="436" s="1"/>
  <c r="C795" i="436" s="1"/>
  <c r="C796" i="436" s="1"/>
  <c r="C797" i="436" s="1"/>
  <c r="C798" i="436" s="1"/>
  <c r="C799" i="436" s="1"/>
  <c r="C800" i="436" s="1"/>
  <c r="C801" i="436" s="1"/>
  <c r="C802" i="436" s="1"/>
  <c r="C803" i="436" s="1"/>
  <c r="C804" i="436" s="1"/>
  <c r="C805" i="436" s="1"/>
  <c r="C806" i="436" s="1"/>
  <c r="C807" i="436" s="1"/>
  <c r="C808" i="436" s="1"/>
  <c r="C809" i="436" s="1"/>
  <c r="C810" i="436" s="1"/>
  <c r="C811" i="436" s="1"/>
  <c r="C812" i="436" s="1"/>
  <c r="C813" i="436" s="1"/>
  <c r="C814" i="436" s="1"/>
  <c r="C815" i="436" s="1"/>
  <c r="C816" i="436" s="1"/>
  <c r="C817" i="436" s="1"/>
  <c r="C818" i="436" s="1"/>
  <c r="C819" i="436" s="1"/>
  <c r="C820" i="436" s="1"/>
  <c r="C821" i="436" s="1"/>
  <c r="C822" i="436" s="1"/>
  <c r="C823" i="436" s="1"/>
  <c r="C824" i="436" s="1"/>
  <c r="C825" i="436" s="1"/>
  <c r="C826" i="436" s="1"/>
  <c r="C827" i="436" s="1"/>
  <c r="C828" i="436" s="1"/>
  <c r="C829" i="436" s="1"/>
  <c r="C830" i="436" s="1"/>
  <c r="C831" i="436" s="1"/>
  <c r="C832" i="436" s="1"/>
  <c r="C833" i="436" s="1"/>
  <c r="C834" i="436" s="1"/>
  <c r="C835" i="436" s="1"/>
  <c r="C836" i="436" s="1"/>
  <c r="C837" i="436" s="1"/>
  <c r="C838" i="436" s="1"/>
  <c r="C839" i="436" s="1"/>
  <c r="C840" i="436" s="1"/>
  <c r="C841" i="436" s="1"/>
  <c r="C842" i="436" s="1"/>
  <c r="C843" i="436" s="1"/>
  <c r="C844" i="436" s="1"/>
  <c r="C845" i="436" s="1"/>
  <c r="C846" i="436" s="1"/>
  <c r="C847" i="436" s="1"/>
  <c r="C848" i="436" s="1"/>
  <c r="C849" i="436" s="1"/>
  <c r="C850" i="436" s="1"/>
  <c r="C851" i="436" s="1"/>
  <c r="C852" i="436" s="1"/>
  <c r="C853" i="436" s="1"/>
  <c r="C854" i="436" s="1"/>
  <c r="C855" i="436" s="1"/>
  <c r="C856" i="436" s="1"/>
  <c r="C857" i="436" s="1"/>
  <c r="C858" i="436" s="1"/>
  <c r="C859" i="436" s="1"/>
  <c r="C860" i="436" s="1"/>
  <c r="C861" i="436" s="1"/>
  <c r="C862" i="436" s="1"/>
  <c r="C863" i="436" s="1"/>
  <c r="C864" i="436" s="1"/>
  <c r="C865" i="436" s="1"/>
  <c r="C866" i="436" s="1"/>
  <c r="C867" i="436" s="1"/>
  <c r="C868" i="436" s="1"/>
  <c r="C869" i="436" s="1"/>
  <c r="C870" i="436" s="1"/>
  <c r="C871" i="436" s="1"/>
  <c r="C872" i="436" s="1"/>
  <c r="C873" i="436" s="1"/>
  <c r="C874" i="436" s="1"/>
  <c r="C875" i="436" s="1"/>
  <c r="C876" i="436" s="1"/>
  <c r="C877" i="436" s="1"/>
  <c r="C878" i="436" s="1"/>
  <c r="C879" i="436" s="1"/>
  <c r="C880" i="436" s="1"/>
  <c r="C881" i="436" s="1"/>
  <c r="C882" i="436" s="1"/>
  <c r="C883" i="436" s="1"/>
  <c r="C884" i="436" s="1"/>
  <c r="C885" i="436" s="1"/>
  <c r="C886" i="436" s="1"/>
  <c r="C887" i="436" s="1"/>
  <c r="C888" i="436" s="1"/>
  <c r="C889" i="436" s="1"/>
  <c r="C890" i="436" s="1"/>
  <c r="C891" i="436" s="1"/>
  <c r="C892" i="436" s="1"/>
  <c r="C893" i="436" s="1"/>
  <c r="C894" i="436" s="1"/>
  <c r="C895" i="436" s="1"/>
  <c r="C896" i="436" s="1"/>
  <c r="C897" i="436" s="1"/>
  <c r="C898" i="436" s="1"/>
  <c r="C899" i="436" s="1"/>
  <c r="C900" i="436" s="1"/>
  <c r="C901" i="436" s="1"/>
  <c r="C902" i="436" s="1"/>
  <c r="C903" i="436" s="1"/>
  <c r="C904" i="436" s="1"/>
  <c r="C905" i="436" s="1"/>
  <c r="C906" i="436" s="1"/>
  <c r="C907" i="436" s="1"/>
  <c r="C908" i="436" s="1"/>
  <c r="C909" i="436" s="1"/>
  <c r="C910" i="436" s="1"/>
  <c r="C911" i="436" s="1"/>
  <c r="C912" i="436" s="1"/>
  <c r="C913" i="436" s="1"/>
  <c r="C914" i="436" s="1"/>
  <c r="C915" i="436" s="1"/>
  <c r="C916" i="436" s="1"/>
  <c r="C917" i="436" s="1"/>
  <c r="C918" i="436" s="1"/>
  <c r="C919" i="436" s="1"/>
  <c r="C920" i="436" s="1"/>
  <c r="C921" i="436" s="1"/>
  <c r="C922" i="436" s="1"/>
  <c r="C923" i="436" s="1"/>
  <c r="C924" i="436" s="1"/>
  <c r="C925" i="436" s="1"/>
  <c r="C926" i="436" s="1"/>
  <c r="C927" i="436" s="1"/>
  <c r="C928" i="436" s="1"/>
  <c r="C929" i="436" s="1"/>
  <c r="C930" i="436" s="1"/>
  <c r="C931" i="436" s="1"/>
  <c r="C932" i="436" s="1"/>
  <c r="C933" i="436" s="1"/>
  <c r="C934" i="436" s="1"/>
  <c r="C935" i="436" s="1"/>
  <c r="C936" i="436" s="1"/>
  <c r="C937" i="436" s="1"/>
  <c r="C938" i="436" s="1"/>
  <c r="C939" i="436" s="1"/>
  <c r="C940" i="436" s="1"/>
  <c r="C941" i="436" s="1"/>
  <c r="C942" i="436" s="1"/>
  <c r="C943" i="436" s="1"/>
  <c r="C944" i="436" s="1"/>
  <c r="C945" i="436" s="1"/>
  <c r="C946" i="436" s="1"/>
  <c r="C947" i="436" s="1"/>
  <c r="C948" i="436" s="1"/>
  <c r="C949" i="436" s="1"/>
  <c r="C950" i="436" s="1"/>
  <c r="C951" i="436" s="1"/>
  <c r="C952" i="436" s="1"/>
  <c r="C953" i="436" s="1"/>
  <c r="C954" i="436" s="1"/>
  <c r="C955" i="436" s="1"/>
  <c r="C956" i="436" s="1"/>
  <c r="C957" i="436" s="1"/>
  <c r="C958" i="436" s="1"/>
  <c r="C959" i="436" s="1"/>
  <c r="C960" i="436" s="1"/>
  <c r="C961" i="436" s="1"/>
  <c r="C962" i="436" s="1"/>
  <c r="C963" i="436" s="1"/>
  <c r="C964" i="436" s="1"/>
  <c r="C965" i="436" s="1"/>
  <c r="C966" i="436" s="1"/>
  <c r="C967" i="436" s="1"/>
  <c r="C968" i="436" s="1"/>
  <c r="C969" i="436" s="1"/>
  <c r="C970" i="436" s="1"/>
  <c r="C971" i="436" s="1"/>
  <c r="C972" i="436" s="1"/>
  <c r="C973" i="436" s="1"/>
  <c r="C974" i="436" s="1"/>
  <c r="C975" i="436" s="1"/>
  <c r="C976" i="436" s="1"/>
  <c r="C977" i="436" s="1"/>
  <c r="C978" i="436" s="1"/>
  <c r="C979" i="436" s="1"/>
  <c r="C980" i="436" s="1"/>
  <c r="C981" i="436" s="1"/>
  <c r="C982" i="436" s="1"/>
  <c r="C983" i="436" s="1"/>
  <c r="C984" i="436" s="1"/>
  <c r="C985" i="436" s="1"/>
  <c r="C986" i="436" s="1"/>
  <c r="C987" i="436" s="1"/>
  <c r="C988" i="436" s="1"/>
  <c r="C989" i="436" s="1"/>
  <c r="C990" i="436" s="1"/>
  <c r="C991" i="436" s="1"/>
  <c r="C992" i="436" s="1"/>
  <c r="C993" i="436" s="1"/>
  <c r="C994" i="436" s="1"/>
  <c r="C995" i="436" s="1"/>
  <c r="C996" i="436" s="1"/>
  <c r="C997" i="436" s="1"/>
  <c r="C998" i="436" s="1"/>
  <c r="C999" i="436" s="1"/>
  <c r="C1000" i="436" s="1"/>
  <c r="C1001" i="436" s="1"/>
  <c r="C1002" i="436" s="1"/>
  <c r="C1003" i="436" s="1"/>
  <c r="C1004" i="436" s="1"/>
  <c r="C1005" i="436" s="1"/>
  <c r="C1006" i="436" s="1"/>
  <c r="C1007" i="436" s="1"/>
  <c r="C1008" i="436" s="1"/>
  <c r="C1009" i="436" s="1"/>
  <c r="C1010" i="436" s="1"/>
  <c r="C1011" i="436" s="1"/>
  <c r="C1012" i="436" s="1"/>
  <c r="C1013" i="436" s="1"/>
  <c r="C1014" i="436" s="1"/>
  <c r="C1015" i="436" s="1"/>
  <c r="C1016" i="436" s="1"/>
  <c r="C1017" i="436" s="1"/>
  <c r="C1018" i="436" s="1"/>
  <c r="C1019" i="436" s="1"/>
  <c r="C1020" i="436" s="1"/>
  <c r="C1021" i="436" s="1"/>
  <c r="C1022" i="436" s="1"/>
  <c r="C1023" i="436" s="1"/>
  <c r="C1024" i="436" s="1"/>
  <c r="C1025" i="436" s="1"/>
  <c r="C1026" i="436" s="1"/>
  <c r="C1027" i="436" s="1"/>
  <c r="C1028" i="436" s="1"/>
  <c r="C1029" i="436" s="1"/>
  <c r="C1030" i="436" s="1"/>
  <c r="C1031" i="436" s="1"/>
  <c r="C1032" i="436" s="1"/>
  <c r="C1033" i="436" s="1"/>
  <c r="C1034" i="436" s="1"/>
  <c r="C1035" i="436" s="1"/>
  <c r="C1036" i="436" s="1"/>
  <c r="C1037" i="436" s="1"/>
  <c r="C1038" i="436" s="1"/>
  <c r="C1039" i="436" s="1"/>
  <c r="C1040" i="436" s="1"/>
  <c r="C1041" i="436" s="1"/>
  <c r="C1042" i="436" s="1"/>
  <c r="C1043" i="436" s="1"/>
  <c r="C1044" i="436" s="1"/>
  <c r="C1045" i="436" s="1"/>
  <c r="C1046" i="436" s="1"/>
  <c r="C1047" i="436" s="1"/>
  <c r="C1048" i="436" s="1"/>
  <c r="C1049" i="436" s="1"/>
  <c r="C1050" i="436" s="1"/>
  <c r="C1051" i="436" s="1"/>
  <c r="C1052" i="436" s="1"/>
  <c r="C1053" i="436" s="1"/>
  <c r="C1054" i="436" s="1"/>
  <c r="C1055" i="436" s="1"/>
  <c r="C1056" i="436" s="1"/>
  <c r="C1057" i="436" s="1"/>
  <c r="C1058" i="436" s="1"/>
  <c r="C1059" i="436" s="1"/>
  <c r="C1060" i="436" s="1"/>
  <c r="C1061" i="436" s="1"/>
  <c r="C1062" i="436" s="1"/>
  <c r="C1063" i="436" s="1"/>
  <c r="C1064" i="436" s="1"/>
  <c r="C1065" i="436" s="1"/>
  <c r="C1066" i="436" s="1"/>
  <c r="C1067" i="436" s="1"/>
  <c r="C1068" i="436" s="1"/>
  <c r="C1069" i="436" s="1"/>
  <c r="C1070" i="436" s="1"/>
  <c r="C1071" i="436" s="1"/>
  <c r="C1072" i="436" s="1"/>
  <c r="C1073" i="436" s="1"/>
  <c r="C1074" i="436" s="1"/>
  <c r="C1075" i="436" s="1"/>
  <c r="C1076" i="436" s="1"/>
  <c r="C1077" i="436" s="1"/>
  <c r="C1078" i="436" s="1"/>
  <c r="C1079" i="436" s="1"/>
  <c r="C1080" i="436" s="1"/>
  <c r="C1081" i="436" s="1"/>
  <c r="C1082" i="436" s="1"/>
  <c r="C1083" i="436" s="1"/>
  <c r="C1084" i="436" s="1"/>
  <c r="C1085" i="436" s="1"/>
  <c r="M416" i="436" l="1"/>
  <c r="N416" i="436" l="1"/>
  <c r="E2" i="458" l="1"/>
  <c r="E37" i="432" l="1"/>
  <c r="D2" i="458"/>
  <c r="I54" i="436" l="1"/>
  <c r="I53" i="436"/>
  <c r="I56" i="436" l="1"/>
  <c r="I57" i="436" l="1"/>
  <c r="I74" i="436" l="1"/>
  <c r="I75" i="436" l="1"/>
  <c r="I76" i="436" l="1"/>
  <c r="I77" i="436" l="1"/>
  <c r="I78" i="436" l="1"/>
  <c r="I80" i="436" l="1"/>
  <c r="I81" i="436" l="1"/>
  <c r="I82" i="436" l="1"/>
  <c r="I84" i="436" l="1"/>
  <c r="I85" i="436" l="1"/>
  <c r="I86" i="436" l="1"/>
  <c r="I87" i="436" l="1"/>
  <c r="I88" i="436" l="1"/>
  <c r="I89" i="436" l="1"/>
  <c r="I90" i="436" l="1"/>
  <c r="I91" i="436" l="1"/>
  <c r="I92" i="436" l="1"/>
  <c r="I93" i="436" l="1"/>
  <c r="I96" i="436" l="1"/>
  <c r="I97" i="436" l="1"/>
  <c r="I98" i="436" l="1"/>
  <c r="I99" i="436" l="1"/>
  <c r="I100" i="436" l="1"/>
  <c r="I101" i="436" l="1"/>
  <c r="I102" i="436" l="1"/>
  <c r="I103" i="436" l="1"/>
  <c r="N99" i="436" l="1"/>
  <c r="H2038" i="451" l="1"/>
  <c r="I2038" i="451" s="1"/>
  <c r="G83" i="455" a="1"/>
  <c r="G83" i="455" s="1"/>
  <c r="M16" i="455" s="1"/>
  <c r="G76" i="455" a="1"/>
  <c r="G76" i="455" s="1"/>
  <c r="G56" i="455" a="1"/>
  <c r="G56" i="455" s="1"/>
  <c r="M9" i="455" s="1"/>
  <c r="D32" i="506" s="1"/>
  <c r="E32" i="506" s="1"/>
  <c r="G71" i="455" a="1"/>
  <c r="G71" i="455" s="1"/>
  <c r="M7" i="455" s="1"/>
  <c r="G93" i="455" a="1"/>
  <c r="G93" i="455" s="1"/>
  <c r="G63" i="455" a="1"/>
  <c r="G63" i="455" s="1"/>
  <c r="M5" i="455" s="1"/>
  <c r="G46" i="455" a="1"/>
  <c r="G46" i="455" s="1"/>
  <c r="G142" i="455" a="1"/>
  <c r="G142" i="455" s="1"/>
  <c r="M12" i="455" s="1"/>
  <c r="G102" i="455" a="1"/>
  <c r="G102" i="455" s="1"/>
  <c r="M10" i="455" s="1"/>
  <c r="G49" i="455" a="1"/>
  <c r="G49" i="455" s="1"/>
  <c r="M8" i="455" s="1"/>
  <c r="D31" i="506" s="1"/>
  <c r="E31" i="506" s="1"/>
  <c r="G82" i="455" a="1"/>
  <c r="G82" i="455" s="1"/>
  <c r="G36" i="455" a="1"/>
  <c r="G36" i="455" s="1"/>
  <c r="G47" i="455" a="1"/>
  <c r="G47" i="455" s="1"/>
  <c r="G58" i="455" a="1"/>
  <c r="G58" i="455" s="1"/>
  <c r="G84" i="455" a="1"/>
  <c r="G84" i="455" s="1"/>
  <c r="G114" i="455" a="1"/>
  <c r="G114" i="455" s="1"/>
  <c r="G103" i="455" a="1"/>
  <c r="G103" i="455" s="1"/>
  <c r="G62" i="455" a="1"/>
  <c r="G62" i="455" s="1"/>
  <c r="G70" i="455" a="1"/>
  <c r="G70" i="455" s="1"/>
  <c r="G111" i="455" a="1"/>
  <c r="G111" i="455" s="1"/>
  <c r="G105" i="455" a="1"/>
  <c r="G105" i="455" s="1"/>
  <c r="G87" i="455" a="1"/>
  <c r="G87" i="455" s="1"/>
  <c r="G110" i="455" a="1"/>
  <c r="G110" i="455" s="1"/>
  <c r="G30" i="455" a="1"/>
  <c r="G30" i="455" s="1"/>
  <c r="G107" i="455" a="1"/>
  <c r="G107" i="455" s="1"/>
  <c r="G116" i="455" a="1"/>
  <c r="G116" i="455" s="1"/>
  <c r="G69" i="455" a="1"/>
  <c r="G69" i="455" s="1"/>
  <c r="G113" i="455" a="1"/>
  <c r="G113" i="455" s="1"/>
  <c r="G120" i="455" a="1"/>
  <c r="G120" i="455" s="1"/>
  <c r="G86" i="455" a="1"/>
  <c r="G86" i="455" s="1"/>
  <c r="G74" i="455" a="1"/>
  <c r="G74" i="455" s="1"/>
  <c r="G141" i="455" a="1"/>
  <c r="G141" i="455" s="1"/>
  <c r="G55" i="455" a="1"/>
  <c r="G55" i="455" s="1"/>
  <c r="G48" i="455" a="1"/>
  <c r="G48" i="455" s="1"/>
  <c r="G50" i="455" a="1"/>
  <c r="G50" i="455" s="1"/>
  <c r="G115" i="455" a="1"/>
  <c r="G115" i="455" s="1"/>
  <c r="G61" i="455" a="1"/>
  <c r="G61" i="455" s="1"/>
  <c r="G109" i="455" a="1"/>
  <c r="G109" i="455" s="1"/>
  <c r="G119" i="455" a="1"/>
  <c r="G119" i="455" s="1"/>
  <c r="G68" i="455" a="1"/>
  <c r="G68" i="455" s="1"/>
  <c r="G57" i="455" a="1"/>
  <c r="G57" i="455" s="1"/>
  <c r="G77" i="455" a="1"/>
  <c r="G77" i="455" s="1"/>
  <c r="G147" i="455" a="1"/>
  <c r="G147" i="455" s="1"/>
  <c r="G148" i="455" a="1"/>
  <c r="G148" i="455" s="1"/>
  <c r="G51" i="455" a="1"/>
  <c r="G51" i="455" s="1"/>
  <c r="G64" i="455" a="1"/>
  <c r="G64" i="455" s="1"/>
  <c r="G72" i="455" a="1"/>
  <c r="G72" i="455" s="1"/>
  <c r="G65" i="455" a="1"/>
  <c r="G65" i="455" s="1"/>
  <c r="G106" i="455" a="1"/>
  <c r="G106" i="455" s="1"/>
  <c r="G108" i="455" a="1"/>
  <c r="G108" i="455" s="1"/>
  <c r="G144" i="455" a="1"/>
  <c r="G144" i="455" s="1"/>
  <c r="G117" i="455" a="1"/>
  <c r="G117" i="455" s="1"/>
  <c r="G29" i="455" a="1"/>
  <c r="G29" i="455" s="1"/>
  <c r="H46" i="455" l="1"/>
  <c r="M31" i="455"/>
  <c r="D54" i="506" s="1"/>
  <c r="H76" i="455"/>
  <c r="M32" i="455"/>
  <c r="H93" i="455"/>
  <c r="M29" i="455"/>
  <c r="M6" i="455"/>
  <c r="H83" i="455"/>
  <c r="N16" i="455"/>
  <c r="H142" i="455"/>
  <c r="N12" i="455"/>
  <c r="H29" i="455"/>
  <c r="H49" i="455"/>
  <c r="N8" i="455"/>
  <c r="H71" i="455"/>
  <c r="N7" i="455"/>
  <c r="H56" i="455"/>
  <c r="N9" i="455"/>
  <c r="H63" i="455"/>
  <c r="H102" i="455"/>
  <c r="N10" i="455"/>
  <c r="C10" i="455" l="1"/>
  <c r="N6" i="455"/>
  <c r="N29" i="455"/>
  <c r="C9" i="455"/>
  <c r="C19" i="455"/>
  <c r="C22" i="455"/>
  <c r="C20" i="455"/>
  <c r="C21" i="455"/>
  <c r="C8" i="455"/>
  <c r="C24" i="455"/>
  <c r="C16" i="455"/>
  <c r="C15" i="455"/>
  <c r="C23" i="455"/>
  <c r="C14" i="455"/>
  <c r="E14" i="455" s="1"/>
  <c r="C17" i="455"/>
  <c r="C11" i="455"/>
  <c r="C13" i="455"/>
  <c r="E13" i="455" s="1"/>
  <c r="C12" i="455"/>
  <c r="M30" i="455"/>
  <c r="N30" i="455" s="1"/>
  <c r="N5" i="455"/>
  <c r="C18" i="455"/>
  <c r="E17" i="455" l="1"/>
  <c r="E24" i="455"/>
  <c r="E8" i="455"/>
  <c r="E16" i="455"/>
  <c r="E20" i="455"/>
  <c r="E15" i="455"/>
  <c r="E22" i="455"/>
  <c r="E19" i="455"/>
  <c r="E9" i="455"/>
  <c r="E12" i="455"/>
  <c r="E23" i="455"/>
  <c r="E10" i="455"/>
  <c r="E18" i="455"/>
  <c r="E21" i="455"/>
  <c r="E11" i="455"/>
  <c r="F72" i="505"/>
  <c r="F70" i="505"/>
  <c r="F140" i="505" l="1"/>
  <c r="F144" i="505"/>
  <c r="G144" i="505" s="1" a="1"/>
  <c r="G144" i="505" s="1"/>
  <c r="N8" i="505"/>
  <c r="N9" i="505"/>
  <c r="G70" i="505" l="1" a="1"/>
  <c r="G70" i="505" s="1"/>
  <c r="G96" i="505" a="1"/>
  <c r="G96" i="505" s="1"/>
  <c r="G106" i="505" a="1"/>
  <c r="G106" i="505" s="1"/>
  <c r="H106" i="505" s="1"/>
  <c r="G73" i="505" a="1"/>
  <c r="G73" i="505" s="1"/>
  <c r="G90" i="505" a="1"/>
  <c r="G90" i="505" s="1"/>
  <c r="G52" i="505" a="1"/>
  <c r="G52" i="505" s="1"/>
  <c r="G94" i="505" a="1"/>
  <c r="G94" i="505" s="1"/>
  <c r="G104" i="505" a="1"/>
  <c r="G104" i="505" s="1"/>
  <c r="G140" i="505" a="1"/>
  <c r="G140" i="505" s="1"/>
  <c r="G115" i="505" a="1"/>
  <c r="G115" i="505" s="1"/>
  <c r="G59" i="505" a="1"/>
  <c r="G59" i="505" s="1"/>
  <c r="G49" i="505" a="1"/>
  <c r="G49" i="505" s="1"/>
  <c r="G112" i="505" a="1"/>
  <c r="G112" i="505" s="1"/>
  <c r="G54" i="505" a="1"/>
  <c r="G54" i="505" s="1"/>
  <c r="G58" i="505" a="1"/>
  <c r="G58" i="505" s="1"/>
  <c r="H58" i="505" s="1"/>
  <c r="G44" i="505" a="1"/>
  <c r="G44" i="505" s="1"/>
  <c r="G51" i="505" a="1"/>
  <c r="G51" i="505" s="1"/>
  <c r="G153" i="505" a="1"/>
  <c r="G153" i="505" s="1"/>
  <c r="M24" i="505" s="1"/>
  <c r="G100" i="505" a="1"/>
  <c r="G100" i="505" s="1"/>
  <c r="G142" i="505" a="1"/>
  <c r="G142" i="505" s="1"/>
  <c r="G65" i="505" a="1"/>
  <c r="G65" i="505" s="1"/>
  <c r="G42" i="505" a="1"/>
  <c r="G42" i="505" s="1"/>
  <c r="H42" i="505" s="1"/>
  <c r="G43" i="505" a="1"/>
  <c r="G43" i="505" s="1"/>
  <c r="G127" i="505" a="1"/>
  <c r="G127" i="505" s="1"/>
  <c r="G68" i="505" a="1"/>
  <c r="G68" i="505" s="1"/>
  <c r="G111" i="505" a="1"/>
  <c r="G111" i="505" s="1"/>
  <c r="G146" i="505" a="1"/>
  <c r="G146" i="505" s="1"/>
  <c r="H146" i="505" s="1"/>
  <c r="G113" i="505" a="1"/>
  <c r="G113" i="505" s="1"/>
  <c r="G86" i="505" a="1"/>
  <c r="G86" i="505" s="1"/>
  <c r="G39" i="505" a="1"/>
  <c r="G39" i="505" s="1"/>
  <c r="G45" i="505" a="1"/>
  <c r="G45" i="505" s="1"/>
  <c r="G29" i="505" a="1"/>
  <c r="G29" i="505" s="1"/>
  <c r="G60" i="505" a="1"/>
  <c r="G60" i="505" s="1"/>
  <c r="G64" i="505" a="1"/>
  <c r="G64" i="505" s="1"/>
  <c r="G128" i="505" a="1"/>
  <c r="G128" i="505" s="1"/>
  <c r="G61" i="505" a="1"/>
  <c r="G61" i="505" s="1"/>
  <c r="M10" i="505" s="1"/>
  <c r="G40" i="505" a="1"/>
  <c r="G40" i="505" s="1"/>
  <c r="G118" i="505" a="1"/>
  <c r="G118" i="505" s="1"/>
  <c r="G84" i="505" a="1"/>
  <c r="G84" i="505" s="1"/>
  <c r="G93" i="505" a="1"/>
  <c r="G93" i="505" s="1"/>
  <c r="G57" i="505" a="1"/>
  <c r="G57" i="505" s="1"/>
  <c r="G74" i="505" a="1"/>
  <c r="G74" i="505" s="1"/>
  <c r="M15" i="505" s="1"/>
  <c r="G47" i="505" a="1"/>
  <c r="G47" i="505" s="1"/>
  <c r="G129" i="505" a="1"/>
  <c r="G129" i="505" s="1"/>
  <c r="G35" i="505" a="1"/>
  <c r="G35" i="505" s="1"/>
  <c r="G117" i="505" a="1"/>
  <c r="G117" i="505" s="1"/>
  <c r="H117" i="505" s="1"/>
  <c r="C6" i="505"/>
  <c r="G138" i="505" a="1"/>
  <c r="G138" i="505" s="1"/>
  <c r="G28" i="505" a="1"/>
  <c r="G28" i="505" s="1"/>
  <c r="G77" i="505" a="1"/>
  <c r="G77" i="505" s="1"/>
  <c r="G53" i="505" a="1"/>
  <c r="G53" i="505" s="1"/>
  <c r="G103" i="505" a="1"/>
  <c r="G103" i="505" s="1"/>
  <c r="H103" i="505" s="1"/>
  <c r="G63" i="505" a="1"/>
  <c r="G63" i="505" s="1"/>
  <c r="G145" i="505" a="1"/>
  <c r="G145" i="505" s="1"/>
  <c r="G72" i="505" a="1"/>
  <c r="G72" i="505" s="1"/>
  <c r="G143" i="505" a="1"/>
  <c r="G143" i="505" s="1"/>
  <c r="H143" i="505" s="1"/>
  <c r="G141" i="505" a="1"/>
  <c r="G141" i="505" s="1"/>
  <c r="G98" i="505" a="1"/>
  <c r="G98" i="505" s="1"/>
  <c r="G71" i="505" a="1"/>
  <c r="G71" i="505" s="1"/>
  <c r="G120" i="505" a="1"/>
  <c r="G120" i="505" s="1"/>
  <c r="G41" i="505" a="1"/>
  <c r="G41" i="505" s="1"/>
  <c r="G46" i="505" a="1"/>
  <c r="G46" i="505" s="1"/>
  <c r="G133" i="505" a="1"/>
  <c r="G133" i="505" s="1"/>
  <c r="G110" i="505" a="1"/>
  <c r="G110" i="505" s="1"/>
  <c r="M18" i="505" s="1"/>
  <c r="G136" i="505" a="1"/>
  <c r="G136" i="505" s="1"/>
  <c r="G116" i="505" a="1"/>
  <c r="G116" i="505" s="1"/>
  <c r="G82" i="505" a="1"/>
  <c r="G82" i="505" s="1"/>
  <c r="M11" i="505" s="1"/>
  <c r="G50" i="505" a="1"/>
  <c r="G50" i="505" s="1"/>
  <c r="H50" i="505" s="1"/>
  <c r="G119" i="505" a="1"/>
  <c r="G119" i="505" s="1"/>
  <c r="G88" i="505" a="1"/>
  <c r="G88" i="505" s="1"/>
  <c r="G151" i="505" a="1"/>
  <c r="G151" i="505" s="1"/>
  <c r="G130" i="505" a="1"/>
  <c r="G130" i="505" s="1"/>
  <c r="M23" i="505" s="1"/>
  <c r="G38" i="505" a="1"/>
  <c r="G38" i="505" s="1"/>
  <c r="M5" i="505" s="1"/>
  <c r="G48" i="505" a="1"/>
  <c r="G48" i="505" s="1"/>
  <c r="M32" i="505" s="1"/>
  <c r="D55" i="506" s="1"/>
  <c r="G107" i="505" a="1"/>
  <c r="G107" i="505" s="1"/>
  <c r="G126" i="505" a="1"/>
  <c r="G126" i="505" s="1"/>
  <c r="H126" i="505" s="1"/>
  <c r="G135" i="505" a="1"/>
  <c r="G135" i="505" s="1"/>
  <c r="G154" i="505" a="1"/>
  <c r="G154" i="505" s="1"/>
  <c r="G114" i="505" a="1"/>
  <c r="G114" i="505" s="1"/>
  <c r="M19" i="505" s="1"/>
  <c r="G92" i="505" a="1"/>
  <c r="G92" i="505" s="1"/>
  <c r="G109" i="505" a="1"/>
  <c r="G109" i="505" s="1"/>
  <c r="G91" i="505" a="1"/>
  <c r="G91" i="505" s="1"/>
  <c r="H91" i="505" s="1"/>
  <c r="G147" i="505" a="1"/>
  <c r="G147" i="505" s="1"/>
  <c r="G34" i="505" a="1"/>
  <c r="G34" i="505" s="1"/>
  <c r="H34" i="505" s="1"/>
  <c r="G85" i="505" a="1"/>
  <c r="G85" i="505" s="1"/>
  <c r="G69" i="505" a="1"/>
  <c r="G69" i="505" s="1"/>
  <c r="M13" i="505" s="1"/>
  <c r="G122" i="505" a="1"/>
  <c r="G122" i="505" s="1"/>
  <c r="G108" i="505" a="1"/>
  <c r="G108" i="505" s="1"/>
  <c r="G56" i="505" a="1"/>
  <c r="G56" i="505" s="1"/>
  <c r="G137" i="505" a="1"/>
  <c r="G137" i="505" s="1"/>
  <c r="G36" i="505" a="1"/>
  <c r="G36" i="505" s="1"/>
  <c r="G125" i="505" a="1"/>
  <c r="G125" i="505" s="1"/>
  <c r="G152" i="505" a="1"/>
  <c r="G152" i="505" s="1"/>
  <c r="G124" i="505" a="1"/>
  <c r="G124" i="505" s="1"/>
  <c r="G99" i="505" a="1"/>
  <c r="G99" i="505" s="1"/>
  <c r="H99" i="505" s="1"/>
  <c r="G66" i="505" a="1"/>
  <c r="G66" i="505" s="1"/>
  <c r="G149" i="505" a="1"/>
  <c r="G149" i="505" s="1"/>
  <c r="G80" i="505" a="1"/>
  <c r="G80" i="505" s="1"/>
  <c r="G55" i="505" a="1"/>
  <c r="G55" i="505" s="1"/>
  <c r="G155" i="505" a="1"/>
  <c r="G155" i="505" s="1"/>
  <c r="G123" i="505" a="1"/>
  <c r="G123" i="505" s="1"/>
  <c r="G105" i="505" a="1"/>
  <c r="G105" i="505" s="1"/>
  <c r="G76" i="505" a="1"/>
  <c r="G76" i="505" s="1"/>
  <c r="G148" i="505" a="1"/>
  <c r="G148" i="505" s="1"/>
  <c r="G81" i="505" a="1"/>
  <c r="G81" i="505" s="1"/>
  <c r="G87" i="505" a="1"/>
  <c r="G87" i="505" s="1"/>
  <c r="H87" i="505" s="1"/>
  <c r="G67" i="505" a="1"/>
  <c r="G67" i="505" s="1"/>
  <c r="M12" i="505" s="1"/>
  <c r="G132" i="505" a="1"/>
  <c r="G132" i="505" s="1"/>
  <c r="G75" i="505" a="1"/>
  <c r="G75" i="505" s="1"/>
  <c r="G62" i="505" a="1"/>
  <c r="G62" i="505" s="1"/>
  <c r="G95" i="505" a="1"/>
  <c r="G95" i="505" s="1"/>
  <c r="H95" i="505" s="1"/>
  <c r="G89" i="505" a="1"/>
  <c r="G89" i="505" s="1"/>
  <c r="G121" i="505" a="1"/>
  <c r="G121" i="505" s="1"/>
  <c r="H121" i="505" s="1"/>
  <c r="G134" i="505" a="1"/>
  <c r="G134" i="505" s="1"/>
  <c r="H134" i="505" s="1"/>
  <c r="G101" i="505" a="1"/>
  <c r="G101" i="505" s="1"/>
  <c r="G131" i="505" a="1"/>
  <c r="G131" i="505" s="1"/>
  <c r="G79" i="505" a="1"/>
  <c r="G79" i="505" s="1"/>
  <c r="G78" i="505" a="1"/>
  <c r="G78" i="505" s="1"/>
  <c r="M14" i="505" s="1"/>
  <c r="G102" i="505" a="1"/>
  <c r="G102" i="505" s="1"/>
  <c r="G150" i="505" a="1"/>
  <c r="G150" i="505" s="1"/>
  <c r="H150" i="505" s="1"/>
  <c r="G37" i="505" a="1"/>
  <c r="G37" i="505" s="1"/>
  <c r="G31" i="505" a="1"/>
  <c r="G31" i="505" s="1"/>
  <c r="G32" i="505" a="1"/>
  <c r="G32" i="505" s="1"/>
  <c r="G83" i="505" a="1"/>
  <c r="G83" i="505" s="1"/>
  <c r="G97" i="505" a="1"/>
  <c r="G97" i="505" s="1"/>
  <c r="G139" i="505" a="1"/>
  <c r="G139" i="505" s="1"/>
  <c r="H139" i="505" s="1"/>
  <c r="G33" i="505" a="1"/>
  <c r="G33" i="505" s="1"/>
  <c r="G30" i="505" a="1"/>
  <c r="G30" i="505" s="1"/>
  <c r="N18" i="505" l="1"/>
  <c r="D41" i="506"/>
  <c r="E41" i="506" s="1"/>
  <c r="H29" i="505"/>
  <c r="M6" i="505"/>
  <c r="D29" i="506" s="1"/>
  <c r="E29" i="506" s="1"/>
  <c r="N19" i="505"/>
  <c r="D42" i="506"/>
  <c r="E42" i="506" s="1"/>
  <c r="E6" i="505"/>
  <c r="C6" i="506"/>
  <c r="E6" i="506" s="1"/>
  <c r="H54" i="505"/>
  <c r="M16" i="505"/>
  <c r="D39" i="506" s="1"/>
  <c r="E39" i="506" s="1"/>
  <c r="N12" i="505"/>
  <c r="D35" i="506"/>
  <c r="E35" i="506" s="1"/>
  <c r="N15" i="505"/>
  <c r="D38" i="506"/>
  <c r="E38" i="506" s="1"/>
  <c r="N5" i="505"/>
  <c r="D28" i="506"/>
  <c r="E28" i="506" s="1"/>
  <c r="N23" i="505"/>
  <c r="D46" i="506"/>
  <c r="E46" i="506" s="1"/>
  <c r="N10" i="505"/>
  <c r="D33" i="506"/>
  <c r="E33" i="506" s="1"/>
  <c r="N13" i="505"/>
  <c r="D36" i="506"/>
  <c r="E36" i="506" s="1"/>
  <c r="N11" i="505"/>
  <c r="D34" i="506"/>
  <c r="E34" i="506" s="1"/>
  <c r="N14" i="505"/>
  <c r="D37" i="506"/>
  <c r="E37" i="506" s="1"/>
  <c r="N24" i="505"/>
  <c r="D47" i="506"/>
  <c r="E47" i="506" s="1"/>
  <c r="C25" i="505"/>
  <c r="M432" i="436"/>
  <c r="N432" i="436" s="1"/>
  <c r="H153" i="505"/>
  <c r="M25" i="505"/>
  <c r="M27" i="505"/>
  <c r="H61" i="505"/>
  <c r="M28" i="505"/>
  <c r="H74" i="505"/>
  <c r="H114" i="505"/>
  <c r="M7" i="505"/>
  <c r="H110" i="505"/>
  <c r="H82" i="505"/>
  <c r="M17" i="505"/>
  <c r="M22" i="505"/>
  <c r="H67" i="505"/>
  <c r="H48" i="505"/>
  <c r="H69" i="505"/>
  <c r="H38" i="505"/>
  <c r="M21" i="505"/>
  <c r="H130" i="505"/>
  <c r="M20" i="505"/>
  <c r="H78" i="505"/>
  <c r="M26" i="505"/>
  <c r="M29" i="505"/>
  <c r="N6" i="505" l="1"/>
  <c r="N25" i="505"/>
  <c r="D48" i="506"/>
  <c r="E48" i="506" s="1"/>
  <c r="N21" i="505"/>
  <c r="D44" i="506"/>
  <c r="E44" i="506" s="1"/>
  <c r="N7" i="505"/>
  <c r="D30" i="506"/>
  <c r="E30" i="506" s="1"/>
  <c r="N28" i="505"/>
  <c r="D51" i="506"/>
  <c r="E51" i="506" s="1"/>
  <c r="N17" i="505"/>
  <c r="D40" i="506"/>
  <c r="E40" i="506" s="1"/>
  <c r="N16" i="505"/>
  <c r="N22" i="505"/>
  <c r="D45" i="506"/>
  <c r="E45" i="506" s="1"/>
  <c r="N29" i="505"/>
  <c r="D52" i="506"/>
  <c r="E52" i="506" s="1"/>
  <c r="N26" i="505"/>
  <c r="D49" i="506"/>
  <c r="E49" i="506" s="1"/>
  <c r="N20" i="505"/>
  <c r="D43" i="506"/>
  <c r="E43" i="506" s="1"/>
  <c r="N27" i="505"/>
  <c r="D50" i="506"/>
  <c r="E50" i="506" s="1"/>
  <c r="E25" i="505"/>
  <c r="C25" i="506"/>
  <c r="E25" i="506" s="1"/>
  <c r="C11" i="505"/>
  <c r="C21" i="505"/>
  <c r="C20" i="505"/>
  <c r="C14" i="505"/>
  <c r="E14" i="505" s="1"/>
  <c r="C19" i="505"/>
  <c r="C10" i="505"/>
  <c r="C23" i="505"/>
  <c r="C22" i="505"/>
  <c r="C9" i="505"/>
  <c r="C12" i="505"/>
  <c r="M30" i="505"/>
  <c r="C13" i="505"/>
  <c r="E13" i="505" s="1"/>
  <c r="C16" i="505"/>
  <c r="C8" i="505"/>
  <c r="C17" i="505"/>
  <c r="C15" i="505"/>
  <c r="C24" i="505"/>
  <c r="C18" i="505"/>
  <c r="E19" i="505" l="1"/>
  <c r="C19" i="506"/>
  <c r="E19" i="506" s="1"/>
  <c r="E11" i="505"/>
  <c r="C11" i="506"/>
  <c r="E11" i="506" s="1"/>
  <c r="E21" i="505"/>
  <c r="C21" i="506"/>
  <c r="E21" i="506" s="1"/>
  <c r="E8" i="505"/>
  <c r="C8" i="506"/>
  <c r="E8" i="506" s="1"/>
  <c r="E15" i="505"/>
  <c r="C15" i="506"/>
  <c r="E15" i="506" s="1"/>
  <c r="E20" i="505"/>
  <c r="C20" i="506"/>
  <c r="E20" i="506" s="1"/>
  <c r="E12" i="505"/>
  <c r="C12" i="506"/>
  <c r="E12" i="506" s="1"/>
  <c r="E24" i="505"/>
  <c r="C24" i="506"/>
  <c r="E24" i="506" s="1"/>
  <c r="E16" i="505"/>
  <c r="C16" i="506"/>
  <c r="E16" i="506" s="1"/>
  <c r="E9" i="505"/>
  <c r="C9" i="506"/>
  <c r="E9" i="506" s="1"/>
  <c r="E18" i="505"/>
  <c r="C18" i="506"/>
  <c r="E18" i="506" s="1"/>
  <c r="E17" i="505"/>
  <c r="C17" i="506"/>
  <c r="E17" i="506" s="1"/>
  <c r="E22" i="505"/>
  <c r="C22" i="506"/>
  <c r="E22" i="506" s="1"/>
  <c r="E23" i="505"/>
  <c r="C23" i="506"/>
  <c r="E23" i="506" s="1"/>
  <c r="E10" i="505"/>
  <c r="C10" i="506"/>
  <c r="E10" i="506" s="1"/>
  <c r="N30" i="505"/>
  <c r="D53" i="506"/>
  <c r="E53" i="506" s="1"/>
  <c r="K285" i="436" l="1"/>
  <c r="L285" i="436" s="1"/>
  <c r="B25" i="458" l="1"/>
  <c r="E25" i="458" l="1"/>
  <c r="D25" i="458"/>
  <c r="B104" i="436"/>
  <c r="B105" i="436" s="1"/>
  <c r="B106" i="436" s="1"/>
  <c r="C104" i="436"/>
  <c r="C105" i="436" s="1"/>
  <c r="C106" i="436" s="1"/>
  <c r="C107" i="436" s="1"/>
  <c r="C108" i="436" s="1"/>
  <c r="C109" i="436" s="1"/>
  <c r="C110" i="436" s="1"/>
  <c r="C111" i="436" s="1"/>
  <c r="C112" i="436" s="1"/>
  <c r="C113" i="436" s="1"/>
  <c r="C114" i="436" s="1"/>
  <c r="C115" i="436" s="1"/>
  <c r="C116" i="436" s="1"/>
  <c r="C117" i="436" s="1"/>
  <c r="D104" i="436"/>
  <c r="D105" i="436" s="1"/>
  <c r="D106" i="436" s="1"/>
  <c r="D107" i="436" s="1"/>
  <c r="D108" i="436" s="1"/>
  <c r="D109" i="436" s="1"/>
  <c r="D110" i="436" s="1"/>
  <c r="D111" i="436" s="1"/>
  <c r="D112" i="436" s="1"/>
  <c r="D113" i="436" s="1"/>
  <c r="D114" i="436" s="1"/>
  <c r="D115" i="436" s="1"/>
  <c r="D116" i="436" s="1"/>
  <c r="D117" i="436" s="1"/>
  <c r="D118" i="436" l="1"/>
  <c r="D119" i="436" s="1"/>
  <c r="D120" i="436" s="1"/>
  <c r="D121" i="436" s="1"/>
  <c r="D122" i="436" s="1"/>
  <c r="C118" i="436"/>
  <c r="C119" i="436" s="1"/>
  <c r="C120" i="436" s="1"/>
  <c r="C121" i="436" s="1"/>
  <c r="I106" i="436"/>
  <c r="I105" i="436"/>
  <c r="B107" i="436"/>
  <c r="I107" i="436" s="1"/>
  <c r="I104" i="436"/>
  <c r="B108" i="436" l="1"/>
  <c r="B109" i="436" s="1"/>
  <c r="I108" i="436" l="1"/>
  <c r="I109" i="436"/>
  <c r="B110" i="436"/>
  <c r="B111" i="436" l="1"/>
  <c r="I110" i="436"/>
  <c r="B112" i="436" l="1"/>
  <c r="I111" i="436"/>
  <c r="B113" i="436" l="1"/>
  <c r="I112" i="436"/>
  <c r="B114" i="436" l="1"/>
  <c r="I113" i="436"/>
  <c r="B115" i="436" l="1"/>
  <c r="I114" i="436"/>
  <c r="B116" i="436" l="1"/>
  <c r="I115" i="436"/>
  <c r="B117" i="436" l="1"/>
  <c r="B118" i="436" s="1"/>
  <c r="I118" i="436" s="1"/>
  <c r="I116" i="436"/>
  <c r="B119" i="436" l="1"/>
  <c r="I117" i="436"/>
  <c r="B120" i="436" l="1"/>
  <c r="I119" i="436"/>
  <c r="B121" i="436" l="1"/>
  <c r="I120" i="436"/>
  <c r="B122" i="436" l="1"/>
  <c r="I121" i="436"/>
  <c r="B123" i="436" l="1"/>
  <c r="I122" i="436"/>
  <c r="B124" i="436" l="1"/>
  <c r="I123" i="436"/>
  <c r="B125" i="436" l="1"/>
  <c r="I124" i="436"/>
  <c r="B126" i="436" l="1"/>
  <c r="I125" i="436"/>
  <c r="I126" i="436" l="1"/>
  <c r="B127" i="436"/>
  <c r="B128" i="436" l="1"/>
  <c r="I127" i="436"/>
  <c r="B129" i="436" l="1"/>
  <c r="I128" i="436"/>
  <c r="I129" i="436" l="1"/>
  <c r="B130" i="436"/>
  <c r="L136" i="436" l="1"/>
  <c r="N136" i="436" s="1"/>
  <c r="L137" i="436"/>
  <c r="N137" i="436" s="1"/>
  <c r="L130" i="436"/>
  <c r="N130" i="436" s="1"/>
  <c r="L133" i="436"/>
  <c r="N133" i="436" s="1"/>
  <c r="L135" i="436"/>
  <c r="N135" i="436" s="1"/>
  <c r="L139" i="436"/>
  <c r="N139" i="436" s="1"/>
  <c r="L138" i="436"/>
  <c r="N138" i="436" s="1"/>
  <c r="L131" i="436"/>
  <c r="N131" i="436" s="1"/>
  <c r="L132" i="436"/>
  <c r="L134" i="436"/>
  <c r="N134" i="436" s="1"/>
  <c r="B131" i="436"/>
  <c r="I130" i="436"/>
  <c r="B132" i="436" l="1"/>
  <c r="I131" i="436"/>
  <c r="N132" i="436"/>
  <c r="B133" i="436" l="1"/>
  <c r="I132" i="436"/>
  <c r="B134" i="436" l="1"/>
  <c r="I133" i="436"/>
  <c r="B135" i="436" l="1"/>
  <c r="I134" i="436"/>
  <c r="B136" i="436" l="1"/>
  <c r="I135" i="436"/>
  <c r="B137" i="436" l="1"/>
  <c r="I136" i="436"/>
  <c r="B138" i="436" l="1"/>
  <c r="I137" i="436"/>
  <c r="B139" i="436" l="1"/>
  <c r="I138" i="436"/>
  <c r="B140" i="436" l="1"/>
  <c r="I139" i="436"/>
  <c r="I140" i="436" l="1"/>
  <c r="B141" i="436"/>
  <c r="B142" i="436" l="1"/>
  <c r="I141" i="436"/>
  <c r="L141" i="436"/>
  <c r="N141" i="436" s="1"/>
  <c r="L142" i="436"/>
  <c r="N142" i="436" s="1"/>
  <c r="B143" i="436" l="1"/>
  <c r="I142" i="436"/>
  <c r="B144" i="436" l="1"/>
  <c r="I143" i="436"/>
  <c r="L147" i="436" l="1"/>
  <c r="N147" i="436" s="1"/>
  <c r="L144" i="436"/>
  <c r="N144" i="436" s="1"/>
  <c r="L146" i="436"/>
  <c r="N146" i="436" s="1"/>
  <c r="L145" i="436"/>
  <c r="I144" i="436"/>
  <c r="B145" i="436"/>
  <c r="B146" i="436" l="1"/>
  <c r="I145" i="436"/>
  <c r="N145" i="436"/>
  <c r="B147" i="436" l="1"/>
  <c r="I146" i="436"/>
  <c r="B148" i="436" l="1"/>
  <c r="I147" i="436"/>
  <c r="B149" i="436" l="1"/>
  <c r="I148" i="436"/>
  <c r="B150" i="436" l="1"/>
  <c r="I149" i="436"/>
  <c r="B151" i="436" l="1"/>
  <c r="I150" i="436"/>
  <c r="B152" i="436" l="1"/>
  <c r="I151" i="436"/>
  <c r="B153" i="436" l="1"/>
  <c r="I152" i="436"/>
  <c r="L156" i="436" l="1"/>
  <c r="L154" i="436"/>
  <c r="L155" i="436"/>
  <c r="L153" i="436"/>
  <c r="N153" i="436" s="1"/>
  <c r="B154" i="436"/>
  <c r="I153" i="436"/>
  <c r="B155" i="436" l="1"/>
  <c r="I154" i="436"/>
  <c r="N155" i="436"/>
  <c r="L160" i="436"/>
  <c r="N160" i="436" s="1"/>
  <c r="L162" i="436"/>
  <c r="N162" i="436" s="1"/>
  <c r="N154" i="436"/>
  <c r="N156" i="436"/>
  <c r="L161" i="436"/>
  <c r="N161" i="436" s="1"/>
  <c r="M447" i="436" l="1"/>
  <c r="N447" i="436" s="1"/>
  <c r="M451" i="436" s="1"/>
  <c r="I155" i="436"/>
  <c r="B156" i="436"/>
  <c r="B157" i="436" l="1"/>
  <c r="I156" i="436"/>
  <c r="B158" i="436" l="1"/>
  <c r="I157" i="436"/>
  <c r="I158" i="436" l="1"/>
  <c r="B159" i="436"/>
  <c r="B160" i="436" l="1"/>
  <c r="I159" i="436"/>
  <c r="I160" i="436" l="1"/>
  <c r="B161" i="436"/>
  <c r="I161" i="436" l="1"/>
  <c r="B162" i="436"/>
  <c r="B163" i="436" l="1"/>
  <c r="I162" i="436"/>
  <c r="B164" i="436" l="1"/>
  <c r="I163" i="436"/>
  <c r="B165" i="436" l="1"/>
  <c r="I164" i="436"/>
  <c r="B166" i="436" l="1"/>
  <c r="I165" i="436"/>
  <c r="B167" i="436" l="1"/>
  <c r="I166" i="436"/>
  <c r="B168" i="436" l="1"/>
  <c r="I167" i="436"/>
  <c r="B169" i="436" l="1"/>
  <c r="I168" i="436"/>
  <c r="B170" i="436" l="1"/>
  <c r="I169" i="436"/>
  <c r="B171" i="436" l="1"/>
  <c r="I170" i="436"/>
  <c r="B172" i="436" l="1"/>
  <c r="I171" i="436"/>
  <c r="B173" i="436" l="1"/>
  <c r="I172" i="436"/>
  <c r="B174" i="436" l="1"/>
  <c r="I173" i="436"/>
  <c r="B175" i="436" l="1"/>
  <c r="I174" i="436"/>
  <c r="B176" i="436" l="1"/>
  <c r="I175" i="436"/>
  <c r="B177" i="436" l="1"/>
  <c r="I176" i="436"/>
  <c r="B178" i="436" l="1"/>
  <c r="I177" i="436"/>
  <c r="B179" i="436" l="1"/>
  <c r="I178" i="436"/>
  <c r="B180" i="436" l="1"/>
  <c r="I179" i="436"/>
  <c r="B181" i="436" l="1"/>
  <c r="I180" i="436"/>
  <c r="B182" i="436" l="1"/>
  <c r="I181" i="436"/>
  <c r="B183" i="436" l="1"/>
  <c r="I182" i="436"/>
  <c r="B184" i="436" l="1"/>
  <c r="I183" i="436"/>
  <c r="B185" i="436" l="1"/>
  <c r="I184" i="436"/>
  <c r="B186" i="436" l="1"/>
  <c r="I185" i="436"/>
  <c r="B187" i="436" l="1"/>
  <c r="I186" i="436"/>
  <c r="B188" i="436" l="1"/>
  <c r="I187" i="436"/>
  <c r="B189" i="436" l="1"/>
  <c r="I188" i="436"/>
  <c r="B190" i="436" l="1"/>
  <c r="I189" i="436"/>
  <c r="B191" i="436" l="1"/>
  <c r="I190" i="436"/>
  <c r="B192" i="436" l="1"/>
  <c r="I191" i="436"/>
  <c r="B193" i="436" l="1"/>
  <c r="I192" i="436"/>
  <c r="B194" i="436" l="1"/>
  <c r="I193" i="436"/>
  <c r="B195" i="436" l="1"/>
  <c r="I194" i="436"/>
  <c r="B196" i="436" l="1"/>
  <c r="I195" i="436"/>
  <c r="B197" i="436" l="1"/>
  <c r="I196" i="436"/>
  <c r="B198" i="436" l="1"/>
  <c r="I197" i="436"/>
  <c r="B199" i="436" l="1"/>
  <c r="I198" i="436"/>
  <c r="B200" i="436" l="1"/>
  <c r="I199" i="436"/>
  <c r="B201" i="436" l="1"/>
  <c r="I200" i="436"/>
  <c r="B202" i="436" l="1"/>
  <c r="I201" i="436"/>
  <c r="B203" i="436" l="1"/>
  <c r="I202" i="436"/>
  <c r="I203" i="436" l="1"/>
  <c r="B204" i="436"/>
  <c r="B205" i="436" l="1"/>
  <c r="I204" i="436"/>
  <c r="B206" i="436" l="1"/>
  <c r="I205" i="436"/>
  <c r="B207" i="436" l="1"/>
  <c r="I206" i="436"/>
  <c r="B208" i="436" l="1"/>
  <c r="I207" i="436"/>
  <c r="B209" i="436" l="1"/>
  <c r="I208" i="436"/>
  <c r="B210" i="436" l="1"/>
  <c r="I209" i="436"/>
  <c r="B211" i="436" l="1"/>
  <c r="I210" i="436"/>
  <c r="B212" i="436" l="1"/>
  <c r="I211" i="436"/>
  <c r="B213" i="436" l="1"/>
  <c r="I212" i="436"/>
  <c r="B214" i="436" l="1"/>
  <c r="I213" i="436"/>
  <c r="B215" i="436" l="1"/>
  <c r="I214" i="436"/>
  <c r="B216" i="436" l="1"/>
  <c r="I215" i="436"/>
  <c r="B217" i="436" l="1"/>
  <c r="I216" i="436"/>
  <c r="B218" i="436" l="1"/>
  <c r="I217" i="436"/>
  <c r="B219" i="436" l="1"/>
  <c r="I218" i="436"/>
  <c r="B220" i="436" l="1"/>
  <c r="I219" i="436"/>
  <c r="B221" i="436" l="1"/>
  <c r="I220" i="436"/>
  <c r="B222" i="436" l="1"/>
  <c r="I221" i="436"/>
  <c r="B223" i="436" l="1"/>
  <c r="I222" i="436"/>
  <c r="B224" i="436" l="1"/>
  <c r="I223" i="436"/>
  <c r="B225" i="436" l="1"/>
  <c r="I224" i="436"/>
  <c r="B226" i="436" l="1"/>
  <c r="I225" i="436"/>
  <c r="B227" i="436" l="1"/>
  <c r="I226" i="436"/>
  <c r="B228" i="436" l="1"/>
  <c r="I227" i="436"/>
  <c r="I228" i="436" l="1"/>
  <c r="B229" i="436"/>
  <c r="B230" i="436" l="1"/>
  <c r="I229" i="436"/>
  <c r="B231" i="436" l="1"/>
  <c r="I230" i="436"/>
  <c r="B232" i="436" l="1"/>
  <c r="I231" i="436"/>
  <c r="B233" i="436" l="1"/>
  <c r="I232" i="436"/>
  <c r="B234" i="436" l="1"/>
  <c r="I233" i="436"/>
  <c r="I234" i="436" l="1"/>
  <c r="B235" i="436"/>
  <c r="B236" i="436" l="1"/>
  <c r="I235" i="436"/>
  <c r="B237" i="436" l="1"/>
  <c r="I236" i="436"/>
  <c r="B238" i="436" l="1"/>
  <c r="I237" i="436"/>
  <c r="B239" i="436" l="1"/>
  <c r="I238" i="436"/>
  <c r="B240" i="436" l="1"/>
  <c r="I239" i="436"/>
  <c r="B241" i="436" l="1"/>
  <c r="I240" i="436"/>
  <c r="B242" i="436" l="1"/>
  <c r="I241" i="436"/>
  <c r="B243" i="436" l="1"/>
  <c r="I242" i="436"/>
  <c r="B244" i="436" l="1"/>
  <c r="I243" i="436"/>
  <c r="B245" i="436" l="1"/>
  <c r="I244" i="436"/>
  <c r="B246" i="436" l="1"/>
  <c r="I245" i="436"/>
  <c r="B247" i="436" l="1"/>
  <c r="I246" i="436"/>
  <c r="B248" i="436" l="1"/>
  <c r="I247" i="436"/>
  <c r="B249" i="436" l="1"/>
  <c r="I248" i="436"/>
  <c r="B250" i="436" l="1"/>
  <c r="I249" i="436"/>
  <c r="B251" i="436" l="1"/>
  <c r="I250" i="436"/>
  <c r="I251" i="436" l="1"/>
  <c r="B252" i="436"/>
  <c r="B253" i="436" l="1"/>
  <c r="I252" i="436"/>
  <c r="B254" i="436" l="1"/>
  <c r="I253" i="436"/>
  <c r="B255" i="436" l="1"/>
  <c r="I254" i="436"/>
  <c r="B256" i="436" l="1"/>
  <c r="I255" i="436"/>
  <c r="B257" i="436" l="1"/>
  <c r="I256" i="436"/>
  <c r="B258" i="436" l="1"/>
  <c r="I257" i="436"/>
  <c r="B259" i="436" l="1"/>
  <c r="I258" i="436"/>
  <c r="B260" i="436" l="1"/>
  <c r="I259" i="436"/>
  <c r="B261" i="436" l="1"/>
  <c r="I260" i="436"/>
  <c r="B262" i="436" l="1"/>
  <c r="I261" i="436"/>
  <c r="B263" i="436" l="1"/>
  <c r="I262" i="436"/>
  <c r="B264" i="436" l="1"/>
  <c r="I263" i="436"/>
  <c r="B265" i="436" l="1"/>
  <c r="I264" i="436"/>
  <c r="B266" i="436" l="1"/>
  <c r="I265" i="436"/>
  <c r="B267" i="436" l="1"/>
  <c r="I266" i="436"/>
  <c r="I267" i="436" l="1"/>
  <c r="B268" i="436"/>
  <c r="B269" i="436" l="1"/>
  <c r="I268" i="436"/>
  <c r="B270" i="436" l="1"/>
  <c r="I269" i="436"/>
  <c r="B271" i="436" l="1"/>
  <c r="I270" i="436"/>
  <c r="B272" i="436" l="1"/>
  <c r="I271" i="436"/>
  <c r="I272" i="436" l="1"/>
  <c r="B273" i="436" l="1"/>
  <c r="B274" i="436" l="1"/>
  <c r="I273" i="436"/>
  <c r="B275" i="436" l="1"/>
  <c r="I274" i="436"/>
  <c r="B276" i="436" l="1"/>
  <c r="I275" i="436"/>
  <c r="B277" i="436" l="1"/>
  <c r="I276" i="436"/>
  <c r="B278" i="436" l="1"/>
  <c r="I277" i="436"/>
  <c r="B279" i="436" l="1"/>
  <c r="I278" i="436"/>
  <c r="B280" i="436" l="1"/>
  <c r="I279" i="436"/>
  <c r="I280" i="436" l="1"/>
  <c r="B281" i="436"/>
  <c r="B282" i="436" l="1"/>
  <c r="I281" i="436"/>
  <c r="B283" i="436" l="1"/>
  <c r="I282" i="436"/>
  <c r="B284" i="436" l="1"/>
  <c r="I283" i="436"/>
  <c r="B285" i="436" l="1"/>
  <c r="I284" i="436"/>
  <c r="B286" i="436" l="1"/>
  <c r="I285" i="436"/>
  <c r="I286" i="436" l="1"/>
  <c r="B287" i="436"/>
  <c r="B288" i="436" l="1"/>
  <c r="I287" i="436"/>
  <c r="I288" i="436" l="1"/>
  <c r="B289" i="436" l="1"/>
  <c r="B290" i="436" l="1"/>
  <c r="I289" i="436"/>
  <c r="B291" i="436" l="1"/>
  <c r="I290" i="436"/>
  <c r="B292" i="436" l="1"/>
  <c r="I291" i="436"/>
  <c r="B293" i="436" l="1"/>
  <c r="I292" i="436"/>
  <c r="B294" i="436" l="1"/>
  <c r="I293" i="436"/>
  <c r="B295" i="436" l="1"/>
  <c r="I294" i="436"/>
  <c r="B296" i="436" l="1"/>
  <c r="I295" i="436"/>
  <c r="B297" i="436" l="1"/>
  <c r="I296" i="436"/>
  <c r="B298" i="436" l="1"/>
  <c r="I297" i="436"/>
  <c r="B299" i="436" l="1"/>
  <c r="I298" i="436"/>
  <c r="B300" i="436" l="1"/>
  <c r="I299" i="436"/>
  <c r="B301" i="436" l="1"/>
  <c r="I300" i="436"/>
  <c r="I301" i="436" l="1"/>
  <c r="B302" i="436" l="1"/>
  <c r="I302" i="436" s="1"/>
  <c r="B303" i="436" l="1"/>
  <c r="B304" i="436" s="1"/>
  <c r="I303" i="436" l="1"/>
  <c r="I304" i="436"/>
  <c r="B305" i="436"/>
  <c r="B306" i="436" l="1"/>
  <c r="I305" i="436"/>
  <c r="B307" i="436" l="1"/>
  <c r="I306" i="436"/>
  <c r="B308" i="436" l="1"/>
  <c r="I307" i="436"/>
  <c r="B309" i="436" l="1"/>
  <c r="I308" i="436"/>
  <c r="I309" i="436" l="1"/>
  <c r="B310" i="436"/>
  <c r="B311" i="436" l="1"/>
  <c r="I310" i="436"/>
  <c r="I311" i="436" l="1"/>
  <c r="B312" i="436"/>
  <c r="B313" i="436" l="1"/>
  <c r="I312" i="436"/>
  <c r="B314" i="436" l="1"/>
  <c r="I313" i="436"/>
  <c r="I314" i="436" l="1"/>
  <c r="B315" i="436"/>
  <c r="B316" i="436" l="1"/>
  <c r="I315" i="436"/>
  <c r="I316" i="436" l="1"/>
  <c r="B317" i="436"/>
  <c r="B318" i="436" l="1"/>
  <c r="I317" i="436"/>
  <c r="B319" i="436" l="1"/>
  <c r="I318" i="436"/>
  <c r="B320" i="436" l="1"/>
  <c r="I319" i="436"/>
  <c r="I320" i="436" l="1"/>
  <c r="B321" i="436"/>
  <c r="B322" i="436" l="1"/>
  <c r="I321" i="436"/>
  <c r="B323" i="436" l="1"/>
  <c r="I322" i="436"/>
  <c r="B324" i="436" l="1"/>
  <c r="I323" i="436"/>
  <c r="B325" i="436" l="1"/>
  <c r="I324" i="436"/>
  <c r="B326" i="436" l="1"/>
  <c r="I325" i="436"/>
  <c r="B327" i="436" l="1"/>
  <c r="I326" i="436"/>
  <c r="B328" i="436" l="1"/>
  <c r="I327" i="436"/>
  <c r="I328" i="436" l="1"/>
  <c r="B329" i="436"/>
  <c r="B330" i="436" l="1"/>
  <c r="I329" i="436"/>
  <c r="I330" i="436" l="1"/>
  <c r="B331" i="436"/>
  <c r="B332" i="436" l="1"/>
  <c r="I331" i="436"/>
  <c r="B333" i="436" l="1"/>
  <c r="I332" i="436"/>
  <c r="B334" i="436" l="1"/>
  <c r="I333" i="436"/>
  <c r="B335" i="436" l="1"/>
  <c r="I334" i="436"/>
  <c r="B336" i="436" l="1"/>
  <c r="I335" i="436"/>
  <c r="B337" i="436" l="1"/>
  <c r="I336" i="436"/>
  <c r="B338" i="436" l="1"/>
  <c r="I337" i="436"/>
  <c r="B339" i="436" l="1"/>
  <c r="I338" i="436"/>
  <c r="B340" i="436" l="1"/>
  <c r="I339" i="436"/>
  <c r="B341" i="436" l="1"/>
  <c r="I340" i="436"/>
  <c r="B342" i="436" l="1"/>
  <c r="I341" i="436"/>
  <c r="B343" i="436" l="1"/>
  <c r="I342" i="436"/>
  <c r="B344" i="436" l="1"/>
  <c r="I343" i="436"/>
  <c r="B345" i="436" l="1"/>
  <c r="I344" i="436"/>
  <c r="B346" i="436" l="1"/>
  <c r="I345" i="436"/>
  <c r="B347" i="436" l="1"/>
  <c r="I346" i="436"/>
  <c r="B348" i="436" l="1"/>
  <c r="I347" i="436"/>
  <c r="B349" i="436" l="1"/>
  <c r="I348" i="436"/>
  <c r="B350" i="436" l="1"/>
  <c r="I349" i="436"/>
  <c r="I350" i="436" l="1"/>
  <c r="B351" i="436"/>
  <c r="I351" i="436" l="1"/>
  <c r="B352" i="436"/>
  <c r="I352" i="436" l="1"/>
  <c r="B353" i="436"/>
  <c r="I353" i="436" l="1"/>
  <c r="B354" i="436"/>
  <c r="B355" i="436" l="1"/>
  <c r="I354" i="436"/>
  <c r="B356" i="436" l="1"/>
  <c r="I355" i="436"/>
  <c r="B357" i="436" l="1"/>
  <c r="I356" i="436"/>
  <c r="B358" i="436" l="1"/>
  <c r="I357" i="436"/>
  <c r="B359" i="436" l="1"/>
  <c r="I358" i="436"/>
  <c r="B360" i="436" l="1"/>
  <c r="I359" i="436"/>
  <c r="B361" i="436" l="1"/>
  <c r="I360" i="436"/>
  <c r="B362" i="436" l="1"/>
  <c r="I361" i="436"/>
  <c r="B363" i="436" l="1"/>
  <c r="I362" i="436"/>
  <c r="B364" i="436" l="1"/>
  <c r="I363" i="436"/>
  <c r="I364" i="436" l="1"/>
  <c r="B365" i="436"/>
  <c r="B366" i="436" l="1"/>
  <c r="I365" i="436"/>
  <c r="B367" i="436" l="1"/>
  <c r="I366" i="436"/>
  <c r="I367" i="436" l="1"/>
  <c r="B368" i="436"/>
  <c r="B369" i="436" l="1"/>
  <c r="I368" i="436"/>
  <c r="I369" i="436" l="1"/>
  <c r="B370" i="436"/>
  <c r="B371" i="436" l="1"/>
  <c r="I370" i="436"/>
  <c r="B372" i="436" l="1"/>
  <c r="I371" i="436"/>
  <c r="B373" i="436" l="1"/>
  <c r="I372" i="436"/>
  <c r="B374" i="436" l="1"/>
  <c r="I373" i="436"/>
  <c r="I374" i="436" l="1"/>
  <c r="B375" i="436"/>
  <c r="B376" i="436" l="1"/>
  <c r="I375" i="436"/>
  <c r="I376" i="436" l="1"/>
  <c r="B377" i="436"/>
  <c r="B378" i="436" l="1"/>
  <c r="I377" i="436"/>
  <c r="B379" i="436" l="1"/>
  <c r="I378" i="436"/>
  <c r="I379" i="436" l="1"/>
  <c r="B380" i="436"/>
  <c r="B381" i="436" l="1"/>
  <c r="I380" i="436"/>
  <c r="I381" i="436" l="1"/>
  <c r="B382" i="436"/>
  <c r="I382" i="436" l="1"/>
  <c r="B383" i="436"/>
  <c r="I383" i="436" l="1"/>
  <c r="B384" i="436"/>
  <c r="B385" i="436" l="1"/>
  <c r="I384" i="436"/>
  <c r="I385" i="436" l="1"/>
  <c r="B386" i="436"/>
  <c r="B387" i="436" l="1"/>
  <c r="I386" i="436"/>
  <c r="I387" i="436" l="1"/>
  <c r="B388" i="436"/>
  <c r="B389" i="436" l="1"/>
  <c r="I388" i="436"/>
  <c r="I389" i="436" l="1"/>
  <c r="B390" i="436"/>
  <c r="B391" i="436" l="1"/>
  <c r="I390" i="436"/>
  <c r="I391" i="436" l="1"/>
  <c r="B392" i="436"/>
  <c r="B393" i="436" l="1"/>
  <c r="I392" i="436"/>
  <c r="I393" i="436" l="1"/>
  <c r="B394" i="436"/>
  <c r="B395" i="436" l="1"/>
  <c r="I394" i="436"/>
  <c r="B396" i="436" l="1"/>
  <c r="I395" i="436"/>
  <c r="B397" i="436" l="1"/>
  <c r="I396" i="436"/>
  <c r="B398" i="436" l="1"/>
  <c r="I397" i="436"/>
  <c r="B399" i="436" l="1"/>
  <c r="I398" i="436"/>
  <c r="B400" i="436" l="1"/>
  <c r="I399" i="436"/>
  <c r="B401" i="436" l="1"/>
  <c r="I400" i="436"/>
  <c r="B402" i="436" l="1"/>
  <c r="I401" i="436"/>
  <c r="B403" i="436" l="1"/>
  <c r="I402" i="436"/>
  <c r="B404" i="436" l="1"/>
  <c r="I403" i="436"/>
  <c r="B405" i="436" l="1"/>
  <c r="I404" i="436"/>
  <c r="I405" i="436" l="1"/>
  <c r="B406" i="436"/>
  <c r="B407" i="436" l="1"/>
  <c r="I406" i="436"/>
  <c r="I407" i="436" l="1"/>
  <c r="B408" i="436"/>
  <c r="B409" i="436" l="1"/>
  <c r="I408" i="436"/>
  <c r="B410" i="436" l="1"/>
  <c r="I409" i="436"/>
  <c r="B411" i="436" l="1"/>
  <c r="I410" i="436"/>
  <c r="B412" i="436" l="1"/>
  <c r="I411" i="436"/>
  <c r="I412" i="436" l="1"/>
  <c r="B413" i="436"/>
  <c r="B414" i="436" l="1"/>
  <c r="I413" i="436"/>
  <c r="B415" i="436" l="1"/>
  <c r="I414" i="436"/>
  <c r="B416" i="436" l="1"/>
  <c r="I415" i="436"/>
  <c r="B417" i="436" l="1"/>
  <c r="I416" i="436"/>
  <c r="B418" i="436" l="1"/>
  <c r="I417" i="436"/>
  <c r="B419" i="436" l="1"/>
  <c r="I418" i="436"/>
  <c r="B420" i="436" l="1"/>
  <c r="I419" i="436"/>
  <c r="B421" i="436" l="1"/>
  <c r="I420" i="436"/>
  <c r="B422" i="436" l="1"/>
  <c r="I421" i="436"/>
  <c r="B423" i="436" l="1"/>
  <c r="I422" i="436"/>
  <c r="B424" i="436" l="1"/>
  <c r="I423" i="436"/>
  <c r="B425" i="436" l="1"/>
  <c r="I424" i="436"/>
  <c r="B426" i="436" l="1"/>
  <c r="I425" i="436"/>
  <c r="N392" i="436" l="1"/>
  <c r="B427" i="436"/>
  <c r="N391" i="436"/>
  <c r="I426" i="436"/>
  <c r="N393" i="436"/>
  <c r="N395" i="436"/>
  <c r="N399" i="436"/>
  <c r="N397" i="436"/>
  <c r="O391" i="436" l="1"/>
  <c r="B24" i="458"/>
  <c r="C56" i="432"/>
  <c r="I427" i="436"/>
  <c r="B428" i="436"/>
  <c r="H44" i="432" l="1"/>
  <c r="E56" i="432"/>
  <c r="I428" i="436"/>
  <c r="B429" i="436"/>
  <c r="D24" i="458"/>
  <c r="E24" i="458"/>
  <c r="B430" i="436" l="1"/>
  <c r="I429" i="436"/>
  <c r="B431" i="436" l="1"/>
  <c r="I430" i="436"/>
  <c r="B432" i="436" l="1"/>
  <c r="I431" i="436"/>
  <c r="B433" i="436" l="1"/>
  <c r="I432" i="436"/>
  <c r="I433" i="436" l="1"/>
  <c r="B434" i="436"/>
  <c r="I434" i="436" l="1"/>
  <c r="B435" i="436"/>
  <c r="I435" i="436" l="1"/>
  <c r="B436" i="436"/>
  <c r="B437" i="436" l="1"/>
  <c r="I436" i="436"/>
  <c r="B438" i="436" l="1"/>
  <c r="I437" i="436"/>
  <c r="B439" i="436" l="1"/>
  <c r="I438" i="436"/>
  <c r="B440" i="436" l="1"/>
  <c r="I439" i="436"/>
  <c r="B441" i="436" l="1"/>
  <c r="I440" i="436"/>
  <c r="B442" i="436" l="1"/>
  <c r="I441" i="436"/>
  <c r="B443" i="436" l="1"/>
  <c r="I442" i="436"/>
  <c r="B444" i="436" l="1"/>
  <c r="I443" i="436"/>
  <c r="B445" i="436" l="1"/>
  <c r="I444" i="436"/>
  <c r="B446" i="436" l="1"/>
  <c r="I445" i="436"/>
  <c r="B447" i="436" l="1"/>
  <c r="I446" i="436"/>
  <c r="I447" i="436" l="1"/>
  <c r="B448" i="436"/>
  <c r="B449" i="436" s="1"/>
  <c r="B450" i="436" s="1"/>
  <c r="B451" i="436" l="1"/>
  <c r="B452" i="436" l="1"/>
  <c r="N439" i="436" s="1"/>
  <c r="N441" i="436"/>
  <c r="O441" i="436" s="1"/>
  <c r="N445" i="436"/>
  <c r="O445" i="436" s="1"/>
  <c r="N103" i="436" l="1"/>
  <c r="O103" i="436" s="1"/>
  <c r="N102" i="436"/>
  <c r="N104" i="436"/>
  <c r="O104" i="436" s="1"/>
  <c r="B453" i="436"/>
  <c r="B454" i="436" s="1"/>
  <c r="B455" i="436" s="1"/>
  <c r="B456" i="436" s="1"/>
  <c r="B457" i="436" s="1"/>
  <c r="B458" i="436" s="1"/>
  <c r="B459" i="436" s="1"/>
  <c r="B460" i="436" s="1"/>
  <c r="B461" i="436" s="1"/>
  <c r="B462" i="436" s="1"/>
  <c r="B463" i="436" s="1"/>
  <c r="B464" i="436" s="1"/>
  <c r="B465" i="436" s="1"/>
  <c r="B466" i="436" s="1"/>
  <c r="B467" i="436" s="1"/>
  <c r="B468" i="436" s="1"/>
  <c r="B469" i="436" s="1"/>
  <c r="B470" i="436" s="1"/>
  <c r="B471" i="436" s="1"/>
  <c r="B472" i="436" s="1"/>
  <c r="B473" i="436" s="1"/>
  <c r="B474" i="436" s="1"/>
  <c r="B475" i="436" s="1"/>
  <c r="B476" i="436" s="1"/>
  <c r="B477" i="436" s="1"/>
  <c r="B478" i="436" s="1"/>
  <c r="B479" i="436" s="1"/>
  <c r="B480" i="436" s="1"/>
  <c r="B481" i="436" s="1"/>
  <c r="B482" i="436" s="1"/>
  <c r="B483" i="436" s="1"/>
  <c r="B484" i="436" s="1"/>
  <c r="B485" i="436" s="1"/>
  <c r="B486" i="436" s="1"/>
  <c r="B487" i="436" s="1"/>
  <c r="B488" i="436" s="1"/>
  <c r="B489" i="436" s="1"/>
  <c r="B490" i="436" s="1"/>
  <c r="B491" i="436" s="1"/>
  <c r="B492" i="436" s="1"/>
  <c r="B493" i="436" s="1"/>
  <c r="B494" i="436" s="1"/>
  <c r="B495" i="436" s="1"/>
  <c r="B496" i="436" s="1"/>
  <c r="B497" i="436" s="1"/>
  <c r="B498" i="436" s="1"/>
  <c r="B499" i="436" s="1"/>
  <c r="B500" i="436" s="1"/>
  <c r="B501" i="436" s="1"/>
  <c r="B502" i="436" s="1"/>
  <c r="B503" i="436" s="1"/>
  <c r="B504" i="436" s="1"/>
  <c r="B505" i="436" s="1"/>
  <c r="B506" i="436" s="1"/>
  <c r="B507" i="436" s="1"/>
  <c r="B508" i="436" s="1"/>
  <c r="B509" i="436" s="1"/>
  <c r="B510" i="436" s="1"/>
  <c r="B511" i="436" s="1"/>
  <c r="B512" i="436" s="1"/>
  <c r="B513" i="436" s="1"/>
  <c r="B514" i="436" s="1"/>
  <c r="B515" i="436" s="1"/>
  <c r="B516" i="436" s="1"/>
  <c r="B517" i="436" s="1"/>
  <c r="B518" i="436" s="1"/>
  <c r="B519" i="436" s="1"/>
  <c r="B520" i="436" s="1"/>
  <c r="B521" i="436" s="1"/>
  <c r="B522" i="436" s="1"/>
  <c r="B523" i="436" s="1"/>
  <c r="B524" i="436" s="1"/>
  <c r="B525" i="436" s="1"/>
  <c r="B526" i="436" s="1"/>
  <c r="B527" i="436" s="1"/>
  <c r="B528" i="436" s="1"/>
  <c r="B529" i="436" s="1"/>
  <c r="B530" i="436" s="1"/>
  <c r="B531" i="436" s="1"/>
  <c r="B532" i="436" s="1"/>
  <c r="B533" i="436" s="1"/>
  <c r="B534" i="436" s="1"/>
  <c r="B535" i="436" s="1"/>
  <c r="B536" i="436" s="1"/>
  <c r="B537" i="436" s="1"/>
  <c r="B538" i="436" s="1"/>
  <c r="B539" i="436" s="1"/>
  <c r="B540" i="436" s="1"/>
  <c r="B541" i="436" s="1"/>
  <c r="B542" i="436" s="1"/>
  <c r="B543" i="436" s="1"/>
  <c r="B544" i="436" s="1"/>
  <c r="B545" i="436" s="1"/>
  <c r="B546" i="436" s="1"/>
  <c r="B547" i="436" s="1"/>
  <c r="B548" i="436" s="1"/>
  <c r="B549" i="436" s="1"/>
  <c r="B550" i="436" s="1"/>
  <c r="B551" i="436" s="1"/>
  <c r="B552" i="436" s="1"/>
  <c r="B553" i="436" s="1"/>
  <c r="B554" i="436" s="1"/>
  <c r="B555" i="436" s="1"/>
  <c r="B556" i="436" s="1"/>
  <c r="B557" i="436" s="1"/>
  <c r="B558" i="436" s="1"/>
  <c r="B559" i="436" s="1"/>
  <c r="B560" i="436" s="1"/>
  <c r="B561" i="436" s="1"/>
  <c r="B562" i="436" s="1"/>
  <c r="B563" i="436" s="1"/>
  <c r="B564" i="436" s="1"/>
  <c r="B565" i="436" s="1"/>
  <c r="B566" i="436" s="1"/>
  <c r="B567" i="436" s="1"/>
  <c r="B568" i="436" s="1"/>
  <c r="B569" i="436" s="1"/>
  <c r="B570" i="436" s="1"/>
  <c r="B571" i="436" s="1"/>
  <c r="B572" i="436" s="1"/>
  <c r="B573" i="436" s="1"/>
  <c r="B574" i="436" s="1"/>
  <c r="B575" i="436" s="1"/>
  <c r="B576" i="436" s="1"/>
  <c r="B577" i="436" s="1"/>
  <c r="B578" i="436" s="1"/>
  <c r="B579" i="436" s="1"/>
  <c r="B580" i="436" s="1"/>
  <c r="B581" i="436" s="1"/>
  <c r="B582" i="436" s="1"/>
  <c r="B583" i="436" s="1"/>
  <c r="B584" i="436" s="1"/>
  <c r="B585" i="436" s="1"/>
  <c r="B586" i="436" s="1"/>
  <c r="B587" i="436" s="1"/>
  <c r="B588" i="436" s="1"/>
  <c r="B589" i="436" s="1"/>
  <c r="B590" i="436" s="1"/>
  <c r="B591" i="436" s="1"/>
  <c r="B592" i="436" s="1"/>
  <c r="B593" i="436" s="1"/>
  <c r="B594" i="436" s="1"/>
  <c r="B595" i="436" s="1"/>
  <c r="B596" i="436" s="1"/>
  <c r="B597" i="436" s="1"/>
  <c r="B598" i="436" s="1"/>
  <c r="B599" i="436" s="1"/>
  <c r="B600" i="436" s="1"/>
  <c r="B601" i="436" s="1"/>
  <c r="B602" i="436" s="1"/>
  <c r="B603" i="436" s="1"/>
  <c r="B604" i="436" s="1"/>
  <c r="B605" i="436" s="1"/>
  <c r="B606" i="436" s="1"/>
  <c r="B607" i="436" s="1"/>
  <c r="B608" i="436" s="1"/>
  <c r="B609" i="436" s="1"/>
  <c r="B610" i="436" s="1"/>
  <c r="B611" i="436" s="1"/>
  <c r="B612" i="436" s="1"/>
  <c r="B613" i="436" s="1"/>
  <c r="B614" i="436" s="1"/>
  <c r="B615" i="436" s="1"/>
  <c r="B616" i="436" s="1"/>
  <c r="B617" i="436" s="1"/>
  <c r="B618" i="436" s="1"/>
  <c r="B619" i="436" s="1"/>
  <c r="B620" i="436" s="1"/>
  <c r="B621" i="436" s="1"/>
  <c r="B622" i="436" s="1"/>
  <c r="B623" i="436" s="1"/>
  <c r="B624" i="436" s="1"/>
  <c r="B625" i="436" s="1"/>
  <c r="B626" i="436" s="1"/>
  <c r="B627" i="436" s="1"/>
  <c r="B628" i="436" s="1"/>
  <c r="B629" i="436" s="1"/>
  <c r="B630" i="436" s="1"/>
  <c r="B631" i="436" s="1"/>
  <c r="B632" i="436" s="1"/>
  <c r="B633" i="436" s="1"/>
  <c r="B634" i="436" s="1"/>
  <c r="B635" i="436" s="1"/>
  <c r="B636" i="436" s="1"/>
  <c r="B637" i="436" s="1"/>
  <c r="B638" i="436" s="1"/>
  <c r="B639" i="436" s="1"/>
  <c r="B640" i="436" s="1"/>
  <c r="B641" i="436" s="1"/>
  <c r="B642" i="436" s="1"/>
  <c r="B643" i="436" s="1"/>
  <c r="B644" i="436" s="1"/>
  <c r="B645" i="436" s="1"/>
  <c r="B646" i="436" s="1"/>
  <c r="B647" i="436" s="1"/>
  <c r="B648" i="436" s="1"/>
  <c r="B649" i="436" s="1"/>
  <c r="B650" i="436" s="1"/>
  <c r="B651" i="436" s="1"/>
  <c r="B652" i="436" s="1"/>
  <c r="B653" i="436" s="1"/>
  <c r="B654" i="436" s="1"/>
  <c r="B655" i="436" s="1"/>
  <c r="B656" i="436" s="1"/>
  <c r="B657" i="436" s="1"/>
  <c r="B658" i="436" s="1"/>
  <c r="B659" i="436" s="1"/>
  <c r="B660" i="436" s="1"/>
  <c r="B661" i="436" s="1"/>
  <c r="B662" i="436" s="1"/>
  <c r="B663" i="436" s="1"/>
  <c r="B664" i="436" s="1"/>
  <c r="B665" i="436" s="1"/>
  <c r="B666" i="436" s="1"/>
  <c r="B667" i="436" s="1"/>
  <c r="B668" i="436" s="1"/>
  <c r="B669" i="436" s="1"/>
  <c r="B670" i="436" s="1"/>
  <c r="B671" i="436" s="1"/>
  <c r="B672" i="436" s="1"/>
  <c r="B673" i="436" s="1"/>
  <c r="B674" i="436" s="1"/>
  <c r="B675" i="436" s="1"/>
  <c r="B676" i="436" s="1"/>
  <c r="B677" i="436" s="1"/>
  <c r="B678" i="436" s="1"/>
  <c r="B679" i="436" s="1"/>
  <c r="B680" i="436" s="1"/>
  <c r="B681" i="436" s="1"/>
  <c r="B682" i="436" s="1"/>
  <c r="B683" i="436" s="1"/>
  <c r="B684" i="436" s="1"/>
  <c r="B685" i="436" s="1"/>
  <c r="B686" i="436" s="1"/>
  <c r="B687" i="436" s="1"/>
  <c r="B688" i="436" s="1"/>
  <c r="B689" i="436" s="1"/>
  <c r="B690" i="436" s="1"/>
  <c r="B691" i="436" s="1"/>
  <c r="B692" i="436" s="1"/>
  <c r="B693" i="436" s="1"/>
  <c r="B694" i="436" s="1"/>
  <c r="B695" i="436" s="1"/>
  <c r="B696" i="436" s="1"/>
  <c r="B697" i="436" s="1"/>
  <c r="B698" i="436" s="1"/>
  <c r="B699" i="436" s="1"/>
  <c r="B700" i="436" s="1"/>
  <c r="B701" i="436" s="1"/>
  <c r="B702" i="436" s="1"/>
  <c r="B703" i="436" s="1"/>
  <c r="B704" i="436" s="1"/>
  <c r="B705" i="436" s="1"/>
  <c r="B706" i="436" s="1"/>
  <c r="B707" i="436" s="1"/>
  <c r="B708" i="436" s="1"/>
  <c r="B709" i="436" s="1"/>
  <c r="B710" i="436" s="1"/>
  <c r="B711" i="436" s="1"/>
  <c r="B712" i="436" s="1"/>
  <c r="B713" i="436" s="1"/>
  <c r="B714" i="436" s="1"/>
  <c r="B715" i="436" s="1"/>
  <c r="B716" i="436" s="1"/>
  <c r="B717" i="436" s="1"/>
  <c r="B718" i="436" s="1"/>
  <c r="B719" i="436" s="1"/>
  <c r="B720" i="436" s="1"/>
  <c r="B721" i="436" s="1"/>
  <c r="B722" i="436" s="1"/>
  <c r="B723" i="436" s="1"/>
  <c r="B724" i="436" s="1"/>
  <c r="B725" i="436" s="1"/>
  <c r="B726" i="436" s="1"/>
  <c r="B727" i="436" s="1"/>
  <c r="B728" i="436" s="1"/>
  <c r="B729" i="436" s="1"/>
  <c r="B730" i="436" s="1"/>
  <c r="B731" i="436" s="1"/>
  <c r="B732" i="436" s="1"/>
  <c r="B733" i="436" s="1"/>
  <c r="B734" i="436" s="1"/>
  <c r="B735" i="436" s="1"/>
  <c r="B736" i="436" s="1"/>
  <c r="B737" i="436" s="1"/>
  <c r="B738" i="436" s="1"/>
  <c r="B739" i="436" s="1"/>
  <c r="B740" i="436" s="1"/>
  <c r="B741" i="436" s="1"/>
  <c r="B742" i="436" s="1"/>
  <c r="B743" i="436" s="1"/>
  <c r="B744" i="436" s="1"/>
  <c r="B745" i="436" s="1"/>
  <c r="B746" i="436" s="1"/>
  <c r="B747" i="436" s="1"/>
  <c r="B748" i="436" s="1"/>
  <c r="B749" i="436" s="1"/>
  <c r="B750" i="436" s="1"/>
  <c r="B751" i="436" s="1"/>
  <c r="B752" i="436" s="1"/>
  <c r="B753" i="436" s="1"/>
  <c r="B754" i="436" s="1"/>
  <c r="B755" i="436" s="1"/>
  <c r="B756" i="436" s="1"/>
  <c r="B757" i="436" s="1"/>
  <c r="B758" i="436" s="1"/>
  <c r="B759" i="436" s="1"/>
  <c r="B760" i="436" s="1"/>
  <c r="B761" i="436" s="1"/>
  <c r="B762" i="436" s="1"/>
  <c r="B763" i="436" s="1"/>
  <c r="B764" i="436" s="1"/>
  <c r="B765" i="436" s="1"/>
  <c r="B766" i="436" s="1"/>
  <c r="B767" i="436" s="1"/>
  <c r="B768" i="436" s="1"/>
  <c r="B769" i="436" s="1"/>
  <c r="B770" i="436" s="1"/>
  <c r="B771" i="436" s="1"/>
  <c r="B772" i="436" s="1"/>
  <c r="B773" i="436" s="1"/>
  <c r="B774" i="436" s="1"/>
  <c r="B775" i="436" s="1"/>
  <c r="B776" i="436" s="1"/>
  <c r="B777" i="436" s="1"/>
  <c r="B778" i="436" s="1"/>
  <c r="B779" i="436" s="1"/>
  <c r="B780" i="436" s="1"/>
  <c r="B781" i="436" s="1"/>
  <c r="B782" i="436" s="1"/>
  <c r="B783" i="436" s="1"/>
  <c r="B784" i="436" s="1"/>
  <c r="B785" i="436" s="1"/>
  <c r="B786" i="436" s="1"/>
  <c r="B787" i="436" s="1"/>
  <c r="B788" i="436" s="1"/>
  <c r="B789" i="436" s="1"/>
  <c r="B790" i="436" s="1"/>
  <c r="B791" i="436" s="1"/>
  <c r="B792" i="436" s="1"/>
  <c r="B793" i="436" s="1"/>
  <c r="B794" i="436" s="1"/>
  <c r="B795" i="436" s="1"/>
  <c r="B796" i="436" s="1"/>
  <c r="B797" i="436" s="1"/>
  <c r="B798" i="436" s="1"/>
  <c r="B799" i="436" s="1"/>
  <c r="B800" i="436" s="1"/>
  <c r="B801" i="436" s="1"/>
  <c r="B802" i="436" s="1"/>
  <c r="B803" i="436" s="1"/>
  <c r="B804" i="436" s="1"/>
  <c r="B805" i="436" s="1"/>
  <c r="B806" i="436" s="1"/>
  <c r="B807" i="436" s="1"/>
  <c r="B808" i="436" s="1"/>
  <c r="B809" i="436" s="1"/>
  <c r="B810" i="436" s="1"/>
  <c r="B811" i="436" s="1"/>
  <c r="B812" i="436" s="1"/>
  <c r="B813" i="436" s="1"/>
  <c r="B814" i="436" s="1"/>
  <c r="B815" i="436" s="1"/>
  <c r="B816" i="436" s="1"/>
  <c r="B817" i="436" s="1"/>
  <c r="B818" i="436" s="1"/>
  <c r="B819" i="436" s="1"/>
  <c r="B820" i="436" s="1"/>
  <c r="B821" i="436" s="1"/>
  <c r="B822" i="436" s="1"/>
  <c r="B823" i="436" s="1"/>
  <c r="B824" i="436" s="1"/>
  <c r="B825" i="436" s="1"/>
  <c r="B826" i="436" s="1"/>
  <c r="B827" i="436" s="1"/>
  <c r="B828" i="436" s="1"/>
  <c r="B829" i="436" s="1"/>
  <c r="B830" i="436" s="1"/>
  <c r="B831" i="436" s="1"/>
  <c r="B832" i="436" s="1"/>
  <c r="B833" i="436" s="1"/>
  <c r="B834" i="436" s="1"/>
  <c r="B835" i="436" s="1"/>
  <c r="B836" i="436" s="1"/>
  <c r="B837" i="436" s="1"/>
  <c r="B838" i="436" s="1"/>
  <c r="B839" i="436" s="1"/>
  <c r="B840" i="436" s="1"/>
  <c r="B841" i="436" s="1"/>
  <c r="B842" i="436" s="1"/>
  <c r="B843" i="436" s="1"/>
  <c r="B844" i="436" s="1"/>
  <c r="B845" i="436" s="1"/>
  <c r="B846" i="436" s="1"/>
  <c r="B847" i="436" s="1"/>
  <c r="B848" i="436" s="1"/>
  <c r="B849" i="436" s="1"/>
  <c r="B850" i="436" s="1"/>
  <c r="B851" i="436" s="1"/>
  <c r="B852" i="436" s="1"/>
  <c r="B853" i="436" s="1"/>
  <c r="B854" i="436" s="1"/>
  <c r="B855" i="436" s="1"/>
  <c r="B856" i="436" s="1"/>
  <c r="B857" i="436" s="1"/>
  <c r="B858" i="436" s="1"/>
  <c r="B859" i="436" s="1"/>
  <c r="B860" i="436" s="1"/>
  <c r="B861" i="436" s="1"/>
  <c r="B862" i="436" s="1"/>
  <c r="B863" i="436" s="1"/>
  <c r="B864" i="436" s="1"/>
  <c r="B865" i="436" s="1"/>
  <c r="B866" i="436" s="1"/>
  <c r="B867" i="436" s="1"/>
  <c r="B868" i="436" s="1"/>
  <c r="B869" i="436" s="1"/>
  <c r="B870" i="436" s="1"/>
  <c r="B871" i="436" s="1"/>
  <c r="B872" i="436" s="1"/>
  <c r="B873" i="436" s="1"/>
  <c r="B874" i="436" s="1"/>
  <c r="B875" i="436" s="1"/>
  <c r="B876" i="436" s="1"/>
  <c r="B877" i="436" s="1"/>
  <c r="B878" i="436" s="1"/>
  <c r="B879" i="436" s="1"/>
  <c r="B880" i="436" s="1"/>
  <c r="B881" i="436" s="1"/>
  <c r="B882" i="436" s="1"/>
  <c r="B883" i="436" s="1"/>
  <c r="B884" i="436" s="1"/>
  <c r="B885" i="436" s="1"/>
  <c r="B886" i="436" s="1"/>
  <c r="B887" i="436" s="1"/>
  <c r="B888" i="436" s="1"/>
  <c r="B889" i="436" s="1"/>
  <c r="B890" i="436" s="1"/>
  <c r="B891" i="436" s="1"/>
  <c r="B892" i="436" s="1"/>
  <c r="B893" i="436" s="1"/>
  <c r="B894" i="436" s="1"/>
  <c r="B895" i="436" s="1"/>
  <c r="B896" i="436" s="1"/>
  <c r="B897" i="436" s="1"/>
  <c r="B898" i="436" s="1"/>
  <c r="B899" i="436" s="1"/>
  <c r="B900" i="436" s="1"/>
  <c r="B901" i="436" s="1"/>
  <c r="B902" i="436" s="1"/>
  <c r="B903" i="436" s="1"/>
  <c r="B904" i="436" s="1"/>
  <c r="B905" i="436" s="1"/>
  <c r="B906" i="436" s="1"/>
  <c r="B907" i="436" s="1"/>
  <c r="B908" i="436" s="1"/>
  <c r="B909" i="436" s="1"/>
  <c r="B910" i="436" s="1"/>
  <c r="B911" i="436" s="1"/>
  <c r="B912" i="436" s="1"/>
  <c r="B913" i="436" s="1"/>
  <c r="B914" i="436" s="1"/>
  <c r="B915" i="436" s="1"/>
  <c r="B916" i="436" s="1"/>
  <c r="B917" i="436" s="1"/>
  <c r="B918" i="436" s="1"/>
  <c r="B919" i="436" s="1"/>
  <c r="B920" i="436" s="1"/>
  <c r="B921" i="436" s="1"/>
  <c r="B922" i="436" s="1"/>
  <c r="B923" i="436" s="1"/>
  <c r="B924" i="436" s="1"/>
  <c r="B925" i="436" s="1"/>
  <c r="B926" i="436" s="1"/>
  <c r="B927" i="436" s="1"/>
  <c r="B928" i="436" s="1"/>
  <c r="B929" i="436" s="1"/>
  <c r="B930" i="436" s="1"/>
  <c r="B931" i="436" s="1"/>
  <c r="B932" i="436" s="1"/>
  <c r="B933" i="436" s="1"/>
  <c r="B934" i="436" s="1"/>
  <c r="B935" i="436" s="1"/>
  <c r="B936" i="436" s="1"/>
  <c r="B937" i="436" s="1"/>
  <c r="B938" i="436" s="1"/>
  <c r="B939" i="436" s="1"/>
  <c r="B940" i="436" s="1"/>
  <c r="B941" i="436" s="1"/>
  <c r="B942" i="436" s="1"/>
  <c r="B943" i="436" s="1"/>
  <c r="B944" i="436" s="1"/>
  <c r="B945" i="436" s="1"/>
  <c r="B946" i="436" s="1"/>
  <c r="B947" i="436" s="1"/>
  <c r="B948" i="436" s="1"/>
  <c r="B949" i="436" s="1"/>
  <c r="B950" i="436" s="1"/>
  <c r="B951" i="436" s="1"/>
  <c r="B952" i="436" s="1"/>
  <c r="B953" i="436" s="1"/>
  <c r="B954" i="436" s="1"/>
  <c r="B955" i="436" s="1"/>
  <c r="B956" i="436" s="1"/>
  <c r="B957" i="436" s="1"/>
  <c r="B958" i="436" s="1"/>
  <c r="B959" i="436" s="1"/>
  <c r="B960" i="436" s="1"/>
  <c r="B961" i="436" s="1"/>
  <c r="B962" i="436" s="1"/>
  <c r="B963" i="436" s="1"/>
  <c r="B964" i="436" s="1"/>
  <c r="B965" i="436" s="1"/>
  <c r="B966" i="436" s="1"/>
  <c r="B967" i="436" s="1"/>
  <c r="B968" i="436" s="1"/>
  <c r="B969" i="436" s="1"/>
  <c r="B970" i="436" s="1"/>
  <c r="B971" i="436" s="1"/>
  <c r="B972" i="436" s="1"/>
  <c r="B973" i="436" s="1"/>
  <c r="B974" i="436" s="1"/>
  <c r="B975" i="436" s="1"/>
  <c r="B976" i="436" s="1"/>
  <c r="B977" i="436" s="1"/>
  <c r="B978" i="436" s="1"/>
  <c r="B979" i="436" s="1"/>
  <c r="B980" i="436" s="1"/>
  <c r="B981" i="436" s="1"/>
  <c r="B982" i="436" s="1"/>
  <c r="B983" i="436" s="1"/>
  <c r="B984" i="436" s="1"/>
  <c r="B985" i="436" s="1"/>
  <c r="B986" i="436" s="1"/>
  <c r="B987" i="436" s="1"/>
  <c r="B988" i="436" s="1"/>
  <c r="B989" i="436" s="1"/>
  <c r="B990" i="436" s="1"/>
  <c r="B991" i="436" s="1"/>
  <c r="B992" i="436" s="1"/>
  <c r="B993" i="436" s="1"/>
  <c r="B994" i="436" s="1"/>
  <c r="B995" i="436" s="1"/>
  <c r="B996" i="436" s="1"/>
  <c r="B997" i="436" s="1"/>
  <c r="B998" i="436" s="1"/>
  <c r="B999" i="436" s="1"/>
  <c r="B1000" i="436" s="1"/>
  <c r="B1001" i="436" s="1"/>
  <c r="B1002" i="436" s="1"/>
  <c r="B1003" i="436" s="1"/>
  <c r="B1004" i="436" s="1"/>
  <c r="B1005" i="436" s="1"/>
  <c r="B1006" i="436" s="1"/>
  <c r="B1007" i="436" s="1"/>
  <c r="B1008" i="436" s="1"/>
  <c r="B1009" i="436" s="1"/>
  <c r="B1010" i="436" s="1"/>
  <c r="B1011" i="436" s="1"/>
  <c r="B1012" i="436" s="1"/>
  <c r="B1013" i="436" s="1"/>
  <c r="B1014" i="436" s="1"/>
  <c r="B1015" i="436" s="1"/>
  <c r="B1016" i="436" s="1"/>
  <c r="B1017" i="436" s="1"/>
  <c r="B1018" i="436" s="1"/>
  <c r="B1019" i="436" s="1"/>
  <c r="B1020" i="436" s="1"/>
  <c r="B1021" i="436" s="1"/>
  <c r="B1022" i="436" s="1"/>
  <c r="B1023" i="436" s="1"/>
  <c r="B1024" i="436" s="1"/>
  <c r="B1025" i="436" s="1"/>
  <c r="B1026" i="436" s="1"/>
  <c r="B1027" i="436" s="1"/>
  <c r="B1028" i="436" s="1"/>
  <c r="B1029" i="436" s="1"/>
  <c r="B1030" i="436" s="1"/>
  <c r="B1031" i="436" s="1"/>
  <c r="B1032" i="436" s="1"/>
  <c r="B1033" i="436" s="1"/>
  <c r="B1034" i="436" s="1"/>
  <c r="B1035" i="436" s="1"/>
  <c r="B1036" i="436" s="1"/>
  <c r="B1037" i="436" s="1"/>
  <c r="B1038" i="436" s="1"/>
  <c r="B1039" i="436" s="1"/>
  <c r="B1040" i="436" s="1"/>
  <c r="B1041" i="436" s="1"/>
  <c r="B1042" i="436" s="1"/>
  <c r="B1043" i="436" s="1"/>
  <c r="B1044" i="436" s="1"/>
  <c r="B1045" i="436" s="1"/>
  <c r="B1046" i="436" s="1"/>
  <c r="B1047" i="436" s="1"/>
  <c r="B1048" i="436" s="1"/>
  <c r="B1049" i="436" s="1"/>
  <c r="B1050" i="436" s="1"/>
  <c r="B1051" i="436" s="1"/>
  <c r="B1052" i="436" s="1"/>
  <c r="B1053" i="436" s="1"/>
  <c r="B1054" i="436" s="1"/>
  <c r="B1055" i="436" s="1"/>
  <c r="B1056" i="436" s="1"/>
  <c r="B1057" i="436" s="1"/>
  <c r="B1058" i="436" s="1"/>
  <c r="B1059" i="436" s="1"/>
  <c r="B1060" i="436" s="1"/>
  <c r="B1061" i="436" s="1"/>
  <c r="B1062" i="436" s="1"/>
  <c r="B1063" i="436" s="1"/>
  <c r="B1064" i="436" s="1"/>
  <c r="B1065" i="436" s="1"/>
  <c r="B1066" i="436" s="1"/>
  <c r="B1067" i="436" s="1"/>
  <c r="B1068" i="436" s="1"/>
  <c r="B1069" i="436" s="1"/>
  <c r="B1070" i="436" s="1"/>
  <c r="B1071" i="436" s="1"/>
  <c r="B1072" i="436" s="1"/>
  <c r="B1073" i="436" s="1"/>
  <c r="B1074" i="436" s="1"/>
  <c r="B1075" i="436" s="1"/>
  <c r="B1076" i="436" s="1"/>
  <c r="B1077" i="436" s="1"/>
  <c r="B1078" i="436" s="1"/>
  <c r="B1079" i="436" s="1"/>
  <c r="B1080" i="436" s="1"/>
  <c r="B1081" i="436" s="1"/>
  <c r="B1082" i="436" s="1"/>
  <c r="B1083" i="436" s="1"/>
  <c r="B1084" i="436" s="1"/>
  <c r="B1085" i="436" s="1"/>
  <c r="N190" i="436"/>
  <c r="N342" i="436"/>
  <c r="O342" i="436" s="1"/>
  <c r="N112" i="436"/>
  <c r="N409" i="436"/>
  <c r="N304" i="436"/>
  <c r="N75" i="436"/>
  <c r="N262" i="436"/>
  <c r="N140" i="436"/>
  <c r="N85" i="436"/>
  <c r="N261" i="436"/>
  <c r="N43" i="436"/>
  <c r="N218" i="436"/>
  <c r="N388" i="436"/>
  <c r="N166" i="436"/>
  <c r="N24" i="436"/>
  <c r="N357" i="436"/>
  <c r="O357" i="436" s="1"/>
  <c r="N124" i="436"/>
  <c r="N314" i="436"/>
  <c r="N181" i="436"/>
  <c r="N148" i="436"/>
  <c r="N321" i="436"/>
  <c r="N274" i="436"/>
  <c r="O274" i="436" s="1"/>
  <c r="N74" i="436"/>
  <c r="N247" i="436"/>
  <c r="N323" i="436"/>
  <c r="N196" i="436"/>
  <c r="O196" i="436" s="1"/>
  <c r="N58" i="436"/>
  <c r="N413" i="436"/>
  <c r="N176" i="436"/>
  <c r="N366" i="436"/>
  <c r="O366" i="436" s="1"/>
  <c r="N210" i="436"/>
  <c r="N184" i="436"/>
  <c r="N127" i="436"/>
  <c r="N152" i="436"/>
  <c r="N285" i="436"/>
  <c r="N8" i="436"/>
  <c r="N224" i="436"/>
  <c r="N119" i="436"/>
  <c r="N428" i="436"/>
  <c r="O428" i="436" s="1"/>
  <c r="N204" i="436"/>
  <c r="N423" i="436"/>
  <c r="N239" i="436"/>
  <c r="N213" i="436"/>
  <c r="N276" i="436"/>
  <c r="O276" i="436" s="1"/>
  <c r="N188" i="436"/>
  <c r="N336" i="436"/>
  <c r="O336" i="436" s="1"/>
  <c r="N19" i="436"/>
  <c r="O19" i="436" s="1"/>
  <c r="N253" i="436"/>
  <c r="N170" i="436"/>
  <c r="N10" i="436"/>
  <c r="N234" i="436"/>
  <c r="N59" i="436"/>
  <c r="O59" i="436" s="1"/>
  <c r="N272" i="436"/>
  <c r="O272" i="436" s="1"/>
  <c r="N243" i="436"/>
  <c r="N36" i="436"/>
  <c r="N65" i="436"/>
  <c r="N216" i="436"/>
  <c r="N386" i="436"/>
  <c r="N165" i="436"/>
  <c r="N294" i="436"/>
  <c r="N199" i="436"/>
  <c r="N52" i="436"/>
  <c r="N376" i="436"/>
  <c r="N246" i="436"/>
  <c r="N354" i="436"/>
  <c r="O354" i="436" s="1"/>
  <c r="N194" i="436"/>
  <c r="N353" i="436"/>
  <c r="N226" i="436"/>
  <c r="O226" i="436" s="1"/>
  <c r="N123" i="436"/>
  <c r="N312" i="436"/>
  <c r="N381" i="436"/>
  <c r="N284" i="436"/>
  <c r="N380" i="436"/>
  <c r="N222" i="436"/>
  <c r="N295" i="436"/>
  <c r="N257" i="436"/>
  <c r="N174" i="436"/>
  <c r="N364" i="436"/>
  <c r="N180" i="436"/>
  <c r="N427" i="436"/>
  <c r="O427" i="436" s="1"/>
  <c r="N38" i="436"/>
  <c r="N333" i="436"/>
  <c r="O333" i="436" s="1"/>
  <c r="N444" i="436"/>
  <c r="N251" i="436"/>
  <c r="N378" i="436"/>
  <c r="N296" i="436"/>
  <c r="N202" i="436"/>
  <c r="N422" i="436"/>
  <c r="N208" i="436"/>
  <c r="N150" i="436"/>
  <c r="N384" i="436"/>
  <c r="N33" i="436"/>
  <c r="N292" i="436"/>
  <c r="N41" i="436"/>
  <c r="N70" i="436"/>
  <c r="N232" i="436"/>
  <c r="O232" i="436" s="1"/>
  <c r="N430" i="436"/>
  <c r="O430" i="436" s="1"/>
  <c r="N236" i="436"/>
  <c r="N76" i="436"/>
  <c r="N186" i="436"/>
  <c r="N424" i="436"/>
  <c r="O424" i="436" s="1"/>
  <c r="N435" i="436"/>
  <c r="O435" i="436" s="1"/>
  <c r="N25" i="436"/>
  <c r="N346" i="436"/>
  <c r="O346" i="436" s="1"/>
  <c r="N63" i="436"/>
  <c r="N40" i="436"/>
  <c r="N260" i="436"/>
  <c r="N72" i="436"/>
  <c r="N270" i="436"/>
  <c r="N143" i="436"/>
  <c r="N214" i="436"/>
  <c r="N241" i="436"/>
  <c r="N355" i="436"/>
  <c r="N164" i="436"/>
  <c r="N401" i="436"/>
  <c r="N116" i="436"/>
  <c r="N122" i="436"/>
  <c r="N306" i="436"/>
  <c r="N96" i="436"/>
  <c r="N316" i="436"/>
  <c r="N182" i="436"/>
  <c r="N245" i="436"/>
  <c r="N446" i="436"/>
  <c r="O446" i="436" s="1"/>
  <c r="N192" i="436"/>
  <c r="N402" i="436"/>
  <c r="N168" i="436"/>
  <c r="N172" i="436"/>
  <c r="N361" i="436"/>
  <c r="O361" i="436" s="1"/>
  <c r="N129" i="436"/>
  <c r="N367" i="436"/>
  <c r="O367" i="436" s="1"/>
  <c r="N212" i="436"/>
  <c r="N283" i="436"/>
  <c r="N60" i="436"/>
  <c r="N220" i="436"/>
  <c r="N403" i="436"/>
  <c r="N198" i="436"/>
  <c r="N200" i="436"/>
  <c r="N417" i="436"/>
  <c r="N178" i="436"/>
  <c r="O178" i="436" s="1"/>
  <c r="N332" i="436"/>
  <c r="N9" i="436"/>
  <c r="N249" i="436"/>
  <c r="N100" i="436"/>
  <c r="N225" i="436"/>
  <c r="N228" i="436"/>
  <c r="O228" i="436" s="1"/>
  <c r="N331" i="436"/>
  <c r="N206" i="436"/>
  <c r="N13" i="436"/>
  <c r="O13" i="436" s="1"/>
  <c r="N157" i="436"/>
  <c r="N287" i="436"/>
  <c r="N23" i="436"/>
  <c r="N255" i="436"/>
  <c r="N258" i="436"/>
  <c r="N56" i="436"/>
  <c r="N235" i="436"/>
  <c r="N17" i="436"/>
  <c r="O17" i="436" s="1"/>
  <c r="N98" i="436"/>
  <c r="N433" i="436"/>
  <c r="O433" i="436" s="1"/>
  <c r="B22" i="458" l="1"/>
  <c r="B20" i="458"/>
  <c r="B18" i="458"/>
  <c r="O40" i="436"/>
  <c r="O24" i="436"/>
  <c r="B12" i="458"/>
  <c r="O260" i="436"/>
  <c r="C51" i="432"/>
  <c r="O294" i="436"/>
  <c r="C53" i="432"/>
  <c r="C50" i="432"/>
  <c r="B11" i="458"/>
  <c r="O245" i="436"/>
  <c r="O58" i="436"/>
  <c r="C40" i="432"/>
  <c r="B5" i="458"/>
  <c r="C46" i="432"/>
  <c r="O198" i="436"/>
  <c r="B26" i="458"/>
  <c r="C58" i="432"/>
  <c r="O422" i="436"/>
  <c r="O423" i="436"/>
  <c r="B17" i="458"/>
  <c r="O75" i="436"/>
  <c r="O74" i="436"/>
  <c r="B6" i="458"/>
  <c r="C41" i="432"/>
  <c r="O262" i="436"/>
  <c r="B13" i="458"/>
  <c r="O23" i="436"/>
  <c r="B4" i="458"/>
  <c r="C39" i="432"/>
  <c r="B15" i="458"/>
  <c r="C43" i="432"/>
  <c r="O122" i="436"/>
  <c r="O403" i="436"/>
  <c r="B21" i="458"/>
  <c r="C52" i="432"/>
  <c r="O283" i="436"/>
  <c r="C48" i="432"/>
  <c r="B10" i="458"/>
  <c r="O224" i="436"/>
  <c r="O212" i="436"/>
  <c r="C47" i="432"/>
  <c r="O401" i="436"/>
  <c r="C57" i="432"/>
  <c r="B3" i="458"/>
  <c r="C38" i="432"/>
  <c r="M448" i="436"/>
  <c r="O8" i="436"/>
  <c r="C44" i="432"/>
  <c r="O164" i="436"/>
  <c r="B8" i="458"/>
  <c r="C59" i="432"/>
  <c r="O444" i="436"/>
  <c r="B27" i="458"/>
  <c r="C55" i="432"/>
  <c r="O353" i="436"/>
  <c r="B23" i="458"/>
  <c r="C49" i="432"/>
  <c r="B9" i="458"/>
  <c r="O234" i="436"/>
  <c r="B14" i="458"/>
  <c r="M450" i="436"/>
  <c r="O10" i="436"/>
  <c r="B19" i="458"/>
  <c r="C54" i="432"/>
  <c r="O331" i="436"/>
  <c r="C45" i="432"/>
  <c r="O180" i="436"/>
  <c r="O9" i="436"/>
  <c r="M449" i="436"/>
  <c r="O270" i="436"/>
  <c r="B16" i="458"/>
  <c r="C42" i="432"/>
  <c r="O102" i="436"/>
  <c r="B7" i="458"/>
  <c r="E20" i="458" l="1"/>
  <c r="D22" i="458"/>
  <c r="E18" i="458"/>
  <c r="D18" i="458"/>
  <c r="E22" i="458"/>
  <c r="D20" i="458"/>
  <c r="H37" i="432"/>
  <c r="H41" i="432"/>
  <c r="H42" i="432"/>
  <c r="H39" i="432"/>
  <c r="H38" i="432"/>
  <c r="H43" i="432"/>
  <c r="H45" i="432"/>
  <c r="H40" i="432"/>
  <c r="H46" i="432"/>
  <c r="E42" i="432"/>
  <c r="E45" i="432"/>
  <c r="D12" i="458"/>
  <c r="E12" i="458"/>
  <c r="E43" i="432"/>
  <c r="E46" i="432"/>
  <c r="E47" i="432"/>
  <c r="E40" i="432"/>
  <c r="E48" i="432"/>
  <c r="E39" i="432"/>
  <c r="D8" i="458"/>
  <c r="E8" i="458"/>
  <c r="D13" i="458"/>
  <c r="E13" i="458"/>
  <c r="E59" i="432"/>
  <c r="E52" i="432"/>
  <c r="D11" i="458"/>
  <c r="E11" i="458"/>
  <c r="D15" i="458"/>
  <c r="E15" i="458"/>
  <c r="D4" i="458"/>
  <c r="E4" i="458"/>
  <c r="D19" i="458"/>
  <c r="E19" i="458"/>
  <c r="E50" i="432"/>
  <c r="E26" i="458"/>
  <c r="D26" i="458"/>
  <c r="E10" i="458"/>
  <c r="D10" i="458"/>
  <c r="E44" i="432"/>
  <c r="E41" i="432"/>
  <c r="E6" i="458"/>
  <c r="D6" i="458"/>
  <c r="E55" i="432"/>
  <c r="E54" i="432"/>
  <c r="D14" i="458"/>
  <c r="E14" i="458"/>
  <c r="D21" i="458"/>
  <c r="E21" i="458"/>
  <c r="E53" i="432"/>
  <c r="E17" i="458"/>
  <c r="D17" i="458"/>
  <c r="E7" i="458"/>
  <c r="D7" i="458"/>
  <c r="D9" i="458"/>
  <c r="E9" i="458"/>
  <c r="E38" i="432"/>
  <c r="C60" i="432"/>
  <c r="D47" i="432" s="1"/>
  <c r="D27" i="458"/>
  <c r="E27" i="458"/>
  <c r="E49" i="432"/>
  <c r="B28" i="458"/>
  <c r="M452" i="436"/>
  <c r="M453" i="436" s="1"/>
  <c r="D3" i="458"/>
  <c r="E3" i="458"/>
  <c r="E51" i="432"/>
  <c r="D16" i="458"/>
  <c r="E16" i="458"/>
  <c r="E5" i="458"/>
  <c r="D5" i="458"/>
  <c r="D23" i="458"/>
  <c r="E23" i="458"/>
  <c r="E57" i="432"/>
  <c r="E58" i="432"/>
  <c r="J44" i="432" l="1"/>
  <c r="J45" i="432"/>
  <c r="H48" i="432"/>
  <c r="J46" i="432"/>
  <c r="J42" i="432"/>
  <c r="J39" i="432"/>
  <c r="J40" i="432"/>
  <c r="J37" i="432"/>
  <c r="J43" i="432"/>
  <c r="J41" i="432"/>
  <c r="J38" i="432"/>
  <c r="D44" i="432"/>
  <c r="D42" i="432"/>
  <c r="D39" i="432"/>
  <c r="D49" i="432"/>
  <c r="D41" i="432"/>
  <c r="D53" i="432"/>
  <c r="C11" i="458"/>
  <c r="C25" i="458"/>
  <c r="C2" i="458"/>
  <c r="C24" i="458"/>
  <c r="C12" i="458"/>
  <c r="C22" i="458"/>
  <c r="C18" i="458"/>
  <c r="C20" i="458"/>
  <c r="D48" i="432"/>
  <c r="D28" i="458"/>
  <c r="D29" i="458" s="1"/>
  <c r="C4" i="458"/>
  <c r="C5" i="458"/>
  <c r="D40" i="432"/>
  <c r="C16" i="458"/>
  <c r="D45" i="432"/>
  <c r="D37" i="432"/>
  <c r="D56" i="432"/>
  <c r="C14" i="458"/>
  <c r="D54" i="432"/>
  <c r="C6" i="458"/>
  <c r="C23" i="458"/>
  <c r="C17" i="458"/>
  <c r="C8" i="458"/>
  <c r="C27" i="458"/>
  <c r="C15" i="458"/>
  <c r="C21" i="458"/>
  <c r="D52" i="432"/>
  <c r="C9" i="458"/>
  <c r="D59" i="432"/>
  <c r="D50" i="432"/>
  <c r="D38" i="432"/>
  <c r="C3" i="458"/>
  <c r="C13" i="458"/>
  <c r="D43" i="432"/>
  <c r="C10" i="458"/>
  <c r="E60" i="432"/>
  <c r="E61" i="432" s="1"/>
  <c r="C26" i="458"/>
  <c r="D51" i="432"/>
  <c r="D46" i="432"/>
  <c r="D58" i="432"/>
  <c r="C7" i="458"/>
  <c r="D55" i="432"/>
  <c r="D57" i="432"/>
  <c r="C19" i="458"/>
  <c r="I41" i="432" l="1"/>
  <c r="I39" i="432"/>
  <c r="I43" i="432"/>
  <c r="I38" i="432"/>
  <c r="I45" i="432"/>
  <c r="I44" i="432"/>
  <c r="I37" i="432"/>
  <c r="I42" i="432"/>
  <c r="J48" i="432"/>
  <c r="J49" i="432" s="1"/>
  <c r="I40" i="432"/>
  <c r="I46" i="432"/>
  <c r="C28" i="458"/>
  <c r="D60" i="432"/>
  <c r="I48" i="432" l="1"/>
  <c r="I1657" i="451" l="1"/>
  <c r="H1657" i="451"/>
  <c r="H1667" i="451"/>
  <c r="H3085" i="448"/>
  <c r="H3084" i="448"/>
  <c r="H3085" i="448" a="1"/>
  <c r="H3084" i="448" a="1"/>
  <c r="A767" i="436"/>
  <c r="A220" i="436"/>
  <c r="A657" i="436"/>
  <c r="A872" i="436"/>
  <c r="A828" i="436"/>
  <c r="A1082" i="436"/>
  <c r="A223" i="436"/>
  <c r="A946" i="436"/>
  <c r="A750" i="436"/>
  <c r="A1038" i="436"/>
  <c r="A383" i="436"/>
  <c r="A314" i="436"/>
  <c r="A244" i="436"/>
  <c r="A296" i="436"/>
  <c r="A882" i="436"/>
  <c r="A397" i="436"/>
  <c r="A379" i="436"/>
  <c r="A319" i="436"/>
  <c r="A838" i="436"/>
  <c r="A202" i="436"/>
  <c r="A627" i="436"/>
  <c r="A126" i="436"/>
  <c r="A678" i="436"/>
  <c r="A845" i="436"/>
  <c r="A863" i="436"/>
  <c r="A158" i="436"/>
  <c r="A451" i="436"/>
  <c r="A462" i="436"/>
  <c r="A817" i="436"/>
  <c r="A898" i="436"/>
  <c r="A607" i="436"/>
  <c r="A835" i="436"/>
  <c r="A568" i="436"/>
  <c r="A718" i="436"/>
  <c r="A790" i="436"/>
  <c r="A704" i="436"/>
  <c r="A918" i="436"/>
  <c r="A929" i="436"/>
  <c r="A834" i="436"/>
  <c r="A726" i="436"/>
  <c r="A791" i="436"/>
  <c r="A361" i="436"/>
  <c r="A880" i="436"/>
  <c r="A697" i="436"/>
  <c r="A978" i="436"/>
  <c r="A313" i="436"/>
  <c r="A218" i="436"/>
  <c r="A832" i="436"/>
  <c r="A114" i="436"/>
  <c r="A748" i="436"/>
  <c r="A330" i="436"/>
  <c r="A442" i="436"/>
  <c r="A705" i="436"/>
  <c r="A145" i="436"/>
  <c r="A551" i="436"/>
  <c r="A410" i="436"/>
  <c r="A804" i="436"/>
  <c r="A458" i="436"/>
  <c r="A1070" i="436"/>
  <c r="A302" i="436"/>
  <c r="A749" i="436"/>
  <c r="A1002" i="436"/>
  <c r="A206" i="436"/>
  <c r="A246" i="436"/>
  <c r="A143" i="436"/>
  <c r="A290" i="436"/>
  <c r="A351" i="436"/>
  <c r="A385" i="436"/>
  <c r="A359" i="436"/>
  <c r="A951" i="436"/>
  <c r="A291" i="436"/>
  <c r="A380" i="436"/>
  <c r="A374" i="436"/>
  <c r="A700" i="436"/>
  <c r="A582" i="436"/>
  <c r="A1011" i="436"/>
  <c r="A737" i="436"/>
  <c r="A741" i="436"/>
  <c r="A193" i="436"/>
  <c r="A467" i="436"/>
  <c r="A1023" i="436"/>
  <c r="A997" i="436"/>
  <c r="A599" i="436"/>
  <c r="A213" i="436"/>
  <c r="A484" i="436"/>
  <c r="A793" i="436"/>
  <c r="A376" i="436"/>
  <c r="A543" i="436"/>
  <c r="A231" i="436"/>
  <c r="A687" i="436"/>
  <c r="A297" i="436"/>
  <c r="A685" i="436"/>
  <c r="A954" i="436"/>
  <c r="A494" i="436"/>
  <c r="A923" i="436"/>
  <c r="A922" i="436"/>
  <c r="A349" i="436"/>
  <c r="A119" i="436"/>
  <c r="A668" i="436"/>
  <c r="A256" i="436"/>
  <c r="A976" i="436"/>
  <c r="A316" i="436"/>
  <c r="A485" i="436"/>
  <c r="A952" i="436"/>
  <c r="A150" i="436"/>
  <c r="A965" i="436"/>
  <c r="A190" i="436"/>
  <c r="A887" i="436"/>
  <c r="A198" i="436"/>
  <c r="A630" i="436"/>
  <c r="A120" i="436"/>
  <c r="A799" i="436"/>
  <c r="A742" i="436"/>
  <c r="A394" i="436"/>
  <c r="A903" i="436"/>
  <c r="A420" i="436"/>
  <c r="A901" i="436"/>
  <c r="A942" i="436"/>
  <c r="A663" i="436"/>
  <c r="A711" i="436"/>
  <c r="A257" i="436"/>
  <c r="A588" i="436"/>
  <c r="A360" i="436"/>
  <c r="A706" i="436"/>
  <c r="A208" i="436"/>
  <c r="A625" i="436"/>
  <c r="A583" i="436"/>
  <c r="A984" i="436"/>
  <c r="A1059" i="436"/>
  <c r="A283" i="436"/>
  <c r="A238" i="436"/>
  <c r="A650" i="436"/>
  <c r="A523" i="436"/>
  <c r="A574" i="436"/>
  <c r="A195" i="436"/>
  <c r="A250" i="436"/>
  <c r="A738" i="436"/>
  <c r="A286" i="436"/>
  <c r="A356" i="436"/>
  <c r="A511" i="436"/>
  <c r="A679" i="436"/>
  <c r="A566" i="436"/>
  <c r="A486" i="436"/>
  <c r="A367" i="436"/>
  <c r="A1046" i="436"/>
  <c r="A955" i="436"/>
  <c r="A842" i="436"/>
  <c r="A324" i="436"/>
  <c r="A352" i="436"/>
  <c r="A806" i="436"/>
  <c r="A648" i="436"/>
  <c r="A815" i="436"/>
  <c r="A636" i="436"/>
  <c r="A907" i="436"/>
  <c r="A809" i="436"/>
  <c r="A466" i="436"/>
  <c r="A146" i="436"/>
  <c r="A332" i="436"/>
  <c r="A699" i="436"/>
  <c r="A261" i="436"/>
  <c r="A1030" i="436"/>
  <c r="A460" i="436"/>
  <c r="A811" i="436"/>
  <c r="A973" i="436"/>
  <c r="A263" i="436"/>
  <c r="A779" i="436"/>
  <c r="A816" i="436"/>
  <c r="A760" i="436"/>
  <c r="A644" i="436"/>
  <c r="A992" i="436"/>
  <c r="A864" i="436"/>
  <c r="A633" i="436"/>
  <c r="A983" i="436"/>
  <c r="A275" i="436"/>
  <c r="A883" i="436"/>
  <c r="A398" i="436"/>
  <c r="A572" i="436"/>
  <c r="A232" i="436"/>
  <c r="A996" i="436"/>
  <c r="A1026" i="436"/>
  <c r="A415" i="436"/>
  <c r="A713" i="436"/>
  <c r="A717" i="436"/>
  <c r="A174" i="436"/>
  <c r="A935" i="436"/>
  <c r="A473" i="436"/>
  <c r="A281" i="436"/>
  <c r="A215" i="436"/>
  <c r="A686" i="436"/>
  <c r="A464" i="436"/>
  <c r="A544" i="436"/>
  <c r="A162" i="436"/>
  <c r="A1027" i="436"/>
  <c r="A472" i="436"/>
  <c r="A730" i="436"/>
  <c r="A694" i="436"/>
  <c r="A445" i="436"/>
  <c r="A1024" i="436"/>
  <c r="A510" i="436"/>
  <c r="A407" i="436"/>
  <c r="A759" i="436"/>
  <c r="A409" i="436"/>
  <c r="A204" i="436"/>
  <c r="A778" i="436"/>
  <c r="A465" i="436"/>
  <c r="A1035" i="436"/>
  <c r="A562" i="436"/>
  <c r="A225" i="436"/>
  <c r="A776" i="436"/>
  <c r="A268" i="436"/>
  <c r="A498" i="436"/>
  <c r="A920" i="436"/>
  <c r="A789" i="436"/>
  <c r="A640" i="436"/>
  <c r="A109" i="436"/>
  <c r="A610" i="436"/>
  <c r="A343" i="436"/>
  <c r="A995" i="436"/>
  <c r="A531" i="436"/>
  <c r="A416" i="436"/>
  <c r="A709" i="436"/>
  <c r="A1064" i="436"/>
  <c r="A337" i="436"/>
  <c r="A850" i="436"/>
  <c r="A980" i="436"/>
  <c r="A868" i="436"/>
  <c r="A333" i="436"/>
  <c r="A639" i="436"/>
  <c r="A421" i="436"/>
  <c r="A1001" i="436"/>
  <c r="A606" i="436"/>
  <c r="A161" i="436"/>
  <c r="A677" i="436"/>
  <c r="A820" i="436"/>
  <c r="A1049" i="436"/>
  <c r="A327" i="436"/>
  <c r="A756" i="436"/>
  <c r="A879" i="436"/>
  <c r="A295" i="436"/>
  <c r="A441" i="436"/>
  <c r="A967" i="436"/>
  <c r="A814" i="436"/>
  <c r="A1017" i="436"/>
  <c r="A304" i="436"/>
  <c r="A991" i="436"/>
  <c r="A818" i="436"/>
  <c r="A131" i="436"/>
  <c r="A841" i="436"/>
  <c r="A259" i="436"/>
  <c r="A638" i="436"/>
  <c r="A766" i="436"/>
  <c r="A254" i="436"/>
  <c r="A288" i="436"/>
  <c r="A240" i="436"/>
  <c r="A899" i="436"/>
  <c r="A378" i="436"/>
  <c r="A260" i="436"/>
  <c r="A265" i="436"/>
  <c r="A242" i="436"/>
  <c r="A471" i="436"/>
  <c r="A522" i="436"/>
  <c r="A758" i="436"/>
  <c r="A284" i="436"/>
  <c r="A156" i="436"/>
  <c r="A840" i="436"/>
  <c r="A775" i="436"/>
  <c r="A346" i="436"/>
  <c r="A1058" i="436"/>
  <c r="A773" i="436"/>
  <c r="A548" i="436"/>
  <c r="A358" i="436"/>
  <c r="A921" i="436"/>
  <c r="A592" i="436"/>
  <c r="A999" i="436"/>
  <c r="A909" i="436"/>
  <c r="A851" i="436"/>
  <c r="A123" i="436"/>
  <c r="A1047" i="436"/>
  <c r="A714" i="436"/>
  <c r="A754" i="436"/>
  <c r="A570" i="436"/>
  <c r="A693" i="436"/>
  <c r="A580" i="436"/>
  <c r="A990" i="436"/>
  <c r="A893" i="436"/>
  <c r="A866" i="436"/>
  <c r="A933" i="436"/>
  <c r="A518" i="436"/>
  <c r="A622" i="436"/>
  <c r="A617" i="436"/>
  <c r="A950" i="436"/>
  <c r="A371" i="436"/>
  <c r="A209" i="436"/>
  <c r="A214" i="436"/>
  <c r="A986" i="436"/>
  <c r="A823" i="436"/>
  <c r="A130" i="436"/>
  <c r="A581" i="436"/>
  <c r="A987" i="436"/>
  <c r="A948" i="436"/>
  <c r="A541" i="436"/>
  <c r="A449" i="436"/>
  <c r="A186" i="436"/>
  <c r="A276" i="436"/>
  <c r="A615" i="436"/>
  <c r="A180" i="436"/>
  <c r="A632" i="436"/>
  <c r="A563" i="436"/>
  <c r="A869" i="436"/>
  <c r="A339" i="436"/>
  <c r="A538" i="436"/>
  <c r="A596" i="436"/>
  <c r="A654" i="436"/>
  <c r="A964" i="436"/>
  <c r="A1073" i="436"/>
  <c r="A504" i="436"/>
  <c r="A764" i="436"/>
  <c r="A139" i="436"/>
  <c r="A925" i="436"/>
  <c r="A585" i="436"/>
  <c r="A110" i="436"/>
  <c r="A848" i="436"/>
  <c r="A179" i="436"/>
  <c r="A482" i="436"/>
  <c r="A768" i="436"/>
  <c r="A626" i="436"/>
  <c r="A529" i="436"/>
  <c r="A229" i="436"/>
  <c r="A753" i="436"/>
  <c r="A1044" i="436"/>
  <c r="A336" i="436"/>
  <c r="A1056" i="436"/>
  <c r="A798" i="436"/>
  <c r="A521" i="436"/>
  <c r="A428" i="436"/>
  <c r="A833" i="436"/>
  <c r="A440" i="436"/>
  <c r="A479" i="436"/>
  <c r="A308" i="436"/>
  <c r="A968" i="436"/>
  <c r="A886" i="436"/>
  <c r="A127" i="436"/>
  <c r="A897" i="436"/>
  <c r="A106" i="436"/>
  <c r="A913" i="436"/>
  <c r="A586" i="436"/>
  <c r="A157" i="436"/>
  <c r="A646" i="436"/>
  <c r="A931" i="436"/>
  <c r="A614" i="436"/>
  <c r="A507" i="436"/>
  <c r="A808" i="436"/>
  <c r="A141" i="436"/>
  <c r="A782" i="436"/>
  <c r="A701" i="436"/>
  <c r="A140" i="436"/>
  <c r="A134" i="436"/>
  <c r="A480" i="436"/>
  <c r="A641" i="436"/>
  <c r="A724" i="436"/>
  <c r="A164" i="436"/>
  <c r="A362" i="436"/>
  <c r="A255" i="436"/>
  <c r="A384" i="436"/>
  <c r="A491" i="436"/>
  <c r="A342" i="436"/>
  <c r="A896" i="436"/>
  <c r="A812" i="436"/>
  <c r="A597" i="436"/>
  <c r="A377" i="436"/>
  <c r="A719" i="436"/>
  <c r="A786" i="436"/>
  <c r="A395" i="436"/>
  <c r="A418" i="436"/>
  <c r="A890" i="436"/>
  <c r="A571" i="436"/>
  <c r="A477" i="436"/>
  <c r="A489" i="436"/>
  <c r="A772" i="436"/>
  <c r="A688" i="436"/>
  <c r="A1081" i="436"/>
  <c r="A906" i="436"/>
  <c r="A940" i="436"/>
  <c r="A655" i="436"/>
  <c r="A269" i="436"/>
  <c r="A1009" i="436"/>
  <c r="A185" i="436"/>
  <c r="A271" i="436"/>
  <c r="A643" i="436"/>
  <c r="A561" i="436"/>
  <c r="A414" i="436"/>
  <c r="A277" i="436"/>
  <c r="A590" i="436"/>
  <c r="A247" i="436"/>
  <c r="A199" i="436"/>
  <c r="A621" i="436"/>
  <c r="A635" i="436"/>
  <c r="A344" i="436"/>
  <c r="A488" i="436"/>
  <c r="A432" i="436"/>
  <c r="A205" i="436"/>
  <c r="A573" i="436"/>
  <c r="A354" i="436"/>
  <c r="A393" i="436"/>
  <c r="A372" i="436"/>
  <c r="A656" i="436"/>
  <c r="A401" i="436"/>
  <c r="A136" i="436"/>
  <c r="A1074" i="436"/>
  <c r="A666" i="436"/>
  <c r="A647" i="436"/>
  <c r="A944" i="436"/>
  <c r="A508" i="436"/>
  <c r="A212" i="436"/>
  <c r="A1019" i="436"/>
  <c r="A839" i="436"/>
  <c r="A576" i="436"/>
  <c r="A476" i="436"/>
  <c r="A825" i="436"/>
  <c r="A1072" i="436"/>
  <c r="A262" i="436"/>
  <c r="A659" i="436"/>
  <c r="A558" i="436"/>
  <c r="A553" i="436"/>
  <c r="A425" i="436"/>
  <c r="A228" i="436"/>
  <c r="A788" i="436"/>
  <c r="A520" i="436"/>
  <c r="A124" i="436"/>
  <c r="A369" i="436"/>
  <c r="A681" i="436"/>
  <c r="A620" i="436"/>
  <c r="A857" i="436"/>
  <c r="A419" i="436"/>
  <c r="A560" i="436"/>
  <c r="A147" i="436"/>
  <c r="A665" i="436"/>
  <c r="A219" i="436"/>
  <c r="A740" i="436"/>
  <c r="A289" i="436"/>
  <c r="A151" i="436"/>
  <c r="A960" i="436"/>
  <c r="A273" i="436"/>
  <c r="A1051" i="436"/>
  <c r="A500" i="436"/>
  <c r="A974" i="436"/>
  <c r="A230" i="436"/>
  <c r="A501" i="436"/>
  <c r="A211" i="436"/>
  <c r="A947" i="436"/>
  <c r="A122" i="436"/>
  <c r="A506" i="436"/>
  <c r="A609" i="436"/>
  <c r="A335" i="436"/>
  <c r="A870" i="436"/>
  <c r="A613" i="436"/>
  <c r="A196" i="436"/>
  <c r="A805" i="436"/>
  <c r="A237" i="436"/>
  <c r="A598" i="436"/>
  <c r="A112" i="436"/>
  <c r="A258" i="436"/>
  <c r="A153" i="436"/>
  <c r="A540" i="436"/>
  <c r="A245" i="436"/>
  <c r="A830" i="436"/>
  <c r="A1012" i="436"/>
  <c r="A310" i="436"/>
  <c r="A956" i="436"/>
  <c r="A860" i="436"/>
  <c r="A781" i="436"/>
  <c r="A567" i="436"/>
  <c r="A168" i="436"/>
  <c r="A875" i="436"/>
  <c r="A1043" i="436"/>
  <c r="A801" i="436"/>
  <c r="A1071" i="436"/>
  <c r="A129" i="436"/>
  <c r="A274" i="436"/>
  <c r="A317" i="436"/>
  <c r="A400" i="436"/>
  <c r="A178" i="436"/>
  <c r="A849" i="436"/>
  <c r="A1010" i="436"/>
  <c r="A309" i="436"/>
  <c r="A943" i="436"/>
  <c r="A542" i="436"/>
  <c r="A435" i="436"/>
  <c r="A843" i="436"/>
  <c r="A745" i="436"/>
  <c r="A652" i="436"/>
  <c r="A957" i="436"/>
  <c r="A431" i="436"/>
  <c r="A321" i="436"/>
  <c r="A396" i="436"/>
  <c r="A457" i="436"/>
  <c r="A729" i="436"/>
  <c r="A528" i="436"/>
  <c r="A958" i="436"/>
  <c r="A608" i="436"/>
  <c r="A527" i="436"/>
  <c r="A116" i="436"/>
  <c r="A803" i="436"/>
  <c r="A739" i="436"/>
  <c r="A437" i="436"/>
  <c r="A728" i="436"/>
  <c r="A1041" i="436"/>
  <c r="A878" i="436"/>
  <c r="A155" i="436"/>
  <c r="A184" i="436"/>
  <c r="A293" i="436"/>
  <c r="A1036" i="436"/>
  <c r="A938" i="436"/>
  <c r="A402" i="436"/>
  <c r="A1060" i="436"/>
  <c r="A629" i="436"/>
  <c r="A858" i="436"/>
  <c r="A216" i="436"/>
  <c r="A176" i="436"/>
  <c r="A403" i="436"/>
  <c r="A765" i="436"/>
  <c r="A691" i="436"/>
  <c r="A565" i="436"/>
  <c r="A424" i="436"/>
  <c r="A552" i="436"/>
  <c r="A210" i="436"/>
  <c r="A389" i="436"/>
  <c r="A690" i="436"/>
  <c r="A545" i="436"/>
  <c r="A525" i="436"/>
  <c r="A855" i="436"/>
  <c r="A1014" i="436"/>
  <c r="A900" i="436"/>
  <c r="A707" i="436"/>
  <c r="A1039" i="436"/>
  <c r="A780" i="436"/>
  <c r="A388" i="436"/>
  <c r="A837" i="436"/>
  <c r="A555" i="436"/>
  <c r="A241" i="436"/>
  <c r="A802" i="436"/>
  <c r="A159" i="436"/>
  <c r="A747" i="436"/>
  <c r="A667" i="436"/>
  <c r="A784" i="436"/>
  <c r="A406" i="436"/>
  <c r="A873" i="436"/>
  <c r="A675" i="436"/>
  <c r="A822" i="436"/>
  <c r="A774" i="436"/>
  <c r="A536" i="436"/>
  <c r="A448" i="436"/>
  <c r="A338" i="436"/>
  <c r="A334" i="436"/>
  <c r="A1067" i="436"/>
  <c r="A399" i="436"/>
  <c r="A575" i="436"/>
  <c r="A865" i="436"/>
  <c r="A813" i="436"/>
  <c r="A881" i="436"/>
  <c r="A844" i="436"/>
  <c r="A438" i="436"/>
  <c r="A819" i="436"/>
  <c r="A821" i="436"/>
  <c r="A969" i="436"/>
  <c r="A1066" i="436"/>
  <c r="A982" i="436"/>
  <c r="A611" i="436"/>
  <c r="A927" i="436"/>
  <c r="A877" i="436"/>
  <c r="A770" i="436"/>
  <c r="A746" i="436"/>
  <c r="A170" i="436"/>
  <c r="A450" i="436"/>
  <c r="A535" i="436"/>
  <c r="A524" i="436"/>
  <c r="A800" i="436"/>
  <c r="A463" i="436"/>
  <c r="A192" i="436"/>
  <c r="A695" i="436"/>
  <c r="A1075" i="436"/>
  <c r="A1004" i="436"/>
  <c r="A408" i="436"/>
  <c r="A963" i="436"/>
  <c r="A549" i="436"/>
  <c r="A1033" i="436"/>
  <c r="A539" i="436"/>
  <c r="A323" i="436"/>
  <c r="A642" i="436"/>
  <c r="A1050" i="436"/>
  <c r="A512" i="436"/>
  <c r="A959" i="436"/>
  <c r="A226" i="436"/>
  <c r="A182" i="436"/>
  <c r="A988" i="436"/>
  <c r="A300" i="436"/>
  <c r="A953" i="436"/>
  <c r="A550" i="436"/>
  <c r="A564" i="436"/>
  <c r="A733" i="436"/>
  <c r="A166" i="436"/>
  <c r="A222" i="436"/>
  <c r="A972" i="436"/>
  <c r="A455" i="436"/>
  <c r="A637" i="436"/>
  <c r="A1085" i="436"/>
  <c r="A499" i="436"/>
  <c r="A519" i="436"/>
  <c r="A249" i="436"/>
  <c r="A189" i="436"/>
  <c r="A350" i="436"/>
  <c r="A239" i="436"/>
  <c r="A279" i="436"/>
  <c r="A556" i="436"/>
  <c r="A796" i="436"/>
  <c r="A577" i="436"/>
  <c r="A165" i="436"/>
  <c r="A172" i="436"/>
  <c r="A270" i="436"/>
  <c r="A1048" i="436"/>
  <c r="A331" i="436"/>
  <c r="A593" i="436"/>
  <c r="A353" i="436"/>
  <c r="A301" i="436"/>
  <c r="A892" i="436"/>
  <c r="A1077" i="436"/>
  <c r="A836" i="436"/>
  <c r="A322" i="436"/>
  <c r="A243" i="436"/>
  <c r="A1021" i="436"/>
  <c r="A513" i="436"/>
  <c r="A266" i="436"/>
  <c r="A671" i="436"/>
  <c r="A194" i="436"/>
  <c r="A1037" i="436"/>
  <c r="A236" i="436"/>
  <c r="A916" i="436"/>
  <c r="A373" i="436"/>
  <c r="A366" i="436"/>
  <c r="A517" i="436"/>
  <c r="A433" i="436"/>
  <c r="A649" i="436"/>
  <c r="A1018" i="436"/>
  <c r="A683" i="436"/>
  <c r="A569" i="436"/>
  <c r="A233" i="436"/>
  <c r="A469" i="436"/>
  <c r="A1003" i="436"/>
  <c r="A1065" i="436"/>
  <c r="A412" i="436"/>
  <c r="A949" i="436"/>
  <c r="A939" i="436"/>
  <c r="A554" i="436"/>
  <c r="A370" i="436"/>
  <c r="A915" i="436"/>
  <c r="A787" i="436"/>
  <c r="A417" i="436"/>
  <c r="A392" i="436"/>
  <c r="A444" i="436"/>
  <c r="A769" i="436"/>
  <c r="A138" i="436"/>
  <c r="A152" i="436"/>
  <c r="A712" i="436"/>
  <c r="A252" i="436"/>
  <c r="A1008" i="436"/>
  <c r="A363" i="436"/>
  <c r="A977" i="436"/>
  <c r="A492" i="436"/>
  <c r="A757" i="436"/>
  <c r="A272" i="436"/>
  <c r="A794" i="436"/>
  <c r="A117" i="436"/>
  <c r="A251" i="436"/>
  <c r="A908" i="436"/>
  <c r="A895" i="436"/>
  <c r="A867" i="436"/>
  <c r="A299" i="436"/>
  <c r="A744" i="436"/>
  <c r="A234" i="436"/>
  <c r="A628" i="436"/>
  <c r="A792" i="436"/>
  <c r="A534" i="436"/>
  <c r="A163" i="436"/>
  <c r="A859" i="436"/>
  <c r="A660" i="436"/>
  <c r="A197" i="436"/>
  <c r="A516" i="436"/>
  <c r="A884" i="436"/>
  <c r="A905" i="436"/>
  <c r="A1013" i="436"/>
  <c r="A861" i="436"/>
  <c r="A587" i="436"/>
  <c r="A673" i="436"/>
  <c r="A325" i="436"/>
  <c r="A1020" i="436"/>
  <c r="A584" i="436"/>
  <c r="A320" i="436"/>
  <c r="A932" i="436"/>
  <c r="A771" i="436"/>
  <c r="A827" i="436"/>
  <c r="A966" i="436"/>
  <c r="A375" i="436"/>
  <c r="A985" i="436"/>
  <c r="A601" i="436"/>
  <c r="A854" i="436"/>
  <c r="A430" i="436"/>
  <c r="A702" i="436"/>
  <c r="A390" i="436"/>
  <c r="A1068" i="436"/>
  <c r="A674" i="436"/>
  <c r="A461" i="436"/>
  <c r="A751" i="436"/>
  <c r="A1016" i="436"/>
  <c r="A682" i="436"/>
  <c r="A578" i="436"/>
  <c r="A852" i="436"/>
  <c r="A404" i="436"/>
  <c r="A306" i="436"/>
  <c r="A1045" i="436"/>
  <c r="A725" i="436"/>
  <c r="A1007" i="436"/>
  <c r="A1063" i="436"/>
  <c r="A720" i="436"/>
  <c r="A1022" i="436"/>
  <c r="A612" i="436"/>
  <c r="A736" i="436"/>
  <c r="A684" i="436"/>
  <c r="A743" i="436"/>
  <c r="A600" i="436"/>
  <c r="A616" i="436"/>
  <c r="A227" i="436"/>
  <c r="A602" i="436"/>
  <c r="A107" i="436"/>
  <c r="A287" i="436"/>
  <c r="A530" i="436"/>
  <c r="A721" i="436"/>
  <c r="A993" i="436"/>
  <c r="A169" i="436"/>
  <c r="A503" i="436"/>
  <c r="A653" i="436"/>
  <c r="A735" i="436"/>
  <c r="A871" i="436"/>
  <c r="A795" i="436"/>
  <c r="A594" i="436"/>
  <c r="A382" i="436"/>
  <c r="A1076" i="436"/>
  <c r="A1057" i="436"/>
  <c r="A454" i="436"/>
  <c r="A670" i="436"/>
  <c r="A911" i="436"/>
  <c r="A934" i="436"/>
  <c r="A853" i="436"/>
  <c r="A546" i="436"/>
  <c r="A777" i="436"/>
  <c r="A474" i="436"/>
  <c r="A619" i="436"/>
  <c r="A154" i="436"/>
  <c r="A891" i="436"/>
  <c r="A312" i="436"/>
  <c r="A456" i="436"/>
  <c r="A970" i="436"/>
  <c r="A439" i="436"/>
  <c r="A604" i="436"/>
  <c r="A1000" i="436"/>
  <c r="A347" i="436"/>
  <c r="A285" i="436"/>
  <c r="A1079" i="436"/>
  <c r="A595" i="436"/>
  <c r="A1084" i="436"/>
  <c r="A926" i="436"/>
  <c r="A533" i="436"/>
  <c r="A651" i="436"/>
  <c r="A1078" i="436"/>
  <c r="A429" i="436"/>
  <c r="A181" i="436"/>
  <c r="A235" i="436"/>
  <c r="A989" i="436"/>
  <c r="A183" i="436"/>
  <c r="A910" i="436"/>
  <c r="A547" i="436"/>
  <c r="A481" i="436"/>
  <c r="A826" i="436"/>
  <c r="A475" i="436"/>
  <c r="A115" i="436"/>
  <c r="A468" i="436"/>
  <c r="A160" i="436"/>
  <c r="A902" i="436"/>
  <c r="A715" i="436"/>
  <c r="A340" i="436"/>
  <c r="A413" i="436"/>
  <c r="A502" i="436"/>
  <c r="A144" i="436"/>
  <c r="A1083" i="436"/>
  <c r="A111" i="436"/>
  <c r="A1028" i="436"/>
  <c r="A662" i="436"/>
  <c r="A207" i="436"/>
  <c r="A862" i="436"/>
  <c r="A167" i="436"/>
  <c r="A981" i="436"/>
  <c r="A487" i="436"/>
  <c r="A783" i="436"/>
  <c r="A142" i="436"/>
  <c r="A708" i="436"/>
  <c r="A676" i="436"/>
  <c r="A121" i="436"/>
  <c r="A1006" i="436"/>
  <c r="A731" i="436"/>
  <c r="A423" i="436"/>
  <c r="A945" i="436"/>
  <c r="A171" i="436"/>
  <c r="A175" i="436"/>
  <c r="A224" i="436"/>
  <c r="A1032" i="436"/>
  <c r="A264" i="436"/>
  <c r="A591" i="436"/>
  <c r="A267" i="436"/>
  <c r="A493" i="436"/>
  <c r="A762" i="436"/>
  <c r="A305" i="436"/>
  <c r="A755" i="436"/>
  <c r="A831" i="436"/>
  <c r="A497" i="436"/>
  <c r="A364" i="436"/>
  <c r="A919" i="436"/>
  <c r="A559" i="436"/>
  <c r="A248" i="436"/>
  <c r="A904" i="436"/>
  <c r="A979" i="436"/>
  <c r="A526" i="436"/>
  <c r="A734" i="436"/>
  <c r="A355" i="436"/>
  <c r="A148" i="436"/>
  <c r="A1042" i="436"/>
  <c r="A856" i="436"/>
  <c r="A434" i="436"/>
  <c r="A253" i="436"/>
  <c r="A282" i="436"/>
  <c r="A1005" i="436"/>
  <c r="A824" i="436"/>
  <c r="A658" i="436"/>
  <c r="A483" i="436"/>
  <c r="A1029" i="436"/>
  <c r="A292" i="436"/>
  <c r="A732" i="436"/>
  <c r="A118" i="436"/>
  <c r="A137" i="436"/>
  <c r="A217" i="436"/>
  <c r="A436" i="436"/>
  <c r="A311" i="436"/>
  <c r="A447" i="436"/>
  <c r="A710" i="436"/>
  <c r="A1054" i="436"/>
  <c r="A298" i="436"/>
  <c r="A888" i="436"/>
  <c r="A177" i="436"/>
  <c r="A133" i="436"/>
  <c r="A341" i="436"/>
  <c r="A941" i="436"/>
  <c r="A495" i="436"/>
  <c r="A1053" i="436"/>
  <c r="A381" i="436"/>
  <c r="A173" i="436"/>
  <c r="A1055" i="436"/>
  <c r="A191" i="436"/>
  <c r="A618" i="436"/>
  <c r="A128" i="436"/>
  <c r="A188" i="436"/>
  <c r="A962" i="436"/>
  <c r="A278" i="436"/>
  <c r="A634" i="436"/>
  <c r="A446" i="436"/>
  <c r="A345" i="436"/>
  <c r="A386" i="436"/>
  <c r="A1069" i="436"/>
  <c r="A716" i="436"/>
  <c r="A387" i="436"/>
  <c r="A307" i="436"/>
  <c r="A470" i="436"/>
  <c r="A936" i="436"/>
  <c r="A105" i="436"/>
  <c r="A1061" i="436"/>
  <c r="A329" i="436"/>
  <c r="A876" i="436"/>
  <c r="A1040" i="436"/>
  <c r="A203" i="436"/>
  <c r="A846" i="436"/>
  <c r="A914" i="436"/>
  <c r="A723" i="436"/>
  <c r="A623" i="436"/>
  <c r="A847" i="436"/>
  <c r="A664" i="436"/>
  <c r="A365" i="436"/>
  <c r="A496" i="436"/>
  <c r="A763" i="436"/>
  <c r="A280" i="436"/>
  <c r="A411" i="436"/>
  <c r="A125" i="436"/>
  <c r="A579" i="436"/>
  <c r="A631" i="436"/>
  <c r="A810" i="436"/>
  <c r="A490" i="436"/>
  <c r="A696" i="436"/>
  <c r="A807" i="436"/>
  <c r="A689" i="436"/>
  <c r="A514" i="436"/>
  <c r="A532" i="436"/>
  <c r="A912" i="436"/>
  <c r="A930" i="436"/>
  <c r="A509" i="436"/>
  <c r="A874" i="436"/>
  <c r="A661" i="436"/>
  <c r="A132" i="436"/>
  <c r="A961" i="436"/>
  <c r="A294" i="436"/>
  <c r="A452" i="436"/>
  <c r="A459" i="436"/>
  <c r="A645" i="436"/>
  <c r="A752" i="436"/>
  <c r="A1034" i="436"/>
  <c r="A680" i="436"/>
  <c r="A605" i="436"/>
  <c r="A1052" i="436"/>
  <c r="A537" i="436"/>
  <c r="A785" i="436"/>
  <c r="A368" i="436"/>
  <c r="A1080" i="436"/>
  <c r="A326" i="436"/>
  <c r="A427" i="436"/>
  <c r="A1025" i="436"/>
  <c r="A422" i="436"/>
  <c r="A515" i="436"/>
  <c r="A624" i="436"/>
  <c r="A318" i="436"/>
  <c r="A797" i="436"/>
  <c r="A727" i="436"/>
  <c r="A994" i="436"/>
  <c r="A937" i="436"/>
  <c r="A453" i="436"/>
  <c r="A187" i="436"/>
  <c r="A426" i="436"/>
  <c r="A885" i="436"/>
  <c r="A603" i="436"/>
  <c r="A221" i="436"/>
  <c r="A672" i="436"/>
  <c r="A113" i="436"/>
  <c r="A357" i="436"/>
  <c r="A391" i="436"/>
  <c r="A829" i="436"/>
  <c r="A589" i="436"/>
  <c r="A928" i="436"/>
  <c r="A405" i="436"/>
  <c r="A315" i="436"/>
  <c r="A917" i="436"/>
  <c r="A201" i="436"/>
  <c r="A505" i="436"/>
  <c r="A200" i="436"/>
  <c r="A1062" i="436"/>
  <c r="A692" i="436"/>
  <c r="A149" i="436"/>
  <c r="A998" i="436"/>
  <c r="A557" i="436"/>
  <c r="A1015" i="436"/>
  <c r="A303" i="436"/>
  <c r="A924" i="436"/>
  <c r="A669" i="436"/>
  <c r="A1031" i="436"/>
  <c r="A889" i="436"/>
  <c r="A971" i="436"/>
  <c r="A761" i="436"/>
  <c r="A478" i="436"/>
  <c r="A722" i="436"/>
  <c r="A328" i="436"/>
  <c r="A443" i="436"/>
  <c r="A894" i="436"/>
  <c r="A135" i="436"/>
  <c r="A975" i="436"/>
  <c r="A698" i="436"/>
  <c r="A703" i="436"/>
  <c r="A104" i="436"/>
  <c r="A348" i="4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Valquiria Vansquelhe</author>
  </authors>
  <commentList>
    <comment ref="F205" authorId="0" shapeId="0" xr:uid="{9E4FCB1A-0D1B-4830-94C3-06D82F25B0DF}">
      <text>
        <r>
          <rPr>
            <b/>
            <sz val="9"/>
            <color indexed="81"/>
            <rFont val="Segoe UI"/>
            <family val="2"/>
          </rPr>
          <t>Valquiria:</t>
        </r>
        <r>
          <rPr>
            <sz val="9"/>
            <color indexed="81"/>
            <rFont val="Segoe UI"/>
            <family val="2"/>
          </rPr>
          <t xml:space="preserve">
nº equipamentos x áreas</t>
        </r>
      </text>
    </comment>
    <comment ref="F206" authorId="0" shapeId="0" xr:uid="{0041F8D1-DFA5-479B-85B0-C9C74D21D5FE}">
      <text>
        <r>
          <rPr>
            <b/>
            <sz val="9"/>
            <color indexed="81"/>
            <rFont val="Segoe UI"/>
            <family val="2"/>
          </rPr>
          <t>Valquiria:</t>
        </r>
        <r>
          <rPr>
            <sz val="9"/>
            <color indexed="81"/>
            <rFont val="Segoe UI"/>
            <family val="2"/>
          </rPr>
          <t xml:space="preserve">
nº equipamentos x áreas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tc={3BE85C88-755B-4E4B-852F-FD0B2A3DFAE4}</author>
    <author>tc={1851BBF7-3240-47A9-9018-69917D6C19CC}</author>
  </authors>
  <commentList>
    <comment ref="B486" authorId="0" shapeId="0" xr:uid="{3BE85C88-755B-4E4B-852F-FD0B2A3DFAE4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Pedra Portuguesa Natural para Calçadas Branca - 1 m²
</t>
      </text>
    </comment>
    <comment ref="B487" authorId="1" shapeId="0" xr:uid="{1851BBF7-3240-47A9-9018-69917D6C19C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Conforme as imagens, considerado - Miracema cinza 11,5x23cm m²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tc={E43AE109-D207-428F-9DD9-746C086A11E9}</author>
  </authors>
  <commentList>
    <comment ref="M6" authorId="0" shapeId="0" xr:uid="{E43AE109-D207-428F-9DD9-746C086A11E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APA FUNCIONÁRIO NO SUBSOLO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tc={F1457233-7CA1-4ECC-B681-2CAC8C2B10B7}</author>
  </authors>
  <commentList>
    <comment ref="M6" authorId="0" shapeId="0" xr:uid="{F1457233-7CA1-4ECC-B681-2CAC8C2B10B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APA FUNCIONÁRIO NO SUBSOLO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tc={7AFECCAD-A08A-4A25-8412-5B56CF843066}</author>
  </authors>
  <commentList>
    <comment ref="D29" authorId="0" shapeId="0" xr:uid="{7AFECCAD-A08A-4A25-8412-5B56CF8430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APA FUNCIONÁRIO NO SUBSOLO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4864CB-EB33-4009-9D3D-5952B44C1157}" keepAlive="1" name="Consulta - Table003 (Page 1)" description="Conexão com a consulta 'Table003 (Page 1)' na pasta de trabalho." type="5" refreshedVersion="8" background="1" saveData="1">
    <dbPr connection="Provider=Microsoft.Mashup.OleDb.1;Data Source=$Workbook$;Location=&quot;Table003 (Page 1)&quot;;Extended Properties=&quot;&quot;" command="SELECT * FROM [Table003 (Page 1)]"/>
  </connection>
  <connection id="2" xr16:uid="{67359D03-FA35-46C6-99AC-F44757D30179}" keepAlive="1" name="Consulta - Table004 (Page 1)" description="Conexão com a consulta 'Table004 (Page 1)' na pasta de trabalho." type="5" refreshedVersion="8" background="1" saveData="1">
    <dbPr connection="Provider=Microsoft.Mashup.OleDb.1;Data Source=$Workbook$;Location=&quot;Table004 (Page 1)&quot;;Extended Properties=&quot;&quot;" command="SELECT * FROM [Table004 (Page 1)]"/>
  </connection>
  <connection id="3" xr16:uid="{E15164C7-AD59-4928-9B5C-6CBC183E400E}" keepAlive="1" name="Consulta - Table005 (Page 1)" description="Conexão com a consulta 'Table005 (Page 1)' na pasta de trabalho." type="5" refreshedVersion="8" background="1" saveData="1">
    <dbPr connection="Provider=Microsoft.Mashup.OleDb.1;Data Source=$Workbook$;Location=&quot;Table005 (Page 1)&quot;;Extended Properties=&quot;&quot;" command="SELECT * FROM [Table005 (Page 1)]"/>
  </connection>
  <connection id="4" xr16:uid="{B2AC4819-195B-4E61-814B-82381FFC704F}" keepAlive="1" name="Consulta - Table007 (Page 1)" description="Conexão com a consulta 'Table007 (Page 1)' na pasta de trabalho." type="5" refreshedVersion="8" background="1" saveData="1">
    <dbPr connection="Provider=Microsoft.Mashup.OleDb.1;Data Source=$Workbook$;Location=&quot;Table007 (Page 1)&quot;;Extended Properties=&quot;&quot;" command="SELECT * FROM [Table007 (Page 1)]"/>
  </connection>
  <connection id="5" xr16:uid="{D5F07190-B168-4DC2-A305-693D999A8438}" keepAlive="1" name="Consulta - Table008 (Page 1)" description="Conexão com a consulta 'Table008 (Page 1)' na pasta de trabalho." type="5" refreshedVersion="8" background="1" saveData="1">
    <dbPr connection="Provider=Microsoft.Mashup.OleDb.1;Data Source=$Workbook$;Location=&quot;Table008 (Page 1)&quot;;Extended Properties=&quot;&quot;" command="SELECT * FROM [Table008 (Page 1)]"/>
  </connection>
  <connection id="6" xr16:uid="{02ED484C-780E-4B89-96A1-B995B9B84370}" keepAlive="1" name="Consulta - Table009 (Page 1)" description="Conexão com a consulta 'Table009 (Page 1)' na pasta de trabalho." type="5" refreshedVersion="8" background="1" saveData="1">
    <dbPr connection="Provider=Microsoft.Mashup.OleDb.1;Data Source=$Workbook$;Location=&quot;Table009 (Page 1)&quot;;Extended Properties=&quot;&quot;" command="SELECT * FROM [Table009 (Page 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<sst xmlns="http://schemas.openxmlformats.org/spreadsheetml/2006/main" count="33319" uniqueCount="7357">
  <si>
    <t>Descrição</t>
  </si>
  <si>
    <t>m2</t>
  </si>
  <si>
    <t>un</t>
  </si>
  <si>
    <t>m</t>
  </si>
  <si>
    <t>m3</t>
  </si>
  <si>
    <t>kg</t>
  </si>
  <si>
    <t>ESQUADRIAS DE MADEIRA</t>
  </si>
  <si>
    <t>ITEM</t>
  </si>
  <si>
    <t>TOTAL</t>
  </si>
  <si>
    <t>TIPO</t>
  </si>
  <si>
    <t>ÁREA</t>
  </si>
  <si>
    <t>m²</t>
  </si>
  <si>
    <t>Total</t>
  </si>
  <si>
    <t>M2</t>
  </si>
  <si>
    <t>REVISÃO:</t>
  </si>
  <si>
    <t>Item</t>
  </si>
  <si>
    <t>m³</t>
  </si>
  <si>
    <t>COBERTURA</t>
  </si>
  <si>
    <t>Tipo</t>
  </si>
  <si>
    <t>Unidade</t>
  </si>
  <si>
    <t>Quantidade</t>
  </si>
  <si>
    <t>DATA</t>
  </si>
  <si>
    <t>PROJETO:</t>
  </si>
  <si>
    <t>Atalho</t>
  </si>
  <si>
    <t>ESQUADRIAS DE ALUMÍNIO</t>
  </si>
  <si>
    <t>M</t>
  </si>
  <si>
    <t>Situação</t>
  </si>
  <si>
    <t>Concreto</t>
  </si>
  <si>
    <t xml:space="preserve">Quant. </t>
  </si>
  <si>
    <t>VB</t>
  </si>
  <si>
    <t>Obra</t>
  </si>
  <si>
    <t>Empresa</t>
  </si>
  <si>
    <t>Revisão</t>
  </si>
  <si>
    <t>FUNDAÇÃO PROFUNDA</t>
  </si>
  <si>
    <t>FUNDAÇÃO RASA</t>
  </si>
  <si>
    <t>MOVIMENTAÇÃO DE TERRA</t>
  </si>
  <si>
    <t>Escavação e Reaterro de Valas</t>
  </si>
  <si>
    <t>INFRAESTRUTURA</t>
  </si>
  <si>
    <t>Perfuração</t>
  </si>
  <si>
    <t>Armadura</t>
  </si>
  <si>
    <t>Armação aço CA-50 ø 6,3mm para estaca (corte e dobra em obra)</t>
  </si>
  <si>
    <t>Armação aço CA-50 ø 16,0mm para estaca (corte e dobra em obra)</t>
  </si>
  <si>
    <t>Mão de Obra</t>
  </si>
  <si>
    <t>Forma</t>
  </si>
  <si>
    <t>Armação aço CA-50 ø 8,0mm para infraestrutura (corte e dobra em obra)</t>
  </si>
  <si>
    <t>Armação aço CA-50 ø 10,0mm para infraestrutura (corte e dobra em obra)</t>
  </si>
  <si>
    <t>Armação aço CA-50 ø 16,0mm para infraestrutura (corte e dobra em obra)</t>
  </si>
  <si>
    <t>Considerações</t>
  </si>
  <si>
    <t>GERENCIAMENTO EXECUTIVO</t>
  </si>
  <si>
    <t>Projeto</t>
  </si>
  <si>
    <t>EMPRESA:</t>
  </si>
  <si>
    <t>SUPRAESTRUTURA</t>
  </si>
  <si>
    <t>Complementares</t>
  </si>
  <si>
    <t>Serviços complementares para alvenaria de vedação</t>
  </si>
  <si>
    <t>Mão de obra</t>
  </si>
  <si>
    <t>Regularização e proteção mecânica</t>
  </si>
  <si>
    <t>Mão de obra impermeabilização de superfície com manta asfáltica</t>
  </si>
  <si>
    <t>Contrapiso</t>
  </si>
  <si>
    <t>PINTURA INTERNA</t>
  </si>
  <si>
    <t>Sistema de pintura em parede</t>
  </si>
  <si>
    <t>ESQUADRIAS, VIDROS E FERRAGENS</t>
  </si>
  <si>
    <t>Contramarco</t>
  </si>
  <si>
    <t>Esquadrias de alumínio</t>
  </si>
  <si>
    <t>Esquadrias de Alumínio - fornecimento e instalação</t>
  </si>
  <si>
    <t>Mão de obra para instalação de portas de madeira</t>
  </si>
  <si>
    <t>LOUÇAS E METAIS</t>
  </si>
  <si>
    <t>Louças</t>
  </si>
  <si>
    <t>vb</t>
  </si>
  <si>
    <t>Metais e acessórios</t>
  </si>
  <si>
    <t>Acabamentos e acessórios</t>
  </si>
  <si>
    <t xml:space="preserve">Tampo de Granito </t>
  </si>
  <si>
    <t>Instalação de louças e metais sanitários</t>
  </si>
  <si>
    <t>Barra de apoio PNE</t>
  </si>
  <si>
    <t>Acabamentos especiais em fachada</t>
  </si>
  <si>
    <t>Mao de obra para reboco externo - inclui chapisco</t>
  </si>
  <si>
    <t>Mão de obra para aplicação de textura em paredes externas - 1 demão</t>
  </si>
  <si>
    <t>SERVIÇOS COMPLEMENTARES E FINAIS</t>
  </si>
  <si>
    <t>SERVIÇOS COMPLEMENTARES EXTERNOS</t>
  </si>
  <si>
    <t>Calçadas e Passeios</t>
  </si>
  <si>
    <t xml:space="preserve">Mobiliário e decoração </t>
  </si>
  <si>
    <t>Paisagismo</t>
  </si>
  <si>
    <t xml:space="preserve">Paisagismo </t>
  </si>
  <si>
    <t>Serviços Finais</t>
  </si>
  <si>
    <t>Limpeza final</t>
  </si>
  <si>
    <t>Desmobilização</t>
  </si>
  <si>
    <t>Ligações definitivas</t>
  </si>
  <si>
    <t>Imprevistos e contingências</t>
  </si>
  <si>
    <t>SISTEMAS E INSTALAÇÕES ELÉTRICAS</t>
  </si>
  <si>
    <t>SISTEMAS E INSTALAÇÕES HIDROSSANITÁRIAS E DRENAGEM</t>
  </si>
  <si>
    <t>Entrada de energia</t>
  </si>
  <si>
    <t>Instalações de proteção e aterramento -SPDA</t>
  </si>
  <si>
    <t>Sistema de interfone / controle de acesso</t>
  </si>
  <si>
    <t>EQUIPAMENTOS E SISTEMAS ESPECIAIS</t>
  </si>
  <si>
    <t>Equipamentos de piscina</t>
  </si>
  <si>
    <t>Elevadores</t>
  </si>
  <si>
    <t>CLIMATIZAÇÃO, EXAUSTÃO MECÂNICA E PRESSURIZAÇÃO</t>
  </si>
  <si>
    <t>Armação aço CA-50 ø 6,3mm para infraestrutura (corte e dobra em obra)</t>
  </si>
  <si>
    <t xml:space="preserve">Armação aço CA-50 ø 12,5mm para infraestrutura (corte e dobra em obra) </t>
  </si>
  <si>
    <t xml:space="preserve">Armação aço CA-50 ø 20,0mm para infraestrutura (corte e dobra em obra) </t>
  </si>
  <si>
    <t>Preço un</t>
  </si>
  <si>
    <t xml:space="preserve">	Mobilização e desmobilização de equipamentos - Para execução de estaca hélice</t>
  </si>
  <si>
    <t>Lançado ERP</t>
  </si>
  <si>
    <t>Escavação mecanizada para blocos de fundação, vigas de fundação e poço de elevador, com retroescavadeira</t>
  </si>
  <si>
    <t>Reaterro mecanizado de valas para blocos e vigas de fundação, com retroescavadeira</t>
  </si>
  <si>
    <t>Observações</t>
  </si>
  <si>
    <t>Unidade Construtiva</t>
  </si>
  <si>
    <t>Célula Construtiva</t>
  </si>
  <si>
    <t>Etapa</t>
  </si>
  <si>
    <t>Subetapa</t>
  </si>
  <si>
    <t>Serviço</t>
  </si>
  <si>
    <t>NIVEL</t>
  </si>
  <si>
    <t>CÉLULA CONSTRUTIVA</t>
  </si>
  <si>
    <t>ETAPA</t>
  </si>
  <si>
    <t>SUBETAPA</t>
  </si>
  <si>
    <t>SERVIÇO</t>
  </si>
  <si>
    <t xml:space="preserve">Concreto </t>
  </si>
  <si>
    <t>Mão de obra para execução de supraestrutura de concreto armado</t>
  </si>
  <si>
    <t>IMPERMEABILIZAÇÃO E TRATAMENTOS</t>
  </si>
  <si>
    <t>Tratamento de ralo com manta de poliéster</t>
  </si>
  <si>
    <t xml:space="preserve">Mão de obra para regularização de superfície </t>
  </si>
  <si>
    <t>Mão de obra para proteção mecânica</t>
  </si>
  <si>
    <t>Mão de obra impermeabilização de argamassa polimérica</t>
  </si>
  <si>
    <t>Mão de obra tratamento de ralo com manta de poliéster</t>
  </si>
  <si>
    <t>Comunicação visual</t>
  </si>
  <si>
    <t/>
  </si>
  <si>
    <t>QUADRO DE ÁREAS</t>
  </si>
  <si>
    <t>MESES DE OBRA</t>
  </si>
  <si>
    <t>MÊS</t>
  </si>
  <si>
    <t>ÁREA DO TERRENO</t>
  </si>
  <si>
    <t>ÁREA CONSTRUÍDA</t>
  </si>
  <si>
    <t>NÚMERO DE UNIDADES HABITACIONAIS</t>
  </si>
  <si>
    <t>UN</t>
  </si>
  <si>
    <t>ÁREA PRIVATIVA</t>
  </si>
  <si>
    <t>NÚMERO DE PAVIMENTOS</t>
  </si>
  <si>
    <t>VALOR ORÇADO</t>
  </si>
  <si>
    <t>%</t>
  </si>
  <si>
    <t>VALOR / m²</t>
  </si>
  <si>
    <t>GERENCIAMENTO TÉCNICO E ADMINISTRATIVO</t>
  </si>
  <si>
    <t>ALVENARIA</t>
  </si>
  <si>
    <t>INSTALAÇÕES ELÉTRICAS, HIDRÁULICAS, GLP E PREVENTIVAS</t>
  </si>
  <si>
    <t>ACABAMENTOS EM PISOS E PAVIMENTAÇÕES</t>
  </si>
  <si>
    <t>ACABAMENTOS INTERNOS EM TETO</t>
  </si>
  <si>
    <t>SERVIÇOS COMPLEMENTARES</t>
  </si>
  <si>
    <t>CUB/SC</t>
  </si>
  <si>
    <t>Aço</t>
  </si>
  <si>
    <t>PAVIMENTO</t>
  </si>
  <si>
    <t>Térreo</t>
  </si>
  <si>
    <t>Unid.</t>
  </si>
  <si>
    <t>IMPERMEABILIZAÇÃO</t>
  </si>
  <si>
    <t>Mão de Obra Piso Porcenato/ Cerâmico</t>
  </si>
  <si>
    <t>Contramarco de aço galvanizado Fixados com Argamassa</t>
  </si>
  <si>
    <t xml:space="preserve">Perfuração de estaca hélice contínua Ø 50cm	</t>
  </si>
  <si>
    <t>Chapisco externo de argamassa preparada em obra de cimento e areia - traço 1:4 - aplicação em paredes externas</t>
  </si>
  <si>
    <t>Bandeja de proteção primária</t>
  </si>
  <si>
    <t>Bandeja de proteção secundária</t>
  </si>
  <si>
    <t>Tela fachadeira</t>
  </si>
  <si>
    <t>Fechamento removível de vãos de porta de elevador em madeira</t>
  </si>
  <si>
    <t>Mão de obra - Sistemas e instalações elétricas</t>
  </si>
  <si>
    <t>Mão de obra para instalações elétricas</t>
  </si>
  <si>
    <t>Instalação de CFTV</t>
  </si>
  <si>
    <t xml:space="preserve">Mão de obra - instalações hidrossanitárias e drenagem </t>
  </si>
  <si>
    <t>Estrutura de exaustão</t>
  </si>
  <si>
    <t>INSTALAÇÕES PREVENTIVAS</t>
  </si>
  <si>
    <t>INSTALAÇÕES DE GÁS</t>
  </si>
  <si>
    <t>Infraestrutura para instalação de ar condicionado</t>
  </si>
  <si>
    <t>ALVENARIAS E VEDAÇÕES</t>
  </si>
  <si>
    <t>Encunhamento de alvenaria de vedação com argamassa expansiva</t>
  </si>
  <si>
    <t>Verga/contraverga de concreto, moldada in loco</t>
  </si>
  <si>
    <t>Mão de obra para assentamento de blocos cerâmicos</t>
  </si>
  <si>
    <t xml:space="preserve">Perfuração de estaca hélice contínua Ø 60cm	</t>
  </si>
  <si>
    <t>Concreto Usinado bombeável para estacas 40MPa  - incluindo serviço de bombeamento</t>
  </si>
  <si>
    <t>Estucamento de estrutura de concreto em pilares e vigas</t>
  </si>
  <si>
    <t>Contrapiso comum em argamassa estabilizada, nao aderido, espessura 5cm</t>
  </si>
  <si>
    <t>Mão de obra execução de massa única em paredes interna, incluindo chapisco</t>
  </si>
  <si>
    <t>Mão de obra estucamento de paredes</t>
  </si>
  <si>
    <t>Contrapiso comum em argamassa estabilizada, nao aderido, espessura 6cm</t>
  </si>
  <si>
    <t>ACABAMENTOS INTERNOS EM PAREDE</t>
  </si>
  <si>
    <t>Mão de obra para assentamento de revestimento cerâmico em parede</t>
  </si>
  <si>
    <t>Mão de obra para colocação de peitoril e pingadeira</t>
  </si>
  <si>
    <t>Cobertura</t>
  </si>
  <si>
    <t>Mão de Obra Polimento de piso</t>
  </si>
  <si>
    <t>Mão de obra de rodapé Poliestireno</t>
  </si>
  <si>
    <t>Mão de obra de colocação de soleira em granito</t>
  </si>
  <si>
    <t>Rodapé de poliestireno h=7cm</t>
  </si>
  <si>
    <t>Textura acrílica aplicação em paredes internas, 1 demão</t>
  </si>
  <si>
    <t>Custo Unitário</t>
  </si>
  <si>
    <t>Mão de obra para instalação de portas corta-fogo</t>
  </si>
  <si>
    <t>Locação da obra</t>
  </si>
  <si>
    <t>OBRA</t>
  </si>
  <si>
    <t>Imagens</t>
  </si>
  <si>
    <t>M²</t>
  </si>
  <si>
    <t>NÚMERO DE UNIDADES COMERCIAIS</t>
  </si>
  <si>
    <t>REVESTIMENTOS ARGAMASSADOS TETO</t>
  </si>
  <si>
    <t>IMPREVISTOS</t>
  </si>
  <si>
    <t>Cobertura para Proteção de Pedestres</t>
  </si>
  <si>
    <t>Sim</t>
  </si>
  <si>
    <t>Não</t>
  </si>
  <si>
    <t>R00</t>
  </si>
  <si>
    <t>Finalizado</t>
  </si>
  <si>
    <t>Movimentação de terra para bota-fora - Estacas</t>
  </si>
  <si>
    <t>Corte e Preparo de Cabeça de Estaca</t>
  </si>
  <si>
    <t>Armação aço CA-50 ø 20,0mm para estaca (corte e dobra em obra)</t>
  </si>
  <si>
    <t xml:space="preserve">Armação aço CA-50 ø 25,0mm para infraestrutura (corte e dobra em obra) </t>
  </si>
  <si>
    <t>Armação Aço CA-60, Diâmetro de 5,0mm para Supraestrutura, Corte e Dobra em Obra</t>
  </si>
  <si>
    <t>Armação Aço CA-50, Diâmetro de 8,0mm para Supraestrutura, Corte e Dobra em Obra</t>
  </si>
  <si>
    <t>Armação Aço CA-50, Diâmetro de 10,0mm para Supraestrutura, Corte e Dobra em Obra</t>
  </si>
  <si>
    <t>Armação Aço CA-50, Diâmetro de 12,5mm para Supraestrutura, Corte e Dobra em Obra</t>
  </si>
  <si>
    <t>Armação Aço CA-50, Diâmetro de 16,0mm para Supraestrutura, Corte e Dobra em Obra</t>
  </si>
  <si>
    <t>Armação Aço CA-50, Diâmetro de 20,0mm para Supraestrutura, Corte e Dobra em Obra</t>
  </si>
  <si>
    <t>Lona Plastica para Contrapiso Armado</t>
  </si>
  <si>
    <t>Escoramento de fôrmas para Lajes com escoras de Madeira incluindo travamento, 4 utilizações.</t>
  </si>
  <si>
    <t>Alvenaria de vedacao de blocos ceramicos furados na horizontal de 9x19x19cm (espessura 9cm) com argamassa industrializada de assentamento</t>
  </si>
  <si>
    <t>Alvenaria de vedacao de blocos ceramicos furados na horizontal de 14x19x19cm (espessura 14cm) com argamassa industrializada de assentamento</t>
  </si>
  <si>
    <t xml:space="preserve">Mão de obra para assentamento de blocos de Refratário </t>
  </si>
  <si>
    <t>Mão de obra para assentamento de blocos de silico calcarios</t>
  </si>
  <si>
    <t>Impermeabilização de Baldrames com Tinta Asfáltica (Neutrol)</t>
  </si>
  <si>
    <t>Mão de obra Instalação Hidráulica</t>
  </si>
  <si>
    <t>Hidrantes</t>
  </si>
  <si>
    <t xml:space="preserve">Sinalização de emergência e extintores </t>
  </si>
  <si>
    <t>Central de Gás</t>
  </si>
  <si>
    <t>Rede Primária</t>
  </si>
  <si>
    <t>Rede Secundária</t>
  </si>
  <si>
    <t>Mão de obra para instalações gás</t>
  </si>
  <si>
    <t>Infraestrutura para Carro Elétrico</t>
  </si>
  <si>
    <t>REVESTIMENTOS INTERNOS DE PAREDE</t>
  </si>
  <si>
    <t>Chapisco aplicado em estruturas de concreto, de argamassa ACIII, com desempenadeira dentada</t>
  </si>
  <si>
    <t>Chapisco convencional com adesivo sintético de alto desempenho aplicados em alvenaria, aplicação convencional.</t>
  </si>
  <si>
    <t>Massa unica para reboco interno em argamassa estabilizada, espessura de 2,5cm, com execução de taliscas</t>
  </si>
  <si>
    <t>Revestimento em Pastilhas Cerâmicas Paredes Interna, 6 x 24cm com Junta de 3mm</t>
  </si>
  <si>
    <t xml:space="preserve">Revestimento em Pastilhas Cerâmicas Para Piscinas , 14,5 x 14,5cm com Junta de 2mm </t>
  </si>
  <si>
    <t>Revestimento de Pedras Naturais em Paredes</t>
  </si>
  <si>
    <t>Mão de obra para assentamento de Pastilhas em Piscina</t>
  </si>
  <si>
    <t>Mão de obra para assentamento de Pedras Naturais em parede</t>
  </si>
  <si>
    <t>REVESTIMENTOS INTERNOS DE TETO</t>
  </si>
  <si>
    <t>Forro de madeira - Material e Mão de Obra</t>
  </si>
  <si>
    <t>Mão de obra execução de estucamento em teto</t>
  </si>
  <si>
    <t>PISOS E PAVIMENTAÇÕES</t>
  </si>
  <si>
    <t>Contrapiso comum em argamassa estabilizada, nao aderido, espessura 3cm</t>
  </si>
  <si>
    <t>Contrapiso comum em argamassa estabilizada, nao aderido, espessura 5,5cm</t>
  </si>
  <si>
    <t xml:space="preserve">Regularização de Piso 0,50 cm </t>
  </si>
  <si>
    <t xml:space="preserve">Piso concreto Queimado </t>
  </si>
  <si>
    <t>Revestimento em Porcelanato amadeirado 19x117cm para Piso, rejunte cimentício, aplicação em áreas comuns internas</t>
  </si>
  <si>
    <t>Revestimento de Piso Porcelanato Polido, Placa 90x90cm</t>
  </si>
  <si>
    <t xml:space="preserve">Revestimento em Pastilhas Cerâmicas Para Piscinas , 14,5 x 14,5cm com Junta de 3mm </t>
  </si>
  <si>
    <t>Revestimento emborrachado piso interno (Academia)- Material e Mão de Obra</t>
  </si>
  <si>
    <t>Revestimento de piso vinilico, nas áreas privativas - Material e Mão de Obra</t>
  </si>
  <si>
    <t>Rodapé de MDF h=5cm</t>
  </si>
  <si>
    <t>Rodapé de Pedra Natural h=5cm</t>
  </si>
  <si>
    <t>Rodapé de poliestireno h=10cm</t>
  </si>
  <si>
    <t>Rodapé de porcelanato h=10cm</t>
  </si>
  <si>
    <t>Rodapé de porcelanato h=15cm</t>
  </si>
  <si>
    <t>Mão de obra execução de contrapiso comum e Acústico</t>
  </si>
  <si>
    <t>Mão de obra execução regularização de Piso</t>
  </si>
  <si>
    <t>Mão de obra para assentamento de Pedras Naturais em piso</t>
  </si>
  <si>
    <t>Mão de obra de rodapé Pedra Natural</t>
  </si>
  <si>
    <t>Mão de obra de rodapé Porcelanato</t>
  </si>
  <si>
    <t>Pintura em Epóxi em Piso, Aplicação Manual, 2 Demãos</t>
  </si>
  <si>
    <t>Pintura em Resina para demarcação de vagas em piso, 1 demão</t>
  </si>
  <si>
    <t>Pintura em Resina em Piso, Aplicação Manual, 2 Demãos</t>
  </si>
  <si>
    <t>Textura Acrílica aplicação em tetos, 1 demão</t>
  </si>
  <si>
    <t>Contramarco de Alumínio, Fixação com Argamassa</t>
  </si>
  <si>
    <t>Brise de Alumínio - Decoração Fachada</t>
  </si>
  <si>
    <t>Pele de vidro</t>
  </si>
  <si>
    <t>Fechadura eletronica</t>
  </si>
  <si>
    <t>entrada de cada apartamento</t>
  </si>
  <si>
    <t>Porta corta-fogo, 1 folha, 80x210 cm</t>
  </si>
  <si>
    <t>Escada de marinheiro</t>
  </si>
  <si>
    <t xml:space="preserve">Louças </t>
  </si>
  <si>
    <t>Estrutura e trama para cobertura em madeira</t>
  </si>
  <si>
    <t>Telhamento para cobertura em Fribrocimento</t>
  </si>
  <si>
    <t>Rufo em alumínio</t>
  </si>
  <si>
    <t xml:space="preserve">Claraboia em vidro laminado </t>
  </si>
  <si>
    <t>Mão de obra coberturas</t>
  </si>
  <si>
    <t>Chapisco externo de argamassa pré-fabricada adesiva de cimento colante - aplicação rolada em paredes externas</t>
  </si>
  <si>
    <t>Massa unica para reboco externo em Argamassa preparada em central / usinada, espessura de 35mm</t>
  </si>
  <si>
    <t>Junta de movimentação em emboço</t>
  </si>
  <si>
    <t xml:space="preserve">Revestimento em Pastilhas Cerâmicas Para Fachada com Junta de 3mm </t>
  </si>
  <si>
    <t>Revestimento em Porcelanato amadeirado, rejunte cimentício, aplicação em Fachada</t>
  </si>
  <si>
    <t>Revestimento em Pedra Natural Aplicado em Fachadas</t>
  </si>
  <si>
    <t>Mão de obra para aplicação de Pastilhas em paredes externas</t>
  </si>
  <si>
    <t>Mão de obra para aplicação de Porcelanato em paredes externas</t>
  </si>
  <si>
    <t>Mão de obra para aplicação de Pedra Natural em paredes externas</t>
  </si>
  <si>
    <t>Calçadada/passeio em concreto intertravado</t>
  </si>
  <si>
    <t xml:space="preserve">Calçadada/passeio em Podotátil </t>
  </si>
  <si>
    <t>Central de aço</t>
  </si>
  <si>
    <t>Central de fôrmas</t>
  </si>
  <si>
    <t>Central de Argamassa</t>
  </si>
  <si>
    <t>Armazenamento de cerâmicas*</t>
  </si>
  <si>
    <t>Armazenamento de placas degesso*</t>
  </si>
  <si>
    <t>Armazenamento de blocos*</t>
  </si>
  <si>
    <t>Armazenamento de contramarcos*</t>
  </si>
  <si>
    <t>Armazenamento de portas e rodapés*</t>
  </si>
  <si>
    <t>Armazenamento de esquadrias*</t>
  </si>
  <si>
    <t>Armazenamento de instalações complementares*</t>
  </si>
  <si>
    <t>Armazenamento para estoque geral*</t>
  </si>
  <si>
    <t>Construções temporárias</t>
  </si>
  <si>
    <t>Almoxarifado geral</t>
  </si>
  <si>
    <t>Placa indicativa fixada na estrutura por pregos</t>
  </si>
  <si>
    <t>Projeto:</t>
  </si>
  <si>
    <t>Empresa:</t>
  </si>
  <si>
    <t>Revisão:</t>
  </si>
  <si>
    <t xml:space="preserve">2.Projetos em andamento/Empresa/Obra/Escopo/Extração de quantitativos/Projetos Considerados </t>
  </si>
  <si>
    <t xml:space="preserve">Caminho: </t>
  </si>
  <si>
    <t>GERAL</t>
  </si>
  <si>
    <t>ELETRICA</t>
  </si>
  <si>
    <t>ARQUITETURA</t>
  </si>
  <si>
    <t>DISCIPLINA</t>
  </si>
  <si>
    <t>INSTALAÇÕES ELETRICAS</t>
  </si>
  <si>
    <t>OBSERVAÇÃO</t>
  </si>
  <si>
    <t>Fundação Profunda</t>
  </si>
  <si>
    <t>FUNDAÇÕES</t>
  </si>
  <si>
    <t>BRS_RDT_FUN_EX_001_R03</t>
  </si>
  <si>
    <t>https://qicloud.com.br/root/caroline.nunes@cartesianengenharia.com#Obras/BRS-MOD_REDENTOR/Estrutura/04%20-%20PROJETO%20EXECUTIVO/PDF</t>
  </si>
  <si>
    <t>Área Privativa</t>
  </si>
  <si>
    <t xml:space="preserve">Aptos </t>
  </si>
  <si>
    <t>Qnt</t>
  </si>
  <si>
    <t>Área Útil (m2)</t>
  </si>
  <si>
    <t>Total (m2)</t>
  </si>
  <si>
    <t xml:space="preserve">Armação aço CA-50 ø 32,00mm para infraestrutura (corte e dobra em obra) </t>
  </si>
  <si>
    <t>Concreto Usinado bombeável 50MPa para infraestrutura- incluindo serviço de bombeamento</t>
  </si>
  <si>
    <t>Concreto Usinado bombeável 60MPa para infraestrutura- incluindo serviço de bombeamento</t>
  </si>
  <si>
    <t>ENDEREÇO DA OBRA:</t>
  </si>
  <si>
    <t>CNPJ:</t>
  </si>
  <si>
    <t>ARQUIVO:</t>
  </si>
  <si>
    <t>Guarda-corpo em laje pós-desforma com pontalete de madeira, travessões e tela</t>
  </si>
  <si>
    <t>Varal de segurança com cabo de aço (linha de vida)</t>
  </si>
  <si>
    <t>EPC'S</t>
  </si>
  <si>
    <t>Insumo</t>
  </si>
  <si>
    <t>Acessórios</t>
  </si>
  <si>
    <t>PORTAS CORTA-FOGO</t>
  </si>
  <si>
    <t>Limpeza Final de Obra</t>
  </si>
  <si>
    <t>Decoração e mobiliário área comum</t>
  </si>
  <si>
    <t>Repetição</t>
  </si>
  <si>
    <t>Und</t>
  </si>
  <si>
    <t>Custo unit.</t>
  </si>
  <si>
    <t>Custo Total.</t>
  </si>
  <si>
    <t>INSTALAÇÕES PROVISÓRIAS</t>
  </si>
  <si>
    <t>LONA PLASTICA 120 MICRAS 4X100M PRETA</t>
  </si>
  <si>
    <t>TELHA METALICA GALVANIZADA TRAPEZOIDAL 0,43MM NBR 14514</t>
  </si>
  <si>
    <t>Concreto Usinado bombeável 20MPa Convencional</t>
  </si>
  <si>
    <t>PREGO GALVANIZADO LISO S/CABECA 17X21 NBR 6627</t>
  </si>
  <si>
    <t>BLOCO CONCRETO ESTRUTURAL 03MPA 14X19X39CM NBR 6136</t>
  </si>
  <si>
    <t>ARGAMASSA ENSACADA P/ASSENTAMENTO BLOCO 04MPA NBR 13281</t>
  </si>
  <si>
    <t>SERVICO EMP. - INST. PROVISORIA - CONFECCAO BAIA P/MATERIAL</t>
  </si>
  <si>
    <t>MADEIRA PINUS/SIMILAR - TABUA PINUS 200X20MM NBR 11700</t>
  </si>
  <si>
    <t>COMPENSADO MADEIRA TIPO RESINADO COLA FENOLICA 2440X1220X10MM</t>
  </si>
  <si>
    <t>MADEIRA PINUS/SIMILAR - PONTALETE 75X75MM NBR 11700/15696</t>
  </si>
  <si>
    <t>MADEIRA PINUS/SIMILAR - SARRAFO PINUS 50X20MM NBR 11700/15696</t>
  </si>
  <si>
    <t>MADEIRA PINUS/SIMILAR - SARRAFO PINUS 50X10MM NBR 11700</t>
  </si>
  <si>
    <t>PREGO DE ACO POLIDO COM CABECA 17 X 21 (2 X 11)</t>
  </si>
  <si>
    <t>EXTINTOR INCENDIO PO QUIMICO 06KG CLASSE ABC (COMPLETO) NBR 15808</t>
  </si>
  <si>
    <t>MATERIAL PARA INSTALAÇÃO ELÉTRICA</t>
  </si>
  <si>
    <t>SERVICO INSTALAÇÃO BARRACAO ALMOXARIFADO</t>
  </si>
  <si>
    <t>TELA ACO CARBONO CA60 M.150X150MM F.03,4MM 245X600CM Q61 (14,26KG/UN)</t>
  </si>
  <si>
    <t>TELHA FIBROCIMENTO NATURAL S/AMIANTO 06X1100X1530MM NBR 7581/15210</t>
  </si>
  <si>
    <t>TINTA LATEX ACRILICO FOSCO INT./EXT. PREMIUM PLUS BRANCO NBR 14942</t>
  </si>
  <si>
    <t>TINTA ESMALTE ACETINADO BASE SOLVENTE BRANCO NBR 15299</t>
  </si>
  <si>
    <t>SOLVENTE BASE THINNER P/TINTA NBR 14725</t>
  </si>
  <si>
    <t>LIXA DAGUA 225X275MM GR100</t>
  </si>
  <si>
    <t>BANNER LONA VINILICA</t>
  </si>
  <si>
    <t xml:space="preserve">PLACA SINALIZACAO PVC C/ADESIVO </t>
  </si>
  <si>
    <t>SUPORTE ACO CARBONO P/PLACA - REQ. CANTONEIRA 1.1/4"X1/8" 160X250CM</t>
  </si>
  <si>
    <t>TINTA ACRILICA A BASE DE SOLVENTE</t>
  </si>
  <si>
    <t>CAIBRO NAO APARELHADO *5 X 6* CM, EM MACARANDUBA/MASSARANDUBA, ANGELIM OU EQUIVALENTE DA REGIAO - BRUTA</t>
  </si>
  <si>
    <t>PREGO DE ACO POLIDO COM CABECA 16 X 24 (2 1/4 X 12)</t>
  </si>
  <si>
    <t>CHAPA/PAINEL DE MADEIRA COMPENSADA PLASTIFICADA, DE 2200 X 1100 MM, E = 14 MM</t>
  </si>
  <si>
    <t>CHUMBADOR PARABOLT ACO CARBONO CBA 1/2"X75MM</t>
  </si>
  <si>
    <t>PERFIL METALICO BANDEJA PRIMARIA 2,50M</t>
  </si>
  <si>
    <t>PONTALETE *7,5 X 7,5* CM EM PINUS, MISTA OU EQUIVALENTE DA REGIAO - BRUTA</t>
  </si>
  <si>
    <t>TABUA *2,5 X 15 CM EM PINUS, MISTA OU EQUIVALENTE DA REGIAO - BRUTA</t>
  </si>
  <si>
    <t>TELA PLASTICA TECIDA LISTRADA BRANCA E LARANJA, EM POLIETILENO MONOFILADO</t>
  </si>
  <si>
    <t>ESCORA METALICA TELESCOPICA, COM ALTURA REGULAVEL DE *1,80* A *3,20* M, INCLUSO TRIPE E FORCADO</t>
  </si>
  <si>
    <t>TELA FACHADEIRA POLIETILENO MALHA 1,5X1,5MM</t>
  </si>
  <si>
    <t>SARRAFO *2,5 X 7,5* CM EM PINUS, MISTA OU EQUIVALENTE DA REGIAO - BRUTA</t>
  </si>
  <si>
    <t>CHAPA/PAINEL DE MADEIRA COMPENSADA RESINADA, DE 2200 X 1100 MM, E = 14 MM</t>
  </si>
  <si>
    <t>Locação estrutura metálica para proteção de pesdestres</t>
  </si>
  <si>
    <t>PREGO DE ACO POLIDO COM CABECA 18 X 27 (2 1/2 X 10)</t>
  </si>
  <si>
    <t>TELHA TRAPEZOIDAL EM ACO ZINCADO, ESPESSURA DE 0,50 MM</t>
  </si>
  <si>
    <t>CONCRETO MAGRO USINADO, COM BRITA 1</t>
  </si>
  <si>
    <t>CABO DE AÇO GALVANIZADO 3/8</t>
  </si>
  <si>
    <t>CLIPS PARA CABO DE AÇO 5/16</t>
  </si>
  <si>
    <t>TUBO GALV. 3" X 2,65MM - 8M C/ RUPTURA: 40 MPA (LINHA DE VIDA)</t>
  </si>
  <si>
    <t>Locação estrutura para proteção SLQA</t>
  </si>
  <si>
    <t>Rebaixamento de Lençol freático</t>
  </si>
  <si>
    <t>Locação 30 dias de cada equipamento de rebaixamento com 22,5 HP, vazão máxima = 100 m³/h, em operação ou a disposição.</t>
  </si>
  <si>
    <t>Locação 30 dias de cada mangote de descarga CDF-A com lance de 50,00 metros cada.</t>
  </si>
  <si>
    <t>Instalação de equipamentos para Rebaixamento de Lençol freático</t>
  </si>
  <si>
    <t>DIA</t>
  </si>
  <si>
    <t>Instalação e entrega técnica do(s) equipamento(s) de rebaixamento temporário de aquíferos AQ-EL 44-100. (Previsão de 04 dias)</t>
  </si>
  <si>
    <t>4 DIAS PARA INSTALAÇÃO</t>
  </si>
  <si>
    <t>M3</t>
  </si>
  <si>
    <t>Escavação mecanizada com retroescavadeira</t>
  </si>
  <si>
    <t>Escavação mecanizada para estacas de fundação, com retroescavadeira</t>
  </si>
  <si>
    <t>Reaterro mecanizado com retroescavadeira</t>
  </si>
  <si>
    <t>CONCRETO MAGRO PARA LASTRO</t>
  </si>
  <si>
    <t>serviço de bombeamento</t>
  </si>
  <si>
    <t>Cimento Portland Composto CP II-32</t>
  </si>
  <si>
    <t>Lastro de Brita, Aplicado em Blocos de Fundação, e= 5cm</t>
  </si>
  <si>
    <t>BRITA Nº2</t>
  </si>
  <si>
    <t>Lastro de Brita, Aplicado em fundação rasa</t>
  </si>
  <si>
    <t>Terraplanagem - Corte e Desaterro Solo</t>
  </si>
  <si>
    <t>Escavação e Carga Mecanizada em Corte - Desaterro Solo</t>
  </si>
  <si>
    <t>Desmonte de Rocha</t>
  </si>
  <si>
    <t>Escavação e Carga Mecanizada em Corte - Desaterro Rocha</t>
  </si>
  <si>
    <t>Terraplanagem - Aterro material de 1º categoria</t>
  </si>
  <si>
    <t>Espalhamento / Umedecimento / Compactação em Material de 1ª Categoria - 95% PN - Aterro</t>
  </si>
  <si>
    <t>Terraplanagem - Corte e aterro (Produtividade 1890m3/dia) - Mão de Obra Própria</t>
  </si>
  <si>
    <t>Escavadeira DOOSAN DX225 (terceirizado)</t>
  </si>
  <si>
    <t>Trator esteira CAT D51 (terceirizado)</t>
  </si>
  <si>
    <t>Escaveideira 320 CAT 2019</t>
  </si>
  <si>
    <t>Trator esteira 700 j john dree 2016</t>
  </si>
  <si>
    <t>Operador de máquina 1</t>
  </si>
  <si>
    <t>Movimentação de terra para bota-fora - Escavação de Valas</t>
  </si>
  <si>
    <t>Movimentação de terra para bota-fora - Escavação Vertical Terraplenagem</t>
  </si>
  <si>
    <t>Execucao Estaca Helice Continua 030Cm</t>
  </si>
  <si>
    <t>Execucao Estaca Helice Continua 040Cm</t>
  </si>
  <si>
    <t>Execucao Estaca Helice Continua 050Cm</t>
  </si>
  <si>
    <t>Execucao Estaca Helice Continua 060Cm</t>
  </si>
  <si>
    <t>Execucao Estaca Helice Continua 070Cm</t>
  </si>
  <si>
    <t>Execucao Estaca Helice Continua 080Cm</t>
  </si>
  <si>
    <t>Execucao Estaca Helice Continua 090Cm</t>
  </si>
  <si>
    <t>Execucao Estaca Helice Continua 100Cm</t>
  </si>
  <si>
    <t xml:space="preserve">Perfuração de estaca Escavada Ø 25cm	</t>
  </si>
  <si>
    <t>Execucao Estaca Escavada 025Cm</t>
  </si>
  <si>
    <t xml:space="preserve">Perfuração de estaca Escavada Ø 30cm	</t>
  </si>
  <si>
    <t>Execucao Estaca Escavada 030Cm</t>
  </si>
  <si>
    <t xml:space="preserve">	Mobilização e desmobilização de equipamentos - Para execução de estaca Escavada</t>
  </si>
  <si>
    <t>Armação aço Média para estaca (Corte e Dobra em Obra)</t>
  </si>
  <si>
    <t>KG</t>
  </si>
  <si>
    <t>Aço CA50 6,3 mm</t>
  </si>
  <si>
    <t xml:space="preserve">Arame Galvanizado </t>
  </si>
  <si>
    <t>Espaçador para armadura</t>
  </si>
  <si>
    <t>Armação aço CA-50 ø 8,0mm para estaca (corte e dobra em obra)</t>
  </si>
  <si>
    <t>Aço CA50 8,0 mm</t>
  </si>
  <si>
    <t>Armação aço CA-50 ø 10,0mm para estaca (corte e dobra em obra)</t>
  </si>
  <si>
    <t>Aço CA50 10,0 mm</t>
  </si>
  <si>
    <t>Aço CA50 16,0mm</t>
  </si>
  <si>
    <t>Aço CA50 20,0mm</t>
  </si>
  <si>
    <t xml:space="preserve">Armação aço CA-60 ø 5,00mm para estaca (corte e dobra em obra) </t>
  </si>
  <si>
    <t>Aço CA60 5,0mm</t>
  </si>
  <si>
    <t>Concreto Usinado bombeável para estacas 25MPa  - incluindo serviço de bombeamento</t>
  </si>
  <si>
    <t>Concreto Usinado bombeável 25MPa</t>
  </si>
  <si>
    <t>Concreto Usinado bombeável para estacas 30MPa  - incluindo serviço de bombeamento</t>
  </si>
  <si>
    <t>Concreto Usinado bombeável 30MPa para estacas</t>
  </si>
  <si>
    <t>Concreto Usinado bombeável para estacas 35MPa  - incluindo serviço de bombeamento</t>
  </si>
  <si>
    <t>Concreto Usinado bombeável 35MPa para estacas</t>
  </si>
  <si>
    <t>Concreto Usinado bombeável 40MPa para estacas</t>
  </si>
  <si>
    <t>Serviço de Arrasamentode Estacas</t>
  </si>
  <si>
    <t>Forma para infraestrutura em Tábuas de Madeira Serrada 2x reaproveitamento</t>
  </si>
  <si>
    <t>PREGO DE ACO POLIDO COM CABECA 15 X 18 (1 1/2 X 13)</t>
  </si>
  <si>
    <t xml:space="preserve">DESMOLDANTE PROTETOR PARA FORMAS DE MADEIRA, DE BASE OLEOSA EMULSIONADA EM AGUA   </t>
  </si>
  <si>
    <t>TABUA *2,5 X 30 CM EM PINUS, MISTA OU EQUIVALENTE DA REGIAO - BRUTA (M)</t>
  </si>
  <si>
    <t>Forma para infraestrutura em Tábuas de Madeira Serrada 4x reaproveitamento</t>
  </si>
  <si>
    <t>Aço CA50 12,5 mm</t>
  </si>
  <si>
    <t>Aço CA50 25,0mm</t>
  </si>
  <si>
    <t xml:space="preserve">Armação aço CA-60 ø 5,00mm para infraestrutura (corte e dobra em obra) </t>
  </si>
  <si>
    <t>Concreto Usinado bombeável 30MPa para infraestrutura - incluindo serviço de bombeamento</t>
  </si>
  <si>
    <t>Concreto Usinado bombeável 30MPa Convencional</t>
  </si>
  <si>
    <t>Concreto Usinado bombeável 35MPa para infraestrutura - incluindo serviço de bombeamento</t>
  </si>
  <si>
    <t>Concreto Usinado bombeável 35MPa Convencional</t>
  </si>
  <si>
    <t>Concreto Usinado bombeável 45MPa para infraestrutura- incluindo serviço de bombeamento</t>
  </si>
  <si>
    <t>Concreto Usinado bombeável 45MPa Convencional</t>
  </si>
  <si>
    <t>Concreto Usinado bombeável 50MPa Convencional</t>
  </si>
  <si>
    <t>Mão de obra para execução de fundação</t>
  </si>
  <si>
    <t>CONTENÇÕES</t>
  </si>
  <si>
    <t xml:space="preserve">Perfuração de estaca Escavada para contenção Ø 30cm	</t>
  </si>
  <si>
    <t>Concreto Usinado bombeável para estaca das Contenções 25MPa  - incluindo serviço de bombeamento</t>
  </si>
  <si>
    <t>Forma para Contenções em Tábuas de Madeira Serrada 17mm 4x reaproveitamento</t>
  </si>
  <si>
    <t>Armação aço CA-50 ø 6,3mm para Contenções (corte e dobra em obra)</t>
  </si>
  <si>
    <t>Armação aço CA-50 ø 8,0mm para Contenções (corte e dobra em obra)</t>
  </si>
  <si>
    <t>Armação aço CA-50 ø 10,0mm para Contenções (corte e dobra em obra)</t>
  </si>
  <si>
    <t xml:space="preserve">Armação aço CA-50 ø 12,5mm para Contenções (corte e dobra em obra) </t>
  </si>
  <si>
    <t>Armação aço CA-50 ø 16,0mm para Contenções (corte e dobra em obra)</t>
  </si>
  <si>
    <t xml:space="preserve">Armação aço CA-50 ø 20,0mm para Contenções (corte e dobra em obra) </t>
  </si>
  <si>
    <t xml:space="preserve">Armação aço CA-50 ø 25,0mm para Contenções (corte e dobra em obra) </t>
  </si>
  <si>
    <t xml:space="preserve">Armação aço CA-60 ø 5,00mm para Contenções (corte e dobra em obra) </t>
  </si>
  <si>
    <t>Concreto Usinado bombeável para Contenções 25MPa  - incluindo serviço de bombeamento</t>
  </si>
  <si>
    <t>Concreto Usinado bombeável para Contenções 30MPa  - incluindo serviço de bombeamento</t>
  </si>
  <si>
    <t>Mão de obra de obra execução de contenção em cortina de concreto</t>
  </si>
  <si>
    <t>Forma para Laje Contrapiso Térreo em Tábuas de Madeira Serrada 18mm 4x reaproveitamento</t>
  </si>
  <si>
    <t>TABUA NAO APARELHADA *2,5 X 20* CM, EM MACARANDUBA/MASSARANDUBA, ANGELIM OU EQUIVALENTE DA REGIAO - BRUTA</t>
  </si>
  <si>
    <t>Fabricação de Fôrma para Pilares, em Chapa de Madeira Compensada Plastificada, E=18mm</t>
  </si>
  <si>
    <t>CHAPA/PAINEL DE MADEIRA COMPENSADA PLASTIFICADA, DE 2200 X 1100 MM, E = 18 MM</t>
  </si>
  <si>
    <t>Fabricação de Fôrma para Vigas, em Chapa de Madeira Compensada Plastificada, E=18mm</t>
  </si>
  <si>
    <t>CHAPA/PAINEL DE MADEIRA COMPENSADA RESINADA, DE 2200 X 1100 MM, E = 18 MM</t>
  </si>
  <si>
    <t>Fabricação de Fôrma para Lajes, em Chapa de Madeira Compensada Plastificada, E=18mm</t>
  </si>
  <si>
    <t>Fabricação de Fôrma para Pilares, em Chapa de Madeira Compensada Resinada, E=18mm</t>
  </si>
  <si>
    <t>Fabricação de Fôrma para Vigas, em Chapa de Madeira Compensada Resinada, E=18mm</t>
  </si>
  <si>
    <t>Fabricação de Fôrma para Lajes, em Chapa de Madeira Compensada Resinada, E=18mm</t>
  </si>
  <si>
    <t>Montagem e Desmontagem de Fôrma de Pilares</t>
  </si>
  <si>
    <t>Montagem e Desmontagem de Fôrma de Vigas</t>
  </si>
  <si>
    <t>Montagem e Desmontagem de Fôrma de Lajes</t>
  </si>
  <si>
    <t xml:space="preserve">Arame Recozido BWG 18 </t>
  </si>
  <si>
    <t>Armação Aço CA-50, Diâmetro de 6,3mm para Supraestrutura, Corte e Dobra em Obra</t>
  </si>
  <si>
    <t>Armação Aço CA-50, Diâmetro de 25,0mm para Supraestrutura, Corte e Dobra em Obra</t>
  </si>
  <si>
    <t>Armação tela Q138 para Suprastrutura (corte e dobra em Obra)</t>
  </si>
  <si>
    <t>TELA ACO CARBONO CA60 M.100X100MM F.04,2MM 245X600CM Q138 (32,34KG/UN)</t>
  </si>
  <si>
    <t>Armação tela Q92 para ContraPiso Armado (corte e dobra em Obra)</t>
  </si>
  <si>
    <t>TELA ACO CARBONO CA60 M.150X150MM F.04,2MM 245X600CM Q92 (21,8KG/UN)</t>
  </si>
  <si>
    <t>Concreto Usinado FCK = 20MPa Bombeavel Para Supraestrutura</t>
  </si>
  <si>
    <t>Concreto Usinado FCK = 30MPa Bombeavel Para Supraestrutura</t>
  </si>
  <si>
    <t>Concreto Usinado FCK = 40MPa Bombeavel Para Supraestrutura</t>
  </si>
  <si>
    <t>Concreto Usinado bombeável 40MPa Convencional</t>
  </si>
  <si>
    <t>Concreto Usinado FCK = 50MPa Bombeavel Para Supraestrutura</t>
  </si>
  <si>
    <t>Concreto Usinado FCK = 50MPa  Bombeavel para Laje de Fundação</t>
  </si>
  <si>
    <t>Laje pré-moldada unidirecional enchimento em cerâmica, vigota convencional,</t>
  </si>
  <si>
    <t>LAJE PRE-MOLDADA CONVENCIONAL (LAJOTAS + VIGOTAS) PARA PISO, UNIDIRECIONAL, SOBRECARGA DE 200 KG/M2, VAO ATE 3,50 M (SEM COLOCACAO)</t>
  </si>
  <si>
    <t>PREGO DE ACO POLIDO COM CABECA 17 x 27 (2 1/2 x 11)</t>
  </si>
  <si>
    <t>Serviço de Instalação de Lajes pré-moldadas</t>
  </si>
  <si>
    <t>Lona Preta Plástica 4x100 Metros 25kg - Agroplastic, Tamanho: 120 Micras</t>
  </si>
  <si>
    <t xml:space="preserve">Protenção de cordoalhas para laje protendida Nervurada Tec- Serviço </t>
  </si>
  <si>
    <t>Acompanhamento e fiscalização na montagem da Protensão, locação de macaco hidráulico e maçarico</t>
  </si>
  <si>
    <t>Corte Final dos Cabos</t>
  </si>
  <si>
    <t>Fechamento dos nichos de Protensão</t>
  </si>
  <si>
    <t>Compatibilização e elaboração do plano de execução dos materiais EVEHX</t>
  </si>
  <si>
    <t>Controle tecnológico da Protensão</t>
  </si>
  <si>
    <t>Protenção de cordoalhas para laje protendida Nervurada Tec - Materiais e acessórios</t>
  </si>
  <si>
    <t>Ancoragem base 1/2" - EHX 0063</t>
  </si>
  <si>
    <t>Cunha 1/2" BI Partida - EHX 0036</t>
  </si>
  <si>
    <t>Pocket Former 1/2 - EHX 0009</t>
  </si>
  <si>
    <t>Adaptador Ancor. (AP2)B Chupeta-EHX 0027</t>
  </si>
  <si>
    <t>Pt-Plug Ø12,7 - 3,8cm</t>
  </si>
  <si>
    <t>Tirante Plast - EHX 0621</t>
  </si>
  <si>
    <t>Apoio Metálico EHX 0072</t>
  </si>
  <si>
    <t>Industrialização dos cabos (Corte, enrolação, pré-blocagem e identificação por cores)</t>
  </si>
  <si>
    <t>Locação de cubetas para laje nervurada</t>
  </si>
  <si>
    <t xml:space="preserve">LOCACAO DE FORMA PLASTICA PARA LAJE NERVURADA, *60* X *60* X *16* CM       </t>
  </si>
  <si>
    <t>Manutenção de cubetas proprias</t>
  </si>
  <si>
    <t>Locação de escoramento metálico pe direito simples</t>
  </si>
  <si>
    <t>LOCACAO DE ESCORA METALICA TELESCOPICA, COM ALTURA REGULAVEL DE *1,80* A *3,20* M</t>
  </si>
  <si>
    <t>Locação topográfica de lajes</t>
  </si>
  <si>
    <t>DIAS</t>
  </si>
  <si>
    <t>Diária de topógrafo</t>
  </si>
  <si>
    <t>Sistema de Ancoragem Provisória e definitiva</t>
  </si>
  <si>
    <t>Serviço de Perfuração de vigas e lajes</t>
  </si>
  <si>
    <t>BLOCO CERÂMICO - 9X19X19cm</t>
  </si>
  <si>
    <t>ARGAMASSA INDUSTRIALIZADA MULTIUSO, PARA REVESTIMENTO INTERNO E EXTERNO E ASSENTAMENTO DE BLOCOS DIVERSOS</t>
  </si>
  <si>
    <t>Alvenaria de vedacao de blocos ceramicos furados na horizontal de 14x19x39cm (espessura 9cm) com argamassa industrializada de assentamento</t>
  </si>
  <si>
    <t>BLOCO CERÂMICO - 14X19X39cm</t>
  </si>
  <si>
    <t>Alvenaria de vedação de blocos de concreto de 09x19x39cm, com argamassa estabilizada</t>
  </si>
  <si>
    <t>BLOCO DE VEDACAO CONCRETO 09X19X39 CM</t>
  </si>
  <si>
    <t>Alvenaria de vedacao de blocos ceramicos maciço de 5,5 cm x 11,5 cm x 24 cm (espessura 5cm) com argamassa industrializada de assentamento</t>
  </si>
  <si>
    <t>BLOCO DE VEDACAO CERAMICO MACIÇO 5,5X11,5X24 CM</t>
  </si>
  <si>
    <t>Alvenaria de vedacao de blocos ceramicos furados na horizontal de 9x19x29cm (espessura 9cm) com argamassa industrializada de assentamento</t>
  </si>
  <si>
    <t>BLOCO DE VEDACAO CERAMICO 09X19X29 CM</t>
  </si>
  <si>
    <t>Alvenaria de vedacao de blocos ceramicos furados na horizontal de 11.5x19x29cm (espessura 11.5cm) com argamassa industrializada de assentamento</t>
  </si>
  <si>
    <t>BLOCO DE VEDACAO CERAMICO 11,5X19X29 CM</t>
  </si>
  <si>
    <t>Alvenaria de vedacao de blocos ceramicos furados na horizontal de 14x19x29cm (espessura 14cm) com argamassa industrializada de assentamento</t>
  </si>
  <si>
    <t>BLOCO DE VEDACAO CERAMICO 14X19X29 CM</t>
  </si>
  <si>
    <t>Alvenaria de vedacao de blocos ceramicos estrutural de 11.5x19x29cm (espessura 11.5cm) com argamassa industrializada de assentamento</t>
  </si>
  <si>
    <t>BLOCO CERÂMICO ESTRUTURAL 04MPA 11,5X19X29CM NBR 6136</t>
  </si>
  <si>
    <t>ARGAMASSA ESTABILIZADA PARA ASSENTAMENTO</t>
  </si>
  <si>
    <t>Alvenaria de vedacao de blocos ceramicos estrutural de 14x19x29cm (espessura 14cm) com argamassa industrializada de assentamento</t>
  </si>
  <si>
    <t>BLOCO CERÂMICO ESTRUTURAL 04MPA 14X19X29CM NBR 6136</t>
  </si>
  <si>
    <t>Alvenaria em Bloco De Concreto Celular 60x30x12,5cm Sical (espessura 12,5cm) com argamassa industrializada de assentamento</t>
  </si>
  <si>
    <t>Bloco Concreto Celular 7,5x30x60</t>
  </si>
  <si>
    <t>Alvenaria em Bloco De Concreto Celular 60x30x7,5cm Sical (espessura 7,5cm) com argamassa industrializada de assentamento</t>
  </si>
  <si>
    <t>Bloco Concreto Celular 12,5x30x60</t>
  </si>
  <si>
    <t>Alvenaria Estrutural Bloco de concreto de 4,0 MPA, com argamassa estabilizada</t>
  </si>
  <si>
    <t>BLOCO CONCRETO ESTRUTURAL 04MPA 14X19X44CM NBR 6136</t>
  </si>
  <si>
    <t>BLOCO CONCRETO ESTRUTURAL 04MPA 14X19X29CM NBR 6136</t>
  </si>
  <si>
    <t>BLOCO CONCRETO ESTRUTURAL 04MPA 14X19X14CM NBR 6136</t>
  </si>
  <si>
    <t>BLOCO CONCRETO ESTRUTURAL 04MPA 14X19X09CM NBR 6136</t>
  </si>
  <si>
    <t>BLOCO CONCRETO ESTRUTURAL 04MPA 14X19X04CM NBR 6136</t>
  </si>
  <si>
    <t>Alvenaria Estrutural Bloco de concreto de 6,0 MPA, com argamassa estabilizada</t>
  </si>
  <si>
    <t>BLOCO CONCRETO ESTRUTURAL 06MPA 14X19X44CM NBR 6136</t>
  </si>
  <si>
    <t>BLOCO CONCRETO ESTRUTURAL 06MPA 14X19X29CM NBR 6136</t>
  </si>
  <si>
    <t>BLOCO CONCRETO ESTRUTURAL 06MPA 14X19X14CM NBR 6136</t>
  </si>
  <si>
    <t>BLOCO CONCRETO ESTRUTURAL 06MPA 14X19X09CM NBR 6136</t>
  </si>
  <si>
    <t>BLOCO CONCRETO ESTRUTURAL 06MPA 14X19X04CM NBR 6136</t>
  </si>
  <si>
    <t>CANALETA CONCRETO ESTRUTURAL "U" 06MPA 14X19X29CM NBR 6136</t>
  </si>
  <si>
    <t>Alvenaria Estrutural Bloco de concreto de 8,0 MPA, com argamassa estabilizada</t>
  </si>
  <si>
    <t>BLOCO CONCRETO ESTRUTURAL 08MPA 19X19X39CM NBR 6136</t>
  </si>
  <si>
    <t>CANALETA CONCRETO ESTRUTURAL "U" 08MPA 19X19X39CM NBR 6136</t>
  </si>
  <si>
    <t>Grout 15 Mpa</t>
  </si>
  <si>
    <t>Grout 20 Mpa</t>
  </si>
  <si>
    <t>Cobogó em concreto vazado 20x20cm</t>
  </si>
  <si>
    <t>ELEMENTO VAZADO CERAMICO QUADRADO</t>
  </si>
  <si>
    <t>Tijolo refratário para churrasqueiras 5x11,5x23cm com argamassa</t>
  </si>
  <si>
    <t>TIJOLO REFRATÁRIO 5 X 11,5 X 23 CM</t>
  </si>
  <si>
    <t>ARGAMASSA REFRATÁRIA</t>
  </si>
  <si>
    <t>Tijolo refratário para churrasqueiras 2,5x11,5x23cm com argamassa</t>
  </si>
  <si>
    <t>TIJOLO REFRATÁRIO 2,5 X 11,5 X 23 CM</t>
  </si>
  <si>
    <t>Encunhamento De Alvenaria De Vedação Com Argamassa Expansiva</t>
  </si>
  <si>
    <t>ADITIVO EXPANSOR EM PÓ</t>
  </si>
  <si>
    <t>Tela soldada para ligacao alvenaria/estrutura</t>
  </si>
  <si>
    <t>PINO DE ACO COM FURO, HASTE = 27 MM (ACAO DIRETA)</t>
  </si>
  <si>
    <t>TELA DE ACO SOLDADA GALVANIZADA/ZINCADA PARA ALVENARIA, FIO D = *1,20 A 1,70* MM, MALHA 15 X 15 MM, (C X L) *50 X 17,5* CM</t>
  </si>
  <si>
    <t>CARTUCHO/MUNIÇÃO FINCAPINO 22</t>
  </si>
  <si>
    <t>ESPACADOR / DISTANCIADOR CIRCULAR COM ENTRADA LATERAL, EM PLASTICO, PARA VERGALHAO *4,2 A 12,5* MM, COBRIMENTO 40 MM</t>
  </si>
  <si>
    <t>Estrutura e fechamento em drywall Parede Drywall montande 48</t>
  </si>
  <si>
    <t xml:space="preserve">Estrutura e fechamento em drywall Parede Drywall </t>
  </si>
  <si>
    <t>Estrutura e fechamento em drywall Parede Drywall montande 90</t>
  </si>
  <si>
    <t>Reforços Para Paredes em Drywall</t>
  </si>
  <si>
    <t>Parede Com Sistema Em Chapas De Gesso Para Drywall, Uso Interno, Montante 48mm, Com Duas Face Simples Standart e isolamento com Lâ de Vidro (ST/48/ST)</t>
  </si>
  <si>
    <t>SERVICO - CONFECCAO SHAFT GESSO</t>
  </si>
  <si>
    <t>PLACA / CHAPA DE GESSO ACARTONADO, STANDARD (ST), COR BRANCA, E = 12,5 MM, 1200 X 2400 MM (L X C)</t>
  </si>
  <si>
    <t>PINO DE ACO COM ARRUELA CONICA, DIAMETRO ARRUELA = *23* MM E COMP HASTE = *27* MM (ACAO INDIRETA)</t>
  </si>
  <si>
    <t>PERFIL GUIA, FORMATO U, EM ACO ZINCADO, PARA ESTRUTURA PAREDE DRYWALL, E = 0,5 MM, 48 X 3000 MM (L X C)</t>
  </si>
  <si>
    <t>PERFIL MONTANTE, FORMATO C, EM ACO ZINCADO, PARA ESTRUTURA PAREDE DRYWALL, E = 0,5 MM, 48 X 3000 MM (L X C)</t>
  </si>
  <si>
    <t>MASSA DE REJUNTE EM PO PARA DRYWALL, A BASE DE GESSO, SECAGEM RAPIDA, PARA TRATAMENTO DE JUNTAS DE CHAPA DE GESSO (NECESSITA ADICAO DE AGUA)</t>
  </si>
  <si>
    <t>FITA DE PAPEL MICROPERFURADO, 50 X 150 MM, PARA TRATAMENTO DE JUNTAS DE CHAPA DE GESSO PARA DRYWALL</t>
  </si>
  <si>
    <t>FITA DE PAPEL REFORCADA COM LAMINA DE METAL PARA REFORCO DE CANTOS DE CHAPA DE GESSO PARA DRYWALL</t>
  </si>
  <si>
    <t>PARAFUSO DRY WALL, EM ACO FOSFATIZADO, CABECA TROMBETA E PONTA AGULHA (TA), COMPRIMENTO 25 MM</t>
  </si>
  <si>
    <t>PARAFUSO DRY WALL, EM ACO ZINCADO, CABECA LENTILHA E PONTA BROCA (LB), LARGURA 4,2 MM, COMPRIMENTO 13 MM</t>
  </si>
  <si>
    <t>LÂ DE VIDRO PARA ISOLAMENTO 50mm</t>
  </si>
  <si>
    <t>PERFIL GUIA, FORMATO U, EM ACO ZINCADO, PARA ESTRUTURA PAREDE DRYWALL, E = 0,5 MM, 90 X 3000 MM (L X C)</t>
  </si>
  <si>
    <t>PERFIL MONTANTE, FORMATO C, EM ACO ZINCADO, PARA ESTRUTURA PAREDE DRYWALL, E = 0,5 MM, 90 X 3000 MM (L X C)</t>
  </si>
  <si>
    <t>Parede Com Sistema Em Chapas De Gesso Para Drywall, Uso Interno, Montante 70mm, Com Duas Face Simples Standart e isolamento com Lâ de Vidro (ST/70/ST)</t>
  </si>
  <si>
    <t>PERFIL GUIA, FORMATO U, EM ACO ZINCADO, PARA ESTRUTURA PAREDE DRYWALL, E = 0,5 MM, 70 X 3000 MM (L X C)</t>
  </si>
  <si>
    <t>PERFIL MONTANTE, FORMATO C, EM ACO ZINCADO, PARA ESTRUTURA PAREDE DRYWALL, E = 0,5 MM, 70 X 3000 MM (L X C)</t>
  </si>
  <si>
    <t>Fechamento de Shaft em Chapas De Gesso Para Drywall, Uso Interno, Montante 90mm, Com Duas Face Simples Resistente à Umidade e isolamento com Lâ de Vidro (RU/90/RU)</t>
  </si>
  <si>
    <t>PLACA / CHAPA DE GESSO ACARTONADO, RESISTENTE A UMIDADE (RU), COR VERDE, E = 12,5 MM, 1200 X 2400 MM (L X C)</t>
  </si>
  <si>
    <t>Parede Com Sistema Em Chapas De Gesso Para Drywall, Uso Interno, Montante 70mm, Com Uma Face Simples Resistente à Umidade e isolamento com Lâ de Vidro (RU/70)</t>
  </si>
  <si>
    <t>Enchimento de parede em Chapas De Gesso Para Drywall, Uso Interno, Montante 70mm, Com Uma Face Simples Resistente à Umidade e isolamento com Lâ de Vidro (RU/70)</t>
  </si>
  <si>
    <t>Placa de Zinco Metálico</t>
  </si>
  <si>
    <t>Chapa de Aço Galvanizada 1,55mm (Chapa 16) x 1200mm x 3000mm</t>
  </si>
  <si>
    <t>Mão de obra para assentamento de blocos concreto</t>
  </si>
  <si>
    <t>Mão de obra para assentamento de blocos concreto Estrutural</t>
  </si>
  <si>
    <t xml:space="preserve">INSTALAÇÕES PREVENTIVAS E GLP </t>
  </si>
  <si>
    <t>Churrasqueiras kit Gourmet Médio Inox 304</t>
  </si>
  <si>
    <t>Instalação de Churrasqueiras</t>
  </si>
  <si>
    <t>Churrasqueiras Pré-Moldadas</t>
  </si>
  <si>
    <t xml:space="preserve">Regularização de superfície para impermeabilização </t>
  </si>
  <si>
    <t>AREIA MEDIA</t>
  </si>
  <si>
    <t>Proteção mecânica de superfície com argamassa de cimento e areia, traço 1:3 E=5cm</t>
  </si>
  <si>
    <t>Argamassa usninada para contrapiso</t>
  </si>
  <si>
    <t>Tela de arame galvanizada, hexagonal, fio 0,56 mm (24 bwg), malha 1/2", h = 1 m</t>
  </si>
  <si>
    <t>emulsão asfáltica de alta resistência química</t>
  </si>
  <si>
    <t>Impermeabilização de Laje Sob Solo com Tinta Asfáltica (Neutrol) Com Adtivo</t>
  </si>
  <si>
    <t>Aditivo Adesivo Liquido Para Impermeabilização</t>
  </si>
  <si>
    <t>Impermeabilização De Superfície Com Mebrana Impermeável, Uma Camada, Inclusive Aplicação De Primer Asfáltico</t>
  </si>
  <si>
    <t>PRIMER PARA MANTA ASFALTICA A BASE DE ASFALTO MODIFICADO DILUIDO EM SOLVENTE, APLICACAO A FRIO</t>
  </si>
  <si>
    <t>Membrana Impermeável Respirável - 1,30x50m</t>
  </si>
  <si>
    <t>Impermeabilização De Superfície Com Manta Asfáltica, Uma Camada, Inclusive Aplicação De Primer Asfáltico</t>
  </si>
  <si>
    <t>MANTA ASFALTICA ELASTOMERICA EM POLIESTER 4 MM, TIPO III, CLASSE B, ACABAMENTO PP (NBR 9952)</t>
  </si>
  <si>
    <t>Impermeabilização De Superfície Com Manta Asfáltica, Duas Camada, Inclusive Aplicação De Primer Asfáltico</t>
  </si>
  <si>
    <t>MANTA ASFALTICA ELASTOMERICA EM POLIESTER 3 MM, TIPO III, CLASSE B, ACABAMENTO PP (NBR 9952)</t>
  </si>
  <si>
    <t>Impermeabilização com manta aluminio em telhados</t>
  </si>
  <si>
    <t>Manta Asfáltica Drykomanta Polialum 4mm Tipo ll 10m Dryko</t>
  </si>
  <si>
    <t>Impermeabilização De Superfície Com Membrana de Polímero</t>
  </si>
  <si>
    <t>Membrana de polímeros acrílicos com cimento e com fibras</t>
  </si>
  <si>
    <t>Impermeabilização De Superfície Com Argamassa Polimérica / Membrana Acrílica, 3 Demãos</t>
  </si>
  <si>
    <t>Argamassa polimerica impermeabilizante semiflexivel, bicomponente, a base de cimento e aditivos</t>
  </si>
  <si>
    <t>Impermeabilização De Superfície Com Argamassa Polimérica / Membrana Acrílica, 3 Demãos Com Aditivos</t>
  </si>
  <si>
    <t>Impermeabilização com manta liquida poliuretano, 3 demãos sem tela estruturante.</t>
  </si>
  <si>
    <t>Manta Líquida - Igolflex Pu (consumo = 400g/m2)</t>
  </si>
  <si>
    <t>Impermeabilização com manta liquida em peitoris</t>
  </si>
  <si>
    <t>Impermeabilizante manta liquida branca</t>
  </si>
  <si>
    <t>Veu de poliester para impermeabilizacao</t>
  </si>
  <si>
    <t>Mão de obra impermeabilização de superfície com manta líquida</t>
  </si>
  <si>
    <t>Mão de obra impermeabilização com membrana de polimero</t>
  </si>
  <si>
    <t>Mão de obra impermeabilização com emulsão Asfaltica</t>
  </si>
  <si>
    <t>Mão de obra impermeabilização com manta liquida em peitoris</t>
  </si>
  <si>
    <t>Argamassa ACIII</t>
  </si>
  <si>
    <t>Chapisco aplicado em estruturas de concreto, com argamassa pré-fabricada adesiva de cimento colante, aplicação convencional</t>
  </si>
  <si>
    <t>Aditivo Bianco Adesivo Argamassa Chapisco </t>
  </si>
  <si>
    <t>Chapisco aplicados em alvenaria, com argamassa estabilizada, aplicação convencional.</t>
  </si>
  <si>
    <t xml:space="preserve">ARGAMASSA TRAÇO 1:5 (EM VOLUME DE CIMENTO E AREIA GROSSA ÚMIDA) PARA CHAPISCO CONVENCIONAL, PREPARO MANUAL. </t>
  </si>
  <si>
    <t>ARGAMASSA ESTABILIZADA PARA CHAPISCO</t>
  </si>
  <si>
    <t xml:space="preserve">Chapisco externo de argamassa estabilizada, aplicados em alvenaria, aplicação convencional em paredes externas </t>
  </si>
  <si>
    <t>Argamassa industrializada para Para Chapisco Colante</t>
  </si>
  <si>
    <t>Aplicação manual de gesso sarrafeado em paredes, espessura de 1,5cm, com execução de taliscas</t>
  </si>
  <si>
    <t xml:space="preserve">	GESSO EM PÓ PARA REVESTIMENTOS</t>
  </si>
  <si>
    <t>Aplicação manual de massa para Drywall em paredes, com execução de taliscas</t>
  </si>
  <si>
    <t>Massa para Drywall 25kg</t>
  </si>
  <si>
    <t>Argamassa Usinada para emboço/massa única</t>
  </si>
  <si>
    <t>LIXA EM FOLHA PARA FERRO, NÚMERO 100</t>
  </si>
  <si>
    <t>CIMENTO BRANCO NÃO ESTRUTURAL</t>
  </si>
  <si>
    <t>ADESIVO DE BASE ACRÍLICA COMPATÍVEL COM CIMENTO</t>
  </si>
  <si>
    <t xml:space="preserve">Regularização de Parede 0,50 cm </t>
  </si>
  <si>
    <t>Aditivo Adesivo Liquido Para Argamassas De Revestimentos Cimenticios</t>
  </si>
  <si>
    <t>Revestimento de cerâmico retificado em Paredes, Placa 60,5 x 60,5cm com Junta de 2mm</t>
  </si>
  <si>
    <t>Cer. Karina Artisan 60305 Act. 60x60 Ret</t>
  </si>
  <si>
    <t>Espeçador junta piso 2mm</t>
  </si>
  <si>
    <t>Rejunte Cimentício</t>
  </si>
  <si>
    <t>Revestimento de parede em porcelanato, placa 30x90cm</t>
  </si>
  <si>
    <t xml:space="preserve">Porcelanato A 30x60 Polido </t>
  </si>
  <si>
    <t>Revestimento de parede em porcelanato, placa 30x60cm</t>
  </si>
  <si>
    <t>Revestimento Pastilha 07x24cm</t>
  </si>
  <si>
    <t>Espeçador junta piso 3mm</t>
  </si>
  <si>
    <t>Revestimento em Ladrilhos para Piscina, Branco Mate 15x15 com Juntas</t>
  </si>
  <si>
    <t>PASTILHA DE PORCELANA ATLAS 15x15 GRANEL ISLA M16112</t>
  </si>
  <si>
    <t>Revestimento Pastilha 14,5x14,5cm</t>
  </si>
  <si>
    <t>Pingadeira em marmore cinza, esp. 2cm</t>
  </si>
  <si>
    <t>Marmore Cinza</t>
  </si>
  <si>
    <t>Peitoril em Granito, esp. 2cm</t>
  </si>
  <si>
    <t xml:space="preserve">Granito Comercial </t>
  </si>
  <si>
    <t>Peitoril em pedra natural,  esp. 2cm</t>
  </si>
  <si>
    <t>Pedra Natural  para Revestimento</t>
  </si>
  <si>
    <t>Nicho em Marmore Carrara Branco</t>
  </si>
  <si>
    <t>Nicho Em Porcelanato 65x35cm Carrara Cristal Borda Dupla</t>
  </si>
  <si>
    <t>Revestimento de Marmore Preto em batente de elevador</t>
  </si>
  <si>
    <t>Marmore Preto</t>
  </si>
  <si>
    <t>Massa Plastica 400g</t>
  </si>
  <si>
    <t>Mão de obra execução de massa para Drywall em paredes</t>
  </si>
  <si>
    <t>Mão de obra execução de massa de gesso em paredes</t>
  </si>
  <si>
    <t xml:space="preserve">Regularização de Teto 0,50 cm </t>
  </si>
  <si>
    <t>Estucamento de teto</t>
  </si>
  <si>
    <t>Cortineiro em gesso</t>
  </si>
  <si>
    <t>Cortineiro Isopor Cortina Sanca 1 Metro 15cm L X 10cm A - Branco, , COLOR Branco</t>
  </si>
  <si>
    <t>Isolmento acustico em teto</t>
  </si>
  <si>
    <t>Forro De Fibra Mineral Armstrong Ceilings Scala Lay-in 1250 X 625 X 16mm</t>
  </si>
  <si>
    <t>Gesso corrido em tetos - Material e Mão de Obra</t>
  </si>
  <si>
    <t>Forro de gesso corrido - Material e Mão de Obra</t>
  </si>
  <si>
    <t>Forro de gesso acartonado - áreas secas - Material e Mão de Obra</t>
  </si>
  <si>
    <t>Forro de gesso acartonado - áreas úmidas - Material e Mão de Obra</t>
  </si>
  <si>
    <t>Forro Removível - Material e Mão de Obra</t>
  </si>
  <si>
    <t>Madeira Amescla para acabamento</t>
  </si>
  <si>
    <t>Mão de obra instalação de forro de madeira</t>
  </si>
  <si>
    <t>Forro de Porcelanato - Material e Mão de Obra</t>
  </si>
  <si>
    <t>Mão de obra instalação de Porcelanato no teto</t>
  </si>
  <si>
    <t>Enchimento de escada com Concreto Magro, e=10cm</t>
  </si>
  <si>
    <t>Cimento Autonivelante para Contrapiso </t>
  </si>
  <si>
    <t>Contrapiso comum em argamassa estabilizada, nao aderido, espessura 2cm</t>
  </si>
  <si>
    <t>Contrapiso comum em argamassa estabilizada, nao aderido, espessura 2,5cm</t>
  </si>
  <si>
    <t>Contrapiso comum em argamassa estabilizada, nao aderido, espessura 8cm</t>
  </si>
  <si>
    <t>Contrapiso comum em argamassa estabilizada, nao aderido, espessura 10cm</t>
  </si>
  <si>
    <t>Contrapiso comum em argamassa estabilizada, nao aderido, espessura 12cm</t>
  </si>
  <si>
    <t>Contrapiso comum em argamassa estabilizada, nao aderido, espessura 13cm</t>
  </si>
  <si>
    <t>Contrapiso comum em argamassa estabilizada, nao aderido, espessura 15cm</t>
  </si>
  <si>
    <t>Contrapiso comum em argamassa Ensacada virada em obra, espessura 5cm</t>
  </si>
  <si>
    <t>Argamassa ensacada para contrapiso</t>
  </si>
  <si>
    <t>Contrapiso comum em argamassa Ensacada virada em obra, espessura 8cm</t>
  </si>
  <si>
    <t>Contrapiso comum em argamassa Ensacada virada em obra, espessura 10cm</t>
  </si>
  <si>
    <t>Contrapiso comum em argamassa Ensacada virada em obra, espessura 12cm</t>
  </si>
  <si>
    <t>Contrapiso comum em argamassa Ensacada virada em obra, espessura 13cm</t>
  </si>
  <si>
    <t>Contrapiso comum em argamassa Ensacada virada em obra, espessura 15cm</t>
  </si>
  <si>
    <t>Acústica para Contrapiso com malha de aço</t>
  </si>
  <si>
    <t>Manta De Polietileno Expandido (Pebd), E = 2 Mm</t>
  </si>
  <si>
    <t>Acústica para Contrapiso anti-impacto</t>
  </si>
  <si>
    <t>Manta Isolamento Acústico Laje Piso Passo 8mm</t>
  </si>
  <si>
    <t>Regularização de Piso 0,50cm - Autonivelado</t>
  </si>
  <si>
    <t xml:space="preserve">Regularização de Piso 1,00 cm </t>
  </si>
  <si>
    <t xml:space="preserve">Regularização de Piso 1,50 cm </t>
  </si>
  <si>
    <t xml:space="preserve">Regularização de Piso 2,00 cm </t>
  </si>
  <si>
    <t xml:space="preserve">Regularização de Piso 3,00 cm </t>
  </si>
  <si>
    <t xml:space="preserve">Regularização de Piso 4,00 cm </t>
  </si>
  <si>
    <t>Regularização de Piso 3,00 cm - argila expansiva</t>
  </si>
  <si>
    <t>Argila expandida</t>
  </si>
  <si>
    <t xml:space="preserve">Piso de concreto polido, espessura 2cm </t>
  </si>
  <si>
    <t>Piso cimentado acabamento rústico 6cm</t>
  </si>
  <si>
    <t>Piso de concreto, acabamento desempenado, espessura 6 cm</t>
  </si>
  <si>
    <t>SARRAFO 2,5X10 CM PINUS*</t>
  </si>
  <si>
    <t>ENDURECEDOR MINERAL DE BASE CIMENTICIA PARA PISO DE CONCRETO</t>
  </si>
  <si>
    <t>Lapidação de piso com lixas diamantadas</t>
  </si>
  <si>
    <t>Enchimento de piso - com areia média - Material e Mão de obra</t>
  </si>
  <si>
    <t>Mão de obra de enchimento de piso</t>
  </si>
  <si>
    <t xml:space="preserve">Deck de madeira - material e mão de obra </t>
  </si>
  <si>
    <t>DECKS COMPOSTOS DE MADEIRA ECOLÓGICA PARA EXTERIORES</t>
  </si>
  <si>
    <t>Mão de obra de instalação de deck de madeira</t>
  </si>
  <si>
    <t>Pisos Para Academia Emborrachado</t>
  </si>
  <si>
    <t>Pisos Para Academia e Crossfit Emborrachado - 50 x 50 cm</t>
  </si>
  <si>
    <t>Gradil metálico - Material e Mão de obra</t>
  </si>
  <si>
    <t>GRADE PISO ACO ASTM A36 LISO ACB. DES. PADRAO GALV A FOGO - 2,2x1,34</t>
  </si>
  <si>
    <t>Gradil metálico para Piso - Material e Mão de obra</t>
  </si>
  <si>
    <t>Gradil metálico</t>
  </si>
  <si>
    <t>Piso elevado - Material e Mão de obra</t>
  </si>
  <si>
    <t>Piso elevado</t>
  </si>
  <si>
    <t>Mão de obra execução de piso elevado</t>
  </si>
  <si>
    <t>Filete metálico - divisória entre pisos</t>
  </si>
  <si>
    <t>Filete metálico - divisória entre pisos - aluminio escovado</t>
  </si>
  <si>
    <t>Revestimento de piso em grama</t>
  </si>
  <si>
    <t>Terra vegetal</t>
  </si>
  <si>
    <t>Grama esmeralda</t>
  </si>
  <si>
    <t>Porcelanato Amadeirado Acetinado 19x117cm</t>
  </si>
  <si>
    <t>Revestimento de Piso Porcelanato Polido, Placa 60x60cm</t>
  </si>
  <si>
    <t>Porcelanato "A" 60x60 Place Polido 8058873 Eliane</t>
  </si>
  <si>
    <t xml:space="preserve">Porcelanato A 90x90 Polido </t>
  </si>
  <si>
    <t>Revestimento de Piso Porcelanato Polido, Placa 120x120cm</t>
  </si>
  <si>
    <t>Porcelanato Polido Eliane Place "A" 120x120</t>
  </si>
  <si>
    <t>Revestimento de Piso Porcelanato Acetinado, Placa 60x60cm</t>
  </si>
  <si>
    <t xml:space="preserve">Porcelanato A 90x90cm acetinado </t>
  </si>
  <si>
    <t>Revestimento de Piso Porcelanato Acetinado, Placa 84x84cm (Porcelanato, rejunte, argamassa e espaçador)</t>
  </si>
  <si>
    <t xml:space="preserve">Porcelanato A 84x84cm acetinado </t>
  </si>
  <si>
    <t>Revestimento de Piso Porcelanato Acetinado, Placa 90x90cm</t>
  </si>
  <si>
    <t>Revestimento de Piso Porcelanato Acetinado, Placa 120x120cm</t>
  </si>
  <si>
    <t>Porcelanato Acetinado 120x120cm</t>
  </si>
  <si>
    <t>Revestimento em Cerâmicas Pisos Internos, 60x 60cm com Junta de 3mm</t>
  </si>
  <si>
    <t>Revestimento Cerâmico de Piso Interno 58x58</t>
  </si>
  <si>
    <t>Argamassa ACII</t>
  </si>
  <si>
    <t>Revestimento em Cerâmicas Pisos Internos, 45x 45cm com Junta de 3mm</t>
  </si>
  <si>
    <t>Piso Cargo Plus 45x45cm White Eliane</t>
  </si>
  <si>
    <t>Revestimento em Porcelanato Piso Externo, 60x 60cm com Junta de 3mm</t>
  </si>
  <si>
    <t>Porcelanato Arena Cinza Bold Externo 60x60 Eliane</t>
  </si>
  <si>
    <t xml:space="preserve">Revestimento em Pastilhas Cerâmicas Para Piscinas , 20 x 20cm com Junta de 2mm </t>
  </si>
  <si>
    <t>Revestimento Portinari Pacific Bl Lux Bold 20x20</t>
  </si>
  <si>
    <t>Adesivo Acrilico De Base Aquosa / Cola De Contato</t>
  </si>
  <si>
    <t>Piso de borracha Daud botão preto 3 x 500 x 500 mm</t>
  </si>
  <si>
    <t>Instalação de piso emborrachado</t>
  </si>
  <si>
    <t>Revestimento de Granito cinza em Pisos</t>
  </si>
  <si>
    <t>Revestimento de Pedras Naturais em Pisos</t>
  </si>
  <si>
    <t>PISO VINILICO RUFFINO SOFISTICATO 2MM - MATERIAL E MÃO DE OBRA</t>
  </si>
  <si>
    <t>Cola Branca base PVA</t>
  </si>
  <si>
    <t>Rodapé de Pedra Natural h=15cm</t>
  </si>
  <si>
    <t>Rodapé de Pedra Natural h=30cm</t>
  </si>
  <si>
    <t>Rodapé de Poliestireno h=15cm</t>
  </si>
  <si>
    <t>Rodape Em Poliestireno, H = 15cm</t>
  </si>
  <si>
    <t>Rodapé de Poliestireno h=20cm</t>
  </si>
  <si>
    <t>Rodape Em Poliestireno, H = 20cm</t>
  </si>
  <si>
    <t>Rodapé de Marmore cinza h=15cm</t>
  </si>
  <si>
    <t>Rodape Em Poliestireno, H = 10cm</t>
  </si>
  <si>
    <t>Rodape Em Poliestireno, H = 7cm</t>
  </si>
  <si>
    <t>Rodapé de porcelanato h=16,5cm</t>
  </si>
  <si>
    <t>Soleira em Porcelanato, largura 7cm - espessura 2cm</t>
  </si>
  <si>
    <t>Soleira em pedra natural, largura 15cm - espessura 2cm</t>
  </si>
  <si>
    <t>Piso Petit Pave</t>
  </si>
  <si>
    <t>Petit Pavé Branco Pedra Portuguesa</t>
  </si>
  <si>
    <t>PO DE PEDRA </t>
  </si>
  <si>
    <t>Piso drenante - 45x45x5</t>
  </si>
  <si>
    <t>Piso em concreto intertravado</t>
  </si>
  <si>
    <t>Piso Intertravado Retangular 10x20x08 </t>
  </si>
  <si>
    <t>Mão de obra execução Piso drenantes</t>
  </si>
  <si>
    <t>Mão de obra execução Piso Intertravado</t>
  </si>
  <si>
    <t>Mão de obra execução Piso de concreto</t>
  </si>
  <si>
    <t>Mão de obra de colocação de soleira em porcelanato</t>
  </si>
  <si>
    <t>Mão de obra de colocação de soleira em pedra natural</t>
  </si>
  <si>
    <t>PINTURA DE RODAPÉ COM TINTA EPÓXI, APLICAÇÃO MANUAL, 2 DEMÃOS, INCLUSÃO PRIMER EPÓXI</t>
  </si>
  <si>
    <t>Diluente Epoxi</t>
  </si>
  <si>
    <t>Fita Crepe Rolo De 25 Mm X 50 M</t>
  </si>
  <si>
    <t>Primer Epoxi / Epoxidico</t>
  </si>
  <si>
    <t>Tinta Epoxi Base Agua Premium</t>
  </si>
  <si>
    <t>Pintura em Resina em Rodapé, Aplicação Manual, 2 Demãos</t>
  </si>
  <si>
    <t>DILUENTE AGUARRAS</t>
  </si>
  <si>
    <t>Pintura em Epóxi para demarcação de vagas em piso, 1 demão</t>
  </si>
  <si>
    <t>Pintura em Esmalte em Piso, Aplicação Manual, 2 Demãos</t>
  </si>
  <si>
    <t>Tinta Esmalte</t>
  </si>
  <si>
    <t>Pintura em Látex Acrilica para demarcação de vagas em piso, 1 demão</t>
  </si>
  <si>
    <t>TINTA ACRILICA PREMIUM </t>
  </si>
  <si>
    <t>Pintura Com Tinta Latex Acrilica com selador e massa em Paredes Internas, 3 Demaos</t>
  </si>
  <si>
    <t>Massa corrida para superfícies de ambientes internos</t>
  </si>
  <si>
    <t>Selador Primer Ibratin - 4,2kg - 3,6L</t>
  </si>
  <si>
    <t>MASSA PREMIUM PARA TEXTURA LISA DE BASE ACRILICA</t>
  </si>
  <si>
    <t xml:space="preserve">Pintura com tinta látex acrílica com selador e massa em tetos, 3 demãos </t>
  </si>
  <si>
    <t>Piso Podotátil Alerta Amarelo 20x20cm Cimartex</t>
  </si>
  <si>
    <t>Mão de obra para pintura em pisos , 2 demãos</t>
  </si>
  <si>
    <t>Mão de obra para pintura em rodapés, 3 demãos</t>
  </si>
  <si>
    <t>Mão de obra para demarcação de vagas, 3 demãos</t>
  </si>
  <si>
    <t>Mão de obra para Textura em paredes internas, 1 demãos</t>
  </si>
  <si>
    <t>Mão de obra para pintura em paredes internas, 3 demãos</t>
  </si>
  <si>
    <t>Mão de obra para pintura em teto, 3 demãos</t>
  </si>
  <si>
    <t>Mão de obra para textura em teto, 1 demão</t>
  </si>
  <si>
    <t>ESQUADRIAS</t>
  </si>
  <si>
    <t>Serviço de fixação de contramarco de aço</t>
  </si>
  <si>
    <t>Serviço de fixação de contramarco de aluminio</t>
  </si>
  <si>
    <t xml:space="preserve">CONTRAMARCO DE ALUMINIO </t>
  </si>
  <si>
    <t>PAINEL EM BRISE MARROM</t>
  </si>
  <si>
    <t>Guarda Corpo de Vidro e Aluminio - fornecimento e instalação</t>
  </si>
  <si>
    <t>Guarda Corpo de aluminio (gradil) - fornecimento e instalação</t>
  </si>
  <si>
    <t>Alçapão de aluminio</t>
  </si>
  <si>
    <t>Portão de vidro - 85x280 cm</t>
  </si>
  <si>
    <t>Moldura em alumínio para churrasqueiras - fornecimento e instalação</t>
  </si>
  <si>
    <t>Enchimento - Esquadrias</t>
  </si>
  <si>
    <t>Corrimão de Madeira - fornecimento e instalação</t>
  </si>
  <si>
    <t>Corrimão de inox - fornecimento e instalação</t>
  </si>
  <si>
    <t>Porta de madeira de abrir - 60x215cm (kit completo) - fixação com espuma expansiva</t>
  </si>
  <si>
    <t>Porta de madeira de abrir - 60x215cm (kit completo)</t>
  </si>
  <si>
    <t>Espuma Expansiva de PU 740 gramas</t>
  </si>
  <si>
    <t>Porta de madeira de abrir - 70x210cm (kit completo) - fixação com espuma expansiva</t>
  </si>
  <si>
    <t>Porta de madeira de abrir - 70x210cm (kit completo)</t>
  </si>
  <si>
    <t>Porta de madeira de abrir - 76x210cm (kit completo) - fixação com espuma expansiva</t>
  </si>
  <si>
    <t>Porta de madeira de abrir - 76x210cm (kit completo)</t>
  </si>
  <si>
    <t>Porta de madeira de abrir - 80x215cm (kit completo) - fixação com espuma expansiva</t>
  </si>
  <si>
    <t>Porta de madeira de abrir - 80x215cm (kit completo)</t>
  </si>
  <si>
    <t>Porta de madeira de abrir - 60x210cm (kit completo) - fixação com espuma expansiva</t>
  </si>
  <si>
    <t>Porta de madeira de abrir - 60x210cm (kit completo)</t>
  </si>
  <si>
    <t>Porta de madeira de abrir - 80x210cm (kit completo) - fixação com espuma expansiva</t>
  </si>
  <si>
    <t>Porta de madeira de abrir - 80x210cm (kit completo)</t>
  </si>
  <si>
    <t>Porta de madeira de abrir - 90x210cm (kit completo) - fixação com espuma expansiva</t>
  </si>
  <si>
    <t>Porta de madeira de abrir - 90x210cm (kit completo)</t>
  </si>
  <si>
    <t>Porta de madeira de abrir - 90x215cm (kit completo) - fixação com espuma expansiva</t>
  </si>
  <si>
    <t>Porta de madeira de abrir - 90x215cm (kit completo)</t>
  </si>
  <si>
    <t>Porta de madeira de abrir - 105x215cm (kit completo) - fixação com espuma expansiva</t>
  </si>
  <si>
    <t>Porta de madeira de abrir - 105x215cm (kit completo)</t>
  </si>
  <si>
    <t>Porta de madeira de abrir - 140x210cm (kit completo) - fixação com espuma expansiva</t>
  </si>
  <si>
    <t>Porta de madeira de Correr - 60x210cm (kit completo) - fixação com espuma expansiva</t>
  </si>
  <si>
    <t>Porta de madeira de Correr - 60x210cm (kit completo)</t>
  </si>
  <si>
    <t>Fechadura Eletronica</t>
  </si>
  <si>
    <t>Fechadura Inteligente Eletrônica Facial Digital D22 Cor Preto</t>
  </si>
  <si>
    <t>Portão, 1 folha, 500x235 cm</t>
  </si>
  <si>
    <t>Porta corta-fogo, 2 folha, 152x126 cm</t>
  </si>
  <si>
    <t>FACHADA</t>
  </si>
  <si>
    <t>Moldura em EPS fachada</t>
  </si>
  <si>
    <t>Moldura EPS</t>
  </si>
  <si>
    <t>Presilha de fixação Painel Wall EspaçoFix</t>
  </si>
  <si>
    <t>Revestimento em Pedra Natural São Tomé</t>
  </si>
  <si>
    <t>Mosaico São Tomé Para Paredes e Fachadas</t>
  </si>
  <si>
    <t>Pintura PVA Acrílica Cinza Externa 3 Demãos</t>
  </si>
  <si>
    <t>Pintura PVA Acrílica Verde Externa 3 Demãos</t>
  </si>
  <si>
    <t>Revestimento em Pedra Natural Aplicado em Fachadas Para Espelho da água</t>
  </si>
  <si>
    <t>Black Lava Brick (Hitam)</t>
  </si>
  <si>
    <t>Revestimento em Pedra Natural Aplicado em Fachadas Para fogueira</t>
  </si>
  <si>
    <t>Granito siena branco</t>
  </si>
  <si>
    <t>Porcelanato Canela Dourada Retificado Natural 20x120</t>
  </si>
  <si>
    <t>Revestimento em Cerâmico Tijolinho, aplicação em Fachada</t>
  </si>
  <si>
    <t>REVESTIMENTO CERÂMICO DE TIJOLINHO</t>
  </si>
  <si>
    <t>Revestimento Tresuno Concreto Ripado Cinza</t>
  </si>
  <si>
    <t>Revestimento Ripado de Concreto</t>
  </si>
  <si>
    <t>Chapisco externo aplicados em alvenaria, com argamassa estabilizada, aplicação convencional.</t>
  </si>
  <si>
    <t>Substrutura de alumínio para fachada ventilada</t>
  </si>
  <si>
    <t>Sistema e Instalação de Fachada Ventilada. Mecanização das peças, arremate das esquadrias e Fretes</t>
  </si>
  <si>
    <t>Acabamento em Porcelanato 1,20x60 para fachada ventilada</t>
  </si>
  <si>
    <t>PAINEL PORCELANATO MATERIA CALCARIO AC 60X120 CM, com
aplicação de Tela de Fibra de Vidro.</t>
  </si>
  <si>
    <t>TECNOLOGIA CLEANTEC EV</t>
  </si>
  <si>
    <t>Textura acrílica, acabamento granulado, aplicação em paredes externas - 1 demão - Cimento Queimado</t>
  </si>
  <si>
    <t>Cimento Queimado 4,2kg Elegance - Cor: Tubarão</t>
  </si>
  <si>
    <t>Textura acrílica, acabamento granulado, aplicação em paredes externas - 1 demão - Effeti Branco</t>
  </si>
  <si>
    <t>Textura Ibratin: Effetti Branco</t>
  </si>
  <si>
    <t>Textura acrílica, acabamento granulado, aplicação em paredes externas - 1 demão - Essen Máximo</t>
  </si>
  <si>
    <t>Textura Efeito Estrelado - Cor: Palha - 4,2kg</t>
  </si>
  <si>
    <t>Textura acrílica, acabamento granulado, aplicação em paredes externas - 1 demão - Cinza Geada</t>
  </si>
  <si>
    <t>Textura acrilica branca - Coral</t>
  </si>
  <si>
    <t>Rende Muito Cinza Geada - Tinta Coral</t>
  </si>
  <si>
    <t>Textura acrílica, acabamento granulado, aplicação em paredes externas - 1 demão - Imensidão Cinza</t>
  </si>
  <si>
    <t>Coralit Ultra Resistência Alto Brilho Imensidão Cinza</t>
  </si>
  <si>
    <t>Textura acrílica, acabamento granulado, aplicação em paredes externas - 1 demão - Preto Fosco</t>
  </si>
  <si>
    <t>Coralit Ultra Resistência Fosco Preto - Coral</t>
  </si>
  <si>
    <t>Textura acrílica, acabamento rolado e desempenado  aplicação em paredes externas - 1 demão</t>
  </si>
  <si>
    <t>Acabamento em ACM para Fachadas - Material e mão de obra</t>
  </si>
  <si>
    <t>Tela soldada para ligacao Emboço Fachadas</t>
  </si>
  <si>
    <t>Mão de obra para aplicação de Pintura em paredes externas - 3 demãos</t>
  </si>
  <si>
    <t>Mão de obra para execução de fachada ventilada</t>
  </si>
  <si>
    <t>http://www.brasil.geradordeprecos.info/obra_nova/F_Fachadas__paredes__divisorias_e_pro/Fachadas_ventiladas/FAS_Revestimento_exterior_de_paine/FAS005_Revestimento_exterior_de_fachada_ve.html</t>
  </si>
  <si>
    <t>LOUÇAS, BANCADAS E METAIS</t>
  </si>
  <si>
    <t>Banheiro - Bacia Sanitária / Caixa Acoplada</t>
  </si>
  <si>
    <t xml:space="preserve">Bacia com caixa acoplada </t>
  </si>
  <si>
    <t>Bucha S-8</t>
  </si>
  <si>
    <t>Parafuso p/ Fixação de Vaso Sanitário</t>
  </si>
  <si>
    <t>Fita Veda Rosca</t>
  </si>
  <si>
    <t>Anel de Borracha p/ Tubo 100 mm</t>
  </si>
  <si>
    <t>Cola Extra Forte AC6000-400G</t>
  </si>
  <si>
    <t>Engate Flexível Trançado 1/2"</t>
  </si>
  <si>
    <t>Banheiro - Mictório / Caixa Acoplada</t>
  </si>
  <si>
    <t>Mictório com Válvula de Acionamento</t>
  </si>
  <si>
    <t>Banheiro - Bacia Sanitária PNE</t>
  </si>
  <si>
    <t>Bucha Nylon C8</t>
  </si>
  <si>
    <t>Silicone acético 250gr</t>
  </si>
  <si>
    <t>Bacia com caixa acoplada PNE</t>
  </si>
  <si>
    <t>Banheiro - Cuba</t>
  </si>
  <si>
    <t>Cuba de Apoio Redonda 32cmx13cm Luxo Docol Branco</t>
  </si>
  <si>
    <t>Valvula Metálica 1"</t>
  </si>
  <si>
    <t>Parafuso p/ Fixação de Tanque e Lavatório</t>
  </si>
  <si>
    <t>Sifão flexível com copo para Lavatório</t>
  </si>
  <si>
    <t>Estabilizador p/ Lavatórios</t>
  </si>
  <si>
    <t>Banheiro - Cuba de Sobrepor - PNE</t>
  </si>
  <si>
    <t>Lavatório suspenso \ Detalhe: Cuba viggo 54cm branca</t>
  </si>
  <si>
    <t>Cuba Pia Cozinha - Lazer</t>
  </si>
  <si>
    <t>Cuba / Detalhe: Cuba retangular aço escovado</t>
  </si>
  <si>
    <t>Grade aramada para cuba</t>
  </si>
  <si>
    <t>Misturador monocomando \ Detalhe: aço escovado</t>
  </si>
  <si>
    <t>Dispenser detergente cromado</t>
  </si>
  <si>
    <t>Sifão Cromado</t>
  </si>
  <si>
    <t>Valvula de Escoamento cromada</t>
  </si>
  <si>
    <t>Bucha S-10</t>
  </si>
  <si>
    <t>Parafuso Galvanizado</t>
  </si>
  <si>
    <t>Cozinha - Cuba / Inox</t>
  </si>
  <si>
    <t>Cuba Docol Invicta 46x42 01696504 Inox Polido</t>
  </si>
  <si>
    <t>Lavatorio para banheiros suspenso</t>
  </si>
  <si>
    <t>Lavatório Suspenso Eco 40x30cm Branco Celite</t>
  </si>
  <si>
    <t>Válvula Pia Tanque Lavanderia Escoamento 1.1/4'' Metal Cromado</t>
  </si>
  <si>
    <t>Tanque Inox</t>
  </si>
  <si>
    <t>Tanque Monobloco Polido Docol 32L 55x45x23 cm</t>
  </si>
  <si>
    <t>Tanque Louça Suspenso</t>
  </si>
  <si>
    <t>Tanque De Louça Hervy Com 18 Litros Branco</t>
  </si>
  <si>
    <t>Sifão Universal Flexível Multiuso</t>
  </si>
  <si>
    <t>Torneira Lavatório mesa</t>
  </si>
  <si>
    <t>Torneira para Lavatório\ Detalhe: Cromado Vercci</t>
  </si>
  <si>
    <t>Torneira tanque</t>
  </si>
  <si>
    <t>Torneira de bancada para tanque \ Detalhe: mesa inox</t>
  </si>
  <si>
    <t>Torneira de Jardins</t>
  </si>
  <si>
    <t>Torneira de jardim inox</t>
  </si>
  <si>
    <t>Torneira misturador pia cozinha</t>
  </si>
  <si>
    <t>Torneira para pia inox</t>
  </si>
  <si>
    <t>Ducha higienica</t>
  </si>
  <si>
    <t>Ducha higiênica\ Detalhe: Cromado Vercci</t>
  </si>
  <si>
    <t>Acabamento de Registro Comum</t>
  </si>
  <si>
    <t>Acabamento de Registro\ Detalhe: Cromado Vercci</t>
  </si>
  <si>
    <t>Acabamento de Registro Pressão</t>
  </si>
  <si>
    <t>Acabamento de Registro pressão \ Detalhe: Cromado Vercci</t>
  </si>
  <si>
    <t>Exaustor mecânico</t>
  </si>
  <si>
    <t>Exaustor Td Silent 350 Ultra Silencioso</t>
  </si>
  <si>
    <t>Barra de Apoio - Deficiente</t>
  </si>
  <si>
    <t>Chuveiro Elétrico</t>
  </si>
  <si>
    <t>Ducha / Detalhe: Aqua Ultra - Lorenzetti</t>
  </si>
  <si>
    <t>Chuveiro Monocromado</t>
  </si>
  <si>
    <t>Chuveiro Teto DocolHeaven Q150 Cromado Docol</t>
  </si>
  <si>
    <t>Ducha</t>
  </si>
  <si>
    <t>Ducha \ Detalhe: Parede Cromado Vercci</t>
  </si>
  <si>
    <t>Acessórios de Banheiro/Lavabo</t>
  </si>
  <si>
    <t>Porta papel higienico \ Detalhe: Cromado Vercci</t>
  </si>
  <si>
    <t>Gancho\ Detalhe: Cromado Vercci</t>
  </si>
  <si>
    <t>Toalheiro rosto \ Detalhe: Cromado Vercci</t>
  </si>
  <si>
    <t>Bancada em Granito para Lavatório</t>
  </si>
  <si>
    <t>Tampo de Granito, para Lavatório com saia e rodamão</t>
  </si>
  <si>
    <t>Bancada em Granito para Pia Cozinha</t>
  </si>
  <si>
    <t>Tampo de Granito, para pia com saia e rodamão</t>
  </si>
  <si>
    <t>Bancada em Granito para Tanques</t>
  </si>
  <si>
    <t>Tampo de Granito, para tanque com saia e rodamão</t>
  </si>
  <si>
    <t>Pergolado</t>
  </si>
  <si>
    <t>Policarbonato Compacto</t>
  </si>
  <si>
    <t xml:space="preserve">Viga de Sustentação para pergolado em madeira </t>
  </si>
  <si>
    <t xml:space="preserve">Pilar de Sustentação para pergolado em madeira </t>
  </si>
  <si>
    <t>Estrutura Metálica para Portico com abamento em ACM- Material e mão de obra</t>
  </si>
  <si>
    <t>Estrutura Metálica para Portico</t>
  </si>
  <si>
    <t>CONJUNTO ARRUELAS DE VEDACAO 5/16" PARA TELHA FIBROCIMENTO (UMA ARRUELA METALICA E UMA ARRUELA PVC - CONICAS)</t>
  </si>
  <si>
    <t>PARAFUSO ZINCADO ROSCA SOBERBA, CABECA SEXTAVADA, 5/16" X 250 MM, PARA FIXACAO DE TELHA EM MADEIRA</t>
  </si>
  <si>
    <t>TELHA DE FIBROCIMENTO ONDULADA E = 6 MM, DE 2,44 X 1,10 M (SEM AMIANTO)</t>
  </si>
  <si>
    <t>Telhamento para cobertura em Telha metálica termoacústica</t>
  </si>
  <si>
    <t>Isotelha Trapezoidal Térmica Sanduiche branco neve</t>
  </si>
  <si>
    <t>Calha em alumínio - 13 cm</t>
  </si>
  <si>
    <t>Calha Beiral Alumínio Com 2 Tampas Corte 13</t>
  </si>
  <si>
    <t>REBITE DE REPUXO EM ALUMINIO VAZADO, DIAMETRO 3,2 X 8 MM DE COMPRIMENTO (1KG = 1025 UNIDADES)</t>
  </si>
  <si>
    <t>SELANTE ELASTICO MONOCOMPONENTE A BASE DE POLIURETANO (PU) PARA JUNTAS DIVERSAS</t>
  </si>
  <si>
    <t>SOLDA EM BARRA DE ESTANHO-CHUMBO 50/50</t>
  </si>
  <si>
    <t>Calha em alumínio - 16 cm</t>
  </si>
  <si>
    <t>Calha Beiral Alumínio Com 2 Tampas Corte 16</t>
  </si>
  <si>
    <t>Calha em alumínio - 23,5 cm</t>
  </si>
  <si>
    <t>Calha Beiral Alumínio Com 2 Tampas Corte 25</t>
  </si>
  <si>
    <t>Calha em alumínio - 30x30</t>
  </si>
  <si>
    <t>Calha Beiral Alumínio Com 2 Tampas Corte 30</t>
  </si>
  <si>
    <t>Calha em alumínio - 94x94</t>
  </si>
  <si>
    <t>RUFO INTERNO/EXTERNO DE CHAPA DE ACO GALVANIZADA NUM 24, CORTE 25 CM</t>
  </si>
  <si>
    <t>PAVIMENTAÇÃO EXTERNA</t>
  </si>
  <si>
    <t>Execução Rede Elétrica  (Produtividade 300m/dia)</t>
  </si>
  <si>
    <t>Retro case 580 traçada 2009</t>
  </si>
  <si>
    <t>Escavadeira 8T link belt 80SA BANYNN</t>
  </si>
  <si>
    <t>Operador de máquina 2</t>
  </si>
  <si>
    <t>Operador de máquina 3</t>
  </si>
  <si>
    <t>Mestre 1</t>
  </si>
  <si>
    <t>Oficial 1</t>
  </si>
  <si>
    <t>Meio Oficial 1</t>
  </si>
  <si>
    <t>Execução Rede de Drenagem  (Produtividade 200m/dia)</t>
  </si>
  <si>
    <t>Execução Rede água  (Produtividade 300m/dia)</t>
  </si>
  <si>
    <t>Execução Rede Esgoto  (Produtividade 150m/dia)</t>
  </si>
  <si>
    <t>Sarjeta extrusada</t>
  </si>
  <si>
    <t>Execução de sarjeta extrusada</t>
  </si>
  <si>
    <t>Maquina meio fio Imb 2020</t>
  </si>
  <si>
    <t>Retro New holland lb 90 simples 2010</t>
  </si>
  <si>
    <t>Oficial 2</t>
  </si>
  <si>
    <t>Ajudante 1</t>
  </si>
  <si>
    <t>Base bica corrida e=20cm</t>
  </si>
  <si>
    <t>Bica corrida</t>
  </si>
  <si>
    <t>Mão de obra para execução de base</t>
  </si>
  <si>
    <t>Patrola New holland 170g 2011</t>
  </si>
  <si>
    <t>Caminhao pipa ford f.14.000  1997</t>
  </si>
  <si>
    <t>Rolo Sany 2009</t>
  </si>
  <si>
    <t>Operador de máquina 4</t>
  </si>
  <si>
    <t>Operador de máquina 5</t>
  </si>
  <si>
    <t>Mestre 2</t>
  </si>
  <si>
    <t>Pavimentação em Intertravado 10x20x06cm, Para vias, Calçadas e entrada das casas</t>
  </si>
  <si>
    <t>PISO INTERTRAVADO CONCRETO SEXTAVADO 35MPA 30X30X06CM NATURAL</t>
  </si>
  <si>
    <t>PO PEDRA A GRANEL (M3) - GRANULOMETRIA 1,2 A 4,75MM NBR 7211</t>
  </si>
  <si>
    <t>AREIA FINA</t>
  </si>
  <si>
    <t>Mão de Obra Instalação Pavimentação em Intertravado</t>
  </si>
  <si>
    <t>SERVICO PAVIMENTACAO INTERNA C/INTERTRAVADO - EXECUCAO COMPLETA</t>
  </si>
  <si>
    <t>Pinturas das faixas de Pedestres</t>
  </si>
  <si>
    <t>TINTA ACRILICA A BASE DE SOLVENTE, PARA SINALIZACAO HORIZONTAL VIARIA (NBR 11862)</t>
  </si>
  <si>
    <t>MICROESFERAS DE VIDRO PARA SINALIZACAO HORIZONTAL VIARIA, TIPO II-A (DROP-ON) - NBR  16184</t>
  </si>
  <si>
    <t>MICROESFERAS DE VIDRO PARA SINALIZACAO HORIZONTAL VIARIA, TIPO I-B (PREMIX) - NBR  16184</t>
  </si>
  <si>
    <t xml:space="preserve">Pinturas das vias com tinta acrilica </t>
  </si>
  <si>
    <t>Mão de Obra Pinturas das faixas de Pedestres</t>
  </si>
  <si>
    <t>Mão de Obra Pinturas das vias</t>
  </si>
  <si>
    <t>Grupo insumo</t>
  </si>
  <si>
    <t>Sub Grupo</t>
  </si>
  <si>
    <t>Grupo Sienge</t>
  </si>
  <si>
    <t>Arame</t>
  </si>
  <si>
    <t>Barra de Aço CA50 / CA60</t>
  </si>
  <si>
    <t>Diversos</t>
  </si>
  <si>
    <t>Tela de Aço CA60</t>
  </si>
  <si>
    <t>Tela de Aço Carbono</t>
  </si>
  <si>
    <t>Alvenaria</t>
  </si>
  <si>
    <t>Alvenaria Estrutural</t>
  </si>
  <si>
    <t>Elementos de Vedação (Cerâmica)</t>
  </si>
  <si>
    <t>BLOCO CONCRETO ESTRUTURAL 04MPA 11,5X19X29CM NBR 6136</t>
  </si>
  <si>
    <t>Alvenaria vedação</t>
  </si>
  <si>
    <t>BLOCO CERÂMICO - 9X19X39cm</t>
  </si>
  <si>
    <t>Argamassa</t>
  </si>
  <si>
    <t>Sical</t>
  </si>
  <si>
    <t>Argamassa de Assentamento de Revestimentos</t>
  </si>
  <si>
    <t>Argamassa de Assentamento Bloco</t>
  </si>
  <si>
    <t>ARGAMASSA ENSACADA PARA CONTRAPISO</t>
  </si>
  <si>
    <t>ARGAMASSA COLANTE AC II</t>
  </si>
  <si>
    <t>Argamassa Diversas</t>
  </si>
  <si>
    <t>Argamassa Usinada</t>
  </si>
  <si>
    <t>Artefatos de concreto</t>
  </si>
  <si>
    <t>Concretos</t>
  </si>
  <si>
    <t>Bancadas</t>
  </si>
  <si>
    <t>Louças e Acessórios</t>
  </si>
  <si>
    <t>Calha</t>
  </si>
  <si>
    <t>Calhas e Acessórios</t>
  </si>
  <si>
    <t>Rufo Externo Corte 20cm Aluminio </t>
  </si>
  <si>
    <t>Rufo</t>
  </si>
  <si>
    <t>Telha</t>
  </si>
  <si>
    <t>Concreto Usinado bombeável 20MPa para Estacas</t>
  </si>
  <si>
    <t>Protendido</t>
  </si>
  <si>
    <t>PAR</t>
  </si>
  <si>
    <t>Drywall/Shaft/Forro</t>
  </si>
  <si>
    <t>EPC/EPI</t>
  </si>
  <si>
    <t>Material Segurança</t>
  </si>
  <si>
    <t>Equipamentos</t>
  </si>
  <si>
    <t>Equipamentos Aluguel</t>
  </si>
  <si>
    <t>UN/MÊS</t>
  </si>
  <si>
    <t xml:space="preserve">Esquadrias </t>
  </si>
  <si>
    <t>Alumínio</t>
  </si>
  <si>
    <t>Esquadrias de Alumínio</t>
  </si>
  <si>
    <t>Esquadrias de Ferro</t>
  </si>
  <si>
    <t>Corrimão inox</t>
  </si>
  <si>
    <t>Madeira</t>
  </si>
  <si>
    <t>Esquadrias de Madeira</t>
  </si>
  <si>
    <t>Porta de madeira de abrir - 140x210cm (kit completo)</t>
  </si>
  <si>
    <t>Vidro</t>
  </si>
  <si>
    <t>Vidros</t>
  </si>
  <si>
    <t>Metálicas</t>
  </si>
  <si>
    <t>Fechaduras e acessórios</t>
  </si>
  <si>
    <t>Impremeabilização</t>
  </si>
  <si>
    <t>Impermeabilização</t>
  </si>
  <si>
    <t>Tela Poliéster De Reforço Para Impermeabilização - 50m X 1m</t>
  </si>
  <si>
    <t>L</t>
  </si>
  <si>
    <t xml:space="preserve">Instalações Hidrossanitárias </t>
  </si>
  <si>
    <t>Tubos e Conexões Hidro-Sanitárias</t>
  </si>
  <si>
    <t>Instalações PCI</t>
  </si>
  <si>
    <t>Louças e metais</t>
  </si>
  <si>
    <t>Metais</t>
  </si>
  <si>
    <t>Equipamento</t>
  </si>
  <si>
    <t>Bacia com caixa acoplada / Detalhe: Linha Living, branco, saída lado direito, Deca</t>
  </si>
  <si>
    <t>Bacia Com Caixa Acoplada Lift Branco - Docol</t>
  </si>
  <si>
    <t>metais</t>
  </si>
  <si>
    <t>Madeira para Formas (Estrutura)</t>
  </si>
  <si>
    <t>Acabamento</t>
  </si>
  <si>
    <t>Madeira para Telhado</t>
  </si>
  <si>
    <t>Telhados</t>
  </si>
  <si>
    <t>RIPA NAO APARELHADA, *1,5 X 5* CM, EM MACARANDUBA/MASSARANDUBA, ANGELIM OU EQUIVALENTE DA REGIAO - BRUTA</t>
  </si>
  <si>
    <t>VIGA NAO APARELHADA *6 X 12* CM, EM MACARANDUBA/MASSARANDUBA, ANGELIM OU EQUIVALENTE DA REGIAO - BRUTA</t>
  </si>
  <si>
    <t xml:space="preserve">Mão de obra </t>
  </si>
  <si>
    <t>Mão de Obra Própria</t>
  </si>
  <si>
    <t>Mão de obra própria</t>
  </si>
  <si>
    <t>Materiais complementares</t>
  </si>
  <si>
    <t>Aditivos, Colas e Similares</t>
  </si>
  <si>
    <t>PU Fix Branco Cartucho 387 Gramas/280 ML</t>
  </si>
  <si>
    <t>Agregados</t>
  </si>
  <si>
    <t>Areia</t>
  </si>
  <si>
    <t>Brita/ Pó de Pedra/ Pedra</t>
  </si>
  <si>
    <t>Cimento</t>
  </si>
  <si>
    <t>Gesso</t>
  </si>
  <si>
    <t>Revestimentos</t>
  </si>
  <si>
    <t>Medeira Acabamento</t>
  </si>
  <si>
    <t>Jardinagem</t>
  </si>
  <si>
    <t>Pedras acabamento</t>
  </si>
  <si>
    <t>Prego/Parafuso</t>
  </si>
  <si>
    <t>CJ</t>
  </si>
  <si>
    <t>PREGO DE ACO POLIDO COM CABECA 15 X 15 (1 1/4 X 13)</t>
  </si>
  <si>
    <t>PREGO DE ACO POLIDO COM CABECA 19 X 36 (3 1/4 X 9)</t>
  </si>
  <si>
    <t>PREGO DE ACO POLIDO COM CABECA 22 X 48 (4 1/4 X 5)</t>
  </si>
  <si>
    <t>Pre-Moldado</t>
  </si>
  <si>
    <t>Pré-Moldados</t>
  </si>
  <si>
    <t>Rejunte</t>
  </si>
  <si>
    <t>PLACA VINILICA SEMIFLEXIVEL PARA PISOS</t>
  </si>
  <si>
    <t xml:space="preserve">Porcelanato A 60x60cm acetinado </t>
  </si>
  <si>
    <t>Rodapé</t>
  </si>
  <si>
    <t>Serviço Terceiros</t>
  </si>
  <si>
    <t>Mão de obra de Terceiros</t>
  </si>
  <si>
    <t>Instalação de piso vinilico</t>
  </si>
  <si>
    <t>Mão de obra aplicação de gesso liso em teto</t>
  </si>
  <si>
    <t>Pintura</t>
  </si>
  <si>
    <t>Aço CA60 32,0mm</t>
  </si>
  <si>
    <t>Concreto Usinado bombeável 60MPa Convencional</t>
  </si>
  <si>
    <t>Armação Pronta para estaca Ø 50cm (5F 16,0 4MTS ESP75 PS20)</t>
  </si>
  <si>
    <t>CORTE E DOBRA ARMADO ESTACA Ø50CM 5F 16,0 4MTS ESP75 PS20</t>
  </si>
  <si>
    <t>CORTE E DOBRA ARMADO ESTACA Ø60CM 5F 20,0 4MTS ESP75 PS20</t>
  </si>
  <si>
    <t>Armação Pronta para estaca Ø 60cm (5F 20,0 4MTS ESP75 PS20)</t>
  </si>
  <si>
    <t>CORTE E DOBRA ARMADO ESTACA Ø60CM 7F 20,0 6MTS ESP75 PS20</t>
  </si>
  <si>
    <t>Armação Pronta para estaca Ø 60cm (7F 20,0 6MTS ESP75 PS20)</t>
  </si>
  <si>
    <t>CORTE E DOBRA ARMADO ESTACA Ø60CM 9F 20,0 8MTS ESP75 PS20</t>
  </si>
  <si>
    <t>Armação Pronta para estaca Ø 60cm (9F 20,0 8MTS ESP75 PS20)</t>
  </si>
  <si>
    <t>Armação aço Média para estaca (Corte e Dobra em Indústria)</t>
  </si>
  <si>
    <t>Detonação de rochas</t>
  </si>
  <si>
    <t>Lastro de Concreto Magro, Aplicado em Blocos de Fundação</t>
  </si>
  <si>
    <t>Cobogó em cerâmico vazado 20x20cm</t>
  </si>
  <si>
    <t>ELEMENTO VAZADO CONCRETO QUADRADO</t>
  </si>
  <si>
    <t>Encunhamento De Alvenaria De Vedação Com Argamassa para encunhmento</t>
  </si>
  <si>
    <t>Argamassa para encunhamento</t>
  </si>
  <si>
    <t>Requadro de portas dos Elevadores Granito,Largura de 20cm</t>
  </si>
  <si>
    <r>
      <t>Contrapiso comum em argamassa estabilizada,</t>
    </r>
    <r>
      <rPr>
        <sz val="7"/>
        <color rgb="FFFF0000"/>
        <rFont val="Arial"/>
        <family val="2"/>
      </rPr>
      <t xml:space="preserve"> auto nivelado</t>
    </r>
    <r>
      <rPr>
        <sz val="7"/>
        <rFont val="Arial"/>
        <family val="2"/>
      </rPr>
      <t>, espessura 2cm</t>
    </r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</si>
  <si>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2,5cm</t>
    </r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</si>
  <si>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3cm</t>
    </r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</si>
  <si>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8cm</t>
    </r>
  </si>
  <si>
    <t>Piso cimentado com argamassa de contrapiso usinada e acabamento vassourado</t>
  </si>
  <si>
    <t>Rejunte Acrilico</t>
  </si>
  <si>
    <t>Porcelanato Natural Portinari Neutral OFW "A" 100x100cm</t>
  </si>
  <si>
    <t>Porcelanato fachada</t>
  </si>
  <si>
    <t>Porcelanato Minimum cimento eliane A 90x90 ext</t>
  </si>
  <si>
    <t>Piso de mosaico granitinho branco</t>
  </si>
  <si>
    <t>Piso de mosaico granitinho cinza</t>
  </si>
  <si>
    <t>PEDRA LISA HITMAN 10X10 PALIMANAM</t>
  </si>
  <si>
    <t>Revestimento Mate Portobello Georgian Red Tel "A" 7x26 (30x39)</t>
  </si>
  <si>
    <t>Revestimento Pastilha Barlavento Caribbean 14,5x14,5 cm, bold externo portobello</t>
  </si>
  <si>
    <t>Rodape Em Porcelanato, H = 10cm</t>
  </si>
  <si>
    <t>Rodape Em Porcelanato, H = 15cm</t>
  </si>
  <si>
    <t>Rodape Em Porcelanato, H = 16,5cm</t>
  </si>
  <si>
    <t>Selador acrilico opaco premium interno/externo</t>
  </si>
  <si>
    <t>Textura Acrílica Texturatto Premium Efeito Granulado</t>
  </si>
  <si>
    <t>Tinta Esmalte Sintético Base Solvente Brilhante Pronta para Uso Amarelo 3,6L Luxens</t>
  </si>
  <si>
    <t>Piso modular polipropileno (PP) antiderrapante, UV, encaixe macho-fêmea, com tratamento anti-impacto</t>
  </si>
  <si>
    <t>Revestimento Pedra Hijau Lisa 20x20 cm</t>
  </si>
  <si>
    <t>Porcelanato Portobello Deck Parquet D Olivier Externo "A" 81x81cm</t>
  </si>
  <si>
    <t>PORCELANATO DELTA 73X73 RETIFICADO ACETINADO JUA CLARO 2280-A</t>
  </si>
  <si>
    <t>Porcelanato Piso Retificado Embramaco 76x76cm Acetinado Nevada Mate Plus Retificado</t>
  </si>
  <si>
    <t>Porcelanato Pro Concrete Abs 89,5X89,5cm</t>
  </si>
  <si>
    <t>PORCELANATO VILLAGRES 71X71 RETIFICADO ACETINADO MONTREAL FENDI</t>
  </si>
  <si>
    <t>Porcelanato Biancogres Ripa Sense 45x90 Acetinado</t>
  </si>
  <si>
    <t>Porcelanato Marmorizado Polido Borda Reta Interno 90x90cm Avorio di Brescia Portobello</t>
  </si>
  <si>
    <t>Revestimento Realce 32X56 32001 Branco Brilhante</t>
  </si>
  <si>
    <t>PORCELANATO ELIZABETH EGEU SAND 74x74 A</t>
  </si>
  <si>
    <t>Porcelanato Cimentício Acetinado Borda Reta Interno 120x120cm Munari Branco Eliane</t>
  </si>
  <si>
    <t xml:space="preserve">Porcelanato Biancogres 20x120 Scala Beige-a Ret </t>
  </si>
  <si>
    <t>Piso 75x75cm Cedasa Retificado Evidence Polido</t>
  </si>
  <si>
    <t>Porcelanato Tipo Argila | Portobello - 120x20 cm</t>
  </si>
  <si>
    <t>Porcelanato ELIANE 60X60 BOLD ACETINADO BLEND PLUS GREY</t>
  </si>
  <si>
    <t>Acessórios (cantos, terminais)</t>
  </si>
  <si>
    <t>Rodapé de PVC branco 10 cm</t>
  </si>
  <si>
    <t>SELANTE ACRILICO PARA TRATAMENTO / ACABAMENTO SUPERFICIAL DE CONCRETO ESTAMPADO, APARENTE, PEDRAS E OUTROS</t>
  </si>
  <si>
    <t>Decora Efeitos Especiais Coral 2,1L - 2,1 L</t>
  </si>
  <si>
    <t>Textura Cimento Queimado 5KG Suvinil</t>
  </si>
  <si>
    <t>TINTA ACRILICA PREMIUM COR ELEFANTE</t>
  </si>
  <si>
    <t>TINTA ACRILICA PREMIUM COR BRANCO NEVE</t>
  </si>
  <si>
    <t>TINTA ACRILICA PREMIUM COR PORCELANA</t>
  </si>
  <si>
    <t>TINTA ACRILICA PREMIUM COR SALMÃO</t>
  </si>
  <si>
    <t>TINTA ACRILICA PREMIUM COR MADEIRA ESFUMAÇADA</t>
  </si>
  <si>
    <t>TINTA ACRILICA PREMIUM COR BABOSA</t>
  </si>
  <si>
    <t>TINTA ACRILICA PREMIUM COR AREIA</t>
  </si>
  <si>
    <t>TINTA ACRILICA PREMIUM COR CAFÉ EXPRESSO</t>
  </si>
  <si>
    <t>TINTA ACRILICA PREMIUM COR ALGODÃO EGIPCIO</t>
  </si>
  <si>
    <t>TINTA ACRILICA PREMIUM COR PATATIVA</t>
  </si>
  <si>
    <t>TINTA ACRILICA PREMIUM COR CINZA ASFALTO</t>
  </si>
  <si>
    <t>Revestimento em Porcelanato Piso Externo, 90x 90cm com Junta de 3mm</t>
  </si>
  <si>
    <t>Revestimento de Pedra natural em batente de elevador</t>
  </si>
  <si>
    <t>Revestimento de Piso de granito siena</t>
  </si>
  <si>
    <t>Revestimento de Piso de mosaico granitinho branco</t>
  </si>
  <si>
    <t>Revestimento de Piso intertravado de mosaico granitinho cinza</t>
  </si>
  <si>
    <t>Pintura em Esmalte em Piso Amarelo, Aplicação Manual, 2 Demãos</t>
  </si>
  <si>
    <t>Pintura em Látex Acrilica para demarcação de vagas em parede, 2 demão</t>
  </si>
  <si>
    <t>Pintura Com Tinta Latex Acrilica em Paredes Internas, 3 Demaos (Somente tinta e fundo)</t>
  </si>
  <si>
    <t>Pintura Com Tinta Latex Acrilica em Paredes Internas, 3 Demaos (Incluso fundo e massa)</t>
  </si>
  <si>
    <t>Pintura Com Tinta Latex Acrilica em Paredes Externas, 3 Demaos (Somente tinta)</t>
  </si>
  <si>
    <t>Revestimento em Porcelanato Portinari Natura OFW - 100 x 100 cm , rejunte cimentício, aplicação em Fachada</t>
  </si>
  <si>
    <t>Pergolado com 2 pilares sustentação</t>
  </si>
  <si>
    <t>Estrutura horizontal</t>
  </si>
  <si>
    <t xml:space="preserve"> Pilar de Sustentação</t>
  </si>
  <si>
    <t>Pergolado com 4 pilares sustentação</t>
  </si>
  <si>
    <t>CONTRAMARCO DE AÇO</t>
  </si>
  <si>
    <t>Revestimento de parede em porcelanato, Revestimento Realce 32X56 32001 Branco Brilhante</t>
  </si>
  <si>
    <t>Revestimento de parede em Porcelanato Biancogres Ripa Sense 45x90 Acetinado</t>
  </si>
  <si>
    <t>Revestimento de parede em Porcelanato 75x75cm Cedasa Retificado Evidence Polido</t>
  </si>
  <si>
    <t>Revestimento de parede em Porcelanato Marmorizado Polido Borda Reta Interno 90x90cm Avorio di Brescia Portobello</t>
  </si>
  <si>
    <t>Revestimento em Porcelanato Piso Interno,ELIANE 60X60 BOLD ACETINADO BLEND PLUS GREY, com Junta de 3mm</t>
  </si>
  <si>
    <t>Revestimento em Porcelanato Piso Externo,ELIANE 60X60 BOLD ACETINADO BLEND PLUS GREY, com Junta de 3mm</t>
  </si>
  <si>
    <t>Revestimento de Piso Externo PORCELANATO VILLAGRES 71X71 RETIFICADO ACETINADO MONTREAL FENDI</t>
  </si>
  <si>
    <t>Revestimento de Piso Externo PORCELANATO DELTA 73X73 RETIFICADO ACETINADO JUA CLARO 2280-A</t>
  </si>
  <si>
    <t>Revestimento de Piso Porcelanato Interno ELIZABETH EGEU SAND 74x74 A</t>
  </si>
  <si>
    <t>Revestimento de Piso Porcelanato Interno Piso 75x75cm Cedasa Retificado Evidence Polido</t>
  </si>
  <si>
    <t>Revestimento de Piso Porcelanato Interno Retificado Embramaco 76x76cm Acetinado Nevada Mate Plus Retificado</t>
  </si>
  <si>
    <t>Revestimento de Piso Porcelanato Externo Portobello Deck Parquet D Olivier Externo "A" 81x81cm</t>
  </si>
  <si>
    <t>Revestimento de Piso Porcelanato Externo Porcelanato Pro Concrete Abs 89,5X89,5cm</t>
  </si>
  <si>
    <t>Revestimento em Porcelanato Biancogres 20x120 Scala Beige-a Ret , rejunte cimentício, aplicação em áreas comuns internas</t>
  </si>
  <si>
    <t>Revestimento em Porcelanato Tipo Argila | Portobello - 120x20 cm, rejunte cimentício, aplicação em áreas comuns internas</t>
  </si>
  <si>
    <t>Revestimento de Piso Porcelanato Interno Cimentício Acetinado Borda Reta Interno 120x120cm Munari Branco Eliane</t>
  </si>
  <si>
    <t xml:space="preserve">Fechadura comum </t>
  </si>
  <si>
    <t>Fechadura Arouca para Porta do Quarto Preto 55mm</t>
  </si>
  <si>
    <t>Escada marinheiro com gaiola de proteção, h=6 m</t>
  </si>
  <si>
    <t>Fundo selador latex acrilico em paredes externas - 1 demao</t>
  </si>
  <si>
    <t>Pintura projetada, aplicação em paredes externas - 2 demão - Elefante</t>
  </si>
  <si>
    <t>Pintura projetada, aplicação em paredes externas - 2 demão - Branco neve</t>
  </si>
  <si>
    <t>Pintura projetada, aplicação em paredes externas - 2 demão - Patativa</t>
  </si>
  <si>
    <t>Pintura projetada, aplicação em paredes externas - 2 demão - Cinza Asfalto</t>
  </si>
  <si>
    <t>Drywall</t>
  </si>
  <si>
    <t>CLIMATIZAÇÃO, EXAUSTÃO MECÂNICA</t>
  </si>
  <si>
    <t>INSTALAÇÕES ESPECIAIS</t>
  </si>
  <si>
    <t>AUTOMAÇÃO E SISTEMAS LÓGICOS E TELECOMUNICAÇÃO</t>
  </si>
  <si>
    <t>EMBASSAMENTO</t>
  </si>
  <si>
    <t>TORRE</t>
  </si>
  <si>
    <t>DADOS</t>
  </si>
  <si>
    <t>Titulo</t>
  </si>
  <si>
    <t>QUANTITATIVO</t>
  </si>
  <si>
    <t>Cliente</t>
  </si>
  <si>
    <t>Cidade</t>
  </si>
  <si>
    <t>Endereço</t>
  </si>
  <si>
    <t>QUANTITATIVOS</t>
  </si>
  <si>
    <t>1.</t>
  </si>
  <si>
    <t>1.1.</t>
  </si>
  <si>
    <t>1.1.1</t>
  </si>
  <si>
    <t>1.1.2</t>
  </si>
  <si>
    <t>1.2.</t>
  </si>
  <si>
    <t>1.2.1</t>
  </si>
  <si>
    <t>1.2.2</t>
  </si>
  <si>
    <t>1.3.</t>
  </si>
  <si>
    <t>1.3.1</t>
  </si>
  <si>
    <t>1.3.2</t>
  </si>
  <si>
    <t>1.4.</t>
  </si>
  <si>
    <t>1.4.1</t>
  </si>
  <si>
    <t>1.4.2</t>
  </si>
  <si>
    <t>1.5.</t>
  </si>
  <si>
    <t>1.5.1</t>
  </si>
  <si>
    <t>1.5.2</t>
  </si>
  <si>
    <t>1.6.</t>
  </si>
  <si>
    <t>1.6.1</t>
  </si>
  <si>
    <t>1.6.2</t>
  </si>
  <si>
    <t>1.7.</t>
  </si>
  <si>
    <t>1.7.1</t>
  </si>
  <si>
    <t>1.7.2</t>
  </si>
  <si>
    <t>1.8.</t>
  </si>
  <si>
    <t>1.8.1</t>
  </si>
  <si>
    <t>1.8.2</t>
  </si>
  <si>
    <t>1.9.</t>
  </si>
  <si>
    <t>1.9.1</t>
  </si>
  <si>
    <t>1.9.2</t>
  </si>
  <si>
    <t>1.10.</t>
  </si>
  <si>
    <t>1.10.1</t>
  </si>
  <si>
    <t>1.10.2</t>
  </si>
  <si>
    <t>1.11.</t>
  </si>
  <si>
    <t>1.11.1</t>
  </si>
  <si>
    <t>1.11.2</t>
  </si>
  <si>
    <t>1.12.</t>
  </si>
  <si>
    <t>1.12.1</t>
  </si>
  <si>
    <t>1.12.2</t>
  </si>
  <si>
    <t>1.13.</t>
  </si>
  <si>
    <t>1.13.1</t>
  </si>
  <si>
    <t>1.13.2</t>
  </si>
  <si>
    <t>1.14.</t>
  </si>
  <si>
    <t>1.14.1</t>
  </si>
  <si>
    <t>1.14.2</t>
  </si>
  <si>
    <t>1.15.</t>
  </si>
  <si>
    <t>1.15.1</t>
  </si>
  <si>
    <t>1.15.2</t>
  </si>
  <si>
    <t>1.16.</t>
  </si>
  <si>
    <t>1.16.1</t>
  </si>
  <si>
    <t>1.16.2</t>
  </si>
  <si>
    <t>1.17.</t>
  </si>
  <si>
    <t>1.17.1</t>
  </si>
  <si>
    <t>1.17.2</t>
  </si>
  <si>
    <t>1.18.</t>
  </si>
  <si>
    <t>1.18.1</t>
  </si>
  <si>
    <t>1.18.2</t>
  </si>
  <si>
    <t>1.19.</t>
  </si>
  <si>
    <t>1.19.1</t>
  </si>
  <si>
    <t>1.20.</t>
  </si>
  <si>
    <t>1.20.1</t>
  </si>
  <si>
    <t>1.20.2</t>
  </si>
  <si>
    <t>2.</t>
  </si>
  <si>
    <t>2.1.</t>
  </si>
  <si>
    <t>2.1.1</t>
  </si>
  <si>
    <t>2.2.</t>
  </si>
  <si>
    <t>2.2.1</t>
  </si>
  <si>
    <t>2.3.</t>
  </si>
  <si>
    <t>2.3.1</t>
  </si>
  <si>
    <t>2.4.</t>
  </si>
  <si>
    <t>2.4.1</t>
  </si>
  <si>
    <t>2.5.</t>
  </si>
  <si>
    <t>2.5.1</t>
  </si>
  <si>
    <t>2.6.</t>
  </si>
  <si>
    <t>2.6.1</t>
  </si>
  <si>
    <t>2.7.</t>
  </si>
  <si>
    <t>2.7.1</t>
  </si>
  <si>
    <t>2.8.</t>
  </si>
  <si>
    <t>2.8.1</t>
  </si>
  <si>
    <t>2.9.</t>
  </si>
  <si>
    <t>2.9.1</t>
  </si>
  <si>
    <t>2.10.</t>
  </si>
  <si>
    <t>2.10.1</t>
  </si>
  <si>
    <t>2.11.</t>
  </si>
  <si>
    <t>2.11.1</t>
  </si>
  <si>
    <t>2.12.</t>
  </si>
  <si>
    <t>2.12.1</t>
  </si>
  <si>
    <t>2.13.</t>
  </si>
  <si>
    <t>2.13.1</t>
  </si>
  <si>
    <t>2.14.</t>
  </si>
  <si>
    <t>2.14.1</t>
  </si>
  <si>
    <t>2.15.</t>
  </si>
  <si>
    <t>2.15.1</t>
  </si>
  <si>
    <t>2.16.</t>
  </si>
  <si>
    <t>2.16.1</t>
  </si>
  <si>
    <t>2.17.</t>
  </si>
  <si>
    <t>2.17.1</t>
  </si>
  <si>
    <t>2.18.</t>
  </si>
  <si>
    <t>2.18.1</t>
  </si>
  <si>
    <t>3.</t>
  </si>
  <si>
    <t>3.1.</t>
  </si>
  <si>
    <t>3.1.1</t>
  </si>
  <si>
    <t>3.2.</t>
  </si>
  <si>
    <t>3.2.1</t>
  </si>
  <si>
    <t>3.3.</t>
  </si>
  <si>
    <t>3.3.1</t>
  </si>
  <si>
    <t>3.4.</t>
  </si>
  <si>
    <t>3.4.1</t>
  </si>
  <si>
    <t>3.5.</t>
  </si>
  <si>
    <t>3.5.1</t>
  </si>
  <si>
    <t>3.6.</t>
  </si>
  <si>
    <t>3.6.1</t>
  </si>
  <si>
    <t>3.7.</t>
  </si>
  <si>
    <t>3.7.1</t>
  </si>
  <si>
    <t>3.8.</t>
  </si>
  <si>
    <t>3.8.1</t>
  </si>
  <si>
    <t>3.9.</t>
  </si>
  <si>
    <t>3.9.1</t>
  </si>
  <si>
    <t>3.10.</t>
  </si>
  <si>
    <t>3.10.1</t>
  </si>
  <si>
    <t>3.11.</t>
  </si>
  <si>
    <t>3.11.1</t>
  </si>
  <si>
    <t>3.12.</t>
  </si>
  <si>
    <t>3.12.1</t>
  </si>
  <si>
    <t>3.13.</t>
  </si>
  <si>
    <t>3.13.1</t>
  </si>
  <si>
    <t>4.</t>
  </si>
  <si>
    <t>4.1.</t>
  </si>
  <si>
    <t>4.1.1</t>
  </si>
  <si>
    <t>4.2.</t>
  </si>
  <si>
    <t>4.2.1</t>
  </si>
  <si>
    <t>4.3.</t>
  </si>
  <si>
    <t>4.3.1</t>
  </si>
  <si>
    <t>4.4.</t>
  </si>
  <si>
    <t>4.4.1</t>
  </si>
  <si>
    <t>4.5.</t>
  </si>
  <si>
    <t>4.5.1</t>
  </si>
  <si>
    <t>4.6.</t>
  </si>
  <si>
    <t>4.6.1</t>
  </si>
  <si>
    <t>4.7.</t>
  </si>
  <si>
    <t>4.7.1</t>
  </si>
  <si>
    <t>4.8.</t>
  </si>
  <si>
    <t>4.8.1</t>
  </si>
  <si>
    <t>4.9.</t>
  </si>
  <si>
    <t>4.9.1</t>
  </si>
  <si>
    <t>4.10.</t>
  </si>
  <si>
    <t>4.10.1</t>
  </si>
  <si>
    <t>4.11.</t>
  </si>
  <si>
    <t>4.11.1</t>
  </si>
  <si>
    <t>4.12.</t>
  </si>
  <si>
    <t>4.12.1</t>
  </si>
  <si>
    <t>4.13.</t>
  </si>
  <si>
    <t>4.13.1</t>
  </si>
  <si>
    <t>4.14.</t>
  </si>
  <si>
    <t>4.14.1</t>
  </si>
  <si>
    <t>4.15.</t>
  </si>
  <si>
    <t>4.15.1</t>
  </si>
  <si>
    <t>4.16.</t>
  </si>
  <si>
    <t>4.16.1</t>
  </si>
  <si>
    <t>4.17.</t>
  </si>
  <si>
    <t>4.17.1</t>
  </si>
  <si>
    <t>4.18.</t>
  </si>
  <si>
    <t>4.18.1</t>
  </si>
  <si>
    <t>4.19.</t>
  </si>
  <si>
    <t>4.19.1</t>
  </si>
  <si>
    <t>Serviços complementares para alvenaria</t>
  </si>
  <si>
    <t>5.1.</t>
  </si>
  <si>
    <t>5.1.1</t>
  </si>
  <si>
    <t>5.2.</t>
  </si>
  <si>
    <t>5.2.1</t>
  </si>
  <si>
    <t>5.3.</t>
  </si>
  <si>
    <t>5.3.1</t>
  </si>
  <si>
    <t>5.4.</t>
  </si>
  <si>
    <t>5.4.1</t>
  </si>
  <si>
    <t>5.5.</t>
  </si>
  <si>
    <t>5.5.1</t>
  </si>
  <si>
    <t>5.6.</t>
  </si>
  <si>
    <t>5.6.1</t>
  </si>
  <si>
    <t>5.7.</t>
  </si>
  <si>
    <t>5.7.1</t>
  </si>
  <si>
    <t>5.8.</t>
  </si>
  <si>
    <t>5.8.1</t>
  </si>
  <si>
    <t>5.9.</t>
  </si>
  <si>
    <t>5.9.1</t>
  </si>
  <si>
    <t>5.10.</t>
  </si>
  <si>
    <t>5.10.1</t>
  </si>
  <si>
    <t>5.11.</t>
  </si>
  <si>
    <t>5.11.1</t>
  </si>
  <si>
    <t>5.12.</t>
  </si>
  <si>
    <t>5.12.1</t>
  </si>
  <si>
    <t>5.13.</t>
  </si>
  <si>
    <t>5.13.1</t>
  </si>
  <si>
    <t>5.14.</t>
  </si>
  <si>
    <t>5.14.1</t>
  </si>
  <si>
    <t>5.15.</t>
  </si>
  <si>
    <t>5.15.1</t>
  </si>
  <si>
    <t>5.16.</t>
  </si>
  <si>
    <t>5.16.1</t>
  </si>
  <si>
    <t>5.17.</t>
  </si>
  <si>
    <t>5.17.1</t>
  </si>
  <si>
    <t>5.18.</t>
  </si>
  <si>
    <t>5.18.1</t>
  </si>
  <si>
    <t>5.19.</t>
  </si>
  <si>
    <t>5.19.1</t>
  </si>
  <si>
    <t>6.</t>
  </si>
  <si>
    <t>6.1.</t>
  </si>
  <si>
    <t>6.1.1</t>
  </si>
  <si>
    <t>6.1.2</t>
  </si>
  <si>
    <t>6.2.</t>
  </si>
  <si>
    <t>6.2.1</t>
  </si>
  <si>
    <t>6.3.</t>
  </si>
  <si>
    <t>6.3.1</t>
  </si>
  <si>
    <t>6.4.</t>
  </si>
  <si>
    <t>6.4.1</t>
  </si>
  <si>
    <t>6.5.</t>
  </si>
  <si>
    <t>6.5.1</t>
  </si>
  <si>
    <t>6.6.</t>
  </si>
  <si>
    <t>6.6.1</t>
  </si>
  <si>
    <t>6.7.</t>
  </si>
  <si>
    <t>6.8.</t>
  </si>
  <si>
    <t>6.9.</t>
  </si>
  <si>
    <t>6.10.</t>
  </si>
  <si>
    <t>6.11.</t>
  </si>
  <si>
    <t>6.12.</t>
  </si>
  <si>
    <t>6.13.</t>
  </si>
  <si>
    <t>6.14.</t>
  </si>
  <si>
    <t>6.15.</t>
  </si>
  <si>
    <t>6.16.</t>
  </si>
  <si>
    <t>6.17.</t>
  </si>
  <si>
    <t>6.18.</t>
  </si>
  <si>
    <t>6.19.</t>
  </si>
  <si>
    <t>7.</t>
  </si>
  <si>
    <t>Reboco Interno</t>
  </si>
  <si>
    <t>7.1.</t>
  </si>
  <si>
    <t>7.1.1</t>
  </si>
  <si>
    <t>7.2.</t>
  </si>
  <si>
    <t>7.3.</t>
  </si>
  <si>
    <t>7.4.</t>
  </si>
  <si>
    <t>7.5.</t>
  </si>
  <si>
    <t>7.6.</t>
  </si>
  <si>
    <t>7.7.</t>
  </si>
  <si>
    <t>7.8.</t>
  </si>
  <si>
    <t>7.9.</t>
  </si>
  <si>
    <t>7.10.</t>
  </si>
  <si>
    <t>7.11.</t>
  </si>
  <si>
    <t>7.12.</t>
  </si>
  <si>
    <t>7.13.</t>
  </si>
  <si>
    <t>7.14.</t>
  </si>
  <si>
    <t>7.15.</t>
  </si>
  <si>
    <t>7.16.</t>
  </si>
  <si>
    <t>7.17.</t>
  </si>
  <si>
    <t>7.18.</t>
  </si>
  <si>
    <t>8.1.</t>
  </si>
  <si>
    <t>8.1.1</t>
  </si>
  <si>
    <t>8.2.</t>
  </si>
  <si>
    <t>8.2.1</t>
  </si>
  <si>
    <t>9.</t>
  </si>
  <si>
    <t>Acabamentos especiais em parede</t>
  </si>
  <si>
    <t>9.1.</t>
  </si>
  <si>
    <t>9.1.1</t>
  </si>
  <si>
    <t>10.</t>
  </si>
  <si>
    <t>10.1.</t>
  </si>
  <si>
    <t>10.1.1</t>
  </si>
  <si>
    <t>10.2.</t>
  </si>
  <si>
    <t>10.3.</t>
  </si>
  <si>
    <t>10.4.</t>
  </si>
  <si>
    <t>10.5.</t>
  </si>
  <si>
    <t>10.6.</t>
  </si>
  <si>
    <t>10.7.</t>
  </si>
  <si>
    <t>10.8.</t>
  </si>
  <si>
    <t>10.9.</t>
  </si>
  <si>
    <t>10.10.</t>
  </si>
  <si>
    <t>10.11.</t>
  </si>
  <si>
    <t>10.12.</t>
  </si>
  <si>
    <t>10.13.</t>
  </si>
  <si>
    <t>11.</t>
  </si>
  <si>
    <t>11.1.</t>
  </si>
  <si>
    <t>11.2.</t>
  </si>
  <si>
    <t>11.3.</t>
  </si>
  <si>
    <t>11.4.</t>
  </si>
  <si>
    <t>11.5.</t>
  </si>
  <si>
    <t>11.6.</t>
  </si>
  <si>
    <t>11.7.</t>
  </si>
  <si>
    <t>11.8.</t>
  </si>
  <si>
    <t>11.9.</t>
  </si>
  <si>
    <t>11.10.</t>
  </si>
  <si>
    <t>11.11.</t>
  </si>
  <si>
    <t>11.12.</t>
  </si>
  <si>
    <t>11.13.</t>
  </si>
  <si>
    <t>11.14.</t>
  </si>
  <si>
    <t>11.15.</t>
  </si>
  <si>
    <t>11.16.</t>
  </si>
  <si>
    <t>11.17.</t>
  </si>
  <si>
    <t>12.</t>
  </si>
  <si>
    <t>Revestimento interno argamassado em teto</t>
  </si>
  <si>
    <t>12.1.</t>
  </si>
  <si>
    <t>12.1.1</t>
  </si>
  <si>
    <t>12.2.</t>
  </si>
  <si>
    <t>12.3.</t>
  </si>
  <si>
    <t>12.4.</t>
  </si>
  <si>
    <t>12.5.</t>
  </si>
  <si>
    <t>12.6.</t>
  </si>
  <si>
    <t>12.7.</t>
  </si>
  <si>
    <t>12.8.</t>
  </si>
  <si>
    <t>12.9.</t>
  </si>
  <si>
    <t>12.10.</t>
  </si>
  <si>
    <t>12.11.</t>
  </si>
  <si>
    <t>12.12.</t>
  </si>
  <si>
    <t>12.13.</t>
  </si>
  <si>
    <t>12.14.</t>
  </si>
  <si>
    <t>12.15.</t>
  </si>
  <si>
    <t>12.16.</t>
  </si>
  <si>
    <t>12.17.</t>
  </si>
  <si>
    <t>13.</t>
  </si>
  <si>
    <t>Acabamento de gesso em teto</t>
  </si>
  <si>
    <t>13.1.</t>
  </si>
  <si>
    <t>13.1.1</t>
  </si>
  <si>
    <t>13.2.</t>
  </si>
  <si>
    <t>13.3.</t>
  </si>
  <si>
    <t>13.4.</t>
  </si>
  <si>
    <t>13.5.</t>
  </si>
  <si>
    <t>13.6.</t>
  </si>
  <si>
    <t>13.7.</t>
  </si>
  <si>
    <t>13.8.</t>
  </si>
  <si>
    <t>13.9.</t>
  </si>
  <si>
    <t>13.10.</t>
  </si>
  <si>
    <t>13.11.</t>
  </si>
  <si>
    <t>13.12.</t>
  </si>
  <si>
    <t>13.13.</t>
  </si>
  <si>
    <t>13.14.</t>
  </si>
  <si>
    <t>13.15.</t>
  </si>
  <si>
    <t>13.16.</t>
  </si>
  <si>
    <t>13.17.</t>
  </si>
  <si>
    <t>14.1.</t>
  </si>
  <si>
    <t>14.1.1</t>
  </si>
  <si>
    <t>15.</t>
  </si>
  <si>
    <t>15.1.</t>
  </si>
  <si>
    <t>15.1.1</t>
  </si>
  <si>
    <t>15.2.</t>
  </si>
  <si>
    <t>15.2.1</t>
  </si>
  <si>
    <t>15.3.</t>
  </si>
  <si>
    <t>15.3.1</t>
  </si>
  <si>
    <t>16.</t>
  </si>
  <si>
    <t>16.1.</t>
  </si>
  <si>
    <t>16.1.2</t>
  </si>
  <si>
    <t>17.</t>
  </si>
  <si>
    <t>Acabamentos cimentados em piso</t>
  </si>
  <si>
    <t>18.</t>
  </si>
  <si>
    <t>Acabamentos cerâmicos em piso</t>
  </si>
  <si>
    <t>18.1.</t>
  </si>
  <si>
    <t>18.1.1</t>
  </si>
  <si>
    <t>19.1.</t>
  </si>
  <si>
    <t>19.1.1</t>
  </si>
  <si>
    <t>19.2.</t>
  </si>
  <si>
    <t>19.2.1</t>
  </si>
  <si>
    <t>20.</t>
  </si>
  <si>
    <t>Acabamentos pedra em piso</t>
  </si>
  <si>
    <t>20.1.</t>
  </si>
  <si>
    <t>20.1.1</t>
  </si>
  <si>
    <t>21.</t>
  </si>
  <si>
    <t>Acabamentos especiais em piso</t>
  </si>
  <si>
    <t>21.1.</t>
  </si>
  <si>
    <t>21.1.1</t>
  </si>
  <si>
    <t>21.2.</t>
  </si>
  <si>
    <t>21.2.1</t>
  </si>
  <si>
    <t>21.3.</t>
  </si>
  <si>
    <t>21.3.1</t>
  </si>
  <si>
    <t>21.3.2</t>
  </si>
  <si>
    <t>21.4.</t>
  </si>
  <si>
    <t>21.4.1</t>
  </si>
  <si>
    <t>21.5.</t>
  </si>
  <si>
    <t>21.5.1</t>
  </si>
  <si>
    <t>21.6.</t>
  </si>
  <si>
    <t>21.6.1</t>
  </si>
  <si>
    <t>21.7.</t>
  </si>
  <si>
    <t>21.7.1</t>
  </si>
  <si>
    <t>21.7.2</t>
  </si>
  <si>
    <t>21.7.3</t>
  </si>
  <si>
    <t>21.7.4</t>
  </si>
  <si>
    <t>21.8.</t>
  </si>
  <si>
    <t>21.8.1</t>
  </si>
  <si>
    <t>21.9.</t>
  </si>
  <si>
    <t>21.9.1</t>
  </si>
  <si>
    <t>22.</t>
  </si>
  <si>
    <t>22.1.</t>
  </si>
  <si>
    <t>22.1.1</t>
  </si>
  <si>
    <t>23.</t>
  </si>
  <si>
    <t>25.</t>
  </si>
  <si>
    <t>Esquadrias de madeira</t>
  </si>
  <si>
    <t>26.</t>
  </si>
  <si>
    <t>Esquadrias metálicas</t>
  </si>
  <si>
    <t>27.</t>
  </si>
  <si>
    <t>27.1.</t>
  </si>
  <si>
    <t>27.2.</t>
  </si>
  <si>
    <t>27.3.</t>
  </si>
  <si>
    <t>27.4.</t>
  </si>
  <si>
    <t>27.5.</t>
  </si>
  <si>
    <t>Peitoris</t>
  </si>
  <si>
    <t>28.1.</t>
  </si>
  <si>
    <t>28.2.</t>
  </si>
  <si>
    <t>28.3.</t>
  </si>
  <si>
    <t>28.4.</t>
  </si>
  <si>
    <t>28.5.</t>
  </si>
  <si>
    <t>28.6.</t>
  </si>
  <si>
    <t>29.1.</t>
  </si>
  <si>
    <t>Sistemas de pintura em parede</t>
  </si>
  <si>
    <t>31.</t>
  </si>
  <si>
    <t>32.1.</t>
  </si>
  <si>
    <t>32.1.1</t>
  </si>
  <si>
    <t>32.2.</t>
  </si>
  <si>
    <t>32.2.1</t>
  </si>
  <si>
    <t>32.3.</t>
  </si>
  <si>
    <t>32.3.1</t>
  </si>
  <si>
    <t>32.4.</t>
  </si>
  <si>
    <t>32.4.1</t>
  </si>
  <si>
    <t>32.5.</t>
  </si>
  <si>
    <t>32.5.1</t>
  </si>
  <si>
    <t>32.6.</t>
  </si>
  <si>
    <t>32.6.1</t>
  </si>
  <si>
    <t>33.</t>
  </si>
  <si>
    <t>33.1.</t>
  </si>
  <si>
    <t>33.1.1</t>
  </si>
  <si>
    <t>34.</t>
  </si>
  <si>
    <t>34.1.</t>
  </si>
  <si>
    <t>34.1.1</t>
  </si>
  <si>
    <t>35.</t>
  </si>
  <si>
    <t>Pintura e textura em fachada</t>
  </si>
  <si>
    <t>35.1.</t>
  </si>
  <si>
    <t>35.1.1</t>
  </si>
  <si>
    <t>36.</t>
  </si>
  <si>
    <t>Serviços complementares - cobertura</t>
  </si>
  <si>
    <t>OBSERVAÇÕES</t>
  </si>
  <si>
    <t>29.2.</t>
  </si>
  <si>
    <t>29.3.</t>
  </si>
  <si>
    <t>29.4.</t>
  </si>
  <si>
    <t>29.5.</t>
  </si>
  <si>
    <t>29.6.</t>
  </si>
  <si>
    <t>29.7.</t>
  </si>
  <si>
    <t>29.8.</t>
  </si>
  <si>
    <t>TINTA</t>
  </si>
  <si>
    <t>MASSA</t>
  </si>
  <si>
    <t>FUNDO</t>
  </si>
  <si>
    <t>PORCELANATO</t>
  </si>
  <si>
    <t>TEXTURA</t>
  </si>
  <si>
    <t>MANTA</t>
  </si>
  <si>
    <t>ARGAMASSA</t>
  </si>
  <si>
    <t>ESQUADRIA</t>
  </si>
  <si>
    <t>conferencia</t>
  </si>
  <si>
    <t>OKAY</t>
  </si>
  <si>
    <t>CERAMICA</t>
  </si>
  <si>
    <t>Fechamento de Shaft em Alvenaria convencional de 9x19x19cm</t>
  </si>
  <si>
    <t>BLOCO CERÂMICO - 11,5X19X19cm</t>
  </si>
  <si>
    <t>BLOCO CERÂMICO - 14X19X19cm</t>
  </si>
  <si>
    <t>Alvenaria em Bloco De Concreto Celular 60x30x10cm Sical (espessura 10cm) com argamassa industrializada de assentamento</t>
  </si>
  <si>
    <t>Bloco Concreto Celular 10x30x60</t>
  </si>
  <si>
    <t>Chapisco interno de argamassa preparada em obra de cimento e areia - traço 1:4 - aplicação em paredes internas</t>
  </si>
  <si>
    <t xml:space="preserve">ARGAMASSA TRAÇO 1:4 (EM VOLUME DE CIMENTO E AREIA GROSSA ÚMIDA) PARA CHAPISCO CONVENCIONAL, PREPARO MANUAL. </t>
  </si>
  <si>
    <t>Massa unica para reboco interno em argamassa estabilizada, espessura de 2,5cm, com execução desempenado fino</t>
  </si>
  <si>
    <t>Acústica para Contrapiso com malha de aço e manta polipropileno</t>
  </si>
  <si>
    <t>Manta De Polipropileno, E = 10 Mm</t>
  </si>
  <si>
    <t xml:space="preserve">Regularização de Piso 5,00 cm </t>
  </si>
  <si>
    <t xml:space="preserve">Piso de concreto polido, espessura 3cm </t>
  </si>
  <si>
    <t>Massa unica para reboco externo em argamassa estabilizada, espessura de 2,5cm, com execução desempenado fino</t>
  </si>
  <si>
    <t>Chapisco externo aplicado em estruturas de concreto, de argamassa ACIII, com desempenadeira dentada</t>
  </si>
  <si>
    <t>Mão de obra execução Piso cimentado</t>
  </si>
  <si>
    <t>Mão de obra execução Piso de concreto polido</t>
  </si>
  <si>
    <t>Negativo de forro de gesso mineral</t>
  </si>
  <si>
    <t>Negativo de forro de gesso acartonado - área umida</t>
  </si>
  <si>
    <t>Negativo de forro de gesso acartonado - área seca</t>
  </si>
  <si>
    <t>Forro de placa cimenticia - Material e Mão de Obra</t>
  </si>
  <si>
    <t>Pintura Com Tinta Latex Acrilica em Paredes Internas, 3 Demaos (Somente tinta)</t>
  </si>
  <si>
    <t>Pintura Com Tinta Latex Acrilica em Paredes Externas, 3 Demaos (Incluso fundo e massa)</t>
  </si>
  <si>
    <t>Pintura Com Tinta Latex Acrilica em Paredes Externas, 3 Demaos (Somente tinta e fundo)</t>
  </si>
  <si>
    <t>Pintura Com Tinta Latex Acrilica em Paredes Externas, 3 Demaos (Incluso fundo e massa) - Cor preto</t>
  </si>
  <si>
    <t>TINTA ACRILICA PREMIUM COR PRETA</t>
  </si>
  <si>
    <t>Textura acrílica, acabamento suave, aplicação em paredes externas - 1 demão - Cinza escuro</t>
  </si>
  <si>
    <t>Suvinil Texturatto Efeito Suave Textura 21kg</t>
  </si>
  <si>
    <t>Revestimento de Piso Interno de Porcelanato Polido, Placa 60x60cm</t>
  </si>
  <si>
    <t>Revestimento de Piso Externo de Porcelanato Polido, Placa 60x60cm</t>
  </si>
  <si>
    <t>Revestimento em Cerâmicas Pisos Externos, 60x 60cm com Junta de 3mm</t>
  </si>
  <si>
    <t>Revestimento de piso vinilico, nas áreas comuns - Material e Mão de Obra</t>
  </si>
  <si>
    <t>Revestimento de piso carpet - Material e Mão de Obra</t>
  </si>
  <si>
    <t>Enchimento de EPS em laje</t>
  </si>
  <si>
    <t>Incluso piso e parede</t>
  </si>
  <si>
    <t>Mão de obra para enchimento de EPS em piso</t>
  </si>
  <si>
    <t>Mão de obra para assentamento de requadros em portas de elevador</t>
  </si>
  <si>
    <t>Isolamento de lã de vidro</t>
  </si>
  <si>
    <t>Portão, 1 folha, 350x240 cm</t>
  </si>
  <si>
    <t>Porta venezianada metálica, 1 folha, 60x80 cm</t>
  </si>
  <si>
    <t>Porta metálica, 1 folha, 80x150 cm</t>
  </si>
  <si>
    <t>Estrutura para cobertura em concreto</t>
  </si>
  <si>
    <t>Pavimentação em Pedras Naturais na calçada</t>
  </si>
  <si>
    <t>Revestimento em Porcelanato Portobello - 30 x 30 cm , rejunte acrilico, aplicação em Fachada</t>
  </si>
  <si>
    <t>Revestimento em Porcelanato amadeirado, rejunte acrilico, aplicação em Fachada</t>
  </si>
  <si>
    <t>Revestimento em Porcelanato bege, rejunte acrilico, aplicação em Fachada</t>
  </si>
  <si>
    <t>Revestimento em cerâmica, rejunte acrilico, aplicação em Fachada</t>
  </si>
  <si>
    <t>Painel metálico perfurado, aplicação em Fachada</t>
  </si>
  <si>
    <t>Origem</t>
  </si>
  <si>
    <t>Custo unitário</t>
  </si>
  <si>
    <t>Custo Total</t>
  </si>
  <si>
    <t>Mão de obra PPCI</t>
  </si>
  <si>
    <t>quantidades confirme quantidades do projetista</t>
  </si>
  <si>
    <t>LEVANTAMENTO MOBILIÁRIOS E EQUIPAMENTOS DE LAZER</t>
  </si>
  <si>
    <t>TOTAL PAVIMENTOS:</t>
  </si>
  <si>
    <t>ÁREA TOTAL:</t>
  </si>
  <si>
    <t>CUSTO/ M2</t>
  </si>
  <si>
    <t>Pavimento</t>
  </si>
  <si>
    <t>Ambiente</t>
  </si>
  <si>
    <t>Quantidade (un)</t>
  </si>
  <si>
    <t>Preço Unitário</t>
  </si>
  <si>
    <t>Preço Total</t>
  </si>
  <si>
    <t xml:space="preserve">Observações </t>
  </si>
  <si>
    <t xml:space="preserve">Área: </t>
  </si>
  <si>
    <t>Iluminação</t>
  </si>
  <si>
    <t>Marcenaria</t>
  </si>
  <si>
    <t>Espelho Orgânico Piedra 68 cm x 79 cm Preto</t>
  </si>
  <si>
    <t>Contêiner de Lixo Gruplast em Plástico 240 Litros Preto Com Pedal</t>
  </si>
  <si>
    <t>Carro Coletor 120 Litros Cinza com Pedal</t>
  </si>
  <si>
    <t>Cooktop 5 Bocas Electrolux à Gás Experience Inox Semi Profissional (KE9DX) - Bivolt</t>
  </si>
  <si>
    <t>LEVANTAMENTO LOUÇAS E METAIS</t>
  </si>
  <si>
    <t>Aplicação</t>
  </si>
  <si>
    <t>Descrição do Material</t>
  </si>
  <si>
    <t>Un.</t>
  </si>
  <si>
    <t xml:space="preserve">Total </t>
  </si>
  <si>
    <t xml:space="preserve"> Qtde/ Pavimento</t>
  </si>
  <si>
    <t>Custo do Item</t>
  </si>
  <si>
    <t>louças e aparelhos sanitários</t>
  </si>
  <si>
    <t>Banheiro - Lavatorio / Suspenso</t>
  </si>
  <si>
    <t>Banheiro - Lavatorio PNE</t>
  </si>
  <si>
    <t>Cozinha - Cuba Dupla / Inox</t>
  </si>
  <si>
    <t>Cozinha - Pia Sintetica</t>
  </si>
  <si>
    <t>Tanque Louça c/ Coluna</t>
  </si>
  <si>
    <t>Tanque Fibra</t>
  </si>
  <si>
    <t>Mictório Louça</t>
  </si>
  <si>
    <t>Mictório Inox</t>
  </si>
  <si>
    <t>Churrasqueira Pré Frabricada</t>
  </si>
  <si>
    <t>Banheira de Hidromassagem</t>
  </si>
  <si>
    <t>metais para acabamentos</t>
  </si>
  <si>
    <t>Exastor Mecânico</t>
  </si>
  <si>
    <t>Sifão ajustável multiuso</t>
  </si>
  <si>
    <t>Está nas composições</t>
  </si>
  <si>
    <t>Anel de vedação, 100 mm, para saíde de bacia sanitária</t>
  </si>
  <si>
    <t>Engate/ rabicho flexível inóx 1/2"x40mm</t>
  </si>
  <si>
    <t>Parafuso niquelado para fixação de bacia sanitária - tamanho S-10</t>
  </si>
  <si>
    <t>Válvula de escoamento para lavatório</t>
  </si>
  <si>
    <t>Válvula de escoamento para Pia</t>
  </si>
  <si>
    <t>Válvula de escoamento para tanque</t>
  </si>
  <si>
    <t>artefatos em pedra</t>
  </si>
  <si>
    <t>Bancada Cozinha</t>
  </si>
  <si>
    <t>Bancada Banheiros</t>
  </si>
  <si>
    <t>Bancada Tanque</t>
  </si>
  <si>
    <t>Equipamento de ar condicionado</t>
  </si>
  <si>
    <t>Massa Dundun Para Assentamento De Tijolos E Blocos</t>
  </si>
  <si>
    <t>Alvenaria de vedacao de blocos ceramicos furados na horizontal de 11,5x19x19cm (espessura 11,5cm) com argamassa de assentamento Dun Dun</t>
  </si>
  <si>
    <t>Alvenaria Refratária</t>
  </si>
  <si>
    <t>Forro de gesso mineral em tetos - Material e Mão de Obra</t>
  </si>
  <si>
    <t>Custo embutido no custo por m2</t>
  </si>
  <si>
    <t>Isopor Eps Nivelamento Laje Contra Piso 1000x330x110mm</t>
  </si>
  <si>
    <t>Porta de madeira de abrir - 100x210cm (kit completo) - fixação com espuma expansiva</t>
  </si>
  <si>
    <t>Porta de madeira de abrir - 100x210cm (kit completo)</t>
  </si>
  <si>
    <t>Porta de madeira de Correr - 80x210cm (kit completo) - fixação com espuma expansiva</t>
  </si>
  <si>
    <t>Porta de madeira de Correr - 80x210cm (kit completo)</t>
  </si>
  <si>
    <t>Brise de Madeira - Decoração Fachada</t>
  </si>
  <si>
    <t>Espuma Tarugo Corpo de Apoio Tarucel 15mm (delimitador de profundidade)</t>
  </si>
  <si>
    <t>Revestimento em Pedra Molero Aplicado em Fachadas</t>
  </si>
  <si>
    <t>Pedra Natural moledo</t>
  </si>
  <si>
    <t>Revestimento em Vinilico, aplicação em Fachada - Material e  Mão de Obra</t>
  </si>
  <si>
    <t>Revestimento em ACM, cor bronze, aplicação em Fachada - Material e  Mão de Obra</t>
  </si>
  <si>
    <t>Revestimento em ACM, cor concreto aparente, aplicação em Fachada - Material e  Mão de Obra</t>
  </si>
  <si>
    <t>Painel metálico, aplicação em Fachada - Material e  Mão de Obra</t>
  </si>
  <si>
    <t xml:space="preserve">Porcelanato A 30x30 </t>
  </si>
  <si>
    <t>Piso Firenze Texas Gray Área Externa Classe A 60 x 60 Cm</t>
  </si>
  <si>
    <t>Mão de obra para execução de pedra natural em piso áreas externas</t>
  </si>
  <si>
    <t>REVESTIMENTOS ARGAMASSADOS PISO</t>
  </si>
  <si>
    <t>REVESTIMENTOS ARGAMASSADOS PAREDE</t>
  </si>
  <si>
    <t>Mão de obra - Revestimentos</t>
  </si>
  <si>
    <t>ACABAMENTOS DE FACHADA</t>
  </si>
  <si>
    <t>PINTURA DE FACHADA</t>
  </si>
  <si>
    <t>Luminotécnico do Paisagismo</t>
  </si>
  <si>
    <t>Irrigação do Paisagismo</t>
  </si>
  <si>
    <t>Ralos</t>
  </si>
  <si>
    <t>Ralos comum</t>
  </si>
  <si>
    <t>Ralo Linear</t>
  </si>
  <si>
    <t>Planilha - Arquivos Considerados</t>
  </si>
  <si>
    <t>Textura acrilica Cinza escura - Sto Brasil</t>
  </si>
  <si>
    <t>ÁREA DE LAZER</t>
  </si>
  <si>
    <t>TOTAL DORMITÓRIOS</t>
  </si>
  <si>
    <t>VENT. MEC.</t>
  </si>
  <si>
    <t>Corte e aterro</t>
  </si>
  <si>
    <t>Lastro de estrutura de concreto</t>
  </si>
  <si>
    <t>Movimentação de bota - fora</t>
  </si>
  <si>
    <t>PAREDES E PAINÉIS</t>
  </si>
  <si>
    <t>VEDAÇÕES</t>
  </si>
  <si>
    <t>Alvenaria de vedação com bocos de concreto</t>
  </si>
  <si>
    <t>Impermeabilização de fundação e contenção</t>
  </si>
  <si>
    <t>Impermeabilização de lajes e terraços</t>
  </si>
  <si>
    <t>Impermeabilização de esquadrias</t>
  </si>
  <si>
    <t>Impermeabilização de ralos</t>
  </si>
  <si>
    <t>Impermeabilização de reservatórios</t>
  </si>
  <si>
    <t>Instalações de água fria</t>
  </si>
  <si>
    <t>Instalações de água quente</t>
  </si>
  <si>
    <t>Instalações de esgoto e pluviais</t>
  </si>
  <si>
    <t>Cisterna</t>
  </si>
  <si>
    <t>Hidrômetros</t>
  </si>
  <si>
    <t>Reservatórios</t>
  </si>
  <si>
    <t>Sistema de bombas</t>
  </si>
  <si>
    <t>Quadros elétricos e disjuntores</t>
  </si>
  <si>
    <t>Eletrodutos e eletrocalhas</t>
  </si>
  <si>
    <t>Fios e cabos elétricos</t>
  </si>
  <si>
    <t>Pontos de tomadas e interruptores</t>
  </si>
  <si>
    <t xml:space="preserve">Luminárias, lâmpadas e acessórios </t>
  </si>
  <si>
    <t>Central de Alarmes</t>
  </si>
  <si>
    <t>Medidores</t>
  </si>
  <si>
    <t>TV VHF/CABO/SATÉLITE</t>
  </si>
  <si>
    <t>Telefonia/lógica/internet</t>
  </si>
  <si>
    <t>AUTOMAÇÕES</t>
  </si>
  <si>
    <t>Infraestrutura de automação dos apartamentos (Iluminação, cortinas, áudio, ar cond.)</t>
  </si>
  <si>
    <t>Climatização</t>
  </si>
  <si>
    <t>Exaustão de churrasqueiras</t>
  </si>
  <si>
    <t>Argamassado interno em parede</t>
  </si>
  <si>
    <t>Acabamentos cerâmicos</t>
  </si>
  <si>
    <t>Acabamentos especiais</t>
  </si>
  <si>
    <t>REVESTIMENTOS E ACABAMENTOS INTERNOS EM TETO</t>
  </si>
  <si>
    <t>Acabamentos em pedra</t>
  </si>
  <si>
    <t>Rodapés</t>
  </si>
  <si>
    <t>SISTEMAS DE PINTURA INTERNA</t>
  </si>
  <si>
    <t>Sistema de pintura em piso</t>
  </si>
  <si>
    <t>Sistema de pintura em teto</t>
  </si>
  <si>
    <t>Guarda corpo</t>
  </si>
  <si>
    <t>Acessórios e ferragens</t>
  </si>
  <si>
    <t>Bancadas, pias e divisórias</t>
  </si>
  <si>
    <t>REVESTIMENTOS E ACABAMENTOS EM FACHADA</t>
  </si>
  <si>
    <t>Revestimento argamassado em fachada</t>
  </si>
  <si>
    <t>1.5.3</t>
  </si>
  <si>
    <t>1.6.3</t>
  </si>
  <si>
    <t>1.7.3</t>
  </si>
  <si>
    <t>1.8.3</t>
  </si>
  <si>
    <t>1.9.3</t>
  </si>
  <si>
    <t>1.10.3</t>
  </si>
  <si>
    <t>1.11.3</t>
  </si>
  <si>
    <t>1.12.3</t>
  </si>
  <si>
    <t>1.13.3</t>
  </si>
  <si>
    <t>1.14.3</t>
  </si>
  <si>
    <t>1.15.3</t>
  </si>
  <si>
    <t>1.16.3</t>
  </si>
  <si>
    <t>5.1.2</t>
  </si>
  <si>
    <t>5.5.2</t>
  </si>
  <si>
    <t>5.6.2</t>
  </si>
  <si>
    <t>5.17.2</t>
  </si>
  <si>
    <t>7.1.2</t>
  </si>
  <si>
    <t>16.2.</t>
  </si>
  <si>
    <t>16.2.1</t>
  </si>
  <si>
    <t>16.3.</t>
  </si>
  <si>
    <t>16.3.1</t>
  </si>
  <si>
    <t>19.3.</t>
  </si>
  <si>
    <t>19.3.1</t>
  </si>
  <si>
    <t>19.4.</t>
  </si>
  <si>
    <t>19.4.1</t>
  </si>
  <si>
    <t>19.5.</t>
  </si>
  <si>
    <t>19.5.1</t>
  </si>
  <si>
    <t>19.6.</t>
  </si>
  <si>
    <t>19.6.1</t>
  </si>
  <si>
    <t>21.1.2</t>
  </si>
  <si>
    <t>21.4.2</t>
  </si>
  <si>
    <t>21.6.2</t>
  </si>
  <si>
    <t>ignorar</t>
  </si>
  <si>
    <t>21.1.3</t>
  </si>
  <si>
    <t>21.1.4</t>
  </si>
  <si>
    <t>21.3.3</t>
  </si>
  <si>
    <t>21.4.3</t>
  </si>
  <si>
    <t>21.5.2</t>
  </si>
  <si>
    <t>21.5.3</t>
  </si>
  <si>
    <t>21.5.4</t>
  </si>
  <si>
    <t>21.6.3</t>
  </si>
  <si>
    <t>21.6.4</t>
  </si>
  <si>
    <t>Utilização como impermeabilizante: 0,650 litros/m² aplicado em 2 ou 3 demãos*</t>
  </si>
  <si>
    <t>Impermeabilização de banheiro, cozinha, área de serviço, fosso do elevador e sacada</t>
  </si>
  <si>
    <t>Rejunte acrilico</t>
  </si>
  <si>
    <t>Arkowood K - 30x50</t>
  </si>
  <si>
    <t>Mão de obra de obra execução de arkwood</t>
  </si>
  <si>
    <t>SISTEMA MUX ARABI 100 X 100mm - com recorte</t>
  </si>
  <si>
    <t>Sistema Muxarabi 100 X 100mm - Arkwood X</t>
  </si>
  <si>
    <t>Sistema Brise 30x50cm - Arkwood K</t>
  </si>
  <si>
    <t>Contrapiso comum em argamassa estabilizada, nao aderido, espessura 4cm</t>
  </si>
  <si>
    <t>Contrapiso comum em argamassa estabilizada, nao aderido, espessura 7cm</t>
  </si>
  <si>
    <t>Piso de concreto, acabamento estampado, espessura 6 cm</t>
  </si>
  <si>
    <t>DESMOLDANTE PARA CONCRETO ESTAMPADO</t>
  </si>
  <si>
    <t>MOLDE DE POLIURETANO, FLEXIVEL OU SEMI-FLEXIVEL, PARA ESTAMPAGEM DE PISO / PASSEIO DE CONCRETO</t>
  </si>
  <si>
    <t>PO ENDURECEDOR PARA CONCRETO ESTAMPADO - PIGMENTO ENDURECEDOR</t>
  </si>
  <si>
    <t>Mão de obra execução Piso Lapidado</t>
  </si>
  <si>
    <t>Revestimento em Porcelanato amadeirado 19x117cm para Piso, rejunte acrilico, aplicação em áreas comuns externas</t>
  </si>
  <si>
    <t>Rodapé de cerâmico h=10cm</t>
  </si>
  <si>
    <t>Rodapé de cerâmico h=43cm</t>
  </si>
  <si>
    <t>Revestimento de argila expandida, nas áreas externas - Material e Mão de Obra</t>
  </si>
  <si>
    <t>Mão de obra de argila expandida</t>
  </si>
  <si>
    <t>Selador acrilico em Paredes Internas</t>
  </si>
  <si>
    <t>Mão de obra de ficação de contramarco de aluminio</t>
  </si>
  <si>
    <t>Mão de obra de ficação de contramarco de aço</t>
  </si>
  <si>
    <t>Portão, 1 folha, 320x295 cm</t>
  </si>
  <si>
    <t>Porta de madeira de abrir - 60x150cm (kit completo) - fixação com espuma expansiva</t>
  </si>
  <si>
    <t>Porta de madeira de abrir - 60x150cm (kit completo)</t>
  </si>
  <si>
    <t>Porta corta-fogo, 1 folha, 96x210 cm</t>
  </si>
  <si>
    <t>Calha em alumínio - 40 cm</t>
  </si>
  <si>
    <t>Calha Beiral Alumínio Com 2 Tampas Corte 40</t>
  </si>
  <si>
    <t>Chapisco externo aplicado em estruturas de concreto, com argamassa pré-fabricada adesiva de cimento colante, aplicação convencional</t>
  </si>
  <si>
    <t>Mão de obra para execução de piso de concreto estampado em piso áreas externas</t>
  </si>
  <si>
    <t>Revestimento para Piscina Esmaltado Giz Borda Arredondada Bold Cinza 15x15cm Gabriella</t>
  </si>
  <si>
    <t>Revestimento em Ladrilhos para Piscina, Cinza giz 15x15 com Juntas e rejunte acrilico</t>
  </si>
  <si>
    <t>Porcelanato Cemento Nebbia Retificado Acetinado 60x60 Biancogres</t>
  </si>
  <si>
    <t>Porcelanato a 60x60 noir polido</t>
  </si>
  <si>
    <t>Piso Esmaltado 60x60 Duran Grafite 60319 Retificado</t>
  </si>
  <si>
    <t>Material e Mão de obra</t>
  </si>
  <si>
    <t>Pintura com tinta acetinada, 1 demãos, parede externa</t>
  </si>
  <si>
    <t>Pintura com tinta suviflez emborrachada, 2 demãos, parede externa</t>
  </si>
  <si>
    <t>Pintura Com  Tinta Fosca em Paredes Externas, 2 Demaos (Incluso fundo e massa) - Cor Branco</t>
  </si>
  <si>
    <t>Impermeabilizante Suviflex 18 Litros Branco Suvinil</t>
  </si>
  <si>
    <t>1 demão de 18 litros rende 250 a 300 m²</t>
  </si>
  <si>
    <t>Tinta ACRÍLICO TOQUE DE SEDA ACETINADO</t>
  </si>
  <si>
    <t>Branco e cores 18 L - 115m² acabados.</t>
  </si>
  <si>
    <t>Suvinil Toque Fosco Completo branco</t>
  </si>
  <si>
    <t>Suvinil Toque Fosco Completo Carvão mineral</t>
  </si>
  <si>
    <t>Branco e cores 16 L - 110m² acabados.</t>
  </si>
  <si>
    <t>Suvinil Toque Fosco Completo Sambaqui</t>
  </si>
  <si>
    <t>Suvinil Toque Fosco Completo Pinhão</t>
  </si>
  <si>
    <t>Mão de obra para aplicação de Pintura em paredes externas - 2 demãos</t>
  </si>
  <si>
    <t>Mão de obra para aplicação de Pintura em paredes externas - 1 demãos</t>
  </si>
  <si>
    <t>Tinta fosca</t>
  </si>
  <si>
    <t>Revestimento de cerâmico retificado em Paredes, Placa 60 x 60cm com Junta de 2mm e rejunte acrilico</t>
  </si>
  <si>
    <t>Mão de obra para demarcação de vagas em piso, 2 demãos</t>
  </si>
  <si>
    <t>Mão de obra para demarcação de vagas em parede, 2 demãos</t>
  </si>
  <si>
    <t>Mão de obra para selador nos dutos em paredes internas, 1 demãos</t>
  </si>
  <si>
    <t>5.20.</t>
  </si>
  <si>
    <t>5.20.1</t>
  </si>
  <si>
    <t>6.20.</t>
  </si>
  <si>
    <t>Impermeabilização com manta aluminio</t>
  </si>
  <si>
    <t>7.19.</t>
  </si>
  <si>
    <t>11.1.1</t>
  </si>
  <si>
    <t>11.2.1</t>
  </si>
  <si>
    <t>11.3.1</t>
  </si>
  <si>
    <t>11.4.1</t>
  </si>
  <si>
    <t>11.5.1</t>
  </si>
  <si>
    <t>11.6.1</t>
  </si>
  <si>
    <t>11.18.</t>
  </si>
  <si>
    <t>11.19.</t>
  </si>
  <si>
    <t>34.2.</t>
  </si>
  <si>
    <t>34.2.1</t>
  </si>
  <si>
    <t>34.3.</t>
  </si>
  <si>
    <t>34.3.1</t>
  </si>
  <si>
    <t>Textura acrílica aplicação em paredes internas, 1 demão (sem selador)</t>
  </si>
  <si>
    <t>Tapume em telha metálica trapezoidal</t>
  </si>
  <si>
    <t>Guarda-corpo de vãos, fixado em fôrma de madeira, em trama de madeira com tela de polipropileno</t>
  </si>
  <si>
    <t xml:space="preserve">Tela com impressão digital UV </t>
  </si>
  <si>
    <t>Tela de polietileno reforçada com impressão digital</t>
  </si>
  <si>
    <t>Mão de obra para mochetas</t>
  </si>
  <si>
    <t>R00 - Larissa</t>
  </si>
  <si>
    <t>ILUMINAÇÃO</t>
  </si>
  <si>
    <t>MARCENARIA</t>
  </si>
  <si>
    <t>Iluminação Parede</t>
  </si>
  <si>
    <t>Led - 10 metros</t>
  </si>
  <si>
    <t>Quadro Decorativo Off White Abstrato 1,00x1,50m</t>
  </si>
  <si>
    <t>Geladeira Electrolux Frost Free 400L Efficient AutoSense Inverse cor Inox Look (DB44S)</t>
  </si>
  <si>
    <t>Decoração</t>
  </si>
  <si>
    <t>Plantas</t>
  </si>
  <si>
    <t>Samsung Smart TV 43" QLED 4K The Frame 43LS03D</t>
  </si>
  <si>
    <t>Almofada 40x40</t>
  </si>
  <si>
    <t>Forno de Embutir Elétrico Electrolux 80L Efficient com PerfectCook (OE8EL) 220V</t>
  </si>
  <si>
    <t>Frigobar 88 Litros Suggar Inox 127V</t>
  </si>
  <si>
    <t>Considerado conforme o pdf de sanitário</t>
  </si>
  <si>
    <t>Lavatorio para banheiros suspenso PNE</t>
  </si>
  <si>
    <t>Logasa Lavatório Suspenso de Canto</t>
  </si>
  <si>
    <t>Considerada somente o registro</t>
  </si>
  <si>
    <t>2.1.2</t>
  </si>
  <si>
    <t>20.1.2</t>
  </si>
  <si>
    <t>Contramarco pequeno de Alumínio, Fixação com Argamassa</t>
  </si>
  <si>
    <t>Mão de obra de ficação de contramarco de aluminio pequeno</t>
  </si>
  <si>
    <t>Parede drywall de 10,0 mm</t>
  </si>
  <si>
    <t>Parede drywall de 12,5 mm</t>
  </si>
  <si>
    <t>PLACA / CHAPA DE GESSO ACARTONADO, RESISTENTE A UMIDADE (RU), COR VERDE, E = 10,0 MM, 1200 X 2400 MM (L X C)</t>
  </si>
  <si>
    <t>PLACA / CHAPA DE GESSO ACARTONADO, STANDARD (ST), COR BRANCA, E = 10,0 MM, 1200 X 2400 MM (L X C)</t>
  </si>
  <si>
    <t>Mão de obra de Tela soldada para ligacao alvenaria/estrutura</t>
  </si>
  <si>
    <t>Exaustão</t>
  </si>
  <si>
    <t>Considerado 1 por churrasqueira</t>
  </si>
  <si>
    <t>Foi feito um levantamento com base no projeto e considerado os equipamentos somente nas áreas comuns, excluindo os dos tipos</t>
  </si>
  <si>
    <t>Considerado R$5/m²</t>
  </si>
  <si>
    <t>Mão de obra de instalação de equipamentos</t>
  </si>
  <si>
    <t>Considerado R$7,41/m²</t>
  </si>
  <si>
    <t xml:space="preserve">Equipamentos de piscina </t>
  </si>
  <si>
    <t>Considerado R$77/m²</t>
  </si>
  <si>
    <t>Considerado R$70/m²</t>
  </si>
  <si>
    <t>1.2.3</t>
  </si>
  <si>
    <t>1.3.3</t>
  </si>
  <si>
    <t>1.4.3</t>
  </si>
  <si>
    <t>BARRILETE</t>
  </si>
  <si>
    <t>1.18.3</t>
  </si>
  <si>
    <t>1.21.</t>
  </si>
  <si>
    <t>1.21.1</t>
  </si>
  <si>
    <t>1.21.2</t>
  </si>
  <si>
    <t>2.2.2</t>
  </si>
  <si>
    <t>2.2.3</t>
  </si>
  <si>
    <t>2.3.2</t>
  </si>
  <si>
    <t>2.3.3</t>
  </si>
  <si>
    <t>2.3.4</t>
  </si>
  <si>
    <t>2.4.2</t>
  </si>
  <si>
    <t>2.4.3</t>
  </si>
  <si>
    <t>2.4.4</t>
  </si>
  <si>
    <t>2.5.2</t>
  </si>
  <si>
    <t>2.5.3</t>
  </si>
  <si>
    <t>2.5.4</t>
  </si>
  <si>
    <t>2.6.2</t>
  </si>
  <si>
    <t>2.6.3</t>
  </si>
  <si>
    <t>2.6.4</t>
  </si>
  <si>
    <t>2.7.2</t>
  </si>
  <si>
    <t>2.7.3</t>
  </si>
  <si>
    <t>2.7.4</t>
  </si>
  <si>
    <t>2.8.2</t>
  </si>
  <si>
    <t>2.8.3</t>
  </si>
  <si>
    <t>2.8.4</t>
  </si>
  <si>
    <t>2.9.2</t>
  </si>
  <si>
    <t>2.9.3</t>
  </si>
  <si>
    <t>2.9.4</t>
  </si>
  <si>
    <t>2.10.2</t>
  </si>
  <si>
    <t>2.10.3</t>
  </si>
  <si>
    <t>2.10.4</t>
  </si>
  <si>
    <t>2.11.2</t>
  </si>
  <si>
    <t>2.11.3</t>
  </si>
  <si>
    <t>2.11.4</t>
  </si>
  <si>
    <t>2.12.2</t>
  </si>
  <si>
    <t>2.12.3</t>
  </si>
  <si>
    <t>2.12.4</t>
  </si>
  <si>
    <t>2.13.2</t>
  </si>
  <si>
    <t>2.13.3</t>
  </si>
  <si>
    <t>2.13.4</t>
  </si>
  <si>
    <t>2.14.2</t>
  </si>
  <si>
    <t>2.14.3</t>
  </si>
  <si>
    <t>2.14.4</t>
  </si>
  <si>
    <t>2.15.2</t>
  </si>
  <si>
    <t>2.15.3</t>
  </si>
  <si>
    <t>2.16.2</t>
  </si>
  <si>
    <t>2.16.3</t>
  </si>
  <si>
    <t>2.17.2</t>
  </si>
  <si>
    <t>2.17.3</t>
  </si>
  <si>
    <t>2.18.2</t>
  </si>
  <si>
    <t>2.18.3</t>
  </si>
  <si>
    <t>2.19.</t>
  </si>
  <si>
    <t>2.19.1</t>
  </si>
  <si>
    <t>2.20.</t>
  </si>
  <si>
    <t>2.20.1</t>
  </si>
  <si>
    <t>2.20.2</t>
  </si>
  <si>
    <t>2.21.</t>
  </si>
  <si>
    <t>2.21.1</t>
  </si>
  <si>
    <t>2.21.2</t>
  </si>
  <si>
    <t>3.1.2</t>
  </si>
  <si>
    <t>3.2.2</t>
  </si>
  <si>
    <t>3.2.3</t>
  </si>
  <si>
    <t>3.2.4</t>
  </si>
  <si>
    <t>3.2.5</t>
  </si>
  <si>
    <t>3.3.2</t>
  </si>
  <si>
    <t>3.3.3</t>
  </si>
  <si>
    <t>3.3.4</t>
  </si>
  <si>
    <t>3.3.5</t>
  </si>
  <si>
    <t>3.4.2</t>
  </si>
  <si>
    <t>3.4.3</t>
  </si>
  <si>
    <t>3.4.4</t>
  </si>
  <si>
    <t>3.4.5</t>
  </si>
  <si>
    <t>3.5.2</t>
  </si>
  <si>
    <t>3.5.3</t>
  </si>
  <si>
    <t>3.5.4</t>
  </si>
  <si>
    <t>3.5.5</t>
  </si>
  <si>
    <t>3.6.2</t>
  </si>
  <si>
    <t>3.6.3</t>
  </si>
  <si>
    <t>3.6.4</t>
  </si>
  <si>
    <t>3.6.5</t>
  </si>
  <si>
    <t>3.7.2</t>
  </si>
  <si>
    <t>3.7.3</t>
  </si>
  <si>
    <t>3.7.4</t>
  </si>
  <si>
    <t>3.7.5</t>
  </si>
  <si>
    <t>3.8.2</t>
  </si>
  <si>
    <t>3.8.3</t>
  </si>
  <si>
    <t>3.8.4</t>
  </si>
  <si>
    <t>3.8.5</t>
  </si>
  <si>
    <t>3.9.2</t>
  </si>
  <si>
    <t>3.9.3</t>
  </si>
  <si>
    <t>3.9.4</t>
  </si>
  <si>
    <t>3.9.5</t>
  </si>
  <si>
    <t>3.10.2</t>
  </si>
  <si>
    <t>3.10.3</t>
  </si>
  <si>
    <t>3.10.4</t>
  </si>
  <si>
    <t>3.10.5</t>
  </si>
  <si>
    <t>3.11.2</t>
  </si>
  <si>
    <t>3.11.3</t>
  </si>
  <si>
    <t>3.11.4</t>
  </si>
  <si>
    <t>3.11.5</t>
  </si>
  <si>
    <t>3.12.2</t>
  </si>
  <si>
    <t>3.12.3</t>
  </si>
  <si>
    <t>3.12.4</t>
  </si>
  <si>
    <t>3.12.5</t>
  </si>
  <si>
    <t>3.13.2</t>
  </si>
  <si>
    <t>3.13.3</t>
  </si>
  <si>
    <t>3.13.4</t>
  </si>
  <si>
    <t>3.13.5</t>
  </si>
  <si>
    <t>3.14.</t>
  </si>
  <si>
    <t>3.14.1</t>
  </si>
  <si>
    <t>3.14.2</t>
  </si>
  <si>
    <t>3.14.3</t>
  </si>
  <si>
    <t>3.14.4</t>
  </si>
  <si>
    <t>3.14.5</t>
  </si>
  <si>
    <t>3.15.</t>
  </si>
  <si>
    <t>3.15.1</t>
  </si>
  <si>
    <t>3.15.2</t>
  </si>
  <si>
    <t>3.15.3</t>
  </si>
  <si>
    <t>3.15.4</t>
  </si>
  <si>
    <t>3.15.5</t>
  </si>
  <si>
    <t>3.16.</t>
  </si>
  <si>
    <t>3.16.1</t>
  </si>
  <si>
    <t>3.16.2</t>
  </si>
  <si>
    <t>3.16.3</t>
  </si>
  <si>
    <t>3.16.4</t>
  </si>
  <si>
    <t>3.16.5</t>
  </si>
  <si>
    <t>3.17.</t>
  </si>
  <si>
    <t>3.17.1</t>
  </si>
  <si>
    <t>3.17.2</t>
  </si>
  <si>
    <t>3.17.3</t>
  </si>
  <si>
    <t>3.17.4</t>
  </si>
  <si>
    <t>3.17.5</t>
  </si>
  <si>
    <t>3.18.</t>
  </si>
  <si>
    <t>3.18.1</t>
  </si>
  <si>
    <t>3.18.2</t>
  </si>
  <si>
    <t>3.18.3</t>
  </si>
  <si>
    <t>3.18.4</t>
  </si>
  <si>
    <t>3.18.5</t>
  </si>
  <si>
    <t>3.19.</t>
  </si>
  <si>
    <t>3.19.1</t>
  </si>
  <si>
    <t>3.20.</t>
  </si>
  <si>
    <t>3.20.1</t>
  </si>
  <si>
    <t>3.20.2</t>
  </si>
  <si>
    <t>3.21.</t>
  </si>
  <si>
    <t>3.21.1</t>
  </si>
  <si>
    <t>3.21.2</t>
  </si>
  <si>
    <t>4.3.2</t>
  </si>
  <si>
    <t>4.4.2</t>
  </si>
  <si>
    <t>4.5.2</t>
  </si>
  <si>
    <t>4.6.2</t>
  </si>
  <si>
    <t>4.7.2</t>
  </si>
  <si>
    <t>4.8.2</t>
  </si>
  <si>
    <t>4.9.2</t>
  </si>
  <si>
    <t>4.10.2</t>
  </si>
  <si>
    <t>4.11.2</t>
  </si>
  <si>
    <t>4.12.2</t>
  </si>
  <si>
    <t>4.13.2</t>
  </si>
  <si>
    <t>4.14.2</t>
  </si>
  <si>
    <t>4.16.2</t>
  </si>
  <si>
    <t>4.17.2</t>
  </si>
  <si>
    <t>4.18.2</t>
  </si>
  <si>
    <t>4.20.</t>
  </si>
  <si>
    <t>4.20.1</t>
  </si>
  <si>
    <t>5.</t>
  </si>
  <si>
    <t>5.2.2</t>
  </si>
  <si>
    <t>5.2.3</t>
  </si>
  <si>
    <t>5.3.2</t>
  </si>
  <si>
    <t>5.3.3</t>
  </si>
  <si>
    <t>5.4.2</t>
  </si>
  <si>
    <t>5.4.3</t>
  </si>
  <si>
    <t>5.5.3</t>
  </si>
  <si>
    <t>5.6.3</t>
  </si>
  <si>
    <t>5.7.2</t>
  </si>
  <si>
    <t>5.7.3</t>
  </si>
  <si>
    <t>5.8.2</t>
  </si>
  <si>
    <t>5.8.3</t>
  </si>
  <si>
    <t>5.9.2</t>
  </si>
  <si>
    <t>5.9.3</t>
  </si>
  <si>
    <t>5.10.2</t>
  </si>
  <si>
    <t>5.10.3</t>
  </si>
  <si>
    <t>5.11.2</t>
  </si>
  <si>
    <t>5.11.3</t>
  </si>
  <si>
    <t>5.12.2</t>
  </si>
  <si>
    <t>5.12.3</t>
  </si>
  <si>
    <t>5.13.2</t>
  </si>
  <si>
    <t>5.13.3</t>
  </si>
  <si>
    <t>5.14.2</t>
  </si>
  <si>
    <t>5.14.3</t>
  </si>
  <si>
    <t>5.15.2</t>
  </si>
  <si>
    <t>5.15.3</t>
  </si>
  <si>
    <t>5.16.2</t>
  </si>
  <si>
    <t>5.16.3</t>
  </si>
  <si>
    <t>5.17.3</t>
  </si>
  <si>
    <t>5.18.2</t>
  </si>
  <si>
    <t>5.18.3</t>
  </si>
  <si>
    <t>5.20.2</t>
  </si>
  <si>
    <t>5.21.</t>
  </si>
  <si>
    <t>5.21.1</t>
  </si>
  <si>
    <t>5.21.2</t>
  </si>
  <si>
    <t>7.20.</t>
  </si>
  <si>
    <t>8.</t>
  </si>
  <si>
    <t>10.14.</t>
  </si>
  <si>
    <t>10.15.</t>
  </si>
  <si>
    <t>10.16.</t>
  </si>
  <si>
    <t>10.17.</t>
  </si>
  <si>
    <t>10.18.</t>
  </si>
  <si>
    <t>11.20.</t>
  </si>
  <si>
    <t>12.18.</t>
  </si>
  <si>
    <t>12.19.</t>
  </si>
  <si>
    <t>13.18.</t>
  </si>
  <si>
    <t>13.19.</t>
  </si>
  <si>
    <t>13.20.</t>
  </si>
  <si>
    <t>13.21.</t>
  </si>
  <si>
    <t>14.</t>
  </si>
  <si>
    <t>14.2.</t>
  </si>
  <si>
    <t>14.3.</t>
  </si>
  <si>
    <t>14.4.</t>
  </si>
  <si>
    <t>14.5.</t>
  </si>
  <si>
    <t>14.6.</t>
  </si>
  <si>
    <t>14.7.</t>
  </si>
  <si>
    <t>14.8.</t>
  </si>
  <si>
    <t>14.9.</t>
  </si>
  <si>
    <t>14.10.</t>
  </si>
  <si>
    <t>14.11.</t>
  </si>
  <si>
    <t>14.12.</t>
  </si>
  <si>
    <t>14.13.</t>
  </si>
  <si>
    <t>14.14.</t>
  </si>
  <si>
    <t>14.15.</t>
  </si>
  <si>
    <t>14.16.</t>
  </si>
  <si>
    <t>14.17.</t>
  </si>
  <si>
    <t>14.18.</t>
  </si>
  <si>
    <t>14.19.</t>
  </si>
  <si>
    <t>14.20.</t>
  </si>
  <si>
    <t>14.21.</t>
  </si>
  <si>
    <t>11.1.2</t>
  </si>
  <si>
    <t>14.1.2</t>
  </si>
  <si>
    <t>14.1.3</t>
  </si>
  <si>
    <t>14.1.4</t>
  </si>
  <si>
    <t>14.1.5</t>
  </si>
  <si>
    <t>14.1.6</t>
  </si>
  <si>
    <t>14.1.7</t>
  </si>
  <si>
    <t>14.1.8</t>
  </si>
  <si>
    <t>14.1.9</t>
  </si>
  <si>
    <t>14.1.10</t>
  </si>
  <si>
    <t>14.1.11</t>
  </si>
  <si>
    <t>14.1.12</t>
  </si>
  <si>
    <t>14.1.13</t>
  </si>
  <si>
    <t>14.1.14</t>
  </si>
  <si>
    <t>14.1.15</t>
  </si>
  <si>
    <t>14.1.16</t>
  </si>
  <si>
    <t>14.1.17</t>
  </si>
  <si>
    <t>14.1.18</t>
  </si>
  <si>
    <t>14.1.19</t>
  </si>
  <si>
    <t>14.1.20</t>
  </si>
  <si>
    <t>14.1.21</t>
  </si>
  <si>
    <t>14.1.22</t>
  </si>
  <si>
    <t>14.1.23</t>
  </si>
  <si>
    <t>14.1.24</t>
  </si>
  <si>
    <t>16.1.1</t>
  </si>
  <si>
    <t>19.</t>
  </si>
  <si>
    <t>19.1.2</t>
  </si>
  <si>
    <t>19.1.3</t>
  </si>
  <si>
    <t>19.1.4</t>
  </si>
  <si>
    <t>19.1.5</t>
  </si>
  <si>
    <t>Concreto Usinado bombeável 40MPa para infraestrutura- incluindo serviço de bombeamento</t>
  </si>
  <si>
    <t>UM</t>
  </si>
  <si>
    <t>Montagem e Desmontagem de Fôrma de Escadas</t>
  </si>
  <si>
    <t>Execucao Estaca Helice Continua Monitorada 050Cm</t>
  </si>
  <si>
    <t>Execucao Estaca Helice Continua Monitorada 060Cm</t>
  </si>
  <si>
    <t xml:space="preserve">	Mobilização e desmobilização de equipamentos - Para execução de estaca hélice monitorada</t>
  </si>
  <si>
    <t>Considerado estimativa de blocos, vigas de fundação e pilares, devido a ausencia de projeto</t>
  </si>
  <si>
    <t>Área das escoras, esta maior do que a área construida, pois esta considerando as areas de lajes do visus, que incluem lajes a mais que não são consideradas no quadro de áreas</t>
  </si>
  <si>
    <t>Excluido somente, vigas e lajes do Térreo, pois foram consideradas na fundação rasa</t>
  </si>
  <si>
    <t>Fabricação de Fôrma para Escadas, em Chapa de Madeira Compensada Resinada, E=18mm</t>
  </si>
  <si>
    <t>PREGO DE ACO POLIDO COM CABECA 17 X 24 (2 1/4 X11)</t>
  </si>
  <si>
    <t>Concreto Usinado FCK = 35MPa Bombeavel Para Supraestrutura</t>
  </si>
  <si>
    <t>Serviço de fixação de contramarco de aluminio pequeno</t>
  </si>
  <si>
    <t>Un</t>
  </si>
  <si>
    <t>CONTRAMARCO DE ALUMINIO Pequeno</t>
  </si>
  <si>
    <t>REVESTIMENTOS ARGAMASSADOS DE FACHADA</t>
  </si>
  <si>
    <t>und.</t>
  </si>
  <si>
    <t>Concreto armado no piso do térreo</t>
  </si>
  <si>
    <t>Considerado no contrapiso armado, considerado formas, armação, lona e concreto</t>
  </si>
  <si>
    <t>Barras de transferencia lisa 12,5mm 50 cm</t>
  </si>
  <si>
    <t>pc</t>
  </si>
  <si>
    <t>Perna de serra pinus - 10x30x300cm</t>
  </si>
  <si>
    <t>Espaçador Treliçado p/ armaduras 6 cm</t>
  </si>
  <si>
    <t>Considerado em climatização</t>
  </si>
  <si>
    <t>Considerado junto dos registro comuns</t>
  </si>
  <si>
    <t>Não foi localizado ou separado em projeto, entretanto, foi adicionado um valor complementar</t>
  </si>
  <si>
    <t xml:space="preserve">un </t>
  </si>
  <si>
    <t>Filtro de areia V-50 Veico</t>
  </si>
  <si>
    <t>Gerador de cloro Genesis 20 Veico pro</t>
  </si>
  <si>
    <t>Dosador de pastilhas Basic capacidade máx 2kg</t>
  </si>
  <si>
    <t>Motobomba Fluvia ¾ mono 220v</t>
  </si>
  <si>
    <t>Equipamento de transferência</t>
  </si>
  <si>
    <t>Válvula de retenção PVC-U Portinhola</t>
  </si>
  <si>
    <t>Filtro de cartucho Jacuzzi CWF 150</t>
  </si>
  <si>
    <t>Bomba dosadora Seko TPR 603</t>
  </si>
  <si>
    <t>Fonte para iluminação led Tholz 20w</t>
  </si>
  <si>
    <t>Controladora Tholz basic Smart Pool 40w</t>
  </si>
  <si>
    <t>Mão de obra para instalação</t>
  </si>
  <si>
    <t>Considerado 1200 por equipamento + 450 por ponto</t>
  </si>
  <si>
    <t>Estucamento de teto com argamassa</t>
  </si>
  <si>
    <t>Pintura em Látex Acrilica para faixa de garagem, em parede, 2 demão</t>
  </si>
  <si>
    <t>TINTA ACRILICA PREMIUM COR AMARELA</t>
  </si>
  <si>
    <t xml:space="preserve">Pintura com tinta látex acrílica com selador em tetos, 3 demãos </t>
  </si>
  <si>
    <t>https://www.leroymerlin.com.br/kit-3-rolos-de-tela-fachadeira-6x3-3x100-300m2_1571811772?srsltid=AfmBOorqa8qCk4Y_veiSFWZArBrvWDNFifl_-S-G8oMTeThy9bTGNSQOT_Y</t>
  </si>
  <si>
    <t>Alvenaria de vedacao de blocos ceramicos furados na horizontal de 11.5x19x19cm (espessura 11.5cm) com argamassa industrializada de assentamento</t>
  </si>
  <si>
    <t>BLOCO DE VEDACAO CERAMICO 19X19X19 CM</t>
  </si>
  <si>
    <t>Alvenaria de vedacao de blocos ceramicos furados na horizontal de 19x19x19cm (espessura 19cm) com argamassa industrializada de assentamento</t>
  </si>
  <si>
    <t>Parede Com Sistema Em Chapas De Gesso Para Drywall, Uso Interno, Montante 90mm, Com Uma Face Simples Standart e Uma Resiste a Umidade (ST/90/RU)</t>
  </si>
  <si>
    <t>Parede Com Sistema Em Chapas De Gesso Para Drywall, Uso Interno, Montante 90mm, Com Duas Face Simples Standart e Duas Resiste a Umidade (2ST/90/2RU)</t>
  </si>
  <si>
    <t>Cotação</t>
  </si>
  <si>
    <t>PERFIL METALICO BANDEJA SECUNDARIA 2,50M</t>
  </si>
  <si>
    <t>18.1.2</t>
  </si>
  <si>
    <t>19.2.2</t>
  </si>
  <si>
    <t>19.3.2</t>
  </si>
  <si>
    <t>34.4.</t>
  </si>
  <si>
    <t>34.4.1</t>
  </si>
  <si>
    <t>34.5.</t>
  </si>
  <si>
    <t>34.5.1</t>
  </si>
  <si>
    <t>35.2.</t>
  </si>
  <si>
    <t>35.2.1</t>
  </si>
  <si>
    <t>36.1.</t>
  </si>
  <si>
    <t>36.2.</t>
  </si>
  <si>
    <t>36.3.</t>
  </si>
  <si>
    <t>Contramarco grande de Alumínio, Fixação com Argamassa</t>
  </si>
  <si>
    <t>Mão de obra de ficação de contramarco de aluminio grande</t>
  </si>
  <si>
    <t>CONTRAMARCO DE ALUMINIO grande</t>
  </si>
  <si>
    <t>Pintura em Tinta piso em Rodapé, Aplicação Manual, 2 Demãos</t>
  </si>
  <si>
    <t>Pintura em tinta para piso, Aplicação Manual, 2 Demãos</t>
  </si>
  <si>
    <t>Tinta Piso</t>
  </si>
  <si>
    <t>Pintura Com Tinta Fosca em Paredes Externas, 2 Demaos (Incluso fundo e massa) - Cor Cinza claro</t>
  </si>
  <si>
    <t>Pintura Com Tinta Fosca em Paredes Externas, 2 Demaos (Incluso fundo e massa) - Cor Marrom</t>
  </si>
  <si>
    <t>Pintura Com  Tinta Fosca em Paredes Externas, 2 Demaos (Incluso fundo e massa) - Cor Cinza escuro</t>
  </si>
  <si>
    <t>Pintura Com  Tinta Fosca em Paredes Externas, 1 Demaos</t>
  </si>
  <si>
    <t>Pintura Com Tinta Acetinada em Paredes Externas, 2 Demaos (Incluso fundo e massa) - Cor Cinza claro</t>
  </si>
  <si>
    <t>Pintura Com Tinta Acetinada em Paredes Externas, 2 Demaos (Incluso fundo e massa) - Cor Marrom</t>
  </si>
  <si>
    <t>Pintura Com  Tinta Acetinada em Paredes Externas, 2 Demaos (Incluso fundo e massa) - Cor Cinza escuro</t>
  </si>
  <si>
    <t>Pintura Com  Tinta Acetinada em Paredes Externas, 2 Demaos (Incluso fundo e massa) - Cor Branco</t>
  </si>
  <si>
    <t>Suvinil Toque Acetinada Completo Pinhão</t>
  </si>
  <si>
    <t>Suvinil Toque Acetinada Completo Sambaqui</t>
  </si>
  <si>
    <t>Suvinil Toque Acetinada Completo Carvão mineral</t>
  </si>
  <si>
    <t>Revestimento  externo de porcelanato retificado Preto em Paredes, Placa 60 x 60cm com Junta de 2mm</t>
  </si>
  <si>
    <t>Revestimento  externo de porcelanato retificado em Paredes, Cinza claro, Placa 60 x 60cm com Junta de 2mm</t>
  </si>
  <si>
    <t>Revestimento  externo de porcelanato retificado em Paredes, Cinza, Placa 60 x 60cm com Junta de 2mm</t>
  </si>
  <si>
    <t>PLACA / CHAPA DE GESSO ACARTONADO, RESISTENTE A UMIDADE (RU), COR VERDE, E = 12,5 MM, 1200 X 2400 MM (L X C) - GLASROC</t>
  </si>
  <si>
    <t>GLASROC</t>
  </si>
  <si>
    <t>MASSA BASECOAT</t>
  </si>
  <si>
    <t>TELA EM FIBRA DE VIDRO</t>
  </si>
  <si>
    <t>SMART MEMBRANA</t>
  </si>
  <si>
    <t>Subsolo</t>
  </si>
  <si>
    <t>Armação aço CA-50 ø 12,5mm para estaca (corte e dobra em obra)</t>
  </si>
  <si>
    <t>Execucao Estaca Escavada 050Cm</t>
  </si>
  <si>
    <t>Execucao Estaca Escavada 040Cm</t>
  </si>
  <si>
    <t>Execucao Estaca Escavada 060Cm</t>
  </si>
  <si>
    <t>Execucao Estaca Escavada 070Cm</t>
  </si>
  <si>
    <t>Execucao Estaca Escavada 080Cm</t>
  </si>
  <si>
    <t xml:space="preserve">Perfuração de estaca Escavada Ø 40cm	</t>
  </si>
  <si>
    <t xml:space="preserve">Perfuração de estaca Escavada Ø 50cm	</t>
  </si>
  <si>
    <t xml:space="preserve">Perfuração de estaca Escavada Ø 60cm	</t>
  </si>
  <si>
    <t xml:space="preserve">Perfuração de estaca Escavada Ø 70cm	</t>
  </si>
  <si>
    <t xml:space="preserve">Perfuração de estaca Escavada Ø 80cm	</t>
  </si>
  <si>
    <t>Dormitorios</t>
  </si>
  <si>
    <t>Banheiros</t>
  </si>
  <si>
    <t>CONTENÇÃO</t>
  </si>
  <si>
    <t xml:space="preserve">Perfuração de estaca Escavada para contenção Ø 40cm	</t>
  </si>
  <si>
    <t>PEGAR CONTENÇÃO TBM</t>
  </si>
  <si>
    <t>Junta serrada de 4 mm e 10 cm de altura, com tarucel</t>
  </si>
  <si>
    <t>Tarucel de 6 mm</t>
  </si>
  <si>
    <r>
      <t>Em uma junta de 10x10mm rende aproximadamente 3m</t>
    </r>
    <r>
      <rPr>
        <sz val="10"/>
        <rFont val="Arial"/>
        <family val="2"/>
      </rPr>
      <t>.</t>
    </r>
  </si>
  <si>
    <t>São 546 metros em 113,5 m3 de concreto</t>
  </si>
  <si>
    <t>Quantidades referentes ao levantamento cartesiano, com base nnos projetos e adicionado o levantado pelo projetista nas áres de piso armado</t>
  </si>
  <si>
    <t>Considerado estacas e contenção, conforme repassado pelo projetista</t>
  </si>
  <si>
    <t>Armação tela Q113 para Suprastrutura (corte e dobra em Obra)</t>
  </si>
  <si>
    <t>TELA ACO CARBONO CA60 M.100X100MM F.04,2MM 245X600CM Q113 (26,46KG/UN)</t>
  </si>
  <si>
    <t>Considerado blocos e vigas (levantamento cartesian) e pilares e lajes do projetista</t>
  </si>
  <si>
    <t>CHAPA/PAINEL DE MADEIRA COMPENSADA RESINADA, DE 2200 X 1100 MM, E = 17 MM</t>
  </si>
  <si>
    <t>Fabricação de Fôrma para Pilares, em Chapa de Madeira Compensada Resinada, E=17mm</t>
  </si>
  <si>
    <t>Fabricação de Fôrma para Vigas, em Chapa de Madeira Compensada Resinada, E=17mm</t>
  </si>
  <si>
    <t>Fabricação de Fôrma para Lajes, em Chapa de Madeira Compensada Resinada, E=17mm</t>
  </si>
  <si>
    <t>Considerado 2 jogos, com 6 reaproveitamentos, conforme solicitado no formulario</t>
  </si>
  <si>
    <t>Considerado blocos e vigas (levantamento cartesian) e pilares e lajes do projetista - considerando 2 usos</t>
  </si>
  <si>
    <t>Considerado conforme valor de projetos</t>
  </si>
  <si>
    <t>Monocordoalha engraxada CP - 190 RB (12,7mm)</t>
  </si>
  <si>
    <t>Fabricação de Fôrma para Escadas, em Chapa de Madeira Compensada Resinada, E=17mm</t>
  </si>
  <si>
    <t>Monocordoalha engraxada CP - 190 RB (12,7mm) - Materiais e acessórios</t>
  </si>
  <si>
    <t>Kg</t>
  </si>
  <si>
    <t>Lastro de Concreto Magro, Aplicado em Blocos de Fundação, e=4cm</t>
  </si>
  <si>
    <t>Chapisco aplicados em alvenaria, com argamassa usinada, aplicação convencional.</t>
  </si>
  <si>
    <t>GERENCIAMENTO TÉCNICO E ADMISTRATIVO</t>
  </si>
  <si>
    <t>5.1.3</t>
  </si>
  <si>
    <t>6.2.2</t>
  </si>
  <si>
    <t>6.3.2</t>
  </si>
  <si>
    <t>Tela SLQA</t>
  </si>
  <si>
    <t>SUBSOLO</t>
  </si>
  <si>
    <t>Bota fora do subsolo</t>
  </si>
  <si>
    <t>Corte do subsolo</t>
  </si>
  <si>
    <t>Aterro do subsolo</t>
  </si>
  <si>
    <t>EQUIPAMENTOS ESPECIAIS</t>
  </si>
  <si>
    <t>PISCINAS LAZER</t>
  </si>
  <si>
    <t>Motobomba Alaska plus 2cv monofásica</t>
  </si>
  <si>
    <t>Motobomba Alaska plus 3cv monofásica</t>
  </si>
  <si>
    <t>SAUNA SECA</t>
  </si>
  <si>
    <t>Gerador de calor p/ sauna seca 6kw Sodramar</t>
  </si>
  <si>
    <t>Comando digital p/ gerador de calor Sodramar</t>
  </si>
  <si>
    <t>SPA</t>
  </si>
  <si>
    <t>Spa Redondo Monte Castelo COMPLETO com hidro em acrílico</t>
  </si>
  <si>
    <t>SUBESTAÇÃO DE ENERGIA</t>
  </si>
  <si>
    <t>Transformador 500 kVA 13,8kV/380-220V</t>
  </si>
  <si>
    <t>Células de média tensão</t>
  </si>
  <si>
    <t>Painéis de baixa tensão (BT)</t>
  </si>
  <si>
    <t>Projeto executivo e ART</t>
  </si>
  <si>
    <t>Aprovação na CELESC (Grupo A)</t>
  </si>
  <si>
    <t>Grupo de Geradores</t>
  </si>
  <si>
    <t>Gerador 250 kVA diesel</t>
  </si>
  <si>
    <t>QTA - Quadro de Transferência Automática</t>
  </si>
  <si>
    <t>Tanque para autonomia de 8h (~350–400 L)</t>
  </si>
  <si>
    <t>Sistema de paralelismo com rede/gerador</t>
  </si>
  <si>
    <t>Instalação elétrica + exaustão/sala técnica</t>
  </si>
  <si>
    <t>Projeto + ART + comissionamento</t>
  </si>
  <si>
    <t>Módulo fotovoltaico monocristalino 410 Wp (RESUN RS8V-M)</t>
  </si>
  <si>
    <t>Inversor trifásico on-grid 15 kW (Growatt MID15KTL3-XL2)</t>
  </si>
  <si>
    <t>Stringbox DC 1040V 32A 2E/2S (Clamper)</t>
  </si>
  <si>
    <t>DPS CC 1000V (par)</t>
  </si>
  <si>
    <t>DPS CA 275V trifásico</t>
  </si>
  <si>
    <t>Disjuntor 3P 63A (CA)</t>
  </si>
  <si>
    <t>Cabo solar 6 mm² 1 kV (CC) – condutor</t>
  </si>
  <si>
    <t>Cabo 16 mm² 0,6/1 kV (CA) – Fase R</t>
  </si>
  <si>
    <t>Cabo 16 mm² 0,6/1 kV (CA) – Fase S</t>
  </si>
  <si>
    <t>Cabo 16 mm² 0,6/1 kV (CA) – Fase T</t>
  </si>
  <si>
    <t>Cabo 10 mm² 0,6/1 kV – Neutro (CA)</t>
  </si>
  <si>
    <t>Cabo 10 mm² 0,6/1 kV – Terra (PE)</t>
  </si>
  <si>
    <t>Eletroduto aço galvanizado Ø1½"</t>
  </si>
  <si>
    <t>Curvas/Luvas/Buchas Ø1½"</t>
  </si>
  <si>
    <t>Conectores MC4 – par</t>
  </si>
  <si>
    <t>Fixadores, abraçadeiras, etiquetagem e consumíveis</t>
  </si>
  <si>
    <t>Mão de obra de instalação do sistema FV 14,76 kWp</t>
  </si>
  <si>
    <t>Homologação junto à concessionária (COPEL) e comissionamento</t>
  </si>
  <si>
    <t>ART de execução</t>
  </si>
  <si>
    <t>As Built (entrega pós-obra)</t>
  </si>
  <si>
    <t>FOTOVOLTAICO</t>
  </si>
  <si>
    <t>par</t>
  </si>
  <si>
    <t>lote</t>
  </si>
  <si>
    <t>LS</t>
  </si>
  <si>
    <t>Conforme memorial e planta; potência total 14,76 kWp</t>
  </si>
  <si>
    <t>Modelo especificado no memorial; garantia 5–10 anos</t>
  </si>
  <si>
    <t>1 por MPPT/arranjo (4 arranjos); inclui seccionamento</t>
  </si>
  <si>
    <t>Proteção surtos em CC por arranjo</t>
  </si>
  <si>
    <t>Proteção surtos em CA na saída do inversor</t>
  </si>
  <si>
    <t>Proteção conforme memorial (63A 3F)</t>
  </si>
  <si>
    <t>4 strings × (20 m ida + 20 m volta)</t>
  </si>
  <si>
    <t>Trecho inversor→QD: 35 m</t>
  </si>
  <si>
    <t>DC: 80 m; CA: 35 m</t>
  </si>
  <si>
    <t>Quantidade estimada – ajustar conforme traçado final</t>
  </si>
  <si>
    <t>2 pares por string (ajustar conforme layout)</t>
  </si>
  <si>
    <t>Inclui anilhas de identificação NBR 5410</t>
  </si>
  <si>
    <t>Montagem elétrica, lanç. cabos, testes e start-up</t>
  </si>
  <si>
    <t>Inclui documentação e acompanhamento da troca do medidor</t>
  </si>
  <si>
    <t>Responsável técnico credenciado</t>
  </si>
  <si>
    <t>Atualização do projeto conforme executado</t>
  </si>
  <si>
    <t>Custo estimado com base em projetos, devido ausência de quantitativo</t>
  </si>
  <si>
    <t>Considerado as quantidades informadas pelo projetista no projeto preliminar de elétrica</t>
  </si>
  <si>
    <t>Custo estimado com base em projetos, devido ausência de quantitativo + memorial descritivo de segurança</t>
  </si>
  <si>
    <t>Custo memorial descritivo de segurança</t>
  </si>
  <si>
    <t>Segurança</t>
  </si>
  <si>
    <t>Alarmes e cerca eletrica</t>
  </si>
  <si>
    <t>Não foi separado pelo projetista e não aparece no projeto</t>
  </si>
  <si>
    <t>Considerado estimativa, devido a ausencia de listas com a separaçã de materiais</t>
  </si>
  <si>
    <t>BOMBA DE RECIRCULAÇÃO DE ÁGUA QUENTE MARCA JACUZZI - MODELO.: 7A
Q= 9,0m³/h - h.man= 14mca COM PRÉ-FILTRO EMBUTIDO</t>
  </si>
  <si>
    <t>FILTRO DE PISCINA MARCA: JACUZZI MODELO: 22TP3-M/T
Q= 9,0m³/h COM VÁLVULA SELETORA E APOIO DE 150kg DE AREIA</t>
  </si>
  <si>
    <t>quantidades incluso nas quantidades do projetista em outra etapa</t>
  </si>
  <si>
    <t>SEM IMPREVISTOS</t>
  </si>
  <si>
    <t>3.1.3</t>
  </si>
  <si>
    <t>5 CM</t>
  </si>
  <si>
    <t>6.4.2</t>
  </si>
  <si>
    <t>6.5.2</t>
  </si>
  <si>
    <t>6.6.2</t>
  </si>
  <si>
    <t>28.</t>
  </si>
  <si>
    <t>28.1.1</t>
  </si>
  <si>
    <t>28.1.2</t>
  </si>
  <si>
    <t>28.1.3</t>
  </si>
  <si>
    <t>28.2.1</t>
  </si>
  <si>
    <t>28.2.2</t>
  </si>
  <si>
    <t>28.2.3</t>
  </si>
  <si>
    <t>28.2.4</t>
  </si>
  <si>
    <t>28.2.5</t>
  </si>
  <si>
    <t>28.2.6</t>
  </si>
  <si>
    <t>28.2.7</t>
  </si>
  <si>
    <t>28.2.8</t>
  </si>
  <si>
    <t>28.2.9</t>
  </si>
  <si>
    <t>28.2.10</t>
  </si>
  <si>
    <t>28.2.11</t>
  </si>
  <si>
    <t>Parede:  impermeabilização lavabo churrasqueira</t>
  </si>
  <si>
    <t>28.2.12</t>
  </si>
  <si>
    <t>Parede:  impermeabilização lavanderia</t>
  </si>
  <si>
    <t>28.3.1</t>
  </si>
  <si>
    <t>28.3.2</t>
  </si>
  <si>
    <t>28.3.3</t>
  </si>
  <si>
    <t>28.3.4</t>
  </si>
  <si>
    <t>28.4.1</t>
  </si>
  <si>
    <t>28.4.2</t>
  </si>
  <si>
    <t>28.4.3</t>
  </si>
  <si>
    <t>28.4.4</t>
  </si>
  <si>
    <t>28.4.5</t>
  </si>
  <si>
    <t>28.4.6</t>
  </si>
  <si>
    <t>28.4.7</t>
  </si>
  <si>
    <t>28.5.1</t>
  </si>
  <si>
    <t>28.5.2</t>
  </si>
  <si>
    <t>28.5.3</t>
  </si>
  <si>
    <t>28.5.4</t>
  </si>
  <si>
    <t>28.5.5</t>
  </si>
  <si>
    <t>28.5.6</t>
  </si>
  <si>
    <t>28.5.7</t>
  </si>
  <si>
    <t>28.5.8</t>
  </si>
  <si>
    <t>28.5.9</t>
  </si>
  <si>
    <t>28.5.10</t>
  </si>
  <si>
    <t>28.6.1</t>
  </si>
  <si>
    <t>Parede:  Impermeabilização reservatório</t>
  </si>
  <si>
    <t>28.6.2</t>
  </si>
  <si>
    <t>Parede:  Impermeabilização reservatório X2</t>
  </si>
  <si>
    <t>29.</t>
  </si>
  <si>
    <t>29.1.1</t>
  </si>
  <si>
    <t>Piso:  impermeabilização banheiro box</t>
  </si>
  <si>
    <t>29.1.2</t>
  </si>
  <si>
    <t>Piso:  impermeabilização cisterna x2 (piso e teto)</t>
  </si>
  <si>
    <t>29.1.3</t>
  </si>
  <si>
    <t>Piso:  impermeabilização lavabo</t>
  </si>
  <si>
    <t>Piso:  impermeabilização rampa</t>
  </si>
  <si>
    <t>Piso:  impermeabilização terraço externa</t>
  </si>
  <si>
    <t>29.2.1</t>
  </si>
  <si>
    <t>Piso:  impermeabilização área técnica</t>
  </si>
  <si>
    <t>29.2.2</t>
  </si>
  <si>
    <t>Piso:  impermeabilização banheiro</t>
  </si>
  <si>
    <t>29.2.3</t>
  </si>
  <si>
    <t>Piso:  impermeabilização floreiras</t>
  </si>
  <si>
    <t>Piso:  impermeabilização lavanderia</t>
  </si>
  <si>
    <t>Piso:  impermeabilização sacada externa</t>
  </si>
  <si>
    <t>29.3.1</t>
  </si>
  <si>
    <t>29.3.2</t>
  </si>
  <si>
    <t>29.3.3</t>
  </si>
  <si>
    <t>29.3.4</t>
  </si>
  <si>
    <t>29.4.1</t>
  </si>
  <si>
    <t>29.4.2</t>
  </si>
  <si>
    <t>29.4.3</t>
  </si>
  <si>
    <t>29.5.1</t>
  </si>
  <si>
    <t>29.5.2</t>
  </si>
  <si>
    <t>29.5.3</t>
  </si>
  <si>
    <t>29.6.1</t>
  </si>
  <si>
    <t>Piso:  Impermeabilização reservatório</t>
  </si>
  <si>
    <t>29.7.1</t>
  </si>
  <si>
    <t>29.7.2</t>
  </si>
  <si>
    <t>Piso:  impermeabilização terraço (retirar telhado de : 45,07 m2)</t>
  </si>
  <si>
    <t>29.8.1</t>
  </si>
  <si>
    <t>Piso:  Impermeabilização reservatório + impermeabilização terraço</t>
  </si>
  <si>
    <t>FLOREIRA</t>
  </si>
  <si>
    <t>10.2.1</t>
  </si>
  <si>
    <t>10.3.1</t>
  </si>
  <si>
    <t>10.4.1</t>
  </si>
  <si>
    <t>10.5.1</t>
  </si>
  <si>
    <t>10.6.1</t>
  </si>
  <si>
    <t>11.2.2</t>
  </si>
  <si>
    <t>11.3.2</t>
  </si>
  <si>
    <t>11.4.2</t>
  </si>
  <si>
    <t>11.6.2</t>
  </si>
  <si>
    <t>12.2.1</t>
  </si>
  <si>
    <t>12.3.1</t>
  </si>
  <si>
    <t>12.4.1</t>
  </si>
  <si>
    <t>12.5.1</t>
  </si>
  <si>
    <t>12.6.1</t>
  </si>
  <si>
    <t>13.2.1</t>
  </si>
  <si>
    <t>13.2.2</t>
  </si>
  <si>
    <t>13.3.1</t>
  </si>
  <si>
    <t>13.3.2</t>
  </si>
  <si>
    <t>13.4.1</t>
  </si>
  <si>
    <t>13.4.2</t>
  </si>
  <si>
    <t>13.5.1</t>
  </si>
  <si>
    <t>13.5.2</t>
  </si>
  <si>
    <t>14.2.1</t>
  </si>
  <si>
    <t>14.2.2</t>
  </si>
  <si>
    <t>14.2.3</t>
  </si>
  <si>
    <t>14.2.4</t>
  </si>
  <si>
    <t>14.3.1</t>
  </si>
  <si>
    <t>14.3.2</t>
  </si>
  <si>
    <t>14.3.3</t>
  </si>
  <si>
    <t>14.3.4</t>
  </si>
  <si>
    <t>14.4.1</t>
  </si>
  <si>
    <t>14.4.2</t>
  </si>
  <si>
    <t>14.4.3</t>
  </si>
  <si>
    <t>14.4.4</t>
  </si>
  <si>
    <t>14.4.5</t>
  </si>
  <si>
    <t>14.5.1</t>
  </si>
  <si>
    <t>14.5.2</t>
  </si>
  <si>
    <t>14.5.3</t>
  </si>
  <si>
    <t>14.5.4</t>
  </si>
  <si>
    <t>14.6.1</t>
  </si>
  <si>
    <t>14.6.2</t>
  </si>
  <si>
    <t>14.6.3</t>
  </si>
  <si>
    <t>14.6.4</t>
  </si>
  <si>
    <t>14.6.5</t>
  </si>
  <si>
    <t>16.1.3</t>
  </si>
  <si>
    <t>17.1.</t>
  </si>
  <si>
    <t>17.1.1</t>
  </si>
  <si>
    <t>17.1.2</t>
  </si>
  <si>
    <t>Soleira</t>
  </si>
  <si>
    <t>19.2.3</t>
  </si>
  <si>
    <t>19.2.4</t>
  </si>
  <si>
    <t>19.3.3</t>
  </si>
  <si>
    <t>19.3.4</t>
  </si>
  <si>
    <t>19.4.2</t>
  </si>
  <si>
    <t>19.4.3</t>
  </si>
  <si>
    <t>19.4.4</t>
  </si>
  <si>
    <t>19.4.5</t>
  </si>
  <si>
    <t>19.5.2</t>
  </si>
  <si>
    <t>19.5.3</t>
  </si>
  <si>
    <t>19.5.4</t>
  </si>
  <si>
    <t>19.6.2</t>
  </si>
  <si>
    <t>19.6.3</t>
  </si>
  <si>
    <t>19.6.4</t>
  </si>
  <si>
    <t>21.1.5</t>
  </si>
  <si>
    <t>21.3.4</t>
  </si>
  <si>
    <t>21.4.4</t>
  </si>
  <si>
    <t>23.1.</t>
  </si>
  <si>
    <t>23.1.1</t>
  </si>
  <si>
    <t>23.2.</t>
  </si>
  <si>
    <t>23.2.1</t>
  </si>
  <si>
    <t>24.</t>
  </si>
  <si>
    <t>24.1.</t>
  </si>
  <si>
    <t>24.1.1.</t>
  </si>
  <si>
    <t>24.1.1.1</t>
  </si>
  <si>
    <t>Corrimão:  Guarda-corpo:Corrimão Interno escada enclausrada - Aço inox -  Corpo de Bombeiros Degrau 28cmCorrimão Interno escada enclausrada - Aço inox -  Corpo de Bombeiros Degrau 28cm</t>
  </si>
  <si>
    <t>24.1.1.2</t>
  </si>
  <si>
    <t>Corrimão:  Guarda-corpo:Tubular com Fixação em Parede - Aço inox -  com Canopla - 2"Tubular com Fixação em Parede - Aço inox -  com Canopla - 2"</t>
  </si>
  <si>
    <t>24.2.</t>
  </si>
  <si>
    <t>24.2.1.</t>
  </si>
  <si>
    <t>24.2.1.1</t>
  </si>
  <si>
    <t>Corrimão:  Corrimão Interno escada enclausrada - Aço inox -  Corpo de Bombeiros Degrau 28cm</t>
  </si>
  <si>
    <t>24.2.1.2</t>
  </si>
  <si>
    <t>24.2.1.3</t>
  </si>
  <si>
    <t>Corrimão:  Tubular com Fixação em Parede - Aço inox -  com Canopla - 2"</t>
  </si>
  <si>
    <t>24.3.</t>
  </si>
  <si>
    <t>24.3.1.</t>
  </si>
  <si>
    <t>24.3.1.1</t>
  </si>
  <si>
    <t>24.3.1.2</t>
  </si>
  <si>
    <t>24.3.1.3</t>
  </si>
  <si>
    <t>24.4.</t>
  </si>
  <si>
    <t>24.4.1.</t>
  </si>
  <si>
    <t>24.4.1.1</t>
  </si>
  <si>
    <t>24.4.1.2</t>
  </si>
  <si>
    <t>24.5.</t>
  </si>
  <si>
    <t>24.5.1.</t>
  </si>
  <si>
    <t>24.5.1.1</t>
  </si>
  <si>
    <t>24.5.1.2</t>
  </si>
  <si>
    <t>24.6.</t>
  </si>
  <si>
    <t>24.6.1.</t>
  </si>
  <si>
    <t>24.6.1.1</t>
  </si>
  <si>
    <t>24.6.1.2</t>
  </si>
  <si>
    <t>25.1.</t>
  </si>
  <si>
    <t>26.1.</t>
  </si>
  <si>
    <t>30.</t>
  </si>
  <si>
    <t>30.1.</t>
  </si>
  <si>
    <t>30.1.1</t>
  </si>
  <si>
    <t>30.2.</t>
  </si>
  <si>
    <t>30.2.1</t>
  </si>
  <si>
    <t>30.3.</t>
  </si>
  <si>
    <t>30.3.1</t>
  </si>
  <si>
    <t>30.4.</t>
  </si>
  <si>
    <t>30.4.1</t>
  </si>
  <si>
    <t>30.5.</t>
  </si>
  <si>
    <t>30.5.1</t>
  </si>
  <si>
    <t>30.6.</t>
  </si>
  <si>
    <t>30.6.1</t>
  </si>
  <si>
    <t>30.7.</t>
  </si>
  <si>
    <t>30.7.1</t>
  </si>
  <si>
    <t>30.8.</t>
  </si>
  <si>
    <t>30.8.1</t>
  </si>
  <si>
    <t>31.1.</t>
  </si>
  <si>
    <t>31.1.1</t>
  </si>
  <si>
    <t>31.1.2</t>
  </si>
  <si>
    <t>31.2.</t>
  </si>
  <si>
    <t>31.2.1</t>
  </si>
  <si>
    <t>31.2.2</t>
  </si>
  <si>
    <t>31.2.3</t>
  </si>
  <si>
    <t>31.3.</t>
  </si>
  <si>
    <t>31.3.1</t>
  </si>
  <si>
    <t>31.3.2</t>
  </si>
  <si>
    <t>31.4.</t>
  </si>
  <si>
    <t>31.4.1</t>
  </si>
  <si>
    <t>31.4.2</t>
  </si>
  <si>
    <t>31.4.3</t>
  </si>
  <si>
    <t>31.5.</t>
  </si>
  <si>
    <t>31.5.1</t>
  </si>
  <si>
    <t>31.5.2</t>
  </si>
  <si>
    <t>31.5.3</t>
  </si>
  <si>
    <t>31.5.4</t>
  </si>
  <si>
    <t>31.6.</t>
  </si>
  <si>
    <t>31.6.1</t>
  </si>
  <si>
    <t>31.6.2</t>
  </si>
  <si>
    <t>31.6.3</t>
  </si>
  <si>
    <t>31.7.</t>
  </si>
  <si>
    <t>31.7.1</t>
  </si>
  <si>
    <t>31.7.2</t>
  </si>
  <si>
    <t>31.8.</t>
  </si>
  <si>
    <t>31.8.1</t>
  </si>
  <si>
    <t>31.8.2</t>
  </si>
  <si>
    <t>31.8.3</t>
  </si>
  <si>
    <t>32.1.2</t>
  </si>
  <si>
    <t>32.1.3</t>
  </si>
  <si>
    <t>32.2.2</t>
  </si>
  <si>
    <t>32.3.2</t>
  </si>
  <si>
    <t>32.4.2</t>
  </si>
  <si>
    <t>32.5.2</t>
  </si>
  <si>
    <t>36.4.</t>
  </si>
  <si>
    <t>36.5.</t>
  </si>
  <si>
    <t>36.6.</t>
  </si>
  <si>
    <t>37.1.</t>
  </si>
  <si>
    <t>37.1.1</t>
  </si>
  <si>
    <t>37.1.2</t>
  </si>
  <si>
    <t>37.2.</t>
  </si>
  <si>
    <t>37.2.1</t>
  </si>
  <si>
    <t>37.3.</t>
  </si>
  <si>
    <t>37.3.1</t>
  </si>
  <si>
    <t>37.4.</t>
  </si>
  <si>
    <t>37.4.1</t>
  </si>
  <si>
    <t>37.5.</t>
  </si>
  <si>
    <t>37.5.1</t>
  </si>
  <si>
    <t>37.6.</t>
  </si>
  <si>
    <t>37.6.1</t>
  </si>
  <si>
    <t>38.</t>
  </si>
  <si>
    <t>38.1.</t>
  </si>
  <si>
    <t>38.1.1</t>
  </si>
  <si>
    <t>39.1.</t>
  </si>
  <si>
    <t>39.1.1</t>
  </si>
  <si>
    <t>39.2.</t>
  </si>
  <si>
    <t>39.2.1</t>
  </si>
  <si>
    <t>39.3.</t>
  </si>
  <si>
    <t>39.3.1</t>
  </si>
  <si>
    <t>39.4.</t>
  </si>
  <si>
    <t>39.4.1</t>
  </si>
  <si>
    <t>39.5.</t>
  </si>
  <si>
    <t>39.5.1</t>
  </si>
  <si>
    <t>39.6.</t>
  </si>
  <si>
    <t>39.6.1</t>
  </si>
  <si>
    <t>39.</t>
  </si>
  <si>
    <t>Alvenaria de vedacao de blocos ceramicos furados na horizontal de 19x19x29cm (espessura 19cm) com argamassa industrializada de assentamento</t>
  </si>
  <si>
    <t>BLOCO DE VEDACAO CERAMICO 19X19X29 CM</t>
  </si>
  <si>
    <t>Alvenaria de vedação de blocos de concreto de 14x19x39cm, com argamassa estabilizada</t>
  </si>
  <si>
    <t>BLOCO DE VEDACAO CONCRETO 14X19X39 CM</t>
  </si>
  <si>
    <t>Parede Com Sistema Em Chapas De Gesso Para Drywall, Uso Interno, Montante 48mm, Com Uma Face Simples Standart (ST/48)</t>
  </si>
  <si>
    <t>Parede Com Sistema Em Chapas De Gesso Para Drywall, Uso Interno, Montante 48mm, Com Uma Face Resistente a Umidade (RU/48)</t>
  </si>
  <si>
    <t>Parede Com Sistema Em Chapas De Gesso Para Drywall, Uso Interno, Montante 48mm, Com Duas Face Simples Standart(ST/48/ST)</t>
  </si>
  <si>
    <t>Perfil Steelframe, Montante 50mm - Um lado</t>
  </si>
  <si>
    <t>Perfil Steelframe, Montante 70mm - Um lado</t>
  </si>
  <si>
    <t>Perfil Steelframe, Montante 90mm - Um lado</t>
  </si>
  <si>
    <t>Parede Com Sistema Em Chapas De Gesso Para Drywall, Uso Interno, Montante 48mm, Com Uma Face Simples Standart e Uma Face Resistente a Umidade (ST/48/RU)</t>
  </si>
  <si>
    <t>Parede Com Sistema Em Chapas De Gesso Para Drywall, Uso Interno, Montante 48mm, Com Duas Face Resistente a Umidade(RU/48/RU)</t>
  </si>
  <si>
    <t>Parede Com Sistema Em Chapas De Gesso Para Drywall, Uso Interno, Montante 70mm, Com Duas Face Simples Standart (ST/70/ST)</t>
  </si>
  <si>
    <t>Parede Com Sistema Em Chapas De Gesso Para Drywall, Uso Interno, Montante 70mm, Com Duas Face Resistente a Umidade(RU/70/RU)</t>
  </si>
  <si>
    <t>Parede Com Sistema Em Chapas De Gesso Para Drywall, Uso Interno, Montante 70mm, Com Uma Face Simples Standart (ST/70)</t>
  </si>
  <si>
    <t>Parede Com Sistema Em Chapas De Gesso Para Drywall, Uso Interno, Montante 70mm, Com Uma Face Resistente a Umidade(RU/70)</t>
  </si>
  <si>
    <t>Parede Com Sistema Em Chapas De Gesso Para Drywall, Uso Interno, Montante 70mm, Com Uma Face Standart e Uma Face Resistente a Umidade(RU/70/ST)</t>
  </si>
  <si>
    <t>Enchimento de parede em Chapas De Gesso Para Drywall, Uso Interno, Montante 70mm, Com Uma Face Simples Standart e isolamento com Lâ de Vidro (ST/70)</t>
  </si>
  <si>
    <t>Parede Com Sistema Em Chapas De Gesso Para Drywall, Uso Interno, Montante 90mm, Com Duas Face Simples Resistente à Umidade (RU/90/RU)</t>
  </si>
  <si>
    <t>Parede Com Sistema Em Chapas De Gesso Para Drywall, Uso Interno, Montante 90mm, Com Duas Face Simples Standart (ST/90/ST)</t>
  </si>
  <si>
    <t>Parede Com Sistema Em Chapas De Gesso Para Drywall, Uso Interno, Montante 90mm, Com Uma Face Simples Standart (ST/90)</t>
  </si>
  <si>
    <t>Parede Com Sistema Em Chapas De Gesso Para Drywall, Uso Interno, Montante 90mm, Com Uma Face Simples Resistente à Umidade (RU/90)</t>
  </si>
  <si>
    <t>Parede Com Sistema Em Chapas De Gesso Para Drywall, Uso Interno, Montante 90mm, Com Uma Face Standart e Uma Face Resistente a Umidade (ST/90/RU)</t>
  </si>
  <si>
    <t>Impermeabilização de piscinas, floreiras e espelhos d´água</t>
  </si>
  <si>
    <t>Rufo em alumínio - m2</t>
  </si>
  <si>
    <t>ESTUCAMENTO</t>
  </si>
  <si>
    <t>Cerâmica Brilhante Metrô 31x54cm Savane</t>
  </si>
  <si>
    <t>Revestimento de cerâmico em Paredes, Placa 31 x 54cm com Junta de 2mm e rejunte acrilico</t>
  </si>
  <si>
    <t>Peitoril em granito,  esp. 2cm</t>
  </si>
  <si>
    <t>Peitoril em pedra moledo,  esp. 2cm</t>
  </si>
  <si>
    <t>Pedra Moledo Natural Cinza</t>
  </si>
  <si>
    <t>Contrapiso comum em argamassa estabilizada, nao aderido, espessura 1,5cm</t>
  </si>
  <si>
    <t>Considerado 2 por banheiro + 1 lavabo + 1 cozinha +  area tecnica/lavanderia</t>
  </si>
  <si>
    <t>Cerâmica Vulcano Cinza 61x61</t>
  </si>
  <si>
    <t>Revestimento em Cerâmicas Vulcano Cinza Pisos Externos, 61x 61cm com Junta de 3mm</t>
  </si>
  <si>
    <t>Revestimento de piso laminado acústico, nas áreas privativas - Material e Mão de Obra</t>
  </si>
  <si>
    <t>Soleira em granito, largura 15cm - espessura 2cm</t>
  </si>
  <si>
    <t>Chapisco aplicado em teto, com argamassa pré-fabricada adesiva de cimento colante, aplicação convencional</t>
  </si>
  <si>
    <t>Massa unica para reboco em teto com argamassa estabilizada, espessura de 2,5cm, com execução de taliscas</t>
  </si>
  <si>
    <t>Mão de obra execução de massa única em teto, incluindo chapisco</t>
  </si>
  <si>
    <t>Gradil - fornecimento e instalação</t>
  </si>
  <si>
    <t>Portão, 1 folha, 320x245 cm</t>
  </si>
  <si>
    <t>Portão, 1 folha, 320x220 cm</t>
  </si>
  <si>
    <t>Portão, 1 folha, 90x220 cm</t>
  </si>
  <si>
    <t>Portão, 2 folha, 150x112 cm</t>
  </si>
  <si>
    <t>Porta de madeira de Correr - 70x210cm (kit completo) - fixação com espuma expansiva</t>
  </si>
  <si>
    <t>Porta de madeira de Correr - 70x210cm (kit completo)</t>
  </si>
  <si>
    <t>Porta de madeira de Correr - 110x210cm (kit completo) - fixação com espuma expansiva</t>
  </si>
  <si>
    <t>Porta de madeira de Correr - 120x210cm (kit completo) - fixação com espuma expansiva</t>
  </si>
  <si>
    <t>Porta de madeira de Correr - 110x210cm (kit completo)</t>
  </si>
  <si>
    <t>Porta de madeira de Correr - 120x210cm (kit completo)</t>
  </si>
  <si>
    <t>Porta corta-fogo, 1 folha, 90x210 cm</t>
  </si>
  <si>
    <t>Chapisco externo aplicados em alvenaria, com argamassa usinada, aplicação convencional.</t>
  </si>
  <si>
    <t>Sistema Brise Metalon com estrutura e suportes de alumínio e pintura eletrostática preta</t>
  </si>
  <si>
    <t>Brise de Alumínio Marrom - Decoração Fachada</t>
  </si>
  <si>
    <t>Revestimento em Pedra Moldedo Aplicado em Fachadas</t>
  </si>
  <si>
    <t>Pintura Com Tinta Latex Acrilica em Paredes Externas, 3 Demaos (Incluso fundo e massa) - Branco</t>
  </si>
  <si>
    <t>Pintura Com Tinta Latex Acrilica em Paredes Externas, 3 Demaos (Incluso fundo e massa) - Charcoal</t>
  </si>
  <si>
    <t>Pintura Com Tinta Latex Acrilica em Paredes Externas, 3 Demaos (Incluso fundo e massa) - Empena de concreto</t>
  </si>
  <si>
    <t>TINTA ACRILICA PREMIUM COR CHARCOAL</t>
  </si>
  <si>
    <t>TINTA ACRILICA PREMIUM COR DESEMPENA DE CONCRETO</t>
  </si>
  <si>
    <t>Pavimentação em Intertravado 10x20x06cm</t>
  </si>
  <si>
    <t>CARTESIAN</t>
  </si>
  <si>
    <t>IMPREVISTOS E CONTINGÊNCIAS</t>
  </si>
  <si>
    <t>Aditivo Impermeabilizante para Concreto 18L Vedacit</t>
  </si>
  <si>
    <t>Aditivo Impermeabilizante para Concreto</t>
  </si>
  <si>
    <t>Aplicação	Taxa de utilização do Vedacit
Revestimento impermeável (reboco, baldrame, banheiro, laje, etc.)	≈ 0,25 L/m²
Concreto estrutural impermeável (laje, reservatório, fundação)	≈ 0,6 L/m²</t>
  </si>
  <si>
    <t>Materiais e acessórios de monocordoalha</t>
  </si>
  <si>
    <t>un.</t>
  </si>
  <si>
    <t>Caio Prado</t>
  </si>
  <si>
    <t>Indepy</t>
  </si>
  <si>
    <t>1º Pavimento - HMP</t>
  </si>
  <si>
    <t>2º Pavimento - HMP</t>
  </si>
  <si>
    <t>3º Pavimento - R2V / HMP</t>
  </si>
  <si>
    <t>5º/ 7º/ 9º E 11º Pavimento - R2V</t>
  </si>
  <si>
    <t>4º/ 6º/  8º/ 10º E 12º Pavimento - R2V</t>
  </si>
  <si>
    <t>13º Pavimento - LAZER</t>
  </si>
  <si>
    <t>14º E 16º Pavimento - R2V</t>
  </si>
  <si>
    <t>15º E 17º Pavimento - R2V</t>
  </si>
  <si>
    <t>18º Pavimento - LAZER</t>
  </si>
  <si>
    <t>CX D'ÁGUA</t>
  </si>
  <si>
    <t>TOPO</t>
  </si>
  <si>
    <t>APTO TIPO "E" - FINAL 06/07 - 1 Pav</t>
  </si>
  <si>
    <t>APTO TIPO "F" - FINAL 08/09 - 1 Pav</t>
  </si>
  <si>
    <t>APTO TIPO "G" - FINAL 10 - 1 Pav</t>
  </si>
  <si>
    <t>APTO TIPO "H" - FINAL 11 - 1 Pav</t>
  </si>
  <si>
    <t>APTO TIPO "F" - FINAL 08/09 - 2 Pav</t>
  </si>
  <si>
    <t>APTO TIPO "G" - FINAL 10 - 2 Pav</t>
  </si>
  <si>
    <t>APTO TIPO "H" - FINAL 11 - 2 Pav</t>
  </si>
  <si>
    <t>APTO TIPO "J" - FINAL 01- 2 Pav</t>
  </si>
  <si>
    <t>APTO TIPO "B" - FINAL 02/03 - 2 Pav</t>
  </si>
  <si>
    <t>APTO TIPO "C" - FINAL 04 - 2 Pav</t>
  </si>
  <si>
    <t>APTO TIPO "I" - FINAL 05 - 2 Pav</t>
  </si>
  <si>
    <t>APTO TIPO "E" - FINAL 06/07- 2 Pav</t>
  </si>
  <si>
    <t>APTO TIPO "K" - FINAL 12 - 2 Pav</t>
  </si>
  <si>
    <t>APTO TIPO "L" - FINAL 13 - 2 Pav</t>
  </si>
  <si>
    <t>APTO TIPO "A" - FINAL 01 (DUPLEX INFERIOR) - 3 Pav</t>
  </si>
  <si>
    <t>APTO TIPO "C" - FINAL 04 - 3 Pav</t>
  </si>
  <si>
    <t>APTO TIPO "E" - FINAL 06/07- 3 Pav</t>
  </si>
  <si>
    <t>APTO TIPO "F" - FINAL 08/09 - 3 Pav</t>
  </si>
  <si>
    <t>APTO TIPO "G" - FINAL 10 - 3 Pav</t>
  </si>
  <si>
    <t>APTO TIPO "H" - FINAL 11 - 3 Pav</t>
  </si>
  <si>
    <t>APTO TIPO "B" - FINAL 02/03 - 3 Pav</t>
  </si>
  <si>
    <t>APTO TIPO "D" - FINAL 05 - 3 Pav</t>
  </si>
  <si>
    <t>APTO TIPO "A" - FINAL 01 (DUPLEX INFERIOR) - 5º/ 7º/ 9º E 11º Pav</t>
  </si>
  <si>
    <t>APTO TIPO "B" - FINAL 02/03 - 5º/ 7º/ 9º E 11º Pav</t>
  </si>
  <si>
    <t>APTO TIPO "C" - FINAL 04 - 5º/ 7º/ 9º E 11º Pav</t>
  </si>
  <si>
    <t>APTO TIPO "D" - FINAL 05 - 5º/ 7º/ 9º E 11º Pav</t>
  </si>
  <si>
    <t>APTO TIPO "E" - FINAL 06/07- 5º/ 7º/ 9º E 11º Pav</t>
  </si>
  <si>
    <t>APTO TIPO "F" - FINAL 08/09 - 5º/ 7º/ 9º E 11º Pav</t>
  </si>
  <si>
    <t>APTO TIPO "G" - FINAL 10 - 5º/ 7º/ 9º E 11º Pav</t>
  </si>
  <si>
    <t>APTO TIPO "H" - FINAL 11 - 5º/ 7º/ 9º E 11º Pav</t>
  </si>
  <si>
    <t>APTO TIPO "B" - FINAL 02/03 - 4º/ 6º/  8º/ 10º E 12º Pav</t>
  </si>
  <si>
    <t>APTO TIPO "C" - FINAL 04 - 4º/ 6º/  8º/ 10º E 12º Pav</t>
  </si>
  <si>
    <t>APTO TIPO "D" - FINAL 05 - 4º/ 6º/  8º/ 10º E 12º Pav</t>
  </si>
  <si>
    <t>APTO TIPO "E" - FINAL 06/07- 4º/ 6º/  8º/ 10º E 12º Pav</t>
  </si>
  <si>
    <t>APTO TIPO "F" - FINAL 08/09 - 4º/ 6º/  8º/ 10º E 12º Pav</t>
  </si>
  <si>
    <t>APTO TIPO "G" - FINAL 10 - 4º/ 6º/  8º/ 10º E 12º Pav</t>
  </si>
  <si>
    <t>APTO TIPO "H" - FINAL 11 - 4º/ 6º/  8º/ 10º E 12º Pav</t>
  </si>
  <si>
    <t>APTO TIPO "A" - FINAL 01 (DUPLEX SUPERIOR) - 4º/ 6º/  8º/ 10º E 12º Pav</t>
  </si>
  <si>
    <t>APTO TIPO "A" - FINAL 01 (DUPLEX INFERIOR) - 14 Pav</t>
  </si>
  <si>
    <t>APTO TIPO "B" - FINAL 02/03 - 14 Pav</t>
  </si>
  <si>
    <t>APTO TIPO "C" - FINAL 04 - 14 Pav</t>
  </si>
  <si>
    <t>APTO TIPO "M" - FINAL 05(DUPLEX INFERIOR) - 14 Pav</t>
  </si>
  <si>
    <t>APTO TIPO "B" - FINAL 02/03 - 15º E 17º Pav</t>
  </si>
  <si>
    <t>APTO TIPO "C" - FINAL 04 - 15º E 17º Pav</t>
  </si>
  <si>
    <t>APTO TIPO "A" - FINAL 01 (DUPLEX SUPERIOR) - 15º E 17º Pav</t>
  </si>
  <si>
    <t>APTO TIPO "M" - FINAL 05(DUPLEX SUPERIOR) - 15º E 17º Pav</t>
  </si>
  <si>
    <t>APTO TIPO "A" - FINAL 01 (DUPLEX INFERIOR) - 16 Pav</t>
  </si>
  <si>
    <t>APTO TIPO "B" - FINAL 02/03 - 16 Pav</t>
  </si>
  <si>
    <t>APTO TIPO "C" - FINAL 04 - 16 Pav</t>
  </si>
  <si>
    <t>APTO TIPO "M" - FINAL 05(DUPLEX INFERIOR) - 16 Pav</t>
  </si>
  <si>
    <t>R. Caio Prado, 207 - Consolação, São Paulo - SP, 01303-001</t>
  </si>
  <si>
    <t>01_1º SUBSOLO 1</t>
  </si>
  <si>
    <t>BLOCO DE CONCRETO 14 cm,</t>
  </si>
  <si>
    <t>BLOCO DE CONCRETO 19 cm,</t>
  </si>
  <si>
    <t>02_TÉRREO</t>
  </si>
  <si>
    <t>BLOCO DE CONCRETO 09 cm,</t>
  </si>
  <si>
    <t>03_1º PAVTO</t>
  </si>
  <si>
    <t>04_2º PAVTO</t>
  </si>
  <si>
    <t>05_3º PAVTO</t>
  </si>
  <si>
    <t>06_4º PAVTO</t>
  </si>
  <si>
    <t>07_5º PAVTO</t>
  </si>
  <si>
    <t>08_6º PAVTO</t>
  </si>
  <si>
    <t>09_7º PAVTO</t>
  </si>
  <si>
    <t>10_8º PAVTO</t>
  </si>
  <si>
    <t>11_9º PAVTO</t>
  </si>
  <si>
    <t>12_10º PAVTO</t>
  </si>
  <si>
    <t>13_11º PAVTO</t>
  </si>
  <si>
    <t>14_12º PAVTO</t>
  </si>
  <si>
    <t>15_13º PAVTO</t>
  </si>
  <si>
    <t>16_14º PAVTO</t>
  </si>
  <si>
    <t>17_15º PAVTO</t>
  </si>
  <si>
    <t>18_16º PAVTO</t>
  </si>
  <si>
    <t>19_17º PAVTO</t>
  </si>
  <si>
    <t>1.19.2</t>
  </si>
  <si>
    <t>20_LAZER</t>
  </si>
  <si>
    <t>1.20.3</t>
  </si>
  <si>
    <t>21_BARRILETE</t>
  </si>
  <si>
    <t>1.21.3</t>
  </si>
  <si>
    <t>1.22.</t>
  </si>
  <si>
    <t>22_CAIXA D'ÁGUA</t>
  </si>
  <si>
    <t>1.22.1</t>
  </si>
  <si>
    <t>1.22.2</t>
  </si>
  <si>
    <t>1.22.3</t>
  </si>
  <si>
    <t>Alvenaria de vedação de blocos de concreto de 19x19x39cm, com argamassa estabilizada</t>
  </si>
  <si>
    <t>BLOCO DE VEDACAO CONCRETO 19X19X39 CM</t>
  </si>
  <si>
    <t>Alvenaria de vedação com bocos acf</t>
  </si>
  <si>
    <t>BLOCO CORTA-FOGO 14 cm,</t>
  </si>
  <si>
    <t>BLOCO CORTA-FOGO 19 cm,</t>
  </si>
  <si>
    <t>BLOCO CORTA-FOGO ACÚSTICO 14 cm,</t>
  </si>
  <si>
    <t>BLOCO CORTA-FOGO 09 cm,</t>
  </si>
  <si>
    <t>2.19.2</t>
  </si>
  <si>
    <t>2.19.3</t>
  </si>
  <si>
    <t>2.20.3</t>
  </si>
  <si>
    <t>Alvenaria de vedação de Bloco cerâmico corta-fogo de 09x19x39cm, com argamassa estabilizada</t>
  </si>
  <si>
    <t>Alvenaria de vedação de Bloco cerâmico corta-fogo de 14x19x39cm, com argamassa estabilizada</t>
  </si>
  <si>
    <t>Alvenaria de vedação de Bloco cerâmico corta-fogo de 19x19x39cm, com argamassa estabilizada</t>
  </si>
  <si>
    <t>BLOCO DE CERÂMICO CORTA-FOGO  09X19X39 CM</t>
  </si>
  <si>
    <t>BLOCO DE CERÂMICO CORTA-FOGO  14X19X39 CM</t>
  </si>
  <si>
    <t>BLOCO DE CERÂMICO CORTA-FOGO  19X19X39 CM</t>
  </si>
  <si>
    <t>BLOCO DE CERÂMICO CORTA-FOGO ACUSTICA REFORÇADO  14X19X39 CM</t>
  </si>
  <si>
    <t>Alvenaria de vedação de Bloco cerâmico corta-fogo com densidade acustica reforçada de 14x19x39cm, com argamassa estabilizada</t>
  </si>
  <si>
    <t>Encunhamento de alvenaria de vedação</t>
  </si>
  <si>
    <t>Verga em Porta</t>
  </si>
  <si>
    <t>Contraverga em Janela</t>
  </si>
  <si>
    <t>Verga em Janela</t>
  </si>
  <si>
    <t>3.19.2</t>
  </si>
  <si>
    <t>3.19.3</t>
  </si>
  <si>
    <t>3.19.4</t>
  </si>
  <si>
    <t>3.19.5</t>
  </si>
  <si>
    <t>3.20.3</t>
  </si>
  <si>
    <t>3.20.4</t>
  </si>
  <si>
    <t>3.20.5</t>
  </si>
  <si>
    <t>3.21.3</t>
  </si>
  <si>
    <t>3.21.4</t>
  </si>
  <si>
    <t>3.21.5</t>
  </si>
  <si>
    <t>3.22.</t>
  </si>
  <si>
    <t>3.22.1</t>
  </si>
  <si>
    <t>3.22.2</t>
  </si>
  <si>
    <t>Lado A:  PLACA RU DRYWALL 70 mm,</t>
  </si>
  <si>
    <t>Lado B:  PLACA RU DRYWALL 70 mm,</t>
  </si>
  <si>
    <t>4.19.2</t>
  </si>
  <si>
    <t>Massa de gesso em parede</t>
  </si>
  <si>
    <t>REVESTIMENTO DE MASSA DE GESSO LISO 0,5 cm + TINTA,</t>
  </si>
  <si>
    <t>REVESTIMENTO DE MASSA DE GESSO LISO 1 cm + TINTA,</t>
  </si>
  <si>
    <t>REVESTIMENTO DE MASSA DE DRYWALL</t>
  </si>
  <si>
    <t>5.19.2</t>
  </si>
  <si>
    <t>5.19.3</t>
  </si>
  <si>
    <t>5.20.3</t>
  </si>
  <si>
    <t>5.22.</t>
  </si>
  <si>
    <t>5.22.1</t>
  </si>
  <si>
    <t>5.22.2</t>
  </si>
  <si>
    <t>Emboço Interno</t>
  </si>
  <si>
    <t>EMBOÇO ARGAMASSADO INTERNO</t>
  </si>
  <si>
    <t>EMBOÇO ARGAMASSADO PARA ESTRUTURA INTERNO</t>
  </si>
  <si>
    <t>6.7.1</t>
  </si>
  <si>
    <t>6.7.2</t>
  </si>
  <si>
    <t>6.8.1</t>
  </si>
  <si>
    <t>6.8.2</t>
  </si>
  <si>
    <t>6.9.1</t>
  </si>
  <si>
    <t>6.9.2</t>
  </si>
  <si>
    <t>6.10.1</t>
  </si>
  <si>
    <t>6.10.2</t>
  </si>
  <si>
    <t>6.11.1</t>
  </si>
  <si>
    <t>6.11.2</t>
  </si>
  <si>
    <t>6.12.1</t>
  </si>
  <si>
    <t>6.12.2</t>
  </si>
  <si>
    <t>6.13.1</t>
  </si>
  <si>
    <t>6.13.2</t>
  </si>
  <si>
    <t>6.14.1</t>
  </si>
  <si>
    <t>6.14.2</t>
  </si>
  <si>
    <t>6.15.1</t>
  </si>
  <si>
    <t>6.15.2</t>
  </si>
  <si>
    <t>6.16.1</t>
  </si>
  <si>
    <t>6.16.2</t>
  </si>
  <si>
    <t>6.17.1</t>
  </si>
  <si>
    <t>6.17.2</t>
  </si>
  <si>
    <t>6.18.1</t>
  </si>
  <si>
    <t>6.18.2</t>
  </si>
  <si>
    <t>6.19.1</t>
  </si>
  <si>
    <t>6.19.2</t>
  </si>
  <si>
    <t>6.20.1</t>
  </si>
  <si>
    <t>6.20.2</t>
  </si>
  <si>
    <t>Chapisco Interno</t>
  </si>
  <si>
    <t>CHAPISCO ARGAMASSADO INTERNO</t>
  </si>
  <si>
    <t>CHAPISCO ARGAMASSADO PARA ESTRUTURA INTERNO</t>
  </si>
  <si>
    <t>7.2.1</t>
  </si>
  <si>
    <t>7.2.2</t>
  </si>
  <si>
    <t>7.3.1</t>
  </si>
  <si>
    <t>7.3.2</t>
  </si>
  <si>
    <t>7.4.1</t>
  </si>
  <si>
    <t>7.4.2</t>
  </si>
  <si>
    <t>7.5.1</t>
  </si>
  <si>
    <t>7.5.2</t>
  </si>
  <si>
    <t>7.6.1</t>
  </si>
  <si>
    <t>7.6.2</t>
  </si>
  <si>
    <t>7.7.1</t>
  </si>
  <si>
    <t>7.7.2</t>
  </si>
  <si>
    <t>7.8.1</t>
  </si>
  <si>
    <t>7.8.2</t>
  </si>
  <si>
    <t>7.9.1</t>
  </si>
  <si>
    <t>7.9.2</t>
  </si>
  <si>
    <t>7.10.1</t>
  </si>
  <si>
    <t>7.10.2</t>
  </si>
  <si>
    <t>7.11.1</t>
  </si>
  <si>
    <t>7.11.2</t>
  </si>
  <si>
    <t>7.12.1</t>
  </si>
  <si>
    <t>7.12.2</t>
  </si>
  <si>
    <t>7.13.1</t>
  </si>
  <si>
    <t>7.13.2</t>
  </si>
  <si>
    <t>7.14.1</t>
  </si>
  <si>
    <t>7.14.2</t>
  </si>
  <si>
    <t>7.15.1</t>
  </si>
  <si>
    <t>7.15.2</t>
  </si>
  <si>
    <t>7.16.1</t>
  </si>
  <si>
    <t>7.16.2</t>
  </si>
  <si>
    <t>7.17.1</t>
  </si>
  <si>
    <t>7.17.2</t>
  </si>
  <si>
    <t>7.18.1</t>
  </si>
  <si>
    <t>7.18.2</t>
  </si>
  <si>
    <t>7.19.1</t>
  </si>
  <si>
    <t>7.19.2</t>
  </si>
  <si>
    <t>7.20.1</t>
  </si>
  <si>
    <t>7.20.2</t>
  </si>
  <si>
    <t>REBOCO ARGAMASSADO INTERNO</t>
  </si>
  <si>
    <t>Estucamento Interno em parede</t>
  </si>
  <si>
    <t>Tratamento de junta</t>
  </si>
  <si>
    <t>10.7.1</t>
  </si>
  <si>
    <t>10.8.1</t>
  </si>
  <si>
    <t>10.9.1</t>
  </si>
  <si>
    <t>10.10.1</t>
  </si>
  <si>
    <t>10.11.1</t>
  </si>
  <si>
    <t>10.12.1</t>
  </si>
  <si>
    <t>10.13.1</t>
  </si>
  <si>
    <t>10.14.1</t>
  </si>
  <si>
    <t>10.15.1</t>
  </si>
  <si>
    <t>10.16.1</t>
  </si>
  <si>
    <t>10.17.1</t>
  </si>
  <si>
    <t>10.18.1</t>
  </si>
  <si>
    <t>Aplicação manual de gesso sarrafeado em paredes, espessura de 0,5cm, com execução de taliscas</t>
  </si>
  <si>
    <t>Aplicação manual de gesso sarrafeado em paredes, espessura de 1,0cm, com execução de taliscas</t>
  </si>
  <si>
    <t>Massa unica para emboço interno em argamassa estabilizada, espessura de 2,5cm, com execução de taliscas</t>
  </si>
  <si>
    <t>Tratamento de junta interno</t>
  </si>
  <si>
    <t>Acabamentos cerâmicos em parede</t>
  </si>
  <si>
    <t>REVESTIMENTO INTERNO, PAREDE - CERAMICA,  DEPOSITO LIXO</t>
  </si>
  <si>
    <t>REVESTIMENTO INTERNO, PAREDE - CERAMICA,  ROUPARIA</t>
  </si>
  <si>
    <t>REVESTIMENTO INTERNO, PAREDE - CERAMICA,  COPA</t>
  </si>
  <si>
    <t>REVESTIMENTO INTERNO, PAREDE - CERAMICA,  LAV. COLETIVA</t>
  </si>
  <si>
    <t>11.2.3</t>
  </si>
  <si>
    <t>REVESTIMENTO INTERNO, PAREDE - CERAMICA,  WC (LOJA)</t>
  </si>
  <si>
    <t>11.2.4</t>
  </si>
  <si>
    <t>REVESTIMENTO INTERNO, PAREDE - CERAMICA,  WC PNE (HALL TERREO)</t>
  </si>
  <si>
    <t>11.2.5</t>
  </si>
  <si>
    <t>REVESTIMENTO INTERNO, PAREDE - CERAMICA,  WC (PORTARIA)</t>
  </si>
  <si>
    <t>REVESTIMENTO INTERNO, PAREDE - CERAMICA,  BANHO (DORM.)</t>
  </si>
  <si>
    <t>REVESTIMENTO INTERNO, PAREDE - CERAMICA,  ESTAR / APA (FAIXA CERÂMICA SOBRE BANCADA)</t>
  </si>
  <si>
    <t>11.3.3</t>
  </si>
  <si>
    <t>REVESTIMENTO INTERNO, PAREDE - CERAMICA,  WC PNE (LOJA)</t>
  </si>
  <si>
    <t>REVESTIMENTO INTERNO, PAREDE - CERAMICA,  BANHO (DORM. / APA)</t>
  </si>
  <si>
    <t>11.4.3</t>
  </si>
  <si>
    <t>11.5.2</t>
  </si>
  <si>
    <t>11.7.1</t>
  </si>
  <si>
    <t>11.7.2</t>
  </si>
  <si>
    <t>11.8.1</t>
  </si>
  <si>
    <t>11.8.2</t>
  </si>
  <si>
    <t>11.9.1</t>
  </si>
  <si>
    <t>11.9.2</t>
  </si>
  <si>
    <t>11.10.1</t>
  </si>
  <si>
    <t>11.10.2</t>
  </si>
  <si>
    <t>11.11.1</t>
  </si>
  <si>
    <t>11.11.2</t>
  </si>
  <si>
    <t>11.12.1</t>
  </si>
  <si>
    <t>11.12.2</t>
  </si>
  <si>
    <t>11.13.1</t>
  </si>
  <si>
    <t>11.13.2</t>
  </si>
  <si>
    <t>11.14.1</t>
  </si>
  <si>
    <t>11.14.2</t>
  </si>
  <si>
    <t>11.15.1</t>
  </si>
  <si>
    <t>REVESTIMENTO INTERNO, PAREDE - CERAMICA,</t>
  </si>
  <si>
    <t>11.15.2</t>
  </si>
  <si>
    <t>REVESTIMENTO INTERNO, PAREDE - CERAMICA,  WC (HALL)</t>
  </si>
  <si>
    <t>11.16.1</t>
  </si>
  <si>
    <t>11.16.2</t>
  </si>
  <si>
    <t>11.17.1</t>
  </si>
  <si>
    <t>11.17.2</t>
  </si>
  <si>
    <t>11.18.1</t>
  </si>
  <si>
    <t>11.18.2</t>
  </si>
  <si>
    <t>11.19.1</t>
  </si>
  <si>
    <t>11.19.2</t>
  </si>
  <si>
    <t>11.20.1</t>
  </si>
  <si>
    <t>REVESTIMENTO INTERNO, PAREDE - CERAMICA,  PISCINA Obs. Acab.: 20X20</t>
  </si>
  <si>
    <t>11.20.2</t>
  </si>
  <si>
    <t>REVESTIMENTO INTERNO, PAREDE - CERAMICA,  PRAINHA Obs. Acab.: 20X20</t>
  </si>
  <si>
    <t>11.20.3</t>
  </si>
  <si>
    <t>REVESTIMENTO INTERNO, PAREDE - CERAMICA,  SPA</t>
  </si>
  <si>
    <t>11.20.4</t>
  </si>
  <si>
    <t>REVESTIMENTO INTERNO, PAREDE - CERAMICA,  SPA (DECK MOLHADO)</t>
  </si>
  <si>
    <t>11.20.5</t>
  </si>
  <si>
    <t>REVESTIMENTO INTERNO, PAREDE - CERAMICA,  WC PNE (LAZER)</t>
  </si>
  <si>
    <t>PASTILHA</t>
  </si>
  <si>
    <t>REVESTIMENTO INTERNO, PAREDE -  PEDRA GRANITO PRETO SÃO GABRIEL, MOLDURA ELEVADOR</t>
  </si>
  <si>
    <t>12.7.1</t>
  </si>
  <si>
    <t>12.8.1</t>
  </si>
  <si>
    <t>12.9.1</t>
  </si>
  <si>
    <t>12.10.1</t>
  </si>
  <si>
    <t>12.11.1</t>
  </si>
  <si>
    <t>12.12.1</t>
  </si>
  <si>
    <t>12.13.1</t>
  </si>
  <si>
    <t>12.14.1</t>
  </si>
  <si>
    <t>12.15.1</t>
  </si>
  <si>
    <t>12.16.1</t>
  </si>
  <si>
    <t>12.17.1</t>
  </si>
  <si>
    <t>12.18.1</t>
  </si>
  <si>
    <t>12.19.1</t>
  </si>
  <si>
    <t xml:space="preserve">Requadro de portas dos Elevadores Granito preto são gabriel </t>
  </si>
  <si>
    <t xml:space="preserve">Granito preto são gabriel </t>
  </si>
  <si>
    <t>REGULARIZAÇÃO</t>
  </si>
  <si>
    <t>PROTEÇÃO MECÂNICA</t>
  </si>
  <si>
    <t>13.6.1</t>
  </si>
  <si>
    <t>13.7.1</t>
  </si>
  <si>
    <t>13.7.2</t>
  </si>
  <si>
    <t>13.8.1</t>
  </si>
  <si>
    <t>13.9.1</t>
  </si>
  <si>
    <t>13.9.2</t>
  </si>
  <si>
    <t>13.10.1</t>
  </si>
  <si>
    <t>13.11.1</t>
  </si>
  <si>
    <t>13.11.2</t>
  </si>
  <si>
    <t>13.12.1</t>
  </si>
  <si>
    <t>13.13.1</t>
  </si>
  <si>
    <t>13.13.2</t>
  </si>
  <si>
    <t>13.14.1</t>
  </si>
  <si>
    <t>13.15.1</t>
  </si>
  <si>
    <t>13.15.2</t>
  </si>
  <si>
    <t>13.16.1</t>
  </si>
  <si>
    <t>13.16.2</t>
  </si>
  <si>
    <t>13.17.1</t>
  </si>
  <si>
    <t>13.18.1</t>
  </si>
  <si>
    <t>13.18.2</t>
  </si>
  <si>
    <t>13.19.1</t>
  </si>
  <si>
    <t>13.20.1</t>
  </si>
  <si>
    <t>13.20.2</t>
  </si>
  <si>
    <t>13.21.1</t>
  </si>
  <si>
    <t>13.22.</t>
  </si>
  <si>
    <t>13.22.1</t>
  </si>
  <si>
    <t>13.23.</t>
  </si>
  <si>
    <t>23_COBERTURA</t>
  </si>
  <si>
    <t>13.23.1</t>
  </si>
  <si>
    <t>13.23.2</t>
  </si>
  <si>
    <t>Considerado somente nos pisos que recebem impermeabilização</t>
  </si>
  <si>
    <t>Considerado somente nos pisos que recebem manta asfaltica</t>
  </si>
  <si>
    <t>C3 - Argamassa polimérica rígida, estruturada com tela de poliéster nos pontos críticos (3,0 kg/m²)  -  APA FUNC.</t>
  </si>
  <si>
    <t>C3 - Argamassa polimérica rígida, estruturada com tela de poliéster nos pontos críticos (3,0 kg/m²)  -  BICICLETÁRIO</t>
  </si>
  <si>
    <t>C3 - Argamassa polimérica rígida, estruturada com tela de poliéster nos pontos críticos (3,0 kg/m²)  -  DEPOSITO LIXO</t>
  </si>
  <si>
    <t>C3 - Argamassa polimérica rígida, estruturada com tela de poliéster nos pontos críticos (3,0 kg/m²)  -  SALA PRESS.</t>
  </si>
  <si>
    <t>C3 - Argamassa polimérica rígida, estruturada com tela de poliéster nos pontos críticos (3,0 kg/m²)  -  VEST. FUNC.</t>
  </si>
  <si>
    <t>C3 - Argamassa polimérica rígida, estruturada com tela de poliéster nos pontos críticos (3,0 kg/m²)  -  VÃO DO RESERVATÓRIO</t>
  </si>
  <si>
    <t>C3E3 - Argamassa polimérica rígida (3,0 kg/m²) + membrana de polímero acrílico com cimento e fibras, estruturada com tela de poliéster nos pontos críticos (3,0 kg/m²)  -  RESERVATÓRIO ESCOAMENTO</t>
  </si>
  <si>
    <t>C3E3 - Argamassa polimérica rígida (3,0 kg/m²) + membrana de polímero acrílico com cimento e fibras, estruturada com tela de poliéster nos pontos críticos (3,0 kg/m²)  -  RESERVATÓRIO INFERIOR</t>
  </si>
  <si>
    <t>C3E3 - Argamassa polimérica rígida (3,0 kg/m²) + membrana de polímero acrílico com cimento e fibras, estruturada com tela de poliéster nos pontos críticos (3,0 kg/m²)  -  RESERVATÓRIO INFERIOR 2</t>
  </si>
  <si>
    <t>C3E3 - Argamassa polimérica rígida (3,0 kg/m²) + membrana de polímero acrílico com cimento e fibras, estruturada com tela de poliéster nos pontos críticos (3,0 kg/m²)  -  RESERVATÓRIO REAPROV. PLUVIAL</t>
  </si>
  <si>
    <t>C4 - Argamassa polimérica rígida, estruturada com tela de poliéster nos pontos críticos (4,0 kg/m²)  -  FOSSO ELEVADOR</t>
  </si>
  <si>
    <t>C3 - Argamassa polimérica rígida, estruturada com tela de poliéster nos pontos críticos (3,0 kg/m²)  -  CIRCULAÇÃO RESERVATÓRIO</t>
  </si>
  <si>
    <t>E2 - Membrana de polímero acrílico, com cimento e com fibras, estruturada com tela de poliéster nos pontos críticos (2,0 kg/m²)  -  TAMPA RESERVATÓRIO ESCOAMENTO</t>
  </si>
  <si>
    <t>E2 - Membrana de polímero acrílico, com cimento e com fibras, estruturada com tela de poliéster nos pontos críticos (2,0 kg/m²)  -  TAMPA RESERVATÓRIO INFERIOR 2</t>
  </si>
  <si>
    <t>E2 - Membrana de polímero acrílico, com cimento e com fibras, estruturada com tela de poliéster nos pontos críticos (2,0 kg/m²)  -  TAMPA RESERVATÓRIO REAPROV. PLUVIAL</t>
  </si>
  <si>
    <t>C4 - Argamassa polimérica rígida, estruturada com tela de poliéster nos pontos críticos (4,0 kg/m²)  -  VIGA BALDRAME</t>
  </si>
  <si>
    <t>E3 - Membrana de polímero acrílico com cimento e fibras, estruturada com tela de poliéster nos pontos críticos (3,0 kg/m²)  -  BAR</t>
  </si>
  <si>
    <t>C3 - Argamassa polimérica rígida, estruturada com tela de poliéster nos pontos críticos (3,0 kg/m²)  -  ESQUADRIA</t>
  </si>
  <si>
    <t>C3 - Argamassa polimérica rígida, estruturada com tela de poliéster nos pontos críticos (3,0 kg/m²)  -  GERADOR</t>
  </si>
  <si>
    <t>C3 - Argamassa polimérica rígida, estruturada com tela de poliéster nos pontos críticos (3,0 kg/m²)  -  TERRAÇO (TÉRREO)</t>
  </si>
  <si>
    <t>14.2.5</t>
  </si>
  <si>
    <t>C4 - Argamassa polimérica rígida, estruturada com tela de poliéster nos pontos críticos (4,0 kg/m²)  -  CAIXAS DE ELÉTRICA</t>
  </si>
  <si>
    <t>14.2.6</t>
  </si>
  <si>
    <t>C4RQ - Argamassa polimérica rígida, com alta resistência química, estruturada com tela de poliéster nos pontos críticos (4,0 kg/m²)  -  CAIXAS DE ESGOTO</t>
  </si>
  <si>
    <t>14.2.7</t>
  </si>
  <si>
    <t>M44A - Manta asfáltica tipo IV, 4 mm A, com acabamento areia/areia aderida com asfalto oxidado (3,0 kg/m²) + banho de asfalto oxidado (2,0 kg/m²)  -  CIRCULAÇÃO / ELEV.</t>
  </si>
  <si>
    <t>14.2.8</t>
  </si>
  <si>
    <t>I30 - Membrana acrílica, estruturada com tela de poliéster, nos pontos críticos (3,0 kg/m²)  -  COBERTURA ABRIGOS</t>
  </si>
  <si>
    <t>14.2.9</t>
  </si>
  <si>
    <t>E3 - Membrana de polímero acrílico com cimento e fibras, estruturada com tela de poliéster nos pontos críticos (3,0 kg/m²)  -  COPA</t>
  </si>
  <si>
    <t>14.2.10</t>
  </si>
  <si>
    <t>E3 - Membrana de polímero acrílico com cimento e fibras, estruturada com tela de poliéster nos pontos críticos (3,0 kg/m²)  -  LAVANDERIA</t>
  </si>
  <si>
    <t>14.2.11</t>
  </si>
  <si>
    <t>E3 - Membrana de polímero acrílico com cimento e fibras, estruturada com tela de poliéster nos pontos críticos (3,0 kg/m²)  -  WC PNE 01</t>
  </si>
  <si>
    <t>14.2.12</t>
  </si>
  <si>
    <t>E3 - Membrana de polímero acrílico com cimento e fibras, estruturada com tela de poliéster nos pontos críticos (3,0 kg/m²)  -  WC PNE 02</t>
  </si>
  <si>
    <t>14.2.13</t>
  </si>
  <si>
    <t>E3 - Membrana de polímero acrílico com cimento e fibras, estruturada com tela de poliéster nos pontos críticos (3,0 kg/m²)  -  WC PNE 03</t>
  </si>
  <si>
    <t>14.2.14</t>
  </si>
  <si>
    <t>E3 - Membrana de polímero acrílico com cimento e fibras, estruturada com tela de poliéster nos pontos críticos (3,0 kg/m²)  -  WC PNE 04</t>
  </si>
  <si>
    <t>14.2.15</t>
  </si>
  <si>
    <t>-  ESQUADRIA</t>
  </si>
  <si>
    <t>14.2.16</t>
  </si>
  <si>
    <t>14.2.17</t>
  </si>
  <si>
    <t>C3 - Argamassa polimérica rígida, estruturada com tela de poliéster nos pontos críticos (3,0 kg/m²)  -  INTERFACE JARDIM</t>
  </si>
  <si>
    <t>14.2.18</t>
  </si>
  <si>
    <t>C4 - Argamassa polimérica rígida, estruturada com tela de poliéster nos pontos críticos (4,0 kg/m²)  -  INTERFACE JARDIM</t>
  </si>
  <si>
    <t>14.2.19</t>
  </si>
  <si>
    <t>M44AR05 - Manta asfáltica tipo IV, 4 mm A, com acabamento areia/areia aderida com asfalto oxidado (3,0 kg/m²) + banho de asfalto oxidado (2,0 kg/m²) + pintura de proteção antirraiz sobre a proteção mecânica (0,5 L/m²)  -  JARDINS ELEVADOS</t>
  </si>
  <si>
    <t>14.2.20</t>
  </si>
  <si>
    <t>14.2.21</t>
  </si>
  <si>
    <t>M44A - Manta asfáltica tipo IV, 4 mm A, com acabamento areia/areia aderida com asfalto oxidado (3,0 kg/m²) + banho de asfalto oxidado (2,0 kg/m²)  -  TAMPA DA CÂMARA</t>
  </si>
  <si>
    <t>14.2.22</t>
  </si>
  <si>
    <t>M44AR05 - Manta asfáltica tipo IV, 4 mm A, com acabamento areia/areia aderida com asfalto oxidado (3,0 kg/m²) + banho de asfalto oxidado (2,0 kg/m²) + pintura de proteção antirraiz sobre a proteção mecânica (0,5 L/m²)  -  TAMPA DE RESERVATÓRIO</t>
  </si>
  <si>
    <t>14.2.23</t>
  </si>
  <si>
    <t>M44AR05 - Manta asfáltica tipo IV, 4 mm A, com acabamento areia/areia aderida com asfalto oxidado (3,0 kg/m²) + banho de asfalto oxidado (2,0 kg/m²) + pintura de proteção antirraiz sobre a proteção mecânica (0,5 L/m²)  -  TAMPA SOB JARDIM</t>
  </si>
  <si>
    <t>14.2.24</t>
  </si>
  <si>
    <t>14.2.25</t>
  </si>
  <si>
    <t>14.2.26</t>
  </si>
  <si>
    <t>14.2.27</t>
  </si>
  <si>
    <t>14.2.28</t>
  </si>
  <si>
    <t>E3 - Membrana de polímero acrílico com cimento e fibras, estruturada com tela de poliéster nos pontos críticos (3,0 kg/m²)  -  APA 01</t>
  </si>
  <si>
    <t>E3 - Membrana de polímero acrílico com cimento e fibras, estruturada com tela de poliéster nos pontos críticos (3,0 kg/m²)  -  APA 02</t>
  </si>
  <si>
    <t>E3 - Membrana de polímero acrílico com cimento e fibras, estruturada com tela de poliéster nos pontos críticos (3,0 kg/m²)  -  ÁREA TÉCNICA</t>
  </si>
  <si>
    <t>E3 - Membrana de polímero acrílico com cimento e fibras, estruturada com tela de poliéster nos pontos críticos (3,0 kg/m²)  -  BANHO 01</t>
  </si>
  <si>
    <t>14.3.5</t>
  </si>
  <si>
    <t>E3 - Membrana de polímero acrílico com cimento e fibras, estruturada com tela de poliéster nos pontos críticos (3,0 kg/m²)  -  BANHO 02</t>
  </si>
  <si>
    <t>14.3.6</t>
  </si>
  <si>
    <t>E3 - Membrana de polímero acrílico com cimento e fibras, estruturada com tela de poliéster nos pontos críticos (3,0 kg/m²)  -  BANHO 03</t>
  </si>
  <si>
    <t>14.3.7</t>
  </si>
  <si>
    <t>14.3.8</t>
  </si>
  <si>
    <t>E3 - Membrana de polímero acrílico com cimento e fibras, estruturada com tela de poliéster nos pontos críticos (3,0 kg/m²)  -  WC PNE</t>
  </si>
  <si>
    <t>14.3.9</t>
  </si>
  <si>
    <t>14.3.10</t>
  </si>
  <si>
    <t>M44A - Manta asfáltica tipo IV, 4 mm A, com acabamento areia/areia aderida com asfalto oxidado (3,0 kg/m²) + banho de asfalto oxidado (2,0 kg/m²)  -  TERRAÇO 01</t>
  </si>
  <si>
    <t>14.3.11</t>
  </si>
  <si>
    <t>M44A - Manta asfáltica tipo IV, 4 mm A, com acabamento areia/areia aderida com asfalto oxidado (3,0 kg/m²) + banho de asfalto oxidado (2,0 kg/m²)  -  TERRAÇO 02</t>
  </si>
  <si>
    <t>14.3.12</t>
  </si>
  <si>
    <t>M44A - Manta asfáltica tipo IV, 4 mm A, com acabamento areia/areia aderida com asfalto oxidado (3,0 kg/m²) + banho de asfalto oxidado (2,0 kg/m²)  -  TERRAÇO 03</t>
  </si>
  <si>
    <t>14.3.13</t>
  </si>
  <si>
    <t>M44A - Manta asfáltica tipo IV, 4 mm A, com acabamento areia/areia aderida com asfalto oxidado (3,0 kg/m²) + banho de asfalto oxidado (2,0 kg/m²)  -  TERRAÇO 04</t>
  </si>
  <si>
    <t>14.3.14</t>
  </si>
  <si>
    <t>14.3.15</t>
  </si>
  <si>
    <t>14.3.16</t>
  </si>
  <si>
    <t>14.3.17</t>
  </si>
  <si>
    <t>14.3.18</t>
  </si>
  <si>
    <t>I30EL - Membrana de polímero acrílico, sem cimento (3,0 kg/m²), com resistência à alcalinidade, estruturada com tela de poliéster nos pontos críticos – Ref.: Sika Baucryl, MC DF9, Icopor HP, Procryl Imper.  -  ABA 01</t>
  </si>
  <si>
    <t>I30EL - Membrana de polímero acrílico, sem cimento (3,0 kg/m²), com resistência à alcalinidade, estruturada com tela de poliéster nos pontos críticos – Ref.: Sika Baucryl, MC DF9, Icopor HP, Procryl Imper.  -  ABA 02</t>
  </si>
  <si>
    <t>I30EL - Membrana de polímero acrílico, sem cimento (3,0 kg/m²), com resistência à alcalinidade, estruturada com tela de poliéster nos pontos críticos – Ref.: Sika Baucryl, MC DF9, Icopor HP, Procryl Imper.  -  ABA 03</t>
  </si>
  <si>
    <t>14.4.6</t>
  </si>
  <si>
    <t>E3 - Membrana de polímero acrílico com cimento e fibras, estruturada com tela de poliéster nos pontos críticos (3,0 kg/m²)  -  APA 04</t>
  </si>
  <si>
    <t>14.4.7</t>
  </si>
  <si>
    <t>E3 - Membrana de polímero acrílico com cimento e fibras, estruturada com tela de poliéster nos pontos críticos (3,0 kg/m²)  -  APA 05</t>
  </si>
  <si>
    <t>14.4.8</t>
  </si>
  <si>
    <t>E3 - Membrana de polímero acrílico com cimento e fibras, estruturada com tela de poliéster nos pontos críticos (3,0 kg/m²)  -  APA 06</t>
  </si>
  <si>
    <t>14.4.9</t>
  </si>
  <si>
    <t>E3 - Membrana de polímero acrílico com cimento e fibras, estruturada com tela de poliéster nos pontos críticos (3,0 kg/m²)  -  APA 07</t>
  </si>
  <si>
    <t>14.4.10</t>
  </si>
  <si>
    <t>E3 - Membrana de polímero acrílico com cimento e fibras, estruturada com tela de poliéster nos pontos críticos (3,0 kg/m²)  -  APA 08</t>
  </si>
  <si>
    <t>14.4.11</t>
  </si>
  <si>
    <t>14.4.12</t>
  </si>
  <si>
    <t>14.4.13</t>
  </si>
  <si>
    <t>14.4.14</t>
  </si>
  <si>
    <t>E3 - Membrana de polímero acrílico com cimento e fibras, estruturada com tela de poliéster nos pontos críticos (3,0 kg/m²)  -  BANHO 04</t>
  </si>
  <si>
    <t>14.4.15</t>
  </si>
  <si>
    <t>E3 - Membrana de polímero acrílico com cimento e fibras, estruturada com tela de poliéster nos pontos críticos (3,0 kg/m²)  -  BANHO 05</t>
  </si>
  <si>
    <t>14.4.16</t>
  </si>
  <si>
    <t>E3 - Membrana de polímero acrílico com cimento e fibras, estruturada com tela de poliéster nos pontos críticos (3,0 kg/m²)  -  BANHO 06</t>
  </si>
  <si>
    <t>14.4.17</t>
  </si>
  <si>
    <t>E3 - Membrana de polímero acrílico com cimento e fibras, estruturada com tela de poliéster nos pontos críticos (3,0 kg/m²)  -  BANHO 07</t>
  </si>
  <si>
    <t>14.4.18</t>
  </si>
  <si>
    <t>E3 - Membrana de polímero acrílico com cimento e fibras, estruturada com tela de poliéster nos pontos críticos (3,0 kg/m²)  -  BANHO 08</t>
  </si>
  <si>
    <t>14.4.19</t>
  </si>
  <si>
    <t>14.4.20</t>
  </si>
  <si>
    <t>E3 - Membrana de polímero acrílico com cimento e fibras, estruturada com tela de poliéster nos pontos críticos (3,0 kg/m²)  -  TERRAÇO 01</t>
  </si>
  <si>
    <t>14.4.21</t>
  </si>
  <si>
    <t>E3 - Membrana de polímero acrílico com cimento e fibras, estruturada com tela de poliéster nos pontos críticos (3,0 kg/m²)  -  TERRAÇO 02</t>
  </si>
  <si>
    <t>14.4.22</t>
  </si>
  <si>
    <t>E3 - Membrana de polímero acrílico com cimento e fibras, estruturada com tela de poliéster nos pontos críticos (3,0 kg/m²)  -  TERRAÇO 03</t>
  </si>
  <si>
    <t>14.4.23</t>
  </si>
  <si>
    <t>E3 - Membrana de polímero acrílico com cimento e fibras, estruturada com tela de poliéster nos pontos críticos (3,0 kg/m²)  -  TERRAÇO 04</t>
  </si>
  <si>
    <t>14.4.24</t>
  </si>
  <si>
    <t>E3 - Membrana de polímero acrílico com cimento e fibras, estruturada com tela de poliéster nos pontos críticos (3,0 kg/m²)  -  TERRAÇO 05</t>
  </si>
  <si>
    <t>14.4.25</t>
  </si>
  <si>
    <t>E3 - Membrana de polímero acrílico com cimento e fibras, estruturada com tela de poliéster nos pontos críticos (3,0 kg/m²)  -  TERRAÇO 06</t>
  </si>
  <si>
    <t>14.4.26</t>
  </si>
  <si>
    <t>14.4.27</t>
  </si>
  <si>
    <t>M44A - Manta asfáltica tipo IV, 4 mm A, com acabamento areia/areia aderida com asfalto oxidado (3,0 kg/m²) + banho de asfalto oxidado (2,0 kg/m²)  -  TERRAÇO 08</t>
  </si>
  <si>
    <t>14.4.28</t>
  </si>
  <si>
    <t>M44A - Manta asfáltica tipo IV, 4 mm A, com acabamento areia/areia aderida com asfalto oxidado (3,0 kg/m²) + banho de asfalto oxidado (2,0 kg/m²)  -  TERRAÇO 09</t>
  </si>
  <si>
    <t>14.4.29</t>
  </si>
  <si>
    <t>14.4.30</t>
  </si>
  <si>
    <t>14.4.31</t>
  </si>
  <si>
    <t>14.4.32</t>
  </si>
  <si>
    <t>14.4.33</t>
  </si>
  <si>
    <t>14.4.34</t>
  </si>
  <si>
    <t>14.4.35</t>
  </si>
  <si>
    <t>14.4.36</t>
  </si>
  <si>
    <t>14.5.5</t>
  </si>
  <si>
    <t>I30EL - Membrana de polímero acrílico, sem cimento (3,0 kg/m²), com resistência à alcalinidade, estruturada com tela de poliéster nos pontos críticos – Ref.: Sika Baucryl, MC DF9, Icopor HP, Procryl Imper.  -  ABA 04</t>
  </si>
  <si>
    <t>14.5.6</t>
  </si>
  <si>
    <t>14.5.7</t>
  </si>
  <si>
    <t>14.5.8</t>
  </si>
  <si>
    <t>E3 - Membrana de polímero acrílico com cimento e fibras, estruturada com tela de poliéster nos pontos críticos (3,0 kg/m²)  -  APA 03</t>
  </si>
  <si>
    <t>14.5.9</t>
  </si>
  <si>
    <t>14.5.10</t>
  </si>
  <si>
    <t>14.5.11</t>
  </si>
  <si>
    <t>14.5.12</t>
  </si>
  <si>
    <t>14.5.13</t>
  </si>
  <si>
    <t>14.5.14</t>
  </si>
  <si>
    <t>14.5.15</t>
  </si>
  <si>
    <t>14.5.16</t>
  </si>
  <si>
    <t>14.5.17</t>
  </si>
  <si>
    <t>14.5.18</t>
  </si>
  <si>
    <t>E3 - Membrana de polímero acrílico com cimento e fibras, estruturada com tela de poliéster nos pontos críticos (3,0 kg/m²)  -  LAVABO</t>
  </si>
  <si>
    <t>14.5.19</t>
  </si>
  <si>
    <t>14.5.20</t>
  </si>
  <si>
    <t>14.5.21</t>
  </si>
  <si>
    <t>14.5.22</t>
  </si>
  <si>
    <t>14.5.23</t>
  </si>
  <si>
    <t>14.5.24</t>
  </si>
  <si>
    <t>14.5.25</t>
  </si>
  <si>
    <t>M44A - Manta asfáltica tipo IV, 4 mm A, com acabamento areia/areia aderida com asfalto oxidado (3,0 kg/m²) + banho de asfalto oxidado (2,0 kg/m²)  -  PRAÇA</t>
  </si>
  <si>
    <t>14.5.26</t>
  </si>
  <si>
    <t>M44A - Manta asfáltica tipo IV, 4 mm A, com acabamento areia/areia aderida com asfalto oxidado (3,0 kg/m²) + banho de asfalto oxidado (2,0 kg/m²)  -  TERRAÇO 06</t>
  </si>
  <si>
    <t>14.5.27</t>
  </si>
  <si>
    <t>14.5.28</t>
  </si>
  <si>
    <t>14.5.29</t>
  </si>
  <si>
    <t>14.5.30</t>
  </si>
  <si>
    <t>14.5.31</t>
  </si>
  <si>
    <t>14.5.32</t>
  </si>
  <si>
    <t>14.5.33</t>
  </si>
  <si>
    <t>14.6.6</t>
  </si>
  <si>
    <t>14.6.7</t>
  </si>
  <si>
    <t>14.6.8</t>
  </si>
  <si>
    <t>14.6.9</t>
  </si>
  <si>
    <t>14.6.10</t>
  </si>
  <si>
    <t>14.6.11</t>
  </si>
  <si>
    <t>14.6.12</t>
  </si>
  <si>
    <t>14.6.13</t>
  </si>
  <si>
    <t>14.6.14</t>
  </si>
  <si>
    <t>14.6.15</t>
  </si>
  <si>
    <t>14.6.16</t>
  </si>
  <si>
    <t>14.6.17</t>
  </si>
  <si>
    <t>14.6.18</t>
  </si>
  <si>
    <t>14.6.19</t>
  </si>
  <si>
    <t>14.6.20</t>
  </si>
  <si>
    <t>14.6.21</t>
  </si>
  <si>
    <t>14.6.22</t>
  </si>
  <si>
    <t>14.6.23</t>
  </si>
  <si>
    <t>14.6.24</t>
  </si>
  <si>
    <t>14.6.25</t>
  </si>
  <si>
    <t>14.6.26</t>
  </si>
  <si>
    <t>14.7.1</t>
  </si>
  <si>
    <t>14.7.2</t>
  </si>
  <si>
    <t>14.7.3</t>
  </si>
  <si>
    <t>14.7.4</t>
  </si>
  <si>
    <t>14.7.5</t>
  </si>
  <si>
    <t>14.7.6</t>
  </si>
  <si>
    <t>14.7.7</t>
  </si>
  <si>
    <t>14.7.8</t>
  </si>
  <si>
    <t>14.7.9</t>
  </si>
  <si>
    <t>14.7.10</t>
  </si>
  <si>
    <t>14.7.11</t>
  </si>
  <si>
    <t>14.7.12</t>
  </si>
  <si>
    <t>14.7.13</t>
  </si>
  <si>
    <t>14.7.14</t>
  </si>
  <si>
    <t>14.7.15</t>
  </si>
  <si>
    <t>14.7.16</t>
  </si>
  <si>
    <t>14.7.17</t>
  </si>
  <si>
    <t>14.7.18</t>
  </si>
  <si>
    <t>14.7.19</t>
  </si>
  <si>
    <t>14.7.20</t>
  </si>
  <si>
    <t>14.7.21</t>
  </si>
  <si>
    <t>14.7.22</t>
  </si>
  <si>
    <t>14.7.23</t>
  </si>
  <si>
    <t>14.7.24</t>
  </si>
  <si>
    <t>14.7.25</t>
  </si>
  <si>
    <t>M44A - Manta asfáltica tipo IV, 4 mm A, com acabamento areia/areia aderida com asfalto oxidado (3,0 kg/m²) + banho de asfalto oxidado (2,0 kg/m²)  -  TERRAÇO 05</t>
  </si>
  <si>
    <t>14.7.26</t>
  </si>
  <si>
    <t>14.7.27</t>
  </si>
  <si>
    <t>14.7.28</t>
  </si>
  <si>
    <t>14.7.29</t>
  </si>
  <si>
    <t>14.7.30</t>
  </si>
  <si>
    <t>14.7.31</t>
  </si>
  <si>
    <t>14.7.32</t>
  </si>
  <si>
    <t>14.8.1</t>
  </si>
  <si>
    <t>14.8.2</t>
  </si>
  <si>
    <t>14.8.3</t>
  </si>
  <si>
    <t>14.8.4</t>
  </si>
  <si>
    <t>14.8.5</t>
  </si>
  <si>
    <t>14.8.6</t>
  </si>
  <si>
    <t>14.8.7</t>
  </si>
  <si>
    <t>14.8.8</t>
  </si>
  <si>
    <t>14.8.9</t>
  </si>
  <si>
    <t>14.8.10</t>
  </si>
  <si>
    <t>14.8.11</t>
  </si>
  <si>
    <t>14.8.12</t>
  </si>
  <si>
    <t>14.8.13</t>
  </si>
  <si>
    <t>14.8.14</t>
  </si>
  <si>
    <t>14.8.15</t>
  </si>
  <si>
    <t>14.8.16</t>
  </si>
  <si>
    <t>14.8.17</t>
  </si>
  <si>
    <t>14.8.18</t>
  </si>
  <si>
    <t>14.8.19</t>
  </si>
  <si>
    <t>14.8.20</t>
  </si>
  <si>
    <t>14.8.21</t>
  </si>
  <si>
    <t>14.8.22</t>
  </si>
  <si>
    <t>14.8.23</t>
  </si>
  <si>
    <t>14.8.24</t>
  </si>
  <si>
    <t>14.8.25</t>
  </si>
  <si>
    <t>14.8.26</t>
  </si>
  <si>
    <t>14.9.1</t>
  </si>
  <si>
    <t>14.9.2</t>
  </si>
  <si>
    <t>14.9.3</t>
  </si>
  <si>
    <t>14.9.4</t>
  </si>
  <si>
    <t>14.9.5</t>
  </si>
  <si>
    <t>14.9.6</t>
  </si>
  <si>
    <t>14.9.7</t>
  </si>
  <si>
    <t>14.9.8</t>
  </si>
  <si>
    <t>14.9.9</t>
  </si>
  <si>
    <t>14.9.10</t>
  </si>
  <si>
    <t>14.9.11</t>
  </si>
  <si>
    <t>14.9.12</t>
  </si>
  <si>
    <t>14.9.13</t>
  </si>
  <si>
    <t>14.9.14</t>
  </si>
  <si>
    <t>14.9.15</t>
  </si>
  <si>
    <t>14.9.16</t>
  </si>
  <si>
    <t>14.9.17</t>
  </si>
  <si>
    <t>14.9.18</t>
  </si>
  <si>
    <t>14.9.19</t>
  </si>
  <si>
    <t>14.9.20</t>
  </si>
  <si>
    <t>14.9.21</t>
  </si>
  <si>
    <t>14.9.22</t>
  </si>
  <si>
    <t>14.9.23</t>
  </si>
  <si>
    <t>14.9.24</t>
  </si>
  <si>
    <t>14.9.25</t>
  </si>
  <si>
    <t>14.9.26</t>
  </si>
  <si>
    <t>14.9.27</t>
  </si>
  <si>
    <t>14.9.28</t>
  </si>
  <si>
    <t>14.9.29</t>
  </si>
  <si>
    <t>14.9.30</t>
  </si>
  <si>
    <t>14.9.31</t>
  </si>
  <si>
    <t>14.9.32</t>
  </si>
  <si>
    <t>14.10.1</t>
  </si>
  <si>
    <t>14.10.2</t>
  </si>
  <si>
    <t>14.10.3</t>
  </si>
  <si>
    <t>14.10.4</t>
  </si>
  <si>
    <t>14.10.5</t>
  </si>
  <si>
    <t>14.10.6</t>
  </si>
  <si>
    <t>14.10.7</t>
  </si>
  <si>
    <t>14.10.8</t>
  </si>
  <si>
    <t>14.10.9</t>
  </si>
  <si>
    <t>14.10.10</t>
  </si>
  <si>
    <t>14.10.11</t>
  </si>
  <si>
    <t>14.10.12</t>
  </si>
  <si>
    <t>14.10.13</t>
  </si>
  <si>
    <t>14.10.14</t>
  </si>
  <si>
    <t>14.10.15</t>
  </si>
  <si>
    <t>14.10.16</t>
  </si>
  <si>
    <t>14.10.17</t>
  </si>
  <si>
    <t>14.10.18</t>
  </si>
  <si>
    <t>14.10.19</t>
  </si>
  <si>
    <t>14.10.20</t>
  </si>
  <si>
    <t>14.10.21</t>
  </si>
  <si>
    <t>14.10.22</t>
  </si>
  <si>
    <t>14.10.23</t>
  </si>
  <si>
    <t>14.10.24</t>
  </si>
  <si>
    <t>14.10.25</t>
  </si>
  <si>
    <t>14.10.26</t>
  </si>
  <si>
    <t>14.11.1</t>
  </si>
  <si>
    <t>14.11.2</t>
  </si>
  <si>
    <t>14.11.3</t>
  </si>
  <si>
    <t>14.11.4</t>
  </si>
  <si>
    <t>14.11.5</t>
  </si>
  <si>
    <t>14.11.6</t>
  </si>
  <si>
    <t>14.11.7</t>
  </si>
  <si>
    <t>14.11.8</t>
  </si>
  <si>
    <t>14.11.9</t>
  </si>
  <si>
    <t>14.11.10</t>
  </si>
  <si>
    <t>14.11.11</t>
  </si>
  <si>
    <t>14.11.12</t>
  </si>
  <si>
    <t>14.11.13</t>
  </si>
  <si>
    <t>14.11.14</t>
  </si>
  <si>
    <t>14.11.15</t>
  </si>
  <si>
    <t>14.11.16</t>
  </si>
  <si>
    <t>14.11.17</t>
  </si>
  <si>
    <t>14.11.18</t>
  </si>
  <si>
    <t>14.11.19</t>
  </si>
  <si>
    <t>14.11.20</t>
  </si>
  <si>
    <t>14.11.21</t>
  </si>
  <si>
    <t>14.11.22</t>
  </si>
  <si>
    <t>14.11.23</t>
  </si>
  <si>
    <t>14.11.24</t>
  </si>
  <si>
    <t>14.11.25</t>
  </si>
  <si>
    <t>14.11.26</t>
  </si>
  <si>
    <t>14.11.27</t>
  </si>
  <si>
    <t>14.11.28</t>
  </si>
  <si>
    <t>14.11.29</t>
  </si>
  <si>
    <t>14.11.30</t>
  </si>
  <si>
    <t>14.11.31</t>
  </si>
  <si>
    <t>14.11.32</t>
  </si>
  <si>
    <t>14.12.1</t>
  </si>
  <si>
    <t>14.12.2</t>
  </si>
  <si>
    <t>14.12.3</t>
  </si>
  <si>
    <t>14.12.4</t>
  </si>
  <si>
    <t>14.12.5</t>
  </si>
  <si>
    <t>14.12.6</t>
  </si>
  <si>
    <t>14.12.7</t>
  </si>
  <si>
    <t>14.12.8</t>
  </si>
  <si>
    <t>14.12.9</t>
  </si>
  <si>
    <t>14.12.10</t>
  </si>
  <si>
    <t>14.12.11</t>
  </si>
  <si>
    <t>14.12.12</t>
  </si>
  <si>
    <t>14.12.13</t>
  </si>
  <si>
    <t>14.12.14</t>
  </si>
  <si>
    <t>14.12.15</t>
  </si>
  <si>
    <t>14.12.16</t>
  </si>
  <si>
    <t>14.12.17</t>
  </si>
  <si>
    <t>14.12.18</t>
  </si>
  <si>
    <t>14.12.19</t>
  </si>
  <si>
    <t>14.12.20</t>
  </si>
  <si>
    <t>14.12.21</t>
  </si>
  <si>
    <t>14.12.22</t>
  </si>
  <si>
    <t>14.12.23</t>
  </si>
  <si>
    <t>14.12.24</t>
  </si>
  <si>
    <t>14.12.25</t>
  </si>
  <si>
    <t>14.12.26</t>
  </si>
  <si>
    <t>14.13.1</t>
  </si>
  <si>
    <t>14.13.2</t>
  </si>
  <si>
    <t>14.13.3</t>
  </si>
  <si>
    <t>14.13.4</t>
  </si>
  <si>
    <t>14.13.5</t>
  </si>
  <si>
    <t>14.13.6</t>
  </si>
  <si>
    <t>14.13.7</t>
  </si>
  <si>
    <t>14.13.8</t>
  </si>
  <si>
    <t>14.13.9</t>
  </si>
  <si>
    <t>14.13.10</t>
  </si>
  <si>
    <t>14.13.11</t>
  </si>
  <si>
    <t>14.13.12</t>
  </si>
  <si>
    <t>14.13.13</t>
  </si>
  <si>
    <t>14.13.14</t>
  </si>
  <si>
    <t>14.13.15</t>
  </si>
  <si>
    <t>14.13.16</t>
  </si>
  <si>
    <t>14.13.17</t>
  </si>
  <si>
    <t>14.13.18</t>
  </si>
  <si>
    <t>14.13.19</t>
  </si>
  <si>
    <t>14.13.20</t>
  </si>
  <si>
    <t>14.13.21</t>
  </si>
  <si>
    <t>14.13.22</t>
  </si>
  <si>
    <t>14.13.23</t>
  </si>
  <si>
    <t>14.13.24</t>
  </si>
  <si>
    <t>14.13.25</t>
  </si>
  <si>
    <t>14.13.26</t>
  </si>
  <si>
    <t>14.13.27</t>
  </si>
  <si>
    <t>14.13.28</t>
  </si>
  <si>
    <t>14.13.29</t>
  </si>
  <si>
    <t>14.13.30</t>
  </si>
  <si>
    <t>14.13.31</t>
  </si>
  <si>
    <t>14.13.32</t>
  </si>
  <si>
    <t>14.14.1</t>
  </si>
  <si>
    <t>14.14.2</t>
  </si>
  <si>
    <t>14.14.3</t>
  </si>
  <si>
    <t>14.14.4</t>
  </si>
  <si>
    <t>14.14.5</t>
  </si>
  <si>
    <t>14.14.6</t>
  </si>
  <si>
    <t>14.14.7</t>
  </si>
  <si>
    <t>14.14.8</t>
  </si>
  <si>
    <t>14.14.9</t>
  </si>
  <si>
    <t>14.14.10</t>
  </si>
  <si>
    <t>14.14.11</t>
  </si>
  <si>
    <t>14.14.12</t>
  </si>
  <si>
    <t>14.14.13</t>
  </si>
  <si>
    <t>14.14.14</t>
  </si>
  <si>
    <t>14.14.15</t>
  </si>
  <si>
    <t>14.14.16</t>
  </si>
  <si>
    <t>14.14.17</t>
  </si>
  <si>
    <t>14.14.18</t>
  </si>
  <si>
    <t>14.14.19</t>
  </si>
  <si>
    <t>14.14.20</t>
  </si>
  <si>
    <t>14.14.21</t>
  </si>
  <si>
    <t>14.14.22</t>
  </si>
  <si>
    <t>14.14.23</t>
  </si>
  <si>
    <t>14.14.24</t>
  </si>
  <si>
    <t>14.14.25</t>
  </si>
  <si>
    <t>14.14.26</t>
  </si>
  <si>
    <t>14.15.1</t>
  </si>
  <si>
    <t>14.15.2</t>
  </si>
  <si>
    <t>14.15.3</t>
  </si>
  <si>
    <t>14.15.4</t>
  </si>
  <si>
    <t>14.15.5</t>
  </si>
  <si>
    <t>E3 - Membrana de polímero acrílico com cimento e fibras, estruturada com tela de poliéster nos pontos críticos (3,0 kg/m²)  -  ESPAÇO GOURMET</t>
  </si>
  <si>
    <t>14.15.6</t>
  </si>
  <si>
    <t>E3 - Membrana de polímero acrílico com cimento e fibras, estruturada com tela de poliéster nos pontos críticos (3,0 kg/m²)  -  LAVABO 01</t>
  </si>
  <si>
    <t>14.15.7</t>
  </si>
  <si>
    <t>E3 - Membrana de polímero acrílico com cimento e fibras, estruturada com tela de poliéster nos pontos críticos (3,0 kg/m²)  -  LAVABO 02</t>
  </si>
  <si>
    <t>14.15.8</t>
  </si>
  <si>
    <t>E3 - Membrana de polímero acrílico com cimento e fibras, estruturada com tela de poliéster nos pontos críticos (3,0 kg/m²)  -  LAVABO 03</t>
  </si>
  <si>
    <t>14.15.9</t>
  </si>
  <si>
    <t>14.15.10</t>
  </si>
  <si>
    <t>14.15.11</t>
  </si>
  <si>
    <t>14.15.12</t>
  </si>
  <si>
    <t>14.15.13</t>
  </si>
  <si>
    <t>14.15.14</t>
  </si>
  <si>
    <t>14.15.15</t>
  </si>
  <si>
    <t>14.15.16</t>
  </si>
  <si>
    <t>14.15.17</t>
  </si>
  <si>
    <t>M44A - Manta asfáltica tipo IV, 4 mm A, com acabamento areia/areia aderida com asfalto oxidado (3,0 kg/m²) + banho de asfalto oxidado (2,0 kg/m²)  -  TERRAÇO DESCOBERTO</t>
  </si>
  <si>
    <t>14.15.18</t>
  </si>
  <si>
    <t>14.15.19</t>
  </si>
  <si>
    <t>14.15.20</t>
  </si>
  <si>
    <t>14.15.21</t>
  </si>
  <si>
    <t>14.15.22</t>
  </si>
  <si>
    <t>14.16.1</t>
  </si>
  <si>
    <t>14.16.2</t>
  </si>
  <si>
    <t>14.16.3</t>
  </si>
  <si>
    <t>14.16.4</t>
  </si>
  <si>
    <t>14.16.5</t>
  </si>
  <si>
    <t>14.16.6</t>
  </si>
  <si>
    <t>14.16.7</t>
  </si>
  <si>
    <t>14.16.8</t>
  </si>
  <si>
    <t>14.16.9</t>
  </si>
  <si>
    <t>14.16.10</t>
  </si>
  <si>
    <t>14.16.11</t>
  </si>
  <si>
    <t>14.16.12</t>
  </si>
  <si>
    <t>14.16.13</t>
  </si>
  <si>
    <t>14.16.14</t>
  </si>
  <si>
    <t>14.16.15</t>
  </si>
  <si>
    <t>14.16.16</t>
  </si>
  <si>
    <t>14.16.17</t>
  </si>
  <si>
    <t>14.16.18</t>
  </si>
  <si>
    <t>14.16.19</t>
  </si>
  <si>
    <t>14.16.20</t>
  </si>
  <si>
    <t>14.16.21</t>
  </si>
  <si>
    <t>14.17.1</t>
  </si>
  <si>
    <t>14.17.2</t>
  </si>
  <si>
    <t>14.17.3</t>
  </si>
  <si>
    <t>14.17.4</t>
  </si>
  <si>
    <t>14.17.5</t>
  </si>
  <si>
    <t>14.17.6</t>
  </si>
  <si>
    <t>14.17.7</t>
  </si>
  <si>
    <t>14.17.8</t>
  </si>
  <si>
    <t>14.17.9</t>
  </si>
  <si>
    <t>14.17.10</t>
  </si>
  <si>
    <t>14.17.11</t>
  </si>
  <si>
    <t>14.17.12</t>
  </si>
  <si>
    <t>14.17.13</t>
  </si>
  <si>
    <t>14.17.14</t>
  </si>
  <si>
    <t>14.17.15</t>
  </si>
  <si>
    <t>14.17.16</t>
  </si>
  <si>
    <t>14.17.17</t>
  </si>
  <si>
    <t>14.17.18</t>
  </si>
  <si>
    <t>14.18.1</t>
  </si>
  <si>
    <t>14.18.2</t>
  </si>
  <si>
    <t>14.18.3</t>
  </si>
  <si>
    <t>14.18.4</t>
  </si>
  <si>
    <t>14.18.5</t>
  </si>
  <si>
    <t>14.18.6</t>
  </si>
  <si>
    <t>14.18.7</t>
  </si>
  <si>
    <t>14.18.8</t>
  </si>
  <si>
    <t>14.18.9</t>
  </si>
  <si>
    <t>14.18.10</t>
  </si>
  <si>
    <t>14.18.11</t>
  </si>
  <si>
    <t>14.18.12</t>
  </si>
  <si>
    <t>14.18.13</t>
  </si>
  <si>
    <t>E3 - Membrana de polímero acrílico com cimento e fibras, estruturada com tela de poliéster nos pontos críticos (3,0 kg/m²)E3 - Membrana de polímero acrílico com cimento e fibras, estruturada com tela de poliéster nos pontos críticos (3,0 kg/m²)  -  TERRAÇO 02</t>
  </si>
  <si>
    <t>14.18.14</t>
  </si>
  <si>
    <t>14.18.15</t>
  </si>
  <si>
    <t>14.18.16</t>
  </si>
  <si>
    <t>M44A - Manta asfáltica tipo IV, 4 mm A, com acabamento areia/areia aderida com asfalto oxidado (3,0 kg/m²) + banho de asfalto oxidado (2,0 kg/m²)  -  TERRAÇO</t>
  </si>
  <si>
    <t>14.18.17</t>
  </si>
  <si>
    <t>14.18.18</t>
  </si>
  <si>
    <t>14.18.19</t>
  </si>
  <si>
    <t>14.18.20</t>
  </si>
  <si>
    <t>14.19.1</t>
  </si>
  <si>
    <t>14.19.2</t>
  </si>
  <si>
    <t>14.19.3</t>
  </si>
  <si>
    <t>14.19.4</t>
  </si>
  <si>
    <t>14.19.5</t>
  </si>
  <si>
    <t>14.19.6</t>
  </si>
  <si>
    <t>14.19.7</t>
  </si>
  <si>
    <t>14.19.8</t>
  </si>
  <si>
    <t>14.19.9</t>
  </si>
  <si>
    <t>14.19.10</t>
  </si>
  <si>
    <t>14.19.11</t>
  </si>
  <si>
    <t>14.19.12</t>
  </si>
  <si>
    <t>14.19.13</t>
  </si>
  <si>
    <t>14.19.14</t>
  </si>
  <si>
    <t>14.19.15</t>
  </si>
  <si>
    <t>14.19.16</t>
  </si>
  <si>
    <t>14.19.17</t>
  </si>
  <si>
    <t>14.19.18</t>
  </si>
  <si>
    <t>14.20.1</t>
  </si>
  <si>
    <t>14.20.2</t>
  </si>
  <si>
    <t>14.20.3</t>
  </si>
  <si>
    <t>M44A - Manta asfáltica tipo IV, 4 mm A, com acabamento areia/areia aderida com asfalto oxidado (3,0 kg/m²) + banho de asfalto oxidado (2,0 kg/m²)  -  ACESSO E ESCADA</t>
  </si>
  <si>
    <t>14.20.4</t>
  </si>
  <si>
    <t>14.20.5</t>
  </si>
  <si>
    <t>M44A - Manta asfáltica tipo IV, 4 mm A, com acabamento areia/areia aderida com asfalto oxidado (3,0 kg/m²) + banho de asfalto oxidado (2,0 kg/m²)  -  CAIXÃO PERDIDO</t>
  </si>
  <si>
    <t>14.20.6</t>
  </si>
  <si>
    <t>M44AE2 - Manta asfáltica tipo IV, 4 mm A, com acabamento areia/areia aderida com asfalto oxidado (3,0 kg/m²) + banho de asfalto oxidado (2,0 kg/m²) + membrana de polímero acrílico com cimento e fibras para combater eflorescência (2,0 kg/m²)  -  DECK</t>
  </si>
  <si>
    <t>14.20.7</t>
  </si>
  <si>
    <t>E3 - Membrana de polímero acrílico com cimento e fibras, estruturada com tela de poliéster nos pontos críticos (3,0 kg/m²)  -  SPA</t>
  </si>
  <si>
    <t>14.20.8</t>
  </si>
  <si>
    <t>14.20.9</t>
  </si>
  <si>
    <t>14.20.10</t>
  </si>
  <si>
    <t>14.20.11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</si>
  <si>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PISCINA</t>
  </si>
  <si>
    <t>14.20.12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</si>
  <si>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PRAINHA</t>
  </si>
  <si>
    <t>14.20.13</t>
  </si>
  <si>
    <t>14.20.14</t>
  </si>
  <si>
    <t>14.20.15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</si>
  <si>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  -  PRAINHA</t>
  </si>
  <si>
    <t>14.20.16</t>
  </si>
  <si>
    <t>14.20.17</t>
  </si>
  <si>
    <t>14.20.18</t>
  </si>
  <si>
    <t>14.20.19</t>
  </si>
  <si>
    <t>14.21.1</t>
  </si>
  <si>
    <t>E3 - Membrana de polímero acrílico com cimento e fibras, estruturada com tela de poliéster nos pontos críticos (3,0 kg/m²)  -  BARRILETE</t>
  </si>
  <si>
    <t>14.21.2</t>
  </si>
  <si>
    <t>14.21.3</t>
  </si>
  <si>
    <t>E3 - Membrana de polímero acrílico com cimento e fibras, estruturada com tela de poliéster nos pontos críticos (3,0 kg/m²)  -  CASA DE BOMBAS</t>
  </si>
  <si>
    <t>14.21.4</t>
  </si>
  <si>
    <t>14.22.</t>
  </si>
  <si>
    <t>14.22.1</t>
  </si>
  <si>
    <t>14.23.</t>
  </si>
  <si>
    <t>14.23.1</t>
  </si>
  <si>
    <t>M44A - Manta asfáltica tipo IV, 4 mm A, com acabamento areia/areia aderida com asfalto oxidado (3,0 kg/m²) + banho de asfalto oxidado (2,0 kg/m²)  -  LAJE IMPERMEABILIZADA</t>
  </si>
  <si>
    <t>Impermeabilizaçao e tratamentos</t>
  </si>
  <si>
    <t>1M44A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PISCINA</t>
  </si>
  <si>
    <t>1M44A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  -  PRAINHA</t>
  </si>
  <si>
    <t>SACADA - IMPER</t>
  </si>
  <si>
    <t>PROTEÇÃO</t>
  </si>
  <si>
    <t>AMBIENTE</t>
  </si>
  <si>
    <t>SACADA</t>
  </si>
  <si>
    <t>ABA 01</t>
  </si>
  <si>
    <t>ABA 02</t>
  </si>
  <si>
    <t>ABA 03</t>
  </si>
  <si>
    <t>ABA 04</t>
  </si>
  <si>
    <t>E3 - Membrana de polímero acrílico com cimento e fibras, estruturada com tela de poliéster nos pontos críticos (3,0 kg/m²) SACADA - IMPER</t>
  </si>
  <si>
    <t>NUMERO EAP</t>
  </si>
  <si>
    <t>E3</t>
  </si>
  <si>
    <t>I30EL</t>
  </si>
  <si>
    <t>M44A</t>
  </si>
  <si>
    <t>C3</t>
  </si>
  <si>
    <t>C3E3</t>
  </si>
  <si>
    <t>C4</t>
  </si>
  <si>
    <t>C4RQ</t>
  </si>
  <si>
    <t>I30</t>
  </si>
  <si>
    <t>M44AE2</t>
  </si>
  <si>
    <t>E2</t>
  </si>
  <si>
    <t>M44AR05</t>
  </si>
  <si>
    <t>M44A + M44AE2</t>
  </si>
  <si>
    <t>Membrana de polímero acrílico com cimento e fibras, estruturada com tela de poliéster nos pontos críticos (3,0 kg/m²)</t>
  </si>
  <si>
    <t>Membrana de polímero acrílico, sem cimento (3,0 kg/m²), com resistência à alcalinidade, estruturada com tela de poliéster nos pontos críticos – Ref.: Sika Baucryl, MC DF9, Icopor HP, Procryl Imper</t>
  </si>
  <si>
    <t>Manta asfáltica tipo IV, 4 mm A, com acabamento areia/areia aderida com asfalto oxidado (3,0 kg/m²) + banho de asfalto oxidado (2,0 kg/m²)</t>
  </si>
  <si>
    <t>Argamassa polimérica rígida, estruturada com tela de poliéster nos pontos críticos (3,0 kg/m²)</t>
  </si>
  <si>
    <t>Argamassa polimérica rígida (3,0 kg/m²) + membrana de polímero acrílico com cimento e fibras, estruturada com tela de poliéster nos pontos críticos (3,0 kg/m²)</t>
  </si>
  <si>
    <t>Argamassa polimérica rígida, estruturada com tela de poliéster nos pontos críticos (4,0 kg/m²)</t>
  </si>
  <si>
    <t>Argamassa polimérica rígida, com alta resistência química, estruturada com tela de poliéster nos pontos críticos (4,0 kg/m²)</t>
  </si>
  <si>
    <t>Membrana acrílica, estruturada com tela de poliéster, nos pontos críticos (3,0 kg/m²)</t>
  </si>
  <si>
    <t>Manta asfáltica tipo IV, 4 mm A, com acabamento areia/areia aderida com asfalto oxidado (3,0 kg/m²) + banho de asfalto oxidado (2,0 kg/m²) + membrana de polímero acrílico com cimento e fibras para combater eflorescência (2,0 kg/m²)</t>
  </si>
  <si>
    <t>Membrana de polímero acrílico, com cimento e com fibras, estruturada com tela de poliéster nos pontos críticos (2,0 kg/m²)</t>
  </si>
  <si>
    <t>Manta asfáltica tipo IV, 4 mm A, com acabamento areia/areia aderida com asfalto oxidado (3,0 kg/m²) + banho de asfalto oxidado (2,0 kg/m²) + pintura de proteção antirraiz sobre a proteção mecânica (0,5 L/m²)</t>
  </si>
  <si>
    <t>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</t>
  </si>
  <si>
    <t>Membrana de polímero acrílico com cimento e fibras, estruturada com tela de poliéster nos pontos críticos</t>
  </si>
  <si>
    <t>Membrana de polímero acrílico, sem cimento com resistência à alcalinidade, estruturada com tela de poliéster nos pontos críticos</t>
  </si>
  <si>
    <t>Manta asfáltica tipo IV, 4 mm A, com acabamento areia/areia aderida com asfalto oxidado</t>
  </si>
  <si>
    <t>banho de asfalto oxidado</t>
  </si>
  <si>
    <t>Argamassa polimérica rígida, estruturada com tela de poliéster nos pontos críticos</t>
  </si>
  <si>
    <t>Argamassa polimérica rígida</t>
  </si>
  <si>
    <t>membrana de polímero acrílico com cimento e fibras, estruturada com tela de poliéster nos pontos críticos</t>
  </si>
  <si>
    <t>Argamassa polimérica rígida, com alta resistência química, estruturada com tela de poliéster nos pontos críticos</t>
  </si>
  <si>
    <t>Membrana acrílica, estruturada com tela de poliéster, nos pontos críticos</t>
  </si>
  <si>
    <t>membrana de polímero acrílico com cimento e fibras para combater eflorescência</t>
  </si>
  <si>
    <t>Membrana de polímero acrílico, com cimento e com fibras, estruturada com tela de poliéster nos pontos críticos</t>
  </si>
  <si>
    <t>pintura de proteção antirraiz sobre a proteção mecânica</t>
  </si>
  <si>
    <t>Manta asfáltica tipo IV, 4 mm A, com acabamento areia/areia + manta asfáltica tipo IV, 4 mm A, com acabamento areia/areia aderida com asfalto oxidado</t>
  </si>
  <si>
    <t>E3 - Membrana de polímero acrílico com cimento e fibras, estruturada com tela de poliéster nos pontos críticos (3,0 kg/m²)</t>
  </si>
  <si>
    <t>I30EL - Membrana de polímero acrílico, sem cimento (3,0 kg/m²), com resistência à alcalinidade, estruturada com tela de poliéster nos pontos críticos – Ref.: Sika Baucryl, MC DF9, Icopor HP, Procryl Imper</t>
  </si>
  <si>
    <t>M44A - Manta asfáltica tipo IV, 4 mm A, com acabamento areia/areia aderida com asfalto oxidado (3,0 kg/m²) + banho de asfalto oxidado (2,0 kg/m²)</t>
  </si>
  <si>
    <t>C3 - Argamassa polimérica rígida, estruturada com tela de poliéster nos pontos críticos (3,0 kg/m²)</t>
  </si>
  <si>
    <t>C3E3 - Argamassa polimérica rígida (3,0 kg/m²) + membrana de polímero acrílico com cimento e fibras, estruturada com tela de poliéster nos pontos críticos (3,0 kg/m²)</t>
  </si>
  <si>
    <t>C4 - Argamassa polimérica rígida, estruturada com tela de poliéster nos pontos críticos (4,0 kg/m²)</t>
  </si>
  <si>
    <t>C4RQ - Argamassa polimérica rígida, com alta resistência química, estruturada com tela de poliéster nos pontos críticos (4,0 kg/m²)</t>
  </si>
  <si>
    <t>I30 - Membrana acrílica, estruturada com tela de poliéster, nos pontos críticos (3,0 kg/m²)</t>
  </si>
  <si>
    <t>M44AE2 - Manta asfáltica tipo IV, 4 mm A, com acabamento areia/areia aderida com asfalto oxidado (3,0 kg/m²) + banho de asfalto oxidado (2,0 kg/m²) + membrana de polímero acrílico com cimento e fibras para combater eflorescência (2,0 kg/m²)</t>
  </si>
  <si>
    <t>E2 - Membrana de polímero acrílico, com cimento e com fibras, estruturada com tela de poliéster nos pontos críticos (2,0 kg/m²)</t>
  </si>
  <si>
    <t>M44AR05 - Manta asfáltica tipo IV, 4 mm A, com acabamento areia/areia aderida com asfalto oxidado (3,0 kg/m²) + banho de asfalto oxidado (2,0 kg/m²) + pintura de proteção antirraiz sobre a proteção mecânica (0,5 L/m²)</t>
  </si>
  <si>
    <t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</t>
  </si>
  <si>
    <t>06.001.002.001</t>
  </si>
  <si>
    <t>06.001.003</t>
  </si>
  <si>
    <t>06.001.005</t>
  </si>
  <si>
    <t>06.001.006</t>
  </si>
  <si>
    <t>06.001.008</t>
  </si>
  <si>
    <t>06.001.004</t>
  </si>
  <si>
    <t>EAP</t>
  </si>
  <si>
    <t>Considerado 1 na cozinha + 2 no banheiro</t>
  </si>
  <si>
    <t>ESTUCAMENTO EM TETO</t>
  </si>
  <si>
    <t>FORRO DE GESSO FORRO - ESCADA - ESCADA DE CONCRETO,</t>
  </si>
  <si>
    <t>GESSO LISO</t>
  </si>
  <si>
    <t>GESSO ACARTONADO RU</t>
  </si>
  <si>
    <t>16.2.2</t>
  </si>
  <si>
    <t>16.3.2</t>
  </si>
  <si>
    <t>16.4.</t>
  </si>
  <si>
    <t>16.4.1</t>
  </si>
  <si>
    <t>16.4.2</t>
  </si>
  <si>
    <t>16.5.</t>
  </si>
  <si>
    <t>16.5.1</t>
  </si>
  <si>
    <t>16.5.2</t>
  </si>
  <si>
    <t>16.6.</t>
  </si>
  <si>
    <t>16.6.1</t>
  </si>
  <si>
    <t>16.6.2</t>
  </si>
  <si>
    <t>16.7.</t>
  </si>
  <si>
    <t>16.7.1</t>
  </si>
  <si>
    <t>16.7.2</t>
  </si>
  <si>
    <t>16.8.</t>
  </si>
  <si>
    <t>16.8.1</t>
  </si>
  <si>
    <t>16.8.2</t>
  </si>
  <si>
    <t>16.9.</t>
  </si>
  <si>
    <t>16.9.1</t>
  </si>
  <si>
    <t>16.9.2</t>
  </si>
  <si>
    <t>16.10.</t>
  </si>
  <si>
    <t>16.10.1</t>
  </si>
  <si>
    <t>16.10.2</t>
  </si>
  <si>
    <t>16.11.</t>
  </si>
  <si>
    <t>16.11.1</t>
  </si>
  <si>
    <t>16.11.2</t>
  </si>
  <si>
    <t>16.12.</t>
  </si>
  <si>
    <t>16.12.1</t>
  </si>
  <si>
    <t>16.12.2</t>
  </si>
  <si>
    <t>16.13.</t>
  </si>
  <si>
    <t>16.13.1</t>
  </si>
  <si>
    <t>16.13.2</t>
  </si>
  <si>
    <t>16.14.</t>
  </si>
  <si>
    <t>16.14.1</t>
  </si>
  <si>
    <t>16.14.2</t>
  </si>
  <si>
    <t>16.15.</t>
  </si>
  <si>
    <t>16.15.1</t>
  </si>
  <si>
    <t>16.15.2</t>
  </si>
  <si>
    <t>16.16.</t>
  </si>
  <si>
    <t>16.16.1</t>
  </si>
  <si>
    <t>16.16.2</t>
  </si>
  <si>
    <t>16.17.</t>
  </si>
  <si>
    <t>16.17.1</t>
  </si>
  <si>
    <t>16.17.2</t>
  </si>
  <si>
    <t>16.18.</t>
  </si>
  <si>
    <t>16.18.1</t>
  </si>
  <si>
    <t>16.18.2</t>
  </si>
  <si>
    <t>16.19.</t>
  </si>
  <si>
    <t>16.19.1</t>
  </si>
  <si>
    <t>16.19.2</t>
  </si>
  <si>
    <t>16.20.</t>
  </si>
  <si>
    <t>16.20.1</t>
  </si>
  <si>
    <t>16.20.2</t>
  </si>
  <si>
    <t>16.21.</t>
  </si>
  <si>
    <t>16.21.1</t>
  </si>
  <si>
    <t>É UMA PLACA DE DRYWALL RU</t>
  </si>
  <si>
    <t>Forro Com Sistema Em Chapas De Gesso Para Drywall, Uso Interno, Montante 48mm, Com Uma Face Resistente a Umidade (RU/48)</t>
  </si>
  <si>
    <t>Forro de gesso liso</t>
  </si>
  <si>
    <t>Forro demais áreas, dito como placas de drywall ru, sem determinação do montante, adotamos o de 48 e negativo</t>
  </si>
  <si>
    <t>Acabamento de gesso em teto - Negativo</t>
  </si>
  <si>
    <t>Negativo GESSO ACARTONADO RU</t>
  </si>
  <si>
    <t>Negativo GESSO LISO</t>
  </si>
  <si>
    <t>17.2.</t>
  </si>
  <si>
    <t>17.2.1</t>
  </si>
  <si>
    <t>17.3.</t>
  </si>
  <si>
    <t>17.3.1</t>
  </si>
  <si>
    <t>17.4.</t>
  </si>
  <si>
    <t>17.4.1</t>
  </si>
  <si>
    <t>17.5.</t>
  </si>
  <si>
    <t>17.5.1</t>
  </si>
  <si>
    <t>17.6.</t>
  </si>
  <si>
    <t>17.6.1</t>
  </si>
  <si>
    <t>17.7.</t>
  </si>
  <si>
    <t>17.7.1</t>
  </si>
  <si>
    <t>17.8.</t>
  </si>
  <si>
    <t>17.8.1</t>
  </si>
  <si>
    <t>17.9.</t>
  </si>
  <si>
    <t>17.9.1</t>
  </si>
  <si>
    <t>17.10.</t>
  </si>
  <si>
    <t>17.10.1</t>
  </si>
  <si>
    <t>17.11.</t>
  </si>
  <si>
    <t>17.11.1</t>
  </si>
  <si>
    <t>17.12.</t>
  </si>
  <si>
    <t>17.12.1</t>
  </si>
  <si>
    <t>17.13.</t>
  </si>
  <si>
    <t>17.13.1</t>
  </si>
  <si>
    <t>17.14.</t>
  </si>
  <si>
    <t>17.14.1</t>
  </si>
  <si>
    <t>17.15.</t>
  </si>
  <si>
    <t>17.15.1</t>
  </si>
  <si>
    <t>17.16.</t>
  </si>
  <si>
    <t>17.16.1</t>
  </si>
  <si>
    <t>17.17.</t>
  </si>
  <si>
    <t>17.17.1</t>
  </si>
  <si>
    <t>17.18.</t>
  </si>
  <si>
    <t>17.18.1</t>
  </si>
  <si>
    <t>17.19.</t>
  </si>
  <si>
    <t>17.19.1</t>
  </si>
  <si>
    <t>17.20.</t>
  </si>
  <si>
    <t>17.20.1</t>
  </si>
  <si>
    <t>17.21.</t>
  </si>
  <si>
    <t>17.21.1</t>
  </si>
  <si>
    <t>Negativo de forro de gesso corrido</t>
  </si>
  <si>
    <t>Contrapiso (Conferência)</t>
  </si>
  <si>
    <t>A DEFINIR A DEFINIR, 0 - ESCADA DECK</t>
  </si>
  <si>
    <t>A DEFINIR A DEFINIR, 0 - ESCADA LOJA</t>
  </si>
  <si>
    <t>5CM</t>
  </si>
  <si>
    <t>CONTRAPISO AUTONIVELANTE, 0,04</t>
  </si>
  <si>
    <t>CONTRAPISO COMUM, 0,04</t>
  </si>
  <si>
    <t>CONTRAPISO COMUM, 0,05</t>
  </si>
  <si>
    <t>CONTRAPISO COMUM 5 CM ESPELHO 5 CM ESCADA DE CONCRETO</t>
  </si>
  <si>
    <t>CONTRAPISO - SOLEIRA</t>
  </si>
  <si>
    <t>SEM CONTRAPISO, 0</t>
  </si>
  <si>
    <t>19.2.5</t>
  </si>
  <si>
    <t>CONTRAPISO COMUM, 0,1</t>
  </si>
  <si>
    <t>19.2.6</t>
  </si>
  <si>
    <t>19.2.7</t>
  </si>
  <si>
    <t>19.3.5</t>
  </si>
  <si>
    <t>CONTRAPISO AUTONIVELANTE, 0</t>
  </si>
  <si>
    <t>19.4.6</t>
  </si>
  <si>
    <t>19.4.7</t>
  </si>
  <si>
    <t>19.5.5</t>
  </si>
  <si>
    <t>19.5.6</t>
  </si>
  <si>
    <t>19.6.5</t>
  </si>
  <si>
    <t>19.7.</t>
  </si>
  <si>
    <t>19.7.1</t>
  </si>
  <si>
    <t>19.7.2</t>
  </si>
  <si>
    <t>19.7.3</t>
  </si>
  <si>
    <t>19.7.4</t>
  </si>
  <si>
    <t>19.7.5</t>
  </si>
  <si>
    <t>19.8.</t>
  </si>
  <si>
    <t>19.8.1</t>
  </si>
  <si>
    <t>19.8.2</t>
  </si>
  <si>
    <t>19.8.3</t>
  </si>
  <si>
    <t>19.8.4</t>
  </si>
  <si>
    <t>19.8.5</t>
  </si>
  <si>
    <t>19.9.</t>
  </si>
  <si>
    <t>19.9.1</t>
  </si>
  <si>
    <t>19.9.2</t>
  </si>
  <si>
    <t>19.9.3</t>
  </si>
  <si>
    <t>19.9.4</t>
  </si>
  <si>
    <t>19.9.5</t>
  </si>
  <si>
    <t>19.10.</t>
  </si>
  <si>
    <t>19.10.1</t>
  </si>
  <si>
    <t>19.10.2</t>
  </si>
  <si>
    <t>19.10.3</t>
  </si>
  <si>
    <t>19.10.4</t>
  </si>
  <si>
    <t>19.10.5</t>
  </si>
  <si>
    <t>19.11.</t>
  </si>
  <si>
    <t>19.11.1</t>
  </si>
  <si>
    <t>19.11.2</t>
  </si>
  <si>
    <t>19.11.3</t>
  </si>
  <si>
    <t>19.11.4</t>
  </si>
  <si>
    <t>19.11.5</t>
  </si>
  <si>
    <t>19.12.</t>
  </si>
  <si>
    <t>19.12.1</t>
  </si>
  <si>
    <t>19.12.2</t>
  </si>
  <si>
    <t>19.12.3</t>
  </si>
  <si>
    <t>19.12.4</t>
  </si>
  <si>
    <t>19.12.5</t>
  </si>
  <si>
    <t>19.13.</t>
  </si>
  <si>
    <t>19.13.1</t>
  </si>
  <si>
    <t>19.13.2</t>
  </si>
  <si>
    <t>19.13.3</t>
  </si>
  <si>
    <t>19.13.4</t>
  </si>
  <si>
    <t>19.13.5</t>
  </si>
  <si>
    <t>19.14.</t>
  </si>
  <si>
    <t>19.14.1</t>
  </si>
  <si>
    <t>19.14.2</t>
  </si>
  <si>
    <t>19.14.3</t>
  </si>
  <si>
    <t>19.14.4</t>
  </si>
  <si>
    <t>19.14.5</t>
  </si>
  <si>
    <t>19.15.</t>
  </si>
  <si>
    <t>19.15.1</t>
  </si>
  <si>
    <t>19.15.2</t>
  </si>
  <si>
    <t>19.15.3</t>
  </si>
  <si>
    <t>19.15.4</t>
  </si>
  <si>
    <t>19.16.</t>
  </si>
  <si>
    <t>19.16.1</t>
  </si>
  <si>
    <t>19.16.2</t>
  </si>
  <si>
    <t>19.16.3</t>
  </si>
  <si>
    <t>19.16.4</t>
  </si>
  <si>
    <t>19.16.5</t>
  </si>
  <si>
    <t>19.17.</t>
  </si>
  <si>
    <t>19.17.1</t>
  </si>
  <si>
    <t>19.17.2</t>
  </si>
  <si>
    <t>19.17.3</t>
  </si>
  <si>
    <t>19.17.4</t>
  </si>
  <si>
    <t>19.17.5</t>
  </si>
  <si>
    <t>19.18.</t>
  </si>
  <si>
    <t>19.18.1</t>
  </si>
  <si>
    <t>19.18.2</t>
  </si>
  <si>
    <t>19.18.3</t>
  </si>
  <si>
    <t>19.18.4</t>
  </si>
  <si>
    <t>19.18.5</t>
  </si>
  <si>
    <t>19.19.</t>
  </si>
  <si>
    <t>19.19.1</t>
  </si>
  <si>
    <t>19.19.2</t>
  </si>
  <si>
    <t>19.19.3</t>
  </si>
  <si>
    <t>19.19.4</t>
  </si>
  <si>
    <t>19.19.5</t>
  </si>
  <si>
    <t>19.20.</t>
  </si>
  <si>
    <t>19.20.1</t>
  </si>
  <si>
    <t>19.20.2</t>
  </si>
  <si>
    <t>19.20.3</t>
  </si>
  <si>
    <t>19.20.4</t>
  </si>
  <si>
    <t>19.21.</t>
  </si>
  <si>
    <t>19.21.1</t>
  </si>
  <si>
    <t>19.21.2</t>
  </si>
  <si>
    <t>19.21.3</t>
  </si>
  <si>
    <t>19.22.</t>
  </si>
  <si>
    <t>19.22.1</t>
  </si>
  <si>
    <t>19.23.</t>
  </si>
  <si>
    <t>19.23.1</t>
  </si>
  <si>
    <t>CONSIDERAR 4 CM</t>
  </si>
  <si>
    <r>
      <t xml:space="preserve">Contrapiso comum em argamassa estabilizada, </t>
    </r>
    <r>
      <rPr>
        <sz val="7"/>
        <color rgb="FFFF0000"/>
        <rFont val="Arial"/>
        <family val="2"/>
      </rPr>
      <t>auto nivelado</t>
    </r>
    <r>
      <rPr>
        <sz val="7"/>
        <rFont val="Arial"/>
        <family val="2"/>
      </rPr>
      <t>, espessura 4cm</t>
    </r>
  </si>
  <si>
    <t>Contrapiso comum em argamassa estabilizada, auto nivelado, espessura 4cm</t>
  </si>
  <si>
    <t>Regularização</t>
  </si>
  <si>
    <t>REVESTIMENTO - REGULARIZAÇÃO EM ARGAMASSA,   - DEPOSITO LIXO Obs. Pré-Acab.: Farofa</t>
  </si>
  <si>
    <t>REVESTIMENTO - REGULARIZAÇÃO EM ARGAMASSA,   - VEST. FUNC. TERREO Obs. Pré-Acab.: Farofa</t>
  </si>
  <si>
    <t>4 CM</t>
  </si>
  <si>
    <t>ARGAMASSA TRAÇO 1:3 (EM VOLUME DE CIMENTO E AREIA GROSSA ÚMIDA) PARA CONTRAPISO TIPO FAROFA</t>
  </si>
  <si>
    <t xml:space="preserve">Regularização com argamassa, aplicação farofa, de Piso 4,00 cm </t>
  </si>
  <si>
    <t>REVESTIMENTO - PISO PORCELANATO  - APA FUNC.</t>
  </si>
  <si>
    <t>REVESTIMENTO - PISO PORCELANATO  - BICICLETARIO</t>
  </si>
  <si>
    <t>REVESTIMENTO - PISO PORCELANATO  - CPD</t>
  </si>
  <si>
    <t>REVESTIMENTO - PISO PORCELANATO  - DEPOSITO LIXO Obs. Pré-Acab.: Farofa</t>
  </si>
  <si>
    <t>REVESTIMENTO - PISO PORCELANATO  - HALL DE CIRCULACAO (SUBSOLO) Obs. Acab.: Porcelanato 90x90 cm / Padrão Nobre</t>
  </si>
  <si>
    <t>21.1.6</t>
  </si>
  <si>
    <t>REVESTIMENTO - PISO PORCELANATO  - ROUPARIA</t>
  </si>
  <si>
    <t>21.1.7</t>
  </si>
  <si>
    <t>REVESTIMENTO - PISO PORCELANATO  - VEST. FUNC. TERREO Obs. Pré-Acab.: Farofa</t>
  </si>
  <si>
    <t>REVESTIMENTO - PISO PORCELANATO  - BAR Obs. Acab.: Porcelanato 90x90 cm / Padrão Nobre</t>
  </si>
  <si>
    <t>21.2.2</t>
  </si>
  <si>
    <t>REVESTIMENTO - PISO PORCELANATO  - COPA Obs. Acab.: Porcelanato 90x90 cm / Padrão Nobre</t>
  </si>
  <si>
    <t>21.2.3</t>
  </si>
  <si>
    <t>REVESTIMENTO - PISO PORCELANATO  - HALL DE ENTRADA (TERREO) Obs. Acab.: Porcelanato 90x90 cm / Padrão Nobre</t>
  </si>
  <si>
    <t>21.2.4</t>
  </si>
  <si>
    <t>REVESTIMENTO - PISO PORCELANATO  - HALL SERVICO Obs. Acab.: Porcelanato 90x90 cm / Padrão Nobre</t>
  </si>
  <si>
    <t>21.2.5</t>
  </si>
  <si>
    <t>REVESTIMENTO - PISO PORCELANATO  - LAV. COLETIVA Obs. Acab.: Porcelanato 90x90 cm / Padrão Nobre</t>
  </si>
  <si>
    <t>21.2.6</t>
  </si>
  <si>
    <t>REVESTIMENTO - PISO PORCELANATO  - LOUNGE Obs. Acab.: Porcelanato 90x90 cm / Padrão Nobre</t>
  </si>
  <si>
    <t>21.2.7</t>
  </si>
  <si>
    <t>REVESTIMENTO - PISO PORCELANATO  - PORTARIA Obs. Acab.: Porcelanato 90x90 cm / Padrão Nobre</t>
  </si>
  <si>
    <t>21.2.8</t>
  </si>
  <si>
    <t>REVESTIMENTO - PISO PORCELANATO  - SALA REUNIAO Obs. Acab.: Porcelanato 90x90 cm / Padrão Nobre</t>
  </si>
  <si>
    <t>21.2.9</t>
  </si>
  <si>
    <t>REVESTIMENTO - PISO PORCELANATO  - TERRACO (TERREO) Obs. Acab.: Porcelanato 90x90 cm / Padrão Nobre</t>
  </si>
  <si>
    <t>21.2.10</t>
  </si>
  <si>
    <t>REVESTIMENTO - PISO PORCELANATO  - VENDING MACHINE Obs. Acab.: Porcelanato 90x90 cm / Padrão Nobre</t>
  </si>
  <si>
    <t>21.2.11</t>
  </si>
  <si>
    <t>REVESTIMENTO - PISO PORCELANATO  - WC PNE (HALL TERREO) Obs. Acab.: Porcelanato 90x90 cm / Padrão Nobre</t>
  </si>
  <si>
    <t>21.2.12</t>
  </si>
  <si>
    <t>REVESTIMENTO - PISO PORCELANATO  - WC PNE (LOJA)</t>
  </si>
  <si>
    <t>21.2.13</t>
  </si>
  <si>
    <t>REVESTIMENTO - PISO PORCELANATO  - WC PORTARIA Obs. Acab.: Porcelanato 90x90 cm / Padrão Nobre</t>
  </si>
  <si>
    <t>REVESTIMENTO - PISO PORCELANATO  - BANHO (DORM.) Obs. Acab.: Porcelanato 62x62 cm / Parede e Piso dos BWC’s</t>
  </si>
  <si>
    <t>REVESTIMENTO - PISO PORCELANATO  - HALL DO ELEVADOR Obs. Acab.: Porcelanato 90x90 cm / Padrão Nobre</t>
  </si>
  <si>
    <t>REVESTIMENTO - PISO PORCELANATO  - HALL ENTRE APARTAMENTOS Obs. Acab.: Porcelanato 90x90 cm / Padrão Nobre</t>
  </si>
  <si>
    <t>REVESTIMENTO - PISO PORCELANATO  - TERRACO</t>
  </si>
  <si>
    <t>21.3.5</t>
  </si>
  <si>
    <t>REVESTIMENTO - PISO PORCELANATO  - TERRACO DESCOBERTO Obs. Acab.: Porcelanato 90x90 cm / Padrão Nobre</t>
  </si>
  <si>
    <t>21.3.6</t>
  </si>
  <si>
    <t>REVESTIMENTO - PISO PORCELANATO  - WC PNE (MEZANINO) Obs. Acab.: Porcelanato 62x62 cm / Parede e Piso dos BWC’s</t>
  </si>
  <si>
    <t>REVESTIMENTO - PISO PORCELANATO  - BANHO (DORM. / APA) Obs. Acab.: Porcelanato 62x62 cm / Parede e Piso dos BWC’s</t>
  </si>
  <si>
    <t>21.4.5</t>
  </si>
  <si>
    <t>REVESTIMENTO - PISO PORCELANATO  - LAV. (ESTAR / APA) Obs. Acab.: Porcelanato 62x62 cm / Somente piso dos lavabos dos apartamentos</t>
  </si>
  <si>
    <t>21.5.5</t>
  </si>
  <si>
    <t>21.7.5</t>
  </si>
  <si>
    <t>21.8.2</t>
  </si>
  <si>
    <t>21.8.3</t>
  </si>
  <si>
    <t>21.8.4</t>
  </si>
  <si>
    <t>21.9.2</t>
  </si>
  <si>
    <t>21.9.3</t>
  </si>
  <si>
    <t>21.9.4</t>
  </si>
  <si>
    <t>21.9.5</t>
  </si>
  <si>
    <t>21.10.</t>
  </si>
  <si>
    <t>21.10.1</t>
  </si>
  <si>
    <t>21.10.2</t>
  </si>
  <si>
    <t>21.10.3</t>
  </si>
  <si>
    <t>21.10.4</t>
  </si>
  <si>
    <t>21.11.</t>
  </si>
  <si>
    <t>21.11.1</t>
  </si>
  <si>
    <t>21.11.2</t>
  </si>
  <si>
    <t>21.11.3</t>
  </si>
  <si>
    <t>21.11.4</t>
  </si>
  <si>
    <t>21.11.5</t>
  </si>
  <si>
    <t>21.12.</t>
  </si>
  <si>
    <t>21.12.1</t>
  </si>
  <si>
    <t>21.12.2</t>
  </si>
  <si>
    <t>21.12.3</t>
  </si>
  <si>
    <t>21.12.4</t>
  </si>
  <si>
    <t>21.13.</t>
  </si>
  <si>
    <t>21.13.1</t>
  </si>
  <si>
    <t>21.13.2</t>
  </si>
  <si>
    <t>21.13.3</t>
  </si>
  <si>
    <t>21.13.4</t>
  </si>
  <si>
    <t>21.13.5</t>
  </si>
  <si>
    <t>21.14.</t>
  </si>
  <si>
    <t>21.14.1</t>
  </si>
  <si>
    <t>21.14.2</t>
  </si>
  <si>
    <t>21.14.3</t>
  </si>
  <si>
    <t>21.14.4</t>
  </si>
  <si>
    <t>21.15.</t>
  </si>
  <si>
    <t>21.15.1</t>
  </si>
  <si>
    <t>REVESTIMENTO - PISO PORCELANATO  - COWORKING Obs. Acab.: Porcelanato 90x90 cm / Padrão Nobre</t>
  </si>
  <si>
    <t>21.15.2</t>
  </si>
  <si>
    <t>REVESTIMENTO - PISO PORCELANATO  - ESPACO GOURMET Obs. Acab.: Porcelanato 90x90 cm / Padrão Nobre</t>
  </si>
  <si>
    <t>21.15.3</t>
  </si>
  <si>
    <t>21.15.4</t>
  </si>
  <si>
    <t>21.15.5</t>
  </si>
  <si>
    <t>REVESTIMENTO - PISO PORCELANATO  - WC (HALL) Obs. Acab.: Porcelanato 90x90 cm / Padrão Nobre</t>
  </si>
  <si>
    <t>21.16.</t>
  </si>
  <si>
    <t>21.16.1</t>
  </si>
  <si>
    <t>21.16.2</t>
  </si>
  <si>
    <t>21.16.3</t>
  </si>
  <si>
    <t>21.16.4</t>
  </si>
  <si>
    <t>21.16.5</t>
  </si>
  <si>
    <t>21.17.</t>
  </si>
  <si>
    <t>21.17.1</t>
  </si>
  <si>
    <t>21.17.2</t>
  </si>
  <si>
    <t>21.17.3</t>
  </si>
  <si>
    <t>21.17.4</t>
  </si>
  <si>
    <t>21.18.</t>
  </si>
  <si>
    <t>21.18.1</t>
  </si>
  <si>
    <t>21.18.2</t>
  </si>
  <si>
    <t>21.18.3</t>
  </si>
  <si>
    <t>21.18.4</t>
  </si>
  <si>
    <t>21.18.5</t>
  </si>
  <si>
    <t>21.19.</t>
  </si>
  <si>
    <t>21.19.1</t>
  </si>
  <si>
    <t>21.19.2</t>
  </si>
  <si>
    <t>21.19.3</t>
  </si>
  <si>
    <t>21.19.4</t>
  </si>
  <si>
    <t>21.20.</t>
  </si>
  <si>
    <t>21.20.1</t>
  </si>
  <si>
    <t>REVESTIMENTO - PISO CERÂMICA  - BANCO (PISCINA) Obs. Acab.: 20X20</t>
  </si>
  <si>
    <t>21.20.2</t>
  </si>
  <si>
    <t>REVESTIMENTO - PISO CERÂMICA  - DECK (PISCINA) Obs. Acab.: Cerâmica 90x90 cm / CF Atrito 0,4</t>
  </si>
  <si>
    <t>21.20.3</t>
  </si>
  <si>
    <t>REVESTIMENTO - PISO CERÂMICA  - ESCADA DECK Obs. Acab.: Cerâmica 90x90 cm / CF Atrito 0,4</t>
  </si>
  <si>
    <t>21.20.4</t>
  </si>
  <si>
    <t>21.20.5</t>
  </si>
  <si>
    <t>REVESTIMENTO - PISO CERAMICA,  ESCADA DECK Obs. Acab.: Cerâmica 90x90 cm / CF Atrito 0,4</t>
  </si>
  <si>
    <t>21.20.6</t>
  </si>
  <si>
    <t>REVESTIMENTO - PISO CERÂMICA  - PISCINA Obs. Acab.: Cerâmica 20x20 cm</t>
  </si>
  <si>
    <t>21.20.7</t>
  </si>
  <si>
    <t>REVESTIMENTO - PISO CERÂMICA  - PLATAFORMA PNE (DECK PISCINA) Obs. Acab.: Cerâmica 90x90 cm / CF Atrito 0,4</t>
  </si>
  <si>
    <t>21.20.8</t>
  </si>
  <si>
    <t>REVESTIMENTO - PISO CERÂMICA  - PRAINHA Obs. Acab.: Cerâmica 20x20 cm</t>
  </si>
  <si>
    <t>21.20.9</t>
  </si>
  <si>
    <t>REVESTIMENTO - PISO PORCELANATO  - SPA Obs. Acab.: Porcelanato 90x90 cm / Padrão Nobre</t>
  </si>
  <si>
    <t>21.20.10</t>
  </si>
  <si>
    <t>21.20.11</t>
  </si>
  <si>
    <t>REVESTIMENTO - PISO PORCELANATO  - WC PNE (LAZER) Obs. Acab.: Porcelanato 90x90 cm / Padrão Nobre</t>
  </si>
  <si>
    <t>20X20</t>
  </si>
  <si>
    <t>62X62=PAREDE</t>
  </si>
  <si>
    <t>62X62=SOMENTE</t>
  </si>
  <si>
    <t>ENCLAUSRADA=INOX</t>
  </si>
  <si>
    <t>FIXAÇÃO=EM</t>
  </si>
  <si>
    <t>90X90 NOBRE</t>
  </si>
  <si>
    <t>90X90 ATRITO</t>
  </si>
  <si>
    <t>20X20 CM</t>
  </si>
  <si>
    <t>Revestimento em Cerâmicas Vulcano Cinza em paredes, 61x 61cm com Junta de 3mm</t>
  </si>
  <si>
    <t>Revestimento em paredes, 61x 61cm com Junta de 3mm</t>
  </si>
  <si>
    <t>Revestimento em Pisos cerâmico, 61x 61cm com Junta de 3mm</t>
  </si>
  <si>
    <t>Revestimento em Pisos porcelanato, 61x 61cm com Junta de 3mm</t>
  </si>
  <si>
    <t>Porcelanato 61,1x61,1cm Cement Grigio Pure 61024 Acetinado Extra</t>
  </si>
  <si>
    <t>Porcelanato básico da Cristoforetti.</t>
  </si>
  <si>
    <t>Revestimento de Piso Porcelanato Polido, Padrão Nobre, Placa 90x90cm</t>
  </si>
  <si>
    <t>PORCELANATO 90X90 PORTOBELLO CHIARO DI VERSILIA NATURAL</t>
  </si>
  <si>
    <t>Revestimento de Piso Porcelanato, 76x76cm, simples</t>
  </si>
  <si>
    <t>Piso simples, com valor entre 35/m2 do porcelanato</t>
  </si>
  <si>
    <t>Revestimento de Piso Porcelanato, Placa 90x90cm, com coeficiente de atrito 0,4</t>
  </si>
  <si>
    <t>Porcelanato Esmaltado 90x90cm Cinza Cemento Grigio Biancogres</t>
  </si>
  <si>
    <t>REVESTIMENTO - PISO PEDRA  - ELEV. Obs. Acab.: Moldura de granito ao redor da porta do elevador</t>
  </si>
  <si>
    <t>Revestimento de Piso de granito preto são gabriel</t>
  </si>
  <si>
    <t>REVESTIMENTO - PISO EMBORRACHADO  - FITNESS Obs. Acab.: Emborrachado Aubicon / Placas 70x70 cm ou 90x90 cm</t>
  </si>
  <si>
    <t>REVESTIMENTO - PISO</t>
  </si>
  <si>
    <t>DESCONSIDERAR</t>
  </si>
  <si>
    <t>Pisos Para Academia Emborrachado Aubicon Placa 80 mm, 90x90</t>
  </si>
  <si>
    <t>Pisos Para Academia Emborrachado Aubicon Placa 50 mm, 90x90</t>
  </si>
  <si>
    <t>Pisos Para Academia Emborrachado Aubicon Placa 25 mm, 70x70</t>
  </si>
  <si>
    <t>Pisos Para Academia Emborrachado Aubicon Placa 40 mm, 70x70</t>
  </si>
  <si>
    <t>Peitoril em granito preto são gabriel</t>
  </si>
  <si>
    <t>24.1.1</t>
  </si>
  <si>
    <t>REVESTIMENTO - PEITORIL,  PEDRA GRANITO PRETO SÃO GABRIEL</t>
  </si>
  <si>
    <t>24.2.1</t>
  </si>
  <si>
    <t>24.3.1</t>
  </si>
  <si>
    <t>24.4.1</t>
  </si>
  <si>
    <t>24.5.1</t>
  </si>
  <si>
    <t>24.6.1</t>
  </si>
  <si>
    <t>24.7.</t>
  </si>
  <si>
    <t>24.7.1</t>
  </si>
  <si>
    <t>24.8.</t>
  </si>
  <si>
    <t>24.8.1</t>
  </si>
  <si>
    <t>24.9.</t>
  </si>
  <si>
    <t>24.9.1</t>
  </si>
  <si>
    <t>24.10.</t>
  </si>
  <si>
    <t>24.10.1</t>
  </si>
  <si>
    <t>24.11.</t>
  </si>
  <si>
    <t>24.11.1</t>
  </si>
  <si>
    <t>24.12.</t>
  </si>
  <si>
    <t>24.12.1</t>
  </si>
  <si>
    <t>24.13.</t>
  </si>
  <si>
    <t>24.13.1</t>
  </si>
  <si>
    <t>24.14.</t>
  </si>
  <si>
    <t>24.14.1</t>
  </si>
  <si>
    <t>24.15.</t>
  </si>
  <si>
    <t>24.15.1</t>
  </si>
  <si>
    <t>24.16.</t>
  </si>
  <si>
    <t>24.16.1</t>
  </si>
  <si>
    <t>24.17.</t>
  </si>
  <si>
    <t>24.17.1</t>
  </si>
  <si>
    <t>24.18.</t>
  </si>
  <si>
    <t>24.18.1</t>
  </si>
  <si>
    <t>24.19.</t>
  </si>
  <si>
    <t>24.19.1</t>
  </si>
  <si>
    <t>24.20.</t>
  </si>
  <si>
    <t>24.20.1</t>
  </si>
  <si>
    <t>Mão de obra para massa de gesso de paredes</t>
  </si>
  <si>
    <t>Rodapes</t>
  </si>
  <si>
    <t>25.1.1</t>
  </si>
  <si>
    <t>RODAPÉ NENHUM - 0.0 cm,</t>
  </si>
  <si>
    <t>25.1.2</t>
  </si>
  <si>
    <t>RODAPÉ PINTURA - 10.0 cm,</t>
  </si>
  <si>
    <t>25.1.3</t>
  </si>
  <si>
    <t>RODAPÉ PORCELANATO - 10.0 cm,</t>
  </si>
  <si>
    <t>25.1.4</t>
  </si>
  <si>
    <t>RODAPÉ PORCELANATO - 15.0 cm,</t>
  </si>
  <si>
    <t>25.2.</t>
  </si>
  <si>
    <t>25.2.1</t>
  </si>
  <si>
    <t>25.2.2</t>
  </si>
  <si>
    <t>RODAPÉ PORCELANATO - 15.0 cm,  Obs. Rodapé: MESMO DO PISO</t>
  </si>
  <si>
    <t>25.2.3</t>
  </si>
  <si>
    <t>25.2.4</t>
  </si>
  <si>
    <t>25.3.</t>
  </si>
  <si>
    <t>25.3.1</t>
  </si>
  <si>
    <t>25.3.2</t>
  </si>
  <si>
    <t>25.3.3</t>
  </si>
  <si>
    <t>25.4.</t>
  </si>
  <si>
    <t>25.4.1</t>
  </si>
  <si>
    <t>25.4.2</t>
  </si>
  <si>
    <t>25.4.3</t>
  </si>
  <si>
    <t>25.5.</t>
  </si>
  <si>
    <t>25.5.1</t>
  </si>
  <si>
    <t>25.5.2</t>
  </si>
  <si>
    <t>25.5.3</t>
  </si>
  <si>
    <t>25.5.4</t>
  </si>
  <si>
    <t>25.6.</t>
  </si>
  <si>
    <t>25.6.1</t>
  </si>
  <si>
    <t>25.6.2</t>
  </si>
  <si>
    <t>25.6.3</t>
  </si>
  <si>
    <t>25.7.</t>
  </si>
  <si>
    <t>25.7.1</t>
  </si>
  <si>
    <t>25.7.2</t>
  </si>
  <si>
    <t>25.7.3</t>
  </si>
  <si>
    <t>25.7.4</t>
  </si>
  <si>
    <t>25.8.</t>
  </si>
  <si>
    <t>25.8.1</t>
  </si>
  <si>
    <t>25.8.2</t>
  </si>
  <si>
    <t>25.8.3</t>
  </si>
  <si>
    <t>25.9.</t>
  </si>
  <si>
    <t>25.9.1</t>
  </si>
  <si>
    <t>25.9.2</t>
  </si>
  <si>
    <t>25.9.3</t>
  </si>
  <si>
    <t>25.9.4</t>
  </si>
  <si>
    <t>25.10.</t>
  </si>
  <si>
    <t>25.10.1</t>
  </si>
  <si>
    <t>25.10.2</t>
  </si>
  <si>
    <t>25.10.3</t>
  </si>
  <si>
    <t>25.11.</t>
  </si>
  <si>
    <t>25.11.1</t>
  </si>
  <si>
    <t>25.11.2</t>
  </si>
  <si>
    <t>25.11.3</t>
  </si>
  <si>
    <t>25.11.4</t>
  </si>
  <si>
    <t>25.12.</t>
  </si>
  <si>
    <t>25.12.1</t>
  </si>
  <si>
    <t>25.12.2</t>
  </si>
  <si>
    <t>25.12.3</t>
  </si>
  <si>
    <t>25.13.</t>
  </si>
  <si>
    <t>25.13.1</t>
  </si>
  <si>
    <t>25.13.2</t>
  </si>
  <si>
    <t>25.13.3</t>
  </si>
  <si>
    <t>25.13.4</t>
  </si>
  <si>
    <t>25.14.</t>
  </si>
  <si>
    <t>25.14.1</t>
  </si>
  <si>
    <t>25.14.2</t>
  </si>
  <si>
    <t>25.14.3</t>
  </si>
  <si>
    <t>25.15.</t>
  </si>
  <si>
    <t>25.15.1</t>
  </si>
  <si>
    <t>25.15.2</t>
  </si>
  <si>
    <t>25.16.</t>
  </si>
  <si>
    <t>25.16.1</t>
  </si>
  <si>
    <t>25.16.2</t>
  </si>
  <si>
    <t>25.16.3</t>
  </si>
  <si>
    <t>25.16.4</t>
  </si>
  <si>
    <t>25.17.</t>
  </si>
  <si>
    <t>25.17.1</t>
  </si>
  <si>
    <t>25.17.2</t>
  </si>
  <si>
    <t>25.17.3</t>
  </si>
  <si>
    <t>25.18.</t>
  </si>
  <si>
    <t>25.18.1</t>
  </si>
  <si>
    <t>25.18.2</t>
  </si>
  <si>
    <t>25.18.3</t>
  </si>
  <si>
    <t>25.18.4</t>
  </si>
  <si>
    <t>25.19.</t>
  </si>
  <si>
    <t>25.19.1</t>
  </si>
  <si>
    <t>25.19.2</t>
  </si>
  <si>
    <t>25.19.3</t>
  </si>
  <si>
    <t>25.20.</t>
  </si>
  <si>
    <t>25.20.1</t>
  </si>
  <si>
    <t>RODAPÉ CERÂMICA - 15.0 cm,  Obs. Rodapé: MESMO DO PISO</t>
  </si>
  <si>
    <t>25.20.2</t>
  </si>
  <si>
    <t>25.20.3</t>
  </si>
  <si>
    <t>25.21.</t>
  </si>
  <si>
    <t>25.21.1</t>
  </si>
  <si>
    <t>25.21.2</t>
  </si>
  <si>
    <t>Rodapé de cerâmico h=15cm</t>
  </si>
  <si>
    <t>Rodapé de porcelanato h=15cm, Padrão Nobre</t>
  </si>
  <si>
    <t>Padrão Nobre, mesmo usado no piso</t>
  </si>
  <si>
    <t>26.1.1</t>
  </si>
  <si>
    <t>REVESTIMENTO - SOLEIRA,  PEDRA GRANITO PRETO SÃO GABRIEL</t>
  </si>
  <si>
    <t>26.2.</t>
  </si>
  <si>
    <t>26.2.1</t>
  </si>
  <si>
    <t>26.3.</t>
  </si>
  <si>
    <t>26.3.1</t>
  </si>
  <si>
    <t>26.4.</t>
  </si>
  <si>
    <t>26.4.1</t>
  </si>
  <si>
    <t>26.5.</t>
  </si>
  <si>
    <t>26.5.1</t>
  </si>
  <si>
    <t>26.6.</t>
  </si>
  <si>
    <t>26.6.1</t>
  </si>
  <si>
    <t>26.7.</t>
  </si>
  <si>
    <t>26.7.1</t>
  </si>
  <si>
    <t>26.8.</t>
  </si>
  <si>
    <t>26.8.1</t>
  </si>
  <si>
    <t>26.9.</t>
  </si>
  <si>
    <t>26.9.1</t>
  </si>
  <si>
    <t>26.10.</t>
  </si>
  <si>
    <t>26.10.1</t>
  </si>
  <si>
    <t>26.11.</t>
  </si>
  <si>
    <t>26.11.1</t>
  </si>
  <si>
    <t>26.12.</t>
  </si>
  <si>
    <t>26.12.1</t>
  </si>
  <si>
    <t>26.13.</t>
  </si>
  <si>
    <t>26.13.1</t>
  </si>
  <si>
    <t>26.14.</t>
  </si>
  <si>
    <t>26.14.1</t>
  </si>
  <si>
    <t>26.15.</t>
  </si>
  <si>
    <t>26.15.1</t>
  </si>
  <si>
    <t>26.16.</t>
  </si>
  <si>
    <t>26.16.1</t>
  </si>
  <si>
    <t>26.17.</t>
  </si>
  <si>
    <t>26.17.1</t>
  </si>
  <si>
    <t>26.18.</t>
  </si>
  <si>
    <t>26.18.1</t>
  </si>
  <si>
    <t>26.19.</t>
  </si>
  <si>
    <t>26.19.1</t>
  </si>
  <si>
    <t>26.20.</t>
  </si>
  <si>
    <t>26.20.1</t>
  </si>
  <si>
    <t>26.21.</t>
  </si>
  <si>
    <t>26.21.1</t>
  </si>
  <si>
    <t>Soleira em granito preto são gabriel</t>
  </si>
  <si>
    <t>Contramarco de Alumínio</t>
  </si>
  <si>
    <t>27.1.1</t>
  </si>
  <si>
    <t>27.2.1</t>
  </si>
  <si>
    <t>27.3.1</t>
  </si>
  <si>
    <t>27.4.1</t>
  </si>
  <si>
    <t>27.5.1</t>
  </si>
  <si>
    <t>27.6.</t>
  </si>
  <si>
    <t>27.6.1</t>
  </si>
  <si>
    <t>27.7.</t>
  </si>
  <si>
    <t>27.7.1</t>
  </si>
  <si>
    <t>27.8.</t>
  </si>
  <si>
    <t>27.8.1</t>
  </si>
  <si>
    <t>27.9.</t>
  </si>
  <si>
    <t>27.9.1</t>
  </si>
  <si>
    <t>27.10.</t>
  </si>
  <si>
    <t>27.10.1</t>
  </si>
  <si>
    <t>27.11.</t>
  </si>
  <si>
    <t>27.11.1</t>
  </si>
  <si>
    <t>27.12.</t>
  </si>
  <si>
    <t>27.12.1</t>
  </si>
  <si>
    <t>27.13.</t>
  </si>
  <si>
    <t>27.13.1</t>
  </si>
  <si>
    <t>27.14.</t>
  </si>
  <si>
    <t>27.14.1</t>
  </si>
  <si>
    <t>27.15.</t>
  </si>
  <si>
    <t>27.15.1</t>
  </si>
  <si>
    <t>27.16.</t>
  </si>
  <si>
    <t>27.16.1</t>
  </si>
  <si>
    <t>27.17.</t>
  </si>
  <si>
    <t>27.17.1</t>
  </si>
  <si>
    <t>27.18.</t>
  </si>
  <si>
    <t>27.18.1</t>
  </si>
  <si>
    <t>27.19.</t>
  </si>
  <si>
    <t>27.19.1</t>
  </si>
  <si>
    <t>27.20.</t>
  </si>
  <si>
    <t>27.20.1</t>
  </si>
  <si>
    <t>27.21.</t>
  </si>
  <si>
    <t>27.21.1</t>
  </si>
  <si>
    <t>Contramarco de Esquadrias de Alumínio</t>
  </si>
  <si>
    <t>EAL 57 - PORTA DE ABRIR, 1 FOLHA, ALUMINIO VENEZIANA, 90 x 215 cm</t>
  </si>
  <si>
    <t>EAL 58 - PORTA DE CORRER, 1 FOLHA, ALUMINIO VENEZIANA, 90 x 215 cm</t>
  </si>
  <si>
    <t>EAL 59 - PORTA DE ABRIR, 1 FOLHA, ALUMINIO VENEZIANA, 70 x 210 cm</t>
  </si>
  <si>
    <t>EAL01_PORTA DE ABRIR, 2 FOLHAS, ALUMINIO E VIDRO, 163 x 210 cm</t>
  </si>
  <si>
    <t>EAL01_PORTA FIXA, 1 FOLHA, ALUMINIO E VIDRO, 81.5 x 210 cm</t>
  </si>
  <si>
    <t>EAL02_PORTA FIXA, 1 FOLHA, ALUMINIO E VIDRO, 91.66 x 210 cm</t>
  </si>
  <si>
    <t>EAL04_JANELA MAXIM-AR, 1+1 FOLHAS, ALUMÍNIO E VIDRO, 120 x 86.5 cm</t>
  </si>
  <si>
    <t>EAL05_PORTA DE CORRER, 2 FOLHAS, ALUMINIO E VIDRO, 210 x 254 cm</t>
  </si>
  <si>
    <t>EAL06_PORTA FIXA, 1 FOLHA, ALUMINIO E VIDRO, 186 x 599 cm</t>
  </si>
  <si>
    <t>EAL07_PORTA FIXA, 1 FOLHA, ALUMINIO E VIDRO, 140 x 599 cm</t>
  </si>
  <si>
    <t>EAL08_PORTA FIXA, 1 FOLHA, ALUMINIO E VIDRO, 114 x 599cm</t>
  </si>
  <si>
    <t>EAL08_PORTA FIXA, 1 FOLHA, ALUMINIO E VIDRO, 115.5 x 599 cm</t>
  </si>
  <si>
    <t>EAL 09 - JANELA FIXA, 2 FOLHAS, ALUMÍNIO E VIDRO, 163 x 186.50 cm</t>
  </si>
  <si>
    <t>EAL 10 - JANELA FIXA, 6 FOLHAS, ALUMÍNIO E VIDRO, 538 x 186.50 cm</t>
  </si>
  <si>
    <t>EAL 11 - JANELA FIXA, 5 FOLHAS, ALUMÍNIO E VIDRO, 548.95 x 186.50 cm</t>
  </si>
  <si>
    <t>28.2.13</t>
  </si>
  <si>
    <t>EAL 12_PORTA FIXA, 1 FOLHA, ALUMINIO E VIDRO, 107.25 x 254 cm</t>
  </si>
  <si>
    <t>28.2.14</t>
  </si>
  <si>
    <t>EAL13_PORTA DE ABRIR, 1 FOLHA, ALUMINIO VENEZIANA, 100 x 255 cm</t>
  </si>
  <si>
    <t>28.2.15</t>
  </si>
  <si>
    <t>EAL_13PORTA FIXA, 1 FOLHA, ALUMINIO VENEZIANA, 101 x 255 cm</t>
  </si>
  <si>
    <t>28.2.16</t>
  </si>
  <si>
    <t>EAL14_JANELA MAXIM-AR, 1+2 FOLHAS, ALUMÍNIO E VIDRO, 200 x 186.5 cm</t>
  </si>
  <si>
    <t>28.2.17</t>
  </si>
  <si>
    <t>EAL15_PORTA FIXA, 1 FOLHA, ALUMINIO E VIDRO, 132.7 x 599 cm</t>
  </si>
  <si>
    <t>28.2.18</t>
  </si>
  <si>
    <t>EAL16_PORTA FIXA, 1 FOLHA, ALUMINIO E VIDRO, 128 x 599 cm</t>
  </si>
  <si>
    <t>28.2.19</t>
  </si>
  <si>
    <t>EAL17_PORTA FIXA, 1 FOLHA, ALUMINIO E VIDRO, 132 x 599 cm</t>
  </si>
  <si>
    <t>28.2.20</t>
  </si>
  <si>
    <t>JANELA MAXIM-AR, 1 FOLHA, ALUMÍNIO E VIDRO, 100 x 100 cm</t>
  </si>
  <si>
    <t>EAL18_PORTA DE CORRER, 2 FOLHAS, ALUMINIO E VIDRO, 180 x 223 cm</t>
  </si>
  <si>
    <t>EAL19_PORTA DE CORRER, 2 FOLHAS, ALUMINIO E VIDRO, 190 x 223 cm</t>
  </si>
  <si>
    <t>EAL20_JANELA MAXIM-AR, 1+1 FOLHAS, ALUMÍNIO E VIDRO, 60 x 110 cm</t>
  </si>
  <si>
    <t>EAL_21 JANELA FIXA, 2 FOLHAS, VENEZIANA, 240 x 219 cm</t>
  </si>
  <si>
    <t>EAL22_JANELA FIXA, 2+1 FOLHAS, ALUMÍNIO E VIDRO, 266 x 153,5 cm</t>
  </si>
  <si>
    <t>EAL23_JANELA FIXA, 2+1 FOLHAS, ALUMÍNIO E VIDRO, 188 x 153,5 cm</t>
  </si>
  <si>
    <t>EAL24_JANELA FIXA, 2+1 FOLHAS, ALUMÍNIO E VIDRO, 180 x 153,5 cm</t>
  </si>
  <si>
    <t>EAL25_JANELA CORRER, 4+2 FOLHAS, ALUMÍNIO E VIDRO, 343 x 153,.5 cm</t>
  </si>
  <si>
    <t>28.4.8</t>
  </si>
  <si>
    <t>EAL26_JANELA FIXA, 2+1 FOLHAS, ALUMÍNIO E VIDRO, 125 x 153,5 cm</t>
  </si>
  <si>
    <t>28.4.9</t>
  </si>
  <si>
    <t>EAL27_PORTA DE CORRER, 3 FOLHAS, ALUMINIO E VIDRO, 150 x 223 cm</t>
  </si>
  <si>
    <t>28.4.10</t>
  </si>
  <si>
    <t>EAL28_PORTA DE CORRER, 4 FOLHAS, ALUMINIO E VIDRO, 350 x 223 cm</t>
  </si>
  <si>
    <t>EAL29 - JANELA BASCULANTE, 1 FOLHA, ALUMÍNIO E VIDRO, 253 x 218 cm</t>
  </si>
  <si>
    <t>EAL29_JANELA FIXA, 2+1 FOLHAS, ALUMÍNIO E VIDRO, 253 x 283 cm</t>
  </si>
  <si>
    <t>EAL30_JANELA FIXA, 2+1 FOLHAS, ALUMÍNIO E VIDRO, 178 x 150.5 cm</t>
  </si>
  <si>
    <t>EAL31_JANELA FIXA, 2+1 FOLHAS, ALUMÍNIO E VIDRO, 206 x 215 cm</t>
  </si>
  <si>
    <t>EAL32_JANELA FIXA, 2+1 FOLHAS, ALUMÍNIO E VIDRO, 127 x 282.5 cm</t>
  </si>
  <si>
    <t>28.5.11</t>
  </si>
  <si>
    <t>EAL33_JANELA FIXA, 2+1 FOLHAS, ALUMÍNIO E VIDRO, 130 x 282.5 cm</t>
  </si>
  <si>
    <t>28.5.12</t>
  </si>
  <si>
    <t>EAL35_JANELA FIXA, 2+1 FOLHAS, ALUMÍNIO E VIDRO, 180 x 153,5 cm</t>
  </si>
  <si>
    <t>28.5.13</t>
  </si>
  <si>
    <t>GUARDA-CORPO, ALUMÍNIO E VIDRO, 100 cm</t>
  </si>
  <si>
    <t>28.6.3</t>
  </si>
  <si>
    <t>28.6.4</t>
  </si>
  <si>
    <t>28.6.5</t>
  </si>
  <si>
    <t>EAL30_JANELA FIXA, 2+1 FOLHAS, ALUMÍNIO E VIDRO, 178 x 282.5 cm</t>
  </si>
  <si>
    <t>28.6.6</t>
  </si>
  <si>
    <t>EAL31_JANELA FIXA, 1+2 FOLHAS, ALUMÍNIO E VIDRO, 206 x 215 cm</t>
  </si>
  <si>
    <t>28.6.7</t>
  </si>
  <si>
    <t>EAL32_JANELA FIXA, 1+2 FOLHAS, ALUMÍNIO E VIDRO, 127 x 215 cm</t>
  </si>
  <si>
    <t>28.6.8</t>
  </si>
  <si>
    <t>EAL33_JANELA FIXA, 1+2 FOLHAS, ALUMÍNIO E VIDRO, 130 x 215 cm</t>
  </si>
  <si>
    <t>28.6.9</t>
  </si>
  <si>
    <t>EAL34_JANELA FIXA, 3 FOLHAS, ALUMÍNIO E VIDRO, 150 x 223 cm</t>
  </si>
  <si>
    <t>28.6.10</t>
  </si>
  <si>
    <t>28.6.11</t>
  </si>
  <si>
    <t>EAL36_JANELA FIXA, 2+1 FOLHAS, ALUMÍNIO E VIDRO, 155 x 153,5 cm</t>
  </si>
  <si>
    <t>28.6.12</t>
  </si>
  <si>
    <t>28.7.</t>
  </si>
  <si>
    <t>28.7.1</t>
  </si>
  <si>
    <t>28.7.2</t>
  </si>
  <si>
    <t>28.7.3</t>
  </si>
  <si>
    <t>28.7.4</t>
  </si>
  <si>
    <t>28.7.5</t>
  </si>
  <si>
    <t>28.7.6</t>
  </si>
  <si>
    <t>28.7.7</t>
  </si>
  <si>
    <t>28.7.8</t>
  </si>
  <si>
    <t>28.7.9</t>
  </si>
  <si>
    <t>28.7.10</t>
  </si>
  <si>
    <t>28.7.11</t>
  </si>
  <si>
    <t>28.7.12</t>
  </si>
  <si>
    <t>28.7.13</t>
  </si>
  <si>
    <t>28.8.</t>
  </si>
  <si>
    <t>28.8.1</t>
  </si>
  <si>
    <t>28.8.2</t>
  </si>
  <si>
    <t>28.8.3</t>
  </si>
  <si>
    <t>28.8.4</t>
  </si>
  <si>
    <t>28.8.5</t>
  </si>
  <si>
    <t>28.8.6</t>
  </si>
  <si>
    <t>28.8.7</t>
  </si>
  <si>
    <t>28.8.8</t>
  </si>
  <si>
    <t>28.8.9</t>
  </si>
  <si>
    <t>28.8.10</t>
  </si>
  <si>
    <t>28.8.11</t>
  </si>
  <si>
    <t>28.8.12</t>
  </si>
  <si>
    <t>28.9.</t>
  </si>
  <si>
    <t>28.9.1</t>
  </si>
  <si>
    <t>28.9.2</t>
  </si>
  <si>
    <t>28.9.3</t>
  </si>
  <si>
    <t>28.9.4</t>
  </si>
  <si>
    <t>28.9.5</t>
  </si>
  <si>
    <t>28.9.6</t>
  </si>
  <si>
    <t>28.9.7</t>
  </si>
  <si>
    <t>28.9.8</t>
  </si>
  <si>
    <t>28.9.9</t>
  </si>
  <si>
    <t>28.9.10</t>
  </si>
  <si>
    <t>28.9.11</t>
  </si>
  <si>
    <t>28.9.12</t>
  </si>
  <si>
    <t>28.9.13</t>
  </si>
  <si>
    <t>28.10.</t>
  </si>
  <si>
    <t>28.10.1</t>
  </si>
  <si>
    <t>28.10.2</t>
  </si>
  <si>
    <t>28.10.3</t>
  </si>
  <si>
    <t>28.10.4</t>
  </si>
  <si>
    <t>28.10.5</t>
  </si>
  <si>
    <t>28.10.6</t>
  </si>
  <si>
    <t>28.10.7</t>
  </si>
  <si>
    <t>28.10.8</t>
  </si>
  <si>
    <t>28.10.9</t>
  </si>
  <si>
    <t>28.10.10</t>
  </si>
  <si>
    <t>28.10.11</t>
  </si>
  <si>
    <t>28.10.12</t>
  </si>
  <si>
    <t>28.11.</t>
  </si>
  <si>
    <t>28.11.1</t>
  </si>
  <si>
    <t>28.11.2</t>
  </si>
  <si>
    <t>28.11.3</t>
  </si>
  <si>
    <t>28.11.4</t>
  </si>
  <si>
    <t>28.11.5</t>
  </si>
  <si>
    <t>28.11.6</t>
  </si>
  <si>
    <t>28.11.7</t>
  </si>
  <si>
    <t>28.11.8</t>
  </si>
  <si>
    <t>28.11.9</t>
  </si>
  <si>
    <t>28.11.10</t>
  </si>
  <si>
    <t>28.11.11</t>
  </si>
  <si>
    <t>28.11.12</t>
  </si>
  <si>
    <t>28.11.13</t>
  </si>
  <si>
    <t>28.12.</t>
  </si>
  <si>
    <t>28.12.1</t>
  </si>
  <si>
    <t>28.12.2</t>
  </si>
  <si>
    <t>28.12.3</t>
  </si>
  <si>
    <t>28.12.4</t>
  </si>
  <si>
    <t>28.12.5</t>
  </si>
  <si>
    <t>28.12.6</t>
  </si>
  <si>
    <t>28.12.7</t>
  </si>
  <si>
    <t>28.12.8</t>
  </si>
  <si>
    <t>28.12.9</t>
  </si>
  <si>
    <t>28.12.10</t>
  </si>
  <si>
    <t>28.12.11</t>
  </si>
  <si>
    <t>28.12.12</t>
  </si>
  <si>
    <t>28.13.</t>
  </si>
  <si>
    <t>28.13.1</t>
  </si>
  <si>
    <t>28.13.2</t>
  </si>
  <si>
    <t>28.13.3</t>
  </si>
  <si>
    <t>28.13.4</t>
  </si>
  <si>
    <t>28.13.5</t>
  </si>
  <si>
    <t>28.13.6</t>
  </si>
  <si>
    <t>28.13.7</t>
  </si>
  <si>
    <t>28.13.8</t>
  </si>
  <si>
    <t>28.13.9</t>
  </si>
  <si>
    <t>28.13.10</t>
  </si>
  <si>
    <t>28.13.11</t>
  </si>
  <si>
    <t>28.13.12</t>
  </si>
  <si>
    <t>28.13.13</t>
  </si>
  <si>
    <t>28.14.</t>
  </si>
  <si>
    <t>28.14.1</t>
  </si>
  <si>
    <t>28.14.2</t>
  </si>
  <si>
    <t>28.14.3</t>
  </si>
  <si>
    <t>28.14.4</t>
  </si>
  <si>
    <t>28.14.5</t>
  </si>
  <si>
    <t>28.14.6</t>
  </si>
  <si>
    <t>28.14.7</t>
  </si>
  <si>
    <t>28.14.8</t>
  </si>
  <si>
    <t>28.14.9</t>
  </si>
  <si>
    <t>28.14.10</t>
  </si>
  <si>
    <t>28.14.11</t>
  </si>
  <si>
    <t>28.14.12</t>
  </si>
  <si>
    <t>28.15.</t>
  </si>
  <si>
    <t>28.15.1</t>
  </si>
  <si>
    <t>28.15.2</t>
  </si>
  <si>
    <t>EAL35A_JANELA FIXA, 2+1 FOLHAS, ALUMÍNIO E VIDRO, 180 x 153,5 cm</t>
  </si>
  <si>
    <t>28.15.3</t>
  </si>
  <si>
    <t>28.15.4</t>
  </si>
  <si>
    <t>EAL36A_JANELA FIXA, 2+1 FOLHAS, ALUMÍNIO E VIDRO, 155 x 175,5 cm</t>
  </si>
  <si>
    <t>28.15.5</t>
  </si>
  <si>
    <t>28.15.6</t>
  </si>
  <si>
    <t>EAL38_JANELA FIXA, 2+1 FOLHAS, ALUMÍNIO E VIDRO, 178 x 175,5 cm</t>
  </si>
  <si>
    <t>28.15.7</t>
  </si>
  <si>
    <t>EAL39_JANELA FIXA, 2+1 FOLHAS, ALUMÍNIO E VIDRO, 261 x 175,5 cm</t>
  </si>
  <si>
    <t>28.15.8</t>
  </si>
  <si>
    <t>EAL40_PORTA DE CORRER, 4 FOLHAS, ALUMINIO E VIDRO, 496 x 245 cm</t>
  </si>
  <si>
    <t>28.15.9</t>
  </si>
  <si>
    <t>EAL41_JANELA FIXA, 2+1 FOLHAS, ALUMÍNIO E VIDRO, 147 x 175,5 cm</t>
  </si>
  <si>
    <t>28.15.10</t>
  </si>
  <si>
    <t>EAL42_PORTA DE CORRER, 2 FOLHAS, ALUMINIO E VIDRO, 259 x 252 cm</t>
  </si>
  <si>
    <t>28.15.11</t>
  </si>
  <si>
    <t>EAL43_JANELA FIXA, 2+1 FOLHAS, ALUMÍNIO E VIDRO, 289 x 175,5 cm</t>
  </si>
  <si>
    <t>28.15.12</t>
  </si>
  <si>
    <t>EAL 44 - JANELA FIXA, 2 FOLHAS, ALUMÍNIO E VIDRO, 206 x 175,5 cm</t>
  </si>
  <si>
    <t>28.15.13</t>
  </si>
  <si>
    <t>EAL 45 - JANELA FIXA, 1 FOLHA, ALUMÍNIO E VIDRO, 127 x 175,5 cm</t>
  </si>
  <si>
    <t>28.15.14</t>
  </si>
  <si>
    <t>EAL46_PORTA DE CORRER, 2 FOLHAS, ALUMINIO E VIDRO, 130 x 45 cm</t>
  </si>
  <si>
    <t>28.15.15</t>
  </si>
  <si>
    <t>EAL47_PORTA DE CORRER, 3 FOLHAS, ALUMINIO E VIDRO, 150 x 245 cm</t>
  </si>
  <si>
    <t>28.15.16</t>
  </si>
  <si>
    <t>EAL56_JANELA FIXA, 1 FOLHA, VENEZIANA, 50 x 130,5 cm</t>
  </si>
  <si>
    <t>28.15.17</t>
  </si>
  <si>
    <t>EAL_PORTA DE CORRER, 2 FOLHAS, ALUMINIO E VIDRO, 253 x 252 cm</t>
  </si>
  <si>
    <t>28.16.</t>
  </si>
  <si>
    <t>28.16.1</t>
  </si>
  <si>
    <t>28.16.2</t>
  </si>
  <si>
    <t>28.16.3</t>
  </si>
  <si>
    <t>28.16.4</t>
  </si>
  <si>
    <t>28.16.5</t>
  </si>
  <si>
    <t>28.16.6</t>
  </si>
  <si>
    <t>28.16.7</t>
  </si>
  <si>
    <t>EAL30_JANELA FIXA, 2+1 FOLHAS, ALUMÍNIO E VIDRO, 178 x 218 cm</t>
  </si>
  <si>
    <t>28.16.8</t>
  </si>
  <si>
    <t>28.16.9</t>
  </si>
  <si>
    <t>EAL31_JANELA FIXA, 2+1+2 FOLHAS, ALUMÍNIO E VIDRO, 206 x 560 cm</t>
  </si>
  <si>
    <t>28.16.10</t>
  </si>
  <si>
    <t>EAL32_JANELA FIXA, 1+1+1 FOLHAS, ALUMÍNIO E VIDRO, 127 x 433,5 cm</t>
  </si>
  <si>
    <t>28.16.11</t>
  </si>
  <si>
    <t>EAL33_JANELA FIXA, 2+1+2 FOLHAS, ALUMÍNIO E VIDRO, 130 x 503 cm</t>
  </si>
  <si>
    <t>28.16.12</t>
  </si>
  <si>
    <t>28.16.13</t>
  </si>
  <si>
    <t>28.16.14</t>
  </si>
  <si>
    <t>28.16.15</t>
  </si>
  <si>
    <t>PORTA DE ABRIR, 2 FOLHAS, ALUMINIO E VIDRO, 152 x 223 cm</t>
  </si>
  <si>
    <t>28.17.</t>
  </si>
  <si>
    <t>28.17.1</t>
  </si>
  <si>
    <t>28.17.2</t>
  </si>
  <si>
    <t>28.17.3</t>
  </si>
  <si>
    <t>28.17.4</t>
  </si>
  <si>
    <t>28.17.5</t>
  </si>
  <si>
    <t>EAL34_JANELA FIXA, 3 FOLHAS, ALUMÍNIO E VIDRO, 150 x 209 cm</t>
  </si>
  <si>
    <t>28.17.6</t>
  </si>
  <si>
    <t>28.17.7</t>
  </si>
  <si>
    <t>28.17.8</t>
  </si>
  <si>
    <t>EAL51_JANELA FIXA, 2+1 FOLHAS, ALUMÍNIO E VIDRO, 146 x 153,5 cm</t>
  </si>
  <si>
    <t>28.17.9</t>
  </si>
  <si>
    <t>28.18.</t>
  </si>
  <si>
    <t>28.18.1</t>
  </si>
  <si>
    <t>28.18.2</t>
  </si>
  <si>
    <t>28.18.3</t>
  </si>
  <si>
    <t>28.18.4</t>
  </si>
  <si>
    <t>28.18.5</t>
  </si>
  <si>
    <t>28.18.6</t>
  </si>
  <si>
    <t>28.18.7</t>
  </si>
  <si>
    <t>28.18.8</t>
  </si>
  <si>
    <t>28.18.9</t>
  </si>
  <si>
    <t>28.18.10</t>
  </si>
  <si>
    <t>28.18.11</t>
  </si>
  <si>
    <t>28.18.12</t>
  </si>
  <si>
    <t>28.18.13</t>
  </si>
  <si>
    <t>28.18.14</t>
  </si>
  <si>
    <t>28.19.</t>
  </si>
  <si>
    <t>28.19.1</t>
  </si>
  <si>
    <t>28.19.2</t>
  </si>
  <si>
    <t>28.19.3</t>
  </si>
  <si>
    <t>28.19.4</t>
  </si>
  <si>
    <t>28.19.5</t>
  </si>
  <si>
    <t>28.19.6</t>
  </si>
  <si>
    <t>28.19.7</t>
  </si>
  <si>
    <t>28.19.8</t>
  </si>
  <si>
    <t>28.19.9</t>
  </si>
  <si>
    <t>28.19.10</t>
  </si>
  <si>
    <t>28.19.11</t>
  </si>
  <si>
    <t>28.20.</t>
  </si>
  <si>
    <t>28.20.1</t>
  </si>
  <si>
    <t>28.20.2</t>
  </si>
  <si>
    <t>EAL50_JANELA FIXA, 1 FOLHA, ALUMÍNIO E VIDRO, 146 x 223 cm</t>
  </si>
  <si>
    <t>28.20.3</t>
  </si>
  <si>
    <t>EAL50_PORTA DE ABRIR, 1 FOLHA, ALUMINIO E VIDRO, 90 x 223 cm</t>
  </si>
  <si>
    <t>28.20.4</t>
  </si>
  <si>
    <t>EAL51A_JANELA FIXA, 2+1 FOLHAS, ALUMÍNIO E VIDRO, 146 x 193,5 cm</t>
  </si>
  <si>
    <t>28.20.5</t>
  </si>
  <si>
    <t>EAL52_JANELA FIXA, 2+1 FOLHAS, ALUMÍNIO E VIDRO, 490 x 193,5 cm</t>
  </si>
  <si>
    <t>28.20.6</t>
  </si>
  <si>
    <t>EAL53_JANELA FIXA, 1+1 FOLHAS, ALUMÍNIO E VIDRO, 133 x 193,5 cm</t>
  </si>
  <si>
    <t>28.20.7</t>
  </si>
  <si>
    <t>EAL54_PORTA DE CORRER, 3 FOLHAS, ALUMINIO E VIDRO, 170 x 263 cm</t>
  </si>
  <si>
    <t>28.20.8</t>
  </si>
  <si>
    <t>GUARDA-CORPO, VIDRO, 150 cm</t>
  </si>
  <si>
    <t>28.21.</t>
  </si>
  <si>
    <t>28.21.1</t>
  </si>
  <si>
    <t>REGULARIZAÇÃO IMPER</t>
  </si>
  <si>
    <t>GUARDA CORPO</t>
  </si>
  <si>
    <t>ALÇAPÃO EM ALUMÍNIO - 70x70</t>
  </si>
  <si>
    <t>28.2.21</t>
  </si>
  <si>
    <t>28.21.2</t>
  </si>
  <si>
    <t>28.22.</t>
  </si>
  <si>
    <t>28.22.1</t>
  </si>
  <si>
    <t>28.23.</t>
  </si>
  <si>
    <t>28.23.1</t>
  </si>
  <si>
    <t>Guarda Corpo de Vidro - fornecimento e instalação</t>
  </si>
  <si>
    <t>PORTA DE ABRIR, 1 FOLHA, MADEIRA, 110 x 210 cm</t>
  </si>
  <si>
    <t>PORTA DE ABRIR, 1 FOLHA, MADEIRA, 80 x 210 cm</t>
  </si>
  <si>
    <t>PORTA DE CORRER, 1 FOLHA, MADEIRA, 80 x 210 cm</t>
  </si>
  <si>
    <t>PORTA DE ABRIR, 1 FOLHA, MADEIRA, 60 x 210 cm</t>
  </si>
  <si>
    <t>PORTA DE ABRIR, 1 FOLHA, MADEIRA, 70 x 210 cm</t>
  </si>
  <si>
    <t>PORTA DE CORRER, 1 FOLHA, MADEIRA, 90 x 210 cm</t>
  </si>
  <si>
    <t>29.6.2</t>
  </si>
  <si>
    <t>29.6.3</t>
  </si>
  <si>
    <t>29.7.3</t>
  </si>
  <si>
    <t>29.8.2</t>
  </si>
  <si>
    <t>29.8.3</t>
  </si>
  <si>
    <t>29.9.</t>
  </si>
  <si>
    <t>29.9.1</t>
  </si>
  <si>
    <t>29.9.2</t>
  </si>
  <si>
    <t>29.9.3</t>
  </si>
  <si>
    <t>29.10.</t>
  </si>
  <si>
    <t>29.10.1</t>
  </si>
  <si>
    <t>29.10.2</t>
  </si>
  <si>
    <t>29.10.3</t>
  </si>
  <si>
    <t>29.11.</t>
  </si>
  <si>
    <t>29.11.1</t>
  </si>
  <si>
    <t>29.11.2</t>
  </si>
  <si>
    <t>29.11.3</t>
  </si>
  <si>
    <t>29.12.</t>
  </si>
  <si>
    <t>29.12.1</t>
  </si>
  <si>
    <t>29.12.2</t>
  </si>
  <si>
    <t>29.12.3</t>
  </si>
  <si>
    <t>29.13.</t>
  </si>
  <si>
    <t>29.13.1</t>
  </si>
  <si>
    <t>29.13.2</t>
  </si>
  <si>
    <t>29.13.3</t>
  </si>
  <si>
    <t>29.14.</t>
  </si>
  <si>
    <t>29.14.1</t>
  </si>
  <si>
    <t>29.14.2</t>
  </si>
  <si>
    <t>29.14.3</t>
  </si>
  <si>
    <t>PORTA DE CORRER, 1 FOLHA, MADEIRA, 135 x 210 cm</t>
  </si>
  <si>
    <t>29.14.4</t>
  </si>
  <si>
    <t>PORTA DE CORRER, 1 FOLHA, MADEIRA, 150 x 210 cm</t>
  </si>
  <si>
    <t>29.14.5</t>
  </si>
  <si>
    <t>29.15.</t>
  </si>
  <si>
    <t>29.15.1</t>
  </si>
  <si>
    <t>29.15.2</t>
  </si>
  <si>
    <t>29.15.3</t>
  </si>
  <si>
    <t>29.16.</t>
  </si>
  <si>
    <t>29.16.1</t>
  </si>
  <si>
    <t>29.16.2</t>
  </si>
  <si>
    <t>29.16.3</t>
  </si>
  <si>
    <t>29.17.</t>
  </si>
  <si>
    <t>29.17.1</t>
  </si>
  <si>
    <t>29.17.2</t>
  </si>
  <si>
    <t>29.17.3</t>
  </si>
  <si>
    <t>29.18.</t>
  </si>
  <si>
    <t>29.18.1</t>
  </si>
  <si>
    <t>29.18.2</t>
  </si>
  <si>
    <t>29.18.3</t>
  </si>
  <si>
    <t>29.19.</t>
  </si>
  <si>
    <t>29.19.1</t>
  </si>
  <si>
    <t>Porta de madeira de abrir - 110x210cm (kit completo) - fixação com espuma expansiva</t>
  </si>
  <si>
    <t>Porta de madeira de Correr - 90x210cm (kit completo) - fixação com espuma expansiva</t>
  </si>
  <si>
    <t>Porta de madeira de Correr - 135x210cm (kit completo) - fixação com espuma expansiva</t>
  </si>
  <si>
    <t>Porta de madeira de Correr - 150x210cm (kit completo) - fixação com espuma expansiva</t>
  </si>
  <si>
    <t>Porta de madeira de Correr - 135x210cm (kit completo)</t>
  </si>
  <si>
    <t>Porta de madeira de Correr - 150x210cm (kit completo)</t>
  </si>
  <si>
    <t>Contramarco de Porta corta-fogo</t>
  </si>
  <si>
    <t>30.9.</t>
  </si>
  <si>
    <t>30.9.1</t>
  </si>
  <si>
    <t>30.10.</t>
  </si>
  <si>
    <t>30.10.1</t>
  </si>
  <si>
    <t>30.11.</t>
  </si>
  <si>
    <t>30.11.1</t>
  </si>
  <si>
    <t>30.12.</t>
  </si>
  <si>
    <t>30.12.1</t>
  </si>
  <si>
    <t>30.13.</t>
  </si>
  <si>
    <t>30.13.1</t>
  </si>
  <si>
    <t>30.14.</t>
  </si>
  <si>
    <t>30.14.1</t>
  </si>
  <si>
    <t>30.15.</t>
  </si>
  <si>
    <t>30.15.1</t>
  </si>
  <si>
    <t>30.16.</t>
  </si>
  <si>
    <t>30.16.1</t>
  </si>
  <si>
    <t>30.17.</t>
  </si>
  <si>
    <t>30.17.1</t>
  </si>
  <si>
    <t>30.18.</t>
  </si>
  <si>
    <t>30.18.1</t>
  </si>
  <si>
    <t>30.19.</t>
  </si>
  <si>
    <t>30.19.1</t>
  </si>
  <si>
    <t>30.20.</t>
  </si>
  <si>
    <t>30.20.1</t>
  </si>
  <si>
    <t>30.21.</t>
  </si>
  <si>
    <t>30.21.1</t>
  </si>
  <si>
    <t>Contramarco de Porta corta-fogo1</t>
  </si>
  <si>
    <t>CORRIMÃO DUPLO - METÁLICO</t>
  </si>
  <si>
    <t>PORTA DE ABRIR, 1 FOLHA, AÇO GALVANIZADO, 90 x 210 cm</t>
  </si>
  <si>
    <t>31.9.</t>
  </si>
  <si>
    <t>31.9.1</t>
  </si>
  <si>
    <t>31.9.2</t>
  </si>
  <si>
    <t>31.10.</t>
  </si>
  <si>
    <t>31.10.1</t>
  </si>
  <si>
    <t>31.10.2</t>
  </si>
  <si>
    <t>31.11.</t>
  </si>
  <si>
    <t>31.11.1</t>
  </si>
  <si>
    <t>31.11.2</t>
  </si>
  <si>
    <t>31.12.</t>
  </si>
  <si>
    <t>31.12.1</t>
  </si>
  <si>
    <t>31.12.2</t>
  </si>
  <si>
    <t>31.13.</t>
  </si>
  <si>
    <t>31.13.1</t>
  </si>
  <si>
    <t>31.13.2</t>
  </si>
  <si>
    <t>31.14.</t>
  </si>
  <si>
    <t>31.14.1</t>
  </si>
  <si>
    <t>31.14.2</t>
  </si>
  <si>
    <t>31.15.</t>
  </si>
  <si>
    <t>31.15.1</t>
  </si>
  <si>
    <t>31.15.2</t>
  </si>
  <si>
    <t>31.16.</t>
  </si>
  <si>
    <t>31.16.1</t>
  </si>
  <si>
    <t>31.16.2</t>
  </si>
  <si>
    <t>31.17.</t>
  </si>
  <si>
    <t>31.17.1</t>
  </si>
  <si>
    <t>31.17.2</t>
  </si>
  <si>
    <t>31.18.</t>
  </si>
  <si>
    <t>31.18.1</t>
  </si>
  <si>
    <t>31.18.2</t>
  </si>
  <si>
    <t>31.19.</t>
  </si>
  <si>
    <t>31.19.1</t>
  </si>
  <si>
    <t>31.19.2</t>
  </si>
  <si>
    <t>31.20.</t>
  </si>
  <si>
    <t>31.20.1</t>
  </si>
  <si>
    <t>31.20.2</t>
  </si>
  <si>
    <t>31.21.</t>
  </si>
  <si>
    <t>31.21.1</t>
  </si>
  <si>
    <t>32.</t>
  </si>
  <si>
    <t>REVESTIMENTO - PINTURA  - AC</t>
  </si>
  <si>
    <t>REVESTIMENTO - PINTURA  - ESCADA DE CONCRETO</t>
  </si>
  <si>
    <t>REVESTIMENTO - PISO PINTURA, ESCADA DE CONCRETO</t>
  </si>
  <si>
    <t>32.1.4</t>
  </si>
  <si>
    <t>REVESTIMENTO - PINTURA  - ESCADARIA</t>
  </si>
  <si>
    <t>32.1.5</t>
  </si>
  <si>
    <t>REVESTIMENTO - PINTURA  - MEDIDORES</t>
  </si>
  <si>
    <t>32.1.6</t>
  </si>
  <si>
    <t>REVESTIMENTO - PINTURA  - RESERVATÓRIO ESCOAMENTO</t>
  </si>
  <si>
    <t>32.1.7</t>
  </si>
  <si>
    <t>REVESTIMENTO - PINTURA  - RESERVATÓRIO INFERIOR</t>
  </si>
  <si>
    <t>32.1.8</t>
  </si>
  <si>
    <t>REVESTIMENTO - PINTURA  - RESERVATÓRIO REAPROV. PLUVIAL</t>
  </si>
  <si>
    <t>32.1.9</t>
  </si>
  <si>
    <t>REVESTIMENTO - PINTURA  - SALA PRESS.</t>
  </si>
  <si>
    <t>REVESTIMENTO - PINTURA  - ABRIGO GAS</t>
  </si>
  <si>
    <t>REVESTIMENTO - PINTURA  - CAIXAO PERDIDO (TERREO)</t>
  </si>
  <si>
    <t>32.2.3</t>
  </si>
  <si>
    <t>32.2.4</t>
  </si>
  <si>
    <t>32.2.5</t>
  </si>
  <si>
    <t>32.2.6</t>
  </si>
  <si>
    <t>REVESTIMENTO - PINTURA  - GERADOR</t>
  </si>
  <si>
    <t>32.2.7</t>
  </si>
  <si>
    <t>REVESTIMENTO - PINTURA  - HIDROM.</t>
  </si>
  <si>
    <t>REVESTIMENTO - PINTURA  - AREA TECNICA</t>
  </si>
  <si>
    <t>32.3.3</t>
  </si>
  <si>
    <t>32.3.4</t>
  </si>
  <si>
    <t>32.4.3</t>
  </si>
  <si>
    <t>32.5.3</t>
  </si>
  <si>
    <t>32.6.2</t>
  </si>
  <si>
    <t>32.6.3</t>
  </si>
  <si>
    <t>32.7.</t>
  </si>
  <si>
    <t>32.7.1</t>
  </si>
  <si>
    <t>32.7.2</t>
  </si>
  <si>
    <t>32.7.3</t>
  </si>
  <si>
    <t>32.8.</t>
  </si>
  <si>
    <t>32.8.1</t>
  </si>
  <si>
    <t>32.8.2</t>
  </si>
  <si>
    <t>32.8.3</t>
  </si>
  <si>
    <t>32.9.</t>
  </si>
  <si>
    <t>32.9.1</t>
  </si>
  <si>
    <t>32.9.2</t>
  </si>
  <si>
    <t>32.9.3</t>
  </si>
  <si>
    <t>32.10.</t>
  </si>
  <si>
    <t>32.10.1</t>
  </si>
  <si>
    <t>32.10.2</t>
  </si>
  <si>
    <t>32.10.3</t>
  </si>
  <si>
    <t>32.11.</t>
  </si>
  <si>
    <t>32.11.1</t>
  </si>
  <si>
    <t>32.11.2</t>
  </si>
  <si>
    <t>32.11.3</t>
  </si>
  <si>
    <t>32.12.</t>
  </si>
  <si>
    <t>32.12.1</t>
  </si>
  <si>
    <t>32.12.2</t>
  </si>
  <si>
    <t>32.12.3</t>
  </si>
  <si>
    <t>32.13.</t>
  </si>
  <si>
    <t>32.13.1</t>
  </si>
  <si>
    <t>32.13.2</t>
  </si>
  <si>
    <t>32.13.3</t>
  </si>
  <si>
    <t>32.14.</t>
  </si>
  <si>
    <t>32.14.1</t>
  </si>
  <si>
    <t>32.14.2</t>
  </si>
  <si>
    <t>32.14.3</t>
  </si>
  <si>
    <t>32.15.</t>
  </si>
  <si>
    <t>32.15.1</t>
  </si>
  <si>
    <t>32.15.2</t>
  </si>
  <si>
    <t>32.15.3</t>
  </si>
  <si>
    <t>32.16.</t>
  </si>
  <si>
    <t>32.16.1</t>
  </si>
  <si>
    <t>32.16.2</t>
  </si>
  <si>
    <t>32.16.3</t>
  </si>
  <si>
    <t>32.17.</t>
  </si>
  <si>
    <t>32.17.1</t>
  </si>
  <si>
    <t>32.17.2</t>
  </si>
  <si>
    <t>32.17.3</t>
  </si>
  <si>
    <t>32.18.</t>
  </si>
  <si>
    <t>32.18.1</t>
  </si>
  <si>
    <t>32.18.2</t>
  </si>
  <si>
    <t>32.18.3</t>
  </si>
  <si>
    <t>32.19.</t>
  </si>
  <si>
    <t>32.19.1</t>
  </si>
  <si>
    <t>32.19.2</t>
  </si>
  <si>
    <t>32.19.3</t>
  </si>
  <si>
    <t>32.20.</t>
  </si>
  <si>
    <t>32.20.1</t>
  </si>
  <si>
    <t>32.20.2</t>
  </si>
  <si>
    <t>32.20.3</t>
  </si>
  <si>
    <t>32.21.</t>
  </si>
  <si>
    <t>32.21.1</t>
  </si>
  <si>
    <t>REVESTIMENTO - PINTURA  - BARRILETE</t>
  </si>
  <si>
    <t>32.21.2</t>
  </si>
  <si>
    <t>REVESTIMENTO - PINTURA  - CASA DE BOMBAS</t>
  </si>
  <si>
    <t>32.21.3</t>
  </si>
  <si>
    <t>32.22.</t>
  </si>
  <si>
    <t>32.22.1</t>
  </si>
  <si>
    <t>REVESTIMENTO - PINTURA  - ÁREA TÉCNICA (CAIXA D'ÁGUA)</t>
  </si>
  <si>
    <t>REVESTIMENTO INTERNO, PAREDE - PINTURA, CAIAÇÃO, ELEV.</t>
  </si>
  <si>
    <t>33.1.2</t>
  </si>
  <si>
    <t>REVESTIMENTO INTERNO, PAREDE - TEXTURA ROLADA, RESERVATÓRIO ESCOAMENTO</t>
  </si>
  <si>
    <t>33.1.3</t>
  </si>
  <si>
    <t>REVESTIMENTO INTERNO, PAREDE - TEXTURA ROLADA, RESERVATÓRIO INFERIOR</t>
  </si>
  <si>
    <t>33.1.4</t>
  </si>
  <si>
    <t>REVESTIMENTO INTERNO, PAREDE - TEXTURA ROLADA, RESERVATÓRIO REAPROV. PLUVIAL</t>
  </si>
  <si>
    <t>33.1.5</t>
  </si>
  <si>
    <t>REVESTIMENTO INTERNO, PAREDE - MASSA,</t>
  </si>
  <si>
    <t>REVESTIMENTO INTERNO, PAREDE - PINTURA,</t>
  </si>
  <si>
    <t>33.2.</t>
  </si>
  <si>
    <t>33.2.1</t>
  </si>
  <si>
    <t>33.2.2</t>
  </si>
  <si>
    <t>33.2.3</t>
  </si>
  <si>
    <t>33.2.4</t>
  </si>
  <si>
    <t>REVESTIMENTO INTERNO, PAREDE - TEXTURA,</t>
  </si>
  <si>
    <t>REVESTIMENTO INTERNO, PAREDE - TEXTURA PIGMENTADA, TERRACO (TERREO)</t>
  </si>
  <si>
    <t>33.3.</t>
  </si>
  <si>
    <t>33.3.1</t>
  </si>
  <si>
    <t>REVESTIMENTO INTERNO, PAREDE - TEXTURA PIGMENTADA, AREA DESCOBERTA</t>
  </si>
  <si>
    <t>33.3.2</t>
  </si>
  <si>
    <t>33.3.3</t>
  </si>
  <si>
    <t>33.4.</t>
  </si>
  <si>
    <t>33.4.1</t>
  </si>
  <si>
    <t>33.4.2</t>
  </si>
  <si>
    <t>33.5.</t>
  </si>
  <si>
    <t>33.5.1</t>
  </si>
  <si>
    <t>33.5.2</t>
  </si>
  <si>
    <t>33.6.</t>
  </si>
  <si>
    <t>33.6.1</t>
  </si>
  <si>
    <t>33.6.2</t>
  </si>
  <si>
    <t>33.7.</t>
  </si>
  <si>
    <t>33.7.1</t>
  </si>
  <si>
    <t>33.7.2</t>
  </si>
  <si>
    <t>33.8.</t>
  </si>
  <si>
    <t>33.8.1</t>
  </si>
  <si>
    <t>33.8.2</t>
  </si>
  <si>
    <t>33.9.</t>
  </si>
  <si>
    <t>33.9.1</t>
  </si>
  <si>
    <t>33.9.2</t>
  </si>
  <si>
    <t>33.10.</t>
  </si>
  <si>
    <t>33.10.1</t>
  </si>
  <si>
    <t>33.10.2</t>
  </si>
  <si>
    <t>33.11.</t>
  </si>
  <si>
    <t>33.11.1</t>
  </si>
  <si>
    <t>33.11.2</t>
  </si>
  <si>
    <t>33.12.</t>
  </si>
  <si>
    <t>33.12.1</t>
  </si>
  <si>
    <t>33.12.2</t>
  </si>
  <si>
    <t>33.13.</t>
  </si>
  <si>
    <t>33.13.1</t>
  </si>
  <si>
    <t>33.13.2</t>
  </si>
  <si>
    <t>33.14.</t>
  </si>
  <si>
    <t>33.14.1</t>
  </si>
  <si>
    <t>33.14.2</t>
  </si>
  <si>
    <t>33.15.</t>
  </si>
  <si>
    <t>33.15.1</t>
  </si>
  <si>
    <t>33.15.2</t>
  </si>
  <si>
    <t>33.16.</t>
  </si>
  <si>
    <t>33.16.1</t>
  </si>
  <si>
    <t>33.16.2</t>
  </si>
  <si>
    <t>33.17.</t>
  </si>
  <si>
    <t>33.17.1</t>
  </si>
  <si>
    <t>33.17.2</t>
  </si>
  <si>
    <t>33.18.</t>
  </si>
  <si>
    <t>33.18.1</t>
  </si>
  <si>
    <t>33.18.2</t>
  </si>
  <si>
    <t>33.19.</t>
  </si>
  <si>
    <t>33.19.1</t>
  </si>
  <si>
    <t>33.19.2</t>
  </si>
  <si>
    <t>33.20.</t>
  </si>
  <si>
    <t>33.20.1</t>
  </si>
  <si>
    <t>33.20.2</t>
  </si>
  <si>
    <t>33.21.</t>
  </si>
  <si>
    <t>33.21.1</t>
  </si>
  <si>
    <t>33.22.</t>
  </si>
  <si>
    <t>33.22.1</t>
  </si>
  <si>
    <t>CAIAÇÃO</t>
  </si>
  <si>
    <t>Pintura em caiação, em parede, 1 demão</t>
  </si>
  <si>
    <t>Cal hidratada CH-III (saco 20 kg)</t>
  </si>
  <si>
    <t>Pigmento mineral (óxido de ferro / pó xadrez)</t>
  </si>
  <si>
    <t>Cola PVA (adesivo)</t>
  </si>
  <si>
    <t>Nos elevadores</t>
  </si>
  <si>
    <t>Massa corrida em Paredes Internas</t>
  </si>
  <si>
    <t>Textura acrílica pigmentada aplicação em paredes internas, 1 demão</t>
  </si>
  <si>
    <t>Textura acrílica pigmentada pronta</t>
  </si>
  <si>
    <t>Textura acrílica aplicação rolada em paredes internas, 1 demão</t>
  </si>
  <si>
    <t>GUARDA CORPO METÁLICO, 100 cm</t>
  </si>
  <si>
    <t>GUARDA CORPO METÁLICO, 110 cm</t>
  </si>
  <si>
    <t>31.7.3</t>
  </si>
  <si>
    <t>31.7.4</t>
  </si>
  <si>
    <t>31.9.3</t>
  </si>
  <si>
    <t>31.9.4</t>
  </si>
  <si>
    <t>31.10.3</t>
  </si>
  <si>
    <t>31.11.3</t>
  </si>
  <si>
    <t>31.11.4</t>
  </si>
  <si>
    <t>31.12.3</t>
  </si>
  <si>
    <t>31.13.3</t>
  </si>
  <si>
    <t>31.13.4</t>
  </si>
  <si>
    <t>31.14.3</t>
  </si>
  <si>
    <t>31.15.3</t>
  </si>
  <si>
    <t>31.16.3</t>
  </si>
  <si>
    <t>31.16.4</t>
  </si>
  <si>
    <t>31.17.3</t>
  </si>
  <si>
    <t>31.18.3</t>
  </si>
  <si>
    <t>31.18.4</t>
  </si>
  <si>
    <t>31.19.3</t>
  </si>
  <si>
    <t>31.20.3</t>
  </si>
  <si>
    <t>31.20.4</t>
  </si>
  <si>
    <t>Guarda Corpo metálico (gradil) - fornecimento e instalação</t>
  </si>
  <si>
    <t>TEXTURA ROLADA EM TETO   - AC</t>
  </si>
  <si>
    <t>34.1.2</t>
  </si>
  <si>
    <t>MASSA EM TETO  - APA FUNC.</t>
  </si>
  <si>
    <t>34.1.3</t>
  </si>
  <si>
    <t>PINTURA EM TETO  - APA FUNC.</t>
  </si>
  <si>
    <t>34.1.4</t>
  </si>
  <si>
    <t>PINTURA EM TETO  - BICICLETARIO</t>
  </si>
  <si>
    <t>34.1.5</t>
  </si>
  <si>
    <t>MASSA EM TETO  - CPD</t>
  </si>
  <si>
    <t>34.1.6</t>
  </si>
  <si>
    <t>PINTURA EM TETO  - CPD</t>
  </si>
  <si>
    <t>34.1.7</t>
  </si>
  <si>
    <t>MASSA EM TETO  - DEPOSITO LIXO</t>
  </si>
  <si>
    <t>34.1.8</t>
  </si>
  <si>
    <t>PINTURA EM TETO  - DEPOSITO LIXO</t>
  </si>
  <si>
    <t>34.1.9</t>
  </si>
  <si>
    <t>MASSA EM TETO  - ESCADA</t>
  </si>
  <si>
    <t>34.1.10</t>
  </si>
  <si>
    <t>PINTURA EM TETO  - ESCADA</t>
  </si>
  <si>
    <t>34.1.11</t>
  </si>
  <si>
    <t>MASSA EM TETO  - HALL DE ENTRADA (TERREO)</t>
  </si>
  <si>
    <t>34.1.12</t>
  </si>
  <si>
    <t>PINTURA EM TETO  - HALL DE ENTRADA (TERREO)</t>
  </si>
  <si>
    <t>34.1.13</t>
  </si>
  <si>
    <t>MASSA EM TETO  - MEDIDORES</t>
  </si>
  <si>
    <t>34.1.14</t>
  </si>
  <si>
    <t>PINTURA EM TETO  - MEDIDORES</t>
  </si>
  <si>
    <t>34.1.15</t>
  </si>
  <si>
    <t>TEXTURA ROLADA EM TETO   - RESERVATÓRIO ESCOAMENTO</t>
  </si>
  <si>
    <t>34.1.16</t>
  </si>
  <si>
    <t>TEXTURA ROLADA EM TETO   - RESERVATÓRIO INFERIOR</t>
  </si>
  <si>
    <t>34.1.17</t>
  </si>
  <si>
    <t>TEXTURA ROLADA EM TETO   - RESERVATÓRIO REAPROV. PLUVIAL</t>
  </si>
  <si>
    <t>34.1.18</t>
  </si>
  <si>
    <t>MASSA EM TETO  - ROUPARIA</t>
  </si>
  <si>
    <t>34.1.19</t>
  </si>
  <si>
    <t>PINTURA EM TETO  - ROUPARIA</t>
  </si>
  <si>
    <t>34.1.20</t>
  </si>
  <si>
    <t>TEXTURA ROLADA EM TETO   - SALA PRESS.</t>
  </si>
  <si>
    <t>34.1.21</t>
  </si>
  <si>
    <t>MASSA EM TETO  - VEST. FUNC. TERREO</t>
  </si>
  <si>
    <t>34.1.22</t>
  </si>
  <si>
    <t>PINTURA EM TETO  - VEST. FUNC. TERREO</t>
  </si>
  <si>
    <t>MASSA EM TETO  - BAR</t>
  </si>
  <si>
    <t>34.2.2</t>
  </si>
  <si>
    <t>PINTURA EM TETO  - BAR</t>
  </si>
  <si>
    <t>34.2.3</t>
  </si>
  <si>
    <t>MASSA EM TETO  - CAIXAO PERDIDO (TERREO)</t>
  </si>
  <si>
    <t>34.2.4</t>
  </si>
  <si>
    <t>PINTURA EM TETO  - CAIXAO PERDIDO (TERREO)</t>
  </si>
  <si>
    <t>34.2.5</t>
  </si>
  <si>
    <t>MASSA EM TETO  - COPA</t>
  </si>
  <si>
    <t>34.2.6</t>
  </si>
  <si>
    <t>PINTURA EM TETO  - COPA</t>
  </si>
  <si>
    <t>34.2.7</t>
  </si>
  <si>
    <t>34.2.8</t>
  </si>
  <si>
    <t>34.2.9</t>
  </si>
  <si>
    <t>MASSA EM TETO  - GERADOR</t>
  </si>
  <si>
    <t>34.2.10</t>
  </si>
  <si>
    <t>PINTURA EM TETO  - GERADOR</t>
  </si>
  <si>
    <t>34.2.11</t>
  </si>
  <si>
    <t>34.2.12</t>
  </si>
  <si>
    <t>34.2.13</t>
  </si>
  <si>
    <t>MASSA EM TETO  - HALL SERVICO</t>
  </si>
  <si>
    <t>34.2.14</t>
  </si>
  <si>
    <t>PINTURA EM TETO  - HALL SERVICO</t>
  </si>
  <si>
    <t>34.2.15</t>
  </si>
  <si>
    <t>MASSA EM TETO  - LAV. COLETIVA</t>
  </si>
  <si>
    <t>34.2.16</t>
  </si>
  <si>
    <t>PINTURA EM TETO  - LAV. COLETIVA</t>
  </si>
  <si>
    <t>34.2.17</t>
  </si>
  <si>
    <t>MASSA EM TETO  - LOUNGE</t>
  </si>
  <si>
    <t>34.2.18</t>
  </si>
  <si>
    <t>PINTURA EM TETO  - LOUNGE</t>
  </si>
  <si>
    <t>34.2.19</t>
  </si>
  <si>
    <t>MASSA EM TETO  - SALA REUNIAO</t>
  </si>
  <si>
    <t>34.2.20</t>
  </si>
  <si>
    <t>PINTURA EM TETO  - SALA REUNIAO</t>
  </si>
  <si>
    <t>34.2.21</t>
  </si>
  <si>
    <t>MASSA EM TETO  - TERRACO</t>
  </si>
  <si>
    <t>34.2.22</t>
  </si>
  <si>
    <t>PINTURA EM TETO  - TERRACO</t>
  </si>
  <si>
    <t>34.2.23</t>
  </si>
  <si>
    <t>MASSA EM TETO  - TERRACO (TERREO)</t>
  </si>
  <si>
    <t>34.2.24</t>
  </si>
  <si>
    <t>PINTURA EM TETO  - TERRACO (TERREO)</t>
  </si>
  <si>
    <t>34.2.25</t>
  </si>
  <si>
    <t>MASSA EM TETO  - VENDING MACHINE</t>
  </si>
  <si>
    <t>34.2.26</t>
  </si>
  <si>
    <t>PINTURA EM TETO  - VENDING MACHINE</t>
  </si>
  <si>
    <t>34.2.27</t>
  </si>
  <si>
    <t>MASSA EM TETO  - WC PNE</t>
  </si>
  <si>
    <t>34.2.28</t>
  </si>
  <si>
    <t>PINTURA EM TETO  - WC PNE</t>
  </si>
  <si>
    <t>34.2.29</t>
  </si>
  <si>
    <t>MASSA EM TETO  - WC PNE (HALL TERREO)</t>
  </si>
  <si>
    <t>34.2.30</t>
  </si>
  <si>
    <t>PINTURA EM TETO  - WC PNE (HALL TERREO)</t>
  </si>
  <si>
    <t>MASSA EM TETO  - APA</t>
  </si>
  <si>
    <t>34.3.2</t>
  </si>
  <si>
    <t>PINTURA EM TETO  - APA</t>
  </si>
  <si>
    <t>34.3.3</t>
  </si>
  <si>
    <t>MASSA EM TETO  - AREA TECNICA (1º PAVTO)</t>
  </si>
  <si>
    <t>34.3.4</t>
  </si>
  <si>
    <t>PINTURA EM TETO  - AREA TECNICA (1º PAVTO)</t>
  </si>
  <si>
    <t>34.3.5</t>
  </si>
  <si>
    <t>MASSA EM TETO  - BANHO (DORM.)</t>
  </si>
  <si>
    <t>34.3.6</t>
  </si>
  <si>
    <t>PINTURA EM TETO  - BANHO (DORM.)</t>
  </si>
  <si>
    <t>34.3.7</t>
  </si>
  <si>
    <t>MASSA EM TETO  - DORM.</t>
  </si>
  <si>
    <t>34.3.8</t>
  </si>
  <si>
    <t>PINTURA EM TETO  - DORM.</t>
  </si>
  <si>
    <t>34.3.9</t>
  </si>
  <si>
    <t>34.3.10</t>
  </si>
  <si>
    <t>34.3.11</t>
  </si>
  <si>
    <t>MASSA EM TETO  - ESTAR / APA</t>
  </si>
  <si>
    <t>34.3.12</t>
  </si>
  <si>
    <t>PINTURA EM TETO  - ESTAR / APA</t>
  </si>
  <si>
    <t>34.3.13</t>
  </si>
  <si>
    <t>MASSA EM TETO  - HALL DO ELEVADOR</t>
  </si>
  <si>
    <t>34.3.14</t>
  </si>
  <si>
    <t>PINTURA EM TETO  - HALL DO ELEVADOR</t>
  </si>
  <si>
    <t>34.3.15</t>
  </si>
  <si>
    <t>MASSA EM TETO  - HALL ENTRE APARTAMENTOS</t>
  </si>
  <si>
    <t>34.3.16</t>
  </si>
  <si>
    <t>PINTURA EM TETO  - HALL ENTRE APARTAMENTOS</t>
  </si>
  <si>
    <t>34.3.17</t>
  </si>
  <si>
    <t>MASSA EM TETO  - LOJA (TERREO)</t>
  </si>
  <si>
    <t>34.3.18</t>
  </si>
  <si>
    <t>PINTURA EM TETO  - LOJA (TERREO)</t>
  </si>
  <si>
    <t>34.3.19</t>
  </si>
  <si>
    <t>34.3.20</t>
  </si>
  <si>
    <t>34.3.21</t>
  </si>
  <si>
    <t>MASSA EM TETO  - TERRACO DESCOBERTO</t>
  </si>
  <si>
    <t>34.3.22</t>
  </si>
  <si>
    <t>PINTURA EM TETO  - TERRACO DESCOBERTO</t>
  </si>
  <si>
    <t>34.3.23</t>
  </si>
  <si>
    <t>MASSA EM TETO  - WC PNE (MEZANINO)</t>
  </si>
  <si>
    <t>34.3.24</t>
  </si>
  <si>
    <t>PINTURA EM TETO  - WC PNE (MEZANINO)</t>
  </si>
  <si>
    <t>34.4.2</t>
  </si>
  <si>
    <t>34.4.3</t>
  </si>
  <si>
    <t>MASSA EM TETO  - BANHO (DORM. / APA)</t>
  </si>
  <si>
    <t>34.4.4</t>
  </si>
  <si>
    <t>PINTURA EM TETO  - BANHO (DORM. / APA)</t>
  </si>
  <si>
    <t>34.4.5</t>
  </si>
  <si>
    <t>34.4.6</t>
  </si>
  <si>
    <t>34.4.7</t>
  </si>
  <si>
    <t>MASSA EM TETO  - DORM. / APA</t>
  </si>
  <si>
    <t>34.4.8</t>
  </si>
  <si>
    <t>PINTURA EM TETO  - DORM. / APA</t>
  </si>
  <si>
    <t>34.4.9</t>
  </si>
  <si>
    <t>34.4.10</t>
  </si>
  <si>
    <t>34.4.11</t>
  </si>
  <si>
    <t>34.4.12</t>
  </si>
  <si>
    <t>34.4.13</t>
  </si>
  <si>
    <t>34.4.14</t>
  </si>
  <si>
    <t>34.4.15</t>
  </si>
  <si>
    <t>34.4.16</t>
  </si>
  <si>
    <t>34.5.2</t>
  </si>
  <si>
    <t>34.5.3</t>
  </si>
  <si>
    <t>34.5.4</t>
  </si>
  <si>
    <t>34.5.5</t>
  </si>
  <si>
    <t>34.5.6</t>
  </si>
  <si>
    <t>34.5.7</t>
  </si>
  <si>
    <t>34.5.8</t>
  </si>
  <si>
    <t>34.5.9</t>
  </si>
  <si>
    <t>34.5.10</t>
  </si>
  <si>
    <t>34.5.11</t>
  </si>
  <si>
    <t>MASSA EM TETO  - LAV. (ESTAR / APA)</t>
  </si>
  <si>
    <t>34.5.12</t>
  </si>
  <si>
    <t>PINTURA EM TETO  - LAV. (ESTAR / APA)</t>
  </si>
  <si>
    <t>34.5.13</t>
  </si>
  <si>
    <t>34.5.14</t>
  </si>
  <si>
    <t>34.6.</t>
  </si>
  <si>
    <t>34.6.1</t>
  </si>
  <si>
    <t>34.6.2</t>
  </si>
  <si>
    <t>34.6.3</t>
  </si>
  <si>
    <t>34.6.4</t>
  </si>
  <si>
    <t>34.6.5</t>
  </si>
  <si>
    <t>34.6.6</t>
  </si>
  <si>
    <t>34.6.7</t>
  </si>
  <si>
    <t>34.6.8</t>
  </si>
  <si>
    <t>34.6.9</t>
  </si>
  <si>
    <t>34.6.10</t>
  </si>
  <si>
    <t>34.6.11</t>
  </si>
  <si>
    <t>34.6.12</t>
  </si>
  <si>
    <t>34.6.13</t>
  </si>
  <si>
    <t>34.6.14</t>
  </si>
  <si>
    <t>34.7.</t>
  </si>
  <si>
    <t>34.7.1</t>
  </si>
  <si>
    <t>34.7.2</t>
  </si>
  <si>
    <t>34.7.3</t>
  </si>
  <si>
    <t>34.7.4</t>
  </si>
  <si>
    <t>34.7.5</t>
  </si>
  <si>
    <t>34.7.6</t>
  </si>
  <si>
    <t>34.7.7</t>
  </si>
  <si>
    <t>34.7.8</t>
  </si>
  <si>
    <t>34.7.9</t>
  </si>
  <si>
    <t>34.7.10</t>
  </si>
  <si>
    <t>34.7.11</t>
  </si>
  <si>
    <t>34.7.12</t>
  </si>
  <si>
    <t>34.7.13</t>
  </si>
  <si>
    <t>34.7.14</t>
  </si>
  <si>
    <t>34.8.</t>
  </si>
  <si>
    <t>34.8.1</t>
  </si>
  <si>
    <t>34.8.2</t>
  </si>
  <si>
    <t>34.8.3</t>
  </si>
  <si>
    <t>34.8.4</t>
  </si>
  <si>
    <t>34.8.5</t>
  </si>
  <si>
    <t>34.8.6</t>
  </si>
  <si>
    <t>34.8.7</t>
  </si>
  <si>
    <t>34.8.8</t>
  </si>
  <si>
    <t>34.8.9</t>
  </si>
  <si>
    <t>34.8.10</t>
  </si>
  <si>
    <t>34.8.11</t>
  </si>
  <si>
    <t>34.8.12</t>
  </si>
  <si>
    <t>34.8.13</t>
  </si>
  <si>
    <t>34.8.14</t>
  </si>
  <si>
    <t>34.9.</t>
  </si>
  <si>
    <t>34.9.1</t>
  </si>
  <si>
    <t>34.9.2</t>
  </si>
  <si>
    <t>34.9.3</t>
  </si>
  <si>
    <t>34.9.4</t>
  </si>
  <si>
    <t>34.9.5</t>
  </si>
  <si>
    <t>34.9.6</t>
  </si>
  <si>
    <t>34.9.7</t>
  </si>
  <si>
    <t>34.9.8</t>
  </si>
  <si>
    <t>34.9.9</t>
  </si>
  <si>
    <t>34.9.10</t>
  </si>
  <si>
    <t>34.9.11</t>
  </si>
  <si>
    <t>34.9.12</t>
  </si>
  <si>
    <t>34.9.13</t>
  </si>
  <si>
    <t>34.9.14</t>
  </si>
  <si>
    <t>34.10.</t>
  </si>
  <si>
    <t>34.10.1</t>
  </si>
  <si>
    <t>34.10.2</t>
  </si>
  <si>
    <t>34.10.3</t>
  </si>
  <si>
    <t>34.10.4</t>
  </si>
  <si>
    <t>34.10.5</t>
  </si>
  <si>
    <t>34.10.6</t>
  </si>
  <si>
    <t>34.10.7</t>
  </si>
  <si>
    <t>34.10.8</t>
  </si>
  <si>
    <t>34.10.9</t>
  </si>
  <si>
    <t>34.10.10</t>
  </si>
  <si>
    <t>34.10.11</t>
  </si>
  <si>
    <t>34.10.12</t>
  </si>
  <si>
    <t>34.10.13</t>
  </si>
  <si>
    <t>34.10.14</t>
  </si>
  <si>
    <t>34.11.</t>
  </si>
  <si>
    <t>34.11.1</t>
  </si>
  <si>
    <t>34.11.2</t>
  </si>
  <si>
    <t>34.11.3</t>
  </si>
  <si>
    <t>34.11.4</t>
  </si>
  <si>
    <t>34.11.5</t>
  </si>
  <si>
    <t>34.11.6</t>
  </si>
  <si>
    <t>34.11.7</t>
  </si>
  <si>
    <t>34.11.8</t>
  </si>
  <si>
    <t>34.11.9</t>
  </si>
  <si>
    <t>34.11.10</t>
  </si>
  <si>
    <t>34.11.11</t>
  </si>
  <si>
    <t>34.11.12</t>
  </si>
  <si>
    <t>34.11.13</t>
  </si>
  <si>
    <t>34.11.14</t>
  </si>
  <si>
    <t>34.12.</t>
  </si>
  <si>
    <t>34.12.1</t>
  </si>
  <si>
    <t>34.12.2</t>
  </si>
  <si>
    <t>34.12.3</t>
  </si>
  <si>
    <t>34.12.4</t>
  </si>
  <si>
    <t>34.12.5</t>
  </si>
  <si>
    <t>34.12.6</t>
  </si>
  <si>
    <t>34.12.7</t>
  </si>
  <si>
    <t>34.12.8</t>
  </si>
  <si>
    <t>34.12.9</t>
  </si>
  <si>
    <t>34.12.10</t>
  </si>
  <si>
    <t>34.12.11</t>
  </si>
  <si>
    <t>34.12.12</t>
  </si>
  <si>
    <t>34.12.13</t>
  </si>
  <si>
    <t>34.12.14</t>
  </si>
  <si>
    <t>34.13.</t>
  </si>
  <si>
    <t>34.13.1</t>
  </si>
  <si>
    <t>34.13.2</t>
  </si>
  <si>
    <t>34.13.3</t>
  </si>
  <si>
    <t>34.13.4</t>
  </si>
  <si>
    <t>34.13.5</t>
  </si>
  <si>
    <t>34.13.6</t>
  </si>
  <si>
    <t>34.13.7</t>
  </si>
  <si>
    <t>34.13.8</t>
  </si>
  <si>
    <t>34.13.9</t>
  </si>
  <si>
    <t>34.13.10</t>
  </si>
  <si>
    <t>34.13.11</t>
  </si>
  <si>
    <t>34.13.12</t>
  </si>
  <si>
    <t>34.13.13</t>
  </si>
  <si>
    <t>34.13.14</t>
  </si>
  <si>
    <t>34.14.</t>
  </si>
  <si>
    <t>34.14.1</t>
  </si>
  <si>
    <t>34.14.2</t>
  </si>
  <si>
    <t>34.14.3</t>
  </si>
  <si>
    <t>34.14.4</t>
  </si>
  <si>
    <t>34.14.5</t>
  </si>
  <si>
    <t>34.14.6</t>
  </si>
  <si>
    <t>34.14.7</t>
  </si>
  <si>
    <t>34.14.8</t>
  </si>
  <si>
    <t>34.14.9</t>
  </si>
  <si>
    <t>34.14.10</t>
  </si>
  <si>
    <t>34.14.11</t>
  </si>
  <si>
    <t>34.14.12</t>
  </si>
  <si>
    <t>34.15.</t>
  </si>
  <si>
    <t>34.15.1</t>
  </si>
  <si>
    <t>MASSA EM TETO  - COWORKING</t>
  </si>
  <si>
    <t>34.15.2</t>
  </si>
  <si>
    <t>PINTURA EM TETO  - COWORKING</t>
  </si>
  <si>
    <t>34.15.3</t>
  </si>
  <si>
    <t>34.15.4</t>
  </si>
  <si>
    <t>34.15.5</t>
  </si>
  <si>
    <t>MASSA EM TETO  - ESPACO GOURMET</t>
  </si>
  <si>
    <t>34.15.6</t>
  </si>
  <si>
    <t>PINTURA EM TETO  - ESPACO GOURMET</t>
  </si>
  <si>
    <t>34.15.7</t>
  </si>
  <si>
    <t>MASSA EM TETO  - FITNESS</t>
  </si>
  <si>
    <t>34.15.8</t>
  </si>
  <si>
    <t>PINTURA EM TETO  - FITNESS</t>
  </si>
  <si>
    <t>34.15.9</t>
  </si>
  <si>
    <t>34.15.10</t>
  </si>
  <si>
    <t>34.15.11</t>
  </si>
  <si>
    <t>34.15.12</t>
  </si>
  <si>
    <t>34.15.13</t>
  </si>
  <si>
    <t>MASSA EM TETO  - WC (HALL)</t>
  </si>
  <si>
    <t>34.15.14</t>
  </si>
  <si>
    <t>PINTURA EM TETO  - WC (HALL)</t>
  </si>
  <si>
    <t>34.16.</t>
  </si>
  <si>
    <t>34.16.1</t>
  </si>
  <si>
    <t>34.16.2</t>
  </si>
  <si>
    <t>34.16.3</t>
  </si>
  <si>
    <t>34.16.4</t>
  </si>
  <si>
    <t>34.16.5</t>
  </si>
  <si>
    <t>34.16.6</t>
  </si>
  <si>
    <t>34.16.7</t>
  </si>
  <si>
    <t>34.16.8</t>
  </si>
  <si>
    <t>34.16.9</t>
  </si>
  <si>
    <t>34.16.10</t>
  </si>
  <si>
    <t>34.16.11</t>
  </si>
  <si>
    <t>34.16.12</t>
  </si>
  <si>
    <t>34.16.13</t>
  </si>
  <si>
    <t>34.16.14</t>
  </si>
  <si>
    <t>34.16.15</t>
  </si>
  <si>
    <t>34.16.16</t>
  </si>
  <si>
    <t>34.17.</t>
  </si>
  <si>
    <t>34.17.1</t>
  </si>
  <si>
    <t>34.17.2</t>
  </si>
  <si>
    <t>34.17.3</t>
  </si>
  <si>
    <t>34.17.4</t>
  </si>
  <si>
    <t>34.17.5</t>
  </si>
  <si>
    <t>34.17.6</t>
  </si>
  <si>
    <t>34.17.7</t>
  </si>
  <si>
    <t>34.17.8</t>
  </si>
  <si>
    <t>34.17.9</t>
  </si>
  <si>
    <t>34.17.10</t>
  </si>
  <si>
    <t>34.17.11</t>
  </si>
  <si>
    <t>34.17.12</t>
  </si>
  <si>
    <t>34.17.13</t>
  </si>
  <si>
    <t>34.17.14</t>
  </si>
  <si>
    <t>34.18.</t>
  </si>
  <si>
    <t>34.18.1</t>
  </si>
  <si>
    <t>34.18.2</t>
  </si>
  <si>
    <t>34.18.3</t>
  </si>
  <si>
    <t>34.18.4</t>
  </si>
  <si>
    <t>34.18.5</t>
  </si>
  <si>
    <t>34.18.6</t>
  </si>
  <si>
    <t>34.18.7</t>
  </si>
  <si>
    <t>34.18.8</t>
  </si>
  <si>
    <t>34.18.9</t>
  </si>
  <si>
    <t>34.18.10</t>
  </si>
  <si>
    <t>34.18.11</t>
  </si>
  <si>
    <t>34.18.12</t>
  </si>
  <si>
    <t>34.18.13</t>
  </si>
  <si>
    <t>34.18.14</t>
  </si>
  <si>
    <t>34.18.15</t>
  </si>
  <si>
    <t>34.18.16</t>
  </si>
  <si>
    <t>34.19.</t>
  </si>
  <si>
    <t>34.19.1</t>
  </si>
  <si>
    <t>34.19.2</t>
  </si>
  <si>
    <t>34.19.3</t>
  </si>
  <si>
    <t>34.19.4</t>
  </si>
  <si>
    <t>34.19.5</t>
  </si>
  <si>
    <t>34.19.6</t>
  </si>
  <si>
    <t>34.19.7</t>
  </si>
  <si>
    <t>34.19.8</t>
  </si>
  <si>
    <t>34.19.9</t>
  </si>
  <si>
    <t>34.19.10</t>
  </si>
  <si>
    <t>34.19.11</t>
  </si>
  <si>
    <t>34.19.12</t>
  </si>
  <si>
    <t>34.19.13</t>
  </si>
  <si>
    <t>34.19.14</t>
  </si>
  <si>
    <t>34.20.</t>
  </si>
  <si>
    <t>34.20.1</t>
  </si>
  <si>
    <t>MASSA EM TETO  - ÁREA DE LAZER</t>
  </si>
  <si>
    <t>34.20.2</t>
  </si>
  <si>
    <t>PINTURA EM TETO  - ÁREA DE LAZER</t>
  </si>
  <si>
    <t>34.20.3</t>
  </si>
  <si>
    <t>34.20.4</t>
  </si>
  <si>
    <t>34.20.5</t>
  </si>
  <si>
    <t>34.20.6</t>
  </si>
  <si>
    <t>34.20.7</t>
  </si>
  <si>
    <t>MASSA EM TETO  - SPA</t>
  </si>
  <si>
    <t>34.20.8</t>
  </si>
  <si>
    <t>PINTURA EM TETO  - SPA</t>
  </si>
  <si>
    <t>34.20.9</t>
  </si>
  <si>
    <t>34.20.10</t>
  </si>
  <si>
    <t>34.21.</t>
  </si>
  <si>
    <t>34.21.1</t>
  </si>
  <si>
    <t>TEXTURA ROLADA EM TETO   - BARRILETE</t>
  </si>
  <si>
    <t>34.21.2</t>
  </si>
  <si>
    <t>TEXTURA ROLADA EM TETO   - CASA DE BOMBAS</t>
  </si>
  <si>
    <t>34.21.3</t>
  </si>
  <si>
    <t>34.21.4</t>
  </si>
  <si>
    <t>34.22.</t>
  </si>
  <si>
    <t>34.22.1</t>
  </si>
  <si>
    <t>TEXTURA ROLADA EM TETO   - ÁREA TÉCNICA (CAIXA D'ÁGUA)</t>
  </si>
  <si>
    <t>MASSA EM TETO</t>
  </si>
  <si>
    <t>TEXTURA ROLADA EM TETO</t>
  </si>
  <si>
    <t>PINTURA EM TETO</t>
  </si>
  <si>
    <t>Textura acrílica aplicação rolada em tetos, 1 demão</t>
  </si>
  <si>
    <t>Massa corrida em tetos</t>
  </si>
  <si>
    <t>Pintura Com Tinta Latex Acrilica em tetos, 3 Demaos (Somente tinta e fundo)</t>
  </si>
  <si>
    <t>Emboço Externo</t>
  </si>
  <si>
    <t>EMBOÇO ARGAMASSADO EXTERNO   -  FACHADA FRONTAL</t>
  </si>
  <si>
    <t>35.1.2</t>
  </si>
  <si>
    <t>EMBOÇO ARGAMASSADO PARA ESTRUTURA EXTERNO   -  FACHADA FRONTAL</t>
  </si>
  <si>
    <t>35.1.3</t>
  </si>
  <si>
    <t>EMBOÇO ARGAMASSADO EXTERNO   -  FACHADA LATERAL DIREITA</t>
  </si>
  <si>
    <t>35.1.4</t>
  </si>
  <si>
    <t>EMBOÇO ARGAMASSADO PARA ESTRUTURA EXTERNO   -  FACHADA LATERAL DIREITA</t>
  </si>
  <si>
    <t>35.1.5</t>
  </si>
  <si>
    <t>EMBOÇO ARGAMASSADO EXTERNO   -  FACHADA LATERAL ESQUERDA</t>
  </si>
  <si>
    <t>35.1.6</t>
  </si>
  <si>
    <t>EMBOÇO ARGAMASSADO PARA ESTRUTURA EXTERNO   -  FACHADA LATERAL ESQUERDA</t>
  </si>
  <si>
    <t>35.1.7</t>
  </si>
  <si>
    <t>EMBOÇO ARGAMASSADO EXTERNO   -  FACHADA POSTERIOR</t>
  </si>
  <si>
    <t>35.1.8</t>
  </si>
  <si>
    <t>EMBOÇO ARGAMASSADO PARA ESTRUTURA EXTERNO   -  FACHADA POSTERIOR</t>
  </si>
  <si>
    <t>35.2.2</t>
  </si>
  <si>
    <t>35.2.3</t>
  </si>
  <si>
    <t>35.2.4</t>
  </si>
  <si>
    <t>35.2.5</t>
  </si>
  <si>
    <t>35.2.6</t>
  </si>
  <si>
    <t>35.2.7</t>
  </si>
  <si>
    <t>35.2.8</t>
  </si>
  <si>
    <t>35.3.</t>
  </si>
  <si>
    <t>35.3.1</t>
  </si>
  <si>
    <t>35.3.2</t>
  </si>
  <si>
    <t>35.3.3</t>
  </si>
  <si>
    <t>35.3.4</t>
  </si>
  <si>
    <t>35.3.5</t>
  </si>
  <si>
    <t>35.3.6</t>
  </si>
  <si>
    <t>35.3.7</t>
  </si>
  <si>
    <t>35.3.8</t>
  </si>
  <si>
    <t>35.4.</t>
  </si>
  <si>
    <t>35.4.1</t>
  </si>
  <si>
    <t>35.4.2</t>
  </si>
  <si>
    <t>35.4.3</t>
  </si>
  <si>
    <t>35.4.4</t>
  </si>
  <si>
    <t>35.4.5</t>
  </si>
  <si>
    <t>35.4.6</t>
  </si>
  <si>
    <t>35.4.7</t>
  </si>
  <si>
    <t>35.4.8</t>
  </si>
  <si>
    <t>35.5.</t>
  </si>
  <si>
    <t>35.5.1</t>
  </si>
  <si>
    <t>35.5.2</t>
  </si>
  <si>
    <t>35.5.3</t>
  </si>
  <si>
    <t>35.5.4</t>
  </si>
  <si>
    <t>35.5.5</t>
  </si>
  <si>
    <t>35.5.6</t>
  </si>
  <si>
    <t>35.5.7</t>
  </si>
  <si>
    <t>35.5.8</t>
  </si>
  <si>
    <t>35.6.</t>
  </si>
  <si>
    <t>35.6.1</t>
  </si>
  <si>
    <t>35.6.2</t>
  </si>
  <si>
    <t>35.6.3</t>
  </si>
  <si>
    <t>35.6.4</t>
  </si>
  <si>
    <t>35.6.5</t>
  </si>
  <si>
    <t>35.6.6</t>
  </si>
  <si>
    <t>35.6.7</t>
  </si>
  <si>
    <t>35.6.8</t>
  </si>
  <si>
    <t>35.7.</t>
  </si>
  <si>
    <t>35.7.1</t>
  </si>
  <si>
    <t>35.7.2</t>
  </si>
  <si>
    <t>35.7.3</t>
  </si>
  <si>
    <t>35.7.4</t>
  </si>
  <si>
    <t>35.7.5</t>
  </si>
  <si>
    <t>35.7.6</t>
  </si>
  <si>
    <t>35.7.7</t>
  </si>
  <si>
    <t>35.7.8</t>
  </si>
  <si>
    <t>35.8.</t>
  </si>
  <si>
    <t>35.8.1</t>
  </si>
  <si>
    <t>35.8.2</t>
  </si>
  <si>
    <t>35.8.3</t>
  </si>
  <si>
    <t>35.8.4</t>
  </si>
  <si>
    <t>35.8.5</t>
  </si>
  <si>
    <t>35.8.6</t>
  </si>
  <si>
    <t>35.8.7</t>
  </si>
  <si>
    <t>35.8.8</t>
  </si>
  <si>
    <t>35.9.</t>
  </si>
  <si>
    <t>35.9.1</t>
  </si>
  <si>
    <t>35.9.2</t>
  </si>
  <si>
    <t>35.9.3</t>
  </si>
  <si>
    <t>35.9.4</t>
  </si>
  <si>
    <t>35.9.5</t>
  </si>
  <si>
    <t>35.9.6</t>
  </si>
  <si>
    <t>35.9.7</t>
  </si>
  <si>
    <t>35.9.8</t>
  </si>
  <si>
    <t>35.10.</t>
  </si>
  <si>
    <t>35.10.1</t>
  </si>
  <si>
    <t>35.10.2</t>
  </si>
  <si>
    <t>35.10.3</t>
  </si>
  <si>
    <t>35.10.4</t>
  </si>
  <si>
    <t>35.10.5</t>
  </si>
  <si>
    <t>35.10.6</t>
  </si>
  <si>
    <t>35.10.7</t>
  </si>
  <si>
    <t>35.10.8</t>
  </si>
  <si>
    <t>35.11.</t>
  </si>
  <si>
    <t>35.11.1</t>
  </si>
  <si>
    <t>35.11.2</t>
  </si>
  <si>
    <t>35.11.3</t>
  </si>
  <si>
    <t>35.11.4</t>
  </si>
  <si>
    <t>35.11.5</t>
  </si>
  <si>
    <t>35.11.6</t>
  </si>
  <si>
    <t>35.11.7</t>
  </si>
  <si>
    <t>35.11.8</t>
  </si>
  <si>
    <t>35.12.</t>
  </si>
  <si>
    <t>35.12.1</t>
  </si>
  <si>
    <t>35.12.2</t>
  </si>
  <si>
    <t>35.12.3</t>
  </si>
  <si>
    <t>35.12.4</t>
  </si>
  <si>
    <t>35.12.5</t>
  </si>
  <si>
    <t>35.12.6</t>
  </si>
  <si>
    <t>35.12.7</t>
  </si>
  <si>
    <t>35.12.8</t>
  </si>
  <si>
    <t>35.13.</t>
  </si>
  <si>
    <t>35.13.1</t>
  </si>
  <si>
    <t>35.13.2</t>
  </si>
  <si>
    <t>35.13.3</t>
  </si>
  <si>
    <t>35.13.4</t>
  </si>
  <si>
    <t>35.13.5</t>
  </si>
  <si>
    <t>35.13.6</t>
  </si>
  <si>
    <t>35.13.7</t>
  </si>
  <si>
    <t>35.13.8</t>
  </si>
  <si>
    <t>35.14.</t>
  </si>
  <si>
    <t>35.14.1</t>
  </si>
  <si>
    <t>35.14.2</t>
  </si>
  <si>
    <t>35.14.3</t>
  </si>
  <si>
    <t>35.14.4</t>
  </si>
  <si>
    <t>35.14.5</t>
  </si>
  <si>
    <t>35.14.6</t>
  </si>
  <si>
    <t>35.14.7</t>
  </si>
  <si>
    <t>35.14.8</t>
  </si>
  <si>
    <t>35.15.</t>
  </si>
  <si>
    <t>35.15.1</t>
  </si>
  <si>
    <t>35.15.2</t>
  </si>
  <si>
    <t>35.15.3</t>
  </si>
  <si>
    <t>35.15.4</t>
  </si>
  <si>
    <t>35.15.5</t>
  </si>
  <si>
    <t>35.15.6</t>
  </si>
  <si>
    <t>35.15.7</t>
  </si>
  <si>
    <t>35.15.8</t>
  </si>
  <si>
    <t>35.16.</t>
  </si>
  <si>
    <t>35.16.1</t>
  </si>
  <si>
    <t>35.16.2</t>
  </si>
  <si>
    <t>35.16.3</t>
  </si>
  <si>
    <t>35.16.4</t>
  </si>
  <si>
    <t>35.16.5</t>
  </si>
  <si>
    <t>35.16.6</t>
  </si>
  <si>
    <t>35.16.7</t>
  </si>
  <si>
    <t>35.16.8</t>
  </si>
  <si>
    <t>35.17.</t>
  </si>
  <si>
    <t>35.17.1</t>
  </si>
  <si>
    <t>35.17.2</t>
  </si>
  <si>
    <t>35.17.3</t>
  </si>
  <si>
    <t>35.17.4</t>
  </si>
  <si>
    <t>35.17.5</t>
  </si>
  <si>
    <t>35.17.6</t>
  </si>
  <si>
    <t>35.17.7</t>
  </si>
  <si>
    <t>35.17.8</t>
  </si>
  <si>
    <t>35.18.</t>
  </si>
  <si>
    <t>35.18.1</t>
  </si>
  <si>
    <t>35.18.2</t>
  </si>
  <si>
    <t>35.18.3</t>
  </si>
  <si>
    <t>35.18.4</t>
  </si>
  <si>
    <t>35.18.5</t>
  </si>
  <si>
    <t>35.18.6</t>
  </si>
  <si>
    <t>35.18.7</t>
  </si>
  <si>
    <t>35.18.8</t>
  </si>
  <si>
    <t>35.19.</t>
  </si>
  <si>
    <t>35.19.1</t>
  </si>
  <si>
    <t>35.19.2</t>
  </si>
  <si>
    <t>35.19.3</t>
  </si>
  <si>
    <t>35.19.4</t>
  </si>
  <si>
    <t>35.19.5</t>
  </si>
  <si>
    <t>35.19.6</t>
  </si>
  <si>
    <t>35.19.7</t>
  </si>
  <si>
    <t>35.19.8</t>
  </si>
  <si>
    <t>35.20.</t>
  </si>
  <si>
    <t>35.20.1</t>
  </si>
  <si>
    <t>35.20.2</t>
  </si>
  <si>
    <t>35.20.3</t>
  </si>
  <si>
    <t>35.20.4</t>
  </si>
  <si>
    <t>35.20.5</t>
  </si>
  <si>
    <t>35.20.6</t>
  </si>
  <si>
    <t>35.20.7</t>
  </si>
  <si>
    <t>35.20.8</t>
  </si>
  <si>
    <t>35.21.</t>
  </si>
  <si>
    <t>35.21.1</t>
  </si>
  <si>
    <t>35.21.2</t>
  </si>
  <si>
    <t>35.21.3</t>
  </si>
  <si>
    <t>35.21.4</t>
  </si>
  <si>
    <t>35.21.5</t>
  </si>
  <si>
    <t>35.21.6</t>
  </si>
  <si>
    <t>35.21.7</t>
  </si>
  <si>
    <t>35.21.8</t>
  </si>
  <si>
    <t>Massa unica para emboço externo em argamassa estabilizada, espessura de 2,5cm, com execução de taliscas</t>
  </si>
  <si>
    <t>CHAPISCO ARGAMASSADO EXTERNO   -  FACHADA FRONTAL</t>
  </si>
  <si>
    <t>CHAPISCO ARGAMASSADO PARA ESTRUTURA EXTERNO   -  FACHADA FRONTAL</t>
  </si>
  <si>
    <t>CHAPISCO ARGAMASSADO EXTERNO   -  FACHADA LATERAL DIREITA</t>
  </si>
  <si>
    <t>CHAPISCO ARGAMASSADO PARA ESTRUTURA EXTERNO   -  FACHADA LATERAL DIREITA</t>
  </si>
  <si>
    <t>CHAPISCO ARGAMASSADO EXTERNO   -  FACHADA LATERAL ESQUERDA</t>
  </si>
  <si>
    <t>CHAPISCO ARGAMASSADO PARA ESTRUTURA EXTERNO   -  FACHADA LATERAL ESQUERDA</t>
  </si>
  <si>
    <t>CHAPISCO ARGAMASSADO EXTERNO   -  FACHADA POSTERIOR</t>
  </si>
  <si>
    <t>CHAPISCO ARGAMASSADO PARA ESTRUTURA EXTERNO   -  FACHADA POSTERIOR</t>
  </si>
  <si>
    <t>Chapisco Externo</t>
  </si>
  <si>
    <t>36.1.1</t>
  </si>
  <si>
    <t>36.1.2</t>
  </si>
  <si>
    <t>36.1.3</t>
  </si>
  <si>
    <t>36.1.4</t>
  </si>
  <si>
    <t>36.1.5</t>
  </si>
  <si>
    <t>36.1.6</t>
  </si>
  <si>
    <t>36.1.7</t>
  </si>
  <si>
    <t>36.1.8</t>
  </si>
  <si>
    <t>36.2.1</t>
  </si>
  <si>
    <t>36.2.2</t>
  </si>
  <si>
    <t>36.2.3</t>
  </si>
  <si>
    <t>36.2.4</t>
  </si>
  <si>
    <t>36.2.5</t>
  </si>
  <si>
    <t>36.2.6</t>
  </si>
  <si>
    <t>36.2.7</t>
  </si>
  <si>
    <t>36.2.8</t>
  </si>
  <si>
    <t>36.3.1</t>
  </si>
  <si>
    <t>36.3.2</t>
  </si>
  <si>
    <t>36.3.3</t>
  </si>
  <si>
    <t>36.3.4</t>
  </si>
  <si>
    <t>36.3.5</t>
  </si>
  <si>
    <t>36.3.6</t>
  </si>
  <si>
    <t>36.3.7</t>
  </si>
  <si>
    <t>36.3.8</t>
  </si>
  <si>
    <t>36.4.1</t>
  </si>
  <si>
    <t>36.4.2</t>
  </si>
  <si>
    <t>36.4.3</t>
  </si>
  <si>
    <t>36.4.4</t>
  </si>
  <si>
    <t>36.4.5</t>
  </si>
  <si>
    <t>36.4.6</t>
  </si>
  <si>
    <t>36.4.7</t>
  </si>
  <si>
    <t>36.4.8</t>
  </si>
  <si>
    <t>36.5.1</t>
  </si>
  <si>
    <t>36.5.2</t>
  </si>
  <si>
    <t>36.5.3</t>
  </si>
  <si>
    <t>36.5.4</t>
  </si>
  <si>
    <t>36.5.5</t>
  </si>
  <si>
    <t>36.5.6</t>
  </si>
  <si>
    <t>36.5.7</t>
  </si>
  <si>
    <t>36.5.8</t>
  </si>
  <si>
    <t>36.6.1</t>
  </si>
  <si>
    <t>36.6.2</t>
  </si>
  <si>
    <t>36.6.3</t>
  </si>
  <si>
    <t>36.6.4</t>
  </si>
  <si>
    <t>36.6.5</t>
  </si>
  <si>
    <t>36.6.6</t>
  </si>
  <si>
    <t>36.6.7</t>
  </si>
  <si>
    <t>36.6.8</t>
  </si>
  <si>
    <t>36.7.</t>
  </si>
  <si>
    <t>36.7.1</t>
  </si>
  <si>
    <t>36.7.2</t>
  </si>
  <si>
    <t>36.7.3</t>
  </si>
  <si>
    <t>36.7.4</t>
  </si>
  <si>
    <t>36.7.5</t>
  </si>
  <si>
    <t>36.7.6</t>
  </si>
  <si>
    <t>36.7.7</t>
  </si>
  <si>
    <t>36.7.8</t>
  </si>
  <si>
    <t>36.8.</t>
  </si>
  <si>
    <t>36.8.1</t>
  </si>
  <si>
    <t>36.8.2</t>
  </si>
  <si>
    <t>36.8.3</t>
  </si>
  <si>
    <t>36.8.4</t>
  </si>
  <si>
    <t>36.8.5</t>
  </si>
  <si>
    <t>36.8.6</t>
  </si>
  <si>
    <t>36.8.7</t>
  </si>
  <si>
    <t>36.8.8</t>
  </si>
  <si>
    <t>36.9.</t>
  </si>
  <si>
    <t>36.9.1</t>
  </si>
  <si>
    <t>36.9.2</t>
  </si>
  <si>
    <t>36.9.3</t>
  </si>
  <si>
    <t>36.9.4</t>
  </si>
  <si>
    <t>36.9.5</t>
  </si>
  <si>
    <t>36.9.6</t>
  </si>
  <si>
    <t>36.9.7</t>
  </si>
  <si>
    <t>36.9.8</t>
  </si>
  <si>
    <t>36.10.</t>
  </si>
  <si>
    <t>36.10.1</t>
  </si>
  <si>
    <t>36.10.2</t>
  </si>
  <si>
    <t>36.10.3</t>
  </si>
  <si>
    <t>36.10.4</t>
  </si>
  <si>
    <t>36.10.5</t>
  </si>
  <si>
    <t>36.10.6</t>
  </si>
  <si>
    <t>36.10.7</t>
  </si>
  <si>
    <t>36.10.8</t>
  </si>
  <si>
    <t>36.11.</t>
  </si>
  <si>
    <t>36.11.1</t>
  </si>
  <si>
    <t>36.11.2</t>
  </si>
  <si>
    <t>36.11.3</t>
  </si>
  <si>
    <t>36.11.4</t>
  </si>
  <si>
    <t>36.11.5</t>
  </si>
  <si>
    <t>36.11.6</t>
  </si>
  <si>
    <t>36.11.7</t>
  </si>
  <si>
    <t>36.11.8</t>
  </si>
  <si>
    <t>36.12.</t>
  </si>
  <si>
    <t>36.12.1</t>
  </si>
  <si>
    <t>36.12.2</t>
  </si>
  <si>
    <t>36.12.3</t>
  </si>
  <si>
    <t>36.12.4</t>
  </si>
  <si>
    <t>36.12.5</t>
  </si>
  <si>
    <t>36.12.6</t>
  </si>
  <si>
    <t>36.12.7</t>
  </si>
  <si>
    <t>36.12.8</t>
  </si>
  <si>
    <t>36.13.</t>
  </si>
  <si>
    <t>36.13.1</t>
  </si>
  <si>
    <t>36.13.2</t>
  </si>
  <si>
    <t>36.13.3</t>
  </si>
  <si>
    <t>36.13.4</t>
  </si>
  <si>
    <t>36.13.5</t>
  </si>
  <si>
    <t>36.13.6</t>
  </si>
  <si>
    <t>36.13.7</t>
  </si>
  <si>
    <t>36.13.8</t>
  </si>
  <si>
    <t>36.14.</t>
  </si>
  <si>
    <t>36.14.1</t>
  </si>
  <si>
    <t>36.14.2</t>
  </si>
  <si>
    <t>36.14.3</t>
  </si>
  <si>
    <t>36.14.4</t>
  </si>
  <si>
    <t>36.14.5</t>
  </si>
  <si>
    <t>36.14.6</t>
  </si>
  <si>
    <t>36.14.7</t>
  </si>
  <si>
    <t>36.14.8</t>
  </si>
  <si>
    <t>36.15.</t>
  </si>
  <si>
    <t>36.15.1</t>
  </si>
  <si>
    <t>36.15.2</t>
  </si>
  <si>
    <t>36.15.3</t>
  </si>
  <si>
    <t>36.15.4</t>
  </si>
  <si>
    <t>36.15.5</t>
  </si>
  <si>
    <t>36.15.6</t>
  </si>
  <si>
    <t>36.15.7</t>
  </si>
  <si>
    <t>36.15.8</t>
  </si>
  <si>
    <t>36.16.</t>
  </si>
  <si>
    <t>36.16.1</t>
  </si>
  <si>
    <t>36.16.2</t>
  </si>
  <si>
    <t>36.16.3</t>
  </si>
  <si>
    <t>36.16.4</t>
  </si>
  <si>
    <t>36.16.5</t>
  </si>
  <si>
    <t>36.16.6</t>
  </si>
  <si>
    <t>36.16.7</t>
  </si>
  <si>
    <t>36.16.8</t>
  </si>
  <si>
    <t>36.17.</t>
  </si>
  <si>
    <t>36.17.1</t>
  </si>
  <si>
    <t>36.17.2</t>
  </si>
  <si>
    <t>36.17.3</t>
  </si>
  <si>
    <t>36.17.4</t>
  </si>
  <si>
    <t>36.17.5</t>
  </si>
  <si>
    <t>36.17.6</t>
  </si>
  <si>
    <t>36.17.7</t>
  </si>
  <si>
    <t>36.17.8</t>
  </si>
  <si>
    <t>36.18.</t>
  </si>
  <si>
    <t>36.18.1</t>
  </si>
  <si>
    <t>36.18.2</t>
  </si>
  <si>
    <t>36.18.3</t>
  </si>
  <si>
    <t>36.18.4</t>
  </si>
  <si>
    <t>36.18.5</t>
  </si>
  <si>
    <t>36.18.6</t>
  </si>
  <si>
    <t>36.18.7</t>
  </si>
  <si>
    <t>36.18.8</t>
  </si>
  <si>
    <t>36.19.</t>
  </si>
  <si>
    <t>36.19.1</t>
  </si>
  <si>
    <t>36.19.2</t>
  </si>
  <si>
    <t>36.19.3</t>
  </si>
  <si>
    <t>36.19.4</t>
  </si>
  <si>
    <t>36.19.5</t>
  </si>
  <si>
    <t>36.19.6</t>
  </si>
  <si>
    <t>36.19.7</t>
  </si>
  <si>
    <t>36.19.8</t>
  </si>
  <si>
    <t>36.20.</t>
  </si>
  <si>
    <t>36.20.1</t>
  </si>
  <si>
    <t>36.20.2</t>
  </si>
  <si>
    <t>36.20.3</t>
  </si>
  <si>
    <t>36.20.4</t>
  </si>
  <si>
    <t>36.20.5</t>
  </si>
  <si>
    <t>36.20.6</t>
  </si>
  <si>
    <t>36.20.7</t>
  </si>
  <si>
    <t>36.20.8</t>
  </si>
  <si>
    <t>36.21.</t>
  </si>
  <si>
    <t>36.21.1</t>
  </si>
  <si>
    <t>36.21.2</t>
  </si>
  <si>
    <t>36.21.3</t>
  </si>
  <si>
    <t>36.21.4</t>
  </si>
  <si>
    <t>36.21.5</t>
  </si>
  <si>
    <t>36.21.6</t>
  </si>
  <si>
    <t>36.21.7</t>
  </si>
  <si>
    <t>36.21.8</t>
  </si>
  <si>
    <t>37.</t>
  </si>
  <si>
    <t>Reboco Externo</t>
  </si>
  <si>
    <t>REBOCO ARGAMASSADO EXTERNO   -  FACHADA FRONTAL</t>
  </si>
  <si>
    <t>REBOCO ARGAMASSADO EXTERNO   -  FACHADA LATERAL DIREITA</t>
  </si>
  <si>
    <t>37.1.3</t>
  </si>
  <si>
    <t>REBOCO ARGAMASSADO EXTERNO   -  FACHADA LATERAL ESQUERDA</t>
  </si>
  <si>
    <t>37.1.4</t>
  </si>
  <si>
    <t>REBOCO ARGAMASSADO EXTERNO   -  FACHADA POSTERIOR</t>
  </si>
  <si>
    <t>37.2.2</t>
  </si>
  <si>
    <t>37.2.3</t>
  </si>
  <si>
    <t>37.2.4</t>
  </si>
  <si>
    <t>37.3.2</t>
  </si>
  <si>
    <t>37.3.3</t>
  </si>
  <si>
    <t>37.3.4</t>
  </si>
  <si>
    <t>37.4.2</t>
  </si>
  <si>
    <t>37.4.3</t>
  </si>
  <si>
    <t>37.4.4</t>
  </si>
  <si>
    <t>37.5.2</t>
  </si>
  <si>
    <t>37.5.3</t>
  </si>
  <si>
    <t>37.5.4</t>
  </si>
  <si>
    <t>37.6.2</t>
  </si>
  <si>
    <t>37.6.3</t>
  </si>
  <si>
    <t>37.6.4</t>
  </si>
  <si>
    <t>37.7.</t>
  </si>
  <si>
    <t>37.7.1</t>
  </si>
  <si>
    <t>37.7.2</t>
  </si>
  <si>
    <t>37.7.3</t>
  </si>
  <si>
    <t>37.7.4</t>
  </si>
  <si>
    <t>37.8.</t>
  </si>
  <si>
    <t>37.8.1</t>
  </si>
  <si>
    <t>37.8.2</t>
  </si>
  <si>
    <t>37.8.3</t>
  </si>
  <si>
    <t>37.8.4</t>
  </si>
  <si>
    <t>37.9.</t>
  </si>
  <si>
    <t>37.9.1</t>
  </si>
  <si>
    <t>37.9.2</t>
  </si>
  <si>
    <t>37.9.3</t>
  </si>
  <si>
    <t>37.9.4</t>
  </si>
  <si>
    <t>37.10.</t>
  </si>
  <si>
    <t>37.10.1</t>
  </si>
  <si>
    <t>37.10.2</t>
  </si>
  <si>
    <t>37.10.3</t>
  </si>
  <si>
    <t>37.10.4</t>
  </si>
  <si>
    <t>37.11.</t>
  </si>
  <si>
    <t>37.11.1</t>
  </si>
  <si>
    <t>37.11.2</t>
  </si>
  <si>
    <t>37.11.3</t>
  </si>
  <si>
    <t>37.11.4</t>
  </si>
  <si>
    <t>37.12.</t>
  </si>
  <si>
    <t>37.12.1</t>
  </si>
  <si>
    <t>37.12.2</t>
  </si>
  <si>
    <t>37.12.3</t>
  </si>
  <si>
    <t>37.12.4</t>
  </si>
  <si>
    <t>37.13.</t>
  </si>
  <si>
    <t>37.13.1</t>
  </si>
  <si>
    <t>37.13.2</t>
  </si>
  <si>
    <t>37.13.3</t>
  </si>
  <si>
    <t>37.13.4</t>
  </si>
  <si>
    <t>37.14.</t>
  </si>
  <si>
    <t>37.14.1</t>
  </si>
  <si>
    <t>37.14.2</t>
  </si>
  <si>
    <t>37.14.3</t>
  </si>
  <si>
    <t>37.14.4</t>
  </si>
  <si>
    <t>37.15.</t>
  </si>
  <si>
    <t>37.15.1</t>
  </si>
  <si>
    <t>37.15.2</t>
  </si>
  <si>
    <t>37.15.3</t>
  </si>
  <si>
    <t>37.15.4</t>
  </si>
  <si>
    <t>37.16.</t>
  </si>
  <si>
    <t>37.16.1</t>
  </si>
  <si>
    <t>37.16.2</t>
  </si>
  <si>
    <t>37.16.3</t>
  </si>
  <si>
    <t>37.16.4</t>
  </si>
  <si>
    <t>37.17.</t>
  </si>
  <si>
    <t>37.17.1</t>
  </si>
  <si>
    <t>37.17.2</t>
  </si>
  <si>
    <t>37.17.3</t>
  </si>
  <si>
    <t>37.17.4</t>
  </si>
  <si>
    <t>37.18.</t>
  </si>
  <si>
    <t>37.18.1</t>
  </si>
  <si>
    <t>37.18.2</t>
  </si>
  <si>
    <t>37.18.3</t>
  </si>
  <si>
    <t>37.18.4</t>
  </si>
  <si>
    <t>37.19.</t>
  </si>
  <si>
    <t>37.19.1</t>
  </si>
  <si>
    <t>37.19.2</t>
  </si>
  <si>
    <t>37.19.3</t>
  </si>
  <si>
    <t>37.19.4</t>
  </si>
  <si>
    <t>37.20.</t>
  </si>
  <si>
    <t>37.20.1</t>
  </si>
  <si>
    <t>37.20.2</t>
  </si>
  <si>
    <t>37.20.3</t>
  </si>
  <si>
    <t>37.20.4</t>
  </si>
  <si>
    <t>37.21.</t>
  </si>
  <si>
    <t>37.21.1</t>
  </si>
  <si>
    <t>37.21.2</t>
  </si>
  <si>
    <t>37.21.3</t>
  </si>
  <si>
    <t>37.21.4</t>
  </si>
  <si>
    <t>Revestimento interno argamassado em teto externo</t>
  </si>
  <si>
    <t>CHAPISCO ARGAMASSADO INTERNO EM TETO  - FACHADA FRONTAL</t>
  </si>
  <si>
    <t>38.1.2</t>
  </si>
  <si>
    <t>EMBOÇO INTERNO EM TETO  - FACHADA FRONTAL</t>
  </si>
  <si>
    <t>38.1.3</t>
  </si>
  <si>
    <t>REBOCO ARGAMASSADO INTERNO EM TETO  - FACHADA FRONTAL</t>
  </si>
  <si>
    <t>38.1.4</t>
  </si>
  <si>
    <t>CHAPISCO ARGAMASSADO INTERNO EM TETO  - FACHADA POSTERIOR</t>
  </si>
  <si>
    <t>38.1.5</t>
  </si>
  <si>
    <t>EMBOÇO INTERNO EM TETO  - FACHADA POSTERIOR</t>
  </si>
  <si>
    <t>38.1.6</t>
  </si>
  <si>
    <t>REBOCO ARGAMASSADO INTERNO EM TETO  - FACHADA POSTERIOR</t>
  </si>
  <si>
    <t>38.2.</t>
  </si>
  <si>
    <t>38.2.1</t>
  </si>
  <si>
    <t>38.2.2</t>
  </si>
  <si>
    <t>38.2.3</t>
  </si>
  <si>
    <t>38.2.4</t>
  </si>
  <si>
    <t>CHAPISCO ARGAMASSADO INTERNO EM TETO  - FACHADA LATERAL DIREITA</t>
  </si>
  <si>
    <t>38.2.5</t>
  </si>
  <si>
    <t>EMBOÇO INTERNO EM TETO  - FACHADA LATERAL DIREITA</t>
  </si>
  <si>
    <t>38.2.6</t>
  </si>
  <si>
    <t>REBOCO ARGAMASSADO INTERNO EM TETO  - FACHADA LATERAL DIREITA</t>
  </si>
  <si>
    <t>38.2.7</t>
  </si>
  <si>
    <t>CHAPISCO ARGAMASSADO INTERNO EM TETO  - FACHADA LATERAL ESQUERDA</t>
  </si>
  <si>
    <t>38.2.8</t>
  </si>
  <si>
    <t>EMBOÇO INTERNO EM TETO  - FACHADA LATERAL ESQUERDA</t>
  </si>
  <si>
    <t>38.2.9</t>
  </si>
  <si>
    <t>REBOCO ARGAMASSADO INTERNO EM TETO  - FACHADA LATERAL ESQUERDA</t>
  </si>
  <si>
    <t>38.3.</t>
  </si>
  <si>
    <t>38.3.1</t>
  </si>
  <si>
    <t>38.3.2</t>
  </si>
  <si>
    <t>38.3.3</t>
  </si>
  <si>
    <t>38.3.4</t>
  </si>
  <si>
    <t>38.3.5</t>
  </si>
  <si>
    <t>38.3.6</t>
  </si>
  <si>
    <t>38.3.7</t>
  </si>
  <si>
    <t>38.3.8</t>
  </si>
  <si>
    <t>38.3.9</t>
  </si>
  <si>
    <t>38.4.</t>
  </si>
  <si>
    <t>38.4.1</t>
  </si>
  <si>
    <t>38.4.2</t>
  </si>
  <si>
    <t>38.4.3</t>
  </si>
  <si>
    <t>38.4.4</t>
  </si>
  <si>
    <t>38.4.5</t>
  </si>
  <si>
    <t>38.4.6</t>
  </si>
  <si>
    <t>38.4.7</t>
  </si>
  <si>
    <t>38.4.8</t>
  </si>
  <si>
    <t>38.4.9</t>
  </si>
  <si>
    <t>38.5.</t>
  </si>
  <si>
    <t>38.5.1</t>
  </si>
  <si>
    <t>38.5.2</t>
  </si>
  <si>
    <t>38.5.3</t>
  </si>
  <si>
    <t>38.5.4</t>
  </si>
  <si>
    <t>38.5.5</t>
  </si>
  <si>
    <t>38.5.6</t>
  </si>
  <si>
    <t>38.5.7</t>
  </si>
  <si>
    <t>38.5.8</t>
  </si>
  <si>
    <t>38.5.9</t>
  </si>
  <si>
    <t>38.6.</t>
  </si>
  <si>
    <t>38.6.1</t>
  </si>
  <si>
    <t>38.6.2</t>
  </si>
  <si>
    <t>38.6.3</t>
  </si>
  <si>
    <t>38.6.4</t>
  </si>
  <si>
    <t>38.6.5</t>
  </si>
  <si>
    <t>38.6.6</t>
  </si>
  <si>
    <t>38.6.7</t>
  </si>
  <si>
    <t>38.6.8</t>
  </si>
  <si>
    <t>38.6.9</t>
  </si>
  <si>
    <t>38.7.</t>
  </si>
  <si>
    <t>38.7.1</t>
  </si>
  <si>
    <t>38.7.2</t>
  </si>
  <si>
    <t>38.7.3</t>
  </si>
  <si>
    <t>38.7.4</t>
  </si>
  <si>
    <t>38.7.5</t>
  </si>
  <si>
    <t>38.7.6</t>
  </si>
  <si>
    <t>38.7.7</t>
  </si>
  <si>
    <t>38.7.8</t>
  </si>
  <si>
    <t>38.7.9</t>
  </si>
  <si>
    <t>38.8.</t>
  </si>
  <si>
    <t>38.8.1</t>
  </si>
  <si>
    <t>38.8.2</t>
  </si>
  <si>
    <t>38.8.3</t>
  </si>
  <si>
    <t>38.8.4</t>
  </si>
  <si>
    <t>38.8.5</t>
  </si>
  <si>
    <t>38.8.6</t>
  </si>
  <si>
    <t>38.8.7</t>
  </si>
  <si>
    <t>38.8.8</t>
  </si>
  <si>
    <t>38.8.9</t>
  </si>
  <si>
    <t>38.9.</t>
  </si>
  <si>
    <t>38.9.1</t>
  </si>
  <si>
    <t>38.9.2</t>
  </si>
  <si>
    <t>38.9.3</t>
  </si>
  <si>
    <t>38.9.4</t>
  </si>
  <si>
    <t>38.9.5</t>
  </si>
  <si>
    <t>38.9.6</t>
  </si>
  <si>
    <t>38.9.7</t>
  </si>
  <si>
    <t>38.9.8</t>
  </si>
  <si>
    <t>38.9.9</t>
  </si>
  <si>
    <t>38.10.</t>
  </si>
  <si>
    <t>38.10.1</t>
  </si>
  <si>
    <t>38.10.2</t>
  </si>
  <si>
    <t>38.10.3</t>
  </si>
  <si>
    <t>38.10.4</t>
  </si>
  <si>
    <t>38.10.5</t>
  </si>
  <si>
    <t>38.10.6</t>
  </si>
  <si>
    <t>38.10.7</t>
  </si>
  <si>
    <t>38.10.8</t>
  </si>
  <si>
    <t>38.10.9</t>
  </si>
  <si>
    <t>38.11.</t>
  </si>
  <si>
    <t>38.11.1</t>
  </si>
  <si>
    <t>38.11.2</t>
  </si>
  <si>
    <t>38.11.3</t>
  </si>
  <si>
    <t>38.11.4</t>
  </si>
  <si>
    <t>38.11.5</t>
  </si>
  <si>
    <t>38.11.6</t>
  </si>
  <si>
    <t>38.11.7</t>
  </si>
  <si>
    <t>38.11.8</t>
  </si>
  <si>
    <t>38.11.9</t>
  </si>
  <si>
    <t>38.12.</t>
  </si>
  <si>
    <t>38.12.1</t>
  </si>
  <si>
    <t>38.12.2</t>
  </si>
  <si>
    <t>38.12.3</t>
  </si>
  <si>
    <t>38.12.4</t>
  </si>
  <si>
    <t>38.12.5</t>
  </si>
  <si>
    <t>38.12.6</t>
  </si>
  <si>
    <t>38.12.7</t>
  </si>
  <si>
    <t>38.12.8</t>
  </si>
  <si>
    <t>38.12.9</t>
  </si>
  <si>
    <t>38.13.</t>
  </si>
  <si>
    <t>38.13.1</t>
  </si>
  <si>
    <t>38.13.2</t>
  </si>
  <si>
    <t>38.13.3</t>
  </si>
  <si>
    <t>38.13.4</t>
  </si>
  <si>
    <t>38.13.5</t>
  </si>
  <si>
    <t>38.13.6</t>
  </si>
  <si>
    <t>38.13.7</t>
  </si>
  <si>
    <t>38.13.8</t>
  </si>
  <si>
    <t>38.13.9</t>
  </si>
  <si>
    <t>38.14.</t>
  </si>
  <si>
    <t>38.14.1</t>
  </si>
  <si>
    <t>38.14.2</t>
  </si>
  <si>
    <t>38.14.3</t>
  </si>
  <si>
    <t>38.14.4</t>
  </si>
  <si>
    <t>38.14.5</t>
  </si>
  <si>
    <t>38.14.6</t>
  </si>
  <si>
    <t>38.15.</t>
  </si>
  <si>
    <t>38.15.1</t>
  </si>
  <si>
    <t>38.15.2</t>
  </si>
  <si>
    <t>38.15.3</t>
  </si>
  <si>
    <t>38.16.</t>
  </si>
  <si>
    <t>38.16.1</t>
  </si>
  <si>
    <t>38.16.2</t>
  </si>
  <si>
    <t>38.16.3</t>
  </si>
  <si>
    <t>38.17.</t>
  </si>
  <si>
    <t>38.17.1</t>
  </si>
  <si>
    <t>38.17.2</t>
  </si>
  <si>
    <t>38.17.3</t>
  </si>
  <si>
    <t>38.18.</t>
  </si>
  <si>
    <t>38.18.1</t>
  </si>
  <si>
    <t>38.18.2</t>
  </si>
  <si>
    <t>38.18.3</t>
  </si>
  <si>
    <t>Estucamento Externo em parede</t>
  </si>
  <si>
    <t>CONCRETO APARENTE, SEM PINTURA</t>
  </si>
  <si>
    <t>CONCRETO APARENTE,</t>
  </si>
  <si>
    <t>39.3.2</t>
  </si>
  <si>
    <t>39.4.2</t>
  </si>
  <si>
    <t>39.5.2</t>
  </si>
  <si>
    <t>39.6.2</t>
  </si>
  <si>
    <t>39.7.</t>
  </si>
  <si>
    <t>39.7.1</t>
  </si>
  <si>
    <t>39.7.2</t>
  </si>
  <si>
    <t>39.8.</t>
  </si>
  <si>
    <t>39.8.1</t>
  </si>
  <si>
    <t>39.8.2</t>
  </si>
  <si>
    <t>39.9.</t>
  </si>
  <si>
    <t>39.9.1</t>
  </si>
  <si>
    <t>39.9.2</t>
  </si>
  <si>
    <t>39.10.</t>
  </si>
  <si>
    <t>39.10.1</t>
  </si>
  <si>
    <t>39.10.2</t>
  </si>
  <si>
    <t>39.11.</t>
  </si>
  <si>
    <t>39.11.1</t>
  </si>
  <si>
    <t>39.11.2</t>
  </si>
  <si>
    <t>39.12.</t>
  </si>
  <si>
    <t>39.12.1</t>
  </si>
  <si>
    <t>39.12.2</t>
  </si>
  <si>
    <t>39.13.</t>
  </si>
  <si>
    <t>39.13.1</t>
  </si>
  <si>
    <t>39.13.2</t>
  </si>
  <si>
    <t>39.14.</t>
  </si>
  <si>
    <t>39.14.1</t>
  </si>
  <si>
    <t>39.15.</t>
  </si>
  <si>
    <t>39.15.1</t>
  </si>
  <si>
    <t>39.16.</t>
  </si>
  <si>
    <t>39.16.1</t>
  </si>
  <si>
    <t>39.17.</t>
  </si>
  <si>
    <t>39.17.1</t>
  </si>
  <si>
    <t>39.18.</t>
  </si>
  <si>
    <t>39.18.1</t>
  </si>
  <si>
    <t>Estucamento externo de estrutura de concreto em pilares e vigas</t>
  </si>
  <si>
    <t>40.</t>
  </si>
  <si>
    <t>Sistema de pintura em teto externo</t>
  </si>
  <si>
    <t>40.1.</t>
  </si>
  <si>
    <t>40.1.1</t>
  </si>
  <si>
    <t>TEXTURA PIGMENTADA EM TETO  MASSA TEXTURIZADA ACRÍLICA IBRATIN PADRÃO GRANELLI 898A0L MANCHESTER CLARO - FACHADA FRONTAL</t>
  </si>
  <si>
    <t>40.1.2</t>
  </si>
  <si>
    <t>TEXTURA PIGMENTADA EM TETO  MASSA TEXTURIZADA ACRÍLICA IBRATIN PADRÃO GRANELLI 898A0L MANCHESTER CLARO - FACHADA POSTERIOR</t>
  </si>
  <si>
    <t>40.2.</t>
  </si>
  <si>
    <t>40.2.1</t>
  </si>
  <si>
    <t>TEXTURA PIGMENTADA EM TETO  MASSA TEXTURIZADA ACRÍLICA IBRATIN PADRÃO GRANELLI 898A0A MANCHESTER MÁXIMO - FACHADA FRONTAL</t>
  </si>
  <si>
    <t>40.2.2</t>
  </si>
  <si>
    <t>TEXTURA PIGMENTADA EM TETO  MASSA TEXTURIZADA ACRÍLICA IBRATIN PADRÃO GRANELLI 898A0A MANCHESTER MÁXIMO - FACHADA LATERAL DIREITA</t>
  </si>
  <si>
    <t>40.2.3</t>
  </si>
  <si>
    <t>TEXTURA PIGMENTADA EM TETO  MASSA TEXTURIZADA ACRÍLICA IBRATIN PADRÃO GRANELLI 898A0R MANCHESTER MÍNIMO - FACHADA LATERAL DIREITA</t>
  </si>
  <si>
    <t>40.2.4</t>
  </si>
  <si>
    <t>TEXTURA PIGMENTADA EM TETO  MASSA TEXTURIZADA ACRÍLICA IBRATIN PADRÃO GRANELLI 898A0A MANCHESTER MÁXIMO - FACHADA LATERAL ESQUERDA</t>
  </si>
  <si>
    <t>40.3.</t>
  </si>
  <si>
    <t>40.3.1</t>
  </si>
  <si>
    <t>40.3.2</t>
  </si>
  <si>
    <t>40.3.3</t>
  </si>
  <si>
    <t>40.4.</t>
  </si>
  <si>
    <t>40.4.1</t>
  </si>
  <si>
    <t>40.4.2</t>
  </si>
  <si>
    <t>40.4.3</t>
  </si>
  <si>
    <t>40.5.</t>
  </si>
  <si>
    <t>40.5.1</t>
  </si>
  <si>
    <t>40.5.2</t>
  </si>
  <si>
    <t>40.5.3</t>
  </si>
  <si>
    <t>40.6.</t>
  </si>
  <si>
    <t>40.6.1</t>
  </si>
  <si>
    <t>40.6.2</t>
  </si>
  <si>
    <t>40.6.3</t>
  </si>
  <si>
    <t>40.7.</t>
  </si>
  <si>
    <t>40.7.1</t>
  </si>
  <si>
    <t>40.7.2</t>
  </si>
  <si>
    <t>40.7.3</t>
  </si>
  <si>
    <t>40.8.</t>
  </si>
  <si>
    <t>40.8.1</t>
  </si>
  <si>
    <t>40.8.2</t>
  </si>
  <si>
    <t>40.8.3</t>
  </si>
  <si>
    <t>40.9.</t>
  </si>
  <si>
    <t>40.9.1</t>
  </si>
  <si>
    <t>40.9.2</t>
  </si>
  <si>
    <t>40.9.3</t>
  </si>
  <si>
    <t>40.10.</t>
  </si>
  <si>
    <t>40.10.1</t>
  </si>
  <si>
    <t>40.10.2</t>
  </si>
  <si>
    <t>40.10.3</t>
  </si>
  <si>
    <t>40.11.</t>
  </si>
  <si>
    <t>40.11.1</t>
  </si>
  <si>
    <t>40.11.2</t>
  </si>
  <si>
    <t>40.11.3</t>
  </si>
  <si>
    <t>40.12.</t>
  </si>
  <si>
    <t>40.12.1</t>
  </si>
  <si>
    <t>40.12.2</t>
  </si>
  <si>
    <t>40.12.3</t>
  </si>
  <si>
    <t>40.13.</t>
  </si>
  <si>
    <t>40.13.1</t>
  </si>
  <si>
    <t>40.13.2</t>
  </si>
  <si>
    <t>40.13.3</t>
  </si>
  <si>
    <t>40.14.</t>
  </si>
  <si>
    <t>40.14.1</t>
  </si>
  <si>
    <t>40.14.2</t>
  </si>
  <si>
    <t>TEXTURA PIGMENTADA EM TETO  MASSA TEXTURIZADA ACRÍLICA IBRATIN PADRÃO GRANELLI 898A0L MANCHESTER CLARO - FACHADA LATERAL ESQUERDA</t>
  </si>
  <si>
    <t>40.15.</t>
  </si>
  <si>
    <t>40.15.1</t>
  </si>
  <si>
    <t>40.16.</t>
  </si>
  <si>
    <t>40.16.1</t>
  </si>
  <si>
    <t>40.17.</t>
  </si>
  <si>
    <t>40.17.1</t>
  </si>
  <si>
    <t>40.18.</t>
  </si>
  <si>
    <t>40.18.1</t>
  </si>
  <si>
    <t>41.</t>
  </si>
  <si>
    <t>41.1.</t>
  </si>
  <si>
    <t>41.1.1</t>
  </si>
  <si>
    <t>REVESTIMENTO EXTERNO - TEXTURA PARA FACHADA, MASSA TEXTURIZADA ACRÍLICA IBRATIN PADRÃO GRANELLI 898A0A MANCHESTER MÁXIMO  -  FACHADA FRONTAL</t>
  </si>
  <si>
    <t>41.1.2</t>
  </si>
  <si>
    <t>REVESTIMENTO EXTERNO - TEXTURA PARA FACHADA, MASSA TEXTURIZADA ACRÍLICA IBRATIN PADRÃO GRANELLI 898A0L MANCHESTER CLARO  -  FACHADA FRONTAL</t>
  </si>
  <si>
    <t>41.1.3</t>
  </si>
  <si>
    <t>REVESTIMENTO EXTERNO - TEXTURA PARA FACHADA, MASSA TEXTURIZADA ACRÍLICA IBRATIN PADRÃO GRANELLI 898A0R MANCHESTER MÍNIMO  -  FACHADA FRONTAL</t>
  </si>
  <si>
    <t>41.1.4</t>
  </si>
  <si>
    <t>REVESTIMENTO EXTERNO - TEXTURA PARA FACHADA, MASSA TEXTURIZADA ACRÍLICA IBRATIN PADRÃO GRANELLI 898A0L MANCHESTER CLARO  -  FACHADA LATERAL DIREITA</t>
  </si>
  <si>
    <t>41.1.5</t>
  </si>
  <si>
    <t>REVESTIMENTO EXTERNO - TEXTURA PARA FACHADA, MASSA TEXTURIZADA ACRÍLICA IBRATIN PADRÃO GRANELLI 898A0R MANCHESTER MÍNIMO  -  FACHADA LATERAL DIREITA</t>
  </si>
  <si>
    <t>41.1.6</t>
  </si>
  <si>
    <t>REVESTIMENTO EXTERNO - TEXTURA PARA FACHADA, MASSA TEXTURIZADA ACRÍLICA IBRATIN PADRÃO GRANELLI 898A0L MANCHESTER CLARO  -  FACHADA LATERAL ESQUERDA</t>
  </si>
  <si>
    <t>41.1.7</t>
  </si>
  <si>
    <t>REVESTIMENTO EXTERNO - TEXTURA PARA FACHADA, MASSA TEXTURIZADA ACRÍLICA IBRATIN PADRÃO GRANELLI 898A0L MANCHESTER CLARO  -  FACHADA POSTERIOR</t>
  </si>
  <si>
    <t>41.1.8</t>
  </si>
  <si>
    <t>REVESTIMENTO EXTERNO - TEXTURA PARA FACHADA, MASSA TEXTURIZADA ACRÍLICA IBRATIN PADRÃO GRANELLI 898A0R MANCHESTER MÍNIMO  -  FACHADA POSTERIOR</t>
  </si>
  <si>
    <t>41.2.</t>
  </si>
  <si>
    <t>41.2.1</t>
  </si>
  <si>
    <t>41.2.2</t>
  </si>
  <si>
    <t>41.2.3</t>
  </si>
  <si>
    <t>41.2.4</t>
  </si>
  <si>
    <t>REVESTIMENTO EXTERNO - TEXTURA PARA FACHADA, MASSA TEXTURIZADA ACRÍLICA IBRATIN PADRÃO GRANELLI 898A0A MANCHESTER MÁXIMO  -  FACHADA LATERAL DIREITA</t>
  </si>
  <si>
    <t>41.2.5</t>
  </si>
  <si>
    <t>41.2.6</t>
  </si>
  <si>
    <t>41.2.7</t>
  </si>
  <si>
    <t>41.2.8</t>
  </si>
  <si>
    <t>REVESTIMENTO EXTERNO - TEXTURA PARA FACHADA, MASSA TEXTURIZADA ACRÍLICA IBRATIN PADRÃO GRANELLI 898A0A MANCHESTER MÁXIMO  -  FACHADA LATERAL ESQUERDA</t>
  </si>
  <si>
    <t>41.2.9</t>
  </si>
  <si>
    <t>41.2.10</t>
  </si>
  <si>
    <t>41.2.11</t>
  </si>
  <si>
    <t>REVESTIMENTO EXTERNO - TEXTURA PARA FACHADA, MASSA TEXTURIZADA ACRÍLICA IBRATIN PADRÃO GRANELLI 898A0R MANCHESTER MÍNIMO  -  FACHADA LATERAL ESQUERDA</t>
  </si>
  <si>
    <t>41.3.</t>
  </si>
  <si>
    <t>41.3.1</t>
  </si>
  <si>
    <t>41.3.2</t>
  </si>
  <si>
    <t>41.3.3</t>
  </si>
  <si>
    <t>41.3.4</t>
  </si>
  <si>
    <t>41.3.5</t>
  </si>
  <si>
    <t>41.3.6</t>
  </si>
  <si>
    <t>41.3.7</t>
  </si>
  <si>
    <t>41.3.8</t>
  </si>
  <si>
    <t>41.3.9</t>
  </si>
  <si>
    <t>41.3.10</t>
  </si>
  <si>
    <t>41.3.11</t>
  </si>
  <si>
    <t>41.4.</t>
  </si>
  <si>
    <t>41.4.1</t>
  </si>
  <si>
    <t>41.4.2</t>
  </si>
  <si>
    <t>41.4.3</t>
  </si>
  <si>
    <t>41.4.4</t>
  </si>
  <si>
    <t>41.4.5</t>
  </si>
  <si>
    <t>41.4.6</t>
  </si>
  <si>
    <t>41.4.7</t>
  </si>
  <si>
    <t>41.4.8</t>
  </si>
  <si>
    <t>41.4.9</t>
  </si>
  <si>
    <t>41.4.10</t>
  </si>
  <si>
    <t>41.4.11</t>
  </si>
  <si>
    <t>41.5.</t>
  </si>
  <si>
    <t>41.5.1</t>
  </si>
  <si>
    <t>41.5.2</t>
  </si>
  <si>
    <t>41.5.3</t>
  </si>
  <si>
    <t>41.5.4</t>
  </si>
  <si>
    <t>41.5.5</t>
  </si>
  <si>
    <t>41.5.6</t>
  </si>
  <si>
    <t>41.5.7</t>
  </si>
  <si>
    <t>41.5.8</t>
  </si>
  <si>
    <t>41.5.9</t>
  </si>
  <si>
    <t>41.5.10</t>
  </si>
  <si>
    <t>41.5.11</t>
  </si>
  <si>
    <t>41.6.</t>
  </si>
  <si>
    <t>41.6.1</t>
  </si>
  <si>
    <t>41.6.2</t>
  </si>
  <si>
    <t>41.6.3</t>
  </si>
  <si>
    <t>41.6.4</t>
  </si>
  <si>
    <t>41.6.5</t>
  </si>
  <si>
    <t>41.6.6</t>
  </si>
  <si>
    <t>41.6.7</t>
  </si>
  <si>
    <t>41.6.8</t>
  </si>
  <si>
    <t>41.6.9</t>
  </si>
  <si>
    <t>41.6.10</t>
  </si>
  <si>
    <t>41.6.11</t>
  </si>
  <si>
    <t>41.7.</t>
  </si>
  <si>
    <t>41.7.1</t>
  </si>
  <si>
    <t>41.7.2</t>
  </si>
  <si>
    <t>41.7.3</t>
  </si>
  <si>
    <t>41.7.4</t>
  </si>
  <si>
    <t>41.7.5</t>
  </si>
  <si>
    <t>41.7.6</t>
  </si>
  <si>
    <t>41.7.7</t>
  </si>
  <si>
    <t>41.7.8</t>
  </si>
  <si>
    <t>41.7.9</t>
  </si>
  <si>
    <t>41.7.10</t>
  </si>
  <si>
    <t>41.7.11</t>
  </si>
  <si>
    <t>41.8.</t>
  </si>
  <si>
    <t>41.8.1</t>
  </si>
  <si>
    <t>41.8.2</t>
  </si>
  <si>
    <t>41.8.3</t>
  </si>
  <si>
    <t>41.8.4</t>
  </si>
  <si>
    <t>41.8.5</t>
  </si>
  <si>
    <t>41.8.6</t>
  </si>
  <si>
    <t>41.8.7</t>
  </si>
  <si>
    <t>41.8.8</t>
  </si>
  <si>
    <t>41.8.9</t>
  </si>
  <si>
    <t>41.8.10</t>
  </si>
  <si>
    <t>41.8.11</t>
  </si>
  <si>
    <t>41.9.</t>
  </si>
  <si>
    <t>41.9.1</t>
  </si>
  <si>
    <t>41.9.2</t>
  </si>
  <si>
    <t>41.9.3</t>
  </si>
  <si>
    <t>41.9.4</t>
  </si>
  <si>
    <t>41.9.5</t>
  </si>
  <si>
    <t>41.9.6</t>
  </si>
  <si>
    <t>41.9.7</t>
  </si>
  <si>
    <t>41.9.8</t>
  </si>
  <si>
    <t>41.9.9</t>
  </si>
  <si>
    <t>41.9.10</t>
  </si>
  <si>
    <t>41.9.11</t>
  </si>
  <si>
    <t>41.10.</t>
  </si>
  <si>
    <t>41.10.1</t>
  </si>
  <si>
    <t>41.10.2</t>
  </si>
  <si>
    <t>41.10.3</t>
  </si>
  <si>
    <t>41.10.4</t>
  </si>
  <si>
    <t>41.10.5</t>
  </si>
  <si>
    <t>41.10.6</t>
  </si>
  <si>
    <t>41.10.7</t>
  </si>
  <si>
    <t>41.10.8</t>
  </si>
  <si>
    <t>41.10.9</t>
  </si>
  <si>
    <t>41.10.10</t>
  </si>
  <si>
    <t>41.10.11</t>
  </si>
  <si>
    <t>41.11.</t>
  </si>
  <si>
    <t>41.11.1</t>
  </si>
  <si>
    <t>41.11.2</t>
  </si>
  <si>
    <t>41.11.3</t>
  </si>
  <si>
    <t>41.11.4</t>
  </si>
  <si>
    <t>41.11.5</t>
  </si>
  <si>
    <t>41.11.6</t>
  </si>
  <si>
    <t>41.11.7</t>
  </si>
  <si>
    <t>41.11.8</t>
  </si>
  <si>
    <t>41.11.9</t>
  </si>
  <si>
    <t>41.11.10</t>
  </si>
  <si>
    <t>41.11.11</t>
  </si>
  <si>
    <t>41.12.</t>
  </si>
  <si>
    <t>41.12.1</t>
  </si>
  <si>
    <t>41.12.2</t>
  </si>
  <si>
    <t>41.12.3</t>
  </si>
  <si>
    <t>41.12.4</t>
  </si>
  <si>
    <t>41.12.5</t>
  </si>
  <si>
    <t>41.12.6</t>
  </si>
  <si>
    <t>41.12.7</t>
  </si>
  <si>
    <t>41.12.8</t>
  </si>
  <si>
    <t>41.12.9</t>
  </si>
  <si>
    <t>41.12.10</t>
  </si>
  <si>
    <t>41.12.11</t>
  </si>
  <si>
    <t>41.13.</t>
  </si>
  <si>
    <t>41.13.1</t>
  </si>
  <si>
    <t>41.13.2</t>
  </si>
  <si>
    <t>41.13.3</t>
  </si>
  <si>
    <t>41.13.4</t>
  </si>
  <si>
    <t>41.13.5</t>
  </si>
  <si>
    <t>41.13.6</t>
  </si>
  <si>
    <t>41.13.7</t>
  </si>
  <si>
    <t>41.13.8</t>
  </si>
  <si>
    <t>41.13.9</t>
  </si>
  <si>
    <t>41.13.10</t>
  </si>
  <si>
    <t>41.13.11</t>
  </si>
  <si>
    <t>41.14.</t>
  </si>
  <si>
    <t>41.14.1</t>
  </si>
  <si>
    <t>41.14.2</t>
  </si>
  <si>
    <t>41.14.3</t>
  </si>
  <si>
    <t>41.14.4</t>
  </si>
  <si>
    <t>41.14.5</t>
  </si>
  <si>
    <t>41.14.6</t>
  </si>
  <si>
    <t>41.14.7</t>
  </si>
  <si>
    <t>41.14.8</t>
  </si>
  <si>
    <t>41.14.9</t>
  </si>
  <si>
    <t>41.14.10</t>
  </si>
  <si>
    <t>41.15.</t>
  </si>
  <si>
    <t>41.15.1</t>
  </si>
  <si>
    <t>41.15.2</t>
  </si>
  <si>
    <t>41.15.3</t>
  </si>
  <si>
    <t>41.15.4</t>
  </si>
  <si>
    <t>41.15.5</t>
  </si>
  <si>
    <t>41.15.6</t>
  </si>
  <si>
    <t>41.15.7</t>
  </si>
  <si>
    <t>41.15.8</t>
  </si>
  <si>
    <t>41.15.9</t>
  </si>
  <si>
    <t>REVESTIMENTO EXTERNO - TEXTURA PARA FACHADA, MASSA TEXTURIZADA ACRÍLICA IBRATIN PADRÃO GRANELLI 898A0A MANCHESTER MÁXIMO  -  FACHADA POSTERIOR</t>
  </si>
  <si>
    <t>41.15.10</t>
  </si>
  <si>
    <t>41.15.11</t>
  </si>
  <si>
    <t>41.16.</t>
  </si>
  <si>
    <t>41.16.1</t>
  </si>
  <si>
    <t>41.16.2</t>
  </si>
  <si>
    <t>41.16.3</t>
  </si>
  <si>
    <t>41.16.4</t>
  </si>
  <si>
    <t>41.16.5</t>
  </si>
  <si>
    <t>41.16.6</t>
  </si>
  <si>
    <t>41.16.7</t>
  </si>
  <si>
    <t>41.16.8</t>
  </si>
  <si>
    <t>41.16.9</t>
  </si>
  <si>
    <t>41.16.10</t>
  </si>
  <si>
    <t>41.16.11</t>
  </si>
  <si>
    <t>41.17.</t>
  </si>
  <si>
    <t>41.17.1</t>
  </si>
  <si>
    <t>41.17.2</t>
  </si>
  <si>
    <t>41.17.3</t>
  </si>
  <si>
    <t>41.17.4</t>
  </si>
  <si>
    <t>41.17.5</t>
  </si>
  <si>
    <t>41.17.6</t>
  </si>
  <si>
    <t>41.17.7</t>
  </si>
  <si>
    <t>41.17.8</t>
  </si>
  <si>
    <t>41.17.9</t>
  </si>
  <si>
    <t>41.17.10</t>
  </si>
  <si>
    <t>41.17.11</t>
  </si>
  <si>
    <t>41.18.</t>
  </si>
  <si>
    <t>41.18.1</t>
  </si>
  <si>
    <t>41.18.2</t>
  </si>
  <si>
    <t>41.18.3</t>
  </si>
  <si>
    <t>41.18.4</t>
  </si>
  <si>
    <t>41.18.5</t>
  </si>
  <si>
    <t>41.18.6</t>
  </si>
  <si>
    <t>41.18.7</t>
  </si>
  <si>
    <t>41.18.8</t>
  </si>
  <si>
    <t>41.18.9</t>
  </si>
  <si>
    <t>41.18.10</t>
  </si>
  <si>
    <t>41.18.11</t>
  </si>
  <si>
    <t>41.18.12</t>
  </si>
  <si>
    <t>41.19.</t>
  </si>
  <si>
    <t>41.19.1</t>
  </si>
  <si>
    <t>41.19.2</t>
  </si>
  <si>
    <t>41.19.3</t>
  </si>
  <si>
    <t>41.19.4</t>
  </si>
  <si>
    <t>41.19.5</t>
  </si>
  <si>
    <t>41.19.6</t>
  </si>
  <si>
    <t>41.19.7</t>
  </si>
  <si>
    <t>41.19.8</t>
  </si>
  <si>
    <t>41.20.</t>
  </si>
  <si>
    <t>41.20.1</t>
  </si>
  <si>
    <t>41.20.2</t>
  </si>
  <si>
    <t>41.20.3</t>
  </si>
  <si>
    <t>41.20.4</t>
  </si>
  <si>
    <t>41.20.5</t>
  </si>
  <si>
    <t>41.20.6</t>
  </si>
  <si>
    <t>41.20.7</t>
  </si>
  <si>
    <t>41.21.</t>
  </si>
  <si>
    <t>41.21.1</t>
  </si>
  <si>
    <t>41.21.2</t>
  </si>
  <si>
    <t>41.21.3</t>
  </si>
  <si>
    <t>41.21.4</t>
  </si>
  <si>
    <t>41.21.5</t>
  </si>
  <si>
    <t>41.21.6</t>
  </si>
  <si>
    <t>41.21.7</t>
  </si>
  <si>
    <t>42.</t>
  </si>
  <si>
    <t>42.1.</t>
  </si>
  <si>
    <t>42.1.1</t>
  </si>
  <si>
    <t>REVESTIMENTO EXTERNO -  BRISES - REVESTIMENTO SUL METAIS SMB30, COR TABACO SM 7182,</t>
  </si>
  <si>
    <t>42.2.</t>
  </si>
  <si>
    <t>42.2.1</t>
  </si>
  <si>
    <t>42.3.</t>
  </si>
  <si>
    <t>42.3.1</t>
  </si>
  <si>
    <t>42.4.</t>
  </si>
  <si>
    <t>42.4.1</t>
  </si>
  <si>
    <t>42.4.2</t>
  </si>
  <si>
    <t>REVESTIMENTO EXTERNO -  GRADIL - REVESTIMENTO SUL METAIS SMB30, COR TABACO SM 7182,</t>
  </si>
  <si>
    <t>42.5.</t>
  </si>
  <si>
    <t>42.5.1</t>
  </si>
  <si>
    <t>42.6.</t>
  </si>
  <si>
    <t>42.6.1</t>
  </si>
  <si>
    <t>42.6.2</t>
  </si>
  <si>
    <t>42.7.</t>
  </si>
  <si>
    <t>42.7.1</t>
  </si>
  <si>
    <t>42.8.</t>
  </si>
  <si>
    <t>42.8.1</t>
  </si>
  <si>
    <t>42.8.2</t>
  </si>
  <si>
    <t>42.9.</t>
  </si>
  <si>
    <t>42.9.1</t>
  </si>
  <si>
    <t>42.10.</t>
  </si>
  <si>
    <t>42.10.1</t>
  </si>
  <si>
    <t>42.10.2</t>
  </si>
  <si>
    <t>42.11.</t>
  </si>
  <si>
    <t>42.11.1</t>
  </si>
  <si>
    <t>42.12.</t>
  </si>
  <si>
    <t>42.12.1</t>
  </si>
  <si>
    <t>42.12.2</t>
  </si>
  <si>
    <t>42.13.</t>
  </si>
  <si>
    <t>42.13.1</t>
  </si>
  <si>
    <t>42.14.</t>
  </si>
  <si>
    <t>42.14.1</t>
  </si>
  <si>
    <t>42.14.2</t>
  </si>
  <si>
    <t>REVESTIMENTO EXTERNO -  CHAPISCO + EMBOÇO E REBOCO + CERÂMICA,</t>
  </si>
  <si>
    <t>42.15.</t>
  </si>
  <si>
    <t>42.15.1</t>
  </si>
  <si>
    <t>42.15.2</t>
  </si>
  <si>
    <t>42.16.</t>
  </si>
  <si>
    <t>42.16.1</t>
  </si>
  <si>
    <t>42.17.</t>
  </si>
  <si>
    <t>42.17.1</t>
  </si>
  <si>
    <t>42.17.2</t>
  </si>
  <si>
    <t>42.18.</t>
  </si>
  <si>
    <t>42.18.1</t>
  </si>
  <si>
    <t>43.</t>
  </si>
  <si>
    <t>43.1.</t>
  </si>
  <si>
    <t>43.1.1</t>
  </si>
  <si>
    <t>PERGOLADO COB. DUP. SUP1:PERGOLADO COB. DUP. SUPPERGOLADO COB. DUP. SUP</t>
  </si>
  <si>
    <t>44.</t>
  </si>
  <si>
    <t>Calçadas e passeios</t>
  </si>
  <si>
    <t>44.1.</t>
  </si>
  <si>
    <t>44.1.1</t>
  </si>
  <si>
    <t>PISO - PISO INCLINADO (CALÇADA), PISO DRENANTE EXTERNO</t>
  </si>
  <si>
    <t>13 a 15 m²/balde (≈ 1,7 kg/m²)</t>
  </si>
  <si>
    <t>14 a 16 m²/balde (≈ 1,6 kg/m²)</t>
  </si>
  <si>
    <t>Sistema Gradil Sul Metais SMB30 (Cor Tabaco SM 7182)</t>
  </si>
  <si>
    <t>Sistema Brise Sul Metais SMB30 (Cor Tabaco SM 7182)</t>
  </si>
  <si>
    <t>Mão de obra estucamento externo de paredes</t>
  </si>
  <si>
    <t>Pavimentação em Piso drenante 45x45 cm</t>
  </si>
  <si>
    <t>APA Funcionários</t>
  </si>
  <si>
    <t>Cadeira Déco Premium Exclusiva Madeira Maciça - Amêndoa</t>
  </si>
  <si>
    <t>Cadeira PNE para ducha</t>
  </si>
  <si>
    <t>Cadeira de apoio PNE</t>
  </si>
  <si>
    <t>Depósito de lixo</t>
  </si>
  <si>
    <t>Rouparia</t>
  </si>
  <si>
    <t>Guarda-Roupa Modulado 2 Portas 4 Prateleiras 1 Cabideiro Branco Neo Madesa</t>
  </si>
  <si>
    <t>Rouparia 2</t>
  </si>
  <si>
    <t>Mesa Industrial Mdp Pé De Ferro 120x60 Pra Sala De Jantar GRUPO ADL</t>
  </si>
  <si>
    <t>Bicicletário</t>
  </si>
  <si>
    <t>Bicicletário de correr com pilar 3 mts 12 vagas - Altmayer</t>
  </si>
  <si>
    <t>Perfil De Led Slim Largo 24mm Embutir 1,5mt Com Led E Fonte Tecbell</t>
  </si>
  <si>
    <t>Vestiário funcionário (x2)</t>
  </si>
  <si>
    <t>TÉRREO</t>
  </si>
  <si>
    <t>Hall + Lounge - Térreo</t>
  </si>
  <si>
    <t>Sofá Seixos Full | Theodora Home</t>
  </si>
  <si>
    <t>Lustre com bastões tubos base 30x30 e 2m pé direito alto</t>
  </si>
  <si>
    <t>Prateleira Reta 180cm com Fita de LED TB185F</t>
  </si>
  <si>
    <t>Tapete Orgânico Nuvola Bean Bege</t>
  </si>
  <si>
    <t>Cortina Blackout Bege Jacquard - 10m x 2,50 - Valeriana | Dona Cortina</t>
  </si>
  <si>
    <t>Puffs / ottomans ovais</t>
  </si>
  <si>
    <t xml:space="preserve">Mesa Bistrô Vigo - Castanho </t>
  </si>
  <si>
    <t>Cadeira Pantalona</t>
  </si>
  <si>
    <t>Letra Caixa Pvc Expandido Iluminada Atrás Retroiluminado Divulg Gráfica</t>
  </si>
  <si>
    <t>Mesa de Canto para Sala Baixa SINGAPURA Dourada Vidro Mármore Calacata Bege</t>
  </si>
  <si>
    <t>Marsi Modern Chesterfield Boucle Tecido Sofá em Laranja | Resistente a Manchas &amp; Pet Friendly</t>
  </si>
  <si>
    <t>save energy Spot Embutir Par20 Duplo Branco Recuado</t>
  </si>
  <si>
    <t>Pendente LED Abbie 10W Branco Quente 3000K Preto - Nordecor</t>
  </si>
  <si>
    <t>Banco/sofá luxo amorfo curvo em couro sintético (peça longa central, tom terracota)</t>
  </si>
  <si>
    <t>Cadeira Plissada (A)</t>
  </si>
  <si>
    <t>COPA</t>
  </si>
  <si>
    <t>VESTIÁRIOS</t>
  </si>
  <si>
    <t>ROUPARIA MANUTENÇÃO</t>
  </si>
  <si>
    <t>LOBBY E LOUNGE BAR</t>
  </si>
  <si>
    <t>VENDING MACHINE</t>
  </si>
  <si>
    <t>LAVANDERIA</t>
  </si>
  <si>
    <t>LOCKERS</t>
  </si>
  <si>
    <t>WC TÉRREO</t>
  </si>
  <si>
    <t>GALLERIA ZEN</t>
  </si>
  <si>
    <t>GALLERIA GOURMET</t>
  </si>
  <si>
    <t>WC 13 PAV</t>
  </si>
  <si>
    <t>GALLERIA FITNESS</t>
  </si>
  <si>
    <t>PRAÇA OUTDOOR</t>
  </si>
  <si>
    <t>GALLERIA SPA</t>
  </si>
  <si>
    <t>PISCINA</t>
  </si>
  <si>
    <t>WC PISCINA</t>
  </si>
  <si>
    <t>LAVABO ACADEMIA</t>
  </si>
  <si>
    <t>PREVISÃO DE CUSTOS</t>
  </si>
  <si>
    <t>ORÇAMENTO EXECUTIVO</t>
  </si>
  <si>
    <t>REVESTIMENTOS</t>
  </si>
  <si>
    <t>MARMORARIA</t>
  </si>
  <si>
    <t>SERRALHERIA</t>
  </si>
  <si>
    <t>LOUÇAS, METAIS E CUBAS INOX</t>
  </si>
  <si>
    <t>VIDRAÇARIA</t>
  </si>
  <si>
    <t>ELETRODOMÉSTICOS</t>
  </si>
  <si>
    <t>EQIPAMENTOS ELETRONICOS</t>
  </si>
  <si>
    <t>EQUIPAMENTOS DE ACADEMIA</t>
  </si>
  <si>
    <t>CORTINAS E PERSIANAS</t>
  </si>
  <si>
    <t>ESTOFADOS</t>
  </si>
  <si>
    <t>MÓVEIS SOLTOS</t>
  </si>
  <si>
    <t>OBJETOS DE DECORAÇÃO</t>
  </si>
  <si>
    <t>TAPETES</t>
  </si>
  <si>
    <t>ENXOVAL, LIXEIRA</t>
  </si>
  <si>
    <t>PAISAGISMO</t>
  </si>
  <si>
    <t>BICICLETÁRIO</t>
  </si>
  <si>
    <t>ROUPA LIMPA</t>
  </si>
  <si>
    <t>GALLERIA TERRANZO</t>
  </si>
  <si>
    <t>MEETING ROOM</t>
  </si>
  <si>
    <t>GALLERIA OUTDOORS</t>
  </si>
  <si>
    <t>GALLERIA COWORKING</t>
  </si>
  <si>
    <t>WC INTERNO 18 PAV</t>
  </si>
  <si>
    <t>CIRCULAÇÕES TIPOS E LAZER</t>
  </si>
  <si>
    <t>DIFERENÇA</t>
  </si>
  <si>
    <t>Mesa de Jantar Redonda Haya</t>
  </si>
  <si>
    <t>ASTI mesa lateral A55 29x44 | Boobam</t>
  </si>
  <si>
    <t>Estofados de parede personalizados</t>
  </si>
  <si>
    <t>sofa de canto estofado embutido em marcenaria</t>
  </si>
  <si>
    <t>Kit Promocional: Linha Taças em Cristal Bohemia Sommelier para Vinho Tinto, Branco e Espumante (18 Taças)</t>
  </si>
  <si>
    <t xml:space="preserve">Kit de Coquetel Profissional com 26 Peças, Coqueteleira de 750 ml, </t>
  </si>
  <si>
    <t>Kit Promocional: Linha Bar Sommelier - Copos para Whisky + Copos Long Drink (12 Copos)</t>
  </si>
  <si>
    <t>Marmore bancada do bar</t>
  </si>
  <si>
    <t>Banqueta Bouman</t>
  </si>
  <si>
    <t>Lustre Vertical Figo Preto - 5 Globos Esfera</t>
  </si>
  <si>
    <t>Placa iluminada emblema do empreendimento</t>
  </si>
  <si>
    <t>Cadeira Dot All Black - Recepção</t>
  </si>
  <si>
    <t>Portaria - térreo</t>
  </si>
  <si>
    <t>WC Portaria</t>
  </si>
  <si>
    <t>Circulação elevadores - térreo</t>
  </si>
  <si>
    <t>Arandela Quality Cadre 1332 G9 Preto E Branco |</t>
  </si>
  <si>
    <t>Vending machine</t>
  </si>
  <si>
    <t>Marmoe da bancada - recepção</t>
  </si>
  <si>
    <t>Expositor Vertical Vrs13 Todo Preto 393L |</t>
  </si>
  <si>
    <t>Copa</t>
  </si>
  <si>
    <t>Nw - Snack - Snakky 06 - Refrigerada</t>
  </si>
  <si>
    <t>Lavanderia</t>
  </si>
  <si>
    <t>Plafon Led Quadrado Embutir 50 X 50cm 6000k 38w</t>
  </si>
  <si>
    <t>Produtos de limpeza e demais itens relacionados</t>
  </si>
  <si>
    <t>Lixeira de Aço Inox 5 Litros com Pedal Antiderrapante Balde Removível Alça para Transporte</t>
  </si>
  <si>
    <t>Poltrona Roll - Bege | Westwing</t>
  </si>
  <si>
    <t>Sala de serviço - Lockers</t>
  </si>
  <si>
    <t>Letra Caixa Pvc Expandido Iluminada Atrás Retroiluminado Gigante</t>
  </si>
  <si>
    <t>Caixa Organizadora Lar 180L Fechada Com Tampa Preta</t>
  </si>
  <si>
    <t>Sala de reunião</t>
  </si>
  <si>
    <t>Cadeira Giratória VK Ajuste de Altura e Relax Madeira Maciça Eucalipto Base com Rodízios Design by Vladimir Kagan</t>
  </si>
  <si>
    <t>Mesa Lyon Milão pés em Madeira Maciça cor Ebano 2200x1100/ 8 lugares</t>
  </si>
  <si>
    <t>Pendente Led Linear 3000k 18w Bivolt 100cm Alumínio Preto - Portofino Pd2263</t>
  </si>
  <si>
    <t>Poltrona Serrana | Boobam</t>
  </si>
  <si>
    <t xml:space="preserve">Pendente Filó Bronze Branco (D)11Cm (A)39Cm 1xG9 </t>
  </si>
  <si>
    <t>Luminária de Chão Piso Caju 154xØ30cm Bronze e Conhaq</t>
  </si>
  <si>
    <t xml:space="preserve">Kit 2 Luminárias Arandela Quadro Led 3000K </t>
  </si>
  <si>
    <t>Jardim - Térreo</t>
  </si>
  <si>
    <t>Sofa pucon</t>
  </si>
  <si>
    <t>Mesa de centro azul marinho</t>
  </si>
  <si>
    <t>Kit 8 Luminárias Jardim Pilze Nordecor - Lampdecor</t>
  </si>
  <si>
    <t>Poltrona Verona Tela - Lovato |</t>
  </si>
  <si>
    <t>Armadietto Lareiras</t>
  </si>
  <si>
    <t xml:space="preserve">Arandela Effekt 8W Stella Preto com 1 Facho Aberto </t>
  </si>
  <si>
    <t>Luminaria pendente led</t>
  </si>
  <si>
    <t>Impressora Multifuncional HP Deskjet Ink Advantage 2874 Colorida, Wi-Fi Scanner, USB.</t>
  </si>
  <si>
    <t>Nespresso - Cafeteira elétrica Essenza Mini Branca 220V</t>
  </si>
  <si>
    <t>riva Jogo Xícaras Cafe Riviera Com Colheres</t>
  </si>
  <si>
    <t>WC Hall - lazer</t>
  </si>
  <si>
    <t>WC PNE Hall - lazer (X2)</t>
  </si>
  <si>
    <t>Circulação elevadores - Lazer</t>
  </si>
  <si>
    <t>Arandela Point Slim 09x06x13cm Globo Ø06cm 1xg9</t>
  </si>
  <si>
    <t>Pendente Filó Tubo Bronze e Branco Metal e Vidro</t>
  </si>
  <si>
    <t>Banqueta Tolix Média</t>
  </si>
  <si>
    <t>MAJESTIC Cesto De Metal Preto Organizador Tipo Gaveta</t>
  </si>
  <si>
    <t>Galleria Gourmet</t>
  </si>
  <si>
    <t>Sofá Orgânico Pietra sem braços | Boobam</t>
  </si>
  <si>
    <t>Poltrona Rolos (Valca, Taupe)</t>
  </si>
  <si>
    <t>Tapete TM Quartzo 1 na Medida 1,50x2,00</t>
  </si>
  <si>
    <t>Banqueta Orla – MEZAS</t>
  </si>
  <si>
    <t xml:space="preserve">Pendente Bambu Preto Dourado (C)98Cm (L)23Cm 4Xg9 </t>
  </si>
  <si>
    <t>Coifa de Ilha Oster Inox Touch Control, 90cm, 220v, OCFA590</t>
  </si>
  <si>
    <t>Forno de Embutir Elétrico Fischer Fit Line 48L</t>
  </si>
  <si>
    <t>Micro-ondas Electrolux 31L cor Inox Espelhado com Painel</t>
  </si>
  <si>
    <t>Pendente LED Ailsa 3000K 7W Bivolt (D) 45cm x (A) 28cm</t>
  </si>
  <si>
    <t xml:space="preserve">Spot De Embutir LED Zosma Cilíndrico Retrátil 3000K 7W </t>
  </si>
  <si>
    <t>Faqueiro, Jogo de Talheres 84PCS, 410 Faqueiro Inox, Conjunto de Talheres de Aço Inoxidáve</t>
  </si>
  <si>
    <t>Oxford Aparelho De Jantar 20 Peças Ryo Maresia</t>
  </si>
  <si>
    <t>Mesa De Bar Em Madeira Cumarú Nascente</t>
  </si>
  <si>
    <t>Banqueta Alta Rolinho Bouclé Aço Preto</t>
  </si>
  <si>
    <t>Poltrona Babi : Folio</t>
  </si>
  <si>
    <t>Mesa de jantar Waldo (Madeira) | Boobam</t>
  </si>
  <si>
    <t>Banco sofá de madeira estofado</t>
  </si>
  <si>
    <t>Galleria Outdoor</t>
  </si>
  <si>
    <t>Coifa Box de Parede Para Churrasqueira</t>
  </si>
  <si>
    <t>Forno de Pizza à Lenha – Inox ou Pintado – Strongrill</t>
  </si>
  <si>
    <t>Bancada de marmore</t>
  </si>
  <si>
    <t xml:space="preserve">Banqueta Corda Náutica em Alumínio Summer </t>
  </si>
  <si>
    <t>Mesa de bebida champangneira</t>
  </si>
  <si>
    <t xml:space="preserve">Varal de Luzes Cordão Festão 15 Metros Soquete E27 Bivolt </t>
  </si>
  <si>
    <t>Mesa Tabuleiro Ripada 220cm | Estilo para Varandas</t>
  </si>
  <si>
    <t>Sofa 03 E 04 Lugares Canto 2,70mt Terracota Com Chaise Long Red</t>
  </si>
  <si>
    <t>Cadeira Madri | Lovato | Móveis Para Área Externa</t>
  </si>
  <si>
    <t>Ombrelone Lateral com LED 3X3</t>
  </si>
  <si>
    <t>MESA DE CENTRO 83 CM X 79 CM ORGANIQUÊ</t>
  </si>
  <si>
    <t xml:space="preserve">Poste De Luz Garten Externo 200xØ12cm Acrílico E Alumínio - Germany Blumenau Iluminação </t>
  </si>
  <si>
    <t>Luminaria Balizador Lançamento 50cm Externo</t>
  </si>
  <si>
    <t>Galleria Fitness</t>
  </si>
  <si>
    <t>Esteira Profissional Movement RT 2500 LED (linha comercial)</t>
  </si>
  <si>
    <t>Bicicleta Ergométrica Vertical Movement VX1000</t>
  </si>
  <si>
    <t>Bicicleta Spinning Movement Oxigênio 600</t>
  </si>
  <si>
    <t>Crossover / Estação Dupla Movement Fusion 2</t>
  </si>
  <si>
    <t>Máquina Peitoral / Voador Movement Excellence Pec Fly/Rear Delt</t>
  </si>
  <si>
    <t>Supino Reto Profissional Movement Excellence Bench Flat</t>
  </si>
  <si>
    <t>Supino Inclinado Movement Excellence Incline Bench</t>
  </si>
  <si>
    <t>Banco Regulável Movement Adjustable Bench Pro</t>
  </si>
  <si>
    <t>Banco Scott (Bíceps)** Movement Excellence</t>
  </si>
  <si>
    <t>Halteres Sextavados (2kg a 30kg) Nees Fitness / Reebok (jogo completo)</t>
  </si>
  <si>
    <t>Suporte para Halteres 2 Andares Movement Rack 2T</t>
  </si>
  <si>
    <t>Bola Suíça / Acessórios Liveup / Vollo Sports</t>
  </si>
  <si>
    <t>Colchonetes Premium Vollo Pro EVA 120x60cm</t>
  </si>
  <si>
    <t>Suporte vertical para anilhas (com rodízios) Modelo: Movement Rack Vertical 10 Discos Pro ou Nees Fitness Vertical Plate Tree</t>
  </si>
  <si>
    <t>Kit Anilhas e Barras para Musculação (157,5 kg)</t>
  </si>
  <si>
    <t>Banco Estofado – Espera Lovato Sofá Madri (Couro ecológico)</t>
  </si>
  <si>
    <t>Espelhos 2,20m x 1,80m</t>
  </si>
  <si>
    <t>Plafon Lisse 56x85mm Par 16 50W - ELETROMIG</t>
  </si>
  <si>
    <t>Painel LED decorativo “LET’S RUN”</t>
  </si>
  <si>
    <t>Suporte TV, monitor 10 A 55 - Para teto inclinado</t>
  </si>
  <si>
    <t>Smith Machine Profissional Movement Smith Machine F5 / E3 Line (Linha Profissional de Condomínio)</t>
  </si>
  <si>
    <t>Espaldar Funcional | Equipamentos Line Fitness</t>
  </si>
  <si>
    <t>Purificador de Água Consul CPB34AS</t>
  </si>
  <si>
    <t>Jogo 6 Copos 200ml para Suco Água e Refrigerante Nadir Figueiredo em Vidro Transparente</t>
  </si>
  <si>
    <t>Sapateira para Quarto 18 Pares Melissa</t>
  </si>
  <si>
    <t>Coworking</t>
  </si>
  <si>
    <t>LAZER - 13</t>
  </si>
  <si>
    <t>Lustre PLANETAS Pendente Éris - LED 3500K</t>
  </si>
  <si>
    <t>Mesa de Reunião Escritório 4 Lugares Sintra Preto</t>
  </si>
  <si>
    <t>Placa keep going</t>
  </si>
  <si>
    <t xml:space="preserve">mesa lateral orgânica em madeira brisa - Ondo </t>
  </si>
  <si>
    <t xml:space="preserve">Poste Balizador 50cm Com Led Luminária De Jardim </t>
  </si>
  <si>
    <t xml:space="preserve">Poltronas Em Corda Náutica E Alumínio Área Externa </t>
  </si>
  <si>
    <t xml:space="preserve">Mesa Lateral Quadrada com Tampo de Vidro Roma Off </t>
  </si>
  <si>
    <t>Sofá Living 2 Lugares com Pés de Ferro Almofadas Soltas</t>
  </si>
  <si>
    <t>Pergolado de madeira</t>
  </si>
  <si>
    <t>PAV 14</t>
  </si>
  <si>
    <t>Circulação elevadores - Pav 14</t>
  </si>
  <si>
    <t>ARANDELA MOSSA PRETO (L)10CM (C)10CM</t>
  </si>
  <si>
    <t>Poltrona Citrino - Poltrona Para Área Externa, Corda Náutica</t>
  </si>
  <si>
    <t xml:space="preserve">Elevon Mesa redonda resistente ao clima, 44,5 cm, </t>
  </si>
  <si>
    <t>Spa Playazo G Albacete - carrapeta</t>
  </si>
  <si>
    <t>Galleria Outdoor - Pav 14</t>
  </si>
  <si>
    <t>LAZER - 18</t>
  </si>
  <si>
    <t>WC PNE Hall - Lazer 18 (X2)</t>
  </si>
  <si>
    <t>PAV 3</t>
  </si>
  <si>
    <t>Circulação elevadores - Pav 3</t>
  </si>
  <si>
    <t>Galleria Zen - Pav 3</t>
  </si>
  <si>
    <t>Arandela Luminária Sindora Dcb03147 60cm Metal Silicon</t>
  </si>
  <si>
    <t>Circulação elevadores - subsolo</t>
  </si>
  <si>
    <t>Fonte Vietnamita Cerâmica Importada Viena Moss Green</t>
  </si>
  <si>
    <t>SOFÁ IKAL | sergiojmatos</t>
  </si>
  <si>
    <t xml:space="preserve">Sofá em "L" Alumínio Bruto - Tecido Duna cru - Abinoski </t>
  </si>
  <si>
    <t>Mesa Lateral para Jardim Madeira Maciça Taj</t>
  </si>
  <si>
    <t>Sofá Em Corda Náutica Girona 2 Lugares</t>
  </si>
  <si>
    <t>Rede Descanso De Casal Mais Base De Madeira-jardim Conjunto Merco</t>
  </si>
  <si>
    <t>Circulação elevadores - Lazer 18</t>
  </si>
  <si>
    <t>Garveetech Escada reta removível de 3 degraus,</t>
  </si>
  <si>
    <t>Maca Spa Multifuncional - Cedro 65 x 75 x 195cm</t>
  </si>
  <si>
    <t>Poltrona Yara</t>
  </si>
  <si>
    <t>Centro de mesa - Laureiro moveis</t>
  </si>
  <si>
    <t>Tapete para Yoga em EVA Muvin Light - Tamanho 180cm x 50cm x 0,4cm</t>
  </si>
  <si>
    <t>Tapete Para Quarto,sala,escritório 2,00 X 3,00 Pelo Macio Antiderrapante (Bege)</t>
  </si>
  <si>
    <t>Cadeira Elevatória Hidráulica para piscina</t>
  </si>
  <si>
    <t>Piscina - Pav 18</t>
  </si>
  <si>
    <t xml:space="preserve">Poltrona Nacional Alumínio Cor Azul Tela Cor Azul Marinho </t>
  </si>
  <si>
    <t>Espreguiçadeira Para Área Piscina Alumínio Preto Lisboa</t>
  </si>
  <si>
    <t>plataforma elevatoria para deficiente da daiken modelo ac02</t>
  </si>
  <si>
    <t>TIPOS (X14)</t>
  </si>
  <si>
    <t>Circulação elevadores - Tipos (x14)</t>
  </si>
  <si>
    <t>SUBSOLO + TÉRREO</t>
  </si>
  <si>
    <t>3 PAV</t>
  </si>
  <si>
    <t>13 PAV</t>
  </si>
  <si>
    <t>14 PAV</t>
  </si>
  <si>
    <t xml:space="preserve">18 PAV </t>
  </si>
  <si>
    <t>TODOS OS 20 PAV</t>
  </si>
  <si>
    <t>DEPÓSITO</t>
  </si>
  <si>
    <t>PORTARIA</t>
  </si>
  <si>
    <t>Revestimento de Piso Porcelanato Acetinado Mirage, Placa 90x90cm</t>
  </si>
  <si>
    <t>Porcenalato Interno Acetinado 90x90cm Mirage CTM Incesa</t>
  </si>
  <si>
    <t>Revestimento de Piso Porcelanato preto e branco, Placa 90x90cm</t>
  </si>
  <si>
    <t>Porcenalato Interno 90x90cm preto e branco</t>
  </si>
  <si>
    <t>Forro Mdf</t>
  </si>
  <si>
    <t>Revestimento de Mdf em parede</t>
  </si>
  <si>
    <t>Pintura Com Tinta Latex Acrilica em Paredes Internas, 3 Demaos (Somente tinta e fundo) - Azul</t>
  </si>
  <si>
    <t>TINTA ACRILICA PREMIUM COR AZUL</t>
  </si>
  <si>
    <t>Revestimento externo de porcelanato villagers 82x141,5 retificado externo</t>
  </si>
  <si>
    <t>porcelanato villagers 82x141,5 retificado externo</t>
  </si>
  <si>
    <t>Revestimento em Parede de porcelanato hexagonal azul</t>
  </si>
  <si>
    <t>Revestimento para Parede Hexa Blue 22,8x22,8cm Ceral</t>
  </si>
  <si>
    <t>Revestimento em piso de porcelanato hexagonal azul</t>
  </si>
  <si>
    <t>Revestimento em parede de porcelanato hexagonal azul</t>
  </si>
  <si>
    <t>Pintura Com Tinta Latex Acrilica emteto Internas, 3 Demaos (Somente tinta e fundo) - Azul</t>
  </si>
  <si>
    <t>Pintura Com Tinta Latex Acrilica em Paredes Internas, 3 Demaos (Somente tinta e fundo) - laranja</t>
  </si>
  <si>
    <t>Pintura Com Tinta Latex Acrilica emteto Internas, 3 Demaos (Somente tinta e fundo) - laranja</t>
  </si>
  <si>
    <t>Pintura Com Tinta Latex Acrilica em Paredes Internas, 3 Demaos (Somente tinta e fundo) - Laranja</t>
  </si>
  <si>
    <t>Revestimento de Piso Porcelanato externo granilhado, 76x76cm, simples</t>
  </si>
  <si>
    <t>Piso Cerâmico Externo Granilhado Pietra 75x75cm</t>
  </si>
  <si>
    <t>Revestimento de Piso Porcelanato externo ceres plus pisoforte, 76x76cm, simples</t>
  </si>
  <si>
    <t>Piso Cerâmico Externo Ceres Plus Pisoforte | G-Haus</t>
  </si>
  <si>
    <t>Revestimento de Piso emborrachado imitando madeira</t>
  </si>
  <si>
    <t>Pintura Com Tinta Latex Acrilica em Paredes Internas, 3 Demaos (Somente tinta e fundo) - cinza concreto queimado</t>
  </si>
  <si>
    <t>Pintura Com Tinta Latex Acrilica em Paredes Internas, 3 Demaos (Somente tinta e fundo) - concreto queimado</t>
  </si>
  <si>
    <t>Revestimento de Parede Porcelanato Acetinado Mirage, Placa 90x90cm</t>
  </si>
  <si>
    <t>Granito itaunas branco</t>
  </si>
  <si>
    <t>Revestimento de Piso de granito itaunas</t>
  </si>
  <si>
    <t>Pastilha vítrea decorada, padrão customizado, placa 30x30 cm - Jatobá / NGK Pastilhas</t>
  </si>
  <si>
    <t>Revestimento em Pastilha vítrea decorada, padrão customizado, placa 30x30 cm</t>
  </si>
  <si>
    <t>Pintura Com Tinta Latex Acrilica em tetos Internas, 3 Demaos (Somente tinta e fundo) - Azul</t>
  </si>
  <si>
    <t>Revestimento em Porcelanato amadeirado 19x117cm para Parede, rejunte cimentício, aplicação em áreas comuns internas</t>
  </si>
  <si>
    <t>Pintura Com Tinta Latex Acrilica em Paredes Internas, 3 Demaos (Somente tinta e fundo) - Marrom</t>
  </si>
  <si>
    <t>Pintura Com Tinta Latex Acrilica em Paredes Internas, 3 Demaos (Somente tinta e fundo) - marrom</t>
  </si>
  <si>
    <t>Vestiário funcionário 2</t>
  </si>
  <si>
    <t>Vestiário funcionário 1</t>
  </si>
  <si>
    <t>Revestimento de parede em Porcelanato Eliane Silex 90x90</t>
  </si>
  <si>
    <t xml:space="preserve">Porcelanato Eliane Silex 90x90 Branco Nat </t>
  </si>
  <si>
    <t>Revestimento de piso em Porcelanato Eliane Silex 90x90</t>
  </si>
  <si>
    <t xml:space="preserve">Revestimento de parede em Cerâmica Tradição 23x23cm Lepri </t>
  </si>
  <si>
    <t xml:space="preserve">Cerâmica Tradição 23x23cm Lepri </t>
  </si>
  <si>
    <t>WC PNE Hall - Térreo (x2)</t>
  </si>
  <si>
    <t>WC PNE Hall - Térreo 1</t>
  </si>
  <si>
    <t>WC PNE Hall - Térreo 2</t>
  </si>
  <si>
    <t>Revestimento de Parede Porcelanato Portobello – Coleção “Graphite Retro Geo”</t>
  </si>
  <si>
    <t xml:space="preserve"> Porcelanato Portobello – Coleção “Graphite Retro Geo”</t>
  </si>
  <si>
    <t>Pintura Com Tinta Latex Acrilica em teto Internas, 3 Demaos (Somente tinta e fundo) - Azul</t>
  </si>
  <si>
    <t>Pintura Com Tinta Latex Acrilica em Paredes Internas, 3 Demaos (Somente tinta e fundo) - areia</t>
  </si>
  <si>
    <t>Pintura Com Tinta Latex Acrilica em Paredes Internas, 3 Demaos (Somente tinta e fundo) - Areia</t>
  </si>
  <si>
    <t>Pintura Com Tinta Latex Acrilica em teto Internas, 3 Demaos (Somente tinta e fundo) - Areia</t>
  </si>
  <si>
    <t>Revestimento de Parede Porcelanato Eliane Revestimentos – Linha Lumina Areia 20x20</t>
  </si>
  <si>
    <t>Porcelanato Eliane Revestimentos – Linha Lumina Areia 20x20</t>
  </si>
  <si>
    <t>Revestimento de piso Matiz Agave MT 30x90 - Eliane Revestimentos</t>
  </si>
  <si>
    <t>Revestimento de Piso Porcelanato Matiz Agave MT 30x90 - Eliane Revestimentos</t>
  </si>
  <si>
    <t>Porcelanato Matiz Agave MT 30x90 - Eliane Revestimentos</t>
  </si>
  <si>
    <t>Teto Forro Knauf Cleaneo A1 (gesso acústico perfurado)</t>
  </si>
  <si>
    <t>Forro Knauf Cleaneo A1 (gesso acústico perfurado)</t>
  </si>
  <si>
    <t>WC PNE Hall - lazer 1</t>
  </si>
  <si>
    <t>WC PNE Hall - lazer academia</t>
  </si>
  <si>
    <t>Revestimento para Azulejo Milos - Vila Sintra Azulejos</t>
  </si>
  <si>
    <t>Revestimento em Parede Azulejo Milos - Vila Sintra Azulejos</t>
  </si>
  <si>
    <t>Pintura Com Tinta Latex Acrilica emteto Internas, 3 Demaos (Somente tinta e fundo) - verde claro</t>
  </si>
  <si>
    <t>Pintura Com Tinta Latex Acrilica em Paredes Internas, 3 Demaos (Somente tinta e fundo) - verde claro</t>
  </si>
  <si>
    <t>Revestimento de parede em Cerâmica Tradição 23x23cm Verde claro</t>
  </si>
  <si>
    <t>Cerâmica Tradição 23x23cm verde claro</t>
  </si>
  <si>
    <t>Pintura Com Tinta Latex Acrilica em parede Internas, 3 Demaos (Somente tinta e fundo) - verde claro</t>
  </si>
  <si>
    <t>Revestimento de parede em Cerâmica esmaltada listras</t>
  </si>
  <si>
    <t>Cerâmica Tradição 23x23cm esmaltado listrado</t>
  </si>
  <si>
    <t>WC PNE Hall - Lazer 18</t>
  </si>
  <si>
    <t>WC PNE Hall - Lazer 18 piscina</t>
  </si>
  <si>
    <t>Revestimento em Parede de porcelanato hexagonal branco</t>
  </si>
  <si>
    <t>Revestimento em Parede de Azulejo JK Solid | Estúdio Mosaico</t>
  </si>
  <si>
    <t>Acabamentos especiais em ambiente comuns</t>
  </si>
  <si>
    <t>WashTower™ AI DD™ Máquina que Lava e Seca 17kg, 220V - Aço Escovado - WK17VS6A | LG BR</t>
  </si>
  <si>
    <t>M44A + M44AE2 - Manta asfáltica tipo IV, 4 mm + manta asfáltica tipo IV, 4 mm + banho de asfalto oxidado + membrana de polímero acrílico com cimento e fibras para combater eflorescência</t>
  </si>
  <si>
    <t>Massa unica para reboco interno em argamassa estabilizada, espessura de 0,5cm, com execução desempenado fino</t>
  </si>
  <si>
    <t>Corrimão Metálico Duplo - fornecimento e instalação</t>
  </si>
  <si>
    <t>Corrimão metálico</t>
  </si>
  <si>
    <t>Corrimão Metálico</t>
  </si>
  <si>
    <t>SERVICO - CONFECCAO SHAFT GESSO TETO</t>
  </si>
  <si>
    <t>DRYWALL</t>
  </si>
  <si>
    <t>REB INT</t>
  </si>
  <si>
    <t>REB EXT</t>
  </si>
  <si>
    <t>MASSA GESSO INTERNO</t>
  </si>
  <si>
    <t>CHAP INT</t>
  </si>
  <si>
    <t>PINT INT</t>
  </si>
  <si>
    <t>EST INT</t>
  </si>
  <si>
    <t>EST EXT</t>
  </si>
  <si>
    <t>ACAB INT</t>
  </si>
  <si>
    <t>PINT EXT</t>
  </si>
  <si>
    <t>ACAB EXT</t>
  </si>
  <si>
    <t>ARGAMASSADO INTERNO</t>
  </si>
  <si>
    <t>ARGAMASSADO EXTERNO</t>
  </si>
  <si>
    <t>ACABAMENTO INTERNO</t>
  </si>
  <si>
    <t>ACABAMENTO EXTERNO</t>
  </si>
  <si>
    <t>Tem itens aqui com estrutura, portanto, uma parte fica e argamassado e outra fica em alvenaria ali emcima</t>
  </si>
  <si>
    <t>Pergolado sem pilares sustentação - metálico</t>
  </si>
  <si>
    <t>CUB/SP R8-N</t>
  </si>
  <si>
    <t>Massa unica para reboco externo em argamassa estabilizada, espessura de 0,5cm, com execução desempenado fino</t>
  </si>
  <si>
    <t>Pergolados</t>
  </si>
  <si>
    <t>Esquadrias de Alumínio do duplex - fornecimento e instalação</t>
  </si>
  <si>
    <t>Linha supreme 25mm</t>
  </si>
  <si>
    <t>Esquadrias de Alumínio, linha 25 supreme - fornecimento e instalação</t>
  </si>
  <si>
    <t>Esquadrias de Alumínio, linha 32 gold - fornecimento e instalação</t>
  </si>
  <si>
    <t>Alvenaria de vedação de Bloco concreto corta-fogo de 09x19x39cm, com argamassa estabilizada</t>
  </si>
  <si>
    <t>Alvenaria de vedação de Bloco concreto corta-fogo de 14x19x39cm, com argamassa estabilizada</t>
  </si>
  <si>
    <t>Alvenaria de vedação de Bloco concreto corta-fogo com densidade acustica reforçada de 14x19x39cm, com argamassa estabilizada</t>
  </si>
  <si>
    <t>Alvenaria de vedação de Bloco concreto corta-fogo de 19x19x39cm, com argamassa estabilizada</t>
  </si>
  <si>
    <t>BLOCO DE concreto CORTA-FOGO  09X19X39 CM</t>
  </si>
  <si>
    <t>BLOCO DE concreto CORTA-FOGO  14X19X39 CM</t>
  </si>
  <si>
    <t>BLOCO DE concreto CORTA-FOGO ACUSTICA REFORÇADO  14X19X39 CM</t>
  </si>
  <si>
    <t>BLOCO DE concreto CORTA-FOGO  19X19X39 CM</t>
  </si>
  <si>
    <t>BLOCO DE concreto CORTA-FOGO  ACUSTICA REFORÇADO 19X19X39 CM</t>
  </si>
  <si>
    <t>Da marca oterprem, conforme projeto acustico r03</t>
  </si>
  <si>
    <t>Manta acústica “SoundSoft Ondulada” da Aubicon esp. 17/8mm”</t>
  </si>
  <si>
    <t>Manta acústica “SoundSoft laje zero” da Aubicon com polimero acrilico aderido da Baucryl</t>
  </si>
  <si>
    <t>molhado</t>
  </si>
  <si>
    <t>Tratamento acustico da sylomer da getzner esp. 50mm</t>
  </si>
  <si>
    <t>manta acústica Ebios de fibras de polipropileno esp. 10mm</t>
  </si>
  <si>
    <t>Considerado o lazer externo do 3 pav, e lazer interno e externo do 13 pav + academia + spa + deck da piscina - conforme o projeto de acustica disponibilizado</t>
  </si>
  <si>
    <t>Piso do duplex do 3, 5, 7, 11 e 16 pav - conforme o projeto de acustica disponibilizado</t>
  </si>
  <si>
    <t>Areas molhadas da piscona e do spa - conforme o projeto de acustica disponibilizado</t>
  </si>
  <si>
    <t>Parede Com Sistema Em Chapas De Gesso Para Drywall, Uso Interno, Montante 70mm, Com Uma Face Resistente a Umidade(RU/70) - com tratamento de junta</t>
  </si>
  <si>
    <t>MASSA JUNTA DRYWALL</t>
  </si>
  <si>
    <t>Rendimento de 0,5 m² por embalagem, ideal para pequenos e médios projetos.</t>
  </si>
  <si>
    <t>CONSIDERAREI ESTUCAMENTO</t>
  </si>
  <si>
    <t>REVESTIMENTO EXTERNO - TEXTURA PARA FACHADA, REVESTIMENTO FACHADA ESTRUTURA - COR 01 - MARROM  -  MASSA TEXTURIZADA ACRÍLICA IBRATIN PADRÃO GRANELLI 898A0A MANCHESTER MÁXIMO  -  FACHADA FRONTAL</t>
  </si>
  <si>
    <t>REVESTIMENTO EXTERNO - TEXTURA PARA FACHADA, REVESTIMENTO FACHADA PAREDE - COR 01 - MARROM  -  MASSA TEXTURIZADA ACRÍLICA IBRATIN PADRÃO GRANELLI 898A0A MANCHESTER MÁXIMO  -  FACHADA FRONTAL</t>
  </si>
  <si>
    <t>REVESTIMENTO EXTERNO - TEXTURA PARA FACHADA , MASSA TEXTURIZADA ACRÍLICA IBRATIN PADRÃO GRANELLI 898A0L MANCHESTER CLARO - FACHADA FRONTAL</t>
  </si>
  <si>
    <t>REVESTIMENTO EXTERNO - TEXTURA PARA FACHADA, REVESTIMENTO FACHADA ESTRUTURA - COR 02 - BEGE CLARO  -  MASSA TEXTURIZADA ACRÍLICA IBRATIN PADRÃO GRANELLI 898A0L MANCHESTER CLARO  -  FACHADA FRONTAL</t>
  </si>
  <si>
    <t>REVESTIMENTO EXTERNO - TEXTURA PARA FACHADA, REVESTIMENTO FACHADA PAREDE - COR 02 - BEGE CLARO  -  MASSA TEXTURIZADA ACRÍLICA IBRATIN PADRÃO GRANELLI 898A0L MANCHESTER CLARO  -  FACHADA FRONTAL</t>
  </si>
  <si>
    <t>REVESTIMENTO EXTERNO - TEXTURA PARA FACHADA, REVESTIMENTO FACHADA ESTRUTURA - COR 03 - BEGE ESCURO  -  MASSA TEXTURIZADA ACRÍLICA IBRATIN PADRÃO GRANELLI 898A0R MANCHESTER MÍNIMO  -  FACHADA FRONTAL</t>
  </si>
  <si>
    <t>REVESTIMENTO EXTERNO - TEXTURA PARA FACHADA, REVESTIMENTO FACHADA PAREDE - COR 03 - BEGE ESCURO  -  MASSA TEXTURIZADA ACRÍLICA IBRATIN PADRÃO GRANELLI 898A0R MANCHESTER MÍNIMO  -  FACHADA FRONTAL</t>
  </si>
  <si>
    <t>REVESTIMENTO EXTERNO - TEXTURA PARA FACHADA, REVESTIMENTO FACHADA ESTRUTURA - COR 02 - BEGE CLARO  -  MASSA TEXTURIZADA ACRÍLICA IBRATIN PADRÃO GRANELLI 898A0L MANCHESTER CLARO  -  FACHADA LATERAL DIREITA</t>
  </si>
  <si>
    <t>41.1.9</t>
  </si>
  <si>
    <t>REVESTIMENTO EXTERNO - TEXTURA PARA FACHADA, REVESTIMENTO FACHADA ESTRUTURA - COR 03 - BEGE ESCURO  -  MASSA TEXTURIZADA ACRÍLICA IBRATIN PADRÃO GRANELLI 898A0R MANCHESTER MÍNIMO  -  FACHADA LATERAL DIREITA</t>
  </si>
  <si>
    <t>41.1.10</t>
  </si>
  <si>
    <t>REVESTIMENTO EXTERNO - TEXTURA PARA FACHADA, REVESTIMENTO FACHADA PAREDE - COR 03 - BEGE ESCURO  -  MASSA TEXTURIZADA ACRÍLICA IBRATIN PADRÃO GRANELLI 898A0R MANCHESTER MÍNIMO  -  FACHADA LATERAL DIREITA</t>
  </si>
  <si>
    <t>41.1.11</t>
  </si>
  <si>
    <t>REVESTIMENTO EXTERNO - TEXTURA PARA FACHADA, REVESTIMENTO FACHADA ESTRUTURA - COR 02 - BEGE CLARO  -  MASSA TEXTURIZADA ACRÍLICA IBRATIN PADRÃO GRANELLI 898A0L MANCHESTER CLARO  -  FACHADA LATERAL ESQUERDA</t>
  </si>
  <si>
    <t>41.1.12</t>
  </si>
  <si>
    <t>REVESTIMENTO EXTERNO - TEXTURA PARA FACHADA, REVESTIMENTO FACHADA PAREDE - COR 02 - BEGE CLARO  -  MASSA TEXTURIZADA ACRÍLICA IBRATIN PADRÃO GRANELLI 898A0L MANCHESTER CLARO  -  FACHADA LATERAL ESQUERDA</t>
  </si>
  <si>
    <t>41.1.13</t>
  </si>
  <si>
    <t>REVESTIMENTO EXTERNO - TEXTURA PARA FACHADA, REVESTIMENTO FACHADA ESTRUTURA - COR 02 - BEGE CLARO  -  MASSA TEXTURIZADA ACRÍLICA IBRATIN PADRÃO GRANELLI 898A0L MANCHESTER CLARO  -  FACHADA POSTERIOR</t>
  </si>
  <si>
    <t>41.1.14</t>
  </si>
  <si>
    <t>REVESTIMENTO EXTERNO - TEXTURA PARA FACHADA, REVESTIMENTO FACHADA PAREDE - COR 02 - BEGE CLARO  -  MASSA TEXTURIZADA ACRÍLICA IBRATIN PADRÃO GRANELLI 898A0L MANCHESTER CLARO  -  FACHADA POSTERIOR</t>
  </si>
  <si>
    <t>41.1.15</t>
  </si>
  <si>
    <t>REVESTIMENTO EXTERNO - TEXTURA PARA FACHADA, REVESTIMENTO FACHADA ESTRUTURA - COR 03 - BEGE ESCURO  -  MASSA TEXTURIZADA ACRÍLICA IBRATIN PADRÃO GRANELLI 898A0R MANCHESTER MÍNIMO  -  FACHADA POSTERIOR</t>
  </si>
  <si>
    <t>41.1.16</t>
  </si>
  <si>
    <t>REVESTIMENTO EXTERNO - TEXTURA PARA FACHADA, REVESTIMENTO FACHADA PAREDE - COR 03 - BEGE ESCURO  -  MASSA TEXTURIZADA ACRÍLICA IBRATIN PADRÃO GRANELLI 898A0R MANCHESTER MÍNIMO  -  FACHADA POSTERIOR</t>
  </si>
  <si>
    <t>REVESTIMENTO EXTERNO - TEXTURA PARA FACHADA , MASSA TEXTURIZADA ACRÍLICA IBRATIN PADRÃO GRANELLI 898A0A MANCHESTER MÁXIMO - FACHADA FRONTAL</t>
  </si>
  <si>
    <t>REVESTIMENTO EXTERNO - TEXTURA PARA FACHADA , MASSA TEXTURIZADA ACRÍLICA IBRATIN PADRÃO GRANELLI 898A0R MANCHESTER MÍNIMO - FACHADA FRONTAL</t>
  </si>
  <si>
    <t>REVESTIMENTO EXTERNO - TEXTURA PARA FACHADA , MASSA TEXTURIZADA ACRÍLICA IBRATIN PADRÃO GRANELLI 898A0A MANCHESTER MÁXIMO - FACHADA LATERAL DIREITA</t>
  </si>
  <si>
    <t>REVESTIMENTO EXTERNO - TEXTURA PARA FACHADA, REVESTIMENTO FACHADA ESTRUTURA - COR 01 - MARROM  -  MASSA TEXTURIZADA ACRÍLICA IBRATIN PADRÃO GRANELLI 898A0A MANCHESTER MÁXIMO  -  FACHADA LATERAL DIREITA</t>
  </si>
  <si>
    <t>41.2.12</t>
  </si>
  <si>
    <t>41.2.13</t>
  </si>
  <si>
    <t>REVESTIMENTO EXTERNO - TEXTURA PARA FACHADA, REVESTIMENTO FACHADA PAREDE - COR 02 - BEGE CLARO  -  MASSA TEXTURIZADA ACRÍLICA IBRATIN PADRÃO GRANELLI 898A0L MANCHESTER CLARO  -  FACHADA LATERAL DIREITA</t>
  </si>
  <si>
    <t>41.2.14</t>
  </si>
  <si>
    <t>REVESTIMENTO EXTERNO - TEXTURA PARA FACHADA , MASSA TEXTURIZADA ACRÍLICA IBRATIN PADRÃO GRANELLI 898A0R MANCHESTER MÍNIMO - FACHADA LATERAL DIREITA</t>
  </si>
  <si>
    <t>41.2.15</t>
  </si>
  <si>
    <t>REVESTIMENTO EXTERNO - TEXTURA PARA FACHADA, REVESTIMENTO FACHADA DRYWALL - COR 03 - BEGE ESCURO  -  MASSA TEXTURIZADA ACRÍLICA IBRATIN PADRÃO GRANELLI 898A0R MANCHESTER MÍNIMO  -  FACHADA LATERAL DIREITA</t>
  </si>
  <si>
    <t>41.2.16</t>
  </si>
  <si>
    <t>41.2.17</t>
  </si>
  <si>
    <t>41.2.18</t>
  </si>
  <si>
    <t>REVESTIMENTO EXTERNO - TEXTURA PARA FACHADA , MASSA TEXTURIZADA ACRÍLICA IBRATIN PADRÃO GRANELLI 898A0A MANCHESTER MÁXIMO - FACHADA LATERAL ESQUERDA</t>
  </si>
  <si>
    <t>41.2.19</t>
  </si>
  <si>
    <t>REVESTIMENTO EXTERNO - TEXTURA PARA FACHADA, REVESTIMENTO FACHADA ESTRUTURA - COR 01 - MARROM  -  MASSA TEXTURIZADA ACRÍLICA IBRATIN PADRÃO GRANELLI 898A0A MANCHESTER MÁXIMO  -  FACHADA LATERAL ESQUERDA</t>
  </si>
  <si>
    <t>41.2.20</t>
  </si>
  <si>
    <t>41.2.21</t>
  </si>
  <si>
    <t>41.2.22</t>
  </si>
  <si>
    <t>REVESTIMENTO EXTERNO - TEXTURA PARA FACHADA , MASSA TEXTURIZADA ACRÍLICA IBRATIN PADRÃO GRANELLI 898A0R MANCHESTER MÍNIMO - FACHADA LATERAL ESQUERDA</t>
  </si>
  <si>
    <t>41.2.23</t>
  </si>
  <si>
    <t>REVESTIMENTO EXTERNO - TEXTURA PARA FACHADA, REVESTIMENTO FACHADA DRYWALL - COR 03 - BEGE ESCURO  -  MASSA TEXTURIZADA ACRÍLICA IBRATIN PADRÃO GRANELLI 898A0R MANCHESTER MÍNIMO  -  FACHADA LATERAL ESQUERDA</t>
  </si>
  <si>
    <t>41.2.24</t>
  </si>
  <si>
    <t>REVESTIMENTO EXTERNO - TEXTURA PARA FACHADA, REVESTIMENTO FACHADA ESTRUTURA - COR 03 - BEGE ESCURO  -  MASSA TEXTURIZADA ACRÍLICA IBRATIN PADRÃO GRANELLI 898A0R MANCHESTER MÍNIMO  -  FACHADA LATERAL ESQUERDA</t>
  </si>
  <si>
    <t>41.2.25</t>
  </si>
  <si>
    <t>REVESTIMENTO EXTERNO - TEXTURA PARA FACHADA, REVESTIMENTO FACHADA PAREDE - COR 03 - BEGE ESCURO  -  MASSA TEXTURIZADA ACRÍLICA IBRATIN PADRÃO GRANELLI 898A0R MANCHESTER MÍNIMO  -  FACHADA LATERAL ESQUERDA</t>
  </si>
  <si>
    <t>41.2.26</t>
  </si>
  <si>
    <t>41.2.27</t>
  </si>
  <si>
    <t>41.2.28</t>
  </si>
  <si>
    <t>REVESTIMENTO EXTERNO - TEXTURA PARA FACHADA, REVESTIMENTO FACHADA DRYWALL - COR 03 - BEGE ESCURO  -  MASSA TEXTURIZADA ACRÍLICA IBRATIN PADRÃO GRANELLI 898A0R MANCHESTER MÍNIMO  -  FACHADA POSTERIOR</t>
  </si>
  <si>
    <t>41.2.29</t>
  </si>
  <si>
    <t>41.2.30</t>
  </si>
  <si>
    <t>REVESTIMENTO EXTERNO - TEXTURA PARA FACHADA, REVESTIMENTO FACHADA DRYWALL - COR 02 - BEGE CLARO  -  MASSA TEXTURIZADA ACRÍLICA IBRATIN PADRÃO GRANELLI 898A0L MANCHESTER CLARO  -  FACHADA FRONTAL</t>
  </si>
  <si>
    <t>REVESTIMENTO EXTERNO - TEXTURA PARA FACHADA, REVESTIMENTO FACHADA DRYWALL - COR 03 - BEGE ESCURO  -  MASSA TEXTURIZADA ACRÍLICA IBRATIN PADRÃO GRANELLI 898A0R MANCHESTER MÍNIMO  -  FACHADA FRONTAL</t>
  </si>
  <si>
    <t>41.3.12</t>
  </si>
  <si>
    <t>41.3.13</t>
  </si>
  <si>
    <t>41.3.14</t>
  </si>
  <si>
    <t>41.3.15</t>
  </si>
  <si>
    <t>41.3.16</t>
  </si>
  <si>
    <t>41.3.17</t>
  </si>
  <si>
    <t>41.3.18</t>
  </si>
  <si>
    <t>41.3.19</t>
  </si>
  <si>
    <t>41.3.20</t>
  </si>
  <si>
    <t>41.3.21</t>
  </si>
  <si>
    <t>REVESTIMENTO EXTERNO - TEXTURA PARA FACHADA, REVESTIMENTO FACHADA DRYWALL - COR 02 - BEGE CLARO  -  MASSA TEXTURIZADA ACRÍLICA IBRATIN PADRÃO GRANELLI 898A0L MANCHESTER CLARO  -  FACHADA LATERAL ESQUERDA</t>
  </si>
  <si>
    <t>41.3.22</t>
  </si>
  <si>
    <t>41.3.23</t>
  </si>
  <si>
    <t>41.3.24</t>
  </si>
  <si>
    <t>41.3.25</t>
  </si>
  <si>
    <t>41.3.26</t>
  </si>
  <si>
    <t>41.3.27</t>
  </si>
  <si>
    <t>41.3.28</t>
  </si>
  <si>
    <t>41.3.29</t>
  </si>
  <si>
    <t>41.3.30</t>
  </si>
  <si>
    <t>41.3.31</t>
  </si>
  <si>
    <t>41.3.32</t>
  </si>
  <si>
    <t>41.4.12</t>
  </si>
  <si>
    <t>41.4.13</t>
  </si>
  <si>
    <t>41.4.14</t>
  </si>
  <si>
    <t>41.4.15</t>
  </si>
  <si>
    <t>41.4.16</t>
  </si>
  <si>
    <t>41.4.17</t>
  </si>
  <si>
    <t>41.4.18</t>
  </si>
  <si>
    <t>41.4.19</t>
  </si>
  <si>
    <t>41.4.20</t>
  </si>
  <si>
    <t>41.4.21</t>
  </si>
  <si>
    <t>41.4.22</t>
  </si>
  <si>
    <t>41.4.23</t>
  </si>
  <si>
    <t>41.4.24</t>
  </si>
  <si>
    <t>41.4.25</t>
  </si>
  <si>
    <t>41.4.26</t>
  </si>
  <si>
    <t>41.4.27</t>
  </si>
  <si>
    <t>41.4.28</t>
  </si>
  <si>
    <t>41.4.29</t>
  </si>
  <si>
    <t>41.5.12</t>
  </si>
  <si>
    <t>41.5.13</t>
  </si>
  <si>
    <t>41.5.14</t>
  </si>
  <si>
    <t>41.5.15</t>
  </si>
  <si>
    <t>41.5.16</t>
  </si>
  <si>
    <t>41.5.17</t>
  </si>
  <si>
    <t>41.5.18</t>
  </si>
  <si>
    <t>41.5.19</t>
  </si>
  <si>
    <t>41.5.20</t>
  </si>
  <si>
    <t>41.5.21</t>
  </si>
  <si>
    <t>41.5.22</t>
  </si>
  <si>
    <t>41.5.23</t>
  </si>
  <si>
    <t>41.5.24</t>
  </si>
  <si>
    <t>41.5.25</t>
  </si>
  <si>
    <t>41.5.26</t>
  </si>
  <si>
    <t>41.5.27</t>
  </si>
  <si>
    <t>41.5.28</t>
  </si>
  <si>
    <t>41.5.29</t>
  </si>
  <si>
    <t>41.6.12</t>
  </si>
  <si>
    <t>41.6.13</t>
  </si>
  <si>
    <t>41.6.14</t>
  </si>
  <si>
    <t>41.6.15</t>
  </si>
  <si>
    <t>41.6.16</t>
  </si>
  <si>
    <t>41.6.17</t>
  </si>
  <si>
    <t>41.6.18</t>
  </si>
  <si>
    <t>41.6.19</t>
  </si>
  <si>
    <t>41.6.20</t>
  </si>
  <si>
    <t>41.6.21</t>
  </si>
  <si>
    <t>41.6.22</t>
  </si>
  <si>
    <t>41.6.23</t>
  </si>
  <si>
    <t>41.6.24</t>
  </si>
  <si>
    <t>41.6.25</t>
  </si>
  <si>
    <t>41.6.26</t>
  </si>
  <si>
    <t>41.6.27</t>
  </si>
  <si>
    <t>41.6.28</t>
  </si>
  <si>
    <t>41.6.29</t>
  </si>
  <si>
    <t>41.7.12</t>
  </si>
  <si>
    <t>41.7.13</t>
  </si>
  <si>
    <t>41.7.14</t>
  </si>
  <si>
    <t>41.7.15</t>
  </si>
  <si>
    <t>41.7.16</t>
  </si>
  <si>
    <t>41.7.17</t>
  </si>
  <si>
    <t>41.7.18</t>
  </si>
  <si>
    <t>41.7.19</t>
  </si>
  <si>
    <t>41.7.20</t>
  </si>
  <si>
    <t>41.7.21</t>
  </si>
  <si>
    <t>41.7.22</t>
  </si>
  <si>
    <t>41.7.23</t>
  </si>
  <si>
    <t>41.7.24</t>
  </si>
  <si>
    <t>41.7.25</t>
  </si>
  <si>
    <t>41.7.26</t>
  </si>
  <si>
    <t>41.7.27</t>
  </si>
  <si>
    <t>41.7.28</t>
  </si>
  <si>
    <t>41.7.29</t>
  </si>
  <si>
    <t>41.8.12</t>
  </si>
  <si>
    <t>41.8.13</t>
  </si>
  <si>
    <t>41.8.14</t>
  </si>
  <si>
    <t>41.8.15</t>
  </si>
  <si>
    <t>41.8.16</t>
  </si>
  <si>
    <t>41.8.17</t>
  </si>
  <si>
    <t>41.8.18</t>
  </si>
  <si>
    <t>41.8.19</t>
  </si>
  <si>
    <t>41.8.20</t>
  </si>
  <si>
    <t>41.8.21</t>
  </si>
  <si>
    <t>41.8.22</t>
  </si>
  <si>
    <t>41.8.23</t>
  </si>
  <si>
    <t>41.8.24</t>
  </si>
  <si>
    <t>41.8.25</t>
  </si>
  <si>
    <t>41.8.26</t>
  </si>
  <si>
    <t>41.8.27</t>
  </si>
  <si>
    <t>41.8.28</t>
  </si>
  <si>
    <t>41.8.29</t>
  </si>
  <si>
    <t>41.9.12</t>
  </si>
  <si>
    <t>41.9.13</t>
  </si>
  <si>
    <t>41.9.14</t>
  </si>
  <si>
    <t>41.9.15</t>
  </si>
  <si>
    <t>41.9.16</t>
  </si>
  <si>
    <t>41.9.17</t>
  </si>
  <si>
    <t>41.9.18</t>
  </si>
  <si>
    <t>41.9.19</t>
  </si>
  <si>
    <t>41.9.20</t>
  </si>
  <si>
    <t>41.9.21</t>
  </si>
  <si>
    <t>41.9.22</t>
  </si>
  <si>
    <t>41.9.23</t>
  </si>
  <si>
    <t>41.9.24</t>
  </si>
  <si>
    <t>41.9.25</t>
  </si>
  <si>
    <t>41.9.26</t>
  </si>
  <si>
    <t>41.9.27</t>
  </si>
  <si>
    <t>41.9.28</t>
  </si>
  <si>
    <t>41.9.29</t>
  </si>
  <si>
    <t>41.10.12</t>
  </si>
  <si>
    <t>41.10.13</t>
  </si>
  <si>
    <t>41.10.14</t>
  </si>
  <si>
    <t>41.10.15</t>
  </si>
  <si>
    <t>41.10.16</t>
  </si>
  <si>
    <t>41.10.17</t>
  </si>
  <si>
    <t>41.10.18</t>
  </si>
  <si>
    <t>41.10.19</t>
  </si>
  <si>
    <t>41.10.20</t>
  </si>
  <si>
    <t>41.10.21</t>
  </si>
  <si>
    <t>41.10.22</t>
  </si>
  <si>
    <t>41.10.23</t>
  </si>
  <si>
    <t>41.10.24</t>
  </si>
  <si>
    <t>41.10.25</t>
  </si>
  <si>
    <t>41.10.26</t>
  </si>
  <si>
    <t>41.10.27</t>
  </si>
  <si>
    <t>41.10.28</t>
  </si>
  <si>
    <t>41.10.29</t>
  </si>
  <si>
    <t>41.11.12</t>
  </si>
  <si>
    <t>41.11.13</t>
  </si>
  <si>
    <t>41.11.14</t>
  </si>
  <si>
    <t>41.11.15</t>
  </si>
  <si>
    <t>41.11.16</t>
  </si>
  <si>
    <t>41.11.17</t>
  </si>
  <si>
    <t>41.11.18</t>
  </si>
  <si>
    <t>41.11.19</t>
  </si>
  <si>
    <t>41.11.20</t>
  </si>
  <si>
    <t>41.11.21</t>
  </si>
  <si>
    <t>41.11.22</t>
  </si>
  <si>
    <t>41.11.23</t>
  </si>
  <si>
    <t>41.11.24</t>
  </si>
  <si>
    <t>41.11.25</t>
  </si>
  <si>
    <t>41.11.26</t>
  </si>
  <si>
    <t>41.11.27</t>
  </si>
  <si>
    <t>41.11.28</t>
  </si>
  <si>
    <t>41.11.29</t>
  </si>
  <si>
    <t>41.12.12</t>
  </si>
  <si>
    <t>41.12.13</t>
  </si>
  <si>
    <t>41.12.14</t>
  </si>
  <si>
    <t>41.12.15</t>
  </si>
  <si>
    <t>41.12.16</t>
  </si>
  <si>
    <t>41.12.17</t>
  </si>
  <si>
    <t>41.12.18</t>
  </si>
  <si>
    <t>41.12.19</t>
  </si>
  <si>
    <t>41.12.20</t>
  </si>
  <si>
    <t>41.12.21</t>
  </si>
  <si>
    <t>41.12.22</t>
  </si>
  <si>
    <t>41.12.23</t>
  </si>
  <si>
    <t>41.12.24</t>
  </si>
  <si>
    <t>41.12.25</t>
  </si>
  <si>
    <t>41.12.26</t>
  </si>
  <si>
    <t>41.12.27</t>
  </si>
  <si>
    <t>41.12.28</t>
  </si>
  <si>
    <t>41.12.29</t>
  </si>
  <si>
    <t>41.13.12</t>
  </si>
  <si>
    <t>41.13.13</t>
  </si>
  <si>
    <t>41.13.14</t>
  </si>
  <si>
    <t>41.13.15</t>
  </si>
  <si>
    <t>41.13.16</t>
  </si>
  <si>
    <t>41.13.17</t>
  </si>
  <si>
    <t>41.13.18</t>
  </si>
  <si>
    <t>41.13.19</t>
  </si>
  <si>
    <t>41.13.20</t>
  </si>
  <si>
    <t>41.13.21</t>
  </si>
  <si>
    <t>41.13.22</t>
  </si>
  <si>
    <t>41.13.23</t>
  </si>
  <si>
    <t>41.13.24</t>
  </si>
  <si>
    <t>41.13.25</t>
  </si>
  <si>
    <t>41.13.26</t>
  </si>
  <si>
    <t>41.13.27</t>
  </si>
  <si>
    <t>41.13.28</t>
  </si>
  <si>
    <t>41.13.29</t>
  </si>
  <si>
    <t>41.14.11</t>
  </si>
  <si>
    <t>41.14.12</t>
  </si>
  <si>
    <t>41.14.13</t>
  </si>
  <si>
    <t>41.14.14</t>
  </si>
  <si>
    <t>41.14.15</t>
  </si>
  <si>
    <t>41.14.16</t>
  </si>
  <si>
    <t>41.14.17</t>
  </si>
  <si>
    <t>41.14.18</t>
  </si>
  <si>
    <t>REVESTIMENTO EXTERNO - TEXTURA PARA FACHADA , MASSA TEXTURIZADA ACRÍLICA IBRATIN PADRÃO GRANELLI 898A0L MANCHESTER CLARO - FACHADA POSTERIOR</t>
  </si>
  <si>
    <t>41.14.19</t>
  </si>
  <si>
    <t>41.14.20</t>
  </si>
  <si>
    <t>41.14.21</t>
  </si>
  <si>
    <t>41.14.22</t>
  </si>
  <si>
    <t>41.15.12</t>
  </si>
  <si>
    <t>41.15.13</t>
  </si>
  <si>
    <t>41.15.14</t>
  </si>
  <si>
    <t>41.15.15</t>
  </si>
  <si>
    <t>41.15.16</t>
  </si>
  <si>
    <t>41.15.17</t>
  </si>
  <si>
    <t>REVESTIMENTO EXTERNO - TEXTURA PARA FACHADA, REVESTIMENTO FACHADA ESTRUTURA - COR 01 - MARROM  -  MASSA TEXTURIZADA ACRÍLICA IBRATIN PADRÃO GRANELLI 898A0A MANCHESTER MÁXIMO  -  FACHADA POSTERIOR</t>
  </si>
  <si>
    <t>41.15.18</t>
  </si>
  <si>
    <t>41.15.19</t>
  </si>
  <si>
    <t>41.15.20</t>
  </si>
  <si>
    <t>REVESTIMENTO EXTERNO - TEXTURA PARA FACHADA , MASSA TEXTURIZADA ACRÍLICA IBRATIN PADRÃO GRANELLI 898A0R MANCHESTER MÍNIMO - FACHADA POSTERIOR</t>
  </si>
  <si>
    <t>41.15.21</t>
  </si>
  <si>
    <t>41.15.22</t>
  </si>
  <si>
    <t>41.16.12</t>
  </si>
  <si>
    <t>41.16.13</t>
  </si>
  <si>
    <t>41.16.14</t>
  </si>
  <si>
    <t>41.16.15</t>
  </si>
  <si>
    <t>41.16.16</t>
  </si>
  <si>
    <t>41.16.17</t>
  </si>
  <si>
    <t>41.16.18</t>
  </si>
  <si>
    <t>41.16.19</t>
  </si>
  <si>
    <t>41.16.20</t>
  </si>
  <si>
    <t>41.16.21</t>
  </si>
  <si>
    <t>REVESTIMENTO EXTERNO - TEXTURA PARA FACHADA, REVESTIMENTO FACHADA DRYWALL - COR 02 - BEGE CLARO  -  MASSA TEXTURIZADA ACRÍLICA IBRATIN PADRÃO GRANELLI 898A0L MANCHESTER CLARO  -  FACHADA POSTERIOR</t>
  </si>
  <si>
    <t>41.16.22</t>
  </si>
  <si>
    <t>41.16.23</t>
  </si>
  <si>
    <t>41.16.24</t>
  </si>
  <si>
    <t>41.16.25</t>
  </si>
  <si>
    <t>41.16.26</t>
  </si>
  <si>
    <t>41.17.12</t>
  </si>
  <si>
    <t>41.17.13</t>
  </si>
  <si>
    <t>41.17.14</t>
  </si>
  <si>
    <t>41.17.15</t>
  </si>
  <si>
    <t>41.17.16</t>
  </si>
  <si>
    <t>41.17.17</t>
  </si>
  <si>
    <t>41.17.18</t>
  </si>
  <si>
    <t>41.17.19</t>
  </si>
  <si>
    <t>41.17.20</t>
  </si>
  <si>
    <t>41.17.21</t>
  </si>
  <si>
    <t>41.17.22</t>
  </si>
  <si>
    <t>41.17.23</t>
  </si>
  <si>
    <t>41.17.24</t>
  </si>
  <si>
    <t>41.17.25</t>
  </si>
  <si>
    <t>41.17.26</t>
  </si>
  <si>
    <t>41.18.13</t>
  </si>
  <si>
    <t>41.18.14</t>
  </si>
  <si>
    <t>41.18.15</t>
  </si>
  <si>
    <t>41.18.16</t>
  </si>
  <si>
    <t>41.18.17</t>
  </si>
  <si>
    <t>41.18.18</t>
  </si>
  <si>
    <t>41.18.19</t>
  </si>
  <si>
    <t>41.18.20</t>
  </si>
  <si>
    <t>41.18.21</t>
  </si>
  <si>
    <t>41.18.22</t>
  </si>
  <si>
    <t>41.18.23</t>
  </si>
  <si>
    <t>41.18.24</t>
  </si>
  <si>
    <t>41.18.25</t>
  </si>
  <si>
    <t>41.18.26</t>
  </si>
  <si>
    <t>41.18.27</t>
  </si>
  <si>
    <t>REVESTIMENTO EXTERNO - TEXTURA PARA FACHADA , MASSA TEXTURIZADA ACRÍLICA IBRATIN PADRÃO GRANELLI 898A0L MANCHESTER CLARO - FACHADA LATERAL DIREITA</t>
  </si>
  <si>
    <t>41.19.9</t>
  </si>
  <si>
    <t>41.19.10</t>
  </si>
  <si>
    <t>41.19.11</t>
  </si>
  <si>
    <t>41.19.12</t>
  </si>
  <si>
    <t>41.19.13</t>
  </si>
  <si>
    <t>41.19.14</t>
  </si>
  <si>
    <t>41.19.15</t>
  </si>
  <si>
    <t>41.19.16</t>
  </si>
  <si>
    <t>41.19.17</t>
  </si>
  <si>
    <t>41.20.8</t>
  </si>
  <si>
    <t>41.20.9</t>
  </si>
  <si>
    <t>41.20.10</t>
  </si>
  <si>
    <t>41.20.11</t>
  </si>
  <si>
    <t>41.20.12</t>
  </si>
  <si>
    <t>41.20.13</t>
  </si>
  <si>
    <t>41.20.14</t>
  </si>
  <si>
    <t>41.21.8</t>
  </si>
  <si>
    <t>41.21.9</t>
  </si>
  <si>
    <t>41.21.10</t>
  </si>
  <si>
    <t>41.21.11</t>
  </si>
  <si>
    <t>41.21.12</t>
  </si>
  <si>
    <t>41.21.13</t>
  </si>
  <si>
    <t>41.21.14</t>
  </si>
  <si>
    <t>MAX</t>
  </si>
  <si>
    <t>CLARO</t>
  </si>
  <si>
    <t>MINI</t>
  </si>
  <si>
    <t>MARROM</t>
  </si>
  <si>
    <t>BEGE CLARO</t>
  </si>
  <si>
    <t>BEGE ESCURO</t>
  </si>
  <si>
    <t>Cor bege escuro</t>
  </si>
  <si>
    <t>Cor bege claro</t>
  </si>
  <si>
    <t>Cor marrom</t>
  </si>
  <si>
    <t>MASSA TEXTURIZADA ACRÍLICA IBRATIN PADRÃO GRANELLI 898A0R MANCHESTER MÍNIMO - BEGE ESCURO</t>
  </si>
  <si>
    <t>Massa texturizada pigmentada acrilica Granelli Manchester Mínimo, cor bege escuro, em Paredes Externas, 1 Demaos</t>
  </si>
  <si>
    <t>Massa texturizada pigmentada acrilica Granelli Manchester, cor marrom, Máximo em Paredes Externas, 1 Demaos</t>
  </si>
  <si>
    <t>Massa texturizada pigmentada acrilica Granelli Manchester Claro, corbege claro, em Paredes Externas, 1 Demaos</t>
  </si>
  <si>
    <t>MASSA TEXTURIZADA ACRÍLICA IBRATIN PADRÃO GRANELLI 898A0A MANCHESTER MÁXIMO - MARROM</t>
  </si>
  <si>
    <t xml:space="preserve"> MASSA TEXTURIZADA ACRÍLICA IBRATIN PADRÃO GRANELLI 898A0L MANCHESTER CLARO - BEGE CLARO</t>
  </si>
  <si>
    <t>controle solar fs45(neutral 55 4mm + pvb 0,38mm + incolor 4mm - cai) e de vidro laminado incolor com controle solar fs60(neutral 70 oc 4mm + pvb 0,38mm + incolor 4mm )</t>
  </si>
  <si>
    <t>Marmore bancada da cozinha</t>
  </si>
  <si>
    <t>Marmore bancada</t>
  </si>
  <si>
    <t>Marmore bancada cozinha + a da ilha embutida</t>
  </si>
  <si>
    <t>Esta incluso na etapa de mobiliario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</si>
</sst>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_);_(&quot;R$&quot;* \(#,##0\);_(&quot;R$&quot;* &quot;-&quot;_);_(@_)"/>
    <numFmt numFmtId="165" formatCode="_(* #,##0_);_(* \(#,##0\);_(* &quot;-&quot;_);_(@_)"/>
    <numFmt numFmtId="166" formatCode="_(&quot;R$&quot;* #,##0.00_);_(&quot;R$&quot;* \(#,##0.00\);_(&quot;R$&quot;* &quot;-&quot;??_);_(@_)"/>
    <numFmt numFmtId="167" formatCode="_(* #,##0.00_);_(* \(#,##0.00\);_(* &quot;-&quot;??_);_(@_)"/>
    <numFmt numFmtId="168" formatCode="dd/mm/yy;@"/>
    <numFmt numFmtId="169" formatCode="#.##000"/>
    <numFmt numFmtId="170" formatCode="#.##0,"/>
    <numFmt numFmtId="171" formatCode="\$#,#00"/>
    <numFmt numFmtId="172" formatCode="\$#,"/>
    <numFmt numFmtId="173" formatCode="#,#00"/>
    <numFmt numFmtId="174" formatCode="%#,#00"/>
    <numFmt numFmtId="175" formatCode="_([$€-2]* #,##0.00_);_([$€-2]* \(#,##0.00\);_([$€-2]* &quot;-&quot;??_)"/>
    <numFmt numFmtId="176" formatCode="#,"/>
    <numFmt numFmtId="177" formatCode="#,##0.0000"/>
    <numFmt numFmtId="178" formatCode="General_)"/>
    <numFmt numFmtId="179" formatCode="_(&quot;R$ &quot;* #,##0.00_);_(&quot;R$ &quot;* \(#,##0.00\);_(&quot;R$ &quot;* &quot;-&quot;??_);_(@_)"/>
    <numFmt numFmtId="180" formatCode="_-* #,##0.00_-;\-* #,##0.00_-;_-* &quot;-&quot;??_-;_-@"/>
    <numFmt numFmtId="181" formatCode="_(* #,##0_);_(* \(#,##0\);_(* &quot;-&quot;??_);_(@_)"/>
    <numFmt numFmtId="182" formatCode="_-* #,##0.00_-;\-* #,##0.00_-;_-* \-??_-;_-@_-"/>
    <numFmt numFmtId="183" formatCode="0#"/>
    <numFmt numFmtId="184" formatCode="00#"/>
    <numFmt numFmtId="185" formatCode="[$-416]mmm\-yy;@"/>
    <numFmt numFmtId="186" formatCode="_-* #,##0.00000_-;\-* #,##0.00000_-;_-* &quot;-&quot;??_-;_-@_-"/>
    <numFmt numFmtId="187" formatCode="_0.00\-&quot;Área&quot;"/>
    <numFmt numFmtId="188" formatCode="_-* #,##0.000_-;\-* #,##0.000_-;_-* &quot;-&quot;??_-;_-@_-"/>
    <numFmt numFmtId="189" formatCode="_0.000\-&quot;Correção&quot;"/>
    <numFmt numFmtId="190" formatCode="dd/mm/yy"/>
    <numFmt numFmtId="191" formatCode="_-&quot;R$&quot;\ * #,##0.00_-;\-&quot;R$&quot;\ * #,##0.00_-;_-&quot;R$&quot;\ * &quot;-&quot;??_-;_-@"/>
    <numFmt numFmtId="192" formatCode="#,##0.00000"/>
    <numFmt numFmtId="193" formatCode="#,##0.000000"/>
    <numFmt numFmtId="194" formatCode="_-* #,##0.0000_-;\-* #,##0.0000_-;_-* &quot;-&quot;??_-;_-@"/>
    <numFmt numFmtId="195" formatCode="0.000%"/>
  </numFmts>
  <fonts count="17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Swis721 Lt BT"/>
      <family val="2"/>
    </font>
    <font>
      <sz val="1"/>
      <color indexed="18"/>
      <name val="Courier"/>
      <family val="3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8"/>
      <name val="Trebuchet MS"/>
      <family val="2"/>
    </font>
    <font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0"/>
      <name val="MS Sans Serif"/>
      <family val="2"/>
    </font>
    <font>
      <sz val="14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0"/>
      <name val="Arial"/>
      <family val="2"/>
    </font>
    <font>
      <sz val="7"/>
      <name val="Arial"/>
      <family val="2"/>
    </font>
    <font>
      <b/>
      <sz val="9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8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sz val="8"/>
      <color theme="0" tint="-0.249977111117893"/>
      <name val="Arial"/>
      <family val="2"/>
    </font>
    <font>
      <b/>
      <sz val="9.5"/>
      <name val="Calibri"/>
      <family val="2"/>
      <scheme val="minor"/>
    </font>
    <font>
      <sz val="9.5"/>
      <name val="Calibri"/>
      <family val="2"/>
      <scheme val="minor"/>
    </font>
    <font>
      <sz val="9.5"/>
      <color theme="0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0" tint="-0.499984740745262"/>
      <name val="Calibri"/>
      <family val="2"/>
      <scheme val="minor"/>
    </font>
    <font>
      <sz val="8"/>
      <color theme="0" tint="-0.499984740745262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color rgb="FF121212"/>
      <name val="Poppins"/>
    </font>
    <font>
      <b/>
      <sz val="8"/>
      <color theme="0"/>
      <name val="Poppins"/>
    </font>
    <font>
      <sz val="10"/>
      <name val="Courier New"/>
      <family val="3"/>
    </font>
    <font>
      <sz val="8"/>
      <color rgb="FF121212"/>
      <name val="Poppins"/>
    </font>
    <font>
      <sz val="8"/>
      <color rgb="FF121212"/>
      <name val="Calibri"/>
      <family val="2"/>
      <scheme val="minor"/>
    </font>
    <font>
      <i/>
      <sz val="8"/>
      <color rgb="FF121212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2"/>
      <color indexed="8"/>
      <name val="Arial"/>
      <family val="2"/>
    </font>
    <font>
      <sz val="10"/>
      <color indexed="8"/>
      <name val="MS Sans Serif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8"/>
      <color theme="0"/>
      <name val="Poppins"/>
    </font>
    <font>
      <sz val="10"/>
      <color theme="0"/>
      <name val="Calibri"/>
      <family val="2"/>
      <scheme val="minor"/>
    </font>
    <font>
      <sz val="10"/>
      <color rgb="FF1212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sz val="11"/>
      <color theme="1"/>
      <name val="Calibri"/>
      <family val="2"/>
    </font>
    <font>
      <b/>
      <sz val="8"/>
      <name val="Poppins"/>
    </font>
    <font>
      <sz val="8"/>
      <color rgb="FF1851D6"/>
      <name val="Calibri"/>
      <family val="2"/>
      <scheme val="minor"/>
    </font>
    <font>
      <sz val="10"/>
      <color rgb="FF000000"/>
      <name val="Times New Roman"/>
      <family val="1"/>
    </font>
    <font>
      <b/>
      <sz val="7"/>
      <color theme="0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  <font>
      <sz val="7"/>
      <color rgb="FFFF0000"/>
      <name val="Arial"/>
      <family val="2"/>
    </font>
    <font>
      <b/>
      <sz val="10"/>
      <color theme="0"/>
      <name val="Arial"/>
      <family val="2"/>
    </font>
    <font>
      <b/>
      <sz val="8"/>
      <color rgb="FFFF0000"/>
      <name val="Calibri"/>
      <family val="2"/>
      <scheme val="minor"/>
    </font>
    <font>
      <b/>
      <sz val="14"/>
      <color rgb="FF121212"/>
      <name val="Poppins"/>
    </font>
    <font>
      <sz val="14"/>
      <color rgb="FF121212"/>
      <name val="Poppins"/>
    </font>
    <font>
      <sz val="5"/>
      <color theme="1"/>
      <name val="Arial Narrow"/>
      <family val="2"/>
    </font>
    <font>
      <sz val="5"/>
      <color theme="1"/>
      <name val="Roboto"/>
    </font>
    <font>
      <b/>
      <sz val="5"/>
      <color rgb="FF121212"/>
      <name val="Roboto"/>
    </font>
    <font>
      <sz val="10"/>
      <color theme="1"/>
      <name val="Roboto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1E4E79"/>
      <name val="Calibri"/>
      <family val="2"/>
    </font>
    <font>
      <b/>
      <sz val="16"/>
      <color theme="1"/>
      <name val="Calibri"/>
      <family val="2"/>
    </font>
    <font>
      <sz val="14"/>
      <color theme="1"/>
      <name val="Calibri"/>
      <family val="2"/>
    </font>
    <font>
      <sz val="9"/>
      <color theme="1"/>
      <name val="Calibri"/>
      <family val="2"/>
    </font>
    <font>
      <sz val="11"/>
      <name val="Calibri"/>
      <family val="2"/>
    </font>
    <font>
      <sz val="1"/>
      <color theme="1"/>
      <name val="Calibri"/>
      <family val="2"/>
    </font>
    <font>
      <sz val="14"/>
      <color theme="1"/>
      <name val="Arial"/>
      <family val="2"/>
    </font>
    <font>
      <b/>
      <sz val="14"/>
      <color theme="0"/>
      <name val="Arial"/>
      <family val="2"/>
    </font>
    <font>
      <sz val="10"/>
      <color theme="1"/>
      <name val="Arial"/>
      <family val="2"/>
    </font>
    <font>
      <sz val="1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0"/>
      <name val="Calibri"/>
      <family val="2"/>
    </font>
    <font>
      <sz val="10"/>
      <color theme="1"/>
      <name val="Arial Narrow"/>
      <family val="2"/>
    </font>
    <font>
      <sz val="10"/>
      <name val="Arial"/>
      <family val="2"/>
    </font>
    <font>
      <sz val="8"/>
      <color rgb="FF00B050"/>
      <name val="Calibri"/>
      <family val="2"/>
      <scheme val="minor"/>
    </font>
    <font>
      <sz val="11"/>
      <color theme="1"/>
      <name val="Calibri"/>
      <family val="2"/>
      <scheme val="minor"/>
    </font>
    <font>
      <sz val="2"/>
      <name val="Arial"/>
      <family val="2"/>
    </font>
    <font>
      <sz val="2"/>
      <name val="Calibri"/>
      <family val="2"/>
      <scheme val="minor"/>
    </font>
    <font>
      <sz val="7"/>
      <color rgb="FF00B050"/>
      <name val="Arial"/>
      <family val="2"/>
    </font>
    <font>
      <sz val="10"/>
      <name val="Arial"/>
      <family val="2"/>
    </font>
    <font>
      <b/>
      <sz val="8"/>
      <color rgb="FF0070C0"/>
      <name val="Calibri"/>
      <family val="2"/>
      <scheme val="minor"/>
    </font>
    <font>
      <sz val="11"/>
      <color theme="1"/>
      <name val="Calibri"/>
      <scheme val="minor"/>
    </font>
    <font>
      <sz val="10"/>
      <color rgb="FF000000"/>
      <name val="Calibri"/>
      <scheme val="minor"/>
    </font>
    <font>
      <sz val="10"/>
      <color rgb="FF205867"/>
      <name val="Calibri"/>
      <family val="2"/>
    </font>
    <font>
      <sz val="10"/>
      <color theme="0"/>
      <name val="Arial"/>
      <family val="2"/>
    </font>
    <font>
      <sz val="8"/>
      <name val="Arial"/>
    </font>
    <font>
      <b/>
      <sz val="14"/>
      <color theme="3" tint="0.39997558519241921"/>
      <name val="Arial"/>
      <family val="2"/>
    </font>
    <font>
      <b/>
      <sz val="14"/>
      <color rgb="FF00B050"/>
      <name val="Arial"/>
      <family val="2"/>
    </font>
    <font>
      <b/>
      <sz val="14"/>
      <color theme="9" tint="-0.249977111117893"/>
      <name val="Arial"/>
      <family val="2"/>
    </font>
    <font>
      <sz val="10"/>
      <color rgb="FF7030A0"/>
      <name val="Arial"/>
      <family val="2"/>
    </font>
    <font>
      <sz val="10"/>
      <color rgb="FF1851D6"/>
      <name val="Arial"/>
      <family val="2"/>
    </font>
    <font>
      <sz val="2"/>
      <color theme="0" tint="-0.249977111117893"/>
      <name val="Arial"/>
      <family val="2"/>
    </font>
    <font>
      <sz val="2"/>
      <color theme="0" tint="-0.249977111117893"/>
      <name val="Calibri"/>
      <family val="2"/>
      <scheme val="minor"/>
    </font>
    <font>
      <u/>
      <sz val="12"/>
      <color rgb="FFE8E8E8"/>
      <name val="Arial"/>
      <family val="2"/>
    </font>
    <font>
      <sz val="12"/>
      <color theme="1"/>
      <name val="Arial Narrow"/>
      <family val="2"/>
    </font>
    <font>
      <sz val="10"/>
      <color rgb="FF0099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mediumGray">
        <fgColor indexed="9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9292F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F438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rgb="FFDCDCDC"/>
      </patternFill>
    </fill>
    <fill>
      <patternFill patternType="solid">
        <fgColor theme="0" tint="-9.9978637043366805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/>
        <bgColor rgb="FFFFD965"/>
      </patternFill>
    </fill>
    <fill>
      <patternFill patternType="solid">
        <fgColor theme="2" tint="-0.14999847407452621"/>
        <bgColor rgb="FF255AE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A077B5"/>
        <bgColor indexed="64"/>
      </patternFill>
    </fill>
    <fill>
      <patternFill patternType="solid">
        <fgColor rgb="FF989DD0"/>
        <bgColor indexed="64"/>
      </patternFill>
    </fill>
    <fill>
      <patternFill patternType="solid">
        <fgColor rgb="FFF6F4F6"/>
        <bgColor indexed="64"/>
      </patternFill>
    </fill>
    <fill>
      <patternFill patternType="solid">
        <fgColor rgb="FFAAA1B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009900"/>
        <bgColor indexed="64"/>
      </patternFill>
    </fill>
    <fill>
      <patternFill patternType="solid">
        <fgColor theme="0" tint="-0.14999847407452621"/>
        <bgColor rgb="FFA5A5A5"/>
      </patternFill>
    </fill>
    <fill>
      <patternFill patternType="solid">
        <fgColor rgb="FF1851D6"/>
        <bgColor rgb="FF1851D6"/>
      </patternFill>
    </fill>
    <fill>
      <patternFill patternType="solid">
        <fgColor rgb="FF29292F"/>
        <bgColor rgb="FF29292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571078"/>
        <bgColor indexed="64"/>
      </patternFill>
    </fill>
  </fills>
  <borders count="20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 style="thin">
        <color rgb="FF29292F"/>
      </right>
      <top style="thin">
        <color rgb="FF29292F"/>
      </top>
      <bottom/>
      <diagonal/>
    </border>
    <border>
      <left style="thin">
        <color rgb="FF29292F"/>
      </left>
      <right/>
      <top/>
      <bottom/>
      <diagonal/>
    </border>
    <border>
      <left/>
      <right style="thin">
        <color rgb="FF29292F"/>
      </right>
      <top/>
      <bottom/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rgb="FF29292F"/>
      </right>
      <top/>
      <bottom style="thin">
        <color rgb="FF29292F"/>
      </bottom>
      <diagonal/>
    </border>
    <border>
      <left/>
      <right/>
      <top/>
      <bottom style="thin">
        <color rgb="FF29292F"/>
      </bottom>
      <diagonal/>
    </border>
    <border>
      <left/>
      <right/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rgb="FF29292F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29292F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 style="hair">
        <color rgb="FF000000"/>
      </bottom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 style="medium">
        <color indexed="64"/>
      </bottom>
      <diagonal/>
    </border>
    <border>
      <left/>
      <right style="thin">
        <color rgb="FF000000"/>
      </right>
      <top style="hair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 style="thin">
        <color rgb="FF29292F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000000"/>
      </right>
      <top style="hair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9292F"/>
      </left>
      <right/>
      <top style="thin">
        <color indexed="64"/>
      </top>
      <bottom style="thin">
        <color rgb="FF29292F"/>
      </bottom>
      <diagonal/>
    </border>
    <border>
      <left/>
      <right/>
      <top style="thin">
        <color indexed="64"/>
      </top>
      <bottom style="thin">
        <color rgb="FF29292F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/>
      <diagonal/>
    </border>
    <border>
      <left style="thin">
        <color rgb="FF29292F"/>
      </left>
      <right/>
      <top style="thin">
        <color indexed="64"/>
      </top>
      <bottom/>
      <diagonal/>
    </border>
    <border>
      <left style="thin">
        <color indexed="64"/>
      </left>
      <right style="thin">
        <color rgb="FF29292F"/>
      </right>
      <top/>
      <bottom/>
      <diagonal/>
    </border>
    <border>
      <left style="thin">
        <color indexed="64"/>
      </left>
      <right style="thin">
        <color rgb="FF29292F"/>
      </right>
      <top/>
      <bottom style="thin">
        <color rgb="FF29292F"/>
      </bottom>
      <diagonal/>
    </border>
    <border>
      <left/>
      <right style="thin">
        <color indexed="64"/>
      </right>
      <top/>
      <bottom style="thin">
        <color rgb="FF29292F"/>
      </bottom>
      <diagonal/>
    </border>
    <border>
      <left style="thin">
        <color rgb="FF000000"/>
      </left>
      <right style="medium">
        <color indexed="64"/>
      </right>
      <top style="hair">
        <color rgb="FF000000"/>
      </top>
      <bottom/>
      <diagonal/>
    </border>
    <border>
      <left style="thin">
        <color indexed="64"/>
      </left>
      <right/>
      <top style="hair">
        <color rgb="FF000000"/>
      </top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theme="2" tint="-9.9978637043366805E-2"/>
      </left>
      <right/>
      <top/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rgb="FF000000"/>
      </right>
      <top style="thin">
        <color rgb="FF29292F"/>
      </top>
      <bottom style="thin">
        <color rgb="FF29292F"/>
      </bottom>
      <diagonal/>
    </border>
    <border>
      <left/>
      <right style="thin">
        <color rgb="FF000000"/>
      </right>
      <top style="thin">
        <color rgb="FF29292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/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/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indexed="64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hair">
        <color rgb="FF000000"/>
      </top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indexed="64"/>
      </top>
      <bottom/>
      <diagonal/>
    </border>
    <border>
      <left style="hair">
        <color rgb="FF000000"/>
      </left>
      <right/>
      <top style="medium">
        <color indexed="64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/>
      <bottom style="hair">
        <color rgb="FF000000"/>
      </bottom>
      <diagonal/>
    </border>
    <border>
      <left style="medium">
        <color indexed="64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29292F"/>
      </bottom>
      <diagonal/>
    </border>
    <border>
      <left/>
      <right/>
      <top style="thin">
        <color rgb="FF000000"/>
      </top>
      <bottom style="thin">
        <color rgb="FF29292F"/>
      </bottom>
      <diagonal/>
    </border>
    <border>
      <left/>
      <right style="thin">
        <color rgb="FF000000"/>
      </right>
      <top style="thin">
        <color rgb="FF000000"/>
      </top>
      <bottom style="thin">
        <color rgb="FF29292F"/>
      </bottom>
      <diagonal/>
    </border>
    <border>
      <left style="thin">
        <color rgb="FF000000"/>
      </left>
      <right/>
      <top style="thin">
        <color rgb="FF29292F"/>
      </top>
      <bottom style="thin">
        <color rgb="FF29292F"/>
      </bottom>
      <diagonal/>
    </border>
    <border>
      <left style="thin">
        <color rgb="FF000000"/>
      </left>
      <right/>
      <top style="thin">
        <color rgb="FF29292F"/>
      </top>
      <bottom style="thin">
        <color rgb="FF000000"/>
      </bottom>
      <diagonal/>
    </border>
    <border>
      <left/>
      <right/>
      <top style="thin">
        <color rgb="FF29292F"/>
      </top>
      <bottom style="thin">
        <color rgb="FF000000"/>
      </bottom>
      <diagonal/>
    </border>
    <border>
      <left/>
      <right style="thin">
        <color rgb="FF000000"/>
      </right>
      <top style="thin">
        <color rgb="FF29292F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 style="thin">
        <color rgb="FF262626"/>
      </bottom>
      <diagonal/>
    </border>
    <border>
      <left/>
      <right/>
      <top style="thin">
        <color rgb="FF7F7F7F"/>
      </top>
      <bottom style="thin">
        <color rgb="FF262626"/>
      </bottom>
      <diagonal/>
    </border>
    <border>
      <left/>
      <right style="thin">
        <color rgb="FF262626"/>
      </right>
      <top style="thin">
        <color rgb="FF7F7F7F"/>
      </top>
      <bottom style="thin">
        <color rgb="FF262626"/>
      </bottom>
      <diagonal/>
    </border>
    <border>
      <left style="hair">
        <color rgb="FF000000"/>
      </left>
      <right style="medium">
        <color indexed="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medium">
        <color indexed="64"/>
      </right>
      <top/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hair">
        <color rgb="FF000000"/>
      </top>
      <bottom style="double">
        <color rgb="FF000000"/>
      </bottom>
      <diagonal/>
    </border>
  </borders>
  <cellStyleXfs count="361">
    <xf numFmtId="0" fontId="0" fillId="0" borderId="0" applyNumberFormat="0" applyFont="0" applyFill="0" applyBorder="0" applyAlignment="0" applyProtection="0"/>
    <xf numFmtId="169" fontId="55" fillId="0" borderId="0">
      <protection locked="0"/>
    </xf>
    <xf numFmtId="170" fontId="55" fillId="0" borderId="0">
      <protection locked="0"/>
    </xf>
    <xf numFmtId="171" fontId="55" fillId="0" borderId="0">
      <protection locked="0"/>
    </xf>
    <xf numFmtId="172" fontId="55" fillId="0" borderId="0">
      <protection locked="0"/>
    </xf>
    <xf numFmtId="0" fontId="55" fillId="0" borderId="0">
      <protection locked="0"/>
    </xf>
    <xf numFmtId="175" fontId="48" fillId="0" borderId="0" applyFont="0" applyFill="0" applyBorder="0" applyAlignment="0" applyProtection="0"/>
    <xf numFmtId="173" fontId="55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0" fillId="0" borderId="0" applyNumberFormat="0" applyFont="0" applyFill="0" applyBorder="0" applyAlignment="0" applyProtection="0"/>
    <xf numFmtId="0" fontId="48" fillId="0" borderId="0"/>
    <xf numFmtId="0" fontId="59" fillId="0" borderId="0"/>
    <xf numFmtId="0" fontId="54" fillId="0" borderId="0"/>
    <xf numFmtId="39" fontId="53" fillId="0" borderId="0"/>
    <xf numFmtId="0" fontId="48" fillId="0" borderId="0" applyNumberFormat="0" applyFont="0" applyFill="0" applyBorder="0" applyAlignment="0" applyProtection="0"/>
    <xf numFmtId="0" fontId="58" fillId="0" borderId="0"/>
    <xf numFmtId="0" fontId="48" fillId="0" borderId="0"/>
    <xf numFmtId="0" fontId="61" fillId="0" borderId="0"/>
    <xf numFmtId="174" fontId="55" fillId="0" borderId="0">
      <protection locked="0"/>
    </xf>
    <xf numFmtId="9" fontId="48" fillId="0" borderId="0" applyNumberFormat="0" applyFont="0" applyFill="0" applyBorder="0" applyAlignment="0" applyProtection="0"/>
    <xf numFmtId="176" fontId="60" fillId="0" borderId="0">
      <protection locked="0"/>
    </xf>
    <xf numFmtId="167" fontId="48" fillId="0" borderId="0" applyNumberFormat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50" fillId="0" borderId="0" applyNumberFormat="0" applyFont="0" applyFill="0" applyBorder="0" applyAlignment="0" applyProtection="0"/>
    <xf numFmtId="167" fontId="48" fillId="0" borderId="0" applyFont="0" applyFill="0" applyBorder="0" applyAlignment="0" applyProtection="0"/>
    <xf numFmtId="167" fontId="48" fillId="0" borderId="0" applyNumberFormat="0" applyFont="0" applyFill="0" applyBorder="0" applyAlignment="0" applyProtection="0"/>
    <xf numFmtId="167" fontId="57" fillId="0" borderId="0" applyNumberFormat="0" applyFont="0" applyFill="0" applyBorder="0" applyAlignment="0" applyProtection="0"/>
    <xf numFmtId="167" fontId="58" fillId="0" borderId="0" applyFont="0" applyFill="0" applyBorder="0" applyAlignment="0" applyProtection="0"/>
    <xf numFmtId="0" fontId="47" fillId="0" borderId="0"/>
    <xf numFmtId="0" fontId="65" fillId="0" borderId="0" applyNumberFormat="0" applyFont="0" applyBorder="0" applyAlignment="0"/>
    <xf numFmtId="0" fontId="48" fillId="0" borderId="0"/>
    <xf numFmtId="0" fontId="66" fillId="0" borderId="25" applyNumberFormat="0" applyFont="0" applyBorder="0" applyAlignment="0"/>
    <xf numFmtId="0" fontId="46" fillId="0" borderId="0"/>
    <xf numFmtId="0" fontId="67" fillId="0" borderId="0"/>
    <xf numFmtId="167" fontId="67" fillId="0" borderId="0" applyFont="0" applyFill="0" applyBorder="0" applyAlignment="0" applyProtection="0"/>
    <xf numFmtId="0" fontId="69" fillId="0" borderId="0"/>
    <xf numFmtId="167" fontId="69" fillId="0" borderId="0" applyFont="0" applyFill="0" applyBorder="0" applyAlignment="0" applyProtection="0"/>
    <xf numFmtId="0" fontId="52" fillId="0" borderId="0"/>
    <xf numFmtId="167" fontId="52" fillId="0" borderId="0" applyFont="0" applyFill="0" applyBorder="0" applyAlignment="0" applyProtection="0"/>
    <xf numFmtId="0" fontId="68" fillId="0" borderId="0"/>
    <xf numFmtId="167" fontId="69" fillId="0" borderId="0" applyFont="0" applyFill="0" applyBorder="0" applyAlignment="0" applyProtection="0"/>
    <xf numFmtId="167" fontId="67" fillId="0" borderId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0" fontId="47" fillId="0" borderId="0" applyNumberFormat="0" applyFont="0" applyFill="0" applyBorder="0" applyAlignment="0" applyProtection="0"/>
    <xf numFmtId="167" fontId="47" fillId="0" borderId="0" applyNumberFormat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0" fontId="47" fillId="0" borderId="0"/>
    <xf numFmtId="9" fontId="67" fillId="0" borderId="0" applyFont="0" applyFill="0" applyBorder="0" applyAlignment="0" applyProtection="0"/>
    <xf numFmtId="0" fontId="73" fillId="0" borderId="0"/>
    <xf numFmtId="167" fontId="4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52" fillId="0" borderId="0"/>
    <xf numFmtId="0" fontId="47" fillId="0" borderId="0"/>
    <xf numFmtId="0" fontId="77" fillId="0" borderId="0"/>
    <xf numFmtId="0" fontId="45" fillId="0" borderId="0"/>
    <xf numFmtId="0" fontId="47" fillId="0" borderId="0" applyNumberFormat="0" applyFont="0" applyFill="0" applyBorder="0" applyAlignment="0" applyProtection="0"/>
    <xf numFmtId="0" fontId="47" fillId="0" borderId="0" applyNumberFormat="0" applyFont="0" applyFill="0" applyBorder="0" applyAlignment="0" applyProtection="0"/>
    <xf numFmtId="0" fontId="44" fillId="0" borderId="0"/>
    <xf numFmtId="167" fontId="44" fillId="0" borderId="0" applyFont="0" applyFill="0" applyBorder="0" applyAlignment="0" applyProtection="0"/>
    <xf numFmtId="0" fontId="43" fillId="0" borderId="0"/>
    <xf numFmtId="0" fontId="42" fillId="0" borderId="0"/>
    <xf numFmtId="167" fontId="42" fillId="0" borderId="0" applyFont="0" applyFill="0" applyBorder="0" applyAlignment="0" applyProtection="0"/>
    <xf numFmtId="0" fontId="41" fillId="0" borderId="0"/>
    <xf numFmtId="167" fontId="41" fillId="0" borderId="0" applyFont="0" applyFill="0" applyBorder="0" applyAlignment="0" applyProtection="0"/>
    <xf numFmtId="0" fontId="41" fillId="0" borderId="0"/>
    <xf numFmtId="0" fontId="40" fillId="0" borderId="0"/>
    <xf numFmtId="167" fontId="40" fillId="0" borderId="0" applyFont="0" applyFill="0" applyBorder="0" applyAlignment="0" applyProtection="0"/>
    <xf numFmtId="0" fontId="52" fillId="0" borderId="0"/>
    <xf numFmtId="178" fontId="47" fillId="0" borderId="0"/>
    <xf numFmtId="167" fontId="52" fillId="0" borderId="0" applyFont="0" applyFill="0" applyBorder="0" applyAlignment="0" applyProtection="0"/>
    <xf numFmtId="9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75" fontId="47" fillId="0" borderId="0" applyFont="0" applyFill="0" applyBorder="0" applyAlignment="0" applyProtection="0"/>
    <xf numFmtId="0" fontId="47" fillId="0" borderId="0"/>
    <xf numFmtId="0" fontId="39" fillId="0" borderId="0"/>
    <xf numFmtId="9" fontId="47" fillId="0" borderId="0" applyNumberFormat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0" fontId="47" fillId="0" borderId="0"/>
    <xf numFmtId="0" fontId="39" fillId="0" borderId="0"/>
    <xf numFmtId="167" fontId="6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6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0" fontId="47" fillId="0" borderId="0"/>
    <xf numFmtId="167" fontId="4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47" fillId="0" borderId="0"/>
    <xf numFmtId="0" fontId="39" fillId="0" borderId="0"/>
    <xf numFmtId="9" fontId="47" fillId="0" borderId="0" applyFont="0" applyFill="0" applyBorder="0" applyAlignment="0" applyProtection="0"/>
    <xf numFmtId="0" fontId="39" fillId="0" borderId="0"/>
    <xf numFmtId="167" fontId="39" fillId="0" borderId="0" applyFont="0" applyFill="0" applyBorder="0" applyAlignment="0" applyProtection="0"/>
    <xf numFmtId="0" fontId="39" fillId="0" borderId="0"/>
    <xf numFmtId="0" fontId="39" fillId="0" borderId="0"/>
    <xf numFmtId="167" fontId="39" fillId="0" borderId="0" applyFont="0" applyFill="0" applyBorder="0" applyAlignment="0" applyProtection="0"/>
    <xf numFmtId="0" fontId="39" fillId="0" borderId="0"/>
    <xf numFmtId="167" fontId="39" fillId="0" borderId="0" applyFont="0" applyFill="0" applyBorder="0" applyAlignment="0" applyProtection="0"/>
    <xf numFmtId="0" fontId="39" fillId="0" borderId="0"/>
    <xf numFmtId="0" fontId="39" fillId="0" borderId="0"/>
    <xf numFmtId="167" fontId="39" fillId="0" borderId="0" applyFont="0" applyFill="0" applyBorder="0" applyAlignment="0" applyProtection="0"/>
    <xf numFmtId="167" fontId="52" fillId="0" borderId="0" applyFont="0" applyFill="0" applyBorder="0" applyAlignment="0" applyProtection="0"/>
    <xf numFmtId="166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166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0" fontId="38" fillId="0" borderId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0" fontId="38" fillId="0" borderId="0"/>
    <xf numFmtId="167" fontId="6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6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167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7" fontId="52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167" fontId="38" fillId="0" borderId="0" applyFont="0" applyFill="0" applyBorder="0" applyAlignment="0" applyProtection="0"/>
    <xf numFmtId="0" fontId="38" fillId="0" borderId="0"/>
    <xf numFmtId="0" fontId="38" fillId="0" borderId="0"/>
    <xf numFmtId="167" fontId="38" fillId="0" borderId="0" applyFont="0" applyFill="0" applyBorder="0" applyAlignment="0" applyProtection="0"/>
    <xf numFmtId="167" fontId="52" fillId="0" borderId="0" applyFont="0" applyFill="0" applyBorder="0" applyAlignment="0" applyProtection="0"/>
    <xf numFmtId="166" fontId="47" fillId="0" borderId="0" applyFont="0" applyFill="0" applyBorder="0" applyAlignment="0" applyProtection="0"/>
    <xf numFmtId="164" fontId="47" fillId="0" borderId="0" applyFont="0" applyFill="0" applyBorder="0" applyAlignment="0" applyProtection="0"/>
    <xf numFmtId="167" fontId="47" fillId="0" borderId="0" applyFont="0" applyFill="0" applyBorder="0" applyAlignment="0" applyProtection="0"/>
    <xf numFmtId="165" fontId="47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52" fillId="0" borderId="0"/>
    <xf numFmtId="167" fontId="47" fillId="0" borderId="0" applyFont="0" applyFill="0" applyBorder="0" applyAlignment="0" applyProtection="0"/>
    <xf numFmtId="167" fontId="47" fillId="0" borderId="0" applyNumberFormat="0" applyFont="0" applyFill="0" applyBorder="0" applyAlignment="0" applyProtection="0"/>
    <xf numFmtId="9" fontId="47" fillId="0" borderId="0" applyFont="0" applyFill="0" applyBorder="0" applyAlignment="0" applyProtection="0"/>
    <xf numFmtId="167" fontId="52" fillId="0" borderId="0" applyFont="0" applyFill="0" applyBorder="0" applyAlignment="0" applyProtection="0"/>
    <xf numFmtId="0" fontId="47" fillId="0" borderId="0" applyNumberFormat="0" applyFont="0" applyFill="0" applyBorder="0" applyAlignment="0" applyProtection="0"/>
    <xf numFmtId="0" fontId="67" fillId="0" borderId="0"/>
    <xf numFmtId="167" fontId="67" fillId="0" borderId="0" applyFont="0" applyFill="0" applyBorder="0" applyAlignment="0" applyProtection="0"/>
    <xf numFmtId="0" fontId="47" fillId="0" borderId="0"/>
    <xf numFmtId="0" fontId="37" fillId="0" borderId="0"/>
    <xf numFmtId="9" fontId="94" fillId="0" borderId="0" applyFont="0" applyFill="0" applyBorder="0" applyAlignment="0" applyProtection="0"/>
    <xf numFmtId="167" fontId="94" fillId="0" borderId="0" applyFont="0" applyFill="0" applyBorder="0" applyAlignment="0" applyProtection="0"/>
    <xf numFmtId="0" fontId="95" fillId="0" borderId="0" applyNumberFormat="0" applyFill="0" applyBorder="0" applyAlignment="0" applyProtection="0"/>
    <xf numFmtId="0" fontId="71" fillId="0" borderId="0"/>
    <xf numFmtId="179" fontId="94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9" fillId="0" borderId="0"/>
    <xf numFmtId="182" fontId="99" fillId="0" borderId="0" applyBorder="0" applyProtection="0"/>
    <xf numFmtId="9" fontId="47" fillId="0" borderId="0"/>
    <xf numFmtId="0" fontId="36" fillId="0" borderId="0"/>
    <xf numFmtId="0" fontId="35" fillId="0" borderId="0"/>
    <xf numFmtId="167" fontId="35" fillId="0" borderId="0" applyFont="0" applyFill="0" applyBorder="0" applyAlignment="0" applyProtection="0"/>
    <xf numFmtId="166" fontId="35" fillId="0" borderId="0" applyFont="0" applyFill="0" applyBorder="0" applyAlignment="0" applyProtection="0"/>
    <xf numFmtId="0" fontId="34" fillId="0" borderId="0"/>
    <xf numFmtId="0" fontId="34" fillId="0" borderId="0"/>
    <xf numFmtId="167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33" fillId="0" borderId="0"/>
    <xf numFmtId="167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33" fillId="0" borderId="0"/>
    <xf numFmtId="9" fontId="33" fillId="0" borderId="0" applyFont="0" applyFill="0" applyBorder="0" applyAlignment="0" applyProtection="0"/>
    <xf numFmtId="0" fontId="32" fillId="0" borderId="0"/>
    <xf numFmtId="166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0" fontId="32" fillId="0" borderId="0"/>
    <xf numFmtId="0" fontId="31" fillId="0" borderId="0"/>
    <xf numFmtId="43" fontId="102" fillId="0" borderId="0" applyFont="0" applyFill="0" applyBorder="0" applyAlignment="0" applyProtection="0"/>
    <xf numFmtId="178" fontId="102" fillId="0" borderId="0"/>
    <xf numFmtId="0" fontId="30" fillId="0" borderId="0"/>
    <xf numFmtId="44" fontId="30" fillId="0" borderId="0" applyFont="0" applyFill="0" applyBorder="0" applyAlignment="0" applyProtection="0"/>
    <xf numFmtId="0" fontId="30" fillId="0" borderId="0"/>
    <xf numFmtId="43" fontId="30" fillId="0" borderId="0" applyFont="0" applyFill="0" applyBorder="0" applyAlignment="0" applyProtection="0"/>
    <xf numFmtId="43" fontId="30" fillId="0" borderId="0" applyFont="0" applyFill="0" applyBorder="0" applyAlignment="0" applyProtection="0"/>
    <xf numFmtId="0" fontId="47" fillId="0" borderId="0"/>
    <xf numFmtId="43" fontId="29" fillId="0" borderId="0" applyFont="0" applyFill="0" applyBorder="0" applyAlignment="0" applyProtection="0"/>
    <xf numFmtId="44" fontId="47" fillId="0" borderId="0" applyFont="0" applyFill="0" applyBorder="0" applyAlignment="0" applyProtection="0"/>
    <xf numFmtId="44" fontId="29" fillId="0" borderId="0" applyFont="0" applyFill="0" applyBorder="0" applyAlignment="0" applyProtection="0"/>
    <xf numFmtId="43" fontId="47" fillId="0" borderId="0" applyFont="0" applyFill="0" applyBorder="0" applyAlignment="0" applyProtection="0"/>
    <xf numFmtId="166" fontId="47" fillId="0" borderId="0" applyFont="0" applyFill="0" applyBorder="0" applyAlignment="0" applyProtection="0"/>
    <xf numFmtId="0" fontId="28" fillId="0" borderId="0"/>
    <xf numFmtId="0" fontId="28" fillId="0" borderId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7" fillId="0" borderId="0"/>
    <xf numFmtId="167" fontId="109" fillId="0" borderId="0" applyFont="0" applyFill="0" applyBorder="0" applyAlignment="0" applyProtection="0"/>
    <xf numFmtId="44" fontId="110" fillId="0" borderId="0" applyFont="0" applyFill="0" applyBorder="0" applyAlignment="0" applyProtection="0"/>
    <xf numFmtId="167" fontId="27" fillId="0" borderId="0" applyFont="0" applyFill="0" applyBorder="0" applyAlignment="0" applyProtection="0"/>
    <xf numFmtId="0" fontId="26" fillId="0" borderId="0"/>
    <xf numFmtId="0" fontId="2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47" fillId="0" borderId="0"/>
    <xf numFmtId="0" fontId="112" fillId="0" borderId="0"/>
    <xf numFmtId="43" fontId="24" fillId="0" borderId="0" applyFont="0" applyFill="0" applyBorder="0" applyAlignment="0" applyProtection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97" fillId="0" borderId="0" applyNumberForma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/>
    <xf numFmtId="0" fontId="21" fillId="0" borderId="0"/>
    <xf numFmtId="167" fontId="21" fillId="0" borderId="0" applyFont="0" applyFill="0" applyBorder="0" applyAlignment="0" applyProtection="0"/>
    <xf numFmtId="0" fontId="117" fillId="0" borderId="0"/>
    <xf numFmtId="44" fontId="117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167" fontId="47" fillId="0" borderId="0" applyFont="0" applyFill="0" applyBorder="0" applyAlignment="0" applyProtection="0"/>
    <xf numFmtId="0" fontId="122" fillId="0" borderId="0"/>
    <xf numFmtId="0" fontId="19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8" fillId="0" borderId="0"/>
    <xf numFmtId="0" fontId="17" fillId="0" borderId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6" fillId="0" borderId="0"/>
    <xf numFmtId="0" fontId="16" fillId="0" borderId="0"/>
    <xf numFmtId="167" fontId="16" fillId="0" borderId="0" applyFont="0" applyFill="0" applyBorder="0" applyAlignment="0" applyProtection="0"/>
    <xf numFmtId="0" fontId="15" fillId="0" borderId="0"/>
    <xf numFmtId="0" fontId="149" fillId="0" borderId="0"/>
    <xf numFmtId="43" fontId="14" fillId="0" borderId="0" applyFont="0" applyFill="0" applyBorder="0" applyAlignment="0" applyProtection="0"/>
    <xf numFmtId="0" fontId="14" fillId="0" borderId="0"/>
    <xf numFmtId="44" fontId="155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44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157" fillId="0" borderId="0"/>
    <xf numFmtId="43" fontId="9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9" fontId="155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6" fillId="0" borderId="0"/>
    <xf numFmtId="0" fontId="163" fillId="0" borderId="0"/>
    <xf numFmtId="0" fontId="5" fillId="0" borderId="0"/>
    <xf numFmtId="0" fontId="164" fillId="0" borderId="0"/>
    <xf numFmtId="0" fontId="4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656">
    <xf numFmtId="0" fontId="0" fillId="0" borderId="0" xfId="0" applyNumberFormat="1" applyFont="1" applyFill="1" applyBorder="1" applyAlignment="1"/>
    <xf numFmtId="0" fontId="52" fillId="2" borderId="0" xfId="41" applyFont="1" applyFill="1" applyAlignment="1">
      <alignment vertical="center"/>
    </xf>
    <xf numFmtId="49" fontId="47" fillId="0" borderId="3" xfId="52" applyNumberFormat="1" applyFont="1" applyBorder="1"/>
    <xf numFmtId="0" fontId="47" fillId="0" borderId="3" xfId="52" applyFont="1" applyBorder="1"/>
    <xf numFmtId="0" fontId="47" fillId="0" borderId="0" xfId="52" applyNumberFormat="1" applyFont="1" applyFill="1" applyBorder="1" applyAlignment="1"/>
    <xf numFmtId="0" fontId="47" fillId="0" borderId="0" xfId="52" applyNumberFormat="1" applyFont="1" applyFill="1" applyBorder="1" applyAlignment="1">
      <alignment vertical="center"/>
    </xf>
    <xf numFmtId="0" fontId="47" fillId="0" borderId="0" xfId="52" applyNumberFormat="1" applyFont="1" applyFill="1" applyBorder="1" applyAlignment="1">
      <alignment horizontal="center"/>
    </xf>
    <xf numFmtId="0" fontId="52" fillId="0" borderId="0" xfId="52" applyNumberFormat="1" applyFont="1" applyFill="1" applyBorder="1" applyAlignment="1">
      <alignment vertical="center"/>
    </xf>
    <xf numFmtId="0" fontId="62" fillId="0" borderId="0" xfId="45" applyFont="1" applyAlignment="1">
      <alignment vertical="center"/>
    </xf>
    <xf numFmtId="17" fontId="82" fillId="0" borderId="0" xfId="45" applyNumberFormat="1" applyFont="1" applyAlignment="1">
      <alignment horizontal="left" vertical="center"/>
    </xf>
    <xf numFmtId="0" fontId="82" fillId="0" borderId="0" xfId="45" applyFont="1"/>
    <xf numFmtId="0" fontId="80" fillId="0" borderId="0" xfId="45" applyFont="1" applyAlignment="1">
      <alignment vertical="center"/>
    </xf>
    <xf numFmtId="0" fontId="52" fillId="0" borderId="0" xfId="52" applyNumberFormat="1" applyFont="1" applyFill="1" applyBorder="1" applyAlignment="1">
      <alignment horizontal="center" vertical="center"/>
    </xf>
    <xf numFmtId="0" fontId="51" fillId="0" borderId="0" xfId="52" applyNumberFormat="1" applyFont="1" applyFill="1" applyBorder="1" applyAlignment="1">
      <alignment horizontal="center" vertical="center"/>
    </xf>
    <xf numFmtId="49" fontId="52" fillId="0" borderId="0" xfId="52" applyNumberFormat="1" applyFont="1" applyFill="1" applyBorder="1" applyAlignment="1">
      <alignment vertical="center"/>
    </xf>
    <xf numFmtId="0" fontId="47" fillId="0" borderId="24" xfId="52" applyNumberFormat="1" applyFont="1" applyFill="1" applyBorder="1" applyAlignment="1">
      <alignment vertical="center"/>
    </xf>
    <xf numFmtId="0" fontId="47" fillId="0" borderId="19" xfId="52" applyNumberFormat="1" applyFont="1" applyFill="1" applyBorder="1" applyAlignment="1">
      <alignment vertical="center"/>
    </xf>
    <xf numFmtId="0" fontId="47" fillId="0" borderId="0" xfId="52" applyFont="1" applyBorder="1" applyAlignment="1">
      <alignment horizontal="center"/>
    </xf>
    <xf numFmtId="0" fontId="87" fillId="0" borderId="0" xfId="52" applyNumberFormat="1" applyFont="1" applyFill="1" applyBorder="1" applyAlignment="1">
      <alignment horizontal="center" vertical="center"/>
    </xf>
    <xf numFmtId="0" fontId="47" fillId="0" borderId="3" xfId="52" applyFont="1" applyBorder="1" applyAlignment="1">
      <alignment horizontal="center" vertical="center"/>
    </xf>
    <xf numFmtId="0" fontId="47" fillId="0" borderId="20" xfId="52" applyNumberFormat="1" applyFont="1" applyFill="1" applyBorder="1" applyAlignment="1">
      <alignment vertical="center"/>
    </xf>
    <xf numFmtId="0" fontId="47" fillId="0" borderId="22" xfId="52" applyNumberFormat="1" applyFont="1" applyFill="1" applyBorder="1" applyAlignment="1">
      <alignment vertical="center"/>
    </xf>
    <xf numFmtId="0" fontId="47" fillId="0" borderId="16" xfId="52" applyNumberFormat="1" applyFont="1" applyFill="1" applyBorder="1" applyAlignment="1">
      <alignment vertical="center"/>
    </xf>
    <xf numFmtId="0" fontId="62" fillId="0" borderId="0" xfId="52" applyNumberFormat="1" applyFont="1" applyFill="1" applyBorder="1" applyAlignment="1">
      <alignment vertical="center"/>
    </xf>
    <xf numFmtId="0" fontId="62" fillId="0" borderId="0" xfId="52" applyNumberFormat="1" applyFont="1" applyFill="1" applyBorder="1" applyAlignment="1">
      <alignment horizontal="center" vertical="center"/>
    </xf>
    <xf numFmtId="0" fontId="64" fillId="0" borderId="0" xfId="52" applyNumberFormat="1" applyFont="1" applyFill="1" applyBorder="1" applyAlignment="1">
      <alignment vertical="center"/>
    </xf>
    <xf numFmtId="0" fontId="64" fillId="0" borderId="0" xfId="52" applyNumberFormat="1" applyFont="1" applyFill="1" applyBorder="1" applyAlignment="1">
      <alignment horizontal="center" vertical="center"/>
    </xf>
    <xf numFmtId="0" fontId="70" fillId="0" borderId="6" xfId="52" applyFont="1" applyBorder="1" applyAlignment="1">
      <alignment vertical="center"/>
    </xf>
    <xf numFmtId="0" fontId="70" fillId="0" borderId="16" xfId="52" applyFont="1" applyBorder="1" applyAlignment="1">
      <alignment vertical="center"/>
    </xf>
    <xf numFmtId="0" fontId="82" fillId="3" borderId="27" xfId="41" applyFont="1" applyFill="1" applyBorder="1" applyAlignment="1">
      <alignment vertical="center"/>
    </xf>
    <xf numFmtId="4" fontId="79" fillId="3" borderId="27" xfId="41" applyNumberFormat="1" applyFont="1" applyFill="1" applyBorder="1" applyAlignment="1">
      <alignment vertical="center"/>
    </xf>
    <xf numFmtId="0" fontId="79" fillId="0" borderId="0" xfId="45" applyFont="1" applyAlignment="1">
      <alignment vertical="center"/>
    </xf>
    <xf numFmtId="0" fontId="82" fillId="0" borderId="0" xfId="45" applyFont="1" applyAlignment="1">
      <alignment vertical="center"/>
    </xf>
    <xf numFmtId="0" fontId="89" fillId="0" borderId="0" xfId="45" applyFont="1"/>
    <xf numFmtId="0" fontId="90" fillId="0" borderId="0" xfId="52" applyNumberFormat="1" applyFont="1" applyFill="1" applyBorder="1" applyAlignment="1">
      <alignment horizontal="center" vertical="center"/>
    </xf>
    <xf numFmtId="0" fontId="89" fillId="0" borderId="0" xfId="45" applyFont="1" applyAlignment="1">
      <alignment vertical="center"/>
    </xf>
    <xf numFmtId="4" fontId="82" fillId="3" borderId="26" xfId="49" applyNumberFormat="1" applyFont="1" applyFill="1" applyBorder="1" applyAlignment="1">
      <alignment vertical="center"/>
    </xf>
    <xf numFmtId="4" fontId="82" fillId="2" borderId="26" xfId="49" applyNumberFormat="1" applyFont="1" applyFill="1" applyBorder="1" applyAlignment="1">
      <alignment vertical="center" wrapText="1"/>
    </xf>
    <xf numFmtId="4" fontId="82" fillId="0" borderId="26" xfId="49" applyNumberFormat="1" applyFont="1" applyFill="1" applyBorder="1" applyAlignment="1">
      <alignment vertical="center" wrapText="1"/>
    </xf>
    <xf numFmtId="4" fontId="82" fillId="3" borderId="27" xfId="41" applyNumberFormat="1" applyFont="1" applyFill="1" applyBorder="1" applyAlignment="1">
      <alignment vertical="center"/>
    </xf>
    <xf numFmtId="0" fontId="85" fillId="7" borderId="1" xfId="41" applyFont="1" applyFill="1" applyBorder="1" applyAlignment="1">
      <alignment horizontal="center" vertical="center"/>
    </xf>
    <xf numFmtId="49" fontId="81" fillId="7" borderId="7" xfId="52" applyNumberFormat="1" applyFont="1" applyFill="1" applyBorder="1" applyAlignment="1">
      <alignment horizontal="center" vertical="center" wrapText="1"/>
    </xf>
    <xf numFmtId="49" fontId="85" fillId="7" borderId="7" xfId="52" applyNumberFormat="1" applyFont="1" applyFill="1" applyBorder="1" applyAlignment="1">
      <alignment horizontal="center" vertical="center" wrapText="1"/>
    </xf>
    <xf numFmtId="0" fontId="47" fillId="0" borderId="6" xfId="52" applyNumberFormat="1" applyFont="1" applyFill="1" applyBorder="1" applyAlignment="1">
      <alignment vertical="center"/>
    </xf>
    <xf numFmtId="0" fontId="62" fillId="0" borderId="33" xfId="45" applyFont="1" applyBorder="1" applyAlignment="1">
      <alignment vertical="center"/>
    </xf>
    <xf numFmtId="0" fontId="84" fillId="0" borderId="35" xfId="45" applyFont="1" applyBorder="1" applyAlignment="1">
      <alignment vertical="center"/>
    </xf>
    <xf numFmtId="0" fontId="84" fillId="0" borderId="36" xfId="45" applyFont="1" applyBorder="1" applyAlignment="1">
      <alignment vertical="center"/>
    </xf>
    <xf numFmtId="0" fontId="62" fillId="0" borderId="37" xfId="45" applyFont="1" applyBorder="1" applyAlignment="1">
      <alignment vertical="center"/>
    </xf>
    <xf numFmtId="0" fontId="62" fillId="0" borderId="38" xfId="45" applyFont="1" applyBorder="1" applyAlignment="1">
      <alignment vertical="center"/>
    </xf>
    <xf numFmtId="177" fontId="62" fillId="0" borderId="39" xfId="80" applyNumberFormat="1" applyFont="1" applyBorder="1" applyAlignment="1">
      <alignment horizontal="left" vertical="center"/>
    </xf>
    <xf numFmtId="14" fontId="62" fillId="0" borderId="40" xfId="45" applyNumberFormat="1" applyFont="1" applyBorder="1" applyAlignment="1">
      <alignment horizontal="left" vertical="center"/>
    </xf>
    <xf numFmtId="0" fontId="63" fillId="0" borderId="32" xfId="45" applyFont="1" applyBorder="1" applyAlignment="1">
      <alignment vertical="center"/>
    </xf>
    <xf numFmtId="168" fontId="89" fillId="0" borderId="42" xfId="51" quotePrefix="1" applyNumberFormat="1" applyFont="1" applyFill="1" applyBorder="1" applyAlignment="1">
      <alignment horizontal="left" vertical="center"/>
    </xf>
    <xf numFmtId="0" fontId="72" fillId="0" borderId="6" xfId="52" applyFont="1" applyBorder="1" applyAlignment="1">
      <alignment horizontal="center" vertical="center"/>
    </xf>
    <xf numFmtId="0" fontId="72" fillId="0" borderId="16" xfId="52" applyFont="1" applyBorder="1" applyAlignment="1">
      <alignment horizontal="center" vertical="center"/>
    </xf>
    <xf numFmtId="0" fontId="88" fillId="0" borderId="0" xfId="45" applyFont="1"/>
    <xf numFmtId="0" fontId="85" fillId="7" borderId="9" xfId="52" applyNumberFormat="1" applyFont="1" applyFill="1" applyBorder="1" applyAlignment="1">
      <alignment horizontal="center" vertical="center" wrapText="1"/>
    </xf>
    <xf numFmtId="0" fontId="79" fillId="0" borderId="8" xfId="45" applyFont="1" applyBorder="1" applyAlignment="1">
      <alignment vertical="center"/>
    </xf>
    <xf numFmtId="168" fontId="79" fillId="0" borderId="21" xfId="51" quotePrefix="1" applyNumberFormat="1" applyFont="1" applyFill="1" applyBorder="1" applyAlignment="1">
      <alignment horizontal="left" vertical="center"/>
    </xf>
    <xf numFmtId="2" fontId="85" fillId="7" borderId="20" xfId="52" applyNumberFormat="1" applyFont="1" applyFill="1" applyBorder="1" applyAlignment="1">
      <alignment horizontal="center" vertical="center" wrapText="1"/>
    </xf>
    <xf numFmtId="0" fontId="47" fillId="0" borderId="3" xfId="52" applyFont="1" applyBorder="1" applyAlignment="1">
      <alignment horizontal="right"/>
    </xf>
    <xf numFmtId="0" fontId="70" fillId="0" borderId="6" xfId="52" applyFont="1" applyBorder="1" applyAlignment="1">
      <alignment horizontal="right" vertical="center"/>
    </xf>
    <xf numFmtId="0" fontId="70" fillId="0" borderId="16" xfId="52" applyFont="1" applyBorder="1" applyAlignment="1">
      <alignment horizontal="right" vertical="center"/>
    </xf>
    <xf numFmtId="0" fontId="89" fillId="0" borderId="0" xfId="45" applyFont="1" applyAlignment="1">
      <alignment horizontal="right"/>
    </xf>
    <xf numFmtId="0" fontId="89" fillId="0" borderId="0" xfId="45" applyFont="1" applyAlignment="1">
      <alignment horizontal="right" vertical="center"/>
    </xf>
    <xf numFmtId="168" fontId="79" fillId="0" borderId="8" xfId="51" quotePrefix="1" applyNumberFormat="1" applyFont="1" applyFill="1" applyBorder="1" applyAlignment="1">
      <alignment horizontal="left" vertical="center"/>
    </xf>
    <xf numFmtId="17" fontId="89" fillId="0" borderId="0" xfId="45" applyNumberFormat="1" applyFont="1" applyAlignment="1">
      <alignment horizontal="left" vertical="center"/>
    </xf>
    <xf numFmtId="17" fontId="82" fillId="0" borderId="0" xfId="45" applyNumberFormat="1" applyFont="1" applyAlignment="1">
      <alignment vertical="center"/>
    </xf>
    <xf numFmtId="168" fontId="82" fillId="0" borderId="21" xfId="51" quotePrefix="1" applyNumberFormat="1" applyFont="1" applyFill="1" applyBorder="1" applyAlignment="1">
      <alignment horizontal="left" vertical="center"/>
    </xf>
    <xf numFmtId="168" fontId="79" fillId="0" borderId="0" xfId="51" quotePrefix="1" applyNumberFormat="1" applyFont="1" applyFill="1" applyBorder="1" applyAlignment="1">
      <alignment horizontal="left" vertical="center"/>
    </xf>
    <xf numFmtId="49" fontId="81" fillId="7" borderId="7" xfId="52" applyNumberFormat="1" applyFont="1" applyFill="1" applyBorder="1" applyAlignment="1">
      <alignment horizontal="center" vertical="center"/>
    </xf>
    <xf numFmtId="49" fontId="64" fillId="0" borderId="28" xfId="52" applyNumberFormat="1" applyFont="1" applyFill="1" applyBorder="1" applyAlignment="1">
      <alignment horizontal="left" vertical="center" wrapText="1"/>
    </xf>
    <xf numFmtId="49" fontId="64" fillId="0" borderId="29" xfId="52" applyNumberFormat="1" applyFont="1" applyFill="1" applyBorder="1" applyAlignment="1">
      <alignment horizontal="left" vertical="center"/>
    </xf>
    <xf numFmtId="49" fontId="64" fillId="0" borderId="29" xfId="52" quotePrefix="1" applyNumberFormat="1" applyFont="1" applyFill="1" applyBorder="1" applyAlignment="1">
      <alignment horizontal="left" vertical="center" wrapText="1"/>
    </xf>
    <xf numFmtId="0" fontId="64" fillId="0" borderId="29" xfId="52" applyNumberFormat="1" applyFont="1" applyFill="1" applyBorder="1" applyAlignment="1">
      <alignment vertical="center"/>
    </xf>
    <xf numFmtId="0" fontId="64" fillId="0" borderId="29" xfId="52" applyNumberFormat="1" applyFont="1" applyFill="1" applyBorder="1" applyAlignment="1">
      <alignment horizontal="center" vertical="center" wrapText="1"/>
    </xf>
    <xf numFmtId="4" fontId="64" fillId="0" borderId="30" xfId="52" applyNumberFormat="1" applyFont="1" applyFill="1" applyBorder="1" applyAlignment="1">
      <alignment horizontal="center" vertical="center" wrapText="1"/>
    </xf>
    <xf numFmtId="0" fontId="85" fillId="7" borderId="8" xfId="41" applyFont="1" applyFill="1" applyBorder="1" applyAlignment="1">
      <alignment horizontal="center" vertical="center" wrapText="1"/>
    </xf>
    <xf numFmtId="0" fontId="62" fillId="0" borderId="41" xfId="45" applyFont="1" applyBorder="1" applyAlignment="1">
      <alignment vertical="center"/>
    </xf>
    <xf numFmtId="0" fontId="62" fillId="0" borderId="0" xfId="67" applyNumberFormat="1" applyFont="1" applyFill="1" applyBorder="1" applyAlignment="1"/>
    <xf numFmtId="0" fontId="81" fillId="13" borderId="54" xfId="67" applyFont="1" applyFill="1" applyBorder="1" applyAlignment="1">
      <alignment horizontal="center" vertical="center"/>
    </xf>
    <xf numFmtId="180" fontId="81" fillId="13" borderId="56" xfId="67" applyNumberFormat="1" applyFont="1" applyFill="1" applyBorder="1" applyAlignment="1">
      <alignment horizontal="center" vertical="center" wrapText="1"/>
    </xf>
    <xf numFmtId="0" fontId="104" fillId="11" borderId="57" xfId="67" applyFont="1" applyFill="1" applyBorder="1" applyAlignment="1">
      <alignment vertical="center" wrapText="1"/>
    </xf>
    <xf numFmtId="180" fontId="104" fillId="11" borderId="62" xfId="67" applyNumberFormat="1" applyFont="1" applyFill="1" applyBorder="1" applyAlignment="1">
      <alignment vertical="center" wrapText="1"/>
    </xf>
    <xf numFmtId="0" fontId="104" fillId="11" borderId="63" xfId="67" applyFont="1" applyFill="1" applyBorder="1" applyAlignment="1">
      <alignment vertical="center" wrapText="1"/>
    </xf>
    <xf numFmtId="180" fontId="106" fillId="11" borderId="62" xfId="67" applyNumberFormat="1" applyFont="1" applyFill="1" applyBorder="1" applyAlignment="1">
      <alignment vertical="center" wrapText="1"/>
    </xf>
    <xf numFmtId="166" fontId="64" fillId="11" borderId="68" xfId="247" applyFont="1" applyFill="1" applyBorder="1" applyAlignment="1">
      <alignment horizontal="center" vertical="center"/>
    </xf>
    <xf numFmtId="10" fontId="106" fillId="11" borderId="68" xfId="67" applyNumberFormat="1" applyFont="1" applyFill="1" applyBorder="1" applyAlignment="1">
      <alignment horizontal="center" vertical="center"/>
    </xf>
    <xf numFmtId="10" fontId="106" fillId="15" borderId="68" xfId="67" applyNumberFormat="1" applyFont="1" applyFill="1" applyBorder="1" applyAlignment="1">
      <alignment horizontal="center" vertical="center"/>
    </xf>
    <xf numFmtId="166" fontId="64" fillId="15" borderId="68" xfId="247" applyFont="1" applyFill="1" applyBorder="1" applyAlignment="1">
      <alignment horizontal="center" vertical="center"/>
    </xf>
    <xf numFmtId="166" fontId="81" fillId="13" borderId="9" xfId="247" applyFont="1" applyFill="1" applyBorder="1" applyAlignment="1">
      <alignment horizontal="center" vertical="center"/>
    </xf>
    <xf numFmtId="9" fontId="81" fillId="13" borderId="9" xfId="67" applyNumberFormat="1" applyFont="1" applyFill="1" applyBorder="1" applyAlignment="1">
      <alignment horizontal="center" vertical="center"/>
    </xf>
    <xf numFmtId="0" fontId="84" fillId="0" borderId="19" xfId="45" applyFont="1" applyBorder="1" applyAlignment="1">
      <alignment vertical="center"/>
    </xf>
    <xf numFmtId="0" fontId="62" fillId="0" borderId="21" xfId="45" applyFont="1" applyBorder="1" applyAlignment="1">
      <alignment vertical="center"/>
    </xf>
    <xf numFmtId="4" fontId="64" fillId="0" borderId="29" xfId="102" applyNumberFormat="1" applyFont="1" applyFill="1" applyBorder="1" applyAlignment="1">
      <alignment horizontal="right" vertical="center" wrapText="1"/>
    </xf>
    <xf numFmtId="0" fontId="51" fillId="0" borderId="0" xfId="102" applyNumberFormat="1" applyFont="1" applyFill="1" applyBorder="1" applyAlignment="1">
      <alignment horizontal="left" vertical="center"/>
    </xf>
    <xf numFmtId="0" fontId="62" fillId="0" borderId="70" xfId="67" applyNumberFormat="1" applyFont="1" applyFill="1" applyBorder="1" applyAlignment="1"/>
    <xf numFmtId="0" fontId="62" fillId="0" borderId="4" xfId="67" applyNumberFormat="1" applyFont="1" applyFill="1" applyBorder="1" applyAlignment="1"/>
    <xf numFmtId="0" fontId="47" fillId="0" borderId="0" xfId="67" applyNumberFormat="1" applyFont="1" applyFill="1" applyBorder="1" applyAlignment="1"/>
    <xf numFmtId="0" fontId="104" fillId="11" borderId="63" xfId="67" applyFont="1" applyFill="1" applyBorder="1" applyAlignment="1">
      <alignment horizontal="left" vertical="center" wrapText="1"/>
    </xf>
    <xf numFmtId="0" fontId="81" fillId="13" borderId="45" xfId="67" applyFont="1" applyFill="1" applyBorder="1" applyAlignment="1">
      <alignment horizontal="center" vertical="center"/>
    </xf>
    <xf numFmtId="0" fontId="81" fillId="13" borderId="46" xfId="67" applyFont="1" applyFill="1" applyBorder="1" applyAlignment="1">
      <alignment horizontal="center" vertical="center"/>
    </xf>
    <xf numFmtId="0" fontId="81" fillId="13" borderId="47" xfId="67" applyFont="1" applyFill="1" applyBorder="1" applyAlignment="1">
      <alignment horizontal="center" vertical="center"/>
    </xf>
    <xf numFmtId="0" fontId="106" fillId="14" borderId="77" xfId="67" applyFont="1" applyFill="1" applyBorder="1" applyAlignment="1">
      <alignment horizontal="left" vertical="center"/>
    </xf>
    <xf numFmtId="166" fontId="106" fillId="11" borderId="78" xfId="247" applyFont="1" applyFill="1" applyBorder="1" applyAlignment="1">
      <alignment horizontal="center" vertical="center"/>
    </xf>
    <xf numFmtId="0" fontId="106" fillId="15" borderId="77" xfId="67" applyFont="1" applyFill="1" applyBorder="1" applyAlignment="1">
      <alignment horizontal="left" vertical="center"/>
    </xf>
    <xf numFmtId="166" fontId="106" fillId="15" borderId="78" xfId="247" applyFont="1" applyFill="1" applyBorder="1" applyAlignment="1">
      <alignment horizontal="center" vertical="center"/>
    </xf>
    <xf numFmtId="0" fontId="81" fillId="13" borderId="10" xfId="67" applyFont="1" applyFill="1" applyBorder="1" applyAlignment="1">
      <alignment horizontal="left" vertical="center"/>
    </xf>
    <xf numFmtId="166" fontId="81" fillId="13" borderId="13" xfId="247" applyFont="1" applyFill="1" applyBorder="1" applyAlignment="1">
      <alignment horizontal="center" vertical="center"/>
    </xf>
    <xf numFmtId="44" fontId="62" fillId="0" borderId="0" xfId="67" applyNumberFormat="1" applyFont="1" applyFill="1" applyBorder="1" applyAlignment="1"/>
    <xf numFmtId="0" fontId="81" fillId="13" borderId="11" xfId="67" applyFont="1" applyFill="1" applyBorder="1" applyAlignment="1">
      <alignment horizontal="left" vertical="center"/>
    </xf>
    <xf numFmtId="166" fontId="81" fillId="13" borderId="12" xfId="247" applyFont="1" applyFill="1" applyBorder="1" applyAlignment="1">
      <alignment horizontal="left" vertical="center"/>
    </xf>
    <xf numFmtId="185" fontId="81" fillId="13" borderId="12" xfId="67" applyNumberFormat="1" applyFont="1" applyFill="1" applyBorder="1" applyAlignment="1">
      <alignment horizontal="center" vertical="center"/>
    </xf>
    <xf numFmtId="166" fontId="81" fillId="13" borderId="14" xfId="247" applyFont="1" applyFill="1" applyBorder="1" applyAlignment="1">
      <alignment horizontal="center" vertical="center"/>
    </xf>
    <xf numFmtId="4" fontId="64" fillId="0" borderId="29" xfId="102" applyNumberFormat="1" applyFont="1" applyFill="1" applyBorder="1" applyAlignment="1">
      <alignment horizontal="center" vertical="center" wrapText="1"/>
    </xf>
    <xf numFmtId="0" fontId="92" fillId="0" borderId="0" xfId="67" applyFont="1"/>
    <xf numFmtId="183" fontId="93" fillId="0" borderId="0" xfId="205" applyNumberFormat="1" applyFont="1" applyAlignment="1">
      <alignment horizontal="left" vertical="center"/>
    </xf>
    <xf numFmtId="184" fontId="93" fillId="0" borderId="0" xfId="205" applyNumberFormat="1" applyFont="1" applyAlignment="1">
      <alignment horizontal="left" vertical="center"/>
    </xf>
    <xf numFmtId="0" fontId="85" fillId="7" borderId="18" xfId="102" applyNumberFormat="1" applyFont="1" applyFill="1" applyBorder="1" applyAlignment="1">
      <alignment horizontal="center" vertical="center" wrapText="1"/>
    </xf>
    <xf numFmtId="0" fontId="85" fillId="7" borderId="6" xfId="102" applyNumberFormat="1" applyFont="1" applyFill="1" applyBorder="1" applyAlignment="1">
      <alignment horizontal="center" vertical="center" wrapText="1"/>
    </xf>
    <xf numFmtId="0" fontId="85" fillId="7" borderId="19" xfId="102" applyNumberFormat="1" applyFont="1" applyFill="1" applyBorder="1" applyAlignment="1">
      <alignment horizontal="center" vertical="center" wrapText="1"/>
    </xf>
    <xf numFmtId="4" fontId="64" fillId="0" borderId="29" xfId="102" applyNumberFormat="1" applyFont="1" applyFill="1" applyBorder="1" applyAlignment="1">
      <alignment horizontal="left" vertical="center"/>
    </xf>
    <xf numFmtId="43" fontId="64" fillId="0" borderId="0" xfId="277" applyFont="1" applyFill="1" applyBorder="1" applyAlignment="1">
      <alignment horizontal="center" vertical="center"/>
    </xf>
    <xf numFmtId="4" fontId="107" fillId="0" borderId="29" xfId="102" applyNumberFormat="1" applyFont="1" applyFill="1" applyBorder="1" applyAlignment="1">
      <alignment horizontal="center" vertical="center" wrapText="1"/>
    </xf>
    <xf numFmtId="4" fontId="64" fillId="0" borderId="0" xfId="52" applyNumberFormat="1" applyFont="1" applyFill="1" applyBorder="1" applyAlignment="1">
      <alignment horizontal="center" vertical="center"/>
    </xf>
    <xf numFmtId="0" fontId="64" fillId="18" borderId="29" xfId="52" applyNumberFormat="1" applyFont="1" applyFill="1" applyBorder="1" applyAlignment="1">
      <alignment vertical="center"/>
    </xf>
    <xf numFmtId="0" fontId="64" fillId="0" borderId="0" xfId="52" applyNumberFormat="1" applyFont="1" applyFill="1" applyBorder="1" applyAlignment="1">
      <alignment horizontal="left" vertical="center"/>
    </xf>
    <xf numFmtId="0" fontId="64" fillId="0" borderId="29" xfId="52" applyNumberFormat="1" applyFont="1" applyFill="1" applyBorder="1" applyAlignment="1">
      <alignment vertical="center" wrapText="1"/>
    </xf>
    <xf numFmtId="0" fontId="64" fillId="5" borderId="29" xfId="52" applyNumberFormat="1" applyFont="1" applyFill="1" applyBorder="1" applyAlignment="1">
      <alignment vertical="center"/>
    </xf>
    <xf numFmtId="2" fontId="64" fillId="0" borderId="0" xfId="52" applyNumberFormat="1" applyFont="1" applyFill="1" applyBorder="1" applyAlignment="1">
      <alignment horizontal="center" vertical="center"/>
    </xf>
    <xf numFmtId="0" fontId="113" fillId="5" borderId="29" xfId="52" applyNumberFormat="1" applyFont="1" applyFill="1" applyBorder="1" applyAlignment="1">
      <alignment vertical="center"/>
    </xf>
    <xf numFmtId="4" fontId="64" fillId="5" borderId="29" xfId="102" applyNumberFormat="1" applyFont="1" applyFill="1" applyBorder="1" applyAlignment="1">
      <alignment horizontal="center" vertical="center" wrapText="1"/>
    </xf>
    <xf numFmtId="0" fontId="51" fillId="0" borderId="0" xfId="102" applyNumberFormat="1" applyFont="1" applyFill="1" applyBorder="1" applyAlignment="1">
      <alignment vertical="center"/>
    </xf>
    <xf numFmtId="43" fontId="51" fillId="0" borderId="0" xfId="277" applyFont="1" applyFill="1" applyBorder="1" applyAlignment="1">
      <alignment vertical="center"/>
    </xf>
    <xf numFmtId="0" fontId="51" fillId="0" borderId="0" xfId="102" applyNumberFormat="1" applyFont="1" applyFill="1" applyBorder="1" applyAlignment="1">
      <alignment horizontal="right" vertical="center"/>
    </xf>
    <xf numFmtId="0" fontId="52" fillId="0" borderId="0" xfId="102" applyNumberFormat="1" applyFont="1" applyFill="1" applyBorder="1" applyAlignment="1">
      <alignment vertical="center"/>
    </xf>
    <xf numFmtId="0" fontId="62" fillId="0" borderId="33" xfId="45" applyFont="1" applyBorder="1" applyAlignment="1">
      <alignment horizontal="right" vertical="center"/>
    </xf>
    <xf numFmtId="17" fontId="98" fillId="8" borderId="33" xfId="45" applyNumberFormat="1" applyFont="1" applyFill="1" applyBorder="1" applyAlignment="1">
      <alignment vertical="center"/>
    </xf>
    <xf numFmtId="0" fontId="86" fillId="7" borderId="21" xfId="41" applyFont="1" applyFill="1" applyBorder="1" applyAlignment="1">
      <alignment horizontal="center" vertical="center"/>
    </xf>
    <xf numFmtId="17" fontId="96" fillId="8" borderId="16" xfId="45" applyNumberFormat="1" applyFont="1" applyFill="1" applyBorder="1" applyAlignment="1">
      <alignment vertical="center"/>
    </xf>
    <xf numFmtId="0" fontId="117" fillId="0" borderId="0" xfId="293"/>
    <xf numFmtId="44" fontId="108" fillId="20" borderId="75" xfId="294" applyFont="1" applyFill="1" applyBorder="1" applyAlignment="1">
      <alignment horizontal="center"/>
    </xf>
    <xf numFmtId="44" fontId="119" fillId="20" borderId="75" xfId="294" applyFont="1" applyFill="1" applyBorder="1" applyAlignment="1">
      <alignment horizontal="center"/>
    </xf>
    <xf numFmtId="0" fontId="111" fillId="17" borderId="84" xfId="293" applyFont="1" applyFill="1" applyBorder="1" applyAlignment="1">
      <alignment horizontal="center" vertical="center" wrapText="1"/>
    </xf>
    <xf numFmtId="0" fontId="120" fillId="21" borderId="85" xfId="293" applyFont="1" applyFill="1" applyBorder="1" applyAlignment="1">
      <alignment horizontal="center"/>
    </xf>
    <xf numFmtId="0" fontId="63" fillId="0" borderId="82" xfId="45" applyFont="1" applyBorder="1" applyAlignment="1">
      <alignment vertical="center"/>
    </xf>
    <xf numFmtId="0" fontId="62" fillId="0" borderId="83" xfId="45" applyFont="1" applyBorder="1" applyAlignment="1">
      <alignment vertical="center"/>
    </xf>
    <xf numFmtId="0" fontId="84" fillId="0" borderId="88" xfId="45" applyFont="1" applyBorder="1" applyAlignment="1">
      <alignment vertical="center"/>
    </xf>
    <xf numFmtId="14" fontId="62" fillId="0" borderId="91" xfId="45" applyNumberFormat="1" applyFont="1" applyBorder="1" applyAlignment="1">
      <alignment horizontal="left" vertical="center"/>
    </xf>
    <xf numFmtId="0" fontId="117" fillId="5" borderId="21" xfId="293" applyFill="1" applyBorder="1"/>
    <xf numFmtId="0" fontId="117" fillId="0" borderId="21" xfId="293" applyBorder="1"/>
    <xf numFmtId="0" fontId="117" fillId="5" borderId="24" xfId="293" applyFill="1" applyBorder="1"/>
    <xf numFmtId="0" fontId="105" fillId="11" borderId="0" xfId="67" applyFont="1" applyFill="1" applyBorder="1" applyAlignment="1">
      <alignment horizontal="center" vertical="center" wrapText="1"/>
    </xf>
    <xf numFmtId="0" fontId="105" fillId="11" borderId="0" xfId="67" applyFont="1" applyFill="1" applyBorder="1" applyAlignment="1">
      <alignment horizontal="right" vertical="center" wrapText="1"/>
    </xf>
    <xf numFmtId="180" fontId="104" fillId="11" borderId="0" xfId="67" applyNumberFormat="1" applyFont="1" applyFill="1" applyBorder="1" applyAlignment="1">
      <alignment vertical="center" wrapText="1"/>
    </xf>
    <xf numFmtId="0" fontId="116" fillId="11" borderId="63" xfId="67" applyFont="1" applyFill="1" applyBorder="1" applyAlignment="1">
      <alignment horizontal="right" vertical="center" wrapText="1"/>
    </xf>
    <xf numFmtId="0" fontId="116" fillId="11" borderId="79" xfId="67" applyFont="1" applyFill="1" applyBorder="1" applyAlignment="1">
      <alignment horizontal="right" vertical="center" wrapText="1"/>
    </xf>
    <xf numFmtId="0" fontId="116" fillId="11" borderId="65" xfId="67" applyFont="1" applyFill="1" applyBorder="1" applyAlignment="1">
      <alignment horizontal="right" vertical="center" wrapText="1"/>
    </xf>
    <xf numFmtId="180" fontId="116" fillId="11" borderId="62" xfId="67" applyNumberFormat="1" applyFont="1" applyFill="1" applyBorder="1" applyAlignment="1">
      <alignment vertical="center" wrapText="1"/>
    </xf>
    <xf numFmtId="180" fontId="116" fillId="11" borderId="92" xfId="67" applyNumberFormat="1" applyFont="1" applyFill="1" applyBorder="1" applyAlignment="1">
      <alignment vertical="center" wrapText="1"/>
    </xf>
    <xf numFmtId="180" fontId="116" fillId="11" borderId="67" xfId="67" applyNumberFormat="1" applyFont="1" applyFill="1" applyBorder="1" applyAlignment="1">
      <alignment vertical="center" wrapText="1"/>
    </xf>
    <xf numFmtId="0" fontId="49" fillId="22" borderId="9" xfId="0" applyNumberFormat="1" applyFont="1" applyFill="1" applyBorder="1" applyAlignment="1"/>
    <xf numFmtId="0" fontId="63" fillId="22" borderId="9" xfId="67" applyNumberFormat="1" applyFont="1" applyFill="1" applyBorder="1" applyAlignment="1">
      <alignment horizontal="center"/>
    </xf>
    <xf numFmtId="43" fontId="51" fillId="2" borderId="9" xfId="295" applyFont="1" applyFill="1" applyBorder="1" applyAlignment="1">
      <alignment vertical="center"/>
    </xf>
    <xf numFmtId="0" fontId="62" fillId="0" borderId="41" xfId="45" applyFont="1" applyBorder="1" applyAlignment="1">
      <alignment horizontal="right" vertical="center"/>
    </xf>
    <xf numFmtId="0" fontId="62" fillId="0" borderId="33" xfId="45" applyFont="1" applyBorder="1" applyAlignment="1">
      <alignment horizontal="left" vertical="center"/>
    </xf>
    <xf numFmtId="0" fontId="62" fillId="0" borderId="41" xfId="45" applyFont="1" applyBorder="1" applyAlignment="1">
      <alignment horizontal="left" vertical="center"/>
    </xf>
    <xf numFmtId="4" fontId="121" fillId="0" borderId="29" xfId="102" applyNumberFormat="1" applyFont="1" applyFill="1" applyBorder="1" applyAlignment="1">
      <alignment horizontal="left" vertical="center"/>
    </xf>
    <xf numFmtId="0" fontId="19" fillId="0" borderId="0" xfId="306"/>
    <xf numFmtId="0" fontId="19" fillId="0" borderId="0" xfId="306" applyAlignment="1">
      <alignment horizontal="center"/>
    </xf>
    <xf numFmtId="186" fontId="0" fillId="0" borderId="0" xfId="307" applyNumberFormat="1" applyFont="1" applyAlignment="1">
      <alignment horizontal="center"/>
    </xf>
    <xf numFmtId="43" fontId="0" fillId="0" borderId="0" xfId="307" applyFont="1" applyAlignment="1">
      <alignment horizontal="center"/>
    </xf>
    <xf numFmtId="3" fontId="123" fillId="23" borderId="74" xfId="205" applyNumberFormat="1" applyFont="1" applyFill="1" applyBorder="1" applyAlignment="1">
      <alignment horizontal="left" vertical="center"/>
    </xf>
    <xf numFmtId="3" fontId="123" fillId="23" borderId="74" xfId="205" applyNumberFormat="1" applyFont="1" applyFill="1" applyBorder="1" applyAlignment="1">
      <alignment horizontal="center" vertical="center"/>
    </xf>
    <xf numFmtId="43" fontId="123" fillId="23" borderId="74" xfId="307" applyFont="1" applyFill="1" applyBorder="1" applyAlignment="1">
      <alignment horizontal="left" vertical="center"/>
    </xf>
    <xf numFmtId="3" fontId="78" fillId="0" borderId="74" xfId="205" applyNumberFormat="1" applyFont="1" applyBorder="1" applyAlignment="1">
      <alignment horizontal="left" vertical="center"/>
    </xf>
    <xf numFmtId="3" fontId="78" fillId="0" borderId="74" xfId="205" applyNumberFormat="1" applyFont="1" applyBorder="1" applyAlignment="1">
      <alignment horizontal="center" vertical="center"/>
    </xf>
    <xf numFmtId="4" fontId="78" fillId="0" borderId="74" xfId="30" applyNumberFormat="1" applyFont="1" applyBorder="1" applyAlignment="1">
      <alignment horizontal="right" vertical="center"/>
    </xf>
    <xf numFmtId="43" fontId="78" fillId="0" borderId="74" xfId="307" applyFont="1" applyBorder="1" applyAlignment="1">
      <alignment horizontal="left" vertical="center"/>
    </xf>
    <xf numFmtId="186" fontId="78" fillId="0" borderId="74" xfId="307" applyNumberFormat="1" applyFont="1" applyBorder="1" applyAlignment="1">
      <alignment horizontal="left" vertical="center"/>
    </xf>
    <xf numFmtId="4" fontId="123" fillId="23" borderId="74" xfId="30" applyNumberFormat="1" applyFont="1" applyFill="1" applyBorder="1" applyAlignment="1">
      <alignment horizontal="right" vertical="center"/>
    </xf>
    <xf numFmtId="187" fontId="78" fillId="16" borderId="74" xfId="307" applyNumberFormat="1" applyFont="1" applyFill="1" applyBorder="1" applyAlignment="1">
      <alignment horizontal="left" vertical="center"/>
    </xf>
    <xf numFmtId="188" fontId="78" fillId="0" borderId="74" xfId="307" applyNumberFormat="1" applyFont="1" applyBorder="1" applyAlignment="1">
      <alignment horizontal="left" vertical="center"/>
    </xf>
    <xf numFmtId="3" fontId="78" fillId="0" borderId="74" xfId="205" applyNumberFormat="1" applyFont="1" applyBorder="1" applyAlignment="1">
      <alignment horizontal="left" vertical="center" wrapText="1"/>
    </xf>
    <xf numFmtId="3" fontId="78" fillId="16" borderId="74" xfId="205" applyNumberFormat="1" applyFont="1" applyFill="1" applyBorder="1" applyAlignment="1">
      <alignment horizontal="left" vertical="center"/>
    </xf>
    <xf numFmtId="4" fontId="78" fillId="16" borderId="74" xfId="30" applyNumberFormat="1" applyFont="1" applyFill="1" applyBorder="1" applyAlignment="1">
      <alignment horizontal="right" vertical="center"/>
    </xf>
    <xf numFmtId="43" fontId="78" fillId="16" borderId="74" xfId="307" applyFont="1" applyFill="1" applyBorder="1" applyAlignment="1">
      <alignment horizontal="left" vertical="center"/>
    </xf>
    <xf numFmtId="3" fontId="124" fillId="0" borderId="74" xfId="205" applyNumberFormat="1" applyFont="1" applyBorder="1" applyAlignment="1">
      <alignment horizontal="center" vertical="center"/>
    </xf>
    <xf numFmtId="0" fontId="78" fillId="0" borderId="74" xfId="205" applyFont="1" applyBorder="1" applyAlignment="1">
      <alignment vertical="center"/>
    </xf>
    <xf numFmtId="4" fontId="78" fillId="0" borderId="74" xfId="205" applyNumberFormat="1" applyFont="1" applyBorder="1" applyAlignment="1">
      <alignment vertical="center"/>
    </xf>
    <xf numFmtId="43" fontId="78" fillId="0" borderId="74" xfId="307" applyFont="1" applyBorder="1" applyAlignment="1">
      <alignment vertical="center"/>
    </xf>
    <xf numFmtId="43" fontId="125" fillId="0" borderId="74" xfId="307" applyFont="1" applyBorder="1" applyAlignment="1">
      <alignment vertical="center"/>
    </xf>
    <xf numFmtId="0" fontId="19" fillId="0" borderId="0" xfId="306" applyAlignment="1">
      <alignment horizontal="left"/>
    </xf>
    <xf numFmtId="43" fontId="0" fillId="0" borderId="0" xfId="307" applyFont="1" applyAlignment="1"/>
    <xf numFmtId="189" fontId="91" fillId="0" borderId="0" xfId="307" applyNumberFormat="1" applyFont="1" applyAlignment="1">
      <alignment horizontal="center"/>
    </xf>
    <xf numFmtId="43" fontId="51" fillId="0" borderId="0" xfId="102" applyNumberFormat="1" applyFont="1" applyFill="1" applyBorder="1" applyAlignment="1">
      <alignment vertical="center"/>
    </xf>
    <xf numFmtId="186" fontId="78" fillId="0" borderId="74" xfId="30" applyNumberFormat="1" applyFont="1" applyBorder="1" applyAlignment="1">
      <alignment horizontal="left" vertical="center"/>
    </xf>
    <xf numFmtId="4" fontId="78" fillId="0" borderId="74" xfId="102" applyNumberFormat="1" applyFont="1" applyBorder="1" applyAlignment="1">
      <alignment horizontal="right" vertical="center"/>
    </xf>
    <xf numFmtId="0" fontId="47" fillId="0" borderId="0" xfId="56"/>
    <xf numFmtId="0" fontId="49" fillId="5" borderId="94" xfId="56" applyFont="1" applyFill="1" applyBorder="1"/>
    <xf numFmtId="0" fontId="47" fillId="5" borderId="95" xfId="56" applyFill="1" applyBorder="1"/>
    <xf numFmtId="0" fontId="49" fillId="5" borderId="96" xfId="56" applyFont="1" applyFill="1" applyBorder="1" applyAlignment="1">
      <alignment horizontal="center"/>
    </xf>
    <xf numFmtId="9" fontId="0" fillId="5" borderId="97" xfId="215" applyFont="1" applyFill="1" applyBorder="1" applyAlignment="1">
      <alignment horizontal="center" vertical="center"/>
    </xf>
    <xf numFmtId="0" fontId="49" fillId="5" borderId="98" xfId="56" applyFont="1" applyFill="1" applyBorder="1" applyAlignment="1">
      <alignment horizontal="center"/>
    </xf>
    <xf numFmtId="0" fontId="47" fillId="5" borderId="99" xfId="56" applyFill="1" applyBorder="1" applyAlignment="1">
      <alignment horizontal="center" vertical="center"/>
    </xf>
    <xf numFmtId="0" fontId="47" fillId="5" borderId="100" xfId="56" applyFill="1" applyBorder="1" applyAlignment="1">
      <alignment horizontal="center"/>
    </xf>
    <xf numFmtId="0" fontId="47" fillId="5" borderId="101" xfId="56" applyFill="1" applyBorder="1" applyAlignment="1">
      <alignment horizontal="center" vertical="center"/>
    </xf>
    <xf numFmtId="0" fontId="49" fillId="5" borderId="100" xfId="56" applyFont="1" applyFill="1" applyBorder="1" applyAlignment="1">
      <alignment horizontal="center"/>
    </xf>
    <xf numFmtId="0" fontId="49" fillId="5" borderId="101" xfId="56" applyFont="1" applyFill="1" applyBorder="1" applyAlignment="1">
      <alignment horizontal="center" vertical="center"/>
    </xf>
    <xf numFmtId="0" fontId="49" fillId="5" borderId="102" xfId="56" applyFont="1" applyFill="1" applyBorder="1" applyAlignment="1">
      <alignment horizontal="center"/>
    </xf>
    <xf numFmtId="0" fontId="49" fillId="5" borderId="103" xfId="56" applyFont="1" applyFill="1" applyBorder="1" applyAlignment="1">
      <alignment horizontal="center" vertical="center"/>
    </xf>
    <xf numFmtId="0" fontId="47" fillId="0" borderId="104" xfId="56" applyBorder="1"/>
    <xf numFmtId="0" fontId="47" fillId="5" borderId="108" xfId="56" applyFill="1" applyBorder="1" applyAlignment="1">
      <alignment horizontal="left" vertical="center" wrapText="1"/>
    </xf>
    <xf numFmtId="0" fontId="47" fillId="0" borderId="0" xfId="56" applyAlignment="1">
      <alignment horizontal="center"/>
    </xf>
    <xf numFmtId="0" fontId="47" fillId="0" borderId="0" xfId="56" applyAlignment="1">
      <alignment horizontal="center" vertical="center"/>
    </xf>
    <xf numFmtId="0" fontId="0" fillId="0" borderId="0" xfId="0"/>
    <xf numFmtId="0" fontId="0" fillId="26" borderId="108" xfId="0" applyFill="1" applyBorder="1" applyAlignment="1">
      <alignment horizontal="left" vertical="center"/>
    </xf>
    <xf numFmtId="0" fontId="0" fillId="26" borderId="108" xfId="0" applyFill="1" applyBorder="1" applyAlignment="1">
      <alignment horizontal="left" vertical="center" wrapText="1"/>
    </xf>
    <xf numFmtId="1" fontId="0" fillId="26" borderId="108" xfId="0" applyNumberFormat="1" applyFill="1" applyBorder="1" applyAlignment="1">
      <alignment horizontal="center" vertical="center"/>
    </xf>
    <xf numFmtId="2" fontId="0" fillId="26" borderId="108" xfId="0" applyNumberFormat="1" applyFill="1" applyBorder="1" applyAlignment="1">
      <alignment horizontal="center" vertical="center"/>
    </xf>
    <xf numFmtId="0" fontId="0" fillId="28" borderId="108" xfId="0" applyFill="1" applyBorder="1" applyAlignment="1">
      <alignment horizontal="left" vertical="center"/>
    </xf>
    <xf numFmtId="0" fontId="0" fillId="28" borderId="108" xfId="0" applyFill="1" applyBorder="1" applyAlignment="1">
      <alignment horizontal="left" vertical="center" wrapText="1"/>
    </xf>
    <xf numFmtId="1" fontId="0" fillId="28" borderId="108" xfId="0" applyNumberFormat="1" applyFill="1" applyBorder="1" applyAlignment="1">
      <alignment horizontal="center" vertical="center"/>
    </xf>
    <xf numFmtId="2" fontId="0" fillId="28" borderId="108" xfId="0" applyNumberFormat="1" applyFill="1" applyBorder="1" applyAlignment="1">
      <alignment horizontal="center" vertical="center"/>
    </xf>
    <xf numFmtId="0" fontId="0" fillId="5" borderId="108" xfId="0" applyFill="1" applyBorder="1" applyAlignment="1">
      <alignment horizontal="left" vertical="center"/>
    </xf>
    <xf numFmtId="0" fontId="0" fillId="5" borderId="108" xfId="0" applyFill="1" applyBorder="1" applyAlignment="1">
      <alignment horizontal="left" vertical="center" wrapText="1"/>
    </xf>
    <xf numFmtId="1" fontId="0" fillId="5" borderId="108" xfId="0" applyNumberFormat="1" applyFill="1" applyBorder="1" applyAlignment="1">
      <alignment horizontal="center" vertical="center"/>
    </xf>
    <xf numFmtId="2" fontId="0" fillId="5" borderId="108" xfId="0" applyNumberFormat="1" applyFill="1" applyBorder="1" applyAlignment="1">
      <alignment horizontal="center" vertical="center"/>
    </xf>
    <xf numFmtId="0" fontId="0" fillId="27" borderId="108" xfId="0" applyFill="1" applyBorder="1" applyAlignment="1">
      <alignment horizontal="left" vertical="center"/>
    </xf>
    <xf numFmtId="0" fontId="0" fillId="27" borderId="108" xfId="0" applyFill="1" applyBorder="1" applyAlignment="1">
      <alignment horizontal="left" vertical="center" wrapText="1"/>
    </xf>
    <xf numFmtId="1" fontId="0" fillId="27" borderId="108" xfId="0" applyNumberFormat="1" applyFill="1" applyBorder="1" applyAlignment="1">
      <alignment horizontal="center" vertical="center"/>
    </xf>
    <xf numFmtId="2" fontId="0" fillId="27" borderId="108" xfId="0" applyNumberFormat="1" applyFill="1" applyBorder="1" applyAlignment="1">
      <alignment horizontal="center" vertical="center"/>
    </xf>
    <xf numFmtId="0" fontId="47" fillId="0" borderId="0" xfId="205"/>
    <xf numFmtId="1" fontId="47" fillId="25" borderId="107" xfId="205" applyNumberFormat="1" applyFill="1" applyBorder="1" applyAlignment="1">
      <alignment horizontal="center" vertical="center"/>
    </xf>
    <xf numFmtId="2" fontId="47" fillId="25" borderId="107" xfId="205" applyNumberFormat="1" applyFill="1" applyBorder="1" applyAlignment="1">
      <alignment horizontal="center" vertical="center"/>
    </xf>
    <xf numFmtId="0" fontId="47" fillId="5" borderId="108" xfId="205" applyFill="1" applyBorder="1" applyAlignment="1">
      <alignment horizontal="left" vertical="center" wrapText="1"/>
    </xf>
    <xf numFmtId="0" fontId="47" fillId="0" borderId="0" xfId="0" applyNumberFormat="1" applyFont="1" applyFill="1" applyBorder="1" applyAlignment="1">
      <alignment vertical="center" wrapText="1"/>
    </xf>
    <xf numFmtId="4" fontId="47" fillId="0" borderId="0" xfId="0" applyNumberFormat="1" applyFont="1" applyFill="1" applyBorder="1" applyAlignment="1">
      <alignment vertical="center" wrapText="1"/>
    </xf>
    <xf numFmtId="0" fontId="47" fillId="0" borderId="0" xfId="0" applyFont="1"/>
    <xf numFmtId="0" fontId="0" fillId="0" borderId="0" xfId="0" applyFont="1"/>
    <xf numFmtId="0" fontId="47" fillId="27" borderId="108" xfId="0" applyFont="1" applyFill="1" applyBorder="1" applyAlignment="1">
      <alignment horizontal="left" vertical="center" wrapText="1"/>
    </xf>
    <xf numFmtId="0" fontId="47" fillId="0" borderId="0" xfId="56" applyAlignment="1">
      <alignment vertical="center"/>
    </xf>
    <xf numFmtId="0" fontId="47" fillId="0" borderId="0" xfId="205" applyAlignment="1">
      <alignment vertical="center"/>
    </xf>
    <xf numFmtId="0" fontId="47" fillId="5" borderId="0" xfId="56" applyFill="1" applyAlignment="1">
      <alignment vertical="center"/>
    </xf>
    <xf numFmtId="4" fontId="128" fillId="0" borderId="29" xfId="102" applyNumberFormat="1" applyFont="1" applyFill="1" applyBorder="1" applyAlignment="1">
      <alignment horizontal="left" vertical="center"/>
    </xf>
    <xf numFmtId="0" fontId="129" fillId="30" borderId="113" xfId="312" applyFont="1" applyFill="1" applyBorder="1" applyAlignment="1">
      <alignment vertical="center" wrapText="1"/>
    </xf>
    <xf numFmtId="0" fontId="130" fillId="11" borderId="114" xfId="312" applyFont="1" applyFill="1" applyBorder="1" applyAlignment="1">
      <alignment horizontal="left" vertical="center" wrapText="1"/>
    </xf>
    <xf numFmtId="0" fontId="100" fillId="11" borderId="115" xfId="312" applyFont="1" applyFill="1" applyBorder="1" applyAlignment="1">
      <alignment horizontal="center" vertical="center" wrapText="1"/>
    </xf>
    <xf numFmtId="0" fontId="103" fillId="11" borderId="116" xfId="312" applyFont="1" applyFill="1" applyBorder="1" applyAlignment="1">
      <alignment horizontal="center" vertical="center" wrapText="1"/>
    </xf>
    <xf numFmtId="0" fontId="17" fillId="0" borderId="0" xfId="313"/>
    <xf numFmtId="0" fontId="129" fillId="30" borderId="117" xfId="312" applyFont="1" applyFill="1" applyBorder="1" applyAlignment="1">
      <alignment vertical="center" wrapText="1"/>
    </xf>
    <xf numFmtId="0" fontId="130" fillId="11" borderId="118" xfId="312" applyFont="1" applyFill="1" applyBorder="1" applyAlignment="1">
      <alignment horizontal="left" vertical="center" wrapText="1"/>
    </xf>
    <xf numFmtId="0" fontId="100" fillId="11" borderId="119" xfId="312" applyFont="1" applyFill="1" applyBorder="1" applyAlignment="1">
      <alignment horizontal="center" vertical="center" wrapText="1"/>
    </xf>
    <xf numFmtId="0" fontId="103" fillId="11" borderId="120" xfId="312" applyFont="1" applyFill="1" applyBorder="1" applyAlignment="1">
      <alignment horizontal="center" vertical="center" wrapText="1"/>
    </xf>
    <xf numFmtId="0" fontId="129" fillId="30" borderId="121" xfId="312" applyFont="1" applyFill="1" applyBorder="1" applyAlignment="1">
      <alignment vertical="center" wrapText="1"/>
    </xf>
    <xf numFmtId="0" fontId="100" fillId="11" borderId="122" xfId="312" applyFont="1" applyFill="1" applyBorder="1" applyAlignment="1">
      <alignment horizontal="center" vertical="center" wrapText="1"/>
    </xf>
    <xf numFmtId="0" fontId="103" fillId="11" borderId="123" xfId="312" applyFont="1" applyFill="1" applyBorder="1" applyAlignment="1">
      <alignment horizontal="center" vertical="center" wrapText="1"/>
    </xf>
    <xf numFmtId="0" fontId="131" fillId="11" borderId="0" xfId="314" applyFont="1" applyFill="1"/>
    <xf numFmtId="0" fontId="132" fillId="0" borderId="0" xfId="315" applyFont="1" applyAlignment="1">
      <alignment vertical="center" wrapText="1"/>
    </xf>
    <xf numFmtId="0" fontId="133" fillId="0" borderId="0" xfId="315" applyFont="1" applyAlignment="1">
      <alignment vertical="center" wrapText="1"/>
    </xf>
    <xf numFmtId="0" fontId="132" fillId="0" borderId="0" xfId="315" applyFont="1" applyAlignment="1">
      <alignment vertical="center"/>
    </xf>
    <xf numFmtId="0" fontId="134" fillId="0" borderId="0" xfId="315" applyFont="1" applyAlignment="1">
      <alignment horizontal="center" vertical="center"/>
    </xf>
    <xf numFmtId="0" fontId="134" fillId="0" borderId="0" xfId="315" applyFont="1" applyAlignment="1">
      <alignment vertical="center" wrapText="1"/>
    </xf>
    <xf numFmtId="0" fontId="134" fillId="0" borderId="0" xfId="315" applyFont="1" applyAlignment="1">
      <alignment vertical="center"/>
    </xf>
    <xf numFmtId="44" fontId="134" fillId="0" borderId="0" xfId="317" applyFont="1" applyAlignment="1">
      <alignment vertical="center"/>
    </xf>
    <xf numFmtId="44" fontId="133" fillId="0" borderId="0" xfId="317" applyFont="1" applyAlignment="1">
      <alignment vertical="center" wrapText="1"/>
    </xf>
    <xf numFmtId="0" fontId="127" fillId="10" borderId="80" xfId="315" applyFont="1" applyFill="1" applyBorder="1" applyAlignment="1">
      <alignment horizontal="center" vertical="center" wrapText="1"/>
    </xf>
    <xf numFmtId="0" fontId="127" fillId="10" borderId="49" xfId="315" applyFont="1" applyFill="1" applyBorder="1" applyAlignment="1">
      <alignment horizontal="left" vertical="center"/>
    </xf>
    <xf numFmtId="0" fontId="127" fillId="10" borderId="46" xfId="315" applyFont="1" applyFill="1" applyBorder="1" applyAlignment="1">
      <alignment horizontal="center" vertical="center" wrapText="1"/>
    </xf>
    <xf numFmtId="44" fontId="127" fillId="10" borderId="50" xfId="317" applyFont="1" applyFill="1" applyBorder="1" applyAlignment="1">
      <alignment horizontal="center" vertical="center" wrapText="1"/>
    </xf>
    <xf numFmtId="44" fontId="127" fillId="10" borderId="47" xfId="317" applyFont="1" applyFill="1" applyBorder="1" applyAlignment="1">
      <alignment horizontal="center" vertical="center" wrapText="1"/>
    </xf>
    <xf numFmtId="0" fontId="135" fillId="29" borderId="127" xfId="315" applyFont="1" applyFill="1" applyBorder="1" applyAlignment="1">
      <alignment vertical="center" wrapText="1"/>
    </xf>
    <xf numFmtId="0" fontId="135" fillId="29" borderId="17" xfId="315" applyFont="1" applyFill="1" applyBorder="1" applyAlignment="1">
      <alignment horizontal="left" vertical="center"/>
    </xf>
    <xf numFmtId="0" fontId="135" fillId="29" borderId="17" xfId="315" applyFont="1" applyFill="1" applyBorder="1" applyAlignment="1">
      <alignment vertical="center" wrapText="1"/>
    </xf>
    <xf numFmtId="43" fontId="49" fillId="29" borderId="17" xfId="318" applyFont="1" applyFill="1" applyBorder="1" applyAlignment="1">
      <alignment vertical="center"/>
    </xf>
    <xf numFmtId="44" fontId="49" fillId="29" borderId="18" xfId="317" applyFont="1" applyFill="1" applyBorder="1" applyAlignment="1">
      <alignment vertical="center"/>
    </xf>
    <xf numFmtId="44" fontId="49" fillId="29" borderId="13" xfId="317" applyFont="1" applyFill="1" applyBorder="1" applyAlignment="1">
      <alignment vertical="center"/>
    </xf>
    <xf numFmtId="0" fontId="111" fillId="12" borderId="128" xfId="315" applyFont="1" applyFill="1" applyBorder="1" applyAlignment="1">
      <alignment vertical="center" wrapText="1"/>
    </xf>
    <xf numFmtId="0" fontId="127" fillId="31" borderId="15" xfId="315" applyFont="1" applyFill="1" applyBorder="1" applyAlignment="1">
      <alignment horizontal="left" vertical="center"/>
    </xf>
    <xf numFmtId="0" fontId="135" fillId="0" borderId="17" xfId="315" applyFont="1" applyBorder="1" applyAlignment="1">
      <alignment horizontal="right" vertical="center" wrapText="1"/>
    </xf>
    <xf numFmtId="43" fontId="49" fillId="0" borderId="17" xfId="318" applyFont="1" applyFill="1" applyBorder="1" applyAlignment="1">
      <alignment vertical="center"/>
    </xf>
    <xf numFmtId="44" fontId="49" fillId="0" borderId="17" xfId="317" applyFont="1" applyFill="1" applyBorder="1" applyAlignment="1">
      <alignment vertical="center"/>
    </xf>
    <xf numFmtId="44" fontId="49" fillId="0" borderId="81" xfId="317" applyFont="1" applyFill="1" applyBorder="1" applyAlignment="1">
      <alignment vertical="center"/>
    </xf>
    <xf numFmtId="44" fontId="49" fillId="0" borderId="81" xfId="317" applyFont="1" applyFill="1" applyBorder="1" applyAlignment="1">
      <alignment vertical="center" wrapText="1"/>
    </xf>
    <xf numFmtId="0" fontId="111" fillId="12" borderId="129" xfId="315" applyFont="1" applyFill="1" applyBorder="1" applyAlignment="1">
      <alignment horizontal="left" vertical="center"/>
    </xf>
    <xf numFmtId="166" fontId="47" fillId="0" borderId="110" xfId="247" applyFont="1" applyFill="1" applyBorder="1" applyAlignment="1">
      <alignment vertical="center"/>
    </xf>
    <xf numFmtId="44" fontId="111" fillId="0" borderId="51" xfId="317" applyFont="1" applyFill="1" applyBorder="1" applyAlignment="1">
      <alignment vertical="center" wrapText="1"/>
    </xf>
    <xf numFmtId="0" fontId="111" fillId="0" borderId="130" xfId="315" applyFont="1" applyBorder="1" applyAlignment="1">
      <alignment vertical="center" wrapText="1"/>
    </xf>
    <xf numFmtId="43" fontId="47" fillId="0" borderId="130" xfId="318" applyFont="1" applyFill="1" applyBorder="1" applyAlignment="1">
      <alignment vertical="center"/>
    </xf>
    <xf numFmtId="43" fontId="47" fillId="0" borderId="129" xfId="318" applyFont="1" applyFill="1" applyBorder="1" applyAlignment="1">
      <alignment vertical="center"/>
    </xf>
    <xf numFmtId="166" fontId="47" fillId="0" borderId="131" xfId="247" applyFont="1" applyFill="1" applyBorder="1" applyAlignment="1">
      <alignment vertical="center"/>
    </xf>
    <xf numFmtId="44" fontId="111" fillId="0" borderId="51" xfId="317" applyFont="1" applyFill="1" applyBorder="1" applyAlignment="1">
      <alignment vertical="center"/>
    </xf>
    <xf numFmtId="0" fontId="111" fillId="12" borderId="2" xfId="315" applyFont="1" applyFill="1" applyBorder="1" applyAlignment="1">
      <alignment horizontal="left" vertical="center"/>
    </xf>
    <xf numFmtId="0" fontId="134" fillId="0" borderId="0" xfId="315" applyFont="1" applyAlignment="1">
      <alignment horizontal="left" vertical="center"/>
    </xf>
    <xf numFmtId="0" fontId="136" fillId="0" borderId="0" xfId="293" applyFont="1" applyAlignment="1">
      <alignment vertical="center"/>
    </xf>
    <xf numFmtId="0" fontId="137" fillId="0" borderId="35" xfId="293" applyFont="1" applyBorder="1" applyAlignment="1">
      <alignment vertical="center"/>
    </xf>
    <xf numFmtId="0" fontId="138" fillId="0" borderId="32" xfId="293" applyFont="1" applyBorder="1" applyAlignment="1">
      <alignment vertical="center"/>
    </xf>
    <xf numFmtId="0" fontId="139" fillId="0" borderId="33" xfId="293" applyFont="1" applyBorder="1" applyAlignment="1">
      <alignment vertical="center"/>
    </xf>
    <xf numFmtId="0" fontId="137" fillId="0" borderId="33" xfId="293" applyFont="1" applyBorder="1" applyAlignment="1">
      <alignment vertical="center"/>
    </xf>
    <xf numFmtId="0" fontId="137" fillId="0" borderId="132" xfId="293" applyFont="1" applyBorder="1" applyAlignment="1">
      <alignment vertical="center"/>
    </xf>
    <xf numFmtId="0" fontId="140" fillId="0" borderId="0" xfId="293" applyFont="1" applyAlignment="1">
      <alignment vertical="center"/>
    </xf>
    <xf numFmtId="0" fontId="136" fillId="0" borderId="37" xfId="293" applyFont="1" applyBorder="1" applyAlignment="1">
      <alignment vertical="center"/>
    </xf>
    <xf numFmtId="0" fontId="139" fillId="0" borderId="132" xfId="293" applyFont="1" applyBorder="1" applyAlignment="1">
      <alignment vertical="center"/>
    </xf>
    <xf numFmtId="190" fontId="139" fillId="0" borderId="33" xfId="293" applyNumberFormat="1" applyFont="1" applyBorder="1" applyAlignment="1">
      <alignment vertical="center" wrapText="1"/>
    </xf>
    <xf numFmtId="190" fontId="139" fillId="0" borderId="132" xfId="293" applyNumberFormat="1" applyFont="1" applyBorder="1" applyAlignment="1">
      <alignment vertical="center" wrapText="1"/>
    </xf>
    <xf numFmtId="17" fontId="136" fillId="0" borderId="37" xfId="293" applyNumberFormat="1" applyFont="1" applyBorder="1" applyAlignment="1">
      <alignment horizontal="left" vertical="center"/>
    </xf>
    <xf numFmtId="0" fontId="138" fillId="0" borderId="35" xfId="293" applyFont="1" applyBorder="1" applyAlignment="1">
      <alignment vertical="center"/>
    </xf>
    <xf numFmtId="0" fontId="136" fillId="0" borderId="34" xfId="293" applyFont="1" applyBorder="1" applyAlignment="1">
      <alignment vertical="center"/>
    </xf>
    <xf numFmtId="0" fontId="136" fillId="0" borderId="133" xfId="293" applyFont="1" applyBorder="1" applyAlignment="1">
      <alignment vertical="center"/>
    </xf>
    <xf numFmtId="0" fontId="119" fillId="0" borderId="0" xfId="293" applyFont="1"/>
    <xf numFmtId="167" fontId="119" fillId="0" borderId="0" xfId="293" applyNumberFormat="1" applyFont="1"/>
    <xf numFmtId="167" fontId="142" fillId="0" borderId="0" xfId="293" applyNumberFormat="1" applyFont="1"/>
    <xf numFmtId="0" fontId="143" fillId="17" borderId="137" xfId="293" applyFont="1" applyFill="1" applyBorder="1" applyAlignment="1">
      <alignment horizontal="center" vertical="center"/>
    </xf>
    <xf numFmtId="0" fontId="143" fillId="17" borderId="138" xfId="293" applyFont="1" applyFill="1" applyBorder="1" applyAlignment="1">
      <alignment horizontal="center" vertical="center"/>
    </xf>
    <xf numFmtId="0" fontId="143" fillId="17" borderId="139" xfId="293" applyFont="1" applyFill="1" applyBorder="1" applyAlignment="1">
      <alignment horizontal="center" vertical="center"/>
    </xf>
    <xf numFmtId="0" fontId="143" fillId="0" borderId="0" xfId="293" applyFont="1"/>
    <xf numFmtId="180" fontId="144" fillId="19" borderId="0" xfId="293" applyNumberFormat="1" applyFont="1" applyFill="1" applyAlignment="1">
      <alignment horizontal="center" vertical="center" wrapText="1"/>
    </xf>
    <xf numFmtId="0" fontId="145" fillId="0" borderId="0" xfId="293" applyFont="1"/>
    <xf numFmtId="0" fontId="143" fillId="0" borderId="141" xfId="293" applyFont="1" applyBorder="1"/>
    <xf numFmtId="0" fontId="143" fillId="17" borderId="142" xfId="293" applyFont="1" applyFill="1" applyBorder="1" applyAlignment="1">
      <alignment horizontal="center" vertical="center"/>
    </xf>
    <xf numFmtId="0" fontId="143" fillId="17" borderId="31" xfId="293" applyFont="1" applyFill="1" applyBorder="1" applyAlignment="1">
      <alignment horizontal="center" vertical="center"/>
    </xf>
    <xf numFmtId="0" fontId="143" fillId="17" borderId="143" xfId="293" applyFont="1" applyFill="1" applyBorder="1" applyAlignment="1">
      <alignment horizontal="center" vertical="center"/>
    </xf>
    <xf numFmtId="0" fontId="139" fillId="0" borderId="147" xfId="293" applyFont="1" applyBorder="1"/>
    <xf numFmtId="0" fontId="143" fillId="0" borderId="148" xfId="293" applyFont="1" applyBorder="1" applyAlignment="1">
      <alignment vertical="center"/>
    </xf>
    <xf numFmtId="0" fontId="143" fillId="0" borderId="148" xfId="293" applyFont="1" applyBorder="1" applyAlignment="1">
      <alignment horizontal="center"/>
    </xf>
    <xf numFmtId="180" fontId="143" fillId="33" borderId="149" xfId="293" applyNumberFormat="1" applyFont="1" applyFill="1" applyBorder="1" applyAlignment="1">
      <alignment horizontal="center"/>
    </xf>
    <xf numFmtId="0" fontId="143" fillId="0" borderId="144" xfId="293" applyFont="1" applyBorder="1" applyAlignment="1">
      <alignment horizontal="center" vertical="center"/>
    </xf>
    <xf numFmtId="0" fontId="143" fillId="0" borderId="145" xfId="293" applyFont="1" applyBorder="1" applyAlignment="1">
      <alignment horizontal="center" vertical="center"/>
    </xf>
    <xf numFmtId="0" fontId="139" fillId="0" borderId="150" xfId="293" applyFont="1" applyBorder="1"/>
    <xf numFmtId="0" fontId="143" fillId="0" borderId="144" xfId="293" applyFont="1" applyBorder="1" applyAlignment="1">
      <alignment vertical="center"/>
    </xf>
    <xf numFmtId="0" fontId="143" fillId="0" borderId="144" xfId="293" applyFont="1" applyBorder="1" applyAlignment="1">
      <alignment horizontal="center"/>
    </xf>
    <xf numFmtId="180" fontId="143" fillId="33" borderId="151" xfId="293" applyNumberFormat="1" applyFont="1" applyFill="1" applyBorder="1" applyAlignment="1">
      <alignment horizontal="center"/>
    </xf>
    <xf numFmtId="0" fontId="139" fillId="0" borderId="152" xfId="293" applyFont="1" applyBorder="1"/>
    <xf numFmtId="0" fontId="143" fillId="0" borderId="153" xfId="293" applyFont="1" applyBorder="1" applyAlignment="1">
      <alignment vertical="center"/>
    </xf>
    <xf numFmtId="0" fontId="143" fillId="0" borderId="153" xfId="293" applyFont="1" applyBorder="1" applyAlignment="1">
      <alignment horizontal="center"/>
    </xf>
    <xf numFmtId="0" fontId="143" fillId="0" borderId="153" xfId="293" applyFont="1" applyBorder="1" applyAlignment="1">
      <alignment horizontal="center" vertical="center"/>
    </xf>
    <xf numFmtId="0" fontId="143" fillId="0" borderId="154" xfId="293" applyFont="1" applyBorder="1" applyAlignment="1">
      <alignment horizontal="center" vertical="center"/>
    </xf>
    <xf numFmtId="0" fontId="139" fillId="0" borderId="155" xfId="293" applyFont="1" applyBorder="1"/>
    <xf numFmtId="0" fontId="143" fillId="0" borderId="156" xfId="293" applyFont="1" applyBorder="1" applyAlignment="1">
      <alignment horizontal="left" vertical="center"/>
    </xf>
    <xf numFmtId="0" fontId="143" fillId="0" borderId="156" xfId="293" applyFont="1" applyBorder="1" applyAlignment="1">
      <alignment horizontal="center"/>
    </xf>
    <xf numFmtId="180" fontId="143" fillId="33" borderId="157" xfId="293" applyNumberFormat="1" applyFont="1" applyFill="1" applyBorder="1" applyAlignment="1">
      <alignment horizontal="center"/>
    </xf>
    <xf numFmtId="0" fontId="143" fillId="0" borderId="156" xfId="293" applyFont="1" applyBorder="1" applyAlignment="1">
      <alignment horizontal="center" vertical="center"/>
    </xf>
    <xf numFmtId="0" fontId="143" fillId="0" borderId="158" xfId="293" applyFont="1" applyBorder="1" applyAlignment="1">
      <alignment horizontal="center" vertical="center"/>
    </xf>
    <xf numFmtId="180" fontId="143" fillId="33" borderId="159" xfId="293" applyNumberFormat="1" applyFont="1" applyFill="1" applyBorder="1" applyAlignment="1">
      <alignment horizontal="center"/>
    </xf>
    <xf numFmtId="0" fontId="139" fillId="34" borderId="150" xfId="293" applyFont="1" applyFill="1" applyBorder="1"/>
    <xf numFmtId="0" fontId="143" fillId="34" borderId="144" xfId="293" applyFont="1" applyFill="1" applyBorder="1" applyAlignment="1">
      <alignment vertical="center"/>
    </xf>
    <xf numFmtId="0" fontId="143" fillId="34" borderId="144" xfId="293" applyFont="1" applyFill="1" applyBorder="1" applyAlignment="1">
      <alignment horizontal="center"/>
    </xf>
    <xf numFmtId="180" fontId="143" fillId="34" borderId="151" xfId="293" applyNumberFormat="1" applyFont="1" applyFill="1" applyBorder="1" applyAlignment="1">
      <alignment horizontal="center"/>
    </xf>
    <xf numFmtId="0" fontId="143" fillId="34" borderId="141" xfId="293" applyFont="1" applyFill="1" applyBorder="1"/>
    <xf numFmtId="0" fontId="143" fillId="34" borderId="144" xfId="293" applyFont="1" applyFill="1" applyBorder="1" applyAlignment="1">
      <alignment horizontal="center" vertical="center"/>
    </xf>
    <xf numFmtId="0" fontId="143" fillId="33" borderId="156" xfId="293" applyFont="1" applyFill="1" applyBorder="1" applyAlignment="1">
      <alignment horizontal="center" vertical="center"/>
    </xf>
    <xf numFmtId="0" fontId="143" fillId="33" borderId="158" xfId="293" applyFont="1" applyFill="1" applyBorder="1" applyAlignment="1">
      <alignment horizontal="center" vertical="center"/>
    </xf>
    <xf numFmtId="2" fontId="139" fillId="0" borderId="144" xfId="293" applyNumberFormat="1" applyFont="1" applyBorder="1" applyAlignment="1">
      <alignment horizontal="center" vertical="center"/>
    </xf>
    <xf numFmtId="0" fontId="139" fillId="0" borderId="144" xfId="293" applyFont="1" applyBorder="1" applyAlignment="1">
      <alignment horizontal="center" vertical="center"/>
    </xf>
    <xf numFmtId="2" fontId="139" fillId="0" borderId="145" xfId="293" applyNumberFormat="1" applyFont="1" applyBorder="1" applyAlignment="1">
      <alignment horizontal="center" vertical="center"/>
    </xf>
    <xf numFmtId="2" fontId="139" fillId="0" borderId="153" xfId="293" applyNumberFormat="1" applyFont="1" applyBorder="1" applyAlignment="1">
      <alignment horizontal="center" vertical="center"/>
    </xf>
    <xf numFmtId="2" fontId="139" fillId="0" borderId="154" xfId="293" applyNumberFormat="1" applyFont="1" applyBorder="1" applyAlignment="1">
      <alignment horizontal="center" vertical="center"/>
    </xf>
    <xf numFmtId="0" fontId="139" fillId="0" borderId="160" xfId="293" applyFont="1" applyBorder="1"/>
    <xf numFmtId="0" fontId="143" fillId="0" borderId="161" xfId="293" applyFont="1" applyBorder="1" applyAlignment="1">
      <alignment horizontal="left" vertical="center"/>
    </xf>
    <xf numFmtId="0" fontId="143" fillId="0" borderId="161" xfId="293" applyFont="1" applyBorder="1" applyAlignment="1">
      <alignment horizontal="center"/>
    </xf>
    <xf numFmtId="180" fontId="143" fillId="33" borderId="162" xfId="293" applyNumberFormat="1" applyFont="1" applyFill="1" applyBorder="1" applyAlignment="1">
      <alignment horizontal="center"/>
    </xf>
    <xf numFmtId="2" fontId="145" fillId="0" borderId="0" xfId="293" applyNumberFormat="1" applyFont="1"/>
    <xf numFmtId="2" fontId="146" fillId="0" borderId="0" xfId="293" applyNumberFormat="1" applyFont="1"/>
    <xf numFmtId="180" fontId="145" fillId="0" borderId="0" xfId="293" applyNumberFormat="1" applyFont="1"/>
    <xf numFmtId="0" fontId="147" fillId="0" borderId="0" xfId="293" applyFont="1" applyAlignment="1">
      <alignment horizontal="right"/>
    </xf>
    <xf numFmtId="191" fontId="148" fillId="0" borderId="0" xfId="293" applyNumberFormat="1" applyFont="1"/>
    <xf numFmtId="0" fontId="146" fillId="0" borderId="0" xfId="293" applyFont="1"/>
    <xf numFmtId="0" fontId="142" fillId="0" borderId="0" xfId="293" applyFont="1"/>
    <xf numFmtId="180" fontId="119" fillId="0" borderId="0" xfId="293" applyNumberFormat="1" applyFont="1"/>
    <xf numFmtId="0" fontId="143" fillId="0" borderId="4" xfId="293" applyFont="1" applyBorder="1"/>
    <xf numFmtId="0" fontId="139" fillId="0" borderId="163" xfId="293" applyFont="1" applyBorder="1"/>
    <xf numFmtId="0" fontId="143" fillId="0" borderId="164" xfId="293" applyFont="1" applyBorder="1" applyAlignment="1">
      <alignment vertical="center"/>
    </xf>
    <xf numFmtId="0" fontId="143" fillId="0" borderId="164" xfId="293" applyFont="1" applyBorder="1" applyAlignment="1">
      <alignment horizontal="center"/>
    </xf>
    <xf numFmtId="180" fontId="143" fillId="33" borderId="165" xfId="293" applyNumberFormat="1" applyFont="1" applyFill="1" applyBorder="1" applyAlignment="1">
      <alignment horizontal="center"/>
    </xf>
    <xf numFmtId="0" fontId="139" fillId="0" borderId="166" xfId="293" applyFont="1" applyBorder="1"/>
    <xf numFmtId="180" fontId="143" fillId="33" borderId="146" xfId="293" applyNumberFormat="1" applyFont="1" applyFill="1" applyBorder="1" applyAlignment="1">
      <alignment horizontal="center"/>
    </xf>
    <xf numFmtId="0" fontId="139" fillId="0" borderId="167" xfId="293" applyFont="1" applyBorder="1"/>
    <xf numFmtId="0" fontId="143" fillId="0" borderId="168" xfId="293" applyFont="1" applyBorder="1" applyAlignment="1">
      <alignment horizontal="left" vertical="center"/>
    </xf>
    <xf numFmtId="0" fontId="143" fillId="0" borderId="168" xfId="293" applyFont="1" applyBorder="1" applyAlignment="1">
      <alignment horizontal="center"/>
    </xf>
    <xf numFmtId="180" fontId="143" fillId="33" borderId="169" xfId="293" applyNumberFormat="1" applyFont="1" applyFill="1" applyBorder="1" applyAlignment="1">
      <alignment horizontal="center"/>
    </xf>
    <xf numFmtId="2" fontId="139" fillId="0" borderId="170" xfId="293" applyNumberFormat="1" applyFont="1" applyBorder="1" applyAlignment="1">
      <alignment horizontal="center" vertical="center"/>
    </xf>
    <xf numFmtId="2" fontId="139" fillId="0" borderId="166" xfId="293" applyNumberFormat="1" applyFont="1" applyBorder="1" applyAlignment="1">
      <alignment horizontal="center" vertical="center"/>
    </xf>
    <xf numFmtId="0" fontId="143" fillId="0" borderId="167" xfId="293" applyFont="1" applyBorder="1" applyAlignment="1">
      <alignment horizontal="center" vertical="center"/>
    </xf>
    <xf numFmtId="0" fontId="143" fillId="0" borderId="168" xfId="293" applyFont="1" applyBorder="1" applyAlignment="1">
      <alignment horizontal="center" vertical="center"/>
    </xf>
    <xf numFmtId="0" fontId="143" fillId="0" borderId="171" xfId="293" applyFont="1" applyBorder="1" applyAlignment="1">
      <alignment horizontal="center" vertical="center"/>
    </xf>
    <xf numFmtId="180" fontId="143" fillId="0" borderId="163" xfId="293" applyNumberFormat="1" applyFont="1" applyBorder="1" applyAlignment="1">
      <alignment horizontal="center" vertical="center"/>
    </xf>
    <xf numFmtId="43" fontId="143" fillId="0" borderId="165" xfId="293" applyNumberFormat="1" applyFont="1" applyBorder="1" applyAlignment="1">
      <alignment horizontal="center" vertical="center"/>
    </xf>
    <xf numFmtId="180" fontId="143" fillId="0" borderId="172" xfId="293" applyNumberFormat="1" applyFont="1" applyBorder="1" applyAlignment="1">
      <alignment horizontal="center" vertical="center"/>
    </xf>
    <xf numFmtId="180" fontId="143" fillId="0" borderId="146" xfId="293" applyNumberFormat="1" applyFont="1" applyBorder="1" applyAlignment="1">
      <alignment horizontal="center" vertical="center"/>
    </xf>
    <xf numFmtId="180" fontId="143" fillId="0" borderId="167" xfId="293" applyNumberFormat="1" applyFont="1" applyBorder="1" applyAlignment="1">
      <alignment horizontal="center" vertical="center"/>
    </xf>
    <xf numFmtId="180" fontId="143" fillId="0" borderId="169" xfId="293" applyNumberFormat="1" applyFont="1" applyBorder="1" applyAlignment="1">
      <alignment horizontal="center" vertical="center"/>
    </xf>
    <xf numFmtId="2" fontId="139" fillId="0" borderId="173" xfId="293" applyNumberFormat="1" applyFont="1" applyBorder="1" applyAlignment="1">
      <alignment horizontal="center" vertical="center"/>
    </xf>
    <xf numFmtId="0" fontId="143" fillId="0" borderId="174" xfId="293" applyFont="1" applyBorder="1" applyAlignment="1">
      <alignment horizontal="center" vertical="center"/>
    </xf>
    <xf numFmtId="0" fontId="139" fillId="32" borderId="148" xfId="293" applyFont="1" applyFill="1" applyBorder="1" applyAlignment="1">
      <alignment horizontal="center" vertical="center"/>
    </xf>
    <xf numFmtId="0" fontId="139" fillId="32" borderId="175" xfId="293" applyFont="1" applyFill="1" applyBorder="1" applyAlignment="1">
      <alignment horizontal="center" vertical="center"/>
    </xf>
    <xf numFmtId="0" fontId="139" fillId="32" borderId="176" xfId="293" applyFont="1" applyFill="1" applyBorder="1" applyAlignment="1">
      <alignment horizontal="center" vertical="center"/>
    </xf>
    <xf numFmtId="0" fontId="143" fillId="0" borderId="172" xfId="293" applyFont="1" applyBorder="1" applyAlignment="1">
      <alignment horizontal="center" vertical="center"/>
    </xf>
    <xf numFmtId="0" fontId="143" fillId="0" borderId="166" xfId="293" applyFont="1" applyBorder="1" applyAlignment="1">
      <alignment horizontal="center" vertical="center"/>
    </xf>
    <xf numFmtId="0" fontId="143" fillId="0" borderId="177" xfId="293" applyFont="1" applyBorder="1" applyAlignment="1">
      <alignment horizontal="center" vertical="center"/>
    </xf>
    <xf numFmtId="0" fontId="143" fillId="34" borderId="172" xfId="293" applyFont="1" applyFill="1" applyBorder="1" applyAlignment="1">
      <alignment horizontal="center" vertical="center"/>
    </xf>
    <xf numFmtId="0" fontId="143" fillId="33" borderId="177" xfId="293" applyFont="1" applyFill="1" applyBorder="1" applyAlignment="1">
      <alignment horizontal="center" vertical="center"/>
    </xf>
    <xf numFmtId="0" fontId="145" fillId="6" borderId="45" xfId="293" applyFont="1" applyFill="1" applyBorder="1" applyAlignment="1">
      <alignment horizontal="center"/>
    </xf>
    <xf numFmtId="0" fontId="145" fillId="6" borderId="46" xfId="293" applyFont="1" applyFill="1" applyBorder="1" applyAlignment="1">
      <alignment horizontal="center"/>
    </xf>
    <xf numFmtId="0" fontId="47" fillId="5" borderId="0" xfId="56" applyFill="1"/>
    <xf numFmtId="0" fontId="47" fillId="5" borderId="108" xfId="0" applyFont="1" applyFill="1" applyBorder="1" applyAlignment="1">
      <alignment horizontal="left" vertical="center" wrapText="1"/>
    </xf>
    <xf numFmtId="0" fontId="47" fillId="35" borderId="0" xfId="56" applyFill="1"/>
    <xf numFmtId="4" fontId="64" fillId="0" borderId="29" xfId="102" applyNumberFormat="1" applyFont="1" applyFill="1" applyBorder="1" applyAlignment="1">
      <alignment horizontal="left" vertical="center" wrapText="1"/>
    </xf>
    <xf numFmtId="192" fontId="78" fillId="0" borderId="74" xfId="30" applyNumberFormat="1" applyFont="1" applyBorder="1" applyAlignment="1">
      <alignment horizontal="right" vertical="center"/>
    </xf>
    <xf numFmtId="193" fontId="78" fillId="0" borderId="74" xfId="30" applyNumberFormat="1" applyFont="1" applyBorder="1" applyAlignment="1">
      <alignment horizontal="right" vertical="center"/>
    </xf>
    <xf numFmtId="0" fontId="62" fillId="0" borderId="0" xfId="67" applyNumberFormat="1" applyFont="1" applyFill="1" applyBorder="1" applyAlignment="1">
      <alignment horizontal="center" wrapText="1"/>
    </xf>
    <xf numFmtId="43" fontId="97" fillId="0" borderId="74" xfId="212" applyNumberFormat="1" applyBorder="1" applyAlignment="1">
      <alignment horizontal="left" vertical="center"/>
    </xf>
    <xf numFmtId="0" fontId="154" fillId="11" borderId="72" xfId="314" applyFont="1" applyFill="1" applyBorder="1" applyAlignment="1">
      <alignment horizontal="right"/>
    </xf>
    <xf numFmtId="0" fontId="154" fillId="11" borderId="53" xfId="314" applyFont="1" applyFill="1" applyBorder="1" applyAlignment="1">
      <alignment horizontal="right"/>
    </xf>
    <xf numFmtId="0" fontId="154" fillId="11" borderId="111" xfId="314" applyFont="1" applyFill="1" applyBorder="1" applyAlignment="1">
      <alignment horizontal="right"/>
    </xf>
    <xf numFmtId="0" fontId="111" fillId="0" borderId="0" xfId="293" applyFont="1"/>
    <xf numFmtId="0" fontId="74" fillId="0" borderId="0" xfId="293" applyFont="1"/>
    <xf numFmtId="0" fontId="143" fillId="36" borderId="172" xfId="293" applyFont="1" applyFill="1" applyBorder="1" applyAlignment="1">
      <alignment horizontal="center" vertical="center"/>
    </xf>
    <xf numFmtId="0" fontId="143" fillId="36" borderId="144" xfId="293" applyFont="1" applyFill="1" applyBorder="1" applyAlignment="1">
      <alignment horizontal="center" vertical="center"/>
    </xf>
    <xf numFmtId="0" fontId="158" fillId="0" borderId="0" xfId="52" applyNumberFormat="1" applyFont="1" applyFill="1" applyBorder="1" applyAlignment="1">
      <alignment horizontal="left" vertical="center"/>
    </xf>
    <xf numFmtId="43" fontId="145" fillId="0" borderId="0" xfId="293" applyNumberFormat="1" applyFont="1"/>
    <xf numFmtId="193" fontId="107" fillId="0" borderId="29" xfId="102" applyNumberFormat="1" applyFont="1" applyFill="1" applyBorder="1" applyAlignment="1">
      <alignment horizontal="center" vertical="center" wrapText="1"/>
    </xf>
    <xf numFmtId="177" fontId="64" fillId="0" borderId="29" xfId="102" applyNumberFormat="1" applyFont="1" applyFill="1" applyBorder="1" applyAlignment="1">
      <alignment horizontal="center" vertical="center" wrapText="1"/>
    </xf>
    <xf numFmtId="4" fontId="126" fillId="0" borderId="74" xfId="30" applyNumberFormat="1" applyFont="1" applyBorder="1" applyAlignment="1">
      <alignment horizontal="right" vertical="center"/>
    </xf>
    <xf numFmtId="0" fontId="159" fillId="0" borderId="0" xfId="52" applyNumberFormat="1" applyFont="1" applyFill="1" applyBorder="1" applyAlignment="1">
      <alignment horizontal="left" vertical="center"/>
    </xf>
    <xf numFmtId="195" fontId="134" fillId="0" borderId="0" xfId="342" applyNumberFormat="1" applyFont="1" applyAlignment="1">
      <alignment horizontal="center" vertical="center"/>
    </xf>
    <xf numFmtId="195" fontId="47" fillId="0" borderId="0" xfId="342" applyNumberFormat="1" applyFont="1"/>
    <xf numFmtId="4" fontId="47" fillId="0" borderId="0" xfId="56" applyNumberFormat="1"/>
    <xf numFmtId="3" fontId="160" fillId="0" borderId="74" xfId="205" applyNumberFormat="1" applyFont="1" applyBorder="1" applyAlignment="1">
      <alignment horizontal="left" vertical="center"/>
    </xf>
    <xf numFmtId="3" fontId="160" fillId="0" borderId="74" xfId="205" applyNumberFormat="1" applyFont="1" applyBorder="1" applyAlignment="1">
      <alignment horizontal="center" vertical="center"/>
    </xf>
    <xf numFmtId="186" fontId="160" fillId="0" borderId="74" xfId="307" applyNumberFormat="1" applyFont="1" applyBorder="1" applyAlignment="1">
      <alignment horizontal="left" vertical="center"/>
    </xf>
    <xf numFmtId="4" fontId="160" fillId="0" borderId="74" xfId="30" applyNumberFormat="1" applyFont="1" applyBorder="1" applyAlignment="1">
      <alignment horizontal="right" vertical="center"/>
    </xf>
    <xf numFmtId="43" fontId="160" fillId="0" borderId="74" xfId="307" applyFont="1" applyBorder="1" applyAlignment="1">
      <alignment horizontal="left" vertical="center"/>
    </xf>
    <xf numFmtId="2" fontId="19" fillId="0" borderId="0" xfId="306" applyNumberFormat="1"/>
    <xf numFmtId="0" fontId="47" fillId="5" borderId="0" xfId="52" applyNumberFormat="1" applyFont="1" applyFill="1" applyBorder="1" applyAlignment="1"/>
    <xf numFmtId="0" fontId="47" fillId="5" borderId="0" xfId="52" applyNumberFormat="1" applyFont="1" applyFill="1" applyBorder="1" applyAlignment="1">
      <alignment vertical="center"/>
    </xf>
    <xf numFmtId="0" fontId="89" fillId="5" borderId="0" xfId="45" applyFont="1" applyFill="1"/>
    <xf numFmtId="0" fontId="89" fillId="5" borderId="0" xfId="45" applyFont="1" applyFill="1" applyAlignment="1">
      <alignment vertical="center"/>
    </xf>
    <xf numFmtId="0" fontId="62" fillId="5" borderId="0" xfId="52" applyNumberFormat="1" applyFont="1" applyFill="1" applyBorder="1" applyAlignment="1">
      <alignment vertical="center"/>
    </xf>
    <xf numFmtId="0" fontId="64" fillId="5" borderId="0" xfId="52" applyNumberFormat="1" applyFont="1" applyFill="1" applyBorder="1" applyAlignment="1">
      <alignment vertical="center"/>
    </xf>
    <xf numFmtId="0" fontId="52" fillId="5" borderId="0" xfId="52" applyNumberFormat="1" applyFont="1" applyFill="1" applyBorder="1" applyAlignment="1">
      <alignment vertical="center"/>
    </xf>
    <xf numFmtId="0" fontId="64" fillId="0" borderId="29" xfId="52" applyNumberFormat="1" applyFont="1" applyFill="1" applyBorder="1" applyAlignment="1">
      <alignment horizontal="center" vertical="center"/>
    </xf>
    <xf numFmtId="0" fontId="161" fillId="0" borderId="0" xfId="0" applyNumberFormat="1" applyFont="1" applyFill="1" applyBorder="1" applyAlignment="1"/>
    <xf numFmtId="4" fontId="162" fillId="0" borderId="29" xfId="102" applyNumberFormat="1" applyFont="1" applyFill="1" applyBorder="1" applyAlignment="1">
      <alignment horizontal="left" vertical="center"/>
    </xf>
    <xf numFmtId="4" fontId="162" fillId="0" borderId="29" xfId="102" applyNumberFormat="1" applyFont="1" applyFill="1" applyBorder="1" applyAlignment="1">
      <alignment horizontal="center" vertical="center" wrapText="1"/>
    </xf>
    <xf numFmtId="0" fontId="162" fillId="0" borderId="29" xfId="52" applyNumberFormat="1" applyFont="1" applyFill="1" applyBorder="1" applyAlignment="1">
      <alignment vertical="center"/>
    </xf>
    <xf numFmtId="0" fontId="162" fillId="0" borderId="29" xfId="52" applyNumberFormat="1" applyFont="1" applyFill="1" applyBorder="1" applyAlignment="1">
      <alignment horizontal="center" vertical="center" wrapText="1"/>
    </xf>
    <xf numFmtId="4" fontId="162" fillId="0" borderId="29" xfId="102" applyNumberFormat="1" applyFont="1" applyFill="1" applyBorder="1" applyAlignment="1">
      <alignment horizontal="right" vertical="center" wrapText="1"/>
    </xf>
    <xf numFmtId="4" fontId="162" fillId="0" borderId="29" xfId="102" applyNumberFormat="1" applyFont="1" applyFill="1" applyBorder="1" applyAlignment="1">
      <alignment horizontal="left" vertical="center" wrapText="1"/>
    </xf>
    <xf numFmtId="177" fontId="78" fillId="0" borderId="74" xfId="30" applyNumberFormat="1" applyFont="1" applyBorder="1" applyAlignment="1">
      <alignment horizontal="right" vertical="center"/>
    </xf>
    <xf numFmtId="4" fontId="82" fillId="4" borderId="26" xfId="49" applyNumberFormat="1" applyFont="1" applyFill="1" applyBorder="1" applyAlignment="1">
      <alignment horizontal="center" vertical="center" wrapText="1"/>
    </xf>
    <xf numFmtId="0" fontId="165" fillId="11" borderId="183" xfId="350" applyFont="1" applyFill="1" applyBorder="1" applyAlignment="1">
      <alignment vertical="center"/>
    </xf>
    <xf numFmtId="0" fontId="152" fillId="11" borderId="184" xfId="350" applyFont="1" applyFill="1" applyBorder="1" applyAlignment="1">
      <alignment vertical="center"/>
    </xf>
    <xf numFmtId="0" fontId="136" fillId="11" borderId="185" xfId="350" applyFont="1" applyFill="1" applyBorder="1" applyAlignment="1">
      <alignment vertical="center"/>
    </xf>
    <xf numFmtId="0" fontId="165" fillId="11" borderId="186" xfId="350" applyFont="1" applyFill="1" applyBorder="1" applyAlignment="1">
      <alignment vertical="center"/>
    </xf>
    <xf numFmtId="0" fontId="108" fillId="0" borderId="0" xfId="350" applyFont="1"/>
    <xf numFmtId="0" fontId="164" fillId="0" borderId="0" xfId="350"/>
    <xf numFmtId="0" fontId="136" fillId="11" borderId="76" xfId="350" applyFont="1" applyFill="1" applyBorder="1" applyAlignment="1">
      <alignment vertical="center"/>
    </xf>
    <xf numFmtId="0" fontId="152" fillId="11" borderId="187" xfId="350" applyFont="1" applyFill="1" applyBorder="1" applyAlignment="1">
      <alignment vertical="center"/>
    </xf>
    <xf numFmtId="0" fontId="136" fillId="11" borderId="33" xfId="350" applyFont="1" applyFill="1" applyBorder="1" applyAlignment="1">
      <alignment vertical="center"/>
    </xf>
    <xf numFmtId="0" fontId="136" fillId="11" borderId="132" xfId="350" applyFont="1" applyFill="1" applyBorder="1" applyAlignment="1">
      <alignment vertical="center"/>
    </xf>
    <xf numFmtId="17" fontId="136" fillId="11" borderId="178" xfId="350" applyNumberFormat="1" applyFont="1" applyFill="1" applyBorder="1" applyAlignment="1">
      <alignment horizontal="left" vertical="center"/>
    </xf>
    <xf numFmtId="0" fontId="152" fillId="11" borderId="188" xfId="350" applyFont="1" applyFill="1" applyBorder="1" applyAlignment="1">
      <alignment vertical="center"/>
    </xf>
    <xf numFmtId="17" fontId="136" fillId="11" borderId="189" xfId="350" applyNumberFormat="1" applyFont="1" applyFill="1" applyBorder="1" applyAlignment="1">
      <alignment vertical="center"/>
    </xf>
    <xf numFmtId="0" fontId="136" fillId="11" borderId="190" xfId="350" applyFont="1" applyFill="1" applyBorder="1" applyAlignment="1">
      <alignment vertical="center"/>
    </xf>
    <xf numFmtId="0" fontId="153" fillId="38" borderId="113" xfId="350" applyFont="1" applyFill="1" applyBorder="1" applyAlignment="1">
      <alignment horizontal="center" vertical="center" wrapText="1"/>
    </xf>
    <xf numFmtId="0" fontId="153" fillId="38" borderId="180" xfId="350" applyFont="1" applyFill="1" applyBorder="1" applyAlignment="1">
      <alignment horizontal="center" vertical="center" wrapText="1"/>
    </xf>
    <xf numFmtId="167" fontId="153" fillId="38" borderId="180" xfId="350" applyNumberFormat="1" applyFont="1" applyFill="1" applyBorder="1" applyAlignment="1">
      <alignment horizontal="center" vertical="center"/>
    </xf>
    <xf numFmtId="194" fontId="153" fillId="38" borderId="180" xfId="350" applyNumberFormat="1" applyFont="1" applyFill="1" applyBorder="1" applyAlignment="1">
      <alignment horizontal="center" vertical="center"/>
    </xf>
    <xf numFmtId="167" fontId="153" fillId="38" borderId="181" xfId="350" applyNumberFormat="1" applyFont="1" applyFill="1" applyBorder="1" applyAlignment="1">
      <alignment horizontal="center" vertical="center" wrapText="1"/>
    </xf>
    <xf numFmtId="0" fontId="151" fillId="0" borderId="179" xfId="350" applyFont="1" applyBorder="1" applyAlignment="1">
      <alignment horizontal="left"/>
    </xf>
    <xf numFmtId="0" fontId="108" fillId="0" borderId="75" xfId="350" applyFont="1" applyBorder="1"/>
    <xf numFmtId="167" fontId="136" fillId="0" borderId="75" xfId="350" applyNumberFormat="1" applyFont="1" applyBorder="1" applyAlignment="1">
      <alignment horizontal="center"/>
    </xf>
    <xf numFmtId="194" fontId="136" fillId="0" borderId="75" xfId="350" applyNumberFormat="1" applyFont="1" applyBorder="1"/>
    <xf numFmtId="0" fontId="108" fillId="0" borderId="179" xfId="350" applyFont="1" applyBorder="1" applyAlignment="1">
      <alignment horizontal="left"/>
    </xf>
    <xf numFmtId="0" fontId="108" fillId="0" borderId="179" xfId="350" applyFont="1" applyBorder="1" applyAlignment="1">
      <alignment horizontal="left" wrapText="1"/>
    </xf>
    <xf numFmtId="167" fontId="136" fillId="0" borderId="0" xfId="350" applyNumberFormat="1" applyFont="1"/>
    <xf numFmtId="194" fontId="136" fillId="0" borderId="0" xfId="350" applyNumberFormat="1" applyFont="1"/>
    <xf numFmtId="4" fontId="107" fillId="0" borderId="29" xfId="102" applyNumberFormat="1" applyFont="1" applyFill="1" applyBorder="1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0" fontId="0" fillId="5" borderId="0" xfId="0" applyFill="1"/>
    <xf numFmtId="0" fontId="70" fillId="5" borderId="0" xfId="56" applyFont="1" applyFill="1" applyAlignment="1">
      <alignment horizontal="center" vertical="center"/>
    </xf>
    <xf numFmtId="0" fontId="47" fillId="5" borderId="0" xfId="0" applyFont="1" applyFill="1"/>
    <xf numFmtId="0" fontId="168" fillId="5" borderId="0" xfId="56" applyFont="1" applyFill="1" applyAlignment="1">
      <alignment horizontal="center" vertical="center"/>
    </xf>
    <xf numFmtId="0" fontId="169" fillId="5" borderId="0" xfId="56" applyFont="1" applyFill="1" applyAlignment="1">
      <alignment horizontal="center" vertical="center"/>
    </xf>
    <xf numFmtId="0" fontId="170" fillId="5" borderId="0" xfId="56" applyFont="1" applyFill="1" applyAlignment="1">
      <alignment horizontal="center" vertical="center"/>
    </xf>
    <xf numFmtId="3" fontId="78" fillId="0" borderId="74" xfId="0" applyNumberFormat="1" applyFont="1" applyBorder="1" applyAlignment="1">
      <alignment horizontal="left" vertical="center"/>
    </xf>
    <xf numFmtId="10" fontId="106" fillId="15" borderId="195" xfId="67" applyNumberFormat="1" applyFont="1" applyFill="1" applyBorder="1" applyAlignment="1">
      <alignment horizontal="center" vertical="center"/>
    </xf>
    <xf numFmtId="10" fontId="106" fillId="11" borderId="195" xfId="67" applyNumberFormat="1" applyFont="1" applyFill="1" applyBorder="1" applyAlignment="1">
      <alignment horizontal="center" vertical="center"/>
    </xf>
    <xf numFmtId="0" fontId="81" fillId="13" borderId="109" xfId="67" applyFont="1" applyFill="1" applyBorder="1" applyAlignment="1">
      <alignment horizontal="center" vertical="center"/>
    </xf>
    <xf numFmtId="166" fontId="81" fillId="13" borderId="23" xfId="247" applyFont="1" applyFill="1" applyBorder="1" applyAlignment="1">
      <alignment horizontal="center" vertical="center"/>
    </xf>
    <xf numFmtId="44" fontId="106" fillId="15" borderId="195" xfId="326" applyFont="1" applyFill="1" applyBorder="1" applyAlignment="1">
      <alignment horizontal="center" vertical="center"/>
    </xf>
    <xf numFmtId="44" fontId="106" fillId="11" borderId="195" xfId="326" applyFont="1" applyFill="1" applyBorder="1" applyAlignment="1">
      <alignment horizontal="center" vertical="center"/>
    </xf>
    <xf numFmtId="0" fontId="171" fillId="27" borderId="108" xfId="0" applyFont="1" applyFill="1" applyBorder="1" applyAlignment="1">
      <alignment horizontal="left" vertical="center" wrapText="1"/>
    </xf>
    <xf numFmtId="0" fontId="171" fillId="5" borderId="108" xfId="0" applyFont="1" applyFill="1" applyBorder="1" applyAlignment="1">
      <alignment horizontal="left" vertical="center" wrapText="1"/>
    </xf>
    <xf numFmtId="0" fontId="172" fillId="27" borderId="108" xfId="0" applyFont="1" applyFill="1" applyBorder="1" applyAlignment="1">
      <alignment horizontal="left" vertical="center" wrapText="1"/>
    </xf>
    <xf numFmtId="0" fontId="172" fillId="5" borderId="108" xfId="0" applyFont="1" applyFill="1" applyBorder="1" applyAlignment="1">
      <alignment horizontal="left" vertical="center" wrapText="1"/>
    </xf>
    <xf numFmtId="0" fontId="158" fillId="0" borderId="0" xfId="52" applyNumberFormat="1" applyFont="1" applyFill="1" applyBorder="1" applyAlignment="1">
      <alignment horizontal="left"/>
    </xf>
    <xf numFmtId="0" fontId="173" fillId="0" borderId="0" xfId="52" applyNumberFormat="1" applyFont="1" applyFill="1" applyBorder="1" applyAlignment="1">
      <alignment horizontal="left" vertical="center"/>
    </xf>
    <xf numFmtId="0" fontId="174" fillId="0" borderId="0" xfId="52" applyNumberFormat="1" applyFont="1" applyFill="1" applyBorder="1" applyAlignment="1">
      <alignment horizontal="left" vertical="center"/>
    </xf>
    <xf numFmtId="44" fontId="0" fillId="0" borderId="0" xfId="0" applyNumberFormat="1" applyFont="1" applyFill="1" applyBorder="1" applyAlignment="1"/>
    <xf numFmtId="17" fontId="98" fillId="8" borderId="69" xfId="45" applyNumberFormat="1" applyFont="1" applyFill="1" applyBorder="1" applyAlignment="1">
      <alignment horizontal="center" vertical="center"/>
    </xf>
    <xf numFmtId="17" fontId="98" fillId="8" borderId="24" xfId="45" applyNumberFormat="1" applyFont="1" applyFill="1" applyBorder="1" applyAlignment="1">
      <alignment horizontal="center" vertical="center"/>
    </xf>
    <xf numFmtId="0" fontId="127" fillId="24" borderId="16" xfId="56" applyFont="1" applyFill="1" applyBorder="1" applyAlignment="1">
      <alignment horizontal="center" vertical="center"/>
    </xf>
    <xf numFmtId="0" fontId="47" fillId="39" borderId="9" xfId="0" applyNumberFormat="1" applyFont="1" applyFill="1" applyBorder="1" applyAlignment="1"/>
    <xf numFmtId="0" fontId="47" fillId="39" borderId="9" xfId="0" applyNumberFormat="1" applyFont="1" applyFill="1" applyBorder="1" applyAlignment="1">
      <alignment horizontal="center"/>
    </xf>
    <xf numFmtId="0" fontId="47" fillId="40" borderId="9" xfId="0" applyNumberFormat="1" applyFont="1" applyFill="1" applyBorder="1" applyAlignment="1"/>
    <xf numFmtId="0" fontId="47" fillId="40" borderId="9" xfId="0" applyNumberFormat="1" applyFont="1" applyFill="1" applyBorder="1" applyAlignment="1">
      <alignment horizontal="center"/>
    </xf>
    <xf numFmtId="0" fontId="47" fillId="41" borderId="9" xfId="0" applyNumberFormat="1" applyFont="1" applyFill="1" applyBorder="1" applyAlignment="1"/>
    <xf numFmtId="0" fontId="47" fillId="41" borderId="9" xfId="0" applyNumberFormat="1" applyFont="1" applyFill="1" applyBorder="1" applyAlignment="1">
      <alignment horizontal="center"/>
    </xf>
    <xf numFmtId="0" fontId="47" fillId="42" borderId="9" xfId="0" applyNumberFormat="1" applyFont="1" applyFill="1" applyBorder="1" applyAlignment="1"/>
    <xf numFmtId="0" fontId="47" fillId="42" borderId="9" xfId="0" applyNumberFormat="1" applyFont="1" applyFill="1" applyBorder="1" applyAlignment="1">
      <alignment horizontal="center"/>
    </xf>
    <xf numFmtId="0" fontId="47" fillId="43" borderId="9" xfId="0" applyNumberFormat="1" applyFont="1" applyFill="1" applyBorder="1" applyAlignment="1"/>
    <xf numFmtId="0" fontId="47" fillId="43" borderId="9" xfId="0" applyNumberFormat="1" applyFont="1" applyFill="1" applyBorder="1" applyAlignment="1">
      <alignment horizontal="center"/>
    </xf>
    <xf numFmtId="0" fontId="47" fillId="44" borderId="9" xfId="0" applyNumberFormat="1" applyFont="1" applyFill="1" applyBorder="1" applyAlignment="1"/>
    <xf numFmtId="0" fontId="47" fillId="44" borderId="9" xfId="0" applyNumberFormat="1" applyFont="1" applyFill="1" applyBorder="1" applyAlignment="1">
      <alignment horizontal="center"/>
    </xf>
    <xf numFmtId="0" fontId="166" fillId="45" borderId="108" xfId="0" applyFont="1" applyFill="1" applyBorder="1" applyAlignment="1">
      <alignment horizontal="left" vertical="center"/>
    </xf>
    <xf numFmtId="0" fontId="166" fillId="45" borderId="108" xfId="0" applyFont="1" applyFill="1" applyBorder="1" applyAlignment="1">
      <alignment horizontal="left" vertical="center" wrapText="1"/>
    </xf>
    <xf numFmtId="0" fontId="156" fillId="5" borderId="0" xfId="52" applyNumberFormat="1" applyFont="1" applyFill="1" applyBorder="1" applyAlignment="1">
      <alignment vertical="center"/>
    </xf>
    <xf numFmtId="0" fontId="127" fillId="24" borderId="22" xfId="56" applyFont="1" applyFill="1" applyBorder="1" applyAlignment="1">
      <alignment vertical="center"/>
    </xf>
    <xf numFmtId="0" fontId="127" fillId="24" borderId="16" xfId="56" applyFont="1" applyFill="1" applyBorder="1" applyAlignment="1">
      <alignment vertical="center"/>
    </xf>
    <xf numFmtId="0" fontId="166" fillId="45" borderId="108" xfId="0" applyFont="1" applyFill="1" applyBorder="1" applyAlignment="1">
      <alignment horizontal="center" vertical="center" wrapText="1"/>
    </xf>
    <xf numFmtId="1" fontId="166" fillId="45" borderId="108" xfId="0" applyNumberFormat="1" applyFont="1" applyFill="1" applyBorder="1" applyAlignment="1">
      <alignment horizontal="center" vertical="center"/>
    </xf>
    <xf numFmtId="2" fontId="166" fillId="45" borderId="108" xfId="0" applyNumberFormat="1" applyFont="1" applyFill="1" applyBorder="1" applyAlignment="1">
      <alignment horizontal="center" vertical="center"/>
    </xf>
    <xf numFmtId="0" fontId="64" fillId="35" borderId="0" xfId="52" applyNumberFormat="1" applyFont="1" applyFill="1" applyBorder="1" applyAlignment="1">
      <alignment vertical="center"/>
    </xf>
    <xf numFmtId="2" fontId="166" fillId="45" borderId="108" xfId="0" applyNumberFormat="1" applyFont="1" applyFill="1" applyBorder="1" applyAlignment="1">
      <alignment horizontal="center" vertical="center" wrapText="1"/>
    </xf>
    <xf numFmtId="0" fontId="63" fillId="5" borderId="32" xfId="45" applyFont="1" applyFill="1" applyBorder="1" applyAlignment="1">
      <alignment vertical="center"/>
    </xf>
    <xf numFmtId="0" fontId="62" fillId="5" borderId="33" xfId="45" applyFont="1" applyFill="1" applyBorder="1" applyAlignment="1">
      <alignment vertical="center"/>
    </xf>
    <xf numFmtId="0" fontId="84" fillId="5" borderId="33" xfId="45" applyFont="1" applyFill="1" applyBorder="1" applyAlignment="1">
      <alignment vertical="center"/>
    </xf>
    <xf numFmtId="0" fontId="80" fillId="5" borderId="33" xfId="45" applyFont="1" applyFill="1" applyBorder="1" applyAlignment="1">
      <alignment vertical="center"/>
    </xf>
    <xf numFmtId="0" fontId="62" fillId="5" borderId="0" xfId="45" applyFont="1" applyFill="1" applyAlignment="1">
      <alignment vertical="center"/>
    </xf>
    <xf numFmtId="181" fontId="62" fillId="5" borderId="0" xfId="45" applyNumberFormat="1" applyFont="1" applyFill="1" applyAlignment="1">
      <alignment vertical="center"/>
    </xf>
    <xf numFmtId="0" fontId="82" fillId="5" borderId="0" xfId="45" applyFont="1" applyFill="1" applyAlignment="1">
      <alignment vertical="center"/>
    </xf>
    <xf numFmtId="168" fontId="89" fillId="5" borderId="42" xfId="51" quotePrefix="1" applyNumberFormat="1" applyFont="1" applyFill="1" applyBorder="1" applyAlignment="1">
      <alignment horizontal="left" vertical="center"/>
    </xf>
    <xf numFmtId="0" fontId="82" fillId="5" borderId="33" xfId="45" applyFont="1" applyFill="1" applyBorder="1" applyAlignment="1">
      <alignment vertical="center"/>
    </xf>
    <xf numFmtId="177" fontId="62" fillId="5" borderId="33" xfId="80" applyNumberFormat="1" applyFont="1" applyFill="1" applyBorder="1" applyAlignment="1">
      <alignment horizontal="left" vertical="center"/>
    </xf>
    <xf numFmtId="14" fontId="62" fillId="5" borderId="33" xfId="45" applyNumberFormat="1" applyFont="1" applyFill="1" applyBorder="1" applyAlignment="1">
      <alignment horizontal="left" vertical="center"/>
    </xf>
    <xf numFmtId="0" fontId="62" fillId="5" borderId="0" xfId="45" applyFont="1" applyFill="1"/>
    <xf numFmtId="0" fontId="52" fillId="5" borderId="0" xfId="41" applyFont="1" applyFill="1" applyAlignment="1">
      <alignment vertical="center"/>
    </xf>
    <xf numFmtId="0" fontId="82" fillId="5" borderId="0" xfId="41" applyFont="1" applyFill="1" applyAlignment="1">
      <alignment vertical="center"/>
    </xf>
    <xf numFmtId="0" fontId="84" fillId="5" borderId="35" xfId="45" applyFont="1" applyFill="1" applyBorder="1" applyAlignment="1">
      <alignment vertical="center" wrapText="1"/>
    </xf>
    <xf numFmtId="0" fontId="62" fillId="5" borderId="37" xfId="45" applyFont="1" applyFill="1" applyBorder="1" applyAlignment="1">
      <alignment vertical="center" wrapText="1"/>
    </xf>
    <xf numFmtId="17" fontId="62" fillId="5" borderId="39" xfId="45" applyNumberFormat="1" applyFont="1" applyFill="1" applyBorder="1" applyAlignment="1">
      <alignment horizontal="left" vertical="center" wrapText="1"/>
    </xf>
    <xf numFmtId="17" fontId="98" fillId="8" borderId="32" xfId="45" applyNumberFormat="1" applyFont="1" applyFill="1" applyBorder="1" applyAlignment="1">
      <alignment vertical="center" wrapText="1"/>
    </xf>
    <xf numFmtId="0" fontId="52" fillId="5" borderId="0" xfId="41" applyFont="1" applyFill="1" applyAlignment="1">
      <alignment vertical="center" wrapText="1"/>
    </xf>
    <xf numFmtId="0" fontId="52" fillId="2" borderId="0" xfId="41" applyFont="1" applyFill="1" applyAlignment="1">
      <alignment vertical="center" wrapText="1"/>
    </xf>
    <xf numFmtId="17" fontId="96" fillId="8" borderId="16" xfId="45" applyNumberFormat="1" applyFont="1" applyFill="1" applyBorder="1" applyAlignment="1">
      <alignment vertical="center" wrapText="1"/>
    </xf>
    <xf numFmtId="0" fontId="79" fillId="3" borderId="27" xfId="41" applyFont="1" applyFill="1" applyBorder="1" applyAlignment="1">
      <alignment vertical="center" wrapText="1"/>
    </xf>
    <xf numFmtId="43" fontId="51" fillId="2" borderId="9" xfId="295" applyFont="1" applyFill="1" applyBorder="1" applyAlignment="1">
      <alignment horizontal="center" vertical="top" wrapText="1"/>
    </xf>
    <xf numFmtId="4" fontId="85" fillId="7" borderId="8" xfId="41" applyNumberFormat="1" applyFont="1" applyFill="1" applyBorder="1" applyAlignment="1">
      <alignment horizontal="center" vertical="center" wrapText="1"/>
    </xf>
    <xf numFmtId="0" fontId="166" fillId="45" borderId="108" xfId="0" applyFont="1" applyFill="1" applyBorder="1" applyAlignment="1">
      <alignment horizontal="center" vertical="center"/>
    </xf>
    <xf numFmtId="0" fontId="175" fillId="0" borderId="0" xfId="0" applyNumberFormat="1" applyFont="1" applyFill="1" applyBorder="1" applyAlignment="1"/>
    <xf numFmtId="0" fontId="1" fillId="0" borderId="0" xfId="306" applyFont="1"/>
    <xf numFmtId="0" fontId="0" fillId="0" borderId="0" xfId="0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0" fillId="35" borderId="0" xfId="0" applyFill="1"/>
    <xf numFmtId="2" fontId="47" fillId="5" borderId="108" xfId="205" applyNumberFormat="1" applyFill="1" applyBorder="1" applyAlignment="1">
      <alignment horizontal="left" vertical="center" wrapText="1"/>
    </xf>
    <xf numFmtId="0" fontId="145" fillId="6" borderId="50" xfId="293" applyFont="1" applyFill="1" applyBorder="1" applyAlignment="1">
      <alignment horizontal="center"/>
    </xf>
    <xf numFmtId="0" fontId="143" fillId="36" borderId="145" xfId="293" applyFont="1" applyFill="1" applyBorder="1" applyAlignment="1">
      <alignment horizontal="center" vertical="center"/>
    </xf>
    <xf numFmtId="0" fontId="143" fillId="34" borderId="145" xfId="293" applyFont="1" applyFill="1" applyBorder="1" applyAlignment="1">
      <alignment horizontal="center" vertical="center"/>
    </xf>
    <xf numFmtId="180" fontId="143" fillId="0" borderId="176" xfId="293" applyNumberFormat="1" applyFont="1" applyBorder="1" applyAlignment="1">
      <alignment horizontal="center" vertical="center"/>
    </xf>
    <xf numFmtId="180" fontId="143" fillId="0" borderId="194" xfId="293" applyNumberFormat="1" applyFont="1" applyBorder="1" applyAlignment="1">
      <alignment horizontal="center" vertical="center"/>
    </xf>
    <xf numFmtId="180" fontId="143" fillId="0" borderId="166" xfId="293" applyNumberFormat="1" applyFont="1" applyBorder="1" applyAlignment="1">
      <alignment horizontal="center" vertical="center"/>
    </xf>
    <xf numFmtId="180" fontId="143" fillId="0" borderId="177" xfId="293" applyNumberFormat="1" applyFont="1" applyBorder="1" applyAlignment="1">
      <alignment horizontal="center" vertical="center"/>
    </xf>
    <xf numFmtId="0" fontId="143" fillId="0" borderId="199" xfId="293" applyFont="1" applyBorder="1" applyAlignment="1">
      <alignment horizontal="center" vertical="center"/>
    </xf>
    <xf numFmtId="180" fontId="143" fillId="34" borderId="172" xfId="293" applyNumberFormat="1" applyFont="1" applyFill="1" applyBorder="1" applyAlignment="1">
      <alignment horizontal="center" vertical="center"/>
    </xf>
    <xf numFmtId="180" fontId="143" fillId="34" borderId="146" xfId="293" applyNumberFormat="1" applyFont="1" applyFill="1" applyBorder="1" applyAlignment="1">
      <alignment horizontal="center" vertical="center"/>
    </xf>
    <xf numFmtId="180" fontId="143" fillId="0" borderId="199" xfId="293" applyNumberFormat="1" applyFont="1" applyBorder="1" applyAlignment="1">
      <alignment horizontal="center" vertical="center"/>
    </xf>
    <xf numFmtId="43" fontId="143" fillId="0" borderId="146" xfId="293" applyNumberFormat="1" applyFont="1" applyBorder="1" applyAlignment="1">
      <alignment horizontal="center" vertical="center"/>
    </xf>
    <xf numFmtId="44" fontId="176" fillId="11" borderId="51" xfId="326" applyFont="1" applyFill="1" applyBorder="1" applyAlignment="1">
      <alignment horizontal="center"/>
    </xf>
    <xf numFmtId="43" fontId="176" fillId="11" borderId="73" xfId="316" applyFont="1" applyFill="1" applyBorder="1" applyAlignment="1">
      <alignment horizontal="center"/>
    </xf>
    <xf numFmtId="43" fontId="176" fillId="11" borderId="51" xfId="316" applyFont="1" applyFill="1" applyBorder="1" applyAlignment="1">
      <alignment horizontal="center"/>
    </xf>
    <xf numFmtId="44" fontId="176" fillId="11" borderId="112" xfId="326" applyFont="1" applyFill="1" applyBorder="1" applyAlignment="1">
      <alignment horizontal="center"/>
    </xf>
    <xf numFmtId="44" fontId="134" fillId="0" borderId="0" xfId="315" applyNumberFormat="1" applyFont="1" applyAlignment="1">
      <alignment vertical="center"/>
    </xf>
    <xf numFmtId="0" fontId="106" fillId="15" borderId="70" xfId="67" applyFont="1" applyFill="1" applyBorder="1" applyAlignment="1">
      <alignment horizontal="left" vertical="center"/>
    </xf>
    <xf numFmtId="4" fontId="64" fillId="0" borderId="29" xfId="52" applyNumberFormat="1" applyFont="1" applyFill="1" applyBorder="1" applyAlignment="1">
      <alignment horizontal="center" vertical="center" wrapText="1"/>
    </xf>
    <xf numFmtId="43" fontId="134" fillId="0" borderId="0" xfId="315" applyNumberFormat="1" applyFont="1" applyAlignment="1">
      <alignment vertical="center"/>
    </xf>
    <xf numFmtId="43" fontId="62" fillId="0" borderId="0" xfId="67" applyNumberFormat="1" applyFont="1" applyFill="1" applyBorder="1" applyAlignment="1"/>
    <xf numFmtId="0" fontId="177" fillId="5" borderId="108" xfId="0" applyFont="1" applyFill="1" applyBorder="1" applyAlignment="1">
      <alignment horizontal="left" vertical="center" wrapText="1"/>
    </xf>
    <xf numFmtId="1" fontId="177" fillId="5" borderId="108" xfId="0" applyNumberFormat="1" applyFont="1" applyFill="1" applyBorder="1" applyAlignment="1">
      <alignment horizontal="center" vertical="center"/>
    </xf>
    <xf numFmtId="2" fontId="177" fillId="5" borderId="108" xfId="0" applyNumberFormat="1" applyFont="1" applyFill="1" applyBorder="1" applyAlignment="1">
      <alignment horizontal="center" vertical="center"/>
    </xf>
    <xf numFmtId="0" fontId="177" fillId="27" borderId="108" xfId="0" applyFont="1" applyFill="1" applyBorder="1" applyAlignment="1">
      <alignment horizontal="left" vertical="center" wrapText="1"/>
    </xf>
    <xf numFmtId="1" fontId="177" fillId="27" borderId="108" xfId="0" applyNumberFormat="1" applyFont="1" applyFill="1" applyBorder="1" applyAlignment="1">
      <alignment horizontal="center" vertical="center"/>
    </xf>
    <xf numFmtId="2" fontId="177" fillId="27" borderId="108" xfId="0" applyNumberFormat="1" applyFont="1" applyFill="1" applyBorder="1" applyAlignment="1">
      <alignment horizontal="center" vertical="center"/>
    </xf>
    <xf numFmtId="0" fontId="114" fillId="13" borderId="124" xfId="312" applyFont="1" applyFill="1" applyBorder="1" applyAlignment="1">
      <alignment horizontal="center" vertical="center"/>
    </xf>
    <xf numFmtId="0" fontId="114" fillId="13" borderId="125" xfId="312" applyFont="1" applyFill="1" applyBorder="1" applyAlignment="1">
      <alignment horizontal="center" vertical="center"/>
    </xf>
    <xf numFmtId="0" fontId="114" fillId="13" borderId="126" xfId="312" applyFont="1" applyFill="1" applyBorder="1" applyAlignment="1">
      <alignment horizontal="center" vertical="center"/>
    </xf>
    <xf numFmtId="0" fontId="101" fillId="13" borderId="87" xfId="293" applyFont="1" applyFill="1" applyBorder="1" applyAlignment="1">
      <alignment horizontal="center" vertical="center"/>
    </xf>
    <xf numFmtId="0" fontId="101" fillId="13" borderId="86" xfId="293" applyFont="1" applyFill="1" applyBorder="1" applyAlignment="1">
      <alignment horizontal="center" vertical="center"/>
    </xf>
    <xf numFmtId="0" fontId="118" fillId="19" borderId="8" xfId="293" applyFont="1" applyFill="1" applyBorder="1" applyAlignment="1">
      <alignment horizontal="center" vertical="center" wrapText="1"/>
    </xf>
    <xf numFmtId="0" fontId="118" fillId="19" borderId="22" xfId="293" applyFont="1" applyFill="1" applyBorder="1" applyAlignment="1">
      <alignment horizontal="center" vertical="center" wrapText="1"/>
    </xf>
    <xf numFmtId="17" fontId="96" fillId="9" borderId="44" xfId="45" applyNumberFormat="1" applyFont="1" applyFill="1" applyBorder="1" applyAlignment="1">
      <alignment horizontal="left" vertical="center"/>
    </xf>
    <xf numFmtId="17" fontId="96" fillId="9" borderId="34" xfId="45" applyNumberFormat="1" applyFont="1" applyFill="1" applyBorder="1" applyAlignment="1">
      <alignment horizontal="left" vertical="center"/>
    </xf>
    <xf numFmtId="17" fontId="96" fillId="9" borderId="69" xfId="45" applyNumberFormat="1" applyFont="1" applyFill="1" applyBorder="1" applyAlignment="1">
      <alignment horizontal="left" vertical="center"/>
    </xf>
    <xf numFmtId="0" fontId="101" fillId="13" borderId="76" xfId="293" applyFont="1" applyFill="1" applyBorder="1" applyAlignment="1">
      <alignment horizontal="center"/>
    </xf>
    <xf numFmtId="0" fontId="101" fillId="13" borderId="0" xfId="293" applyFont="1" applyFill="1" applyAlignment="1">
      <alignment horizontal="center"/>
    </xf>
    <xf numFmtId="44" fontId="118" fillId="19" borderId="0" xfId="294" applyFont="1" applyFill="1" applyBorder="1" applyAlignment="1">
      <alignment horizontal="center" vertical="center" wrapText="1"/>
    </xf>
    <xf numFmtId="44" fontId="118" fillId="19" borderId="16" xfId="294" applyFont="1" applyFill="1" applyBorder="1" applyAlignment="1">
      <alignment horizontal="center" vertical="center" wrapText="1"/>
    </xf>
    <xf numFmtId="0" fontId="84" fillId="0" borderId="43" xfId="45" applyFont="1" applyBorder="1" applyAlignment="1">
      <alignment horizontal="center" vertical="center"/>
    </xf>
    <xf numFmtId="0" fontId="84" fillId="0" borderId="89" xfId="45" applyFont="1" applyBorder="1" applyAlignment="1">
      <alignment horizontal="center" vertical="center"/>
    </xf>
    <xf numFmtId="0" fontId="84" fillId="0" borderId="90" xfId="45" applyFont="1" applyBorder="1" applyAlignment="1">
      <alignment horizontal="center" vertical="center"/>
    </xf>
    <xf numFmtId="17" fontId="96" fillId="8" borderId="44" xfId="45" applyNumberFormat="1" applyFont="1" applyFill="1" applyBorder="1" applyAlignment="1">
      <alignment horizontal="center" vertical="center"/>
    </xf>
    <xf numFmtId="17" fontId="96" fillId="8" borderId="34" xfId="45" applyNumberFormat="1" applyFont="1" applyFill="1" applyBorder="1" applyAlignment="1">
      <alignment horizontal="center" vertical="center"/>
    </xf>
    <xf numFmtId="17" fontId="96" fillId="8" borderId="69" xfId="45" applyNumberFormat="1" applyFont="1" applyFill="1" applyBorder="1" applyAlignment="1">
      <alignment horizontal="center" vertical="center"/>
    </xf>
    <xf numFmtId="44" fontId="97" fillId="19" borderId="6" xfId="212" applyNumberFormat="1" applyFill="1" applyBorder="1" applyAlignment="1">
      <alignment horizontal="center" vertical="center" wrapText="1"/>
    </xf>
    <xf numFmtId="44" fontId="118" fillId="19" borderId="6" xfId="294" applyFont="1" applyFill="1" applyBorder="1" applyAlignment="1">
      <alignment horizontal="center" vertical="center" wrapText="1"/>
    </xf>
    <xf numFmtId="44" fontId="118" fillId="19" borderId="41" xfId="294" applyFont="1" applyFill="1" applyBorder="1" applyAlignment="1">
      <alignment horizontal="center" vertical="center" wrapText="1"/>
    </xf>
    <xf numFmtId="0" fontId="81" fillId="13" borderId="71" xfId="67" applyFont="1" applyFill="1" applyBorder="1" applyAlignment="1">
      <alignment horizontal="center" vertical="center"/>
    </xf>
    <xf numFmtId="0" fontId="81" fillId="13" borderId="5" xfId="67" applyFont="1" applyFill="1" applyBorder="1" applyAlignment="1">
      <alignment horizontal="center" vertical="center"/>
    </xf>
    <xf numFmtId="0" fontId="116" fillId="11" borderId="60" xfId="67" applyFont="1" applyFill="1" applyBorder="1" applyAlignment="1">
      <alignment horizontal="center" vertical="center" wrapText="1"/>
    </xf>
    <xf numFmtId="0" fontId="116" fillId="11" borderId="61" xfId="67" applyFont="1" applyFill="1" applyBorder="1" applyAlignment="1">
      <alignment horizontal="center" vertical="center" wrapText="1"/>
    </xf>
    <xf numFmtId="0" fontId="105" fillId="11" borderId="60" xfId="67" applyFont="1" applyFill="1" applyBorder="1" applyAlignment="1">
      <alignment horizontal="center" vertical="center" wrapText="1"/>
    </xf>
    <xf numFmtId="0" fontId="105" fillId="11" borderId="61" xfId="67" applyFont="1" applyFill="1" applyBorder="1" applyAlignment="1">
      <alignment horizontal="center" vertical="center" wrapText="1"/>
    </xf>
    <xf numFmtId="180" fontId="104" fillId="11" borderId="64" xfId="67" applyNumberFormat="1" applyFont="1" applyFill="1" applyBorder="1" applyAlignment="1">
      <alignment horizontal="center" vertical="center" wrapText="1"/>
    </xf>
    <xf numFmtId="180" fontId="104" fillId="11" borderId="61" xfId="67" applyNumberFormat="1" applyFont="1" applyFill="1" applyBorder="1" applyAlignment="1">
      <alignment horizontal="center" vertical="center" wrapText="1"/>
    </xf>
    <xf numFmtId="0" fontId="116" fillId="11" borderId="93" xfId="67" applyFont="1" applyFill="1" applyBorder="1" applyAlignment="1">
      <alignment horizontal="center" vertical="center" wrapText="1"/>
    </xf>
    <xf numFmtId="0" fontId="116" fillId="11" borderId="66" xfId="67" applyFont="1" applyFill="1" applyBorder="1" applyAlignment="1">
      <alignment horizontal="center" vertical="center" wrapText="1"/>
    </xf>
    <xf numFmtId="0" fontId="84" fillId="0" borderId="37" xfId="45" applyFont="1" applyBorder="1" applyAlignment="1">
      <alignment horizontal="center" vertical="center"/>
    </xf>
    <xf numFmtId="0" fontId="84" fillId="0" borderId="38" xfId="45" applyFont="1" applyBorder="1" applyAlignment="1">
      <alignment horizontal="center" vertical="center"/>
    </xf>
    <xf numFmtId="0" fontId="84" fillId="0" borderId="39" xfId="45" applyFont="1" applyBorder="1" applyAlignment="1">
      <alignment horizontal="center" vertical="center"/>
    </xf>
    <xf numFmtId="0" fontId="84" fillId="0" borderId="40" xfId="45" applyFont="1" applyBorder="1" applyAlignment="1">
      <alignment horizontal="center" vertical="center"/>
    </xf>
    <xf numFmtId="0" fontId="81" fillId="13" borderId="50" xfId="67" applyFont="1" applyFill="1" applyBorder="1" applyAlignment="1">
      <alignment horizontal="center" vertical="center" wrapText="1"/>
    </xf>
    <xf numFmtId="0" fontId="81" fillId="13" borderId="55" xfId="67" applyFont="1" applyFill="1" applyBorder="1" applyAlignment="1">
      <alignment horizontal="center" vertical="center" wrapText="1"/>
    </xf>
    <xf numFmtId="0" fontId="81" fillId="13" borderId="48" xfId="67" applyFont="1" applyFill="1" applyBorder="1" applyAlignment="1">
      <alignment horizontal="center" vertical="center"/>
    </xf>
    <xf numFmtId="0" fontId="81" fillId="13" borderId="3" xfId="67" applyFont="1" applyFill="1" applyBorder="1" applyAlignment="1">
      <alignment horizontal="center" vertical="center"/>
    </xf>
    <xf numFmtId="0" fontId="81" fillId="13" borderId="52" xfId="67" applyFont="1" applyFill="1" applyBorder="1" applyAlignment="1">
      <alignment horizontal="center" vertical="center"/>
    </xf>
    <xf numFmtId="0" fontId="105" fillId="11" borderId="58" xfId="67" applyFont="1" applyFill="1" applyBorder="1" applyAlignment="1">
      <alignment horizontal="center" vertical="center" wrapText="1"/>
    </xf>
    <xf numFmtId="0" fontId="105" fillId="11" borderId="59" xfId="67" applyFont="1" applyFill="1" applyBorder="1" applyAlignment="1">
      <alignment horizontal="center" vertical="center" wrapText="1"/>
    </xf>
    <xf numFmtId="49" fontId="83" fillId="8" borderId="9" xfId="52" applyNumberFormat="1" applyFont="1" applyFill="1" applyBorder="1" applyAlignment="1">
      <alignment horizontal="center" vertical="center" wrapText="1"/>
    </xf>
    <xf numFmtId="0" fontId="49" fillId="5" borderId="9" xfId="56" applyFont="1" applyFill="1" applyBorder="1" applyAlignment="1">
      <alignment horizontal="center" vertical="center"/>
    </xf>
    <xf numFmtId="0" fontId="127" fillId="24" borderId="8" xfId="56" applyFont="1" applyFill="1" applyBorder="1" applyAlignment="1">
      <alignment horizontal="center" vertical="center"/>
    </xf>
    <xf numFmtId="0" fontId="127" fillId="24" borderId="0" xfId="56" applyFont="1" applyFill="1" applyAlignment="1">
      <alignment horizontal="center" vertical="center"/>
    </xf>
    <xf numFmtId="0" fontId="49" fillId="5" borderId="105" xfId="56" applyFont="1" applyFill="1" applyBorder="1" applyAlignment="1">
      <alignment horizontal="center"/>
    </xf>
    <xf numFmtId="0" fontId="49" fillId="5" borderId="0" xfId="56" applyFont="1" applyFill="1" applyAlignment="1">
      <alignment horizontal="center"/>
    </xf>
    <xf numFmtId="0" fontId="49" fillId="5" borderId="106" xfId="56" applyFont="1" applyFill="1" applyBorder="1" applyAlignment="1">
      <alignment horizontal="center"/>
    </xf>
    <xf numFmtId="0" fontId="86" fillId="7" borderId="6" xfId="41" applyFont="1" applyFill="1" applyBorder="1" applyAlignment="1">
      <alignment horizontal="center" vertical="center" wrapText="1"/>
    </xf>
    <xf numFmtId="0" fontId="86" fillId="7" borderId="0" xfId="41" applyFont="1" applyFill="1" applyAlignment="1">
      <alignment horizontal="center" vertical="center" wrapText="1"/>
    </xf>
    <xf numFmtId="0" fontId="86" fillId="7" borderId="182" xfId="41" applyFont="1" applyFill="1" applyBorder="1" applyAlignment="1">
      <alignment horizontal="center" vertical="center" wrapText="1"/>
    </xf>
    <xf numFmtId="0" fontId="86" fillId="7" borderId="19" xfId="41" applyFont="1" applyFill="1" applyBorder="1" applyAlignment="1">
      <alignment horizontal="center" vertical="center"/>
    </xf>
    <xf numFmtId="0" fontId="86" fillId="7" borderId="21" xfId="41" applyFont="1" applyFill="1" applyBorder="1" applyAlignment="1">
      <alignment horizontal="center" vertical="center"/>
    </xf>
    <xf numFmtId="0" fontId="115" fillId="7" borderId="7" xfId="272" applyFont="1" applyFill="1" applyBorder="1" applyAlignment="1">
      <alignment horizontal="center" vertical="center" wrapText="1"/>
    </xf>
    <xf numFmtId="0" fontId="115" fillId="7" borderId="1" xfId="272" applyFont="1" applyFill="1" applyBorder="1" applyAlignment="1">
      <alignment horizontal="center" vertical="center" wrapText="1"/>
    </xf>
    <xf numFmtId="4" fontId="85" fillId="7" borderId="7" xfId="41" applyNumberFormat="1" applyFont="1" applyFill="1" applyBorder="1" applyAlignment="1">
      <alignment horizontal="center" vertical="center" wrapText="1"/>
    </xf>
    <xf numFmtId="4" fontId="85" fillId="7" borderId="1" xfId="41" applyNumberFormat="1" applyFont="1" applyFill="1" applyBorder="1" applyAlignment="1">
      <alignment horizontal="center" vertical="center" wrapText="1"/>
    </xf>
    <xf numFmtId="180" fontId="150" fillId="37" borderId="191" xfId="350" applyNumberFormat="1" applyFont="1" applyFill="1" applyBorder="1" applyAlignment="1">
      <alignment horizontal="center" vertical="center"/>
    </xf>
    <xf numFmtId="0" fontId="47" fillId="0" borderId="192" xfId="350" applyFont="1" applyBorder="1"/>
    <xf numFmtId="0" fontId="47" fillId="0" borderId="193" xfId="350" applyFont="1" applyBorder="1"/>
    <xf numFmtId="0" fontId="114" fillId="13" borderId="134" xfId="293" applyFont="1" applyFill="1" applyBorder="1" applyAlignment="1">
      <alignment horizontal="center" vertical="center"/>
    </xf>
    <xf numFmtId="0" fontId="141" fillId="0" borderId="135" xfId="293" applyFont="1" applyBorder="1"/>
    <xf numFmtId="0" fontId="141" fillId="0" borderId="136" xfId="293" applyFont="1" applyBorder="1"/>
    <xf numFmtId="0" fontId="144" fillId="19" borderId="140" xfId="293" applyFont="1" applyFill="1" applyBorder="1" applyAlignment="1">
      <alignment horizontal="center" vertical="center" wrapText="1"/>
    </xf>
    <xf numFmtId="0" fontId="141" fillId="0" borderId="0" xfId="293" applyFont="1"/>
    <xf numFmtId="0" fontId="141" fillId="0" borderId="123" xfId="293" applyFont="1" applyBorder="1"/>
    <xf numFmtId="180" fontId="143" fillId="17" borderId="170" xfId="293" applyNumberFormat="1" applyFont="1" applyFill="1" applyBorder="1" applyAlignment="1">
      <alignment horizontal="center" vertical="center" wrapText="1"/>
    </xf>
    <xf numFmtId="0" fontId="141" fillId="0" borderId="197" xfId="293" applyFont="1" applyBorder="1"/>
    <xf numFmtId="180" fontId="143" fillId="17" borderId="196" xfId="293" applyNumberFormat="1" applyFont="1" applyFill="1" applyBorder="1" applyAlignment="1">
      <alignment horizontal="center" vertical="center" wrapText="1"/>
    </xf>
    <xf numFmtId="0" fontId="141" fillId="0" borderId="198" xfId="293" applyFont="1" applyBorder="1"/>
  </cellXfs>
  <cellStyles count="361">
    <cellStyle name="ARIAL" xfId="37" xr:uid="{00000000-0005-0000-0000-000000000000}"/>
    <cellStyle name="Comma" xfId="1" xr:uid="{00000000-0005-0000-0000-000001000000}"/>
    <cellStyle name="Comma [0]" xfId="85" xr:uid="{00000000-0005-0000-0000-000002000000}"/>
    <cellStyle name="Comma [0] 2" xfId="135" xr:uid="{00000000-0005-0000-0000-000003000000}"/>
    <cellStyle name="Comma [0] 2 2" xfId="195" xr:uid="{00000000-0005-0000-0000-000004000000}"/>
    <cellStyle name="Comma [0] 3" xfId="152" xr:uid="{00000000-0005-0000-0000-000005000000}"/>
    <cellStyle name="Comma 2" xfId="84" xr:uid="{00000000-0005-0000-0000-000006000000}"/>
    <cellStyle name="Comma 2 2" xfId="134" xr:uid="{00000000-0005-0000-0000-000007000000}"/>
    <cellStyle name="Comma 2 2 2" xfId="194" xr:uid="{00000000-0005-0000-0000-000008000000}"/>
    <cellStyle name="Comma 2 3" xfId="151" xr:uid="{00000000-0005-0000-0000-000009000000}"/>
    <cellStyle name="Comma0" xfId="2" xr:uid="{00000000-0005-0000-0000-00000A000000}"/>
    <cellStyle name="Currency" xfId="3" xr:uid="{00000000-0005-0000-0000-00000B000000}"/>
    <cellStyle name="Currency [0]" xfId="83" xr:uid="{00000000-0005-0000-0000-00000C000000}"/>
    <cellStyle name="Currency [0] 2" xfId="133" xr:uid="{00000000-0005-0000-0000-00000D000000}"/>
    <cellStyle name="Currency [0] 2 2" xfId="193" xr:uid="{00000000-0005-0000-0000-00000E000000}"/>
    <cellStyle name="Currency [0] 3" xfId="150" xr:uid="{00000000-0005-0000-0000-00000F000000}"/>
    <cellStyle name="Currency 2" xfId="82" xr:uid="{00000000-0005-0000-0000-000010000000}"/>
    <cellStyle name="Currency 2 2" xfId="132" xr:uid="{00000000-0005-0000-0000-000011000000}"/>
    <cellStyle name="Currency 2 2 2" xfId="192" xr:uid="{00000000-0005-0000-0000-000012000000}"/>
    <cellStyle name="Currency 2 3" xfId="149" xr:uid="{00000000-0005-0000-0000-000013000000}"/>
    <cellStyle name="Currency0" xfId="4" xr:uid="{00000000-0005-0000-0000-000014000000}"/>
    <cellStyle name="Date" xfId="5" xr:uid="{00000000-0005-0000-0000-000015000000}"/>
    <cellStyle name="Euro" xfId="6" xr:uid="{00000000-0005-0000-0000-000016000000}"/>
    <cellStyle name="Euro 2" xfId="86" xr:uid="{00000000-0005-0000-0000-000017000000}"/>
    <cellStyle name="Fixed" xfId="7" xr:uid="{00000000-0005-0000-0000-000018000000}"/>
    <cellStyle name="Heading 1" xfId="8" xr:uid="{00000000-0005-0000-0000-000019000000}"/>
    <cellStyle name="Heading 2" xfId="9" xr:uid="{00000000-0005-0000-0000-00001A000000}"/>
    <cellStyle name="Hiperlink" xfId="212" builtinId="8"/>
    <cellStyle name="Hiperlink 2" xfId="209" xr:uid="{C152CADE-20DD-4C2D-8051-0547FB2C3BC0}"/>
    <cellStyle name="Hiperlink 3" xfId="285" xr:uid="{2D758D95-B376-46A6-AE62-18DF72F23AC8}"/>
    <cellStyle name="M S SANS SERIF" xfId="38" xr:uid="{00000000-0005-0000-0000-00001B000000}"/>
    <cellStyle name="M S SANS SERIF 2" xfId="104" xr:uid="{00000000-0005-0000-0000-00001C000000}"/>
    <cellStyle name="Moeda" xfId="326" builtinId="4"/>
    <cellStyle name="Moeda 10" xfId="271" xr:uid="{D54513A5-E11B-471E-98CB-AAA3A5339AD2}"/>
    <cellStyle name="Moeda 11" xfId="250" xr:uid="{D42045F7-949F-46EC-B9D1-E11A039CBB60}"/>
    <cellStyle name="Moeda 12" xfId="251" xr:uid="{67ABC7CE-F962-4F60-9CD5-434CFE3EEAFD}"/>
    <cellStyle name="Moeda 13" xfId="278" xr:uid="{90D798B4-0E15-41D0-88DB-E76302A54EAA}"/>
    <cellStyle name="Moeda 13 2" xfId="289" xr:uid="{6A2E7309-8FD6-4F39-9BAA-CF3A8DF692CC}"/>
    <cellStyle name="Moeda 14" xfId="255" xr:uid="{331E3390-87E1-4D7B-8EB6-E2FCDA6BF7EB}"/>
    <cellStyle name="Moeda 15" xfId="305" xr:uid="{43DFF0C1-28EA-4744-B6EF-9D9F75306439}"/>
    <cellStyle name="Moeda 16" xfId="294" xr:uid="{40A74C28-04D4-4EA2-9196-AF05D53F52EB}"/>
    <cellStyle name="Moeda 16 2" xfId="311" xr:uid="{B8B2F956-1A84-44DF-BF64-3C84766E7B04}"/>
    <cellStyle name="Moeda 16 3" xfId="329" xr:uid="{79715C7E-4A24-424D-B448-43B5ED4057D4}"/>
    <cellStyle name="Moeda 16 4" xfId="332" xr:uid="{B0670C4A-1C96-405B-AC5A-A34029356BD6}"/>
    <cellStyle name="Moeda 16 5" xfId="335" xr:uid="{C199706D-CE68-462A-9587-6A031D6F7BC8}"/>
    <cellStyle name="Moeda 16 6" xfId="353" xr:uid="{5854F765-1D6B-43C6-AE47-94D123A82F0A}"/>
    <cellStyle name="Moeda 16 7" xfId="356" xr:uid="{6DD61C93-4B70-4D1A-909E-DE0EB45A980F}"/>
    <cellStyle name="Moeda 17" xfId="346" xr:uid="{4BE61525-0CEA-43FC-BFCB-494E1873D60E}"/>
    <cellStyle name="Moeda 2" xfId="211" xr:uid="{2626DF34-C827-4C8C-9515-80B373DC897C}"/>
    <cellStyle name="Moeda 2 2" xfId="244" xr:uid="{EF31BA72-F7D1-4AA3-9655-7D85F04E8C62}"/>
    <cellStyle name="Moeda 3" xfId="219" xr:uid="{49A2E78B-91D7-4D2D-9DB7-C630B1B3005E}"/>
    <cellStyle name="Moeda 3 2" xfId="283" xr:uid="{17EF6594-9958-486B-9C23-BF7981BDAD2B}"/>
    <cellStyle name="Moeda 3 2 2" xfId="317" xr:uid="{9BE4DDC5-7762-42B8-955F-CF62DE752C6D}"/>
    <cellStyle name="Moeda 4" xfId="223" xr:uid="{531DA28B-37FC-44BB-A5E1-E9E1EC6BA9CD}"/>
    <cellStyle name="Moeda 5" xfId="227" xr:uid="{2130FB7E-9460-4C99-8BAC-3BA8BF2FC5E4}"/>
    <cellStyle name="Moeda 6" xfId="231" xr:uid="{9E49DB48-2AE0-4E4A-B103-7B9BDA09B764}"/>
    <cellStyle name="Moeda 7" xfId="238" xr:uid="{C4838BDE-4580-46E9-A75E-89EAFB1A2043}"/>
    <cellStyle name="Moeda 8" xfId="245" xr:uid="{F7C1EDFB-B834-4D5A-A835-AEB50D6BDD6D}"/>
    <cellStyle name="Moeda 8 2" xfId="266" xr:uid="{DEE75667-616E-4680-A64D-BB0D3E41321B}"/>
    <cellStyle name="Moeda 9" xfId="247" xr:uid="{81FBA369-9975-466E-AC29-BEA2E339D31D}"/>
    <cellStyle name="Normal" xfId="0" builtinId="0"/>
    <cellStyle name="Normal 10" xfId="45" xr:uid="{00000000-0005-0000-0000-000020000000}"/>
    <cellStyle name="Normal 10 2" xfId="197" xr:uid="{DF76C64F-DBE0-4F2F-B01D-B946C836C541}"/>
    <cellStyle name="Normal 11" xfId="47" xr:uid="{00000000-0005-0000-0000-000021000000}"/>
    <cellStyle name="Normal 11 2" xfId="56" xr:uid="{00000000-0005-0000-0000-000022000000}"/>
    <cellStyle name="Normal 12" xfId="58" xr:uid="{00000000-0005-0000-0000-000023000000}"/>
    <cellStyle name="Normal 12 2" xfId="114" xr:uid="{00000000-0005-0000-0000-000024000000}"/>
    <cellStyle name="Normal 13" xfId="64" xr:uid="{00000000-0005-0000-0000-000025000000}"/>
    <cellStyle name="Normal 13 2" xfId="118" xr:uid="{00000000-0005-0000-0000-000026000000}"/>
    <cellStyle name="Normal 14" xfId="70" xr:uid="{00000000-0005-0000-0000-000027000000}"/>
    <cellStyle name="Normal 14 2" xfId="123" xr:uid="{00000000-0005-0000-0000-000028000000}"/>
    <cellStyle name="Normal 14 2 2" xfId="68" xr:uid="{00000000-0005-0000-0000-000029000000}"/>
    <cellStyle name="Normal 14 2 2 2" xfId="71" xr:uid="{00000000-0005-0000-0000-00002A000000}"/>
    <cellStyle name="Normal 14 2 2 2 2" xfId="75" xr:uid="{00000000-0005-0000-0000-00002B000000}"/>
    <cellStyle name="Normal 14 2 2 2 2 2" xfId="128" xr:uid="{00000000-0005-0000-0000-00002C000000}"/>
    <cellStyle name="Normal 14 2 2 2 2 2 2" xfId="188" xr:uid="{00000000-0005-0000-0000-00002D000000}"/>
    <cellStyle name="Normal 14 2 2 2 2 3" xfId="146" xr:uid="{00000000-0005-0000-0000-00002E000000}"/>
    <cellStyle name="Normal 14 2 2 2 3" xfId="124" xr:uid="{00000000-0005-0000-0000-00002F000000}"/>
    <cellStyle name="Normal 14 2 2 2 3 2" xfId="184" xr:uid="{00000000-0005-0000-0000-000030000000}"/>
    <cellStyle name="Normal 14 2 2 2 4" xfId="142" xr:uid="{00000000-0005-0000-0000-000031000000}"/>
    <cellStyle name="Normal 14 2 2 3" xfId="73" xr:uid="{00000000-0005-0000-0000-000032000000}"/>
    <cellStyle name="Normal 14 2 2 3 2" xfId="126" xr:uid="{00000000-0005-0000-0000-000033000000}"/>
    <cellStyle name="Normal 14 2 2 3 2 2" xfId="186" xr:uid="{00000000-0005-0000-0000-000034000000}"/>
    <cellStyle name="Normal 14 2 2 3 3" xfId="144" xr:uid="{00000000-0005-0000-0000-000035000000}"/>
    <cellStyle name="Normal 14 2 2 4" xfId="121" xr:uid="{00000000-0005-0000-0000-000036000000}"/>
    <cellStyle name="Normal 14 2 2 4 2" xfId="181" xr:uid="{00000000-0005-0000-0000-000037000000}"/>
    <cellStyle name="Normal 14 2 2 5" xfId="139" xr:uid="{00000000-0005-0000-0000-000038000000}"/>
    <cellStyle name="Normal 14 2 3" xfId="183" xr:uid="{00000000-0005-0000-0000-000039000000}"/>
    <cellStyle name="Normal 14 3" xfId="141" xr:uid="{00000000-0005-0000-0000-00003A000000}"/>
    <cellStyle name="Normal 14 4" xfId="279" xr:uid="{CBB10466-A3A9-40AB-9695-2075817E0A69}"/>
    <cellStyle name="Normal 14 4 2" xfId="313" xr:uid="{98DF5642-3CE9-4662-A890-5CD5A6903ECF}"/>
    <cellStyle name="Normal 14 5" xfId="287" xr:uid="{234C274E-84F2-4BE4-B2CE-10D31A4263DB}"/>
    <cellStyle name="Normal 14 5 2" xfId="360" xr:uid="{72806EAC-CD7A-42C5-B071-792A3382FDE0}"/>
    <cellStyle name="Normal 15" xfId="206" xr:uid="{6B11A424-3E97-45A5-9CB6-19325C68A13E}"/>
    <cellStyle name="Normal 16" xfId="76" xr:uid="{00000000-0005-0000-0000-00003B000000}"/>
    <cellStyle name="Normal 16 2" xfId="129" xr:uid="{00000000-0005-0000-0000-00003C000000}"/>
    <cellStyle name="Normal 16 2 2" xfId="189" xr:uid="{00000000-0005-0000-0000-00003D000000}"/>
    <cellStyle name="Normal 16 3" xfId="147" xr:uid="{00000000-0005-0000-0000-00003E000000}"/>
    <cellStyle name="Normal 16 4" xfId="280" xr:uid="{6187CC41-A124-4772-93E4-24AA94375C7E}"/>
    <cellStyle name="Normal 16 4 2" xfId="314" xr:uid="{893AB4E2-C5B3-4305-A52E-67B42C9D7D5C}"/>
    <cellStyle name="Normal 17" xfId="213" xr:uid="{66DA09ED-17E3-47DE-9028-526EEC478F05}"/>
    <cellStyle name="Normal 17 2" xfId="264" xr:uid="{9280E30A-210C-42E0-87F1-17B2FFB23487}"/>
    <cellStyle name="Normal 17 2 2" xfId="299" xr:uid="{CE3F5BC1-C329-44F1-84E3-975D7C767713}"/>
    <cellStyle name="Normal 17 2 3" xfId="291" xr:uid="{62A9D64B-9862-41C5-B4A9-CA712DC1CECF}"/>
    <cellStyle name="Normal 18" xfId="216" xr:uid="{0E7BFFCE-F1B0-4B40-BC02-30408BF456D8}"/>
    <cellStyle name="Normal 19" xfId="217" xr:uid="{EBE6931E-55F9-4A8A-91D7-69D20ED99964}"/>
    <cellStyle name="Normal 2" xfId="10" xr:uid="{00000000-0005-0000-0000-00003F000000}"/>
    <cellStyle name="Normal 2 2" xfId="11" xr:uid="{00000000-0005-0000-0000-000040000000}"/>
    <cellStyle name="Normal 2 2 2" xfId="50" xr:uid="{00000000-0005-0000-0000-000041000000}"/>
    <cellStyle name="Normal 2 2 2 2" xfId="205" xr:uid="{966D92B3-B124-43D1-9851-7256E35C976B}"/>
    <cellStyle name="Normal 2 2 3" xfId="79" xr:uid="{00000000-0005-0000-0000-000042000000}"/>
    <cellStyle name="Normal 2 2 4" xfId="233" xr:uid="{2707109F-577C-4030-8E72-7E6D9BEDCDE4}"/>
    <cellStyle name="Normal 2 2 5" xfId="303" xr:uid="{C8221D07-36DF-4A36-8729-F8A1F13145AB}"/>
    <cellStyle name="Normal 2 2 6" xfId="256" xr:uid="{418A11B8-B4EF-4828-AA73-DF92DE56DD04}"/>
    <cellStyle name="Normal 2 3" xfId="12" xr:uid="{00000000-0005-0000-0000-000043000000}"/>
    <cellStyle name="Normal 2 4" xfId="67" xr:uid="{00000000-0005-0000-0000-000044000000}"/>
    <cellStyle name="Normal 2 4 3" xfId="202" xr:uid="{014AE214-F5F1-4A2C-AEEA-C6E8EDE19A3F}"/>
    <cellStyle name="Normal 2 5" xfId="234" xr:uid="{B82FF700-53D0-46AA-8D5C-DCC45D66A894}"/>
    <cellStyle name="Normal 20" xfId="220" xr:uid="{03E83E6F-8725-4B29-B23C-18702E1D0E50}"/>
    <cellStyle name="Normal 21" xfId="225" xr:uid="{B3EA1DFE-463D-4D99-8ED1-12861D73D4A9}"/>
    <cellStyle name="Normal 22" xfId="230" xr:uid="{E5538568-DA69-4648-9E46-D08381458FFE}"/>
    <cellStyle name="Normal 22 2" xfId="319" xr:uid="{5A6B5574-7105-4C5E-967B-12FB69B658ED}"/>
    <cellStyle name="Normal 23" xfId="236" xr:uid="{78D9F5B8-0B8B-4CCD-B02E-C9BE846BA4E3}"/>
    <cellStyle name="Normal 24" xfId="237" xr:uid="{D8385557-A3BE-44A5-9D73-9FF3909E7F2A}"/>
    <cellStyle name="Normal 25" xfId="259" xr:uid="{0BA3AAEF-2E6E-4B85-9F21-84027F37CE0B}"/>
    <cellStyle name="Normal 26" xfId="269" xr:uid="{F09DF720-55D7-43BA-9159-5FC633B575DE}"/>
    <cellStyle name="Normal 27" xfId="261" xr:uid="{6926E863-DF2D-4568-9C1A-CD6C7C78090D}"/>
    <cellStyle name="Normal 27 2" xfId="276" xr:uid="{B3ECD4B7-3E68-47BD-A4E3-43D7033FFE5A}"/>
    <cellStyle name="Normal 28" xfId="273" xr:uid="{AE4AC348-98D0-444B-BF12-C5B56DC8BF6A}"/>
    <cellStyle name="Normal 28 2" xfId="275" xr:uid="{8E0A9929-39A2-49A9-AB64-604A54187067}"/>
    <cellStyle name="Normal 28 2 2" xfId="290" xr:uid="{A34C180E-0E12-4EFB-A5E2-CFCAAA9E29A3}"/>
    <cellStyle name="Normal 28 3" xfId="358" xr:uid="{12B78112-EE2C-4E30-8679-DC1329B5A564}"/>
    <cellStyle name="Normal 28 4" xfId="312" xr:uid="{B182AD31-C603-40F2-96BA-5D3481D6AEAB}"/>
    <cellStyle name="Normal 29" xfId="248" xr:uid="{CB9D3E87-1053-4F55-A279-4A1C27234D02}"/>
    <cellStyle name="Normal 29 2" xfId="357" xr:uid="{3C8560CD-AEAB-4142-8F22-6822B9CC89E2}"/>
    <cellStyle name="Normal 3" xfId="13" xr:uid="{00000000-0005-0000-0000-000045000000}"/>
    <cellStyle name="Normal 3 2" xfId="14" xr:uid="{00000000-0005-0000-0000-000046000000}"/>
    <cellStyle name="Normal 3 3" xfId="65" xr:uid="{00000000-0005-0000-0000-000047000000}"/>
    <cellStyle name="Normal 3 3 2" xfId="119" xr:uid="{00000000-0005-0000-0000-000048000000}"/>
    <cellStyle name="Normal 3 3 2 2" xfId="180" xr:uid="{00000000-0005-0000-0000-000049000000}"/>
    <cellStyle name="Normal 3 3 3" xfId="138" xr:uid="{00000000-0005-0000-0000-00004A000000}"/>
    <cellStyle name="Normal 3 4" xfId="78" xr:uid="{00000000-0005-0000-0000-00004B000000}"/>
    <cellStyle name="Normal 3 5" xfId="87" xr:uid="{00000000-0005-0000-0000-00004C000000}"/>
    <cellStyle name="Normal 3 6" xfId="302" xr:uid="{23AA83A9-1F44-4D95-9B69-4C8D7AD55FB8}"/>
    <cellStyle name="Normal 30" xfId="293" xr:uid="{40C0C4D8-6D3E-4902-94E0-7D8A367A692E}"/>
    <cellStyle name="Normal 31" xfId="296" xr:uid="{1033031B-6508-44D7-9644-313EBE55C4AA}"/>
    <cellStyle name="Normal 31 2" xfId="306" xr:uid="{E6F670FD-D6F5-40AF-BDBF-B1925ADAFEE3}"/>
    <cellStyle name="Normal 32" xfId="249" xr:uid="{878BEC6A-E2CD-4DEA-993D-D770A2EB9039}"/>
    <cellStyle name="Normal 33" xfId="253" xr:uid="{A7002F52-5BB9-4AF5-805C-B568EEF6F35B}"/>
    <cellStyle name="Normal 34" xfId="308" xr:uid="{F128E818-AAC3-4388-93F4-BFB88C3E5237}"/>
    <cellStyle name="Normal 34 2" xfId="309" xr:uid="{E92530FA-40CE-4CD6-961F-E3D06A4B9E8B}"/>
    <cellStyle name="Normal 34 2 2" xfId="327" xr:uid="{DC6F48FF-04BC-47A6-ADEB-ECB2057824B9}"/>
    <cellStyle name="Normal 34 2 3" xfId="330" xr:uid="{DA9702BB-6AD8-456F-B918-DF64B6EA2E1A}"/>
    <cellStyle name="Normal 34 2 4" xfId="333" xr:uid="{1C998CAC-91B1-42C8-B5FF-5A78F15B2B0D}"/>
    <cellStyle name="Normal 34 2 5" xfId="351" xr:uid="{D6EC4223-0158-4DDA-8311-FF66F94A2F30}"/>
    <cellStyle name="Normal 34 2 6" xfId="354" xr:uid="{D13D332B-C071-49A5-A570-8CD8763167B9}"/>
    <cellStyle name="Normal 35" xfId="322" xr:uid="{676D0561-C9A0-40C9-8395-237DED54B17E}"/>
    <cellStyle name="Normal 36" xfId="323" xr:uid="{B1544600-A6B4-40C1-9CED-3CA2DD558AFA}"/>
    <cellStyle name="Normal 37" xfId="325" xr:uid="{3E6FB57B-FCD4-4D1A-8BF8-C6ED31334224}"/>
    <cellStyle name="Normal 38" xfId="336" xr:uid="{6BEA2ACC-C4C5-4265-855C-4C2A8B3664D9}"/>
    <cellStyle name="Normal 39" xfId="338" xr:uid="{F0EDD19C-562C-41CE-A771-90047D9C897F}"/>
    <cellStyle name="Normal 4" xfId="15" xr:uid="{00000000-0005-0000-0000-00004D000000}"/>
    <cellStyle name="Normal 4 2" xfId="52" xr:uid="{00000000-0005-0000-0000-00004E000000}"/>
    <cellStyle name="Normal 4 3" xfId="210" xr:uid="{128A6384-C6AF-4864-BC9B-32CA45155972}"/>
    <cellStyle name="Normal 4 3 2" xfId="242" xr:uid="{696A2F0D-7C0A-4930-949B-0D2882EBB75D}"/>
    <cellStyle name="Normal 40" xfId="340" xr:uid="{4BDB5276-0DD8-4714-83E3-604100959302}"/>
    <cellStyle name="Normal 41" xfId="343" xr:uid="{E66C52AA-B404-4574-A31C-2ED4F7D621D9}"/>
    <cellStyle name="Normal 42" xfId="347" xr:uid="{A378A377-8AA3-4F29-8131-DC13D18B59D3}"/>
    <cellStyle name="Normal 43" xfId="348" xr:uid="{194B0A70-79F5-4ABA-8C8B-8B479972459F}"/>
    <cellStyle name="Normal 44" xfId="349" xr:uid="{ABAE2CBF-04F7-4F1D-9CC9-C1C94C1303FA}"/>
    <cellStyle name="Normal 45" xfId="350" xr:uid="{2C5F049D-498F-4773-9C83-82448D33C0E4}"/>
    <cellStyle name="Normal 5" xfId="16" xr:uid="{00000000-0005-0000-0000-00004F000000}"/>
    <cellStyle name="Normal 5 2" xfId="17" xr:uid="{00000000-0005-0000-0000-000050000000}"/>
    <cellStyle name="Normal 5 2 2" xfId="63" xr:uid="{00000000-0005-0000-0000-000051000000}"/>
    <cellStyle name="Normal 5 3" xfId="54" xr:uid="{00000000-0005-0000-0000-000052000000}"/>
    <cellStyle name="Normal 6" xfId="18" xr:uid="{00000000-0005-0000-0000-000053000000}"/>
    <cellStyle name="Normal 6 2" xfId="40" xr:uid="{00000000-0005-0000-0000-000054000000}"/>
    <cellStyle name="Normal 6 2 2" xfId="105" xr:uid="{00000000-0005-0000-0000-000055000000}"/>
    <cellStyle name="Normal 6 2 2 2" xfId="168" xr:uid="{00000000-0005-0000-0000-000056000000}"/>
    <cellStyle name="Normal 6 2 3" xfId="137" xr:uid="{00000000-0005-0000-0000-000057000000}"/>
    <cellStyle name="Normal 6 3" xfId="66" xr:uid="{00000000-0005-0000-0000-000058000000}"/>
    <cellStyle name="Normal 6 4" xfId="88" xr:uid="{00000000-0005-0000-0000-000059000000}"/>
    <cellStyle name="Normal 6 4 2" xfId="153" xr:uid="{00000000-0005-0000-0000-00005A000000}"/>
    <cellStyle name="Normal 6 5" xfId="136" xr:uid="{00000000-0005-0000-0000-00005B000000}"/>
    <cellStyle name="Normal 7" xfId="36" xr:uid="{00000000-0005-0000-0000-00005C000000}"/>
    <cellStyle name="Normal 7 2" xfId="228" xr:uid="{E97CCB13-9E83-4026-B9CB-7C05E06ABBCA}"/>
    <cellStyle name="Normal 7 2 2" xfId="320" xr:uid="{FFFE3E36-289B-4103-B7E6-462465374F7F}"/>
    <cellStyle name="Normal 7 3" xfId="268" xr:uid="{918CD3A2-75F9-4451-8251-43D82784D48B}"/>
    <cellStyle name="Normal 8" xfId="41" xr:uid="{00000000-0005-0000-0000-00005D000000}"/>
    <cellStyle name="Normal 8 4" xfId="203" xr:uid="{249D2AA0-4DAA-4BCA-BCBA-CDADF64B847F}"/>
    <cellStyle name="Normal 9" xfId="43" xr:uid="{00000000-0005-0000-0000-00005E000000}"/>
    <cellStyle name="Normal 9 2" xfId="62" xr:uid="{00000000-0005-0000-0000-00005F000000}"/>
    <cellStyle name="Normal 9 2 2" xfId="281" xr:uid="{18F25928-818C-4B94-ADCB-AD3C9B9333E1}"/>
    <cellStyle name="Normal 9 2 2 2" xfId="315" xr:uid="{B3E70C16-3736-4087-AEC3-AEEF106D8B91}"/>
    <cellStyle name="Normal 9 3" xfId="221" xr:uid="{006C36D3-8362-4B53-A813-2A67F57A9A6C}"/>
    <cellStyle name="Normal 9 4" xfId="239" xr:uid="{32ED79ED-2E6B-48FB-81F7-590E833BB2A3}"/>
    <cellStyle name="Normal 9 5" xfId="257" xr:uid="{CCC5E3BA-44B7-49B7-B353-829A875BCCB5}"/>
    <cellStyle name="Normal_LD_01_estruturas" xfId="272" xr:uid="{D2CB940C-570C-4340-9579-515D05681BC8}"/>
    <cellStyle name="Percent" xfId="19" xr:uid="{00000000-0005-0000-0000-000066000000}"/>
    <cellStyle name="Percent 2" xfId="81" xr:uid="{00000000-0005-0000-0000-000067000000}"/>
    <cellStyle name="planilhas" xfId="39" xr:uid="{00000000-0005-0000-0000-000068000000}"/>
    <cellStyle name="Porcentagem" xfId="342" builtinId="5"/>
    <cellStyle name="Porcentagem 2" xfId="20" xr:uid="{00000000-0005-0000-0000-00006A000000}"/>
    <cellStyle name="Porcentagem 2 2" xfId="89" xr:uid="{00000000-0005-0000-0000-00006B000000}"/>
    <cellStyle name="Porcentagem 2 3" xfId="200" xr:uid="{C2E974F5-5B88-4F34-A7F2-E95644B423E1}"/>
    <cellStyle name="Porcentagem 3" xfId="57" xr:uid="{00000000-0005-0000-0000-00006C000000}"/>
    <cellStyle name="Porcentagem 4" xfId="120" xr:uid="{00000000-0005-0000-0000-00006D000000}"/>
    <cellStyle name="Porcentagem 5" xfId="207" xr:uid="{AC67FB52-169F-4F70-AFBC-1869A6613FEA}"/>
    <cellStyle name="Porcentagem 6" xfId="215" xr:uid="{F3A50E94-BDC4-4335-996F-71738F7FA114}"/>
    <cellStyle name="Porcentagem 7" xfId="229" xr:uid="{5030DC1B-DA52-4AA8-A965-D3E61EAF6695}"/>
    <cellStyle name="Porcentagem 8" xfId="345" xr:uid="{A0E12AB6-9C07-43CE-9A25-3E4AF0E32415}"/>
    <cellStyle name="Separador de m" xfId="21" xr:uid="{00000000-0005-0000-0000-00006E000000}"/>
    <cellStyle name="Separador de milhares 2" xfId="22" xr:uid="{00000000-0005-0000-0000-00006F000000}"/>
    <cellStyle name="Separador de milhares 2 2" xfId="23" xr:uid="{00000000-0005-0000-0000-000070000000}"/>
    <cellStyle name="Separador de milhares 2 2 2" xfId="59" xr:uid="{00000000-0005-0000-0000-000071000000}"/>
    <cellStyle name="Separador de milhares 2 2 2 2" xfId="115" xr:uid="{00000000-0005-0000-0000-000072000000}"/>
    <cellStyle name="Separador de milhares 2 2 2 2 2" xfId="177" xr:uid="{00000000-0005-0000-0000-000073000000}"/>
    <cellStyle name="Separador de milhares 2 2 2 5" xfId="301" xr:uid="{6D3FCFDE-6370-44D8-9366-9CBE67CC3F4A}"/>
    <cellStyle name="Separador de milhares 2 2 3" xfId="91" xr:uid="{00000000-0005-0000-0000-000074000000}"/>
    <cellStyle name="Separador de milhares 2 2 3 2" xfId="155" xr:uid="{00000000-0005-0000-0000-000075000000}"/>
    <cellStyle name="Separador de milhares 2 3" xfId="90" xr:uid="{00000000-0005-0000-0000-000076000000}"/>
    <cellStyle name="Separador de milhares 2 3 2" xfId="154" xr:uid="{00000000-0005-0000-0000-000077000000}"/>
    <cellStyle name="Separador de milhares 3" xfId="24" xr:uid="{00000000-0005-0000-0000-000078000000}"/>
    <cellStyle name="Separador de milhares 3 2" xfId="25" xr:uid="{00000000-0005-0000-0000-000079000000}"/>
    <cellStyle name="Separador de milhares 3 2 2" xfId="26" xr:uid="{00000000-0005-0000-0000-00007A000000}"/>
    <cellStyle name="Separador de milhares 3 2 2 2" xfId="27" xr:uid="{00000000-0005-0000-0000-00007B000000}"/>
    <cellStyle name="Separador de milhares 3 2 2 2 2" xfId="28" xr:uid="{00000000-0005-0000-0000-00007C000000}"/>
    <cellStyle name="Separador de milhares 3 2 2 2 2 2" xfId="29" xr:uid="{00000000-0005-0000-0000-00007D000000}"/>
    <cellStyle name="Separador de milhares 3 2 2 2 2 2 2" xfId="97" xr:uid="{00000000-0005-0000-0000-00007E000000}"/>
    <cellStyle name="Separador de milhares 3 2 2 2 2 2 2 2" xfId="161" xr:uid="{00000000-0005-0000-0000-00007F000000}"/>
    <cellStyle name="Separador de milhares 3 2 2 2 2 3" xfId="96" xr:uid="{00000000-0005-0000-0000-000080000000}"/>
    <cellStyle name="Separador de milhares 3 2 2 2 2 3 2" xfId="160" xr:uid="{00000000-0005-0000-0000-000081000000}"/>
    <cellStyle name="Separador de milhares 3 2 2 2 3" xfId="95" xr:uid="{00000000-0005-0000-0000-000082000000}"/>
    <cellStyle name="Separador de milhares 3 2 2 2 3 2" xfId="159" xr:uid="{00000000-0005-0000-0000-000083000000}"/>
    <cellStyle name="Separador de milhares 3 2 2 3" xfId="94" xr:uid="{00000000-0005-0000-0000-000084000000}"/>
    <cellStyle name="Separador de milhares 3 2 2 3 2" xfId="158" xr:uid="{00000000-0005-0000-0000-000085000000}"/>
    <cellStyle name="Separador de milhares 3 2 3" xfId="93" xr:uid="{00000000-0005-0000-0000-000086000000}"/>
    <cellStyle name="Separador de milhares 3 2 3 2" xfId="157" xr:uid="{00000000-0005-0000-0000-000087000000}"/>
    <cellStyle name="Separador de milhares 3 3" xfId="92" xr:uid="{00000000-0005-0000-0000-000088000000}"/>
    <cellStyle name="Separador de milhares 3 3 2" xfId="156" xr:uid="{00000000-0005-0000-0000-000089000000}"/>
    <cellStyle name="Separador de milhares 4" xfId="42" xr:uid="{00000000-0005-0000-0000-00008A000000}"/>
    <cellStyle name="Separador de milhares 4 2" xfId="106" xr:uid="{00000000-0005-0000-0000-00008B000000}"/>
    <cellStyle name="Separador de milhares 4 2 2" xfId="169" xr:uid="{00000000-0005-0000-0000-00008C000000}"/>
    <cellStyle name="Separador de milhares 5" xfId="44" xr:uid="{00000000-0005-0000-0000-00008D000000}"/>
    <cellStyle name="Separador de milhares 5 2" xfId="60" xr:uid="{00000000-0005-0000-0000-00008E000000}"/>
    <cellStyle name="Separador de milhares 5 2 2" xfId="116" xr:uid="{00000000-0005-0000-0000-00008F000000}"/>
    <cellStyle name="Separador de milhares 5 2 2 2" xfId="178" xr:uid="{00000000-0005-0000-0000-000090000000}"/>
    <cellStyle name="Separador de milhares 5 3" xfId="107" xr:uid="{00000000-0005-0000-0000-000091000000}"/>
    <cellStyle name="Separador de milhares 5 3 2" xfId="170" xr:uid="{00000000-0005-0000-0000-000092000000}"/>
    <cellStyle name="Separador de milhares 6" xfId="46" xr:uid="{00000000-0005-0000-0000-000093000000}"/>
    <cellStyle name="Separador de milhares 6 2" xfId="108" xr:uid="{00000000-0005-0000-0000-000094000000}"/>
    <cellStyle name="Separador de milhares 6 2 2" xfId="171" xr:uid="{00000000-0005-0000-0000-000095000000}"/>
    <cellStyle name="Vírgula" xfId="30" builtinId="3"/>
    <cellStyle name="Vírgula 10" xfId="98" xr:uid="{00000000-0005-0000-0000-000098000000}"/>
    <cellStyle name="Vírgula 10 2" xfId="162" xr:uid="{00000000-0005-0000-0000-000099000000}"/>
    <cellStyle name="Vírgula 10 2 2" xfId="69" xr:uid="{00000000-0005-0000-0000-00009A000000}"/>
    <cellStyle name="Vírgula 10 2 2 2" xfId="72" xr:uid="{00000000-0005-0000-0000-00009B000000}"/>
    <cellStyle name="Vírgula 10 2 2 2 2" xfId="125" xr:uid="{00000000-0005-0000-0000-00009C000000}"/>
    <cellStyle name="Vírgula 10 2 2 2 2 2" xfId="185" xr:uid="{00000000-0005-0000-0000-00009D000000}"/>
    <cellStyle name="Vírgula 10 2 2 2 3" xfId="143" xr:uid="{00000000-0005-0000-0000-00009E000000}"/>
    <cellStyle name="Vírgula 10 2 2 3" xfId="74" xr:uid="{00000000-0005-0000-0000-00009F000000}"/>
    <cellStyle name="Vírgula 10 2 2 3 2" xfId="127" xr:uid="{00000000-0005-0000-0000-0000A0000000}"/>
    <cellStyle name="Vírgula 10 2 2 3 2 2" xfId="187" xr:uid="{00000000-0005-0000-0000-0000A1000000}"/>
    <cellStyle name="Vírgula 10 2 2 3 3" xfId="145" xr:uid="{00000000-0005-0000-0000-0000A2000000}"/>
    <cellStyle name="Vírgula 10 2 2 4" xfId="122" xr:uid="{00000000-0005-0000-0000-0000A3000000}"/>
    <cellStyle name="Vírgula 10 2 2 4 2" xfId="182" xr:uid="{00000000-0005-0000-0000-0000A4000000}"/>
    <cellStyle name="Vírgula 10 2 2 5" xfId="140" xr:uid="{00000000-0005-0000-0000-0000A5000000}"/>
    <cellStyle name="Vírgula 10 3" xfId="282" xr:uid="{9C744172-2C35-4E61-9C2D-74498BF68456}"/>
    <cellStyle name="Vírgula 10 3 2" xfId="316" xr:uid="{BDFB5A48-977C-4D21-9BC9-2FA63229D7F7}"/>
    <cellStyle name="Vírgula 11" xfId="208" xr:uid="{4AC29524-2F7C-40FD-9022-4608867968DC}"/>
    <cellStyle name="Vírgula 12" xfId="214" xr:uid="{ADBFA212-780D-47C7-B929-0392A31D7756}"/>
    <cellStyle name="Vírgula 12 2" xfId="265" xr:uid="{C9697049-E8DF-4FB5-8B90-660E20F5DDC5}"/>
    <cellStyle name="Vírgula 12 2 2" xfId="267" xr:uid="{9C1C3C4E-8630-4C3D-8175-D57565B1AAF4}"/>
    <cellStyle name="Vírgula 12 2 2 2" xfId="292" xr:uid="{5B22828D-E77C-4DEE-B20A-F39FC68E3F5A}"/>
    <cellStyle name="Vírgula 12 2 3" xfId="300" xr:uid="{6AFD024B-ACB0-44B9-BDCB-26C65BFE262E}"/>
    <cellStyle name="Vírgula 13" xfId="218" xr:uid="{DD7D4107-AFF0-4394-B01D-924FF0E420C3}"/>
    <cellStyle name="Vírgula 14" xfId="222" xr:uid="{A6ED6EB3-8155-43A9-84AC-DB5E007CD794}"/>
    <cellStyle name="Vírgula 15" xfId="226" xr:uid="{C4EA0C74-D207-47D9-9019-7480FD94EC6C}"/>
    <cellStyle name="Vírgula 16" xfId="199" xr:uid="{AE95FBF3-6CC7-400B-A670-ECA389BFB5DF}"/>
    <cellStyle name="Vírgula 17" xfId="232" xr:uid="{899C35AE-9D7B-4DCA-96EB-4A411FF37FA1}"/>
    <cellStyle name="Vírgula 17 2" xfId="321" xr:uid="{7C8CD84E-AC9F-46F0-ACF8-BF0856AAD114}"/>
    <cellStyle name="Vírgula 18" xfId="235" xr:uid="{2E0B0D27-E9F4-46CE-A217-63F0AF8BB7C1}"/>
    <cellStyle name="Vírgula 19" xfId="241" xr:uid="{976079D1-6BF9-49A0-82FB-F09EB5115B63}"/>
    <cellStyle name="Vírgula 2" xfId="31" xr:uid="{00000000-0005-0000-0000-0000A6000000}"/>
    <cellStyle name="Vírgula 2 2" xfId="80" xr:uid="{00000000-0005-0000-0000-0000A7000000}"/>
    <cellStyle name="Vírgula 2 2 2" xfId="131" xr:uid="{00000000-0005-0000-0000-0000A8000000}"/>
    <cellStyle name="Vírgula 2 2 2 2" xfId="191" xr:uid="{00000000-0005-0000-0000-0000A9000000}"/>
    <cellStyle name="Vírgula 2 2 8" xfId="201" xr:uid="{3AFB02C5-493B-4DB2-AA56-1AEC53FFABFD}"/>
    <cellStyle name="Vírgula 2 3" xfId="99" xr:uid="{00000000-0005-0000-0000-0000AA000000}"/>
    <cellStyle name="Vírgula 2 3 2" xfId="163" xr:uid="{00000000-0005-0000-0000-0000AB000000}"/>
    <cellStyle name="Vírgula 2 4" xfId="304" xr:uid="{10B6A062-F10F-4442-8C05-F898E5225CCF}"/>
    <cellStyle name="Vírgula 20" xfId="224" xr:uid="{E1235771-F45D-4210-AB53-BF02DA9CBE41}"/>
    <cellStyle name="Vírgula 20 2" xfId="240" xr:uid="{7861CF31-732B-4A12-A78B-387FEBD9E84A}"/>
    <cellStyle name="Vírgula 20 3" xfId="258" xr:uid="{09621DCE-A5E0-42AA-8048-0183A971C9B6}"/>
    <cellStyle name="Vírgula 20 4" xfId="284" xr:uid="{7151E379-45AA-4B26-B9B6-05475E2FE47C}"/>
    <cellStyle name="Vírgula 20 4 2" xfId="318" xr:uid="{3515A23C-31B5-4C8B-8213-84BF0D1E1E2B}"/>
    <cellStyle name="Vírgula 21" xfId="260" xr:uid="{78449DFE-0C3B-489A-81C3-55D18DF5325A}"/>
    <cellStyle name="Vírgula 22" xfId="270" xr:uid="{48D5C973-CB58-42E5-8155-A04DF7B90015}"/>
    <cellStyle name="Vírgula 23" xfId="262" xr:uid="{4EC4D55E-5F04-469B-8146-3D955F66424A}"/>
    <cellStyle name="Vírgula 23 2" xfId="277" xr:uid="{1951F2F6-E69C-487C-8E6A-16C306377FED}"/>
    <cellStyle name="Vírgula 23 2 2" xfId="288" xr:uid="{0ADEA474-D53E-48D7-93F9-2E157D7D514C}"/>
    <cellStyle name="Vírgula 24" xfId="274" xr:uid="{E347F694-13A3-4107-A5AA-4F47B2AFA8B4}"/>
    <cellStyle name="Vírgula 25" xfId="297" xr:uid="{AED607DE-E71A-4A24-98EA-70959925FCE8}"/>
    <cellStyle name="Vírgula 26" xfId="324" xr:uid="{87628CE0-1B13-436A-9178-28D6950F7FB7}"/>
    <cellStyle name="Vírgula 26 2" xfId="307" xr:uid="{2562CCD4-72DF-4A61-89AF-1DF8C80DE9DA}"/>
    <cellStyle name="Vírgula 27" xfId="252" xr:uid="{72D94563-9DD2-41F2-AB87-9FACE1529AD0}"/>
    <cellStyle name="Vírgula 28" xfId="254" xr:uid="{9F6B3FA6-B267-4B00-9D8C-C87440B96B8A}"/>
    <cellStyle name="Vírgula 29" xfId="337" xr:uid="{BAB00F76-0144-4E3A-BBFD-191CFB6984F0}"/>
    <cellStyle name="Vírgula 3" xfId="32" xr:uid="{00000000-0005-0000-0000-0000AC000000}"/>
    <cellStyle name="Vírgula 3 2" xfId="51" xr:uid="{00000000-0005-0000-0000-0000AD000000}"/>
    <cellStyle name="Vírgula 3 2 2" xfId="111" xr:uid="{00000000-0005-0000-0000-0000AE000000}"/>
    <cellStyle name="Vírgula 3 2 2 2" xfId="174" xr:uid="{00000000-0005-0000-0000-0000AF000000}"/>
    <cellStyle name="Vírgula 3 2 9" xfId="198" xr:uid="{F745D35F-2B44-4F95-A8C9-8421873C18E8}"/>
    <cellStyle name="Vírgula 3 3" xfId="100" xr:uid="{00000000-0005-0000-0000-0000B0000000}"/>
    <cellStyle name="Vírgula 3 3 2" xfId="164" xr:uid="{00000000-0005-0000-0000-0000B1000000}"/>
    <cellStyle name="Vírgula 3 4" xfId="263" xr:uid="{7CFA0B70-7404-4CE9-9BDA-CAA82CF7847A}"/>
    <cellStyle name="Vírgula 3 5" xfId="298" xr:uid="{17B9D9F1-F7E5-43C6-B0DF-6CA46466A3D2}"/>
    <cellStyle name="Vírgula 30" xfId="339" xr:uid="{43386B29-7CDE-4960-A125-2E488807CBED}"/>
    <cellStyle name="Vírgula 31" xfId="310" xr:uid="{C1021465-2EC4-40E7-9BC9-76E872567A54}"/>
    <cellStyle name="Vírgula 31 2" xfId="328" xr:uid="{A2ADD43E-ED54-4F7C-8C50-C2ED65DE57A9}"/>
    <cellStyle name="Vírgula 31 3" xfId="331" xr:uid="{7D8700AF-4621-4550-9CA8-B7D24E408863}"/>
    <cellStyle name="Vírgula 31 4" xfId="334" xr:uid="{1D031E18-746B-4A5A-A4F2-49849DC74984}"/>
    <cellStyle name="Vírgula 31 5" xfId="352" xr:uid="{B1CE1A38-5C6C-4B62-9ACC-40E9ECBCE2C2}"/>
    <cellStyle name="Vírgula 31 6" xfId="355" xr:uid="{2E3979E5-2B50-4BC1-9A58-D6928907EC9B}"/>
    <cellStyle name="Vírgula 32" xfId="341" xr:uid="{95BBFA74-3E4E-4AB9-B652-7891680FCE59}"/>
    <cellStyle name="Vírgula 33" xfId="344" xr:uid="{EAD6BF04-5892-43C3-999A-3C41A59B2AFC}"/>
    <cellStyle name="Vírgula 39" xfId="243" xr:uid="{877BCF98-0365-4212-AB9F-307CC4DE5E17}"/>
    <cellStyle name="Vírgula 4" xfId="33" xr:uid="{00000000-0005-0000-0000-0000B2000000}"/>
    <cellStyle name="Vírgula 4 2" xfId="53" xr:uid="{00000000-0005-0000-0000-0000B3000000}"/>
    <cellStyle name="Vírgula 4 2 2" xfId="112" xr:uid="{00000000-0005-0000-0000-0000B4000000}"/>
    <cellStyle name="Vírgula 4 2 2 2" xfId="175" xr:uid="{00000000-0005-0000-0000-0000B5000000}"/>
    <cellStyle name="Vírgula 4 3" xfId="101" xr:uid="{00000000-0005-0000-0000-0000B6000000}"/>
    <cellStyle name="Vírgula 4 3 2" xfId="165" xr:uid="{00000000-0005-0000-0000-0000B7000000}"/>
    <cellStyle name="Vírgula 4 4" xfId="246" xr:uid="{7A1C43BD-EF33-4C7E-8A34-E524C4199778}"/>
    <cellStyle name="Vírgula 5" xfId="34" xr:uid="{00000000-0005-0000-0000-0000B8000000}"/>
    <cellStyle name="Vírgula 5 2" xfId="102" xr:uid="{00000000-0005-0000-0000-0000B9000000}"/>
    <cellStyle name="Vírgula 5 2 2" xfId="166" xr:uid="{00000000-0005-0000-0000-0000BA000000}"/>
    <cellStyle name="Vírgula 6" xfId="35" xr:uid="{00000000-0005-0000-0000-0000BB000000}"/>
    <cellStyle name="Vírgula 6 2" xfId="55" xr:uid="{00000000-0005-0000-0000-0000BC000000}"/>
    <cellStyle name="Vírgula 6 2 2" xfId="113" xr:uid="{00000000-0005-0000-0000-0000BD000000}"/>
    <cellStyle name="Vírgula 6 2 2 2" xfId="176" xr:uid="{00000000-0005-0000-0000-0000BE000000}"/>
    <cellStyle name="Vírgula 6 3" xfId="103" xr:uid="{00000000-0005-0000-0000-0000BF000000}"/>
    <cellStyle name="Vírgula 6 3 2" xfId="167" xr:uid="{00000000-0005-0000-0000-0000C0000000}"/>
    <cellStyle name="Vírgula 7" xfId="48" xr:uid="{00000000-0005-0000-0000-0000C1000000}"/>
    <cellStyle name="Vírgula 7 2" xfId="61" xr:uid="{00000000-0005-0000-0000-0000C2000000}"/>
    <cellStyle name="Vírgula 7 2 2" xfId="117" xr:uid="{00000000-0005-0000-0000-0000C3000000}"/>
    <cellStyle name="Vírgula 7 2 2 2" xfId="179" xr:uid="{00000000-0005-0000-0000-0000C4000000}"/>
    <cellStyle name="Vírgula 7 2 4" xfId="196" xr:uid="{F6DEF2A0-BF23-4F57-A9EA-A551A5648FFF}"/>
    <cellStyle name="Vírgula 7 3" xfId="109" xr:uid="{00000000-0005-0000-0000-0000C5000000}"/>
    <cellStyle name="Vírgula 7 3 2" xfId="172" xr:uid="{00000000-0005-0000-0000-0000C6000000}"/>
    <cellStyle name="Vírgula 7 4" xfId="286" xr:uid="{7DEE66CC-D440-43CD-89BA-1DD629EBAE21}"/>
    <cellStyle name="Vírgula 7 4 2" xfId="295" xr:uid="{E15BEB4E-943D-481A-A884-96099AB9714C}"/>
    <cellStyle name="Vírgula 7 4 3" xfId="359" xr:uid="{DED74140-8C0B-4BBF-AFA5-5D5F2C09F2F1}"/>
    <cellStyle name="Vírgula 8" xfId="49" xr:uid="{00000000-0005-0000-0000-0000C7000000}"/>
    <cellStyle name="Vírgula 8 2" xfId="110" xr:uid="{00000000-0005-0000-0000-0000C8000000}"/>
    <cellStyle name="Vírgula 8 2 2" xfId="173" xr:uid="{00000000-0005-0000-0000-0000C9000000}"/>
    <cellStyle name="Vírgula 8 5" xfId="204" xr:uid="{3F97D957-D722-45E8-85F9-0C6FEEFE2B6D}"/>
    <cellStyle name="Vírgula 9" xfId="77" xr:uid="{00000000-0005-0000-0000-0000CA000000}"/>
    <cellStyle name="Vírgula 9 2" xfId="130" xr:uid="{00000000-0005-0000-0000-0000CB000000}"/>
    <cellStyle name="Vírgula 9 2 2" xfId="190" xr:uid="{00000000-0005-0000-0000-0000CC000000}"/>
    <cellStyle name="Vírgula 9 3" xfId="148" xr:uid="{00000000-0005-0000-0000-0000CD000000}"/>
  </cellStyles>
  <dxfs count="6174"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1851D6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0"/>
      </font>
      <fill>
        <patternFill>
          <bgColor rgb="FF1851D6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color theme="0"/>
      </font>
      <fill>
        <patternFill>
          <bgColor rgb="FFF43800"/>
        </patternFill>
      </fill>
    </dxf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 val="0"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FF0000"/>
      </font>
      <fill>
        <patternFill>
          <bgColor rgb="FFFECAD1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solid">
          <bgColor rgb="FFD7D7D7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b/>
        <i val="0"/>
      </font>
      <fill>
        <patternFill patternType="solid">
          <bgColor rgb="FFBABABA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2" tint="-0.749961851863155"/>
      </font>
      <fill>
        <patternFill>
          <bgColor theme="2" tint="-0.24994659260841701"/>
        </patternFill>
      </fill>
    </dxf>
    <dxf>
      <font>
        <color rgb="FFCC0099"/>
      </font>
      <fill>
        <patternFill>
          <bgColor rgb="FFFF99FF"/>
        </patternFill>
      </fill>
    </dxf>
    <dxf>
      <font>
        <color rgb="FF009900"/>
      </font>
      <fill>
        <patternFill>
          <bgColor rgb="FF99FF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7" tint="-0.499984740745262"/>
      </font>
      <fill>
        <patternFill>
          <bgColor theme="7" tint="0.39994506668294322"/>
        </patternFill>
      </fill>
    </dxf>
    <dxf>
      <font>
        <color rgb="FF0070C0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9900"/>
      </font>
      <fill>
        <patternFill>
          <bgColor rgb="FF99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8" tint="-0.499984740745262"/>
      </font>
      <fill>
        <patternFill>
          <bgColor theme="8" tint="0.79998168889431442"/>
        </patternFill>
      </fill>
    </dxf>
    <dxf>
      <font>
        <color rgb="FFCC0099"/>
      </font>
      <fill>
        <patternFill>
          <bgColor rgb="FFFF99FF"/>
        </patternFill>
      </fill>
    </dxf>
    <dxf>
      <font>
        <color theme="9" tint="-0.499984740745262"/>
      </font>
      <fill>
        <patternFill>
          <bgColor theme="9" tint="0.39994506668294322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6" tint="-0.499984740745262"/>
      </font>
      <fill>
        <patternFill>
          <bgColor theme="6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3" tint="-0.499984740745262"/>
      </font>
      <fill>
        <patternFill>
          <bgColor theme="3" tint="0.59996337778862885"/>
        </patternFill>
      </fill>
    </dxf>
    <dxf>
      <font>
        <color theme="5" tint="-0.24994659260841701"/>
      </font>
      <fill>
        <patternFill>
          <bgColor theme="5" tint="0.39994506668294322"/>
        </patternFill>
      </fill>
    </dxf>
    <dxf>
      <font>
        <color theme="0" tint="-0.499984740745262"/>
      </font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theme="7" tint="0.39994506668294322"/>
        </patternFill>
      </fill>
    </dxf>
    <dxf>
      <font>
        <color theme="3" tint="0.24994659260841701"/>
      </font>
      <fill>
        <patternFill>
          <bgColor theme="2" tint="-0.24994659260841701"/>
        </patternFill>
      </fill>
    </dxf>
    <dxf>
      <font>
        <color theme="0"/>
      </font>
      <fill>
        <patternFill>
          <bgColor theme="3" tint="4.9989318521683403E-2"/>
        </patternFill>
      </fill>
    </dxf>
    <dxf>
      <font>
        <color theme="8" tint="-0.24994659260841701"/>
      </font>
      <fill>
        <patternFill>
          <bgColor theme="8" tint="0.599963377788628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499984740745262"/>
      </font>
      <numFmt numFmtId="0" formatCode="General"/>
      <fill>
        <patternFill>
          <bgColor theme="9" tint="0.59996337778862885"/>
        </patternFill>
      </fill>
    </dxf>
    <dxf>
      <font>
        <color theme="8" tint="-0.499984740745262"/>
      </font>
      <fill>
        <patternFill>
          <bgColor theme="8" tint="0.59996337778862885"/>
        </patternFill>
      </fill>
    </dxf>
    <dxf>
      <font>
        <color theme="7" tint="-0.499984740745262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1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CC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BFBFBF"/>
    </indexedColors>
    <mruColors>
      <color rgb="FF009900"/>
      <color rgb="FF99FFCC"/>
      <color rgb="FFFF99FF"/>
      <color rgb="FFCC0099"/>
      <color rgb="FF1851D6"/>
      <color rgb="FF29292F"/>
      <color rgb="FFF43800"/>
      <color rgb="FF83A5F1"/>
      <color rgb="FF99FF99"/>
      <color rgb="FFD23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.png"/><Relationship Id="rId1" Type="http://schemas.openxmlformats.org/officeDocument/2006/relationships/hyperlink" Target="#Resumo!A1"/><Relationship Id="rId4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297466</xdr:colOff>
      <xdr:row>0</xdr:row>
      <xdr:rowOff>141977</xdr:rowOff>
    </xdr:from>
    <xdr:to>
      <xdr:col>4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48D19F-F511-43DC-9A1D-884A7CBD8B30}"/>
            </a:ext>
          </a:extLst>
        </xdr:cNvPr>
        <xdr:cNvSpPr/>
      </xdr:nvSpPr>
      <xdr:spPr>
        <a:xfrm>
          <a:off x="2126266" y="141977"/>
          <a:ext cx="741722" cy="1845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oneCellAnchor>
    <xdr:from>
      <xdr:col>0</xdr:col>
      <xdr:colOff>533400</xdr:colOff>
      <xdr:row>0</xdr:row>
      <xdr:rowOff>121612</xdr:rowOff>
    </xdr:from>
    <xdr:ext cx="1900573" cy="331259"/>
    <xdr:pic>
      <xdr:nvPicPr>
        <xdr:cNvPr id="3" name="image3.png">
          <a:extLst>
            <a:ext uri="{FF2B5EF4-FFF2-40B4-BE49-F238E27FC236}">
              <a16:creationId xmlns:a16="http://schemas.microsoft.com/office/drawing/2014/main" id="{42EDB1E5-2FC1-4B40-957A-063DCB02603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533400" y="121612"/>
          <a:ext cx="1900573" cy="331259"/>
        </a:xfrm>
        <a:prstGeom prst="rect">
          <a:avLst/>
        </a:prstGeom>
        <a:ln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297466</xdr:colOff>
      <xdr:row>0</xdr:row>
      <xdr:rowOff>141977</xdr:rowOff>
    </xdr:from>
    <xdr:to>
      <xdr:col>9</xdr:col>
      <xdr:colOff>429588</xdr:colOff>
      <xdr:row>1</xdr:row>
      <xdr:rowOff>174126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55CD1-9943-4E10-A7EF-4331FED2547B}"/>
            </a:ext>
          </a:extLst>
        </xdr:cNvPr>
        <xdr:cNvSpPr/>
      </xdr:nvSpPr>
      <xdr:spPr>
        <a:xfrm>
          <a:off x="12879991" y="141977"/>
          <a:ext cx="932222" cy="222649"/>
        </a:xfrm>
        <a:prstGeom prst="roundRect">
          <a:avLst/>
        </a:prstGeom>
        <a:solidFill>
          <a:srgbClr val="F43800"/>
        </a:solidFill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 cap="none" spc="0">
              <a:ln w="0"/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RESUMO</a:t>
          </a:r>
        </a:p>
      </xdr:txBody>
    </xdr:sp>
    <xdr:clientData/>
  </xdr:twoCellAnchor>
  <xdr:twoCellAnchor editAs="oneCell">
    <xdr:from>
      <xdr:col>0</xdr:col>
      <xdr:colOff>254342</xdr:colOff>
      <xdr:row>0</xdr:row>
      <xdr:rowOff>56842</xdr:rowOff>
    </xdr:from>
    <xdr:to>
      <xdr:col>1</xdr:col>
      <xdr:colOff>1871070</xdr:colOff>
      <xdr:row>1</xdr:row>
      <xdr:rowOff>186171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20A80501-EAFB-4093-8051-F4F1832C0E3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4342" y="56842"/>
          <a:ext cx="1889143" cy="319829"/>
        </a:xfrm>
        <a:prstGeom prst="rect">
          <a:avLst/>
        </a:prstGeom>
        <a:ln/>
      </xdr:spPr>
    </xdr:pic>
    <xdr:clientData/>
  </xdr:twoCellAnchor>
  <xdr:twoCellAnchor editAs="oneCell">
    <xdr:from>
      <xdr:col>6</xdr:col>
      <xdr:colOff>776003</xdr:colOff>
      <xdr:row>0</xdr:row>
      <xdr:rowOff>0</xdr:rowOff>
    </xdr:from>
    <xdr:to>
      <xdr:col>8</xdr:col>
      <xdr:colOff>401375</xdr:colOff>
      <xdr:row>29</xdr:row>
      <xdr:rowOff>5318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375F6E7-9437-933D-7C54-D25B40AE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3981" y="0"/>
          <a:ext cx="3750111" cy="5123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1</xdr:row>
      <xdr:rowOff>32385</xdr:rowOff>
    </xdr:from>
    <xdr:to>
      <xdr:col>15</xdr:col>
      <xdr:colOff>868680</xdr:colOff>
      <xdr:row>2</xdr:row>
      <xdr:rowOff>99060</xdr:rowOff>
    </xdr:to>
    <xdr:sp macro="" textlink="">
      <xdr:nvSpPr>
        <xdr:cNvPr id="2" name="Rectangle 13">
          <a:extLst>
            <a:ext uri="{FF2B5EF4-FFF2-40B4-BE49-F238E27FC236}">
              <a16:creationId xmlns:a16="http://schemas.microsoft.com/office/drawing/2014/main" id="{55E7E7F7-EB82-4025-B832-18BFFF16D970}"/>
            </a:ext>
          </a:extLst>
        </xdr:cNvPr>
        <xdr:cNvSpPr>
          <a:spLocks noChangeArrowheads="1"/>
        </xdr:cNvSpPr>
      </xdr:nvSpPr>
      <xdr:spPr bwMode="auto">
        <a:xfrm>
          <a:off x="293370" y="118110"/>
          <a:ext cx="11052810" cy="28575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/>
        <a:lstStyle/>
        <a:p>
          <a:pPr algn="ctr" rtl="0">
            <a:defRPr sz="1000"/>
          </a:pPr>
          <a:r>
            <a:rPr lang="pt-BR" sz="1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ea typeface="Tahoma"/>
              <a:cs typeface="Tahoma"/>
            </a:rPr>
            <a:t>PLANILHA DE ORÇAMENTO</a:t>
          </a:r>
        </a:p>
      </xdr:txBody>
    </xdr:sp>
    <xdr:clientData/>
  </xdr:twoCellAnchor>
  <xdr:twoCellAnchor editAs="oneCell">
    <xdr:from>
      <xdr:col>6</xdr:col>
      <xdr:colOff>45720</xdr:colOff>
      <xdr:row>1</xdr:row>
      <xdr:rowOff>91440</xdr:rowOff>
    </xdr:from>
    <xdr:to>
      <xdr:col>8</xdr:col>
      <xdr:colOff>606425</xdr:colOff>
      <xdr:row>2</xdr:row>
      <xdr:rowOff>148590</xdr:rowOff>
    </xdr:to>
    <xdr:pic>
      <xdr:nvPicPr>
        <xdr:cNvPr id="3" name="image3.png">
          <a:extLst>
            <a:ext uri="{FF2B5EF4-FFF2-40B4-BE49-F238E27FC236}">
              <a16:creationId xmlns:a16="http://schemas.microsoft.com/office/drawing/2014/main" id="{3A06246B-2A76-437A-8B91-8195ACE66A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5270" y="177165"/>
          <a:ext cx="1579880" cy="276225"/>
        </a:xfrm>
        <a:prstGeom prst="rect">
          <a:avLst/>
        </a:prstGeom>
        <a:ln/>
      </xdr:spPr>
    </xdr:pic>
    <xdr:clientData/>
  </xdr:twoCellAnchor>
  <xdr:twoCellAnchor>
    <xdr:from>
      <xdr:col>9</xdr:col>
      <xdr:colOff>419100</xdr:colOff>
      <xdr:row>1</xdr:row>
      <xdr:rowOff>0</xdr:rowOff>
    </xdr:from>
    <xdr:to>
      <xdr:col>9</xdr:col>
      <xdr:colOff>419100</xdr:colOff>
      <xdr:row>2</xdr:row>
      <xdr:rowOff>228600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B1A1067-5AE8-4CBE-836C-D5868A965340}"/>
            </a:ext>
          </a:extLst>
        </xdr:cNvPr>
        <xdr:cNvCxnSpPr/>
      </xdr:nvCxnSpPr>
      <xdr:spPr>
        <a:xfrm>
          <a:off x="2505075" y="85725"/>
          <a:ext cx="0" cy="44767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331695</xdr:colOff>
      <xdr:row>1</xdr:row>
      <xdr:rowOff>134472</xdr:rowOff>
    </xdr:from>
    <xdr:to>
      <xdr:col>4</xdr:col>
      <xdr:colOff>495300</xdr:colOff>
      <xdr:row>6</xdr:row>
      <xdr:rowOff>118109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665F6B-4114-4BF5-8CD7-4097AC2B0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54340" y="366882"/>
          <a:ext cx="702720" cy="7837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448</xdr:colOff>
      <xdr:row>0</xdr:row>
      <xdr:rowOff>45944</xdr:rowOff>
    </xdr:from>
    <xdr:to>
      <xdr:col>0</xdr:col>
      <xdr:colOff>1833481</xdr:colOff>
      <xdr:row>2</xdr:row>
      <xdr:rowOff>73037</xdr:rowOff>
    </xdr:to>
    <xdr:pic>
      <xdr:nvPicPr>
        <xdr:cNvPr id="5" name="image3.png">
          <a:extLst>
            <a:ext uri="{FF2B5EF4-FFF2-40B4-BE49-F238E27FC236}">
              <a16:creationId xmlns:a16="http://schemas.microsoft.com/office/drawing/2014/main" id="{D8051C62-54E7-4007-841F-2A332EFC2E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448" y="45944"/>
          <a:ext cx="1840653" cy="339513"/>
        </a:xfrm>
        <a:prstGeom prst="rect">
          <a:avLst/>
        </a:prstGeom>
        <a:ln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0</xdr:row>
      <xdr:rowOff>114300</xdr:rowOff>
    </xdr:from>
    <xdr:ext cx="2028825" cy="323850"/>
    <xdr:pic>
      <xdr:nvPicPr>
        <xdr:cNvPr id="2" name="image1.png">
          <a:extLst>
            <a:ext uri="{FF2B5EF4-FFF2-40B4-BE49-F238E27FC236}">
              <a16:creationId xmlns:a16="http://schemas.microsoft.com/office/drawing/2014/main" id="{C23624B5-0D61-4B6A-82CF-3FFB71543F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1920" y="114300"/>
          <a:ext cx="2028825" cy="323850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133350</xdr:colOff>
      <xdr:row>1</xdr:row>
      <xdr:rowOff>57150</xdr:rowOff>
    </xdr:from>
    <xdr:ext cx="1581150" cy="371475"/>
    <xdr:pic>
      <xdr:nvPicPr>
        <xdr:cNvPr id="2" name="image1.png">
          <a:extLst>
            <a:ext uri="{FF2B5EF4-FFF2-40B4-BE49-F238E27FC236}">
              <a16:creationId xmlns:a16="http://schemas.microsoft.com/office/drawing/2014/main" id="{2FF329A9-EA28-4CA5-8B1F-90010897A2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0" y="323850"/>
          <a:ext cx="1581150" cy="3714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2626074</xdr:colOff>
      <xdr:row>0</xdr:row>
      <xdr:rowOff>0</xdr:rowOff>
    </xdr:from>
    <xdr:to>
      <xdr:col>3</xdr:col>
      <xdr:colOff>4291854</xdr:colOff>
      <xdr:row>2</xdr:row>
      <xdr:rowOff>165397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7BF2A7-FA5A-4E80-A657-AEBFC3D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69524" y="0"/>
          <a:ext cx="1665780" cy="8892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G:\.shortcut-targets-by-id\16oaQUYgx8kiowDwLhg-oO1zGZ777DJUb\2.%20Projetos%20em%20Andamento\Construtora%20Pessoa\Porto%20Alto%20(Roberto%20Barrozo%202023.08)\04.%20Custo\03.5%20Custo%20-%20Determina&#231;&#227;o%20do%20or&#231;amento\CTN-PLN_ATR%20-%20Apresenta&#231;&#227;o%20Or&#231;amento%20-%20R01.xlsx" TargetMode="External"/><Relationship Id="rId2" Type="http://schemas.microsoft.com/office/2019/04/relationships/externalLinkLongPath" Target="/.shortcut-targets-by-id/16oaQUYgx8kiowDwLhg-oO1zGZ777DJUb/2.%20Projetos%20em%20Andamento/Construtora%20Pessoa/Porto%20Alto%20(Roberto%20Barrozo%202023.08)/04.%20Custo/03.5%20Custo%20-%20Determina&#231;&#227;o%20do%20or&#231;amento/CTN-PLN_ATR%20-%20Apresenta&#231;&#227;o%20Or&#231;amento%20-%20R01.xlsx?C1CF3656" TargetMode="External"/><Relationship Id="rId1" Type="http://schemas.openxmlformats.org/officeDocument/2006/relationships/externalLinkPath" Target="file:///\\C1CF3656\CTN-PLN_ATR%20-%20Apresenta&#231;&#227;o%20Or&#231;amento%20-%20R0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hiquetti%20e%20Dal%20Vesco/2024/2024.04%20Bela%20Vida/04.%20Custo/03.8%20Custo%20-%20Or&#231;.%20Executivo/R02/CTN-CDV-BVD%20-%20Or&#231;amento_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TOTAL"/>
      <sheetName val="MÉDIAS CARTESIAN"/>
      <sheetName val="ANALISE CARTESIAN"/>
      <sheetName val="ANÁLISE_CUSTOS"/>
      <sheetName val="GER_EXECUTIVO MEGA"/>
      <sheetName val="GER_EXECUTIVO CART"/>
      <sheetName val="CÁLCULO_MÉDIAS"/>
      <sheetName val="MÉDIAS CLIENTE"/>
      <sheetName val="ANALISE CLIENTE"/>
      <sheetName val="AREAS PRIVATIVAS"/>
    </sheetNames>
    <sheetDataSet>
      <sheetData sheetId="0" refreshError="1"/>
      <sheetData sheetId="1" refreshError="1">
        <row r="13">
          <cell r="C13">
            <v>2406266.5591025772</v>
          </cell>
        </row>
        <row r="14">
          <cell r="C14">
            <v>303296.04204582702</v>
          </cell>
        </row>
        <row r="15">
          <cell r="C15">
            <v>1290666.0975563843</v>
          </cell>
        </row>
        <row r="18">
          <cell r="C18">
            <v>168316.35645321046</v>
          </cell>
        </row>
        <row r="19">
          <cell r="C19">
            <v>3502945.7792254123</v>
          </cell>
        </row>
        <row r="20">
          <cell r="C20">
            <v>1273725.6469878843</v>
          </cell>
        </row>
        <row r="21">
          <cell r="C21">
            <v>808425.26706666662</v>
          </cell>
        </row>
        <row r="22">
          <cell r="C22">
            <v>799825.6264103509</v>
          </cell>
        </row>
        <row r="23">
          <cell r="C23">
            <v>86416.092057000002</v>
          </cell>
        </row>
        <row r="24">
          <cell r="C24">
            <v>110365.15</v>
          </cell>
        </row>
        <row r="25">
          <cell r="C25">
            <v>56340.408823529426</v>
          </cell>
        </row>
        <row r="26">
          <cell r="C26">
            <v>623694.80670044059</v>
          </cell>
        </row>
        <row r="27">
          <cell r="C27">
            <v>504732.66000000003</v>
          </cell>
        </row>
        <row r="28">
          <cell r="C28">
            <v>323409.51722404372</v>
          </cell>
        </row>
        <row r="29">
          <cell r="C29">
            <v>453752.74640091677</v>
          </cell>
        </row>
        <row r="30">
          <cell r="C30">
            <v>298822.95706925</v>
          </cell>
        </row>
        <row r="31">
          <cell r="C31">
            <v>65937.565092999997</v>
          </cell>
        </row>
        <row r="32">
          <cell r="C32">
            <v>588638.20539291063</v>
          </cell>
        </row>
        <row r="33">
          <cell r="C33">
            <v>394291.22104999993</v>
          </cell>
        </row>
        <row r="34">
          <cell r="C34">
            <v>998404.99582200008</v>
          </cell>
        </row>
        <row r="35">
          <cell r="C35">
            <v>479917.32</v>
          </cell>
        </row>
        <row r="36">
          <cell r="C36">
            <v>824896.71199508675</v>
          </cell>
        </row>
        <row r="37">
          <cell r="C37">
            <v>571818.28650876007</v>
          </cell>
        </row>
        <row r="38">
          <cell r="C38">
            <v>552136.83798379404</v>
          </cell>
        </row>
        <row r="39">
          <cell r="C39">
            <v>172776.5149640583</v>
          </cell>
        </row>
        <row r="40">
          <cell r="C40">
            <v>2537693.8219346087</v>
          </cell>
        </row>
        <row r="41">
          <cell r="C41">
            <v>399900.19739999995</v>
          </cell>
        </row>
        <row r="42">
          <cell r="C42">
            <v>193104.08330568002</v>
          </cell>
        </row>
        <row r="43">
          <cell r="C43">
            <v>1248624.7763500002</v>
          </cell>
        </row>
        <row r="44">
          <cell r="C44">
            <v>392657.5138364163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Planilha Quantitativa"/>
      <sheetName val="Composições_Sienge"/>
      <sheetName val="EAP SIENGE"/>
      <sheetName val="Orçamento Preliminar"/>
      <sheetName val="CPU"/>
      <sheetName val="Alterações "/>
      <sheetName val="Insumos"/>
      <sheetName val="Itens Cotados_Material"/>
      <sheetName val="Obra "/>
      <sheetName val="VERSÕES"/>
      <sheetName val="Ger_Tec e Adm"/>
      <sheetName val="Ger_Executivo"/>
      <sheetName val="Supraestrutura"/>
      <sheetName val="Estrutura_Projetista"/>
      <sheetName val="ARQUITETURA"/>
      <sheetName val="ELÉTRICA_ESTIMATIVA"/>
      <sheetName val="Cont. Empreiteiro"/>
      <sheetName val="EPCs"/>
      <sheetName val="CANTEIRO"/>
      <sheetName val="ESQUADRIAS"/>
      <sheetName val="Estacas"/>
      <sheetName val="Fundação Rasa"/>
      <sheetName val="Contenções"/>
      <sheetName val="Aço_Infraestrutura"/>
      <sheetName val="Escoramento"/>
      <sheetName val="HIDROSSANITÁRIO_ESTIMATIVA"/>
      <sheetName val="SISTEMAS ESPECIAIS"/>
      <sheetName val="CLIMATIZAÇÃO"/>
      <sheetName val="PPCI-ESTIMATIVA"/>
      <sheetName val="PISCINAS "/>
      <sheetName val="LOUÇAS E METAIS"/>
      <sheetName val="MOBILIÁRI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62">
          <cell r="E62">
            <v>37.1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issa Oliveira" id="{CC55E0E9-D3EB-4816-978D-85C29AB059E6}" userId="39320191f0955c21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86" dT="2025-05-12T20:54:58.69" personId="{CC55E0E9-D3EB-4816-978D-85C29AB059E6}" id="{3BE85C88-755B-4E4B-852F-FD0B2A3DFAE4}">
    <text xml:space="preserve">Pedra Portuguesa Natural para Calçadas Branca - 1 m²
</text>
  </threadedComment>
  <threadedComment ref="B487" dT="2025-05-12T20:52:11.87" personId="{CC55E0E9-D3EB-4816-978D-85C29AB059E6}" id="{1851BBF7-3240-47A9-9018-69917D6C19CC}">
    <text xml:space="preserve">Conforme as imagens, considerado - Miracema cinza 11,5x23cm m²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M6" dT="2025-10-31T20:12:04.05" personId="{CC55E0E9-D3EB-4816-978D-85C29AB059E6}" id="{E43AE109-D207-428F-9DD9-746C086A11E9}">
    <text>APA FUNCIONÁRIO NO SUBSOLO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M6" dT="2025-10-31T20:12:04.05" personId="{CC55E0E9-D3EB-4816-978D-85C29AB059E6}" id="{F1457233-7CA1-4ECC-B681-2CAC8C2B10B7}">
    <text>APA FUNCIONÁRIO NO SUBSOLO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9" dT="2025-10-31T20:12:04.05" personId="{CC55E0E9-D3EB-4816-978D-85C29AB059E6}" id="{7AFECCAD-A08A-4A25-8412-5B56CF843066}">
    <text>APA FUNCIONÁRIO NO SUBSOLO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qicloud.com.br/root/caroline.nunes@cartesianengenharia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roymerlin.com.br/kit-3-rolos-de-tela-fachadeira-6x3-3x100-300m2_1571811772?srsltid=AfmBOorqa8qCk4Y_veiSFWZArBrvWDNFifl_-S-G8oMTeThy9bTGNSQOT_Y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1" Type="http://schemas.openxmlformats.org/officeDocument/2006/relationships/hyperlink" Target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AF0CD-F1C0-43D9-BF66-D36DA58B5B01}">
  <dimension ref="A1:H38"/>
  <sheetViews>
    <sheetView workbookViewId="0">
      <selection activeCell="B15" sqref="B15"/>
    </sheetView>
  </sheetViews>
  <sheetFormatPr defaultRowHeight="15" x14ac:dyDescent="0.25"/>
  <cols>
    <col min="1" max="1" width="38.42578125" style="140" bestFit="1" customWidth="1"/>
    <col min="2" max="2" width="29.28515625" style="140" customWidth="1"/>
    <col min="3" max="3" width="55.5703125" style="140" customWidth="1"/>
    <col min="4" max="4" width="32.85546875" style="140" bestFit="1" customWidth="1"/>
    <col min="5" max="16384" width="9.140625" style="140"/>
  </cols>
  <sheetData>
    <row r="1" spans="1:8" s="8" customFormat="1" ht="15" customHeight="1" x14ac:dyDescent="0.2">
      <c r="A1" s="597"/>
      <c r="B1" s="145" t="s">
        <v>49</v>
      </c>
      <c r="C1" s="146" t="str">
        <f>'Obra '!D1</f>
        <v>Caio Prado</v>
      </c>
      <c r="D1" s="147"/>
      <c r="E1" s="92"/>
      <c r="F1" s="11"/>
      <c r="G1" s="11"/>
      <c r="H1" s="11"/>
    </row>
    <row r="2" spans="1:8" s="32" customFormat="1" ht="15" customHeight="1" x14ac:dyDescent="0.2">
      <c r="A2" s="598"/>
      <c r="B2" s="51" t="s">
        <v>31</v>
      </c>
      <c r="C2" s="44" t="str">
        <f>'Obra '!D2</f>
        <v>Indepy</v>
      </c>
      <c r="D2" s="47"/>
      <c r="E2" s="93"/>
    </row>
    <row r="3" spans="1:8" s="32" customFormat="1" ht="15" customHeight="1" x14ac:dyDescent="0.2">
      <c r="A3" s="599"/>
      <c r="B3" s="51" t="s">
        <v>32</v>
      </c>
      <c r="C3" s="44" t="str">
        <f>'Obra '!D3</f>
        <v>R00 - Larissa</v>
      </c>
      <c r="D3" s="49"/>
      <c r="E3" s="148"/>
    </row>
    <row r="4" spans="1:8" s="10" customFormat="1" ht="20.45" customHeight="1" x14ac:dyDescent="0.2">
      <c r="A4" s="600"/>
      <c r="B4" s="601"/>
      <c r="C4" s="601"/>
      <c r="D4" s="601"/>
      <c r="E4" s="602"/>
    </row>
    <row r="5" spans="1:8" ht="19.5" thickBot="1" x14ac:dyDescent="0.3">
      <c r="A5" s="590" t="s">
        <v>37</v>
      </c>
      <c r="B5" s="591"/>
      <c r="C5" s="591"/>
      <c r="D5" s="591"/>
      <c r="E5" s="592"/>
    </row>
    <row r="6" spans="1:8" ht="18" x14ac:dyDescent="0.45">
      <c r="A6" s="586" t="s">
        <v>145</v>
      </c>
      <c r="B6" s="593" t="s">
        <v>306</v>
      </c>
      <c r="C6" s="594"/>
      <c r="D6" s="594"/>
      <c r="E6" s="149"/>
    </row>
    <row r="7" spans="1:8" ht="18" x14ac:dyDescent="0.45">
      <c r="A7" s="587"/>
      <c r="B7" s="144" t="s">
        <v>305</v>
      </c>
      <c r="C7" s="144" t="s">
        <v>310</v>
      </c>
      <c r="D7" s="144" t="s">
        <v>308</v>
      </c>
      <c r="E7" s="150"/>
    </row>
    <row r="8" spans="1:8" x14ac:dyDescent="0.25">
      <c r="A8" s="143" t="s">
        <v>309</v>
      </c>
      <c r="B8" s="141"/>
      <c r="C8" s="141" t="s">
        <v>311</v>
      </c>
      <c r="D8" s="141"/>
      <c r="E8" s="150"/>
    </row>
    <row r="9" spans="1:8" x14ac:dyDescent="0.25">
      <c r="A9" s="143"/>
      <c r="B9" s="142"/>
      <c r="C9" s="141"/>
      <c r="D9" s="141"/>
      <c r="E9" s="150"/>
    </row>
    <row r="10" spans="1:8" x14ac:dyDescent="0.25">
      <c r="A10" s="143"/>
      <c r="B10" s="142"/>
      <c r="C10" s="141"/>
      <c r="D10" s="141"/>
      <c r="E10" s="150"/>
    </row>
    <row r="11" spans="1:8" x14ac:dyDescent="0.25">
      <c r="A11" s="143"/>
      <c r="B11" s="142"/>
      <c r="C11" s="141"/>
      <c r="D11" s="141"/>
      <c r="E11" s="150"/>
    </row>
    <row r="12" spans="1:8" x14ac:dyDescent="0.25">
      <c r="A12" s="143"/>
      <c r="B12" s="142"/>
      <c r="C12" s="141"/>
      <c r="D12" s="141"/>
      <c r="E12" s="150"/>
    </row>
    <row r="13" spans="1:8" x14ac:dyDescent="0.25">
      <c r="A13" s="143"/>
      <c r="B13" s="142"/>
      <c r="C13" s="141"/>
      <c r="D13" s="141"/>
      <c r="E13" s="150"/>
    </row>
    <row r="14" spans="1:8" x14ac:dyDescent="0.25">
      <c r="A14" s="143"/>
      <c r="B14" s="142"/>
      <c r="C14" s="141"/>
      <c r="D14" s="141"/>
      <c r="E14" s="150"/>
    </row>
    <row r="15" spans="1:8" x14ac:dyDescent="0.25">
      <c r="A15" s="143"/>
      <c r="B15" s="142"/>
      <c r="C15" s="141"/>
      <c r="D15" s="141"/>
      <c r="E15" s="150"/>
    </row>
    <row r="16" spans="1:8" x14ac:dyDescent="0.25">
      <c r="A16" s="143"/>
      <c r="B16" s="142"/>
      <c r="C16" s="141"/>
      <c r="D16" s="141"/>
      <c r="E16" s="150"/>
    </row>
    <row r="17" spans="1:5" x14ac:dyDescent="0.25">
      <c r="A17" s="143"/>
      <c r="B17" s="142"/>
      <c r="C17" s="141"/>
      <c r="D17" s="141"/>
      <c r="E17" s="150"/>
    </row>
    <row r="18" spans="1:5" x14ac:dyDescent="0.25">
      <c r="A18" s="143"/>
      <c r="B18" s="142"/>
      <c r="C18" s="141"/>
      <c r="D18" s="141"/>
      <c r="E18" s="150"/>
    </row>
    <row r="19" spans="1:5" x14ac:dyDescent="0.25">
      <c r="A19" s="143"/>
      <c r="B19" s="142"/>
      <c r="C19" s="141"/>
      <c r="D19" s="141"/>
      <c r="E19" s="150"/>
    </row>
    <row r="20" spans="1:5" ht="15" customHeight="1" x14ac:dyDescent="0.25">
      <c r="A20" s="588" t="s">
        <v>302</v>
      </c>
      <c r="B20" s="603" t="s">
        <v>312</v>
      </c>
      <c r="C20" s="604"/>
      <c r="D20" s="604"/>
      <c r="E20" s="149"/>
    </row>
    <row r="21" spans="1:5" x14ac:dyDescent="0.25">
      <c r="A21" s="588"/>
      <c r="B21" s="605"/>
      <c r="C21" s="605"/>
      <c r="D21" s="605"/>
      <c r="E21" s="149"/>
    </row>
    <row r="22" spans="1:5" ht="19.5" thickBot="1" x14ac:dyDescent="0.3">
      <c r="A22" s="590" t="s">
        <v>307</v>
      </c>
      <c r="B22" s="591"/>
      <c r="C22" s="591"/>
      <c r="D22" s="591"/>
      <c r="E22" s="592"/>
    </row>
    <row r="23" spans="1:5" ht="18" x14ac:dyDescent="0.45">
      <c r="A23" s="586" t="s">
        <v>145</v>
      </c>
      <c r="B23" s="593" t="s">
        <v>306</v>
      </c>
      <c r="C23" s="594"/>
      <c r="D23" s="594"/>
      <c r="E23" s="149"/>
    </row>
    <row r="24" spans="1:5" ht="18" x14ac:dyDescent="0.45">
      <c r="A24" s="587"/>
      <c r="B24" s="144" t="s">
        <v>305</v>
      </c>
      <c r="C24" s="144" t="s">
        <v>304</v>
      </c>
      <c r="D24" s="144" t="s">
        <v>308</v>
      </c>
      <c r="E24" s="149"/>
    </row>
    <row r="25" spans="1:5" x14ac:dyDescent="0.25">
      <c r="A25" s="143" t="s">
        <v>303</v>
      </c>
      <c r="B25" s="141"/>
      <c r="C25" s="141"/>
      <c r="D25" s="141"/>
      <c r="E25" s="149"/>
    </row>
    <row r="26" spans="1:5" x14ac:dyDescent="0.25">
      <c r="A26" s="143" t="str">
        <f>'Obra '!$B$17</f>
        <v>Subsolo</v>
      </c>
      <c r="B26" s="142"/>
      <c r="C26" s="141"/>
      <c r="D26" s="141"/>
      <c r="E26" s="149"/>
    </row>
    <row r="27" spans="1:5" x14ac:dyDescent="0.25">
      <c r="A27" s="143" t="str">
        <f>'Obra '!$B$18</f>
        <v>Térreo</v>
      </c>
      <c r="B27" s="142"/>
      <c r="C27" s="141"/>
      <c r="D27" s="141"/>
      <c r="E27" s="149"/>
    </row>
    <row r="28" spans="1:5" x14ac:dyDescent="0.25">
      <c r="A28" s="143" t="str">
        <f>'Obra '!$B$19</f>
        <v>1º Pavimento - HMP</v>
      </c>
      <c r="B28" s="142"/>
      <c r="C28" s="141"/>
      <c r="D28" s="141"/>
      <c r="E28" s="149"/>
    </row>
    <row r="29" spans="1:5" x14ac:dyDescent="0.25">
      <c r="A29" s="143" t="str">
        <f>'Obra '!$B$20</f>
        <v>2º Pavimento - HMP</v>
      </c>
      <c r="B29" s="142"/>
      <c r="C29" s="141"/>
      <c r="D29" s="141"/>
      <c r="E29" s="149"/>
    </row>
    <row r="30" spans="1:5" x14ac:dyDescent="0.25">
      <c r="A30" s="143" t="str">
        <f>'Obra '!$B$21</f>
        <v>3º Pavimento - R2V / HMP</v>
      </c>
      <c r="B30" s="142"/>
      <c r="C30" s="141"/>
      <c r="D30" s="141"/>
      <c r="E30" s="149"/>
    </row>
    <row r="31" spans="1:5" x14ac:dyDescent="0.25">
      <c r="A31" s="143" t="str">
        <f>'Obra '!$B$22</f>
        <v>5º/ 7º/ 9º E 11º Pavimento - R2V</v>
      </c>
      <c r="B31" s="142"/>
      <c r="C31" s="141"/>
      <c r="D31" s="141"/>
      <c r="E31" s="149"/>
    </row>
    <row r="32" spans="1:5" x14ac:dyDescent="0.25">
      <c r="A32" s="143" t="str">
        <f>'Obra '!$B$23</f>
        <v>4º/ 6º/  8º/ 10º E 12º Pavimento - R2V</v>
      </c>
      <c r="B32" s="142"/>
      <c r="C32" s="141"/>
      <c r="D32" s="141"/>
      <c r="E32" s="149"/>
    </row>
    <row r="33" spans="1:5" x14ac:dyDescent="0.25">
      <c r="A33" s="143" t="str">
        <f>'Obra '!$B$24</f>
        <v>13º Pavimento - LAZER</v>
      </c>
      <c r="B33" s="142"/>
      <c r="C33" s="141"/>
      <c r="D33" s="141"/>
      <c r="E33" s="149"/>
    </row>
    <row r="34" spans="1:5" x14ac:dyDescent="0.25">
      <c r="A34" s="143" t="str">
        <f>'Obra '!$B$25</f>
        <v>14º E 16º Pavimento - R2V</v>
      </c>
      <c r="B34" s="142"/>
      <c r="C34" s="141"/>
      <c r="D34" s="141"/>
      <c r="E34" s="149"/>
    </row>
    <row r="35" spans="1:5" x14ac:dyDescent="0.25">
      <c r="A35" s="143" t="str">
        <f>'Obra '!$B$26</f>
        <v>15º E 17º Pavimento - R2V</v>
      </c>
      <c r="B35" s="142"/>
      <c r="C35" s="141"/>
      <c r="D35" s="141"/>
      <c r="E35" s="149"/>
    </row>
    <row r="36" spans="1:5" x14ac:dyDescent="0.25">
      <c r="A36" s="143" t="str">
        <f>'Obra '!$B$27</f>
        <v>18º Pavimento - LAZER</v>
      </c>
      <c r="B36" s="142"/>
      <c r="C36" s="141"/>
      <c r="D36" s="141"/>
      <c r="E36" s="149"/>
    </row>
    <row r="37" spans="1:5" ht="15" customHeight="1" x14ac:dyDescent="0.25">
      <c r="A37" s="588" t="s">
        <v>302</v>
      </c>
      <c r="B37" s="595" t="s">
        <v>301</v>
      </c>
      <c r="C37" s="595"/>
      <c r="D37" s="595"/>
      <c r="E37" s="149"/>
    </row>
    <row r="38" spans="1:5" x14ac:dyDescent="0.25">
      <c r="A38" s="589"/>
      <c r="B38" s="596"/>
      <c r="C38" s="596"/>
      <c r="D38" s="596"/>
      <c r="E38" s="151"/>
    </row>
  </sheetData>
  <mergeCells count="12">
    <mergeCell ref="A6:A7"/>
    <mergeCell ref="A20:A21"/>
    <mergeCell ref="A1:A3"/>
    <mergeCell ref="A4:E4"/>
    <mergeCell ref="A5:E5"/>
    <mergeCell ref="B6:D6"/>
    <mergeCell ref="B20:D21"/>
    <mergeCell ref="A23:A24"/>
    <mergeCell ref="A37:A38"/>
    <mergeCell ref="A22:E22"/>
    <mergeCell ref="B23:D23"/>
    <mergeCell ref="B37:D38"/>
  </mergeCells>
  <hyperlinks>
    <hyperlink ref="B20" r:id="rId1" location="Obras/BRS-MOD_REDENTOR/Estrutura/04%20-%20PROJETO%20EXECUTIVO/PDF" xr:uid="{4CA787A9-298A-48AB-A3D5-1143F9BBC19D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B349-95B6-400C-B137-3AB070959EAA}">
  <sheetPr>
    <tabColor theme="1"/>
  </sheetPr>
  <dimension ref="A1:M117"/>
  <sheetViews>
    <sheetView showGridLines="0" topLeftCell="B1" zoomScale="115" zoomScaleNormal="115" workbookViewId="0">
      <pane ySplit="4" topLeftCell="A33" activePane="bottomLeft" state="frozen"/>
      <selection activeCell="C121" sqref="C121"/>
      <selection pane="bottomLeft" activeCell="H48" sqref="H48:J49"/>
    </sheetView>
  </sheetViews>
  <sheetFormatPr defaultRowHeight="12.75" x14ac:dyDescent="0.2"/>
  <cols>
    <col min="1" max="1" width="4" style="79" customWidth="1"/>
    <col min="2" max="2" width="50.140625" style="79" bestFit="1" customWidth="1"/>
    <col min="3" max="3" width="16.42578125" style="79" customWidth="1"/>
    <col min="4" max="4" width="10.7109375" style="79" customWidth="1"/>
    <col min="5" max="5" width="17" style="79" bestFit="1" customWidth="1"/>
    <col min="6" max="6" width="16.85546875" style="79" customWidth="1"/>
    <col min="7" max="7" width="41.42578125" style="79" customWidth="1"/>
    <col min="8" max="8" width="20.42578125" style="79" customWidth="1"/>
    <col min="9" max="9" width="12" style="79" bestFit="1" customWidth="1"/>
    <col min="10" max="10" width="14.5703125" style="79" customWidth="1"/>
    <col min="11" max="11" width="4" style="79" customWidth="1"/>
    <col min="12" max="16384" width="9.140625" style="79"/>
  </cols>
  <sheetData>
    <row r="1" spans="1:13" s="8" customFormat="1" ht="15" customHeight="1" x14ac:dyDescent="0.2">
      <c r="A1" s="616"/>
      <c r="B1" s="617"/>
      <c r="C1" s="51" t="s">
        <v>49</v>
      </c>
      <c r="D1" s="44" t="s">
        <v>2891</v>
      </c>
      <c r="E1" s="136" t="s">
        <v>321</v>
      </c>
      <c r="F1" s="44" t="s">
        <v>2954</v>
      </c>
      <c r="G1" s="165"/>
      <c r="H1" s="44"/>
      <c r="I1" s="45"/>
      <c r="J1" s="46"/>
      <c r="K1" s="11"/>
      <c r="L1" s="11"/>
      <c r="M1" s="11"/>
    </row>
    <row r="2" spans="1:13" s="32" customFormat="1" ht="15" customHeight="1" x14ac:dyDescent="0.2">
      <c r="A2" s="616"/>
      <c r="B2" s="617"/>
      <c r="C2" s="51" t="s">
        <v>31</v>
      </c>
      <c r="D2" s="44" t="s">
        <v>2892</v>
      </c>
      <c r="E2" s="136" t="s">
        <v>322</v>
      </c>
      <c r="F2" s="52"/>
      <c r="G2" s="165"/>
      <c r="H2" s="44"/>
      <c r="I2" s="47"/>
      <c r="J2" s="48"/>
    </row>
    <row r="3" spans="1:13" s="32" customFormat="1" ht="15" customHeight="1" x14ac:dyDescent="0.2">
      <c r="A3" s="618"/>
      <c r="B3" s="619"/>
      <c r="C3" s="51" t="s">
        <v>32</v>
      </c>
      <c r="D3" s="44" t="s">
        <v>2039</v>
      </c>
      <c r="E3" s="164" t="s">
        <v>323</v>
      </c>
      <c r="F3" s="78"/>
      <c r="G3" s="166"/>
      <c r="H3" s="78"/>
      <c r="I3" s="49"/>
      <c r="J3" s="50"/>
    </row>
    <row r="4" spans="1:13" s="10" customFormat="1" ht="20.45" customHeight="1" x14ac:dyDescent="0.2">
      <c r="A4" s="601" t="s">
        <v>125</v>
      </c>
      <c r="B4" s="601"/>
      <c r="C4" s="601"/>
      <c r="D4" s="601"/>
      <c r="E4" s="601"/>
      <c r="F4" s="601"/>
      <c r="G4" s="601"/>
      <c r="H4" s="601"/>
      <c r="I4" s="601"/>
      <c r="J4" s="601"/>
    </row>
    <row r="5" spans="1:13" ht="18.75" customHeight="1" thickBot="1" x14ac:dyDescent="0.25"/>
    <row r="6" spans="1:13" ht="18.75" customHeight="1" x14ac:dyDescent="0.2">
      <c r="B6" s="80" t="s">
        <v>0</v>
      </c>
      <c r="C6" s="620" t="s">
        <v>19</v>
      </c>
      <c r="D6" s="621"/>
      <c r="E6" s="81" t="s">
        <v>20</v>
      </c>
      <c r="G6" s="622" t="s">
        <v>189</v>
      </c>
      <c r="H6" s="623"/>
      <c r="I6" s="623"/>
      <c r="J6" s="624"/>
    </row>
    <row r="7" spans="1:13" x14ac:dyDescent="0.2">
      <c r="B7" s="82" t="s">
        <v>126</v>
      </c>
      <c r="C7" s="625" t="s">
        <v>127</v>
      </c>
      <c r="D7" s="626"/>
      <c r="E7" s="83">
        <v>36</v>
      </c>
      <c r="F7" s="409"/>
      <c r="G7" s="96"/>
      <c r="J7" s="97"/>
    </row>
    <row r="8" spans="1:13" x14ac:dyDescent="0.2">
      <c r="B8" s="82" t="s">
        <v>128</v>
      </c>
      <c r="C8" s="610" t="s">
        <v>190</v>
      </c>
      <c r="D8" s="611"/>
      <c r="E8" s="83">
        <v>981.06</v>
      </c>
      <c r="G8" s="96"/>
      <c r="J8" s="97"/>
    </row>
    <row r="9" spans="1:13" x14ac:dyDescent="0.2">
      <c r="B9" s="84" t="s">
        <v>129</v>
      </c>
      <c r="C9" s="610" t="s">
        <v>190</v>
      </c>
      <c r="D9" s="611"/>
      <c r="E9" s="83">
        <v>6938.39</v>
      </c>
      <c r="G9" s="96"/>
      <c r="J9" s="97"/>
      <c r="K9" s="98"/>
    </row>
    <row r="10" spans="1:13" x14ac:dyDescent="0.2">
      <c r="B10" s="84" t="s">
        <v>130</v>
      </c>
      <c r="C10" s="612" t="s">
        <v>131</v>
      </c>
      <c r="D10" s="613"/>
      <c r="E10" s="83">
        <v>135</v>
      </c>
      <c r="G10" s="96"/>
      <c r="J10" s="97"/>
    </row>
    <row r="11" spans="1:13" x14ac:dyDescent="0.2">
      <c r="B11" s="84" t="s">
        <v>191</v>
      </c>
      <c r="C11" s="612" t="s">
        <v>131</v>
      </c>
      <c r="D11" s="613"/>
      <c r="E11" s="83">
        <v>1</v>
      </c>
      <c r="G11" s="96"/>
      <c r="J11" s="97"/>
    </row>
    <row r="12" spans="1:13" x14ac:dyDescent="0.2">
      <c r="B12" s="84" t="s">
        <v>132</v>
      </c>
      <c r="C12" s="610" t="s">
        <v>190</v>
      </c>
      <c r="D12" s="611"/>
      <c r="E12" s="85">
        <f>SUM(E66:E115)</f>
        <v>4392.5999999999985</v>
      </c>
      <c r="G12" s="96"/>
      <c r="J12" s="97"/>
    </row>
    <row r="13" spans="1:13" x14ac:dyDescent="0.2">
      <c r="B13" s="99" t="s">
        <v>133</v>
      </c>
      <c r="C13" s="610" t="s">
        <v>131</v>
      </c>
      <c r="D13" s="611"/>
      <c r="E13" s="83">
        <v>23</v>
      </c>
      <c r="G13" s="96"/>
      <c r="J13" s="97"/>
    </row>
    <row r="14" spans="1:13" x14ac:dyDescent="0.2">
      <c r="B14" s="84" t="s">
        <v>1870</v>
      </c>
      <c r="C14" s="610" t="s">
        <v>190</v>
      </c>
      <c r="D14" s="611"/>
      <c r="E14" s="85">
        <f>MOBILIÁRIO!C7</f>
        <v>1901.04</v>
      </c>
      <c r="G14" s="96"/>
      <c r="J14" s="97"/>
    </row>
    <row r="15" spans="1:13" x14ac:dyDescent="0.2">
      <c r="B15" s="84" t="s">
        <v>1871</v>
      </c>
      <c r="C15" s="610" t="s">
        <v>131</v>
      </c>
      <c r="D15" s="611"/>
      <c r="E15" s="85">
        <v>135</v>
      </c>
      <c r="G15" s="96"/>
      <c r="J15" s="97"/>
    </row>
    <row r="16" spans="1:13" x14ac:dyDescent="0.2">
      <c r="B16" s="84"/>
      <c r="C16" s="610"/>
      <c r="D16" s="611"/>
      <c r="E16" s="85"/>
      <c r="G16" s="96"/>
      <c r="J16" s="97"/>
    </row>
    <row r="17" spans="2:10" x14ac:dyDescent="0.2">
      <c r="B17" s="155" t="s">
        <v>2429</v>
      </c>
      <c r="C17" s="608" t="s">
        <v>190</v>
      </c>
      <c r="D17" s="609"/>
      <c r="E17" s="158">
        <v>243.84</v>
      </c>
      <c r="G17" s="96"/>
      <c r="J17" s="97"/>
    </row>
    <row r="18" spans="2:10" x14ac:dyDescent="0.2">
      <c r="B18" s="155" t="s">
        <v>146</v>
      </c>
      <c r="C18" s="608" t="s">
        <v>190</v>
      </c>
      <c r="D18" s="609"/>
      <c r="E18" s="158">
        <v>615.57000000000005</v>
      </c>
      <c r="F18" s="576">
        <f>E18*0.6</f>
        <v>369.34200000000004</v>
      </c>
      <c r="G18" s="96"/>
      <c r="J18" s="97"/>
    </row>
    <row r="19" spans="2:10" x14ac:dyDescent="0.2">
      <c r="B19" s="155" t="s">
        <v>2893</v>
      </c>
      <c r="C19" s="608" t="s">
        <v>190</v>
      </c>
      <c r="D19" s="609"/>
      <c r="E19" s="158">
        <v>380.61</v>
      </c>
      <c r="G19" s="96"/>
      <c r="J19" s="97"/>
    </row>
    <row r="20" spans="2:10" x14ac:dyDescent="0.2">
      <c r="B20" s="155" t="s">
        <v>2894</v>
      </c>
      <c r="C20" s="608" t="s">
        <v>190</v>
      </c>
      <c r="D20" s="609"/>
      <c r="E20" s="158">
        <v>478.98</v>
      </c>
      <c r="G20" s="96"/>
      <c r="J20" s="97"/>
    </row>
    <row r="21" spans="2:10" x14ac:dyDescent="0.2">
      <c r="B21" s="155" t="s">
        <v>2895</v>
      </c>
      <c r="C21" s="608" t="s">
        <v>190</v>
      </c>
      <c r="D21" s="609"/>
      <c r="E21" s="158">
        <v>412.99</v>
      </c>
      <c r="G21" s="96"/>
      <c r="J21" s="97"/>
    </row>
    <row r="22" spans="2:10" x14ac:dyDescent="0.2">
      <c r="B22" s="155" t="s">
        <v>2896</v>
      </c>
      <c r="C22" s="608" t="s">
        <v>190</v>
      </c>
      <c r="D22" s="609"/>
      <c r="E22" s="158">
        <v>1651.96</v>
      </c>
      <c r="G22" s="96"/>
      <c r="J22" s="97"/>
    </row>
    <row r="23" spans="2:10" x14ac:dyDescent="0.2">
      <c r="B23" s="155" t="s">
        <v>2897</v>
      </c>
      <c r="C23" s="608" t="s">
        <v>190</v>
      </c>
      <c r="D23" s="609"/>
      <c r="E23" s="158">
        <v>1806.8</v>
      </c>
      <c r="G23" s="96"/>
      <c r="J23" s="97"/>
    </row>
    <row r="24" spans="2:10" x14ac:dyDescent="0.2">
      <c r="B24" s="155" t="s">
        <v>2898</v>
      </c>
      <c r="C24" s="608" t="s">
        <v>190</v>
      </c>
      <c r="D24" s="609"/>
      <c r="E24" s="158">
        <v>294.68</v>
      </c>
      <c r="F24" s="576">
        <f>E24*0.9</f>
        <v>265.21199999999999</v>
      </c>
      <c r="G24" s="96"/>
      <c r="J24" s="97"/>
    </row>
    <row r="25" spans="2:10" x14ac:dyDescent="0.2">
      <c r="B25" s="155" t="s">
        <v>2899</v>
      </c>
      <c r="C25" s="608" t="s">
        <v>190</v>
      </c>
      <c r="D25" s="609"/>
      <c r="E25" s="158">
        <v>445.2</v>
      </c>
      <c r="G25" s="96"/>
      <c r="J25" s="97"/>
    </row>
    <row r="26" spans="2:10" x14ac:dyDescent="0.2">
      <c r="B26" s="155" t="s">
        <v>2900</v>
      </c>
      <c r="C26" s="608" t="s">
        <v>190</v>
      </c>
      <c r="D26" s="609"/>
      <c r="E26" s="158">
        <v>389.26</v>
      </c>
      <c r="G26" s="96"/>
      <c r="J26" s="97"/>
    </row>
    <row r="27" spans="2:10" x14ac:dyDescent="0.2">
      <c r="B27" s="155" t="s">
        <v>2901</v>
      </c>
      <c r="C27" s="608" t="s">
        <v>190</v>
      </c>
      <c r="D27" s="609"/>
      <c r="E27" s="158">
        <v>82.25</v>
      </c>
      <c r="F27" s="576">
        <f>E27*0.9</f>
        <v>74.025000000000006</v>
      </c>
      <c r="G27" s="96"/>
      <c r="J27" s="97"/>
    </row>
    <row r="28" spans="2:10" x14ac:dyDescent="0.2">
      <c r="B28" s="155" t="s">
        <v>2077</v>
      </c>
      <c r="C28" s="608" t="s">
        <v>190</v>
      </c>
      <c r="D28" s="609"/>
      <c r="E28" s="158">
        <v>67.2</v>
      </c>
      <c r="G28" s="96"/>
      <c r="J28" s="97"/>
    </row>
    <row r="29" spans="2:10" x14ac:dyDescent="0.2">
      <c r="B29" s="155" t="s">
        <v>2902</v>
      </c>
      <c r="C29" s="608" t="s">
        <v>190</v>
      </c>
      <c r="D29" s="609"/>
      <c r="E29" s="158">
        <v>69.05</v>
      </c>
      <c r="F29" s="79">
        <f>59.88+3.11+78.87+47.22+27.7+5.97+2.985+1.84</f>
        <v>227.57500000000002</v>
      </c>
      <c r="G29" s="96"/>
      <c r="J29" s="97"/>
    </row>
    <row r="30" spans="2:10" x14ac:dyDescent="0.2">
      <c r="B30" s="155" t="s">
        <v>2903</v>
      </c>
      <c r="C30" s="608" t="s">
        <v>190</v>
      </c>
      <c r="D30" s="609"/>
      <c r="E30" s="158"/>
      <c r="G30" s="96"/>
      <c r="J30" s="97"/>
    </row>
    <row r="31" spans="2:10" x14ac:dyDescent="0.2">
      <c r="B31" s="156"/>
      <c r="C31" s="608"/>
      <c r="D31" s="609"/>
      <c r="E31" s="159"/>
      <c r="G31" s="96"/>
      <c r="J31" s="97"/>
    </row>
    <row r="32" spans="2:10" ht="13.5" thickBot="1" x14ac:dyDescent="0.25">
      <c r="B32" s="157"/>
      <c r="C32" s="614"/>
      <c r="D32" s="615"/>
      <c r="E32" s="160"/>
      <c r="G32" s="96"/>
      <c r="J32" s="97"/>
    </row>
    <row r="33" spans="2:10" x14ac:dyDescent="0.2">
      <c r="B33" s="153"/>
      <c r="C33" s="152"/>
      <c r="D33" s="152"/>
      <c r="E33" s="154"/>
      <c r="G33" s="96"/>
      <c r="J33" s="97"/>
    </row>
    <row r="34" spans="2:10" x14ac:dyDescent="0.2">
      <c r="B34" s="153"/>
      <c r="C34" s="152"/>
      <c r="D34" s="152"/>
      <c r="E34" s="154"/>
      <c r="G34" s="96"/>
      <c r="J34" s="97"/>
    </row>
    <row r="35" spans="2:10" ht="13.5" thickBot="1" x14ac:dyDescent="0.25">
      <c r="B35" s="606" t="s">
        <v>2884</v>
      </c>
      <c r="C35" s="607"/>
      <c r="D35" s="607"/>
      <c r="E35" s="607"/>
      <c r="G35" s="606" t="s">
        <v>2884</v>
      </c>
      <c r="H35" s="607"/>
      <c r="I35" s="607"/>
      <c r="J35" s="607"/>
    </row>
    <row r="36" spans="2:10" x14ac:dyDescent="0.2">
      <c r="B36" s="100" t="s">
        <v>112</v>
      </c>
      <c r="C36" s="488" t="s">
        <v>134</v>
      </c>
      <c r="D36" s="101" t="s">
        <v>135</v>
      </c>
      <c r="E36" s="102" t="s">
        <v>136</v>
      </c>
      <c r="G36" s="100" t="s">
        <v>112</v>
      </c>
      <c r="H36" s="488" t="s">
        <v>134</v>
      </c>
      <c r="I36" s="101" t="s">
        <v>135</v>
      </c>
      <c r="J36" s="102" t="s">
        <v>136</v>
      </c>
    </row>
    <row r="37" spans="2:10" x14ac:dyDescent="0.2">
      <c r="B37" s="105" t="s">
        <v>2468</v>
      </c>
      <c r="C37" s="490"/>
      <c r="D37" s="486">
        <f t="shared" ref="D37:D59" ca="1" si="0">C37/C$60</f>
        <v>0</v>
      </c>
      <c r="E37" s="106">
        <f>C37/$E$9</f>
        <v>0</v>
      </c>
      <c r="G37" s="105" t="s">
        <v>1876</v>
      </c>
      <c r="H37" s="490">
        <f ca="1">C42</f>
        <v>1994418.7802429749</v>
      </c>
      <c r="I37" s="486">
        <f t="shared" ref="I37:I46" ca="1" si="1">H37/H$48</f>
        <v>0.12034851582101684</v>
      </c>
      <c r="J37" s="106">
        <f ca="1">H37/$E$9</f>
        <v>287.4469120708082</v>
      </c>
    </row>
    <row r="38" spans="2:10" x14ac:dyDescent="0.2">
      <c r="B38" s="103" t="s">
        <v>35</v>
      </c>
      <c r="C38" s="491">
        <f ca="1">SUMIFS(Ger_Executivo!N:N,Ger_Executivo!J:J,B38,Ger_Executivo!H:H,Ger_Executivo!$H$8)</f>
        <v>0</v>
      </c>
      <c r="D38" s="487">
        <f t="shared" ca="1" si="0"/>
        <v>0</v>
      </c>
      <c r="E38" s="104">
        <f t="shared" ref="E38:E56" ca="1" si="2">C38/$E$9</f>
        <v>0</v>
      </c>
      <c r="G38" s="103" t="s">
        <v>117</v>
      </c>
      <c r="H38" s="491">
        <f ca="1">C43</f>
        <v>703992.08160644444</v>
      </c>
      <c r="I38" s="487">
        <f t="shared" ca="1" si="1"/>
        <v>4.2480748281342399E-2</v>
      </c>
      <c r="J38" s="104">
        <f t="shared" ref="J38" ca="1" si="3">H38/$E$9</f>
        <v>101.46331953182862</v>
      </c>
    </row>
    <row r="39" spans="2:10" x14ac:dyDescent="0.2">
      <c r="B39" s="105" t="s">
        <v>37</v>
      </c>
      <c r="C39" s="490">
        <f ca="1">SUMIFS(Ger_Executivo!N:N,Ger_Executivo!J:J,B39,Ger_Executivo!H:H,Ger_Executivo!$H$8)</f>
        <v>0</v>
      </c>
      <c r="D39" s="486">
        <f t="shared" ca="1" si="0"/>
        <v>0</v>
      </c>
      <c r="E39" s="106">
        <f t="shared" ca="1" si="2"/>
        <v>0</v>
      </c>
      <c r="G39" s="105" t="s">
        <v>224</v>
      </c>
      <c r="H39" s="490">
        <f t="shared" ref="H39:H46" ca="1" si="4">C51</f>
        <v>1323971.4069452165</v>
      </c>
      <c r="I39" s="486">
        <f t="shared" ca="1" si="1"/>
        <v>7.9891944156236128E-2</v>
      </c>
      <c r="J39" s="106">
        <f t="shared" ref="J39:J40" ca="1" si="5">H39/$E$9</f>
        <v>190.81824557933706</v>
      </c>
    </row>
    <row r="40" spans="2:10" x14ac:dyDescent="0.2">
      <c r="B40" s="103" t="s">
        <v>2443</v>
      </c>
      <c r="C40" s="491">
        <f ca="1">SUMIFS(Ger_Executivo!N:N,Ger_Executivo!J:J,B40,Ger_Executivo!H:H,Ger_Executivo!$H$8)</f>
        <v>0</v>
      </c>
      <c r="D40" s="487">
        <f t="shared" ca="1" si="0"/>
        <v>0</v>
      </c>
      <c r="E40" s="104">
        <f t="shared" ca="1" si="2"/>
        <v>0</v>
      </c>
      <c r="G40" s="103" t="s">
        <v>1907</v>
      </c>
      <c r="H40" s="491">
        <f t="shared" ca="1" si="4"/>
        <v>695689.4328585132</v>
      </c>
      <c r="I40" s="487">
        <f t="shared" ca="1" si="1"/>
        <v>4.197974444799752E-2</v>
      </c>
      <c r="J40" s="104">
        <f t="shared" ca="1" si="5"/>
        <v>100.26669484686118</v>
      </c>
    </row>
    <row r="41" spans="2:10" x14ac:dyDescent="0.2">
      <c r="B41" s="105" t="s">
        <v>51</v>
      </c>
      <c r="C41" s="490">
        <f ca="1">SUMIFS(Ger_Executivo!N:N,Ger_Executivo!J:J,B41,Ger_Executivo!H:H,Ger_Executivo!$H$8)</f>
        <v>0</v>
      </c>
      <c r="D41" s="486">
        <f t="shared" ca="1" si="0"/>
        <v>0</v>
      </c>
      <c r="E41" s="106">
        <f t="shared" ca="1" si="2"/>
        <v>0</v>
      </c>
      <c r="G41" s="105" t="s">
        <v>236</v>
      </c>
      <c r="H41" s="490">
        <f t="shared" ca="1" si="4"/>
        <v>1461780.0210076664</v>
      </c>
      <c r="I41" s="486">
        <f t="shared" ca="1" si="1"/>
        <v>8.8207681219114487E-2</v>
      </c>
      <c r="J41" s="106">
        <f ca="1">H41/$E$9</f>
        <v>210.68000227829026</v>
      </c>
    </row>
    <row r="42" spans="2:10" x14ac:dyDescent="0.2">
      <c r="B42" s="103" t="s">
        <v>1876</v>
      </c>
      <c r="C42" s="491">
        <f ca="1">SUMIFS(Ger_Executivo!N:N,Ger_Executivo!J:J,B42,Ger_Executivo!H:H,Ger_Executivo!$H$8)</f>
        <v>1994418.7802429749</v>
      </c>
      <c r="D42" s="487">
        <f t="shared" ca="1" si="0"/>
        <v>0.11798874100099691</v>
      </c>
      <c r="E42" s="104">
        <f ca="1">C42/$E$9</f>
        <v>287.4469120708082</v>
      </c>
      <c r="G42" s="103" t="s">
        <v>1910</v>
      </c>
      <c r="H42" s="491">
        <f t="shared" ca="1" si="4"/>
        <v>1340430.2790264201</v>
      </c>
      <c r="I42" s="487">
        <f t="shared" ca="1" si="1"/>
        <v>8.0885116125274395E-2</v>
      </c>
      <c r="J42" s="104">
        <f t="shared" ref="J42:J44" ca="1" si="6">H42/$E$9</f>
        <v>193.19039129054724</v>
      </c>
    </row>
    <row r="43" spans="2:10" x14ac:dyDescent="0.2">
      <c r="B43" s="105" t="s">
        <v>117</v>
      </c>
      <c r="C43" s="490">
        <f ca="1">SUMIFS(Ger_Executivo!N:N,Ger_Executivo!J:J,B43,Ger_Executivo!H:H,Ger_Executivo!$H$8)</f>
        <v>703992.08160644444</v>
      </c>
      <c r="D43" s="486">
        <f t="shared" ca="1" si="0"/>
        <v>4.1647792432688631E-2</v>
      </c>
      <c r="E43" s="106">
        <f t="shared" ca="1" si="2"/>
        <v>101.46331953182862</v>
      </c>
      <c r="G43" s="105" t="s">
        <v>60</v>
      </c>
      <c r="H43" s="490">
        <f t="shared" ca="1" si="4"/>
        <v>3691455.7949999995</v>
      </c>
      <c r="I43" s="486">
        <f t="shared" ca="1" si="1"/>
        <v>0.22275222764048508</v>
      </c>
      <c r="J43" s="106">
        <f t="shared" ca="1" si="6"/>
        <v>532.03348255142748</v>
      </c>
    </row>
    <row r="44" spans="2:10" x14ac:dyDescent="0.2">
      <c r="B44" s="103" t="s">
        <v>87</v>
      </c>
      <c r="C44" s="491">
        <f ca="1">SUMIFS(Ger_Executivo!N:N,Ger_Executivo!J:J,B44,Ger_Executivo!H:H,Ger_Executivo!$H$8)</f>
        <v>0</v>
      </c>
      <c r="D44" s="487">
        <f t="shared" ca="1" si="0"/>
        <v>0</v>
      </c>
      <c r="E44" s="104">
        <f t="shared" ca="1" si="2"/>
        <v>0</v>
      </c>
      <c r="G44" s="103" t="s">
        <v>65</v>
      </c>
      <c r="H44" s="491">
        <f t="shared" ca="1" si="4"/>
        <v>326798.11480000004</v>
      </c>
      <c r="I44" s="487">
        <f t="shared" ca="1" si="1"/>
        <v>1.9719864493301077E-2</v>
      </c>
      <c r="J44" s="104">
        <f t="shared" ca="1" si="6"/>
        <v>47.099992188389528</v>
      </c>
    </row>
    <row r="45" spans="2:10" x14ac:dyDescent="0.2">
      <c r="B45" s="105" t="s">
        <v>88</v>
      </c>
      <c r="C45" s="490">
        <f ca="1">SUMIFS(Ger_Executivo!N:N,Ger_Executivo!J:J,B45,Ger_Executivo!H:H,Ger_Executivo!$H$8)</f>
        <v>0</v>
      </c>
      <c r="D45" s="486">
        <f t="shared" ca="1" si="0"/>
        <v>0</v>
      </c>
      <c r="E45" s="106">
        <f t="shared" ca="1" si="2"/>
        <v>0</v>
      </c>
      <c r="G45" s="105" t="s">
        <v>1916</v>
      </c>
      <c r="H45" s="490">
        <f t="shared" ca="1" si="4"/>
        <v>1898087.6711211866</v>
      </c>
      <c r="I45" s="486">
        <f t="shared" ca="1" si="1"/>
        <v>0.11453564135099843</v>
      </c>
      <c r="J45" s="106">
        <f ca="1">H45/$E$9</f>
        <v>273.56312791889565</v>
      </c>
    </row>
    <row r="46" spans="2:10" x14ac:dyDescent="0.2">
      <c r="B46" s="103" t="s">
        <v>162</v>
      </c>
      <c r="C46" s="491">
        <f ca="1">SUMIFS(Ger_Executivo!N:N,Ger_Executivo!J:J,B46,Ger_Executivo!H:H,Ger_Executivo!$H$8)</f>
        <v>0</v>
      </c>
      <c r="D46" s="487">
        <f t="shared" ca="1" si="0"/>
        <v>0</v>
      </c>
      <c r="E46" s="104">
        <f ca="1">C46/$E$9</f>
        <v>0</v>
      </c>
      <c r="G46" s="103" t="s">
        <v>76</v>
      </c>
      <c r="H46" s="491">
        <f t="shared" ca="1" si="4"/>
        <v>3135402.8078880655</v>
      </c>
      <c r="I46" s="487">
        <f t="shared" ca="1" si="1"/>
        <v>0.18919851646423375</v>
      </c>
      <c r="J46" s="104">
        <f ca="1">H46/$E$9</f>
        <v>451.89198184132994</v>
      </c>
    </row>
    <row r="47" spans="2:10" x14ac:dyDescent="0.2">
      <c r="B47" s="105" t="s">
        <v>163</v>
      </c>
      <c r="C47" s="490">
        <f ca="1">SUMIFS(Ger_Executivo!N:N,Ger_Executivo!J:J,B47,Ger_Executivo!H:H,Ger_Executivo!$H$8)</f>
        <v>0</v>
      </c>
      <c r="D47" s="486">
        <f t="shared" ca="1" si="0"/>
        <v>0</v>
      </c>
      <c r="E47" s="106">
        <f ca="1">C47/$E$9</f>
        <v>0</v>
      </c>
      <c r="G47" s="105"/>
      <c r="H47" s="490"/>
      <c r="I47" s="486"/>
      <c r="J47" s="106"/>
    </row>
    <row r="48" spans="2:10" x14ac:dyDescent="0.2">
      <c r="B48" s="103" t="s">
        <v>92</v>
      </c>
      <c r="C48" s="491">
        <f ca="1">SUMIFS(Ger_Executivo!N:N,Ger_Executivo!J:J,B48,Ger_Executivo!H:H,Ger_Executivo!$H$8)</f>
        <v>0</v>
      </c>
      <c r="D48" s="487">
        <f t="shared" ca="1" si="0"/>
        <v>0</v>
      </c>
      <c r="E48" s="104">
        <f t="shared" ca="1" si="2"/>
        <v>0</v>
      </c>
      <c r="G48" s="107" t="s">
        <v>8</v>
      </c>
      <c r="H48" s="489">
        <f ca="1">SUM(H37:H47)</f>
        <v>16572026.390496485</v>
      </c>
      <c r="I48" s="91">
        <f ca="1">SUM(I37:I47)</f>
        <v>1.0000000000000002</v>
      </c>
      <c r="J48" s="108">
        <f ca="1">SUM(J37:J47)</f>
        <v>2388.4541500977152</v>
      </c>
    </row>
    <row r="49" spans="2:10" ht="13.5" thickBot="1" x14ac:dyDescent="0.25">
      <c r="B49" s="105" t="s">
        <v>1275</v>
      </c>
      <c r="C49" s="490">
        <f ca="1">SUMIFS(Ger_Executivo!N:N,Ger_Executivo!J:J,B49,Ger_Executivo!H:H,Ger_Executivo!$H$8)</f>
        <v>0</v>
      </c>
      <c r="D49" s="486">
        <f t="shared" ca="1" si="0"/>
        <v>0</v>
      </c>
      <c r="E49" s="106">
        <f t="shared" ca="1" si="2"/>
        <v>0</v>
      </c>
      <c r="G49" s="110" t="s">
        <v>6951</v>
      </c>
      <c r="H49" s="489">
        <v>2481.34</v>
      </c>
      <c r="I49" s="112">
        <v>45931</v>
      </c>
      <c r="J49" s="113" t="str">
        <f ca="1">ROUNDUP(+J48/H49,2)&amp;" CUB"</f>
        <v>0,97 CUB</v>
      </c>
    </row>
    <row r="50" spans="2:10" x14ac:dyDescent="0.2">
      <c r="B50" s="103" t="s">
        <v>1276</v>
      </c>
      <c r="C50" s="491">
        <f ca="1">SUMIFS(Ger_Executivo!N:N,Ger_Executivo!J:J,B50,Ger_Executivo!H:H,Ger_Executivo!$H$8)</f>
        <v>0</v>
      </c>
      <c r="D50" s="487">
        <f t="shared" ca="1" si="0"/>
        <v>0</v>
      </c>
      <c r="E50" s="104">
        <f t="shared" ca="1" si="2"/>
        <v>0</v>
      </c>
    </row>
    <row r="51" spans="2:10" x14ac:dyDescent="0.2">
      <c r="B51" s="105" t="s">
        <v>224</v>
      </c>
      <c r="C51" s="490">
        <f ca="1">SUMIFS(Ger_Executivo!N:N,Ger_Executivo!J:J,B51,Ger_Executivo!H:H,Ger_Executivo!$H$8)</f>
        <v>1323971.4069452165</v>
      </c>
      <c r="D51" s="486">
        <f t="shared" ca="1" si="0"/>
        <v>7.8325435447290315E-2</v>
      </c>
      <c r="E51" s="106">
        <f t="shared" ca="1" si="2"/>
        <v>190.81824557933706</v>
      </c>
    </row>
    <row r="52" spans="2:10" x14ac:dyDescent="0.2">
      <c r="B52" s="103" t="s">
        <v>1907</v>
      </c>
      <c r="C52" s="491">
        <f ca="1">SUMIFS(Ger_Executivo!N:N,Ger_Executivo!J:J,B52,Ger_Executivo!H:H,Ger_Executivo!$H$8)</f>
        <v>695689.4328585132</v>
      </c>
      <c r="D52" s="487">
        <f t="shared" ca="1" si="0"/>
        <v>4.1156612203919141E-2</v>
      </c>
      <c r="E52" s="104">
        <f t="shared" ca="1" si="2"/>
        <v>100.26669484686118</v>
      </c>
    </row>
    <row r="53" spans="2:10" x14ac:dyDescent="0.2">
      <c r="B53" s="105" t="s">
        <v>236</v>
      </c>
      <c r="C53" s="490">
        <f ca="1">SUMIFS(Ger_Executivo!N:N,Ger_Executivo!J:J,B53,Ger_Executivo!H:H,Ger_Executivo!$H$8)</f>
        <v>1461780.0210076664</v>
      </c>
      <c r="D53" s="486">
        <f t="shared" ca="1" si="0"/>
        <v>8.6478118842269108E-2</v>
      </c>
      <c r="E53" s="106">
        <f ca="1">C53/$E$9</f>
        <v>210.68000227829026</v>
      </c>
    </row>
    <row r="54" spans="2:10" x14ac:dyDescent="0.2">
      <c r="B54" s="103" t="s">
        <v>1910</v>
      </c>
      <c r="C54" s="491">
        <f ca="1">SUMIFS(Ger_Executivo!N:N,Ger_Executivo!J:J,B54,Ger_Executivo!H:H,Ger_Executivo!$H$8)</f>
        <v>1340430.2790264201</v>
      </c>
      <c r="D54" s="487">
        <f t="shared" ca="1" si="0"/>
        <v>7.9299133456151374E-2</v>
      </c>
      <c r="E54" s="104">
        <f t="shared" ca="1" si="2"/>
        <v>193.19039129054724</v>
      </c>
    </row>
    <row r="55" spans="2:10" x14ac:dyDescent="0.2">
      <c r="B55" s="105" t="s">
        <v>60</v>
      </c>
      <c r="C55" s="490">
        <f ca="1">SUMIFS(Ger_Executivo!N:N,Ger_Executivo!J:J,B55,Ger_Executivo!H:H,Ger_Executivo!$H$8)</f>
        <v>3691455.7949999995</v>
      </c>
      <c r="D55" s="486">
        <f t="shared" ca="1" si="0"/>
        <v>0.21838453690243637</v>
      </c>
      <c r="E55" s="106">
        <f t="shared" ca="1" si="2"/>
        <v>532.03348255142748</v>
      </c>
    </row>
    <row r="56" spans="2:10" x14ac:dyDescent="0.2">
      <c r="B56" s="103" t="s">
        <v>65</v>
      </c>
      <c r="C56" s="491">
        <f ca="1">SUMIFS(Ger_Executivo!N:N,Ger_Executivo!J:J,B56,Ger_Executivo!H:H,Ger_Executivo!$H$8)</f>
        <v>326798.11480000004</v>
      </c>
      <c r="D56" s="487">
        <f t="shared" ca="1" si="0"/>
        <v>1.9333200483628507E-2</v>
      </c>
      <c r="E56" s="104">
        <f t="shared" ca="1" si="2"/>
        <v>47.099992188389528</v>
      </c>
    </row>
    <row r="57" spans="2:10" x14ac:dyDescent="0.2">
      <c r="B57" s="105" t="s">
        <v>1916</v>
      </c>
      <c r="C57" s="490">
        <f ca="1">SUMIFS(Ger_Executivo!N:N,Ger_Executivo!J:J,B57,Ger_Executivo!H:H,Ger_Executivo!$H$8)</f>
        <v>1898087.6711211866</v>
      </c>
      <c r="D57" s="486">
        <f t="shared" ca="1" si="0"/>
        <v>0.11228984446176318</v>
      </c>
      <c r="E57" s="106">
        <f ca="1">C57/$E$9</f>
        <v>273.56312791889565</v>
      </c>
    </row>
    <row r="58" spans="2:10" x14ac:dyDescent="0.2">
      <c r="B58" s="103" t="s">
        <v>76</v>
      </c>
      <c r="C58" s="491">
        <f ca="1">SUMIFS(Ger_Executivo!N:N,Ger_Executivo!J:J,B58,Ger_Executivo!H:H,Ger_Executivo!$H$8)</f>
        <v>3135402.8078880655</v>
      </c>
      <c r="D58" s="487">
        <f t="shared" ca="1" si="0"/>
        <v>0.18548874163160173</v>
      </c>
      <c r="E58" s="104">
        <f ca="1">C58/$E$9</f>
        <v>451.89198184132994</v>
      </c>
    </row>
    <row r="59" spans="2:10" x14ac:dyDescent="0.2">
      <c r="B59" s="105" t="s">
        <v>2885</v>
      </c>
      <c r="C59" s="490">
        <f ca="1">SUMIFS(Ger_Executivo!N:N,Ger_Executivo!J:J,B59,Ger_Executivo!H:H,Ger_Executivo!$H$8)</f>
        <v>331440.5278099298</v>
      </c>
      <c r="D59" s="486">
        <f t="shared" ca="1" si="0"/>
        <v>1.9607843137254909E-2</v>
      </c>
      <c r="E59" s="106">
        <f ca="1">C59/$E$9</f>
        <v>47.769083001954314</v>
      </c>
      <c r="F59" s="109"/>
    </row>
    <row r="60" spans="2:10" x14ac:dyDescent="0.2">
      <c r="B60" s="107" t="s">
        <v>8</v>
      </c>
      <c r="C60" s="489">
        <f ca="1">SUM(C37:C59)</f>
        <v>16903466.918306414</v>
      </c>
      <c r="D60" s="91">
        <f ca="1">SUM(D37:D59)</f>
        <v>1</v>
      </c>
      <c r="E60" s="108">
        <f ca="1">SUM(E37:E59)</f>
        <v>2436.2232330996694</v>
      </c>
    </row>
    <row r="61" spans="2:10" ht="13.5" thickBot="1" x14ac:dyDescent="0.25">
      <c r="B61" s="110" t="s">
        <v>6951</v>
      </c>
      <c r="C61" s="489">
        <v>2481.34</v>
      </c>
      <c r="D61" s="112">
        <v>45931</v>
      </c>
      <c r="E61" s="113" t="str">
        <f ca="1">ROUNDUP(+E60/C61,2)&amp;" CUB"</f>
        <v>0,99 CUB</v>
      </c>
    </row>
    <row r="62" spans="2:10" x14ac:dyDescent="0.2">
      <c r="C62" s="109"/>
      <c r="D62" s="109"/>
      <c r="E62" s="109"/>
    </row>
    <row r="64" spans="2:10" x14ac:dyDescent="0.2">
      <c r="B64" s="79" t="s">
        <v>313</v>
      </c>
    </row>
    <row r="65" spans="2:8" x14ac:dyDescent="0.2">
      <c r="B65" s="161" t="s">
        <v>314</v>
      </c>
      <c r="C65" s="162" t="s">
        <v>316</v>
      </c>
      <c r="D65" s="162" t="s">
        <v>315</v>
      </c>
      <c r="E65" s="162" t="s">
        <v>317</v>
      </c>
      <c r="F65" s="162" t="s">
        <v>1872</v>
      </c>
      <c r="G65" s="162" t="s">
        <v>2441</v>
      </c>
      <c r="H65" s="162" t="s">
        <v>2442</v>
      </c>
    </row>
    <row r="66" spans="2:8" x14ac:dyDescent="0.2">
      <c r="B66" s="503" t="s">
        <v>2904</v>
      </c>
      <c r="C66" s="504">
        <v>27.14</v>
      </c>
      <c r="D66" s="504">
        <v>2</v>
      </c>
      <c r="E66" s="504">
        <f t="shared" ref="E66:E69" si="7">D66*C66</f>
        <v>54.28</v>
      </c>
      <c r="F66" s="504">
        <v>0</v>
      </c>
      <c r="G66" s="504">
        <v>2</v>
      </c>
      <c r="H66" s="504">
        <v>2</v>
      </c>
    </row>
    <row r="67" spans="2:8" x14ac:dyDescent="0.2">
      <c r="B67" s="503" t="s">
        <v>2905</v>
      </c>
      <c r="C67" s="504">
        <v>27.83</v>
      </c>
      <c r="D67" s="504">
        <v>2</v>
      </c>
      <c r="E67" s="504">
        <f t="shared" si="7"/>
        <v>55.66</v>
      </c>
      <c r="F67" s="504">
        <v>0</v>
      </c>
      <c r="G67" s="504">
        <v>2</v>
      </c>
      <c r="H67" s="504">
        <v>2</v>
      </c>
    </row>
    <row r="68" spans="2:8" x14ac:dyDescent="0.2">
      <c r="B68" s="503" t="s">
        <v>2906</v>
      </c>
      <c r="C68" s="504">
        <v>27.58</v>
      </c>
      <c r="D68" s="504">
        <v>1</v>
      </c>
      <c r="E68" s="504">
        <f t="shared" si="7"/>
        <v>27.58</v>
      </c>
      <c r="F68" s="504">
        <v>0</v>
      </c>
      <c r="G68" s="504">
        <v>1</v>
      </c>
      <c r="H68" s="504">
        <v>1</v>
      </c>
    </row>
    <row r="69" spans="2:8" x14ac:dyDescent="0.2">
      <c r="B69" s="503" t="s">
        <v>2907</v>
      </c>
      <c r="C69" s="504">
        <v>27.86</v>
      </c>
      <c r="D69" s="504">
        <v>1</v>
      </c>
      <c r="E69" s="504">
        <f t="shared" si="7"/>
        <v>27.86</v>
      </c>
      <c r="F69" s="504">
        <v>0</v>
      </c>
      <c r="G69" s="504">
        <v>1</v>
      </c>
      <c r="H69" s="504">
        <v>1</v>
      </c>
    </row>
    <row r="70" spans="2:8" x14ac:dyDescent="0.2">
      <c r="B70" s="505" t="s">
        <v>2911</v>
      </c>
      <c r="C70" s="506">
        <v>34.75</v>
      </c>
      <c r="D70" s="506">
        <v>1</v>
      </c>
      <c r="E70" s="506">
        <f t="shared" ref="E70:E73" si="8">D70*C70</f>
        <v>34.75</v>
      </c>
      <c r="F70" s="506">
        <v>0</v>
      </c>
      <c r="G70" s="506">
        <v>1</v>
      </c>
      <c r="H70" s="506">
        <v>1</v>
      </c>
    </row>
    <row r="71" spans="2:8" x14ac:dyDescent="0.2">
      <c r="B71" s="505" t="s">
        <v>2912</v>
      </c>
      <c r="C71" s="506">
        <v>29.97</v>
      </c>
      <c r="D71" s="506">
        <v>2</v>
      </c>
      <c r="E71" s="506">
        <f t="shared" si="8"/>
        <v>59.94</v>
      </c>
      <c r="F71" s="506">
        <v>0</v>
      </c>
      <c r="G71" s="506">
        <v>2</v>
      </c>
      <c r="H71" s="506">
        <v>2</v>
      </c>
    </row>
    <row r="72" spans="2:8" x14ac:dyDescent="0.2">
      <c r="B72" s="505" t="s">
        <v>2913</v>
      </c>
      <c r="C72" s="506">
        <v>30.41</v>
      </c>
      <c r="D72" s="506">
        <v>1</v>
      </c>
      <c r="E72" s="506">
        <f t="shared" si="8"/>
        <v>30.41</v>
      </c>
      <c r="F72" s="506">
        <v>0</v>
      </c>
      <c r="G72" s="506">
        <v>1</v>
      </c>
      <c r="H72" s="506">
        <v>1</v>
      </c>
    </row>
    <row r="73" spans="2:8" x14ac:dyDescent="0.2">
      <c r="B73" s="505" t="s">
        <v>2914</v>
      </c>
      <c r="C73" s="506">
        <v>29.05</v>
      </c>
      <c r="D73" s="506">
        <v>1</v>
      </c>
      <c r="E73" s="506">
        <f t="shared" si="8"/>
        <v>29.05</v>
      </c>
      <c r="F73" s="506">
        <v>0</v>
      </c>
      <c r="G73" s="506">
        <v>1</v>
      </c>
      <c r="H73" s="506">
        <v>1</v>
      </c>
    </row>
    <row r="74" spans="2:8" x14ac:dyDescent="0.2">
      <c r="B74" s="505" t="s">
        <v>2915</v>
      </c>
      <c r="C74" s="506">
        <v>27.14</v>
      </c>
      <c r="D74" s="506">
        <v>2</v>
      </c>
      <c r="E74" s="506">
        <f t="shared" ref="E74:E83" si="9">D74*C74</f>
        <v>54.28</v>
      </c>
      <c r="F74" s="506">
        <v>0</v>
      </c>
      <c r="G74" s="506">
        <v>2</v>
      </c>
      <c r="H74" s="506">
        <v>2</v>
      </c>
    </row>
    <row r="75" spans="2:8" x14ac:dyDescent="0.2">
      <c r="B75" s="505" t="s">
        <v>2908</v>
      </c>
      <c r="C75" s="506">
        <v>27.83</v>
      </c>
      <c r="D75" s="506">
        <v>2</v>
      </c>
      <c r="E75" s="506">
        <f t="shared" si="9"/>
        <v>55.66</v>
      </c>
      <c r="F75" s="506">
        <v>0</v>
      </c>
      <c r="G75" s="506">
        <v>2</v>
      </c>
      <c r="H75" s="506">
        <v>2</v>
      </c>
    </row>
    <row r="76" spans="2:8" x14ac:dyDescent="0.2">
      <c r="B76" s="505" t="s">
        <v>2909</v>
      </c>
      <c r="C76" s="506">
        <v>27.58</v>
      </c>
      <c r="D76" s="506">
        <v>1</v>
      </c>
      <c r="E76" s="506">
        <f t="shared" ref="E76:E77" si="10">D76*C76</f>
        <v>27.58</v>
      </c>
      <c r="F76" s="506">
        <v>0</v>
      </c>
      <c r="G76" s="506">
        <v>1</v>
      </c>
      <c r="H76" s="506">
        <v>1</v>
      </c>
    </row>
    <row r="77" spans="2:8" x14ac:dyDescent="0.2">
      <c r="B77" s="505" t="s">
        <v>2910</v>
      </c>
      <c r="C77" s="506">
        <v>27.86</v>
      </c>
      <c r="D77" s="506">
        <v>1</v>
      </c>
      <c r="E77" s="506">
        <f t="shared" si="10"/>
        <v>27.86</v>
      </c>
      <c r="F77" s="506">
        <v>0</v>
      </c>
      <c r="G77" s="506">
        <v>1</v>
      </c>
      <c r="H77" s="506">
        <v>1</v>
      </c>
    </row>
    <row r="78" spans="2:8" x14ac:dyDescent="0.2">
      <c r="B78" s="505" t="s">
        <v>2916</v>
      </c>
      <c r="C78" s="506">
        <v>39.840000000000003</v>
      </c>
      <c r="D78" s="506">
        <v>1</v>
      </c>
      <c r="E78" s="506">
        <f t="shared" si="9"/>
        <v>39.840000000000003</v>
      </c>
      <c r="F78" s="506">
        <v>0</v>
      </c>
      <c r="G78" s="506">
        <v>1</v>
      </c>
      <c r="H78" s="506">
        <v>1</v>
      </c>
    </row>
    <row r="79" spans="2:8" x14ac:dyDescent="0.2">
      <c r="B79" s="505" t="s">
        <v>2917</v>
      </c>
      <c r="C79" s="506">
        <v>44.56</v>
      </c>
      <c r="D79" s="506">
        <v>1</v>
      </c>
      <c r="E79" s="506">
        <f t="shared" si="9"/>
        <v>44.56</v>
      </c>
      <c r="F79" s="506">
        <v>0</v>
      </c>
      <c r="G79" s="506">
        <v>1</v>
      </c>
      <c r="H79" s="506">
        <v>1</v>
      </c>
    </row>
    <row r="80" spans="2:8" x14ac:dyDescent="0.2">
      <c r="B80" s="507" t="s">
        <v>2918</v>
      </c>
      <c r="C80" s="508">
        <v>38.4</v>
      </c>
      <c r="D80" s="508">
        <v>1</v>
      </c>
      <c r="E80" s="508">
        <f t="shared" si="9"/>
        <v>38.4</v>
      </c>
      <c r="F80" s="508">
        <v>0</v>
      </c>
      <c r="G80" s="508">
        <v>1</v>
      </c>
      <c r="H80" s="508">
        <v>1</v>
      </c>
    </row>
    <row r="81" spans="2:8" x14ac:dyDescent="0.2">
      <c r="B81" s="507" t="s">
        <v>2924</v>
      </c>
      <c r="C81" s="508">
        <v>29.97</v>
      </c>
      <c r="D81" s="508">
        <v>2</v>
      </c>
      <c r="E81" s="508">
        <f t="shared" si="9"/>
        <v>59.94</v>
      </c>
      <c r="F81" s="508">
        <v>0</v>
      </c>
      <c r="G81" s="508">
        <v>2</v>
      </c>
      <c r="H81" s="508">
        <v>2</v>
      </c>
    </row>
    <row r="82" spans="2:8" x14ac:dyDescent="0.2">
      <c r="B82" s="507" t="s">
        <v>2919</v>
      </c>
      <c r="C82" s="508">
        <v>30.41</v>
      </c>
      <c r="D82" s="508">
        <v>1</v>
      </c>
      <c r="E82" s="508">
        <f t="shared" si="9"/>
        <v>30.41</v>
      </c>
      <c r="F82" s="508">
        <v>0</v>
      </c>
      <c r="G82" s="508">
        <v>1</v>
      </c>
      <c r="H82" s="508">
        <v>1</v>
      </c>
    </row>
    <row r="83" spans="2:8" x14ac:dyDescent="0.2">
      <c r="B83" s="507" t="s">
        <v>2925</v>
      </c>
      <c r="C83" s="508">
        <v>35.46</v>
      </c>
      <c r="D83" s="508">
        <v>1</v>
      </c>
      <c r="E83" s="508">
        <f t="shared" si="9"/>
        <v>35.46</v>
      </c>
      <c r="F83" s="508">
        <v>0</v>
      </c>
      <c r="G83" s="508">
        <v>1</v>
      </c>
      <c r="H83" s="508">
        <v>1</v>
      </c>
    </row>
    <row r="84" spans="2:8" x14ac:dyDescent="0.2">
      <c r="B84" s="507" t="s">
        <v>2920</v>
      </c>
      <c r="C84" s="508">
        <v>27.14</v>
      </c>
      <c r="D84" s="508">
        <v>2</v>
      </c>
      <c r="E84" s="508">
        <f t="shared" ref="E84:E91" si="11">D84*C84</f>
        <v>54.28</v>
      </c>
      <c r="F84" s="508">
        <v>0</v>
      </c>
      <c r="G84" s="508">
        <v>2</v>
      </c>
      <c r="H84" s="508">
        <v>2</v>
      </c>
    </row>
    <row r="85" spans="2:8" x14ac:dyDescent="0.2">
      <c r="B85" s="507" t="s">
        <v>2921</v>
      </c>
      <c r="C85" s="508">
        <v>27.83</v>
      </c>
      <c r="D85" s="508">
        <v>2</v>
      </c>
      <c r="E85" s="508">
        <f t="shared" si="11"/>
        <v>55.66</v>
      </c>
      <c r="F85" s="508">
        <v>0</v>
      </c>
      <c r="G85" s="508">
        <v>2</v>
      </c>
      <c r="H85" s="508">
        <v>2</v>
      </c>
    </row>
    <row r="86" spans="2:8" x14ac:dyDescent="0.2">
      <c r="B86" s="507" t="s">
        <v>2922</v>
      </c>
      <c r="C86" s="508">
        <v>27.58</v>
      </c>
      <c r="D86" s="508">
        <v>1</v>
      </c>
      <c r="E86" s="508">
        <f t="shared" si="11"/>
        <v>27.58</v>
      </c>
      <c r="F86" s="508">
        <v>0</v>
      </c>
      <c r="G86" s="508">
        <v>1</v>
      </c>
      <c r="H86" s="508">
        <v>1</v>
      </c>
    </row>
    <row r="87" spans="2:8" x14ac:dyDescent="0.2">
      <c r="B87" s="507" t="s">
        <v>2923</v>
      </c>
      <c r="C87" s="508">
        <v>27.86</v>
      </c>
      <c r="D87" s="508">
        <v>1</v>
      </c>
      <c r="E87" s="508">
        <f t="shared" si="11"/>
        <v>27.86</v>
      </c>
      <c r="F87" s="508">
        <v>0</v>
      </c>
      <c r="G87" s="508">
        <v>1</v>
      </c>
      <c r="H87" s="508">
        <v>1</v>
      </c>
    </row>
    <row r="88" spans="2:8" x14ac:dyDescent="0.2">
      <c r="B88" s="509" t="s">
        <v>2926</v>
      </c>
      <c r="C88" s="510">
        <v>38.4</v>
      </c>
      <c r="D88" s="510">
        <v>4</v>
      </c>
      <c r="E88" s="510">
        <f t="shared" si="11"/>
        <v>153.6</v>
      </c>
      <c r="F88" s="510">
        <v>0</v>
      </c>
      <c r="G88" s="510">
        <v>4</v>
      </c>
      <c r="H88" s="510">
        <v>4</v>
      </c>
    </row>
    <row r="89" spans="2:8" x14ac:dyDescent="0.2">
      <c r="B89" s="509" t="s">
        <v>2927</v>
      </c>
      <c r="C89" s="510">
        <v>29.97</v>
      </c>
      <c r="D89" s="510">
        <v>8</v>
      </c>
      <c r="E89" s="510">
        <f t="shared" si="11"/>
        <v>239.76</v>
      </c>
      <c r="F89" s="510">
        <v>0</v>
      </c>
      <c r="G89" s="510">
        <v>8</v>
      </c>
      <c r="H89" s="510">
        <v>8</v>
      </c>
    </row>
    <row r="90" spans="2:8" x14ac:dyDescent="0.2">
      <c r="B90" s="509" t="s">
        <v>2928</v>
      </c>
      <c r="C90" s="510">
        <v>30.41</v>
      </c>
      <c r="D90" s="510">
        <v>4</v>
      </c>
      <c r="E90" s="510">
        <f t="shared" si="11"/>
        <v>121.64</v>
      </c>
      <c r="F90" s="510">
        <v>0</v>
      </c>
      <c r="G90" s="510">
        <v>4</v>
      </c>
      <c r="H90" s="510">
        <v>4</v>
      </c>
    </row>
    <row r="91" spans="2:8" x14ac:dyDescent="0.2">
      <c r="B91" s="509" t="s">
        <v>2929</v>
      </c>
      <c r="C91" s="510">
        <v>35.46</v>
      </c>
      <c r="D91" s="510">
        <v>4</v>
      </c>
      <c r="E91" s="510">
        <f t="shared" si="11"/>
        <v>141.84</v>
      </c>
      <c r="F91" s="510">
        <v>0</v>
      </c>
      <c r="G91" s="510">
        <v>4</v>
      </c>
      <c r="H91" s="510">
        <v>4</v>
      </c>
    </row>
    <row r="92" spans="2:8" x14ac:dyDescent="0.2">
      <c r="B92" s="509" t="s">
        <v>2930</v>
      </c>
      <c r="C92" s="510">
        <v>27.14</v>
      </c>
      <c r="D92" s="510">
        <v>8</v>
      </c>
      <c r="E92" s="510">
        <f t="shared" ref="E92:E99" si="12">D92*C92</f>
        <v>217.12</v>
      </c>
      <c r="F92" s="510">
        <v>0</v>
      </c>
      <c r="G92" s="510">
        <v>8</v>
      </c>
      <c r="H92" s="510">
        <v>8</v>
      </c>
    </row>
    <row r="93" spans="2:8" x14ac:dyDescent="0.2">
      <c r="B93" s="509" t="s">
        <v>2931</v>
      </c>
      <c r="C93" s="510">
        <v>27.83</v>
      </c>
      <c r="D93" s="510">
        <v>8</v>
      </c>
      <c r="E93" s="510">
        <f t="shared" si="12"/>
        <v>222.64</v>
      </c>
      <c r="F93" s="510">
        <v>0</v>
      </c>
      <c r="G93" s="510">
        <v>8</v>
      </c>
      <c r="H93" s="510">
        <v>8</v>
      </c>
    </row>
    <row r="94" spans="2:8" x14ac:dyDescent="0.2">
      <c r="B94" s="509" t="s">
        <v>2932</v>
      </c>
      <c r="C94" s="510">
        <v>27.58</v>
      </c>
      <c r="D94" s="510">
        <v>4</v>
      </c>
      <c r="E94" s="510">
        <f t="shared" si="12"/>
        <v>110.32</v>
      </c>
      <c r="F94" s="510">
        <v>0</v>
      </c>
      <c r="G94" s="510">
        <v>4</v>
      </c>
      <c r="H94" s="510">
        <v>4</v>
      </c>
    </row>
    <row r="95" spans="2:8" x14ac:dyDescent="0.2">
      <c r="B95" s="509" t="s">
        <v>2933</v>
      </c>
      <c r="C95" s="510">
        <v>27.86</v>
      </c>
      <c r="D95" s="510">
        <v>4</v>
      </c>
      <c r="E95" s="510">
        <f t="shared" si="12"/>
        <v>111.44</v>
      </c>
      <c r="F95" s="510">
        <v>0</v>
      </c>
      <c r="G95" s="510">
        <v>4</v>
      </c>
      <c r="H95" s="510">
        <v>4</v>
      </c>
    </row>
    <row r="96" spans="2:8" x14ac:dyDescent="0.2">
      <c r="B96" s="511" t="s">
        <v>2941</v>
      </c>
      <c r="C96" s="512">
        <v>22.45</v>
      </c>
      <c r="D96" s="512">
        <v>5</v>
      </c>
      <c r="E96" s="512">
        <f t="shared" si="12"/>
        <v>112.25</v>
      </c>
      <c r="F96" s="512">
        <v>0</v>
      </c>
      <c r="G96" s="512">
        <v>5</v>
      </c>
      <c r="H96" s="512">
        <v>5</v>
      </c>
    </row>
    <row r="97" spans="2:8" x14ac:dyDescent="0.2">
      <c r="B97" s="511" t="s">
        <v>2934</v>
      </c>
      <c r="C97" s="512">
        <v>29.97</v>
      </c>
      <c r="D97" s="512">
        <v>10</v>
      </c>
      <c r="E97" s="512">
        <f t="shared" si="12"/>
        <v>299.7</v>
      </c>
      <c r="F97" s="512">
        <v>0</v>
      </c>
      <c r="G97" s="512">
        <v>10</v>
      </c>
      <c r="H97" s="512">
        <v>10</v>
      </c>
    </row>
    <row r="98" spans="2:8" x14ac:dyDescent="0.2">
      <c r="B98" s="511" t="s">
        <v>2935</v>
      </c>
      <c r="C98" s="512">
        <v>30.41</v>
      </c>
      <c r="D98" s="512">
        <v>5</v>
      </c>
      <c r="E98" s="512">
        <f t="shared" si="12"/>
        <v>152.05000000000001</v>
      </c>
      <c r="F98" s="512">
        <v>0</v>
      </c>
      <c r="G98" s="512">
        <v>5</v>
      </c>
      <c r="H98" s="512">
        <v>5</v>
      </c>
    </row>
    <row r="99" spans="2:8" x14ac:dyDescent="0.2">
      <c r="B99" s="511" t="s">
        <v>2936</v>
      </c>
      <c r="C99" s="512">
        <v>35.46</v>
      </c>
      <c r="D99" s="512">
        <v>5</v>
      </c>
      <c r="E99" s="512">
        <f t="shared" si="12"/>
        <v>177.3</v>
      </c>
      <c r="F99" s="512">
        <v>0</v>
      </c>
      <c r="G99" s="512">
        <v>5</v>
      </c>
      <c r="H99" s="512">
        <v>5</v>
      </c>
    </row>
    <row r="100" spans="2:8" x14ac:dyDescent="0.2">
      <c r="B100" s="511" t="s">
        <v>2937</v>
      </c>
      <c r="C100" s="512">
        <v>27.14</v>
      </c>
      <c r="D100" s="512">
        <v>10</v>
      </c>
      <c r="E100" s="512">
        <f t="shared" ref="E100:E107" si="13">D100*C100</f>
        <v>271.39999999999998</v>
      </c>
      <c r="F100" s="512">
        <v>0</v>
      </c>
      <c r="G100" s="512">
        <v>10</v>
      </c>
      <c r="H100" s="512">
        <v>10</v>
      </c>
    </row>
    <row r="101" spans="2:8" x14ac:dyDescent="0.2">
      <c r="B101" s="511" t="s">
        <v>2938</v>
      </c>
      <c r="C101" s="512">
        <v>27.83</v>
      </c>
      <c r="D101" s="512">
        <v>10</v>
      </c>
      <c r="E101" s="512">
        <f t="shared" si="13"/>
        <v>278.29999999999995</v>
      </c>
      <c r="F101" s="512">
        <v>0</v>
      </c>
      <c r="G101" s="512">
        <v>10</v>
      </c>
      <c r="H101" s="512">
        <v>10</v>
      </c>
    </row>
    <row r="102" spans="2:8" x14ac:dyDescent="0.2">
      <c r="B102" s="511" t="s">
        <v>2939</v>
      </c>
      <c r="C102" s="512">
        <v>27.58</v>
      </c>
      <c r="D102" s="512">
        <v>5</v>
      </c>
      <c r="E102" s="512">
        <f t="shared" si="13"/>
        <v>137.89999999999998</v>
      </c>
      <c r="F102" s="512">
        <v>0</v>
      </c>
      <c r="G102" s="512">
        <v>5</v>
      </c>
      <c r="H102" s="512">
        <v>5</v>
      </c>
    </row>
    <row r="103" spans="2:8" x14ac:dyDescent="0.2">
      <c r="B103" s="511" t="s">
        <v>2940</v>
      </c>
      <c r="C103" s="512">
        <v>27.86</v>
      </c>
      <c r="D103" s="512">
        <v>5</v>
      </c>
      <c r="E103" s="512">
        <f t="shared" si="13"/>
        <v>139.30000000000001</v>
      </c>
      <c r="F103" s="512">
        <v>0</v>
      </c>
      <c r="G103" s="512">
        <v>5</v>
      </c>
      <c r="H103" s="512">
        <v>5</v>
      </c>
    </row>
    <row r="104" spans="2:8" x14ac:dyDescent="0.2">
      <c r="B104" s="513" t="s">
        <v>2942</v>
      </c>
      <c r="C104" s="514">
        <v>38.4</v>
      </c>
      <c r="D104" s="514">
        <v>1</v>
      </c>
      <c r="E104" s="514">
        <f t="shared" si="13"/>
        <v>38.4</v>
      </c>
      <c r="F104" s="514">
        <v>0</v>
      </c>
      <c r="G104" s="514">
        <v>1</v>
      </c>
      <c r="H104" s="514">
        <v>1</v>
      </c>
    </row>
    <row r="105" spans="2:8" x14ac:dyDescent="0.2">
      <c r="B105" s="513" t="s">
        <v>2943</v>
      </c>
      <c r="C105" s="514">
        <v>29.97</v>
      </c>
      <c r="D105" s="514">
        <v>2</v>
      </c>
      <c r="E105" s="514">
        <f t="shared" si="13"/>
        <v>59.94</v>
      </c>
      <c r="F105" s="514">
        <v>0</v>
      </c>
      <c r="G105" s="514">
        <v>2</v>
      </c>
      <c r="H105" s="514">
        <v>2</v>
      </c>
    </row>
    <row r="106" spans="2:8" x14ac:dyDescent="0.2">
      <c r="B106" s="513" t="s">
        <v>2944</v>
      </c>
      <c r="C106" s="514">
        <v>30.41</v>
      </c>
      <c r="D106" s="514">
        <v>1</v>
      </c>
      <c r="E106" s="514">
        <f t="shared" si="13"/>
        <v>30.41</v>
      </c>
      <c r="F106" s="514">
        <v>0</v>
      </c>
      <c r="G106" s="514">
        <v>1</v>
      </c>
      <c r="H106" s="514">
        <v>1</v>
      </c>
    </row>
    <row r="107" spans="2:8" x14ac:dyDescent="0.2">
      <c r="B107" s="513" t="s">
        <v>2945</v>
      </c>
      <c r="C107" s="514">
        <v>26.99</v>
      </c>
      <c r="D107" s="514">
        <v>1</v>
      </c>
      <c r="E107" s="514">
        <f t="shared" si="13"/>
        <v>26.99</v>
      </c>
      <c r="F107" s="514">
        <v>0</v>
      </c>
      <c r="G107" s="514">
        <v>1</v>
      </c>
      <c r="H107" s="514">
        <v>1</v>
      </c>
    </row>
    <row r="108" spans="2:8" x14ac:dyDescent="0.2">
      <c r="B108" s="503" t="s">
        <v>2948</v>
      </c>
      <c r="C108" s="504">
        <v>22.45</v>
      </c>
      <c r="D108" s="504">
        <v>2</v>
      </c>
      <c r="E108" s="504">
        <f t="shared" ref="E108:E115" si="14">D108*C108</f>
        <v>44.9</v>
      </c>
      <c r="F108" s="504">
        <v>0</v>
      </c>
      <c r="G108" s="504">
        <v>2</v>
      </c>
      <c r="H108" s="504">
        <v>2</v>
      </c>
    </row>
    <row r="109" spans="2:8" x14ac:dyDescent="0.2">
      <c r="B109" s="503" t="s">
        <v>2946</v>
      </c>
      <c r="C109" s="504">
        <v>29.97</v>
      </c>
      <c r="D109" s="504">
        <v>4</v>
      </c>
      <c r="E109" s="504">
        <f t="shared" si="14"/>
        <v>119.88</v>
      </c>
      <c r="F109" s="504">
        <v>0</v>
      </c>
      <c r="G109" s="504">
        <v>4</v>
      </c>
      <c r="H109" s="504">
        <v>4</v>
      </c>
    </row>
    <row r="110" spans="2:8" x14ac:dyDescent="0.2">
      <c r="B110" s="503" t="s">
        <v>2947</v>
      </c>
      <c r="C110" s="504">
        <v>30.41</v>
      </c>
      <c r="D110" s="504">
        <v>2</v>
      </c>
      <c r="E110" s="504">
        <f t="shared" si="14"/>
        <v>60.82</v>
      </c>
      <c r="F110" s="504">
        <v>0</v>
      </c>
      <c r="G110" s="504">
        <v>2</v>
      </c>
      <c r="H110" s="504">
        <v>2</v>
      </c>
    </row>
    <row r="111" spans="2:8" x14ac:dyDescent="0.2">
      <c r="B111" s="503" t="s">
        <v>2949</v>
      </c>
      <c r="C111" s="504">
        <v>29.72</v>
      </c>
      <c r="D111" s="504">
        <v>2</v>
      </c>
      <c r="E111" s="504">
        <f t="shared" si="14"/>
        <v>59.44</v>
      </c>
      <c r="F111" s="504">
        <v>0</v>
      </c>
      <c r="G111" s="504">
        <v>2</v>
      </c>
      <c r="H111" s="504">
        <v>2</v>
      </c>
    </row>
    <row r="112" spans="2:8" x14ac:dyDescent="0.2">
      <c r="B112" s="513" t="s">
        <v>2950</v>
      </c>
      <c r="C112" s="514">
        <v>38.4</v>
      </c>
      <c r="D112" s="514">
        <v>1</v>
      </c>
      <c r="E112" s="514">
        <f t="shared" si="14"/>
        <v>38.4</v>
      </c>
      <c r="F112" s="514">
        <v>0</v>
      </c>
      <c r="G112" s="514">
        <v>1</v>
      </c>
      <c r="H112" s="514">
        <v>1</v>
      </c>
    </row>
    <row r="113" spans="2:8" x14ac:dyDescent="0.2">
      <c r="B113" s="513" t="s">
        <v>2951</v>
      </c>
      <c r="C113" s="514">
        <v>29.97</v>
      </c>
      <c r="D113" s="514">
        <v>2</v>
      </c>
      <c r="E113" s="514">
        <f t="shared" si="14"/>
        <v>59.94</v>
      </c>
      <c r="F113" s="514">
        <v>0</v>
      </c>
      <c r="G113" s="514">
        <v>2</v>
      </c>
      <c r="H113" s="514">
        <v>2</v>
      </c>
    </row>
    <row r="114" spans="2:8" x14ac:dyDescent="0.2">
      <c r="B114" s="513" t="s">
        <v>2952</v>
      </c>
      <c r="C114" s="514">
        <v>30.41</v>
      </c>
      <c r="D114" s="514">
        <v>1</v>
      </c>
      <c r="E114" s="514">
        <f t="shared" si="14"/>
        <v>30.41</v>
      </c>
      <c r="F114" s="514">
        <v>0</v>
      </c>
      <c r="G114" s="514">
        <v>1</v>
      </c>
      <c r="H114" s="514">
        <v>1</v>
      </c>
    </row>
    <row r="115" spans="2:8" x14ac:dyDescent="0.2">
      <c r="B115" s="513" t="s">
        <v>2953</v>
      </c>
      <c r="C115" s="514">
        <v>37.61</v>
      </c>
      <c r="D115" s="514">
        <v>1</v>
      </c>
      <c r="E115" s="514">
        <f t="shared" si="14"/>
        <v>37.61</v>
      </c>
      <c r="F115" s="514">
        <v>0</v>
      </c>
      <c r="G115" s="514">
        <v>1</v>
      </c>
      <c r="H115" s="514">
        <v>1</v>
      </c>
    </row>
    <row r="116" spans="2:8" x14ac:dyDescent="0.2">
      <c r="E116" s="79">
        <f>SUM(E66:E115)</f>
        <v>4392.5999999999985</v>
      </c>
      <c r="F116" s="79">
        <f>SUM(F66:F115)</f>
        <v>0</v>
      </c>
      <c r="G116" s="79">
        <f>SUM(G66:G115)</f>
        <v>149</v>
      </c>
      <c r="H116" s="79">
        <f>SUM(H66:H115)</f>
        <v>149</v>
      </c>
    </row>
    <row r="117" spans="2:8" x14ac:dyDescent="0.2">
      <c r="H117" s="79">
        <f>E116/H116</f>
        <v>29.480536912751667</v>
      </c>
    </row>
  </sheetData>
  <mergeCells count="32">
    <mergeCell ref="C22:D22"/>
    <mergeCell ref="C31:D31"/>
    <mergeCell ref="C23:D23"/>
    <mergeCell ref="C24:D24"/>
    <mergeCell ref="C25:D25"/>
    <mergeCell ref="C26:D26"/>
    <mergeCell ref="C27:D27"/>
    <mergeCell ref="C28:D28"/>
    <mergeCell ref="C8:D8"/>
    <mergeCell ref="C16:D16"/>
    <mergeCell ref="C17:D17"/>
    <mergeCell ref="A1:B3"/>
    <mergeCell ref="A4:J4"/>
    <mergeCell ref="C6:D6"/>
    <mergeCell ref="G6:J6"/>
    <mergeCell ref="C7:D7"/>
    <mergeCell ref="G35:J35"/>
    <mergeCell ref="C18:D18"/>
    <mergeCell ref="C19:D19"/>
    <mergeCell ref="C20:D20"/>
    <mergeCell ref="C9:D9"/>
    <mergeCell ref="C10:D10"/>
    <mergeCell ref="C11:D11"/>
    <mergeCell ref="C12:D12"/>
    <mergeCell ref="C13:D13"/>
    <mergeCell ref="C15:D15"/>
    <mergeCell ref="C14:D14"/>
    <mergeCell ref="B35:E35"/>
    <mergeCell ref="C21:D21"/>
    <mergeCell ref="C32:D32"/>
    <mergeCell ref="C29:D29"/>
    <mergeCell ref="C30:D30"/>
  </mergeCells>
  <phoneticPr fontId="52" type="noConversion"/>
  <pageMargins left="0.511811024" right="0.511811024" top="0.78740157499999996" bottom="0.78740157499999996" header="0.31496062000000002" footer="0.31496062000000002"/>
  <pageSetup paperSize="9" scale="42" orientation="portrait" r:id="rId1"/>
  <colBreaks count="1" manualBreakCount="1">
    <brk id="11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3782D-17E1-4662-8D25-ABD179257FF9}">
  <sheetPr>
    <tabColor rgb="FFF43800"/>
  </sheetPr>
  <dimension ref="A1:M55"/>
  <sheetViews>
    <sheetView showGridLines="0" workbookViewId="0">
      <selection activeCell="E2" sqref="E2"/>
    </sheetView>
  </sheetViews>
  <sheetFormatPr defaultRowHeight="12.75" x14ac:dyDescent="0.2"/>
  <cols>
    <col min="1" max="1" width="40" bestFit="1" customWidth="1"/>
    <col min="2" max="2" width="13.5703125" bestFit="1" customWidth="1"/>
    <col min="3" max="3" width="13.7109375" bestFit="1" customWidth="1"/>
    <col min="4" max="4" width="9.5703125" bestFit="1" customWidth="1"/>
    <col min="5" max="5" width="16.42578125" bestFit="1" customWidth="1"/>
  </cols>
  <sheetData>
    <row r="1" spans="1:13" x14ac:dyDescent="0.2">
      <c r="A1" s="100" t="s">
        <v>112</v>
      </c>
      <c r="B1" s="101" t="s">
        <v>134</v>
      </c>
      <c r="C1" s="101" t="s">
        <v>135</v>
      </c>
      <c r="D1" s="102" t="s">
        <v>136</v>
      </c>
    </row>
    <row r="2" spans="1:13" x14ac:dyDescent="0.2">
      <c r="A2" s="103" t="s">
        <v>137</v>
      </c>
      <c r="B2" s="86"/>
      <c r="C2" s="87">
        <f t="shared" ref="C2:C27" ca="1" si="0">B2/$B$28</f>
        <v>0</v>
      </c>
      <c r="D2" s="104">
        <f>B2/'Obra '!$E$9</f>
        <v>0</v>
      </c>
      <c r="E2" s="499">
        <f>'[4]MÉDIAS CARTESIAN'!$C13-B2</f>
        <v>2406266.5591025772</v>
      </c>
    </row>
    <row r="3" spans="1:13" x14ac:dyDescent="0.2">
      <c r="A3" s="105" t="s">
        <v>35</v>
      </c>
      <c r="B3" s="89">
        <f ca="1">SUMIF(Ger_Executivo!Q:Q,A3,Ger_Executivo!N:N)</f>
        <v>0</v>
      </c>
      <c r="C3" s="88">
        <f t="shared" ca="1" si="0"/>
        <v>0</v>
      </c>
      <c r="D3" s="106">
        <f ca="1">B3/'Obra '!$E$9</f>
        <v>0</v>
      </c>
      <c r="E3" s="499">
        <f ca="1">'[4]MÉDIAS CARTESIAN'!$C14-B3</f>
        <v>303296.04204582702</v>
      </c>
    </row>
    <row r="4" spans="1:13" x14ac:dyDescent="0.2">
      <c r="A4" s="103" t="s">
        <v>37</v>
      </c>
      <c r="B4" s="86">
        <f ca="1">SUMIF(Ger_Executivo!Q:Q,A4,Ger_Executivo!N:N)</f>
        <v>0</v>
      </c>
      <c r="C4" s="87">
        <f t="shared" ca="1" si="0"/>
        <v>0</v>
      </c>
      <c r="D4" s="104">
        <f ca="1">B4/'Obra '!$E$9</f>
        <v>0</v>
      </c>
      <c r="E4" s="499">
        <f ca="1">'[4]MÉDIAS CARTESIAN'!$C15-B4</f>
        <v>1290666.0975563843</v>
      </c>
    </row>
    <row r="5" spans="1:13" x14ac:dyDescent="0.2">
      <c r="A5" s="105" t="s">
        <v>2443</v>
      </c>
      <c r="B5" s="89">
        <f ca="1">SUMIF(Ger_Executivo!Q:Q,A5,Ger_Executivo!N:N)</f>
        <v>0</v>
      </c>
      <c r="C5" s="88">
        <f ca="1">B5/$B$28</f>
        <v>0</v>
      </c>
      <c r="D5" s="106">
        <f ca="1">B5/'Obra '!$E$9</f>
        <v>0</v>
      </c>
      <c r="E5" s="499">
        <f ca="1">'[4]MÉDIAS CARTESIAN'!$C18-B5</f>
        <v>168316.35645321046</v>
      </c>
    </row>
    <row r="6" spans="1:13" x14ac:dyDescent="0.2">
      <c r="A6" s="103" t="s">
        <v>51</v>
      </c>
      <c r="B6" s="86">
        <f ca="1">SUMIF(Ger_Executivo!Q:Q,A6,Ger_Executivo!N:N)</f>
        <v>0</v>
      </c>
      <c r="C6" s="87">
        <f t="shared" ca="1" si="0"/>
        <v>0</v>
      </c>
      <c r="D6" s="104">
        <f ca="1">B6/'Obra '!$E$9</f>
        <v>0</v>
      </c>
      <c r="E6" s="499">
        <f ca="1">'[4]MÉDIAS CARTESIAN'!$C19-B6</f>
        <v>3502945.7792254123</v>
      </c>
    </row>
    <row r="7" spans="1:13" x14ac:dyDescent="0.2">
      <c r="A7" s="105" t="s">
        <v>138</v>
      </c>
      <c r="B7" s="89">
        <f ca="1">SUMIF(Ger_Executivo!Q:Q,A7,Ger_Executivo!N:N)</f>
        <v>1994418.7802429749</v>
      </c>
      <c r="C7" s="88">
        <f t="shared" ca="1" si="0"/>
        <v>0.11798874100099688</v>
      </c>
      <c r="D7" s="106">
        <f ca="1">B7/'Obra '!$E$9</f>
        <v>287.4469120708082</v>
      </c>
      <c r="E7" s="499">
        <f ca="1">'[4]MÉDIAS CARTESIAN'!$C20-B7</f>
        <v>-720693.13325509056</v>
      </c>
    </row>
    <row r="8" spans="1:13" x14ac:dyDescent="0.2">
      <c r="A8" s="103" t="s">
        <v>139</v>
      </c>
      <c r="B8" s="86">
        <f ca="1">SUMIF(Ger_Executivo!Q:Q,A8,Ger_Executivo!N:N)</f>
        <v>0</v>
      </c>
      <c r="C8" s="87">
        <f t="shared" ca="1" si="0"/>
        <v>0</v>
      </c>
      <c r="D8" s="104">
        <f ca="1">B8/'Obra '!$E$9</f>
        <v>0</v>
      </c>
      <c r="E8" s="499">
        <f ca="1">'[4]MÉDIAS CARTESIAN'!$C25+'[4]MÉDIAS CARTESIAN'!$C$24+'[4]MÉDIAS CARTESIAN'!$C$23+'[4]MÉDIAS CARTESIAN'!$C$22+'[4]MÉDIAS CARTESIAN'!$C$21-B8</f>
        <v>1861372.5443575468</v>
      </c>
    </row>
    <row r="9" spans="1:13" x14ac:dyDescent="0.2">
      <c r="A9" s="105" t="s">
        <v>95</v>
      </c>
      <c r="B9" s="89">
        <f ca="1">SUMIF(Ger_Executivo!Q:Q,A9,Ger_Executivo!N:N)</f>
        <v>0</v>
      </c>
      <c r="C9" s="88">
        <f t="shared" ca="1" si="0"/>
        <v>0</v>
      </c>
      <c r="D9" s="106">
        <f ca="1">B9/'Obra '!$E$9</f>
        <v>0</v>
      </c>
      <c r="E9" s="499">
        <f ca="1">'[4]MÉDIAS CARTESIAN'!$C26-B9</f>
        <v>623694.80670044059</v>
      </c>
    </row>
    <row r="10" spans="1:13" x14ac:dyDescent="0.2">
      <c r="A10" s="103" t="s">
        <v>92</v>
      </c>
      <c r="B10" s="86">
        <f ca="1">SUMIF(Ger_Executivo!Q:Q,A10,Ger_Executivo!N:N)</f>
        <v>0</v>
      </c>
      <c r="C10" s="87">
        <f t="shared" ca="1" si="0"/>
        <v>0</v>
      </c>
      <c r="D10" s="104">
        <f ca="1">B10/'Obra '!$E$9</f>
        <v>0</v>
      </c>
      <c r="E10" s="499">
        <f ca="1">'[4]MÉDIAS CARTESIAN'!$C27-B10</f>
        <v>504732.66000000003</v>
      </c>
      <c r="G10" s="478"/>
      <c r="H10" s="478"/>
      <c r="I10" s="478"/>
      <c r="J10" s="478"/>
      <c r="K10" s="478"/>
      <c r="L10" s="478"/>
      <c r="M10" s="478"/>
    </row>
    <row r="11" spans="1:13" x14ac:dyDescent="0.2">
      <c r="A11" s="105" t="s">
        <v>1276</v>
      </c>
      <c r="B11" s="89">
        <f ca="1">SUMIF(Ger_Executivo!Q:Q,A11,Ger_Executivo!N:N)</f>
        <v>0</v>
      </c>
      <c r="C11" s="88">
        <f ca="1">B11/$B$28</f>
        <v>0</v>
      </c>
      <c r="D11" s="106">
        <f ca="1">B11/'Obra '!$E$9</f>
        <v>0</v>
      </c>
      <c r="E11" s="499">
        <f ca="1">'[4]MÉDIAS CARTESIAN'!$C28-B11</f>
        <v>323409.51722404372</v>
      </c>
      <c r="G11" s="478"/>
      <c r="H11" s="478"/>
      <c r="I11" s="478"/>
      <c r="J11" s="478"/>
      <c r="K11" s="478"/>
      <c r="L11" s="478"/>
      <c r="M11" s="478"/>
    </row>
    <row r="12" spans="1:13" x14ac:dyDescent="0.2">
      <c r="A12" s="103" t="s">
        <v>1858</v>
      </c>
      <c r="B12" s="86">
        <f ca="1">SUMIF(Ger_Executivo!Q:Q,A12,Ger_Executivo!N:N)</f>
        <v>669260.84233966656</v>
      </c>
      <c r="C12" s="87">
        <f t="shared" ca="1" si="0"/>
        <v>3.9593111021198765E-2</v>
      </c>
      <c r="D12" s="104">
        <f ca="1">B12/'Obra '!$E$9</f>
        <v>96.457656940539025</v>
      </c>
      <c r="E12" s="499">
        <f ca="1">'[4]MÉDIAS CARTESIAN'!$C29-B12</f>
        <v>-215508.09593874979</v>
      </c>
      <c r="G12" s="478"/>
      <c r="H12" s="478"/>
      <c r="I12" s="478"/>
      <c r="J12" s="478"/>
      <c r="K12" s="478"/>
      <c r="L12" s="478"/>
      <c r="M12" s="478"/>
    </row>
    <row r="13" spans="1:13" x14ac:dyDescent="0.2">
      <c r="A13" s="105" t="s">
        <v>1859</v>
      </c>
      <c r="B13" s="89">
        <f ca="1">SUMIF(Ger_Executivo!Q:Q,A13,Ger_Executivo!N:N)</f>
        <v>428169.70534521661</v>
      </c>
      <c r="C13" s="88">
        <f t="shared" ca="1" si="0"/>
        <v>2.5330289189462653E-2</v>
      </c>
      <c r="D13" s="106">
        <f ca="1">B13/'Obra '!$E$9</f>
        <v>61.710239024502314</v>
      </c>
      <c r="E13" s="499">
        <f ca="1">'[4]MÉDIAS CARTESIAN'!$C30-B13</f>
        <v>-129346.74827596662</v>
      </c>
      <c r="G13" s="478"/>
      <c r="H13" s="478"/>
      <c r="I13" s="478"/>
      <c r="J13" s="478"/>
      <c r="K13" s="478"/>
      <c r="L13" s="478"/>
      <c r="M13" s="478"/>
    </row>
    <row r="14" spans="1:13" x14ac:dyDescent="0.2">
      <c r="A14" s="103" t="s">
        <v>192</v>
      </c>
      <c r="B14" s="86">
        <f ca="1">SUMIF(Ger_Executivo!Q:Q,A14,Ger_Executivo!N:N)</f>
        <v>11353.315020833334</v>
      </c>
      <c r="C14" s="87">
        <f t="shared" ca="1" si="0"/>
        <v>6.7165600262380012E-4</v>
      </c>
      <c r="D14" s="104">
        <f ca="1">B14/'Obra '!$E$9</f>
        <v>1.6363039582429546</v>
      </c>
      <c r="E14" s="499">
        <f ca="1">'[4]MÉDIAS CARTESIAN'!$C31-B14</f>
        <v>54584.250072166666</v>
      </c>
      <c r="G14" s="478"/>
      <c r="H14" s="478"/>
      <c r="I14" s="478"/>
      <c r="J14" s="478"/>
      <c r="K14" s="478"/>
      <c r="L14" s="478"/>
      <c r="M14" s="478"/>
    </row>
    <row r="15" spans="1:13" x14ac:dyDescent="0.2">
      <c r="A15" s="105" t="s">
        <v>148</v>
      </c>
      <c r="B15" s="89">
        <f ca="1">SUMIF(Ger_Executivo!Q:Q,A15,Ger_Executivo!N:N)</f>
        <v>703992.08160644444</v>
      </c>
      <c r="C15" s="88">
        <f t="shared" ca="1" si="0"/>
        <v>4.1647792432688617E-2</v>
      </c>
      <c r="D15" s="106">
        <f ca="1">B15/'Obra '!$E$9</f>
        <v>101.46331953182862</v>
      </c>
      <c r="E15" s="499">
        <f ca="1">'[4]MÉDIAS CARTESIAN'!$C32-B15</f>
        <v>-115353.8762135338</v>
      </c>
      <c r="G15" s="478"/>
      <c r="H15" s="478"/>
      <c r="I15" s="478"/>
      <c r="J15" s="478"/>
      <c r="K15" s="478"/>
      <c r="L15" s="478"/>
      <c r="M15" s="478"/>
    </row>
    <row r="16" spans="1:13" x14ac:dyDescent="0.2">
      <c r="A16" s="103" t="s">
        <v>176</v>
      </c>
      <c r="B16" s="86">
        <f ca="1">SUMIF(Ger_Executivo!Q:Q,A16,Ger_Executivo!N:N)</f>
        <v>895801.70160000003</v>
      </c>
      <c r="C16" s="87">
        <f t="shared" ca="1" si="0"/>
        <v>5.2995146257827662E-2</v>
      </c>
      <c r="D16" s="104">
        <f ca="1">B16/'Obra '!$E$9</f>
        <v>129.10800655483476</v>
      </c>
      <c r="E16" s="499">
        <f ca="1">'[4]MÉDIAS CARTESIAN'!$C33-B16</f>
        <v>-501510.48055000009</v>
      </c>
      <c r="G16" s="478"/>
      <c r="H16" s="478"/>
      <c r="I16" s="478"/>
      <c r="J16" s="478"/>
      <c r="K16" s="478"/>
      <c r="L16" s="478"/>
      <c r="M16" s="478"/>
    </row>
    <row r="17" spans="1:13" x14ac:dyDescent="0.2">
      <c r="A17" s="105" t="s">
        <v>140</v>
      </c>
      <c r="B17" s="89">
        <f ca="1">SUMIF(Ger_Executivo!Q:Q,A17,Ger_Executivo!N:N)</f>
        <v>792519.17866799992</v>
      </c>
      <c r="C17" s="88">
        <f t="shared" ca="1" si="0"/>
        <v>4.6885007821070329E-2</v>
      </c>
      <c r="D17" s="106">
        <f ca="1">B17/'Obra '!$E$9</f>
        <v>114.22234533775125</v>
      </c>
      <c r="E17" s="499">
        <f ca="1">'[4]MÉDIAS CARTESIAN'!$C34-B17</f>
        <v>205885.81715400016</v>
      </c>
      <c r="G17" s="478"/>
      <c r="H17" s="478"/>
      <c r="I17" s="478"/>
      <c r="J17" s="478"/>
      <c r="K17" s="478"/>
      <c r="L17" s="478"/>
      <c r="M17" s="478"/>
    </row>
    <row r="18" spans="1:13" x14ac:dyDescent="0.2">
      <c r="A18" s="103" t="s">
        <v>141</v>
      </c>
      <c r="B18" s="86">
        <f ca="1">SUMIF(Ger_Executivo!Q:Q,A18,Ger_Executivo!N:N)</f>
        <v>684336.11783767992</v>
      </c>
      <c r="C18" s="87">
        <f t="shared" ca="1" si="0"/>
        <v>4.048495620129533E-2</v>
      </c>
      <c r="D18" s="104">
        <f ca="1">B18/'Obra '!$E$9</f>
        <v>98.630390888618237</v>
      </c>
      <c r="E18" s="499">
        <f ca="1">'[4]MÉDIAS CARTESIAN'!$C35-B18</f>
        <v>-204418.79783767991</v>
      </c>
      <c r="I18" s="478"/>
      <c r="J18" s="478"/>
      <c r="K18" s="478"/>
      <c r="L18" s="478"/>
      <c r="M18" s="478"/>
    </row>
    <row r="19" spans="1:13" x14ac:dyDescent="0.2">
      <c r="A19" s="105" t="s">
        <v>58</v>
      </c>
      <c r="B19" s="89">
        <f ca="1">SUMIF(Ger_Executivo!Q:Q,A19,Ger_Executivo!N:N)</f>
        <v>1340430.2790264201</v>
      </c>
      <c r="C19" s="88">
        <f t="shared" ca="1" si="0"/>
        <v>7.9299133456151361E-2</v>
      </c>
      <c r="D19" s="106">
        <f ca="1">B19/'Obra '!$E$9</f>
        <v>193.19039129054724</v>
      </c>
      <c r="E19" s="499">
        <f ca="1">'[4]MÉDIAS CARTESIAN'!$C36-B19</f>
        <v>-515533.56703133334</v>
      </c>
      <c r="I19" s="478"/>
      <c r="J19" s="478"/>
      <c r="K19" s="478"/>
      <c r="L19" s="478"/>
      <c r="M19" s="478"/>
    </row>
    <row r="20" spans="1:13" x14ac:dyDescent="0.2">
      <c r="A20" s="103" t="s">
        <v>1862</v>
      </c>
      <c r="B20" s="86">
        <f ca="1">SUMIF(Ger_Executivo!Q:Q,A20,Ger_Executivo!N:N)</f>
        <v>715371.87800000003</v>
      </c>
      <c r="C20" s="87">
        <f t="shared" ca="1" si="0"/>
        <v>4.232101505906187E-2</v>
      </c>
      <c r="D20" s="104">
        <f ca="1">B20/'Obra '!$E$9</f>
        <v>103.10344013524751</v>
      </c>
      <c r="E20" s="499">
        <f ca="1">'[4]MÉDIAS CARTESIAN'!$C37-B20</f>
        <v>-143553.59149123996</v>
      </c>
      <c r="I20" s="478"/>
      <c r="J20" s="478"/>
      <c r="K20" s="478"/>
      <c r="L20" s="478"/>
      <c r="M20" s="478"/>
    </row>
    <row r="21" spans="1:13" x14ac:dyDescent="0.2">
      <c r="A21" s="105" t="s">
        <v>2356</v>
      </c>
      <c r="B21" s="89">
        <f ca="1">SUMIF(Ger_Executivo!Q:Q,A21,Ger_Executivo!N:N)</f>
        <v>631885.40769118676</v>
      </c>
      <c r="C21" s="88">
        <f t="shared" ca="1" si="0"/>
        <v>3.738200043488453E-2</v>
      </c>
      <c r="D21" s="106">
        <f ca="1">B21/'Obra '!$E$9</f>
        <v>91.070897959207642</v>
      </c>
      <c r="E21" s="499">
        <f ca="1">'[4]MÉDIAS CARTESIAN'!$C38-B21</f>
        <v>-79748.569707392715</v>
      </c>
      <c r="I21" s="478"/>
      <c r="J21" s="478"/>
      <c r="K21" s="478"/>
      <c r="L21" s="478"/>
      <c r="M21" s="478"/>
    </row>
    <row r="22" spans="1:13" x14ac:dyDescent="0.2">
      <c r="A22" s="103" t="s">
        <v>1861</v>
      </c>
      <c r="B22" s="86">
        <f ca="1">SUMIF(Ger_Executivo!Q:Q,A22,Ger_Executivo!N:N)</f>
        <v>550830.38543000002</v>
      </c>
      <c r="C22" s="87">
        <f t="shared" ca="1" si="0"/>
        <v>3.2586828967816769E-2</v>
      </c>
      <c r="D22" s="104">
        <f ca="1">B22/'Obra '!$E$9</f>
        <v>79.388789824440536</v>
      </c>
      <c r="E22" s="499">
        <f ca="1">'[4]MÉDIAS CARTESIAN'!$C39-B22</f>
        <v>-378053.87046594173</v>
      </c>
      <c r="I22" s="478"/>
      <c r="J22" s="478"/>
      <c r="K22" s="478"/>
      <c r="L22" s="478"/>
      <c r="M22" s="478"/>
    </row>
    <row r="23" spans="1:13" x14ac:dyDescent="0.2">
      <c r="A23" s="105" t="s">
        <v>60</v>
      </c>
      <c r="B23" s="89">
        <f ca="1">SUMIF(Ger_Executivo!Q:Q,A23,Ger_Executivo!N:N)</f>
        <v>3691455.7949999995</v>
      </c>
      <c r="C23" s="88">
        <f t="shared" ca="1" si="0"/>
        <v>0.21838453690243631</v>
      </c>
      <c r="D23" s="106">
        <f ca="1">B23/'Obra '!$E$9</f>
        <v>532.03348255142748</v>
      </c>
      <c r="E23" s="499">
        <f ca="1">'[4]MÉDIAS CARTESIAN'!$C40-B23</f>
        <v>-1153761.9730653907</v>
      </c>
      <c r="I23" s="478"/>
      <c r="J23" s="478"/>
      <c r="K23" s="478"/>
      <c r="L23" s="478"/>
      <c r="M23" s="478"/>
    </row>
    <row r="24" spans="1:13" x14ac:dyDescent="0.2">
      <c r="A24" s="103" t="s">
        <v>65</v>
      </c>
      <c r="B24" s="86">
        <f ca="1">SUMIF(Ger_Executivo!Q:Q,A24,Ger_Executivo!N:N)</f>
        <v>326798.11480000004</v>
      </c>
      <c r="C24" s="87">
        <f t="shared" ca="1" si="0"/>
        <v>1.9333200483628504E-2</v>
      </c>
      <c r="D24" s="104">
        <f ca="1">B24/'Obra '!$E$9</f>
        <v>47.099992188389528</v>
      </c>
      <c r="E24" s="499">
        <f ca="1">'[4]MÉDIAS CARTESIAN'!$C41-B24</f>
        <v>73102.082599999907</v>
      </c>
      <c r="I24" s="478"/>
      <c r="J24" s="478"/>
      <c r="K24" s="478"/>
      <c r="L24" s="478"/>
      <c r="M24" s="478"/>
    </row>
    <row r="25" spans="1:13" x14ac:dyDescent="0.2">
      <c r="A25" s="105" t="s">
        <v>17</v>
      </c>
      <c r="B25" s="89">
        <f>SUMIF(Ger_Executivo!Q:Q,A25,Ger_Executivo!N:N)</f>
        <v>0</v>
      </c>
      <c r="C25" s="88">
        <f t="shared" ca="1" si="0"/>
        <v>0</v>
      </c>
      <c r="D25" s="106">
        <f>B25/'Obra '!$E$9</f>
        <v>0</v>
      </c>
      <c r="E25" s="499">
        <f>'[4]MÉDIAS CARTESIAN'!$C42-B25</f>
        <v>193104.08330568002</v>
      </c>
      <c r="I25" s="478"/>
      <c r="J25" s="478"/>
      <c r="K25" s="478"/>
      <c r="L25" s="478"/>
      <c r="M25" s="478"/>
    </row>
    <row r="26" spans="1:13" x14ac:dyDescent="0.2">
      <c r="A26" s="103" t="s">
        <v>142</v>
      </c>
      <c r="B26" s="86">
        <f ca="1">SUMIF(Ger_Executivo!Q:Q,A26,Ger_Executivo!N:N)</f>
        <v>3135402.8078880655</v>
      </c>
      <c r="C26" s="87">
        <f t="shared" ca="1" si="0"/>
        <v>0.18548874163160167</v>
      </c>
      <c r="D26" s="104">
        <f ca="1">B26/'Obra '!$E$9</f>
        <v>451.89198184132994</v>
      </c>
      <c r="E26" s="499">
        <f ca="1">'[4]MÉDIAS CARTESIAN'!$C43-B26</f>
        <v>-1886778.0315380653</v>
      </c>
      <c r="I26" s="478"/>
      <c r="J26" s="478"/>
      <c r="K26" s="478"/>
      <c r="L26" s="478"/>
      <c r="M26" s="478"/>
    </row>
    <row r="27" spans="1:13" x14ac:dyDescent="0.2">
      <c r="A27" s="105" t="s">
        <v>193</v>
      </c>
      <c r="B27" s="89">
        <f ca="1">SUMIF(Ger_Executivo!Q:Q,A27,Ger_Executivo!N:N)</f>
        <v>331440.5278099298</v>
      </c>
      <c r="C27" s="88">
        <f t="shared" ca="1" si="0"/>
        <v>1.9607843137254905E-2</v>
      </c>
      <c r="D27" s="106">
        <f ca="1">B27/'Obra '!$E$9</f>
        <v>47.769083001954314</v>
      </c>
      <c r="E27" s="499">
        <f ca="1">'[4]MÉDIAS CARTESIAN'!$C44-B27</f>
        <v>61216.986026486498</v>
      </c>
      <c r="I27" s="478"/>
      <c r="J27" s="478"/>
      <c r="K27" s="478"/>
      <c r="L27" s="478"/>
      <c r="M27" s="478"/>
    </row>
    <row r="28" spans="1:13" x14ac:dyDescent="0.2">
      <c r="A28" s="107" t="s">
        <v>8</v>
      </c>
      <c r="B28" s="90">
        <f ca="1">SUM(B2:B27)</f>
        <v>16903466.918306418</v>
      </c>
      <c r="C28" s="91">
        <f ca="1">SUM(C2:C27)</f>
        <v>1</v>
      </c>
      <c r="D28" s="108">
        <f ca="1">SUM(D2:D27)</f>
        <v>2436.2232330996694</v>
      </c>
      <c r="I28" s="478"/>
      <c r="J28" s="478"/>
      <c r="K28" s="478"/>
      <c r="L28" s="478"/>
      <c r="M28" s="478"/>
    </row>
    <row r="29" spans="1:13" ht="13.5" thickBot="1" x14ac:dyDescent="0.25">
      <c r="A29" s="110" t="s">
        <v>143</v>
      </c>
      <c r="B29" s="111">
        <f>'Obra '!C61</f>
        <v>2481.34</v>
      </c>
      <c r="C29" s="112">
        <f>'Obra '!D61</f>
        <v>45931</v>
      </c>
      <c r="D29" s="113" t="str">
        <f ca="1">ROUNDUP(+D28/B29,2)&amp;" CUB"</f>
        <v>0,99 CUB</v>
      </c>
      <c r="E29" s="499"/>
      <c r="I29" s="478"/>
      <c r="J29" s="478"/>
      <c r="K29" s="478"/>
      <c r="L29" s="478"/>
      <c r="M29" s="478"/>
    </row>
    <row r="30" spans="1:13" x14ac:dyDescent="0.2">
      <c r="I30" s="478"/>
      <c r="J30" s="478"/>
      <c r="K30" s="478"/>
      <c r="L30" s="478"/>
      <c r="M30" s="478"/>
    </row>
    <row r="31" spans="1:13" x14ac:dyDescent="0.2">
      <c r="I31" s="478"/>
      <c r="J31" s="478"/>
      <c r="K31" s="478"/>
      <c r="L31" s="478"/>
      <c r="M31" s="478"/>
    </row>
    <row r="32" spans="1:13" x14ac:dyDescent="0.2">
      <c r="I32" s="478"/>
      <c r="J32" s="478"/>
      <c r="K32" s="478"/>
      <c r="L32" s="478"/>
      <c r="M32" s="478"/>
    </row>
    <row r="33" spans="1:13" ht="13.5" thickBot="1" x14ac:dyDescent="0.25">
      <c r="A33" s="110" t="s">
        <v>138</v>
      </c>
      <c r="B33" s="110"/>
      <c r="I33" s="478"/>
      <c r="J33" s="478"/>
      <c r="K33" s="478"/>
      <c r="L33" s="478"/>
      <c r="M33" s="478"/>
    </row>
    <row r="34" spans="1:13" x14ac:dyDescent="0.2">
      <c r="A34" s="103" t="s">
        <v>138</v>
      </c>
      <c r="B34" s="103">
        <f>8065.3318*2</f>
        <v>16130.6636</v>
      </c>
      <c r="I34" s="478"/>
      <c r="J34" s="478"/>
      <c r="K34" s="478"/>
      <c r="L34" s="478"/>
      <c r="M34" s="478"/>
    </row>
    <row r="35" spans="1:13" x14ac:dyDescent="0.2">
      <c r="A35" s="105" t="s">
        <v>6934</v>
      </c>
      <c r="B35" s="105">
        <f>2807.94+822.07</f>
        <v>3630.01</v>
      </c>
      <c r="I35" s="478"/>
      <c r="J35" s="478"/>
      <c r="K35" s="478"/>
      <c r="L35" s="478"/>
      <c r="M35" s="478"/>
    </row>
    <row r="36" spans="1:13" x14ac:dyDescent="0.2">
      <c r="B36" s="90">
        <f>B34+B35</f>
        <v>19760.673600000002</v>
      </c>
      <c r="I36" s="478"/>
      <c r="J36" s="478"/>
      <c r="K36" s="478"/>
      <c r="L36" s="478"/>
      <c r="M36" s="478"/>
    </row>
    <row r="37" spans="1:13" x14ac:dyDescent="0.2">
      <c r="I37" s="478"/>
      <c r="J37" s="478"/>
      <c r="K37" s="478"/>
      <c r="L37" s="478"/>
      <c r="M37" s="478"/>
    </row>
    <row r="38" spans="1:13" ht="13.5" thickBot="1" x14ac:dyDescent="0.25">
      <c r="A38" s="110" t="s">
        <v>6945</v>
      </c>
      <c r="B38" s="110"/>
    </row>
    <row r="39" spans="1:13" x14ac:dyDescent="0.2">
      <c r="A39" s="103" t="s">
        <v>6940</v>
      </c>
      <c r="B39" s="103">
        <v>253.75</v>
      </c>
    </row>
    <row r="40" spans="1:13" x14ac:dyDescent="0.2">
      <c r="A40" s="105" t="s">
        <v>6938</v>
      </c>
      <c r="B40" s="105">
        <v>2077.54</v>
      </c>
    </row>
    <row r="41" spans="1:13" x14ac:dyDescent="0.2">
      <c r="A41" s="103" t="s">
        <v>6935</v>
      </c>
      <c r="B41" s="103">
        <v>66.91</v>
      </c>
    </row>
    <row r="42" spans="1:13" x14ac:dyDescent="0.2">
      <c r="A42" s="105" t="s">
        <v>6937</v>
      </c>
      <c r="B42" s="105">
        <v>12478.29</v>
      </c>
      <c r="C42" t="s">
        <v>6949</v>
      </c>
    </row>
    <row r="43" spans="1:13" x14ac:dyDescent="0.2">
      <c r="A43" s="573"/>
      <c r="B43" s="90">
        <f>SUM(B39:B42)</f>
        <v>14876.490000000002</v>
      </c>
    </row>
    <row r="44" spans="1:13" ht="13.5" thickBot="1" x14ac:dyDescent="0.25">
      <c r="A44" s="110" t="s">
        <v>6946</v>
      </c>
      <c r="B44" s="110"/>
    </row>
    <row r="45" spans="1:13" x14ac:dyDescent="0.2">
      <c r="A45" s="103" t="s">
        <v>6936</v>
      </c>
      <c r="B45" s="103">
        <v>6418.9960000000001</v>
      </c>
    </row>
    <row r="46" spans="1:13" x14ac:dyDescent="0.2">
      <c r="A46" s="105" t="s">
        <v>6941</v>
      </c>
      <c r="B46" s="105">
        <v>576.58000000000004</v>
      </c>
    </row>
    <row r="47" spans="1:13" x14ac:dyDescent="0.2">
      <c r="A47" s="103"/>
      <c r="B47" s="90">
        <f>B45+B46</f>
        <v>6995.576</v>
      </c>
      <c r="C47" s="499">
        <f>B47+B43</f>
        <v>21872.066000000003</v>
      </c>
    </row>
    <row r="48" spans="1:13" ht="13.5" thickBot="1" x14ac:dyDescent="0.25">
      <c r="A48" s="110" t="s">
        <v>6947</v>
      </c>
      <c r="B48" s="110"/>
    </row>
    <row r="49" spans="1:6" x14ac:dyDescent="0.2">
      <c r="A49" s="103" t="s">
        <v>6939</v>
      </c>
      <c r="B49" s="103">
        <v>16892.103800000001</v>
      </c>
    </row>
    <row r="50" spans="1:6" x14ac:dyDescent="0.2">
      <c r="A50" s="105" t="s">
        <v>6942</v>
      </c>
      <c r="B50" s="105">
        <v>3346.4578000000001</v>
      </c>
    </row>
    <row r="51" spans="1:6" x14ac:dyDescent="0.2">
      <c r="A51" s="103"/>
      <c r="B51" s="90">
        <f>B49+B50</f>
        <v>20238.561600000001</v>
      </c>
      <c r="F51">
        <f>69.39/2</f>
        <v>34.695</v>
      </c>
    </row>
    <row r="52" spans="1:6" ht="13.5" thickBot="1" x14ac:dyDescent="0.25">
      <c r="A52" s="110" t="s">
        <v>6948</v>
      </c>
      <c r="B52" s="110"/>
      <c r="F52">
        <f>151.11/5</f>
        <v>30.222000000000001</v>
      </c>
    </row>
    <row r="53" spans="1:6" x14ac:dyDescent="0.2">
      <c r="A53" s="103" t="s">
        <v>6943</v>
      </c>
      <c r="B53" s="103">
        <v>6835.9717000000001</v>
      </c>
    </row>
    <row r="54" spans="1:6" x14ac:dyDescent="0.2">
      <c r="A54" s="105" t="s">
        <v>6944</v>
      </c>
      <c r="B54" s="105">
        <v>587.99999999999989</v>
      </c>
    </row>
    <row r="55" spans="1:6" x14ac:dyDescent="0.2">
      <c r="A55" s="103"/>
      <c r="B55" s="90">
        <f>B53+B54</f>
        <v>7423.9717000000001</v>
      </c>
      <c r="C55" s="499">
        <f>B55+B51</f>
        <v>27662.533300000003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1663E-6A9C-44C0-BB46-773702905F77}">
  <sheetPr>
    <tabColor rgb="FFFFFF00"/>
    <outlinePr summaryBelow="0"/>
  </sheetPr>
  <dimension ref="A1:J3085"/>
  <sheetViews>
    <sheetView showGridLines="0" zoomScale="130" zoomScaleNormal="130" workbookViewId="0">
      <pane ySplit="1" topLeftCell="A2966" activePane="bottomLeft" state="frozen"/>
      <selection activeCell="B525" sqref="B525"/>
      <selection pane="bottomLeft" activeCell="G2988" sqref="G2988:G2999"/>
    </sheetView>
  </sheetViews>
  <sheetFormatPr defaultRowHeight="15" outlineLevelRow="2" x14ac:dyDescent="0.25"/>
  <cols>
    <col min="1" max="1" width="2.140625" style="168" customWidth="1"/>
    <col min="2" max="2" width="4.28515625" style="168" customWidth="1"/>
    <col min="3" max="3" width="7.42578125" style="168" customWidth="1"/>
    <col min="4" max="4" width="70.5703125" style="192" customWidth="1"/>
    <col min="5" max="5" width="9.140625" style="169" customWidth="1"/>
    <col min="6" max="6" width="10.140625" style="170" customWidth="1"/>
    <col min="7" max="8" width="15.140625" style="193" bestFit="1" customWidth="1"/>
    <col min="9" max="9" width="17.140625" style="193" customWidth="1"/>
    <col min="10" max="16384" width="9.140625" style="168"/>
  </cols>
  <sheetData>
    <row r="1" spans="1:9" x14ac:dyDescent="0.25">
      <c r="A1" s="168" t="s">
        <v>332</v>
      </c>
      <c r="B1" s="168" t="s">
        <v>18</v>
      </c>
      <c r="C1" s="168" t="s">
        <v>0</v>
      </c>
      <c r="D1" s="169" t="s">
        <v>0</v>
      </c>
      <c r="E1" s="169" t="s">
        <v>333</v>
      </c>
      <c r="F1" s="170" t="s">
        <v>20</v>
      </c>
      <c r="G1" s="171" t="s">
        <v>334</v>
      </c>
      <c r="H1" s="171" t="s">
        <v>335</v>
      </c>
      <c r="I1" s="171" t="s">
        <v>104</v>
      </c>
    </row>
    <row r="2" spans="1:9" collapsed="1" x14ac:dyDescent="0.25">
      <c r="A2" s="172">
        <f t="shared" ref="A2:A65" si="0">COUNTIFS($D$2:$D$3085,D2,$B$2:$B$3085,B2)</f>
        <v>1</v>
      </c>
      <c r="B2" s="172" t="s">
        <v>107</v>
      </c>
      <c r="C2" s="172"/>
      <c r="D2" s="172" t="s">
        <v>336</v>
      </c>
      <c r="E2" s="173"/>
      <c r="F2" s="172"/>
      <c r="G2" s="174" t="str">
        <f>IF(B2="insumo",_xlfn.XLOOKUP($D2,Insumos!$B$1:$B$764,Insumos!$D$1:$D$764),"")</f>
        <v/>
      </c>
      <c r="H2" s="174" t="str" cm="1">
        <f t="array" ref="H2">_xlfn.IFS(B2="Serviço",SUMIFS(H3:$H$3085,C3:$C$3085,$C2),B2="Insumo",F2*G2,B2="Etapa","")</f>
        <v/>
      </c>
      <c r="I2" s="174"/>
    </row>
    <row r="3" spans="1:9" hidden="1" outlineLevel="1" collapsed="1" x14ac:dyDescent="0.25">
      <c r="A3" s="175">
        <f t="shared" si="0"/>
        <v>1</v>
      </c>
      <c r="B3" s="175" t="s">
        <v>109</v>
      </c>
      <c r="C3" s="175" t="str">
        <f t="shared" ref="C3:C65" si="1">IF(B3="serviço",D3,C2)</f>
        <v>Central de aço</v>
      </c>
      <c r="D3" s="175" t="s">
        <v>284</v>
      </c>
      <c r="E3" s="176" t="s">
        <v>13</v>
      </c>
      <c r="F3" s="175"/>
      <c r="G3" s="177" t="str">
        <f>IF(B3="insumo",_xlfn.XLOOKUP($D3,Insumos!$B$1:$B$764,Insumos!$D$1:$D$764),"")</f>
        <v/>
      </c>
      <c r="H3" s="177" cm="1">
        <f t="array" ref="H3">_xlfn.IFS(B3="Serviço",SUMIFS(H4:$H$3085,C4:$C$3085,$C3),B3="Insumo",F3*G3,B3="Etapa","")</f>
        <v>118.10449999999999</v>
      </c>
      <c r="I3" s="178" t="s">
        <v>195</v>
      </c>
    </row>
    <row r="4" spans="1:9" hidden="1" outlineLevel="2" x14ac:dyDescent="0.25">
      <c r="A4" s="175">
        <f t="shared" si="0"/>
        <v>3</v>
      </c>
      <c r="B4" s="175" t="s">
        <v>327</v>
      </c>
      <c r="C4" s="175" t="str">
        <f t="shared" si="1"/>
        <v>Central de aço</v>
      </c>
      <c r="D4" s="175" t="s">
        <v>337</v>
      </c>
      <c r="E4" s="176" t="str">
        <f>_xlfn.XLOOKUP(D4,Insumos!$B$1:$B$764,Insumos!$C$1:$C$764)</f>
        <v>M2</v>
      </c>
      <c r="F4" s="179">
        <v>1</v>
      </c>
      <c r="G4" s="177">
        <f>IF(B4="insumo",_xlfn.XLOOKUP($D4,Insumos!$B$1:$B$764,Insumos!$D$1:$D$764),"")</f>
        <v>1.25</v>
      </c>
      <c r="H4" s="177" cm="1">
        <f t="array" ref="H4">_xlfn.IFS(B4="Serviço",SUMIFS(H5:$H$3085,C5:$C$3085,$C4),B4="Insumo",F4*G4,B4="Etapa","")</f>
        <v>1.25</v>
      </c>
      <c r="I4" s="178"/>
    </row>
    <row r="5" spans="1:9" hidden="1" outlineLevel="2" x14ac:dyDescent="0.25">
      <c r="A5" s="175">
        <f t="shared" si="0"/>
        <v>3</v>
      </c>
      <c r="B5" s="175" t="s">
        <v>327</v>
      </c>
      <c r="C5" s="175" t="str">
        <f t="shared" si="1"/>
        <v>Central de aço</v>
      </c>
      <c r="D5" s="175" t="s">
        <v>338</v>
      </c>
      <c r="E5" s="176" t="str">
        <f>_xlfn.XLOOKUP(D5,Insumos!$B$1:$B$764,Insumos!$C$1:$C$764)</f>
        <v>M2</v>
      </c>
      <c r="F5" s="179">
        <v>1</v>
      </c>
      <c r="G5" s="177">
        <f>IF(B5="insumo",_xlfn.XLOOKUP($D5,Insumos!$B$1:$B$764,Insumos!$D$1:$D$764),"")</f>
        <v>31</v>
      </c>
      <c r="H5" s="177" cm="1">
        <f t="array" ref="H5">_xlfn.IFS(B5="Serviço",SUMIFS(H6:$H$3085,C6:$C$3085,$C5),B5="Insumo",F5*G5,B5="Etapa","")</f>
        <v>31</v>
      </c>
      <c r="I5" s="178"/>
    </row>
    <row r="6" spans="1:9" hidden="1" outlineLevel="2" x14ac:dyDescent="0.25">
      <c r="A6" s="175">
        <f t="shared" si="0"/>
        <v>9</v>
      </c>
      <c r="B6" s="175" t="s">
        <v>327</v>
      </c>
      <c r="C6" s="175" t="str">
        <f t="shared" si="1"/>
        <v>Central de aço</v>
      </c>
      <c r="D6" s="175" t="s">
        <v>339</v>
      </c>
      <c r="E6" s="176" t="str">
        <f>_xlfn.XLOOKUP(D6,Insumos!$B$1:$B$764,Insumos!$C$1:$C$764)</f>
        <v>M3</v>
      </c>
      <c r="F6" s="179">
        <v>7.3999999999999996E-2</v>
      </c>
      <c r="G6" s="177">
        <f>IF(B6="insumo",_xlfn.XLOOKUP($D6,Insumos!$B$1:$B$764,Insumos!$D$1:$D$764),"")</f>
        <v>490</v>
      </c>
      <c r="H6" s="177" cm="1">
        <f t="array" ref="H6">_xlfn.IFS(B6="Serviço",SUMIFS(H7:$H$3085,C7:$C$3085,$C6),B6="Insumo",F6*G6,B6="Etapa","")</f>
        <v>36.26</v>
      </c>
      <c r="I6" s="178"/>
    </row>
    <row r="7" spans="1:9" hidden="1" outlineLevel="2" x14ac:dyDescent="0.25">
      <c r="A7" s="175">
        <f t="shared" si="0"/>
        <v>3</v>
      </c>
      <c r="B7" s="175" t="s">
        <v>327</v>
      </c>
      <c r="C7" s="175" t="str">
        <f t="shared" si="1"/>
        <v>Central de aço</v>
      </c>
      <c r="D7" s="175" t="s">
        <v>340</v>
      </c>
      <c r="E7" s="176" t="str">
        <f>_xlfn.XLOOKUP(D7,Insumos!$B$1:$B$764,Insumos!$C$1:$C$764)</f>
        <v>KG</v>
      </c>
      <c r="F7" s="179">
        <v>0.15</v>
      </c>
      <c r="G7" s="177">
        <f>IF(B7="insumo",_xlfn.XLOOKUP($D7,Insumos!$B$1:$B$764,Insumos!$D$1:$D$764),"")</f>
        <v>10.029999999999999</v>
      </c>
      <c r="H7" s="177" cm="1">
        <f t="array" ref="H7">_xlfn.IFS(B7="Serviço",SUMIFS(H8:$H$3085,C8:$C$3085,$C7),B7="Insumo",F7*G7,B7="Etapa","")</f>
        <v>1.5044999999999999</v>
      </c>
      <c r="I7" s="178"/>
    </row>
    <row r="8" spans="1:9" hidden="1" outlineLevel="2" x14ac:dyDescent="0.25">
      <c r="A8" s="175">
        <f t="shared" si="0"/>
        <v>3</v>
      </c>
      <c r="B8" s="175" t="s">
        <v>327</v>
      </c>
      <c r="C8" s="175" t="str">
        <f t="shared" si="1"/>
        <v>Central de aço</v>
      </c>
      <c r="D8" s="175" t="s">
        <v>341</v>
      </c>
      <c r="E8" s="176" t="str">
        <f>_xlfn.XLOOKUP(D8,Insumos!$B$1:$B$764,Insumos!$C$1:$C$764)</f>
        <v>UN</v>
      </c>
      <c r="F8" s="179">
        <v>9</v>
      </c>
      <c r="G8" s="177">
        <f>IF(B8="insumo",_xlfn.XLOOKUP($D8,Insumos!$B$1:$B$764,Insumos!$D$1:$D$764),"")</f>
        <v>2.95</v>
      </c>
      <c r="H8" s="177" cm="1">
        <f t="array" ref="H8">_xlfn.IFS(B8="Serviço",SUMIFS(H9:$H$3085,C9:$C$3085,$C8),B8="Insumo",F8*G8,B8="Etapa","")</f>
        <v>26.55</v>
      </c>
      <c r="I8" s="178"/>
    </row>
    <row r="9" spans="1:9" hidden="1" outlineLevel="2" x14ac:dyDescent="0.25">
      <c r="A9" s="175">
        <f t="shared" si="0"/>
        <v>3</v>
      </c>
      <c r="B9" s="175" t="s">
        <v>327</v>
      </c>
      <c r="C9" s="175" t="str">
        <f t="shared" si="1"/>
        <v>Central de aço</v>
      </c>
      <c r="D9" s="175" t="s">
        <v>342</v>
      </c>
      <c r="E9" s="176" t="str">
        <f>_xlfn.XLOOKUP(D9,Insumos!$B$1:$B$764,Insumos!$C$1:$C$764)</f>
        <v>KG</v>
      </c>
      <c r="F9" s="179">
        <v>24</v>
      </c>
      <c r="G9" s="177">
        <f>IF(B9="insumo",_xlfn.XLOOKUP($D9,Insumos!$B$1:$B$764,Insumos!$D$1:$D$764),"")</f>
        <v>0.46</v>
      </c>
      <c r="H9" s="177" cm="1">
        <f t="array" ref="H9">_xlfn.IFS(B9="Serviço",SUMIFS(H10:$H$3085,C10:$C$3085,$C9),B9="Insumo",F9*G9,B9="Etapa","")</f>
        <v>11.040000000000001</v>
      </c>
      <c r="I9" s="178"/>
    </row>
    <row r="10" spans="1:9" hidden="1" outlineLevel="2" x14ac:dyDescent="0.25">
      <c r="A10" s="175">
        <f t="shared" si="0"/>
        <v>3</v>
      </c>
      <c r="B10" s="175" t="s">
        <v>327</v>
      </c>
      <c r="C10" s="175" t="str">
        <f t="shared" si="1"/>
        <v>Central de aço</v>
      </c>
      <c r="D10" s="175" t="s">
        <v>343</v>
      </c>
      <c r="E10" s="176" t="str">
        <f>_xlfn.XLOOKUP(D10,Insumos!$B$1:$B$764,Insumos!$C$1:$C$764)</f>
        <v>M2</v>
      </c>
      <c r="F10" s="179">
        <v>1</v>
      </c>
      <c r="G10" s="177">
        <f>IF(B10="insumo",_xlfn.XLOOKUP($D10,Insumos!$B$1:$B$764,Insumos!$D$1:$D$764),"")</f>
        <v>10.5</v>
      </c>
      <c r="H10" s="177" cm="1">
        <f t="array" ref="H10">_xlfn.IFS(B10="Serviço",SUMIFS(H11:$H$3085,C11:$C$3085,$C10),B10="Insumo",F10*G10,B10="Etapa","")</f>
        <v>10.5</v>
      </c>
      <c r="I10" s="178"/>
    </row>
    <row r="11" spans="1:9" hidden="1" outlineLevel="1" collapsed="1" x14ac:dyDescent="0.25">
      <c r="A11" s="175">
        <f t="shared" si="0"/>
        <v>1</v>
      </c>
      <c r="B11" s="175" t="s">
        <v>109</v>
      </c>
      <c r="C11" s="175" t="str">
        <f t="shared" si="1"/>
        <v>Central de fôrmas</v>
      </c>
      <c r="D11" s="175" t="s">
        <v>285</v>
      </c>
      <c r="E11" s="176" t="s">
        <v>13</v>
      </c>
      <c r="F11" s="175"/>
      <c r="G11" s="177" t="str">
        <f>IF(B11="insumo",_xlfn.XLOOKUP($D11,Insumos!$B$1:$B$764,Insumos!$D$1:$D$764),"")</f>
        <v/>
      </c>
      <c r="H11" s="177" cm="1">
        <f t="array" ref="H11">_xlfn.IFS(B11="Serviço",SUMIFS(H12:$H$3085,C12:$C$3085,$C11),B11="Insumo",F11*G11,B11="Etapa","")</f>
        <v>118.10449999999999</v>
      </c>
      <c r="I11" s="178" t="s">
        <v>195</v>
      </c>
    </row>
    <row r="12" spans="1:9" hidden="1" outlineLevel="2" x14ac:dyDescent="0.25">
      <c r="A12" s="175">
        <f t="shared" si="0"/>
        <v>3</v>
      </c>
      <c r="B12" s="175" t="s">
        <v>327</v>
      </c>
      <c r="C12" s="175" t="str">
        <f t="shared" si="1"/>
        <v>Central de fôrmas</v>
      </c>
      <c r="D12" s="175" t="s">
        <v>337</v>
      </c>
      <c r="E12" s="176" t="str">
        <f>_xlfn.XLOOKUP(D12,Insumos!$B$1:$B$764,Insumos!$C$1:$C$764)</f>
        <v>M2</v>
      </c>
      <c r="F12" s="179">
        <v>1</v>
      </c>
      <c r="G12" s="177">
        <f>IF(B12="insumo",_xlfn.XLOOKUP($D12,Insumos!$B$1:$B$764,Insumos!$D$1:$D$764),"")</f>
        <v>1.25</v>
      </c>
      <c r="H12" s="177" cm="1">
        <f t="array" ref="H12">_xlfn.IFS(B12="Serviço",SUMIFS(H13:$H$3085,C13:$C$3085,$C12),B12="Insumo",F12*G12,B12="Etapa","")</f>
        <v>1.25</v>
      </c>
      <c r="I12" s="178"/>
    </row>
    <row r="13" spans="1:9" hidden="1" outlineLevel="2" x14ac:dyDescent="0.25">
      <c r="A13" s="175">
        <f t="shared" si="0"/>
        <v>3</v>
      </c>
      <c r="B13" s="175" t="s">
        <v>327</v>
      </c>
      <c r="C13" s="175" t="str">
        <f t="shared" si="1"/>
        <v>Central de fôrmas</v>
      </c>
      <c r="D13" s="175" t="s">
        <v>338</v>
      </c>
      <c r="E13" s="176" t="str">
        <f>_xlfn.XLOOKUP(D13,Insumos!$B$1:$B$764,Insumos!$C$1:$C$764)</f>
        <v>M2</v>
      </c>
      <c r="F13" s="179">
        <v>1</v>
      </c>
      <c r="G13" s="177">
        <f>IF(B13="insumo",_xlfn.XLOOKUP($D13,Insumos!$B$1:$B$764,Insumos!$D$1:$D$764),"")</f>
        <v>31</v>
      </c>
      <c r="H13" s="177" cm="1">
        <f t="array" ref="H13">_xlfn.IFS(B13="Serviço",SUMIFS(H14:$H$3085,C14:$C$3085,$C13),B13="Insumo",F13*G13,B13="Etapa","")</f>
        <v>31</v>
      </c>
      <c r="I13" s="178"/>
    </row>
    <row r="14" spans="1:9" hidden="1" outlineLevel="2" x14ac:dyDescent="0.25">
      <c r="A14" s="175">
        <f t="shared" si="0"/>
        <v>9</v>
      </c>
      <c r="B14" s="175" t="s">
        <v>327</v>
      </c>
      <c r="C14" s="175" t="str">
        <f t="shared" si="1"/>
        <v>Central de fôrmas</v>
      </c>
      <c r="D14" s="175" t="s">
        <v>339</v>
      </c>
      <c r="E14" s="176" t="str">
        <f>_xlfn.XLOOKUP(D14,Insumos!$B$1:$B$764,Insumos!$C$1:$C$764)</f>
        <v>M3</v>
      </c>
      <c r="F14" s="179">
        <v>7.3999999999999996E-2</v>
      </c>
      <c r="G14" s="177">
        <f>IF(B14="insumo",_xlfn.XLOOKUP($D14,Insumos!$B$1:$B$764,Insumos!$D$1:$D$764),"")</f>
        <v>490</v>
      </c>
      <c r="H14" s="177" cm="1">
        <f t="array" ref="H14">_xlfn.IFS(B14="Serviço",SUMIFS(H15:$H$3085,C15:$C$3085,$C14),B14="Insumo",F14*G14,B14="Etapa","")</f>
        <v>36.26</v>
      </c>
      <c r="I14" s="178"/>
    </row>
    <row r="15" spans="1:9" hidden="1" outlineLevel="2" x14ac:dyDescent="0.25">
      <c r="A15" s="175">
        <f t="shared" si="0"/>
        <v>3</v>
      </c>
      <c r="B15" s="175" t="s">
        <v>327</v>
      </c>
      <c r="C15" s="175" t="str">
        <f t="shared" si="1"/>
        <v>Central de fôrmas</v>
      </c>
      <c r="D15" s="175" t="s">
        <v>340</v>
      </c>
      <c r="E15" s="176" t="str">
        <f>_xlfn.XLOOKUP(D15,Insumos!$B$1:$B$764,Insumos!$C$1:$C$764)</f>
        <v>KG</v>
      </c>
      <c r="F15" s="179">
        <v>0.15</v>
      </c>
      <c r="G15" s="177">
        <f>IF(B15="insumo",_xlfn.XLOOKUP($D15,Insumos!$B$1:$B$764,Insumos!$D$1:$D$764),"")</f>
        <v>10.029999999999999</v>
      </c>
      <c r="H15" s="177" cm="1">
        <f t="array" ref="H15">_xlfn.IFS(B15="Serviço",SUMIFS(H16:$H$3085,C16:$C$3085,$C15),B15="Insumo",F15*G15,B15="Etapa","")</f>
        <v>1.5044999999999999</v>
      </c>
      <c r="I15" s="178"/>
    </row>
    <row r="16" spans="1:9" hidden="1" outlineLevel="2" x14ac:dyDescent="0.25">
      <c r="A16" s="175">
        <f t="shared" si="0"/>
        <v>3</v>
      </c>
      <c r="B16" s="175" t="s">
        <v>327</v>
      </c>
      <c r="C16" s="175" t="str">
        <f t="shared" si="1"/>
        <v>Central de fôrmas</v>
      </c>
      <c r="D16" s="175" t="s">
        <v>341</v>
      </c>
      <c r="E16" s="176" t="str">
        <f>_xlfn.XLOOKUP(D16,Insumos!$B$1:$B$764,Insumos!$C$1:$C$764)</f>
        <v>UN</v>
      </c>
      <c r="F16" s="179">
        <v>9</v>
      </c>
      <c r="G16" s="177">
        <f>IF(B16="insumo",_xlfn.XLOOKUP($D16,Insumos!$B$1:$B$764,Insumos!$D$1:$D$764),"")</f>
        <v>2.95</v>
      </c>
      <c r="H16" s="177" cm="1">
        <f t="array" ref="H16">_xlfn.IFS(B16="Serviço",SUMIFS(H17:$H$3085,C17:$C$3085,$C16),B16="Insumo",F16*G16,B16="Etapa","")</f>
        <v>26.55</v>
      </c>
      <c r="I16" s="178"/>
    </row>
    <row r="17" spans="1:9" hidden="1" outlineLevel="2" x14ac:dyDescent="0.25">
      <c r="A17" s="175">
        <f t="shared" si="0"/>
        <v>3</v>
      </c>
      <c r="B17" s="175" t="s">
        <v>327</v>
      </c>
      <c r="C17" s="175" t="str">
        <f t="shared" si="1"/>
        <v>Central de fôrmas</v>
      </c>
      <c r="D17" s="175" t="s">
        <v>342</v>
      </c>
      <c r="E17" s="176" t="str">
        <f>_xlfn.XLOOKUP(D17,Insumos!$B$1:$B$764,Insumos!$C$1:$C$764)</f>
        <v>KG</v>
      </c>
      <c r="F17" s="179">
        <v>24</v>
      </c>
      <c r="G17" s="177">
        <f>IF(B17="insumo",_xlfn.XLOOKUP($D17,Insumos!$B$1:$B$764,Insumos!$D$1:$D$764),"")</f>
        <v>0.46</v>
      </c>
      <c r="H17" s="177" cm="1">
        <f t="array" ref="H17">_xlfn.IFS(B17="Serviço",SUMIFS(H18:$H$3085,C18:$C$3085,$C17),B17="Insumo",F17*G17,B17="Etapa","")</f>
        <v>11.040000000000001</v>
      </c>
      <c r="I17" s="178"/>
    </row>
    <row r="18" spans="1:9" hidden="1" outlineLevel="2" x14ac:dyDescent="0.25">
      <c r="A18" s="175">
        <f t="shared" si="0"/>
        <v>3</v>
      </c>
      <c r="B18" s="175" t="s">
        <v>327</v>
      </c>
      <c r="C18" s="175" t="str">
        <f t="shared" si="1"/>
        <v>Central de fôrmas</v>
      </c>
      <c r="D18" s="175" t="s">
        <v>343</v>
      </c>
      <c r="E18" s="176" t="str">
        <f>_xlfn.XLOOKUP(D18,Insumos!$B$1:$B$764,Insumos!$C$1:$C$764)</f>
        <v>M2</v>
      </c>
      <c r="F18" s="179">
        <v>1</v>
      </c>
      <c r="G18" s="177">
        <f>IF(B18="insumo",_xlfn.XLOOKUP($D18,Insumos!$B$1:$B$764,Insumos!$D$1:$D$764),"")</f>
        <v>10.5</v>
      </c>
      <c r="H18" s="177" cm="1">
        <f t="array" ref="H18">_xlfn.IFS(B18="Serviço",SUMIFS(H19:$H$3085,C19:$C$3085,$C18),B18="Insumo",F18*G18,B18="Etapa","")</f>
        <v>10.5</v>
      </c>
      <c r="I18" s="178"/>
    </row>
    <row r="19" spans="1:9" hidden="1" outlineLevel="1" collapsed="1" x14ac:dyDescent="0.25">
      <c r="A19" s="175">
        <f t="shared" si="0"/>
        <v>1</v>
      </c>
      <c r="B19" s="175" t="s">
        <v>109</v>
      </c>
      <c r="C19" s="175" t="str">
        <f t="shared" si="1"/>
        <v>Central de Argamassa</v>
      </c>
      <c r="D19" s="175" t="s">
        <v>286</v>
      </c>
      <c r="E19" s="176" t="s">
        <v>13</v>
      </c>
      <c r="F19" s="175"/>
      <c r="G19" s="177" t="str">
        <f>IF(B19="insumo",_xlfn.XLOOKUP($D19,Insumos!$B$1:$B$764,Insumos!$D$1:$D$764),"")</f>
        <v/>
      </c>
      <c r="H19" s="177" cm="1">
        <f t="array" ref="H19">_xlfn.IFS(B19="Serviço",SUMIFS(H20:$H$3085,C20:$C$3085,$C19),B19="Insumo",F19*G19,B19="Etapa","")</f>
        <v>118.10449999999999</v>
      </c>
      <c r="I19" s="178" t="s">
        <v>195</v>
      </c>
    </row>
    <row r="20" spans="1:9" hidden="1" outlineLevel="2" x14ac:dyDescent="0.25">
      <c r="A20" s="175">
        <f t="shared" si="0"/>
        <v>3</v>
      </c>
      <c r="B20" s="175" t="s">
        <v>327</v>
      </c>
      <c r="C20" s="175" t="str">
        <f t="shared" si="1"/>
        <v>Central de Argamassa</v>
      </c>
      <c r="D20" s="175" t="s">
        <v>337</v>
      </c>
      <c r="E20" s="176" t="str">
        <f>_xlfn.XLOOKUP(D20,Insumos!$B$1:$B$764,Insumos!$C$1:$C$764)</f>
        <v>M2</v>
      </c>
      <c r="F20" s="179">
        <v>1</v>
      </c>
      <c r="G20" s="177">
        <f>IF(B20="insumo",_xlfn.XLOOKUP($D20,Insumos!$B$1:$B$764,Insumos!$D$1:$D$764),"")</f>
        <v>1.25</v>
      </c>
      <c r="H20" s="177" cm="1">
        <f t="array" ref="H20">_xlfn.IFS(B20="Serviço",SUMIFS(H21:$H$3085,C21:$C$3085,$C20),B20="Insumo",F20*G20,B20="Etapa","")</f>
        <v>1.25</v>
      </c>
      <c r="I20" s="178"/>
    </row>
    <row r="21" spans="1:9" hidden="1" outlineLevel="2" x14ac:dyDescent="0.25">
      <c r="A21" s="175">
        <f t="shared" si="0"/>
        <v>3</v>
      </c>
      <c r="B21" s="175" t="s">
        <v>327</v>
      </c>
      <c r="C21" s="175" t="str">
        <f t="shared" si="1"/>
        <v>Central de Argamassa</v>
      </c>
      <c r="D21" s="175" t="s">
        <v>338</v>
      </c>
      <c r="E21" s="176" t="str">
        <f>_xlfn.XLOOKUP(D21,Insumos!$B$1:$B$764,Insumos!$C$1:$C$764)</f>
        <v>M2</v>
      </c>
      <c r="F21" s="179">
        <v>1</v>
      </c>
      <c r="G21" s="177">
        <f>IF(B21="insumo",_xlfn.XLOOKUP($D21,Insumos!$B$1:$B$764,Insumos!$D$1:$D$764),"")</f>
        <v>31</v>
      </c>
      <c r="H21" s="177" cm="1">
        <f t="array" ref="H21">_xlfn.IFS(B21="Serviço",SUMIFS(H22:$H$3085,C22:$C$3085,$C21),B21="Insumo",F21*G21,B21="Etapa","")</f>
        <v>31</v>
      </c>
      <c r="I21" s="178"/>
    </row>
    <row r="22" spans="1:9" hidden="1" outlineLevel="2" x14ac:dyDescent="0.25">
      <c r="A22" s="175">
        <f t="shared" si="0"/>
        <v>9</v>
      </c>
      <c r="B22" s="175" t="s">
        <v>327</v>
      </c>
      <c r="C22" s="175" t="str">
        <f t="shared" si="1"/>
        <v>Central de Argamassa</v>
      </c>
      <c r="D22" s="175" t="s">
        <v>339</v>
      </c>
      <c r="E22" s="176" t="str">
        <f>_xlfn.XLOOKUP(D22,Insumos!$B$1:$B$764,Insumos!$C$1:$C$764)</f>
        <v>M3</v>
      </c>
      <c r="F22" s="179">
        <v>7.3999999999999996E-2</v>
      </c>
      <c r="G22" s="177">
        <f>IF(B22="insumo",_xlfn.XLOOKUP($D22,Insumos!$B$1:$B$764,Insumos!$D$1:$D$764),"")</f>
        <v>490</v>
      </c>
      <c r="H22" s="177" cm="1">
        <f t="array" ref="H22">_xlfn.IFS(B22="Serviço",SUMIFS(H23:$H$3085,C23:$C$3085,$C22),B22="Insumo",F22*G22,B22="Etapa","")</f>
        <v>36.26</v>
      </c>
      <c r="I22" s="178"/>
    </row>
    <row r="23" spans="1:9" hidden="1" outlineLevel="2" x14ac:dyDescent="0.25">
      <c r="A23" s="175">
        <f t="shared" si="0"/>
        <v>3</v>
      </c>
      <c r="B23" s="175" t="s">
        <v>327</v>
      </c>
      <c r="C23" s="175" t="str">
        <f t="shared" si="1"/>
        <v>Central de Argamassa</v>
      </c>
      <c r="D23" s="175" t="s">
        <v>340</v>
      </c>
      <c r="E23" s="176" t="str">
        <f>_xlfn.XLOOKUP(D23,Insumos!$B$1:$B$764,Insumos!$C$1:$C$764)</f>
        <v>KG</v>
      </c>
      <c r="F23" s="179">
        <v>0.15</v>
      </c>
      <c r="G23" s="177">
        <f>IF(B23="insumo",_xlfn.XLOOKUP($D23,Insumos!$B$1:$B$764,Insumos!$D$1:$D$764),"")</f>
        <v>10.029999999999999</v>
      </c>
      <c r="H23" s="177" cm="1">
        <f t="array" ref="H23">_xlfn.IFS(B23="Serviço",SUMIFS(H24:$H$3085,C24:$C$3085,$C23),B23="Insumo",F23*G23,B23="Etapa","")</f>
        <v>1.5044999999999999</v>
      </c>
      <c r="I23" s="178"/>
    </row>
    <row r="24" spans="1:9" hidden="1" outlineLevel="2" x14ac:dyDescent="0.25">
      <c r="A24" s="175">
        <f t="shared" si="0"/>
        <v>3</v>
      </c>
      <c r="B24" s="175" t="s">
        <v>327</v>
      </c>
      <c r="C24" s="175" t="str">
        <f t="shared" si="1"/>
        <v>Central de Argamassa</v>
      </c>
      <c r="D24" s="175" t="s">
        <v>341</v>
      </c>
      <c r="E24" s="176" t="str">
        <f>_xlfn.XLOOKUP(D24,Insumos!$B$1:$B$764,Insumos!$C$1:$C$764)</f>
        <v>UN</v>
      </c>
      <c r="F24" s="179">
        <v>9</v>
      </c>
      <c r="G24" s="177">
        <f>IF(B24="insumo",_xlfn.XLOOKUP($D24,Insumos!$B$1:$B$764,Insumos!$D$1:$D$764),"")</f>
        <v>2.95</v>
      </c>
      <c r="H24" s="177" cm="1">
        <f t="array" ref="H24">_xlfn.IFS(B24="Serviço",SUMIFS(H25:$H$3085,C25:$C$3085,$C24),B24="Insumo",F24*G24,B24="Etapa","")</f>
        <v>26.55</v>
      </c>
      <c r="I24" s="178"/>
    </row>
    <row r="25" spans="1:9" hidden="1" outlineLevel="2" x14ac:dyDescent="0.25">
      <c r="A25" s="175">
        <f t="shared" si="0"/>
        <v>3</v>
      </c>
      <c r="B25" s="175" t="s">
        <v>327</v>
      </c>
      <c r="C25" s="175" t="str">
        <f t="shared" si="1"/>
        <v>Central de Argamassa</v>
      </c>
      <c r="D25" s="175" t="s">
        <v>342</v>
      </c>
      <c r="E25" s="176" t="str">
        <f>_xlfn.XLOOKUP(D25,Insumos!$B$1:$B$764,Insumos!$C$1:$C$764)</f>
        <v>KG</v>
      </c>
      <c r="F25" s="179">
        <v>24</v>
      </c>
      <c r="G25" s="177">
        <f>IF(B25="insumo",_xlfn.XLOOKUP($D25,Insumos!$B$1:$B$764,Insumos!$D$1:$D$764),"")</f>
        <v>0.46</v>
      </c>
      <c r="H25" s="177" cm="1">
        <f t="array" ref="H25">_xlfn.IFS(B25="Serviço",SUMIFS(H26:$H$3085,C26:$C$3085,$C25),B25="Insumo",F25*G25,B25="Etapa","")</f>
        <v>11.040000000000001</v>
      </c>
      <c r="I25" s="178"/>
    </row>
    <row r="26" spans="1:9" hidden="1" outlineLevel="2" x14ac:dyDescent="0.25">
      <c r="A26" s="175">
        <f t="shared" si="0"/>
        <v>3</v>
      </c>
      <c r="B26" s="175" t="s">
        <v>327</v>
      </c>
      <c r="C26" s="175" t="str">
        <f t="shared" si="1"/>
        <v>Central de Argamassa</v>
      </c>
      <c r="D26" s="175" t="s">
        <v>343</v>
      </c>
      <c r="E26" s="176" t="str">
        <f>_xlfn.XLOOKUP(D26,Insumos!$B$1:$B$764,Insumos!$C$1:$C$764)</f>
        <v>M2</v>
      </c>
      <c r="F26" s="179">
        <v>1</v>
      </c>
      <c r="G26" s="177">
        <f>IF(B26="insumo",_xlfn.XLOOKUP($D26,Insumos!$B$1:$B$764,Insumos!$D$1:$D$764),"")</f>
        <v>10.5</v>
      </c>
      <c r="H26" s="177" cm="1">
        <f t="array" ref="H26">_xlfn.IFS(B26="Serviço",SUMIFS(H27:$H$3085,C27:$C$3085,$C26),B26="Insumo",F26*G26,B26="Etapa","")</f>
        <v>10.5</v>
      </c>
      <c r="I26" s="178"/>
    </row>
    <row r="27" spans="1:9" hidden="1" outlineLevel="1" collapsed="1" x14ac:dyDescent="0.25">
      <c r="A27" s="175">
        <f t="shared" si="0"/>
        <v>1</v>
      </c>
      <c r="B27" s="175" t="s">
        <v>109</v>
      </c>
      <c r="C27" s="175" t="str">
        <f t="shared" si="1"/>
        <v>Armazenamento de cerâmicas*</v>
      </c>
      <c r="D27" s="175" t="s">
        <v>287</v>
      </c>
      <c r="E27" s="176" t="s">
        <v>13</v>
      </c>
      <c r="F27" s="175"/>
      <c r="G27" s="177" t="str">
        <f>IF(B27="insumo",_xlfn.XLOOKUP($D27,Insumos!$B$1:$B$764,Insumos!$D$1:$D$764),"")</f>
        <v/>
      </c>
      <c r="H27" s="177" cm="1">
        <f t="array" ref="H27">_xlfn.IFS(B27="Serviço",SUMIFS(H28:$H$3085,C28:$C$3085,$C27),B27="Insumo",F27*G27,B27="Etapa","")</f>
        <v>376.71488999999997</v>
      </c>
      <c r="I27" s="178" t="s">
        <v>195</v>
      </c>
    </row>
    <row r="28" spans="1:9" hidden="1" outlineLevel="2" x14ac:dyDescent="0.25">
      <c r="A28" s="175">
        <f t="shared" si="0"/>
        <v>11</v>
      </c>
      <c r="B28" s="175" t="s">
        <v>327</v>
      </c>
      <c r="C28" s="175" t="str">
        <f t="shared" si="1"/>
        <v>Armazenamento de cerâmicas*</v>
      </c>
      <c r="D28" s="175" t="s">
        <v>344</v>
      </c>
      <c r="E28" s="176" t="str">
        <f>_xlfn.XLOOKUP(D28,Insumos!$B$1:$B$764,Insumos!$C$1:$C$764)</f>
        <v>M2</v>
      </c>
      <c r="F28" s="179">
        <v>0.59099999999999997</v>
      </c>
      <c r="G28" s="177">
        <f>IF(B28="insumo",_xlfn.XLOOKUP($D28,Insumos!$B$1:$B$764,Insumos!$D$1:$D$764),"")</f>
        <v>46.5</v>
      </c>
      <c r="H28" s="177" cm="1">
        <f t="array" ref="H28">_xlfn.IFS(B28="Serviço",SUMIFS(H29:$H$3085,C29:$C$3085,$C28),B28="Insumo",F28*G28,B28="Etapa","")</f>
        <v>27.481499999999997</v>
      </c>
      <c r="I28" s="178"/>
    </row>
    <row r="29" spans="1:9" hidden="1" outlineLevel="2" x14ac:dyDescent="0.25">
      <c r="A29" s="175">
        <f t="shared" si="0"/>
        <v>10</v>
      </c>
      <c r="B29" s="175" t="s">
        <v>327</v>
      </c>
      <c r="C29" s="175" t="str">
        <f t="shared" si="1"/>
        <v>Armazenamento de cerâmicas*</v>
      </c>
      <c r="D29" s="175" t="s">
        <v>345</v>
      </c>
      <c r="E29" s="176" t="str">
        <f>_xlfn.XLOOKUP(D29,Insumos!$B$1:$B$764,Insumos!$C$1:$C$764)</f>
        <v>UN</v>
      </c>
      <c r="F29" s="179">
        <v>0.40400000000000003</v>
      </c>
      <c r="G29" s="177">
        <f>IF(B29="insumo",_xlfn.XLOOKUP($D29,Insumos!$B$1:$B$764,Insumos!$D$1:$D$764),"")</f>
        <v>58.46</v>
      </c>
      <c r="H29" s="177" cm="1">
        <f t="array" ref="H29">_xlfn.IFS(B29="Serviço",SUMIFS(H30:$H$3085,C30:$C$3085,$C29),B29="Insumo",F29*G29,B29="Etapa","")</f>
        <v>23.617840000000001</v>
      </c>
      <c r="I29" s="178"/>
    </row>
    <row r="30" spans="1:9" hidden="1" outlineLevel="2" x14ac:dyDescent="0.25">
      <c r="A30" s="175">
        <f t="shared" si="0"/>
        <v>24</v>
      </c>
      <c r="B30" s="175" t="s">
        <v>327</v>
      </c>
      <c r="C30" s="175" t="str">
        <f t="shared" si="1"/>
        <v>Armazenamento de cerâmicas*</v>
      </c>
      <c r="D30" s="175" t="s">
        <v>346</v>
      </c>
      <c r="E30" s="176" t="str">
        <f>_xlfn.XLOOKUP(D30,Insumos!$B$1:$B$764,Insumos!$C$1:$C$764)</f>
        <v>M</v>
      </c>
      <c r="F30" s="179">
        <v>4.3899999999999997</v>
      </c>
      <c r="G30" s="177">
        <f>IF(B30="insumo",_xlfn.XLOOKUP($D30,Insumos!$B$1:$B$764,Insumos!$D$1:$D$764),"")</f>
        <v>7</v>
      </c>
      <c r="H30" s="177" cm="1">
        <f t="array" ref="H30">_xlfn.IFS(B30="Serviço",SUMIFS(H31:$H$3085,C31:$C$3085,$C30),B30="Insumo",F30*G30,B30="Etapa","")</f>
        <v>30.729999999999997</v>
      </c>
      <c r="I30" s="178"/>
    </row>
    <row r="31" spans="1:9" hidden="1" outlineLevel="2" x14ac:dyDescent="0.25">
      <c r="A31" s="175">
        <f t="shared" si="0"/>
        <v>11</v>
      </c>
      <c r="B31" s="175" t="s">
        <v>327</v>
      </c>
      <c r="C31" s="175" t="str">
        <f t="shared" si="1"/>
        <v>Armazenamento de cerâmicas*</v>
      </c>
      <c r="D31" s="175" t="s">
        <v>347</v>
      </c>
      <c r="E31" s="176" t="str">
        <f>_xlfn.XLOOKUP(D31,Insumos!$B$1:$B$764,Insumos!$C$1:$C$764)</f>
        <v>M2</v>
      </c>
      <c r="F31" s="179">
        <v>0.15</v>
      </c>
      <c r="G31" s="177">
        <f>IF(B31="insumo",_xlfn.XLOOKUP($D31,Insumos!$B$1:$B$764,Insumos!$D$1:$D$764),"")</f>
        <v>46.5</v>
      </c>
      <c r="H31" s="177" cm="1">
        <f t="array" ref="H31">_xlfn.IFS(B31="Serviço",SUMIFS(H32:$H$3085,C32:$C$3085,$C31),B31="Insumo",F31*G31,B31="Etapa","")</f>
        <v>6.9749999999999996</v>
      </c>
      <c r="I31" s="178"/>
    </row>
    <row r="32" spans="1:9" hidden="1" outlineLevel="2" x14ac:dyDescent="0.25">
      <c r="A32" s="175">
        <f t="shared" si="0"/>
        <v>10</v>
      </c>
      <c r="B32" s="175" t="s">
        <v>327</v>
      </c>
      <c r="C32" s="175" t="str">
        <f t="shared" si="1"/>
        <v>Armazenamento de cerâmicas*</v>
      </c>
      <c r="D32" s="175" t="s">
        <v>348</v>
      </c>
      <c r="E32" s="176" t="str">
        <f>_xlfn.XLOOKUP(D32,Insumos!$B$1:$B$764,Insumos!$C$1:$C$764)</f>
        <v>M</v>
      </c>
      <c r="F32" s="179">
        <v>1</v>
      </c>
      <c r="G32" s="177">
        <f>IF(B32="insumo",_xlfn.XLOOKUP($D32,Insumos!$B$1:$B$764,Insumos!$D$1:$D$764),"")</f>
        <v>2</v>
      </c>
      <c r="H32" s="177" cm="1">
        <f t="array" ref="H32">_xlfn.IFS(B32="Serviço",SUMIFS(H33:$H$3085,C33:$C$3085,$C32),B32="Insumo",F32*G32,B32="Etapa","")</f>
        <v>2</v>
      </c>
      <c r="I32" s="178"/>
    </row>
    <row r="33" spans="1:9" hidden="1" outlineLevel="2" x14ac:dyDescent="0.25">
      <c r="A33" s="175">
        <f t="shared" si="0"/>
        <v>36</v>
      </c>
      <c r="B33" s="175" t="s">
        <v>327</v>
      </c>
      <c r="C33" s="175" t="str">
        <f t="shared" si="1"/>
        <v>Armazenamento de cerâmicas*</v>
      </c>
      <c r="D33" s="175" t="s">
        <v>349</v>
      </c>
      <c r="E33" s="176" t="str">
        <f>_xlfn.XLOOKUP(D33,Insumos!$B$1:$B$764,Insumos!$C$1:$C$764)</f>
        <v>KG</v>
      </c>
      <c r="F33" s="179">
        <v>1</v>
      </c>
      <c r="G33" s="177">
        <f>IF(B33="insumo",_xlfn.XLOOKUP($D33,Insumos!$B$1:$B$764,Insumos!$D$1:$D$764),"")</f>
        <v>18.13</v>
      </c>
      <c r="H33" s="177" cm="1">
        <f t="array" ref="H33">_xlfn.IFS(B33="Serviço",SUMIFS(H34:$H$3085,C34:$C$3085,$C33),B33="Insumo",F33*G33,B33="Etapa","")</f>
        <v>18.13</v>
      </c>
      <c r="I33" s="178"/>
    </row>
    <row r="34" spans="1:9" hidden="1" outlineLevel="2" x14ac:dyDescent="0.25">
      <c r="A34" s="175">
        <f t="shared" si="0"/>
        <v>10</v>
      </c>
      <c r="B34" s="175" t="s">
        <v>327</v>
      </c>
      <c r="C34" s="175" t="str">
        <f t="shared" si="1"/>
        <v>Armazenamento de cerâmicas*</v>
      </c>
      <c r="D34" s="175" t="s">
        <v>350</v>
      </c>
      <c r="E34" s="176" t="str">
        <f>_xlfn.XLOOKUP(D34,Insumos!$B$1:$B$764,Insumos!$C$1:$C$764)</f>
        <v>UN</v>
      </c>
      <c r="F34" s="179">
        <v>1.4999999999999999E-2</v>
      </c>
      <c r="G34" s="177">
        <f>IF(B34="insumo",_xlfn.XLOOKUP($D34,Insumos!$B$1:$B$764,Insumos!$D$1:$D$764),"")</f>
        <v>185.37</v>
      </c>
      <c r="H34" s="177" cm="1">
        <f t="array" ref="H34">_xlfn.IFS(B34="Serviço",SUMIFS(H35:$H$3085,C35:$C$3085,$C34),B34="Insumo",F34*G34,B34="Etapa","")</f>
        <v>2.7805499999999999</v>
      </c>
      <c r="I34" s="178"/>
    </row>
    <row r="35" spans="1:9" hidden="1" outlineLevel="2" x14ac:dyDescent="0.25">
      <c r="A35" s="175">
        <f t="shared" si="0"/>
        <v>10</v>
      </c>
      <c r="B35" s="175" t="s">
        <v>327</v>
      </c>
      <c r="C35" s="175" t="str">
        <f t="shared" si="1"/>
        <v>Armazenamento de cerâmicas*</v>
      </c>
      <c r="D35" s="175" t="s">
        <v>351</v>
      </c>
      <c r="E35" s="176" t="str">
        <f>_xlfn.XLOOKUP(D35,Insumos!$B$1:$B$764,Insumos!$C$1:$C$764)</f>
        <v>VB</v>
      </c>
      <c r="F35" s="179">
        <v>1</v>
      </c>
      <c r="G35" s="177">
        <f>IF(B35="insumo",_xlfn.XLOOKUP($D35,Insumos!$B$1:$B$764,Insumos!$D$1:$D$764),"")</f>
        <v>215</v>
      </c>
      <c r="H35" s="177" cm="1">
        <f t="array" ref="H35">_xlfn.IFS(B35="Serviço",SUMIFS(H36:$H$3085,C36:$C$3085,$C35),B35="Insumo",F35*G35,B35="Etapa","")</f>
        <v>215</v>
      </c>
      <c r="I35" s="178"/>
    </row>
    <row r="36" spans="1:9" hidden="1" outlineLevel="2" x14ac:dyDescent="0.25">
      <c r="A36" s="175">
        <f t="shared" si="0"/>
        <v>10</v>
      </c>
      <c r="B36" s="175" t="s">
        <v>327</v>
      </c>
      <c r="C36" s="175" t="str">
        <f t="shared" si="1"/>
        <v>Armazenamento de cerâmicas*</v>
      </c>
      <c r="D36" s="175" t="s">
        <v>352</v>
      </c>
      <c r="E36" s="176" t="str">
        <f>_xlfn.XLOOKUP(D36,Insumos!$B$1:$B$764,Insumos!$C$1:$C$764)</f>
        <v>M2</v>
      </c>
      <c r="F36" s="179">
        <v>1</v>
      </c>
      <c r="G36" s="177">
        <f>IF(B36="insumo",_xlfn.XLOOKUP($D36,Insumos!$B$1:$B$764,Insumos!$D$1:$D$764),"")</f>
        <v>50</v>
      </c>
      <c r="H36" s="177" cm="1">
        <f t="array" ref="H36">_xlfn.IFS(B36="Serviço",SUMIFS(H37:$H$3085,C37:$C$3085,$C36),B36="Insumo",F36*G36,B36="Etapa","")</f>
        <v>50</v>
      </c>
      <c r="I36" s="178"/>
    </row>
    <row r="37" spans="1:9" hidden="1" outlineLevel="1" collapsed="1" x14ac:dyDescent="0.25">
      <c r="A37" s="175">
        <f t="shared" si="0"/>
        <v>1</v>
      </c>
      <c r="B37" s="175" t="s">
        <v>109</v>
      </c>
      <c r="C37" s="175" t="str">
        <f t="shared" si="1"/>
        <v>Armazenamento de placas degesso*</v>
      </c>
      <c r="D37" s="175" t="s">
        <v>288</v>
      </c>
      <c r="E37" s="176" t="s">
        <v>13</v>
      </c>
      <c r="F37" s="175"/>
      <c r="G37" s="177" t="str">
        <f>IF(B37="insumo",_xlfn.XLOOKUP($D37,Insumos!$B$1:$B$764,Insumos!$D$1:$D$764),"")</f>
        <v/>
      </c>
      <c r="H37" s="177" cm="1">
        <f t="array" ref="H37">_xlfn.IFS(B37="Serviço",SUMIFS(H38:$H$3085,C38:$C$3085,$C37),B37="Insumo",F37*G37,B37="Etapa","")</f>
        <v>376.71488999999997</v>
      </c>
      <c r="I37" s="178" t="s">
        <v>195</v>
      </c>
    </row>
    <row r="38" spans="1:9" hidden="1" outlineLevel="2" x14ac:dyDescent="0.25">
      <c r="A38" s="175">
        <f t="shared" si="0"/>
        <v>11</v>
      </c>
      <c r="B38" s="175" t="s">
        <v>327</v>
      </c>
      <c r="C38" s="175" t="str">
        <f t="shared" si="1"/>
        <v>Armazenamento de placas degesso*</v>
      </c>
      <c r="D38" s="175" t="s">
        <v>344</v>
      </c>
      <c r="E38" s="176" t="str">
        <f>_xlfn.XLOOKUP(D38,Insumos!$B$1:$B$764,Insumos!$C$1:$C$764)</f>
        <v>M2</v>
      </c>
      <c r="F38" s="179">
        <v>0.59099999999999997</v>
      </c>
      <c r="G38" s="177">
        <f>IF(B38="insumo",_xlfn.XLOOKUP($D38,Insumos!$B$1:$B$764,Insumos!$D$1:$D$764),"")</f>
        <v>46.5</v>
      </c>
      <c r="H38" s="177" cm="1">
        <f t="array" ref="H38">_xlfn.IFS(B38="Serviço",SUMIFS(H39:$H$3085,C39:$C$3085,$C38),B38="Insumo",F38*G38,B38="Etapa","")</f>
        <v>27.481499999999997</v>
      </c>
      <c r="I38" s="178"/>
    </row>
    <row r="39" spans="1:9" hidden="1" outlineLevel="2" x14ac:dyDescent="0.25">
      <c r="A39" s="175">
        <f t="shared" si="0"/>
        <v>10</v>
      </c>
      <c r="B39" s="175" t="s">
        <v>327</v>
      </c>
      <c r="C39" s="175" t="str">
        <f t="shared" si="1"/>
        <v>Armazenamento de placas degesso*</v>
      </c>
      <c r="D39" s="175" t="s">
        <v>345</v>
      </c>
      <c r="E39" s="176" t="str">
        <f>_xlfn.XLOOKUP(D39,Insumos!$B$1:$B$764,Insumos!$C$1:$C$764)</f>
        <v>UN</v>
      </c>
      <c r="F39" s="179">
        <v>0.40400000000000003</v>
      </c>
      <c r="G39" s="177">
        <f>IF(B39="insumo",_xlfn.XLOOKUP($D39,Insumos!$B$1:$B$764,Insumos!$D$1:$D$764),"")</f>
        <v>58.46</v>
      </c>
      <c r="H39" s="177" cm="1">
        <f t="array" ref="H39">_xlfn.IFS(B39="Serviço",SUMIFS(H40:$H$3085,C40:$C$3085,$C39),B39="Insumo",F39*G39,B39="Etapa","")</f>
        <v>23.617840000000001</v>
      </c>
      <c r="I39" s="178"/>
    </row>
    <row r="40" spans="1:9" hidden="1" outlineLevel="2" x14ac:dyDescent="0.25">
      <c r="A40" s="175">
        <f t="shared" si="0"/>
        <v>24</v>
      </c>
      <c r="B40" s="175" t="s">
        <v>327</v>
      </c>
      <c r="C40" s="175" t="str">
        <f t="shared" si="1"/>
        <v>Armazenamento de placas degesso*</v>
      </c>
      <c r="D40" s="175" t="s">
        <v>346</v>
      </c>
      <c r="E40" s="176" t="str">
        <f>_xlfn.XLOOKUP(D40,Insumos!$B$1:$B$764,Insumos!$C$1:$C$764)</f>
        <v>M</v>
      </c>
      <c r="F40" s="179">
        <v>4.3899999999999997</v>
      </c>
      <c r="G40" s="177">
        <f>IF(B40="insumo",_xlfn.XLOOKUP($D40,Insumos!$B$1:$B$764,Insumos!$D$1:$D$764),"")</f>
        <v>7</v>
      </c>
      <c r="H40" s="177" cm="1">
        <f t="array" ref="H40">_xlfn.IFS(B40="Serviço",SUMIFS(H41:$H$3085,C41:$C$3085,$C40),B40="Insumo",F40*G40,B40="Etapa","")</f>
        <v>30.729999999999997</v>
      </c>
      <c r="I40" s="178"/>
    </row>
    <row r="41" spans="1:9" hidden="1" outlineLevel="2" x14ac:dyDescent="0.25">
      <c r="A41" s="175">
        <f t="shared" si="0"/>
        <v>11</v>
      </c>
      <c r="B41" s="175" t="s">
        <v>327</v>
      </c>
      <c r="C41" s="175" t="str">
        <f t="shared" si="1"/>
        <v>Armazenamento de placas degesso*</v>
      </c>
      <c r="D41" s="175" t="s">
        <v>347</v>
      </c>
      <c r="E41" s="176" t="str">
        <f>_xlfn.XLOOKUP(D41,Insumos!$B$1:$B$764,Insumos!$C$1:$C$764)</f>
        <v>M2</v>
      </c>
      <c r="F41" s="179">
        <v>0.15</v>
      </c>
      <c r="G41" s="177">
        <f>IF(B41="insumo",_xlfn.XLOOKUP($D41,Insumos!$B$1:$B$764,Insumos!$D$1:$D$764),"")</f>
        <v>46.5</v>
      </c>
      <c r="H41" s="177" cm="1">
        <f t="array" ref="H41">_xlfn.IFS(B41="Serviço",SUMIFS(H42:$H$3085,C42:$C$3085,$C41),B41="Insumo",F41*G41,B41="Etapa","")</f>
        <v>6.9749999999999996</v>
      </c>
      <c r="I41" s="178"/>
    </row>
    <row r="42" spans="1:9" hidden="1" outlineLevel="2" x14ac:dyDescent="0.25">
      <c r="A42" s="175">
        <f t="shared" si="0"/>
        <v>10</v>
      </c>
      <c r="B42" s="175" t="s">
        <v>327</v>
      </c>
      <c r="C42" s="175" t="str">
        <f t="shared" si="1"/>
        <v>Armazenamento de placas degesso*</v>
      </c>
      <c r="D42" s="175" t="s">
        <v>348</v>
      </c>
      <c r="E42" s="176" t="str">
        <f>_xlfn.XLOOKUP(D42,Insumos!$B$1:$B$764,Insumos!$C$1:$C$764)</f>
        <v>M</v>
      </c>
      <c r="F42" s="179">
        <v>1</v>
      </c>
      <c r="G42" s="177">
        <f>IF(B42="insumo",_xlfn.XLOOKUP($D42,Insumos!$B$1:$B$764,Insumos!$D$1:$D$764),"")</f>
        <v>2</v>
      </c>
      <c r="H42" s="177" cm="1">
        <f t="array" ref="H42">_xlfn.IFS(B42="Serviço",SUMIFS(H43:$H$3085,C43:$C$3085,$C42),B42="Insumo",F42*G42,B42="Etapa","")</f>
        <v>2</v>
      </c>
      <c r="I42" s="178"/>
    </row>
    <row r="43" spans="1:9" hidden="1" outlineLevel="2" x14ac:dyDescent="0.25">
      <c r="A43" s="175">
        <f t="shared" si="0"/>
        <v>36</v>
      </c>
      <c r="B43" s="175" t="s">
        <v>327</v>
      </c>
      <c r="C43" s="175" t="str">
        <f t="shared" si="1"/>
        <v>Armazenamento de placas degesso*</v>
      </c>
      <c r="D43" s="175" t="s">
        <v>349</v>
      </c>
      <c r="E43" s="176" t="str">
        <f>_xlfn.XLOOKUP(D43,Insumos!$B$1:$B$764,Insumos!$C$1:$C$764)</f>
        <v>KG</v>
      </c>
      <c r="F43" s="179">
        <v>1</v>
      </c>
      <c r="G43" s="177">
        <f>IF(B43="insumo",_xlfn.XLOOKUP($D43,Insumos!$B$1:$B$764,Insumos!$D$1:$D$764),"")</f>
        <v>18.13</v>
      </c>
      <c r="H43" s="177" cm="1">
        <f t="array" ref="H43">_xlfn.IFS(B43="Serviço",SUMIFS(H44:$H$3085,C44:$C$3085,$C43),B43="Insumo",F43*G43,B43="Etapa","")</f>
        <v>18.13</v>
      </c>
      <c r="I43" s="178"/>
    </row>
    <row r="44" spans="1:9" hidden="1" outlineLevel="2" x14ac:dyDescent="0.25">
      <c r="A44" s="175">
        <f t="shared" si="0"/>
        <v>10</v>
      </c>
      <c r="B44" s="175" t="s">
        <v>327</v>
      </c>
      <c r="C44" s="175" t="str">
        <f t="shared" si="1"/>
        <v>Armazenamento de placas degesso*</v>
      </c>
      <c r="D44" s="175" t="s">
        <v>350</v>
      </c>
      <c r="E44" s="176" t="str">
        <f>_xlfn.XLOOKUP(D44,Insumos!$B$1:$B$764,Insumos!$C$1:$C$764)</f>
        <v>UN</v>
      </c>
      <c r="F44" s="179">
        <v>1.4999999999999999E-2</v>
      </c>
      <c r="G44" s="177">
        <f>IF(B44="insumo",_xlfn.XLOOKUP($D44,Insumos!$B$1:$B$764,Insumos!$D$1:$D$764),"")</f>
        <v>185.37</v>
      </c>
      <c r="H44" s="177" cm="1">
        <f t="array" ref="H44">_xlfn.IFS(B44="Serviço",SUMIFS(H45:$H$3085,C45:$C$3085,$C44),B44="Insumo",F44*G44,B44="Etapa","")</f>
        <v>2.7805499999999999</v>
      </c>
      <c r="I44" s="178"/>
    </row>
    <row r="45" spans="1:9" hidden="1" outlineLevel="2" x14ac:dyDescent="0.25">
      <c r="A45" s="175">
        <f t="shared" si="0"/>
        <v>10</v>
      </c>
      <c r="B45" s="175" t="s">
        <v>327</v>
      </c>
      <c r="C45" s="175" t="str">
        <f t="shared" si="1"/>
        <v>Armazenamento de placas degesso*</v>
      </c>
      <c r="D45" s="175" t="s">
        <v>351</v>
      </c>
      <c r="E45" s="176" t="str">
        <f>_xlfn.XLOOKUP(D45,Insumos!$B$1:$B$764,Insumos!$C$1:$C$764)</f>
        <v>VB</v>
      </c>
      <c r="F45" s="179">
        <v>1</v>
      </c>
      <c r="G45" s="177">
        <f>IF(B45="insumo",_xlfn.XLOOKUP($D45,Insumos!$B$1:$B$764,Insumos!$D$1:$D$764),"")</f>
        <v>215</v>
      </c>
      <c r="H45" s="177" cm="1">
        <f t="array" ref="H45">_xlfn.IFS(B45="Serviço",SUMIFS(H46:$H$3085,C46:$C$3085,$C45),B45="Insumo",F45*G45,B45="Etapa","")</f>
        <v>215</v>
      </c>
      <c r="I45" s="178"/>
    </row>
    <row r="46" spans="1:9" hidden="1" outlineLevel="2" x14ac:dyDescent="0.25">
      <c r="A46" s="175">
        <f t="shared" si="0"/>
        <v>10</v>
      </c>
      <c r="B46" s="175" t="s">
        <v>327</v>
      </c>
      <c r="C46" s="175" t="str">
        <f t="shared" si="1"/>
        <v>Armazenamento de placas degesso*</v>
      </c>
      <c r="D46" s="175" t="s">
        <v>352</v>
      </c>
      <c r="E46" s="176" t="str">
        <f>_xlfn.XLOOKUP(D46,Insumos!$B$1:$B$764,Insumos!$C$1:$C$764)</f>
        <v>M2</v>
      </c>
      <c r="F46" s="179">
        <v>1</v>
      </c>
      <c r="G46" s="177">
        <f>IF(B46="insumo",_xlfn.XLOOKUP($D46,Insumos!$B$1:$B$764,Insumos!$D$1:$D$764),"")</f>
        <v>50</v>
      </c>
      <c r="H46" s="177" cm="1">
        <f t="array" ref="H46">_xlfn.IFS(B46="Serviço",SUMIFS(H47:$H$3085,C47:$C$3085,$C46),B46="Insumo",F46*G46,B46="Etapa","")</f>
        <v>50</v>
      </c>
      <c r="I46" s="178"/>
    </row>
    <row r="47" spans="1:9" hidden="1" outlineLevel="1" collapsed="1" x14ac:dyDescent="0.25">
      <c r="A47" s="175">
        <f t="shared" si="0"/>
        <v>1</v>
      </c>
      <c r="B47" s="175" t="s">
        <v>109</v>
      </c>
      <c r="C47" s="175" t="str">
        <f t="shared" si="1"/>
        <v>Armazenamento de blocos*</v>
      </c>
      <c r="D47" s="175" t="s">
        <v>289</v>
      </c>
      <c r="E47" s="176" t="s">
        <v>13</v>
      </c>
      <c r="F47" s="175"/>
      <c r="G47" s="177" t="str">
        <f>IF(B47="insumo",_xlfn.XLOOKUP($D47,Insumos!$B$1:$B$764,Insumos!$D$1:$D$764),"")</f>
        <v/>
      </c>
      <c r="H47" s="177" cm="1">
        <f t="array" ref="H47">_xlfn.IFS(B47="Serviço",SUMIFS(H48:$H$3085,C48:$C$3085,$C47),B47="Insumo",F47*G47,B47="Etapa","")</f>
        <v>376.71488999999997</v>
      </c>
      <c r="I47" s="178" t="s">
        <v>195</v>
      </c>
    </row>
    <row r="48" spans="1:9" hidden="1" outlineLevel="2" x14ac:dyDescent="0.25">
      <c r="A48" s="175">
        <f t="shared" si="0"/>
        <v>11</v>
      </c>
      <c r="B48" s="175" t="s">
        <v>327</v>
      </c>
      <c r="C48" s="175" t="str">
        <f t="shared" si="1"/>
        <v>Armazenamento de blocos*</v>
      </c>
      <c r="D48" s="175" t="s">
        <v>344</v>
      </c>
      <c r="E48" s="176" t="str">
        <f>_xlfn.XLOOKUP(D48,Insumos!$B$1:$B$764,Insumos!$C$1:$C$764)</f>
        <v>M2</v>
      </c>
      <c r="F48" s="179">
        <v>0.59099999999999997</v>
      </c>
      <c r="G48" s="177">
        <f>IF(B48="insumo",_xlfn.XLOOKUP($D48,Insumos!$B$1:$B$764,Insumos!$D$1:$D$764),"")</f>
        <v>46.5</v>
      </c>
      <c r="H48" s="177" cm="1">
        <f t="array" ref="H48">_xlfn.IFS(B48="Serviço",SUMIFS(H49:$H$3085,C49:$C$3085,$C48),B48="Insumo",F48*G48,B48="Etapa","")</f>
        <v>27.481499999999997</v>
      </c>
      <c r="I48" s="178"/>
    </row>
    <row r="49" spans="1:9" hidden="1" outlineLevel="2" x14ac:dyDescent="0.25">
      <c r="A49" s="175">
        <f t="shared" si="0"/>
        <v>10</v>
      </c>
      <c r="B49" s="175" t="s">
        <v>327</v>
      </c>
      <c r="C49" s="175" t="str">
        <f t="shared" si="1"/>
        <v>Armazenamento de blocos*</v>
      </c>
      <c r="D49" s="175" t="s">
        <v>345</v>
      </c>
      <c r="E49" s="176" t="str">
        <f>_xlfn.XLOOKUP(D49,Insumos!$B$1:$B$764,Insumos!$C$1:$C$764)</f>
        <v>UN</v>
      </c>
      <c r="F49" s="179">
        <v>0.40400000000000003</v>
      </c>
      <c r="G49" s="177">
        <f>IF(B49="insumo",_xlfn.XLOOKUP($D49,Insumos!$B$1:$B$764,Insumos!$D$1:$D$764),"")</f>
        <v>58.46</v>
      </c>
      <c r="H49" s="177" cm="1">
        <f t="array" ref="H49">_xlfn.IFS(B49="Serviço",SUMIFS(H50:$H$3085,C50:$C$3085,$C49),B49="Insumo",F49*G49,B49="Etapa","")</f>
        <v>23.617840000000001</v>
      </c>
      <c r="I49" s="178"/>
    </row>
    <row r="50" spans="1:9" hidden="1" outlineLevel="2" x14ac:dyDescent="0.25">
      <c r="A50" s="175">
        <f t="shared" si="0"/>
        <v>24</v>
      </c>
      <c r="B50" s="175" t="s">
        <v>327</v>
      </c>
      <c r="C50" s="175" t="str">
        <f t="shared" si="1"/>
        <v>Armazenamento de blocos*</v>
      </c>
      <c r="D50" s="175" t="s">
        <v>346</v>
      </c>
      <c r="E50" s="176" t="str">
        <f>_xlfn.XLOOKUP(D50,Insumos!$B$1:$B$764,Insumos!$C$1:$C$764)</f>
        <v>M</v>
      </c>
      <c r="F50" s="179">
        <v>4.3899999999999997</v>
      </c>
      <c r="G50" s="177">
        <f>IF(B50="insumo",_xlfn.XLOOKUP($D50,Insumos!$B$1:$B$764,Insumos!$D$1:$D$764),"")</f>
        <v>7</v>
      </c>
      <c r="H50" s="177" cm="1">
        <f t="array" ref="H50">_xlfn.IFS(B50="Serviço",SUMIFS(H51:$H$3085,C51:$C$3085,$C50),B50="Insumo",F50*G50,B50="Etapa","")</f>
        <v>30.729999999999997</v>
      </c>
      <c r="I50" s="178"/>
    </row>
    <row r="51" spans="1:9" hidden="1" outlineLevel="2" x14ac:dyDescent="0.25">
      <c r="A51" s="175">
        <f t="shared" si="0"/>
        <v>11</v>
      </c>
      <c r="B51" s="175" t="s">
        <v>327</v>
      </c>
      <c r="C51" s="175" t="str">
        <f t="shared" si="1"/>
        <v>Armazenamento de blocos*</v>
      </c>
      <c r="D51" s="175" t="s">
        <v>347</v>
      </c>
      <c r="E51" s="176" t="str">
        <f>_xlfn.XLOOKUP(D51,Insumos!$B$1:$B$764,Insumos!$C$1:$C$764)</f>
        <v>M2</v>
      </c>
      <c r="F51" s="179">
        <v>0.15</v>
      </c>
      <c r="G51" s="177">
        <f>IF(B51="insumo",_xlfn.XLOOKUP($D51,Insumos!$B$1:$B$764,Insumos!$D$1:$D$764),"")</f>
        <v>46.5</v>
      </c>
      <c r="H51" s="177" cm="1">
        <f t="array" ref="H51">_xlfn.IFS(B51="Serviço",SUMIFS(H52:$H$3085,C52:$C$3085,$C51),B51="Insumo",F51*G51,B51="Etapa","")</f>
        <v>6.9749999999999996</v>
      </c>
      <c r="I51" s="178"/>
    </row>
    <row r="52" spans="1:9" hidden="1" outlineLevel="2" x14ac:dyDescent="0.25">
      <c r="A52" s="175">
        <f t="shared" si="0"/>
        <v>10</v>
      </c>
      <c r="B52" s="175" t="s">
        <v>327</v>
      </c>
      <c r="C52" s="175" t="str">
        <f t="shared" si="1"/>
        <v>Armazenamento de blocos*</v>
      </c>
      <c r="D52" s="175" t="s">
        <v>348</v>
      </c>
      <c r="E52" s="176" t="str">
        <f>_xlfn.XLOOKUP(D52,Insumos!$B$1:$B$764,Insumos!$C$1:$C$764)</f>
        <v>M</v>
      </c>
      <c r="F52" s="179">
        <v>1</v>
      </c>
      <c r="G52" s="177">
        <f>IF(B52="insumo",_xlfn.XLOOKUP($D52,Insumos!$B$1:$B$764,Insumos!$D$1:$D$764),"")</f>
        <v>2</v>
      </c>
      <c r="H52" s="177" cm="1">
        <f t="array" ref="H52">_xlfn.IFS(B52="Serviço",SUMIFS(H53:$H$3085,C53:$C$3085,$C52),B52="Insumo",F52*G52,B52="Etapa","")</f>
        <v>2</v>
      </c>
      <c r="I52" s="178"/>
    </row>
    <row r="53" spans="1:9" hidden="1" outlineLevel="2" x14ac:dyDescent="0.25">
      <c r="A53" s="175">
        <f t="shared" si="0"/>
        <v>36</v>
      </c>
      <c r="B53" s="175" t="s">
        <v>327</v>
      </c>
      <c r="C53" s="175" t="str">
        <f t="shared" si="1"/>
        <v>Armazenamento de blocos*</v>
      </c>
      <c r="D53" s="175" t="s">
        <v>349</v>
      </c>
      <c r="E53" s="176" t="str">
        <f>_xlfn.XLOOKUP(D53,Insumos!$B$1:$B$764,Insumos!$C$1:$C$764)</f>
        <v>KG</v>
      </c>
      <c r="F53" s="179">
        <v>1</v>
      </c>
      <c r="G53" s="177">
        <f>IF(B53="insumo",_xlfn.XLOOKUP($D53,Insumos!$B$1:$B$764,Insumos!$D$1:$D$764),"")</f>
        <v>18.13</v>
      </c>
      <c r="H53" s="177" cm="1">
        <f t="array" ref="H53">_xlfn.IFS(B53="Serviço",SUMIFS(H54:$H$3085,C54:$C$3085,$C53),B53="Insumo",F53*G53,B53="Etapa","")</f>
        <v>18.13</v>
      </c>
      <c r="I53" s="178"/>
    </row>
    <row r="54" spans="1:9" hidden="1" outlineLevel="2" x14ac:dyDescent="0.25">
      <c r="A54" s="175">
        <f t="shared" si="0"/>
        <v>10</v>
      </c>
      <c r="B54" s="175" t="s">
        <v>327</v>
      </c>
      <c r="C54" s="175" t="str">
        <f t="shared" si="1"/>
        <v>Armazenamento de blocos*</v>
      </c>
      <c r="D54" s="175" t="s">
        <v>350</v>
      </c>
      <c r="E54" s="176" t="str">
        <f>_xlfn.XLOOKUP(D54,Insumos!$B$1:$B$764,Insumos!$C$1:$C$764)</f>
        <v>UN</v>
      </c>
      <c r="F54" s="179">
        <v>1.4999999999999999E-2</v>
      </c>
      <c r="G54" s="177">
        <f>IF(B54="insumo",_xlfn.XLOOKUP($D54,Insumos!$B$1:$B$764,Insumos!$D$1:$D$764),"")</f>
        <v>185.37</v>
      </c>
      <c r="H54" s="177" cm="1">
        <f t="array" ref="H54">_xlfn.IFS(B54="Serviço",SUMIFS(H55:$H$3085,C55:$C$3085,$C54),B54="Insumo",F54*G54,B54="Etapa","")</f>
        <v>2.7805499999999999</v>
      </c>
      <c r="I54" s="178"/>
    </row>
    <row r="55" spans="1:9" hidden="1" outlineLevel="2" x14ac:dyDescent="0.25">
      <c r="A55" s="175">
        <f t="shared" si="0"/>
        <v>10</v>
      </c>
      <c r="B55" s="175" t="s">
        <v>327</v>
      </c>
      <c r="C55" s="175" t="str">
        <f t="shared" si="1"/>
        <v>Armazenamento de blocos*</v>
      </c>
      <c r="D55" s="175" t="s">
        <v>351</v>
      </c>
      <c r="E55" s="176" t="str">
        <f>_xlfn.XLOOKUP(D55,Insumos!$B$1:$B$764,Insumos!$C$1:$C$764)</f>
        <v>VB</v>
      </c>
      <c r="F55" s="179">
        <v>1</v>
      </c>
      <c r="G55" s="177">
        <f>IF(B55="insumo",_xlfn.XLOOKUP($D55,Insumos!$B$1:$B$764,Insumos!$D$1:$D$764),"")</f>
        <v>215</v>
      </c>
      <c r="H55" s="177" cm="1">
        <f t="array" ref="H55">_xlfn.IFS(B55="Serviço",SUMIFS(H56:$H$3085,C56:$C$3085,$C55),B55="Insumo",F55*G55,B55="Etapa","")</f>
        <v>215</v>
      </c>
      <c r="I55" s="178"/>
    </row>
    <row r="56" spans="1:9" hidden="1" outlineLevel="2" x14ac:dyDescent="0.25">
      <c r="A56" s="175">
        <f t="shared" si="0"/>
        <v>10</v>
      </c>
      <c r="B56" s="175" t="s">
        <v>327</v>
      </c>
      <c r="C56" s="175" t="str">
        <f t="shared" si="1"/>
        <v>Armazenamento de blocos*</v>
      </c>
      <c r="D56" s="175" t="s">
        <v>352</v>
      </c>
      <c r="E56" s="176" t="str">
        <f>_xlfn.XLOOKUP(D56,Insumos!$B$1:$B$764,Insumos!$C$1:$C$764)</f>
        <v>M2</v>
      </c>
      <c r="F56" s="179">
        <v>1</v>
      </c>
      <c r="G56" s="177">
        <f>IF(B56="insumo",_xlfn.XLOOKUP($D56,Insumos!$B$1:$B$764,Insumos!$D$1:$D$764),"")</f>
        <v>50</v>
      </c>
      <c r="H56" s="177" cm="1">
        <f t="array" ref="H56">_xlfn.IFS(B56="Serviço",SUMIFS(H57:$H$3085,C57:$C$3085,$C56),B56="Insumo",F56*G56,B56="Etapa","")</f>
        <v>50</v>
      </c>
      <c r="I56" s="178"/>
    </row>
    <row r="57" spans="1:9" hidden="1" outlineLevel="1" collapsed="1" x14ac:dyDescent="0.25">
      <c r="A57" s="175">
        <f t="shared" si="0"/>
        <v>1</v>
      </c>
      <c r="B57" s="175" t="s">
        <v>109</v>
      </c>
      <c r="C57" s="175" t="str">
        <f t="shared" si="1"/>
        <v>Armazenamento de contramarcos*</v>
      </c>
      <c r="D57" s="175" t="s">
        <v>290</v>
      </c>
      <c r="E57" s="176" t="s">
        <v>13</v>
      </c>
      <c r="F57" s="175"/>
      <c r="G57" s="177" t="str">
        <f>IF(B57="insumo",_xlfn.XLOOKUP($D57,Insumos!$B$1:$B$764,Insumos!$D$1:$D$764),"")</f>
        <v/>
      </c>
      <c r="H57" s="177" cm="1">
        <f t="array" ref="H57">_xlfn.IFS(B57="Serviço",SUMIFS(H58:$H$3085,C58:$C$3085,$C57),B57="Insumo",F57*G57,B57="Etapa","")</f>
        <v>376.71488999999997</v>
      </c>
      <c r="I57" s="178" t="s">
        <v>195</v>
      </c>
    </row>
    <row r="58" spans="1:9" hidden="1" outlineLevel="2" x14ac:dyDescent="0.25">
      <c r="A58" s="175">
        <f t="shared" si="0"/>
        <v>11</v>
      </c>
      <c r="B58" s="175" t="s">
        <v>327</v>
      </c>
      <c r="C58" s="175" t="str">
        <f t="shared" si="1"/>
        <v>Armazenamento de contramarcos*</v>
      </c>
      <c r="D58" s="175" t="s">
        <v>344</v>
      </c>
      <c r="E58" s="176" t="str">
        <f>_xlfn.XLOOKUP(D58,Insumos!$B$1:$B$764,Insumos!$C$1:$C$764)</f>
        <v>M2</v>
      </c>
      <c r="F58" s="179">
        <v>0.59099999999999997</v>
      </c>
      <c r="G58" s="177">
        <f>IF(B58="insumo",_xlfn.XLOOKUP($D58,Insumos!$B$1:$B$764,Insumos!$D$1:$D$764),"")</f>
        <v>46.5</v>
      </c>
      <c r="H58" s="177" cm="1">
        <f t="array" ref="H58">_xlfn.IFS(B58="Serviço",SUMIFS(H59:$H$3085,C59:$C$3085,$C58),B58="Insumo",F58*G58,B58="Etapa","")</f>
        <v>27.481499999999997</v>
      </c>
      <c r="I58" s="178"/>
    </row>
    <row r="59" spans="1:9" hidden="1" outlineLevel="2" x14ac:dyDescent="0.25">
      <c r="A59" s="175">
        <f t="shared" si="0"/>
        <v>10</v>
      </c>
      <c r="B59" s="175" t="s">
        <v>327</v>
      </c>
      <c r="C59" s="175" t="str">
        <f t="shared" si="1"/>
        <v>Armazenamento de contramarcos*</v>
      </c>
      <c r="D59" s="175" t="s">
        <v>345</v>
      </c>
      <c r="E59" s="176" t="str">
        <f>_xlfn.XLOOKUP(D59,Insumos!$B$1:$B$764,Insumos!$C$1:$C$764)</f>
        <v>UN</v>
      </c>
      <c r="F59" s="179">
        <v>0.40400000000000003</v>
      </c>
      <c r="G59" s="177">
        <f>IF(B59="insumo",_xlfn.XLOOKUP($D59,Insumos!$B$1:$B$764,Insumos!$D$1:$D$764),"")</f>
        <v>58.46</v>
      </c>
      <c r="H59" s="177" cm="1">
        <f t="array" ref="H59">_xlfn.IFS(B59="Serviço",SUMIFS(H60:$H$3085,C60:$C$3085,$C59),B59="Insumo",F59*G59,B59="Etapa","")</f>
        <v>23.617840000000001</v>
      </c>
      <c r="I59" s="178"/>
    </row>
    <row r="60" spans="1:9" hidden="1" outlineLevel="2" x14ac:dyDescent="0.25">
      <c r="A60" s="175">
        <f t="shared" si="0"/>
        <v>24</v>
      </c>
      <c r="B60" s="175" t="s">
        <v>327</v>
      </c>
      <c r="C60" s="175" t="str">
        <f t="shared" si="1"/>
        <v>Armazenamento de contramarcos*</v>
      </c>
      <c r="D60" s="175" t="s">
        <v>346</v>
      </c>
      <c r="E60" s="176" t="str">
        <f>_xlfn.XLOOKUP(D60,Insumos!$B$1:$B$764,Insumos!$C$1:$C$764)</f>
        <v>M</v>
      </c>
      <c r="F60" s="179">
        <v>4.3899999999999997</v>
      </c>
      <c r="G60" s="177">
        <f>IF(B60="insumo",_xlfn.XLOOKUP($D60,Insumos!$B$1:$B$764,Insumos!$D$1:$D$764),"")</f>
        <v>7</v>
      </c>
      <c r="H60" s="177" cm="1">
        <f t="array" ref="H60">_xlfn.IFS(B60="Serviço",SUMIFS(H61:$H$3085,C61:$C$3085,$C60),B60="Insumo",F60*G60,B60="Etapa","")</f>
        <v>30.729999999999997</v>
      </c>
      <c r="I60" s="178"/>
    </row>
    <row r="61" spans="1:9" hidden="1" outlineLevel="2" x14ac:dyDescent="0.25">
      <c r="A61" s="175">
        <f t="shared" si="0"/>
        <v>11</v>
      </c>
      <c r="B61" s="175" t="s">
        <v>327</v>
      </c>
      <c r="C61" s="175" t="str">
        <f t="shared" si="1"/>
        <v>Armazenamento de contramarcos*</v>
      </c>
      <c r="D61" s="175" t="s">
        <v>347</v>
      </c>
      <c r="E61" s="176" t="str">
        <f>_xlfn.XLOOKUP(D61,Insumos!$B$1:$B$764,Insumos!$C$1:$C$764)</f>
        <v>M2</v>
      </c>
      <c r="F61" s="179">
        <v>0.15</v>
      </c>
      <c r="G61" s="177">
        <f>IF(B61="insumo",_xlfn.XLOOKUP($D61,Insumos!$B$1:$B$764,Insumos!$D$1:$D$764),"")</f>
        <v>46.5</v>
      </c>
      <c r="H61" s="177" cm="1">
        <f t="array" ref="H61">_xlfn.IFS(B61="Serviço",SUMIFS(H62:$H$3085,C62:$C$3085,$C61),B61="Insumo",F61*G61,B61="Etapa","")</f>
        <v>6.9749999999999996</v>
      </c>
      <c r="I61" s="178"/>
    </row>
    <row r="62" spans="1:9" hidden="1" outlineLevel="2" x14ac:dyDescent="0.25">
      <c r="A62" s="175">
        <f t="shared" si="0"/>
        <v>10</v>
      </c>
      <c r="B62" s="175" t="s">
        <v>327</v>
      </c>
      <c r="C62" s="175" t="str">
        <f t="shared" si="1"/>
        <v>Armazenamento de contramarcos*</v>
      </c>
      <c r="D62" s="175" t="s">
        <v>348</v>
      </c>
      <c r="E62" s="176" t="str">
        <f>_xlfn.XLOOKUP(D62,Insumos!$B$1:$B$764,Insumos!$C$1:$C$764)</f>
        <v>M</v>
      </c>
      <c r="F62" s="179">
        <v>1</v>
      </c>
      <c r="G62" s="177">
        <f>IF(B62="insumo",_xlfn.XLOOKUP($D62,Insumos!$B$1:$B$764,Insumos!$D$1:$D$764),"")</f>
        <v>2</v>
      </c>
      <c r="H62" s="177" cm="1">
        <f t="array" ref="H62">_xlfn.IFS(B62="Serviço",SUMIFS(H63:$H$3085,C63:$C$3085,$C62),B62="Insumo",F62*G62,B62="Etapa","")</f>
        <v>2</v>
      </c>
      <c r="I62" s="178"/>
    </row>
    <row r="63" spans="1:9" hidden="1" outlineLevel="2" x14ac:dyDescent="0.25">
      <c r="A63" s="175">
        <f t="shared" si="0"/>
        <v>36</v>
      </c>
      <c r="B63" s="175" t="s">
        <v>327</v>
      </c>
      <c r="C63" s="175" t="str">
        <f t="shared" si="1"/>
        <v>Armazenamento de contramarcos*</v>
      </c>
      <c r="D63" s="175" t="s">
        <v>349</v>
      </c>
      <c r="E63" s="176" t="str">
        <f>_xlfn.XLOOKUP(D63,Insumos!$B$1:$B$764,Insumos!$C$1:$C$764)</f>
        <v>KG</v>
      </c>
      <c r="F63" s="179">
        <v>1</v>
      </c>
      <c r="G63" s="177">
        <f>IF(B63="insumo",_xlfn.XLOOKUP($D63,Insumos!$B$1:$B$764,Insumos!$D$1:$D$764),"")</f>
        <v>18.13</v>
      </c>
      <c r="H63" s="177" cm="1">
        <f t="array" ref="H63">_xlfn.IFS(B63="Serviço",SUMIFS(H64:$H$3085,C64:$C$3085,$C63),B63="Insumo",F63*G63,B63="Etapa","")</f>
        <v>18.13</v>
      </c>
      <c r="I63" s="178"/>
    </row>
    <row r="64" spans="1:9" hidden="1" outlineLevel="2" x14ac:dyDescent="0.25">
      <c r="A64" s="175">
        <f t="shared" si="0"/>
        <v>10</v>
      </c>
      <c r="B64" s="175" t="s">
        <v>327</v>
      </c>
      <c r="C64" s="175" t="str">
        <f t="shared" si="1"/>
        <v>Armazenamento de contramarcos*</v>
      </c>
      <c r="D64" s="175" t="s">
        <v>350</v>
      </c>
      <c r="E64" s="176" t="str">
        <f>_xlfn.XLOOKUP(D64,Insumos!$B$1:$B$764,Insumos!$C$1:$C$764)</f>
        <v>UN</v>
      </c>
      <c r="F64" s="179">
        <v>1.4999999999999999E-2</v>
      </c>
      <c r="G64" s="177">
        <f>IF(B64="insumo",_xlfn.XLOOKUP($D64,Insumos!$B$1:$B$764,Insumos!$D$1:$D$764),"")</f>
        <v>185.37</v>
      </c>
      <c r="H64" s="177" cm="1">
        <f t="array" ref="H64">_xlfn.IFS(B64="Serviço",SUMIFS(H65:$H$3085,C65:$C$3085,$C64),B64="Insumo",F64*G64,B64="Etapa","")</f>
        <v>2.7805499999999999</v>
      </c>
      <c r="I64" s="178"/>
    </row>
    <row r="65" spans="1:9" hidden="1" outlineLevel="2" x14ac:dyDescent="0.25">
      <c r="A65" s="175">
        <f t="shared" si="0"/>
        <v>10</v>
      </c>
      <c r="B65" s="175" t="s">
        <v>327</v>
      </c>
      <c r="C65" s="175" t="str">
        <f t="shared" si="1"/>
        <v>Armazenamento de contramarcos*</v>
      </c>
      <c r="D65" s="175" t="s">
        <v>351</v>
      </c>
      <c r="E65" s="176" t="str">
        <f>_xlfn.XLOOKUP(D65,Insumos!$B$1:$B$764,Insumos!$C$1:$C$764)</f>
        <v>VB</v>
      </c>
      <c r="F65" s="179">
        <v>1</v>
      </c>
      <c r="G65" s="177">
        <f>IF(B65="insumo",_xlfn.XLOOKUP($D65,Insumos!$B$1:$B$764,Insumos!$D$1:$D$764),"")</f>
        <v>215</v>
      </c>
      <c r="H65" s="177" cm="1">
        <f t="array" ref="H65">_xlfn.IFS(B65="Serviço",SUMIFS(H66:$H$3085,C66:$C$3085,$C65),B65="Insumo",F65*G65,B65="Etapa","")</f>
        <v>215</v>
      </c>
      <c r="I65" s="178"/>
    </row>
    <row r="66" spans="1:9" hidden="1" outlineLevel="2" x14ac:dyDescent="0.25">
      <c r="A66" s="175">
        <f t="shared" ref="A66:A129" si="2">COUNTIFS($D$2:$D$3085,D66,$B$2:$B$3085,B66)</f>
        <v>10</v>
      </c>
      <c r="B66" s="175" t="s">
        <v>327</v>
      </c>
      <c r="C66" s="175" t="str">
        <f t="shared" ref="C66:C129" si="3">IF(B66="serviço",D66,C65)</f>
        <v>Armazenamento de contramarcos*</v>
      </c>
      <c r="D66" s="175" t="s">
        <v>352</v>
      </c>
      <c r="E66" s="176" t="str">
        <f>_xlfn.XLOOKUP(D66,Insumos!$B$1:$B$764,Insumos!$C$1:$C$764)</f>
        <v>M2</v>
      </c>
      <c r="F66" s="179">
        <v>1</v>
      </c>
      <c r="G66" s="177">
        <f>IF(B66="insumo",_xlfn.XLOOKUP($D66,Insumos!$B$1:$B$764,Insumos!$D$1:$D$764),"")</f>
        <v>50</v>
      </c>
      <c r="H66" s="177" cm="1">
        <f t="array" ref="H66">_xlfn.IFS(B66="Serviço",SUMIFS(H67:$H$3085,C67:$C$3085,$C66),B66="Insumo",F66*G66,B66="Etapa","")</f>
        <v>50</v>
      </c>
      <c r="I66" s="178"/>
    </row>
    <row r="67" spans="1:9" hidden="1" outlineLevel="1" collapsed="1" x14ac:dyDescent="0.25">
      <c r="A67" s="175">
        <f t="shared" si="2"/>
        <v>1</v>
      </c>
      <c r="B67" s="175" t="s">
        <v>109</v>
      </c>
      <c r="C67" s="175" t="str">
        <f t="shared" si="3"/>
        <v>Armazenamento de portas e rodapés*</v>
      </c>
      <c r="D67" s="175" t="s">
        <v>291</v>
      </c>
      <c r="E67" s="176" t="s">
        <v>13</v>
      </c>
      <c r="F67" s="175"/>
      <c r="G67" s="177" t="str">
        <f>IF(B67="insumo",_xlfn.XLOOKUP($D67,Insumos!$B$1:$B$764,Insumos!$D$1:$D$764),"")</f>
        <v/>
      </c>
      <c r="H67" s="177" cm="1">
        <f t="array" ref="H67">_xlfn.IFS(B67="Serviço",SUMIFS(H68:$H$3085,C68:$C$3085,$C67),B67="Insumo",F67*G67,B67="Etapa","")</f>
        <v>376.71488999999997</v>
      </c>
      <c r="I67" s="178" t="s">
        <v>195</v>
      </c>
    </row>
    <row r="68" spans="1:9" hidden="1" outlineLevel="2" x14ac:dyDescent="0.25">
      <c r="A68" s="175">
        <f t="shared" si="2"/>
        <v>11</v>
      </c>
      <c r="B68" s="175" t="s">
        <v>327</v>
      </c>
      <c r="C68" s="175" t="str">
        <f t="shared" si="3"/>
        <v>Armazenamento de portas e rodapés*</v>
      </c>
      <c r="D68" s="175" t="s">
        <v>344</v>
      </c>
      <c r="E68" s="176" t="str">
        <f>_xlfn.XLOOKUP(D68,Insumos!$B$1:$B$764,Insumos!$C$1:$C$764)</f>
        <v>M2</v>
      </c>
      <c r="F68" s="179">
        <v>0.59099999999999997</v>
      </c>
      <c r="G68" s="177">
        <f>IF(B68="insumo",_xlfn.XLOOKUP($D68,Insumos!$B$1:$B$764,Insumos!$D$1:$D$764),"")</f>
        <v>46.5</v>
      </c>
      <c r="H68" s="177" cm="1">
        <f t="array" ref="H68">_xlfn.IFS(B68="Serviço",SUMIFS(H69:$H$3085,C69:$C$3085,$C68),B68="Insumo",F68*G68,B68="Etapa","")</f>
        <v>27.481499999999997</v>
      </c>
      <c r="I68" s="178"/>
    </row>
    <row r="69" spans="1:9" hidden="1" outlineLevel="2" x14ac:dyDescent="0.25">
      <c r="A69" s="175">
        <f t="shared" si="2"/>
        <v>10</v>
      </c>
      <c r="B69" s="175" t="s">
        <v>327</v>
      </c>
      <c r="C69" s="175" t="str">
        <f t="shared" si="3"/>
        <v>Armazenamento de portas e rodapés*</v>
      </c>
      <c r="D69" s="175" t="s">
        <v>345</v>
      </c>
      <c r="E69" s="176" t="str">
        <f>_xlfn.XLOOKUP(D69,Insumos!$B$1:$B$764,Insumos!$C$1:$C$764)</f>
        <v>UN</v>
      </c>
      <c r="F69" s="179">
        <v>0.40400000000000003</v>
      </c>
      <c r="G69" s="177">
        <f>IF(B69="insumo",_xlfn.XLOOKUP($D69,Insumos!$B$1:$B$764,Insumos!$D$1:$D$764),"")</f>
        <v>58.46</v>
      </c>
      <c r="H69" s="177" cm="1">
        <f t="array" ref="H69">_xlfn.IFS(B69="Serviço",SUMIFS(H70:$H$3085,C70:$C$3085,$C69),B69="Insumo",F69*G69,B69="Etapa","")</f>
        <v>23.617840000000001</v>
      </c>
      <c r="I69" s="178"/>
    </row>
    <row r="70" spans="1:9" hidden="1" outlineLevel="2" x14ac:dyDescent="0.25">
      <c r="A70" s="175">
        <f t="shared" si="2"/>
        <v>24</v>
      </c>
      <c r="B70" s="175" t="s">
        <v>327</v>
      </c>
      <c r="C70" s="175" t="str">
        <f t="shared" si="3"/>
        <v>Armazenamento de portas e rodapés*</v>
      </c>
      <c r="D70" s="175" t="s">
        <v>346</v>
      </c>
      <c r="E70" s="176" t="str">
        <f>_xlfn.XLOOKUP(D70,Insumos!$B$1:$B$764,Insumos!$C$1:$C$764)</f>
        <v>M</v>
      </c>
      <c r="F70" s="179">
        <v>4.3899999999999997</v>
      </c>
      <c r="G70" s="177">
        <f>IF(B70="insumo",_xlfn.XLOOKUP($D70,Insumos!$B$1:$B$764,Insumos!$D$1:$D$764),"")</f>
        <v>7</v>
      </c>
      <c r="H70" s="177" cm="1">
        <f t="array" ref="H70">_xlfn.IFS(B70="Serviço",SUMIFS(H71:$H$3085,C71:$C$3085,$C70),B70="Insumo",F70*G70,B70="Etapa","")</f>
        <v>30.729999999999997</v>
      </c>
      <c r="I70" s="178"/>
    </row>
    <row r="71" spans="1:9" hidden="1" outlineLevel="2" x14ac:dyDescent="0.25">
      <c r="A71" s="175">
        <f t="shared" si="2"/>
        <v>11</v>
      </c>
      <c r="B71" s="175" t="s">
        <v>327</v>
      </c>
      <c r="C71" s="175" t="str">
        <f t="shared" si="3"/>
        <v>Armazenamento de portas e rodapés*</v>
      </c>
      <c r="D71" s="175" t="s">
        <v>347</v>
      </c>
      <c r="E71" s="176" t="str">
        <f>_xlfn.XLOOKUP(D71,Insumos!$B$1:$B$764,Insumos!$C$1:$C$764)</f>
        <v>M2</v>
      </c>
      <c r="F71" s="179">
        <v>0.15</v>
      </c>
      <c r="G71" s="177">
        <f>IF(B71="insumo",_xlfn.XLOOKUP($D71,Insumos!$B$1:$B$764,Insumos!$D$1:$D$764),"")</f>
        <v>46.5</v>
      </c>
      <c r="H71" s="177" cm="1">
        <f t="array" ref="H71">_xlfn.IFS(B71="Serviço",SUMIFS(H72:$H$3085,C72:$C$3085,$C71),B71="Insumo",F71*G71,B71="Etapa","")</f>
        <v>6.9749999999999996</v>
      </c>
      <c r="I71" s="178"/>
    </row>
    <row r="72" spans="1:9" hidden="1" outlineLevel="2" x14ac:dyDescent="0.25">
      <c r="A72" s="175">
        <f t="shared" si="2"/>
        <v>10</v>
      </c>
      <c r="B72" s="175" t="s">
        <v>327</v>
      </c>
      <c r="C72" s="175" t="str">
        <f t="shared" si="3"/>
        <v>Armazenamento de portas e rodapés*</v>
      </c>
      <c r="D72" s="175" t="s">
        <v>348</v>
      </c>
      <c r="E72" s="176" t="str">
        <f>_xlfn.XLOOKUP(D72,Insumos!$B$1:$B$764,Insumos!$C$1:$C$764)</f>
        <v>M</v>
      </c>
      <c r="F72" s="179">
        <v>1</v>
      </c>
      <c r="G72" s="177">
        <f>IF(B72="insumo",_xlfn.XLOOKUP($D72,Insumos!$B$1:$B$764,Insumos!$D$1:$D$764),"")</f>
        <v>2</v>
      </c>
      <c r="H72" s="177" cm="1">
        <f t="array" ref="H72">_xlfn.IFS(B72="Serviço",SUMIFS(H73:$H$3085,C73:$C$3085,$C72),B72="Insumo",F72*G72,B72="Etapa","")</f>
        <v>2</v>
      </c>
      <c r="I72" s="178"/>
    </row>
    <row r="73" spans="1:9" hidden="1" outlineLevel="2" x14ac:dyDescent="0.25">
      <c r="A73" s="175">
        <f t="shared" si="2"/>
        <v>36</v>
      </c>
      <c r="B73" s="175" t="s">
        <v>327</v>
      </c>
      <c r="C73" s="175" t="str">
        <f t="shared" si="3"/>
        <v>Armazenamento de portas e rodapés*</v>
      </c>
      <c r="D73" s="175" t="s">
        <v>349</v>
      </c>
      <c r="E73" s="176" t="str">
        <f>_xlfn.XLOOKUP(D73,Insumos!$B$1:$B$764,Insumos!$C$1:$C$764)</f>
        <v>KG</v>
      </c>
      <c r="F73" s="179">
        <v>1</v>
      </c>
      <c r="G73" s="177">
        <f>IF(B73="insumo",_xlfn.XLOOKUP($D73,Insumos!$B$1:$B$764,Insumos!$D$1:$D$764),"")</f>
        <v>18.13</v>
      </c>
      <c r="H73" s="177" cm="1">
        <f t="array" ref="H73">_xlfn.IFS(B73="Serviço",SUMIFS(H74:$H$3085,C74:$C$3085,$C73),B73="Insumo",F73*G73,B73="Etapa","")</f>
        <v>18.13</v>
      </c>
      <c r="I73" s="178"/>
    </row>
    <row r="74" spans="1:9" hidden="1" outlineLevel="2" x14ac:dyDescent="0.25">
      <c r="A74" s="175">
        <f t="shared" si="2"/>
        <v>10</v>
      </c>
      <c r="B74" s="175" t="s">
        <v>327</v>
      </c>
      <c r="C74" s="175" t="str">
        <f t="shared" si="3"/>
        <v>Armazenamento de portas e rodapés*</v>
      </c>
      <c r="D74" s="175" t="s">
        <v>350</v>
      </c>
      <c r="E74" s="176" t="str">
        <f>_xlfn.XLOOKUP(D74,Insumos!$B$1:$B$764,Insumos!$C$1:$C$764)</f>
        <v>UN</v>
      </c>
      <c r="F74" s="179">
        <v>1.4999999999999999E-2</v>
      </c>
      <c r="G74" s="177">
        <f>IF(B74="insumo",_xlfn.XLOOKUP($D74,Insumos!$B$1:$B$764,Insumos!$D$1:$D$764),"")</f>
        <v>185.37</v>
      </c>
      <c r="H74" s="177" cm="1">
        <f t="array" ref="H74">_xlfn.IFS(B74="Serviço",SUMIFS(H75:$H$3085,C75:$C$3085,$C74),B74="Insumo",F74*G74,B74="Etapa","")</f>
        <v>2.7805499999999999</v>
      </c>
      <c r="I74" s="178"/>
    </row>
    <row r="75" spans="1:9" hidden="1" outlineLevel="2" x14ac:dyDescent="0.25">
      <c r="A75" s="175">
        <f t="shared" si="2"/>
        <v>10</v>
      </c>
      <c r="B75" s="175" t="s">
        <v>327</v>
      </c>
      <c r="C75" s="175" t="str">
        <f t="shared" si="3"/>
        <v>Armazenamento de portas e rodapés*</v>
      </c>
      <c r="D75" s="175" t="s">
        <v>351</v>
      </c>
      <c r="E75" s="176" t="str">
        <f>_xlfn.XLOOKUP(D75,Insumos!$B$1:$B$764,Insumos!$C$1:$C$764)</f>
        <v>VB</v>
      </c>
      <c r="F75" s="179">
        <v>1</v>
      </c>
      <c r="G75" s="177">
        <f>IF(B75="insumo",_xlfn.XLOOKUP($D75,Insumos!$B$1:$B$764,Insumos!$D$1:$D$764),"")</f>
        <v>215</v>
      </c>
      <c r="H75" s="177" cm="1">
        <f t="array" ref="H75">_xlfn.IFS(B75="Serviço",SUMIFS(H76:$H$3085,C76:$C$3085,$C75),B75="Insumo",F75*G75,B75="Etapa","")</f>
        <v>215</v>
      </c>
      <c r="I75" s="178"/>
    </row>
    <row r="76" spans="1:9" hidden="1" outlineLevel="2" x14ac:dyDescent="0.25">
      <c r="A76" s="175">
        <f t="shared" si="2"/>
        <v>10</v>
      </c>
      <c r="B76" s="175" t="s">
        <v>327</v>
      </c>
      <c r="C76" s="175" t="str">
        <f t="shared" si="3"/>
        <v>Armazenamento de portas e rodapés*</v>
      </c>
      <c r="D76" s="175" t="s">
        <v>352</v>
      </c>
      <c r="E76" s="176" t="str">
        <f>_xlfn.XLOOKUP(D76,Insumos!$B$1:$B$764,Insumos!$C$1:$C$764)</f>
        <v>M2</v>
      </c>
      <c r="F76" s="179">
        <v>1</v>
      </c>
      <c r="G76" s="177">
        <f>IF(B76="insumo",_xlfn.XLOOKUP($D76,Insumos!$B$1:$B$764,Insumos!$D$1:$D$764),"")</f>
        <v>50</v>
      </c>
      <c r="H76" s="177" cm="1">
        <f t="array" ref="H76">_xlfn.IFS(B76="Serviço",SUMIFS(H77:$H$3085,C77:$C$3085,$C76),B76="Insumo",F76*G76,B76="Etapa","")</f>
        <v>50</v>
      </c>
      <c r="I76" s="178"/>
    </row>
    <row r="77" spans="1:9" hidden="1" outlineLevel="1" collapsed="1" x14ac:dyDescent="0.25">
      <c r="A77" s="175">
        <f t="shared" si="2"/>
        <v>1</v>
      </c>
      <c r="B77" s="175" t="s">
        <v>109</v>
      </c>
      <c r="C77" s="175" t="str">
        <f t="shared" si="3"/>
        <v>Armazenamento de esquadrias*</v>
      </c>
      <c r="D77" s="175" t="s">
        <v>292</v>
      </c>
      <c r="E77" s="176" t="s">
        <v>13</v>
      </c>
      <c r="F77" s="175"/>
      <c r="G77" s="177" t="str">
        <f>IF(B77="insumo",_xlfn.XLOOKUP($D77,Insumos!$B$1:$B$764,Insumos!$D$1:$D$764),"")</f>
        <v/>
      </c>
      <c r="H77" s="177" cm="1">
        <f t="array" ref="H77">_xlfn.IFS(B77="Serviço",SUMIFS(H78:$H$3085,C78:$C$3085,$C77),B77="Insumo",F77*G77,B77="Etapa","")</f>
        <v>376.71488999999997</v>
      </c>
      <c r="I77" s="178" t="s">
        <v>195</v>
      </c>
    </row>
    <row r="78" spans="1:9" hidden="1" outlineLevel="2" x14ac:dyDescent="0.25">
      <c r="A78" s="175">
        <f t="shared" si="2"/>
        <v>11</v>
      </c>
      <c r="B78" s="175" t="s">
        <v>327</v>
      </c>
      <c r="C78" s="175" t="str">
        <f t="shared" si="3"/>
        <v>Armazenamento de esquadrias*</v>
      </c>
      <c r="D78" s="175" t="s">
        <v>344</v>
      </c>
      <c r="E78" s="176" t="str">
        <f>_xlfn.XLOOKUP(D78,Insumos!$B$1:$B$764,Insumos!$C$1:$C$764)</f>
        <v>M2</v>
      </c>
      <c r="F78" s="179">
        <v>0.59099999999999997</v>
      </c>
      <c r="G78" s="177">
        <f>IF(B78="insumo",_xlfn.XLOOKUP($D78,Insumos!$B$1:$B$764,Insumos!$D$1:$D$764),"")</f>
        <v>46.5</v>
      </c>
      <c r="H78" s="177" cm="1">
        <f t="array" ref="H78">_xlfn.IFS(B78="Serviço",SUMIFS(H79:$H$3085,C79:$C$3085,$C78),B78="Insumo",F78*G78,B78="Etapa","")</f>
        <v>27.481499999999997</v>
      </c>
      <c r="I78" s="178"/>
    </row>
    <row r="79" spans="1:9" hidden="1" outlineLevel="2" x14ac:dyDescent="0.25">
      <c r="A79" s="175">
        <f t="shared" si="2"/>
        <v>10</v>
      </c>
      <c r="B79" s="175" t="s">
        <v>327</v>
      </c>
      <c r="C79" s="175" t="str">
        <f t="shared" si="3"/>
        <v>Armazenamento de esquadrias*</v>
      </c>
      <c r="D79" s="175" t="s">
        <v>345</v>
      </c>
      <c r="E79" s="176" t="str">
        <f>_xlfn.XLOOKUP(D79,Insumos!$B$1:$B$764,Insumos!$C$1:$C$764)</f>
        <v>UN</v>
      </c>
      <c r="F79" s="179">
        <v>0.40400000000000003</v>
      </c>
      <c r="G79" s="177">
        <f>IF(B79="insumo",_xlfn.XLOOKUP($D79,Insumos!$B$1:$B$764,Insumos!$D$1:$D$764),"")</f>
        <v>58.46</v>
      </c>
      <c r="H79" s="177" cm="1">
        <f t="array" ref="H79">_xlfn.IFS(B79="Serviço",SUMIFS(H80:$H$3085,C80:$C$3085,$C79),B79="Insumo",F79*G79,B79="Etapa","")</f>
        <v>23.617840000000001</v>
      </c>
      <c r="I79" s="178"/>
    </row>
    <row r="80" spans="1:9" hidden="1" outlineLevel="2" x14ac:dyDescent="0.25">
      <c r="A80" s="175">
        <f t="shared" si="2"/>
        <v>24</v>
      </c>
      <c r="B80" s="175" t="s">
        <v>327</v>
      </c>
      <c r="C80" s="175" t="str">
        <f t="shared" si="3"/>
        <v>Armazenamento de esquadrias*</v>
      </c>
      <c r="D80" s="175" t="s">
        <v>346</v>
      </c>
      <c r="E80" s="176" t="str">
        <f>_xlfn.XLOOKUP(D80,Insumos!$B$1:$B$764,Insumos!$C$1:$C$764)</f>
        <v>M</v>
      </c>
      <c r="F80" s="179">
        <v>4.3899999999999997</v>
      </c>
      <c r="G80" s="177">
        <f>IF(B80="insumo",_xlfn.XLOOKUP($D80,Insumos!$B$1:$B$764,Insumos!$D$1:$D$764),"")</f>
        <v>7</v>
      </c>
      <c r="H80" s="177" cm="1">
        <f t="array" ref="H80">_xlfn.IFS(B80="Serviço",SUMIFS(H81:$H$3085,C81:$C$3085,$C80),B80="Insumo",F80*G80,B80="Etapa","")</f>
        <v>30.729999999999997</v>
      </c>
      <c r="I80" s="178"/>
    </row>
    <row r="81" spans="1:9" hidden="1" outlineLevel="2" x14ac:dyDescent="0.25">
      <c r="A81" s="175">
        <f t="shared" si="2"/>
        <v>11</v>
      </c>
      <c r="B81" s="175" t="s">
        <v>327</v>
      </c>
      <c r="C81" s="175" t="str">
        <f t="shared" si="3"/>
        <v>Armazenamento de esquadrias*</v>
      </c>
      <c r="D81" s="175" t="s">
        <v>347</v>
      </c>
      <c r="E81" s="176" t="str">
        <f>_xlfn.XLOOKUP(D81,Insumos!$B$1:$B$764,Insumos!$C$1:$C$764)</f>
        <v>M2</v>
      </c>
      <c r="F81" s="179">
        <v>0.15</v>
      </c>
      <c r="G81" s="177">
        <f>IF(B81="insumo",_xlfn.XLOOKUP($D81,Insumos!$B$1:$B$764,Insumos!$D$1:$D$764),"")</f>
        <v>46.5</v>
      </c>
      <c r="H81" s="177" cm="1">
        <f t="array" ref="H81">_xlfn.IFS(B81="Serviço",SUMIFS(H82:$H$3085,C82:$C$3085,$C81),B81="Insumo",F81*G81,B81="Etapa","")</f>
        <v>6.9749999999999996</v>
      </c>
      <c r="I81" s="178"/>
    </row>
    <row r="82" spans="1:9" hidden="1" outlineLevel="2" x14ac:dyDescent="0.25">
      <c r="A82" s="175">
        <f t="shared" si="2"/>
        <v>10</v>
      </c>
      <c r="B82" s="175" t="s">
        <v>327</v>
      </c>
      <c r="C82" s="175" t="str">
        <f t="shared" si="3"/>
        <v>Armazenamento de esquadrias*</v>
      </c>
      <c r="D82" s="175" t="s">
        <v>348</v>
      </c>
      <c r="E82" s="176" t="str">
        <f>_xlfn.XLOOKUP(D82,Insumos!$B$1:$B$764,Insumos!$C$1:$C$764)</f>
        <v>M</v>
      </c>
      <c r="F82" s="179">
        <v>1</v>
      </c>
      <c r="G82" s="177">
        <f>IF(B82="insumo",_xlfn.XLOOKUP($D82,Insumos!$B$1:$B$764,Insumos!$D$1:$D$764),"")</f>
        <v>2</v>
      </c>
      <c r="H82" s="177" cm="1">
        <f t="array" ref="H82">_xlfn.IFS(B82="Serviço",SUMIFS(H83:$H$3085,C83:$C$3085,$C82),B82="Insumo",F82*G82,B82="Etapa","")</f>
        <v>2</v>
      </c>
      <c r="I82" s="178"/>
    </row>
    <row r="83" spans="1:9" hidden="1" outlineLevel="2" x14ac:dyDescent="0.25">
      <c r="A83" s="175">
        <f t="shared" si="2"/>
        <v>36</v>
      </c>
      <c r="B83" s="175" t="s">
        <v>327</v>
      </c>
      <c r="C83" s="175" t="str">
        <f t="shared" si="3"/>
        <v>Armazenamento de esquadrias*</v>
      </c>
      <c r="D83" s="175" t="s">
        <v>349</v>
      </c>
      <c r="E83" s="176" t="str">
        <f>_xlfn.XLOOKUP(D83,Insumos!$B$1:$B$764,Insumos!$C$1:$C$764)</f>
        <v>KG</v>
      </c>
      <c r="F83" s="179">
        <v>1</v>
      </c>
      <c r="G83" s="177">
        <f>IF(B83="insumo",_xlfn.XLOOKUP($D83,Insumos!$B$1:$B$764,Insumos!$D$1:$D$764),"")</f>
        <v>18.13</v>
      </c>
      <c r="H83" s="177" cm="1">
        <f t="array" ref="H83">_xlfn.IFS(B83="Serviço",SUMIFS(H84:$H$3085,C84:$C$3085,$C83),B83="Insumo",F83*G83,B83="Etapa","")</f>
        <v>18.13</v>
      </c>
      <c r="I83" s="178"/>
    </row>
    <row r="84" spans="1:9" hidden="1" outlineLevel="2" x14ac:dyDescent="0.25">
      <c r="A84" s="175">
        <f t="shared" si="2"/>
        <v>10</v>
      </c>
      <c r="B84" s="175" t="s">
        <v>327</v>
      </c>
      <c r="C84" s="175" t="str">
        <f t="shared" si="3"/>
        <v>Armazenamento de esquadrias*</v>
      </c>
      <c r="D84" s="175" t="s">
        <v>350</v>
      </c>
      <c r="E84" s="176" t="str">
        <f>_xlfn.XLOOKUP(D84,Insumos!$B$1:$B$764,Insumos!$C$1:$C$764)</f>
        <v>UN</v>
      </c>
      <c r="F84" s="179">
        <v>1.4999999999999999E-2</v>
      </c>
      <c r="G84" s="177">
        <f>IF(B84="insumo",_xlfn.XLOOKUP($D84,Insumos!$B$1:$B$764,Insumos!$D$1:$D$764),"")</f>
        <v>185.37</v>
      </c>
      <c r="H84" s="177" cm="1">
        <f t="array" ref="H84">_xlfn.IFS(B84="Serviço",SUMIFS(H85:$H$3085,C85:$C$3085,$C84),B84="Insumo",F84*G84,B84="Etapa","")</f>
        <v>2.7805499999999999</v>
      </c>
      <c r="I84" s="178"/>
    </row>
    <row r="85" spans="1:9" hidden="1" outlineLevel="2" x14ac:dyDescent="0.25">
      <c r="A85" s="175">
        <f t="shared" si="2"/>
        <v>10</v>
      </c>
      <c r="B85" s="175" t="s">
        <v>327</v>
      </c>
      <c r="C85" s="175" t="str">
        <f t="shared" si="3"/>
        <v>Armazenamento de esquadrias*</v>
      </c>
      <c r="D85" s="175" t="s">
        <v>351</v>
      </c>
      <c r="E85" s="176" t="str">
        <f>_xlfn.XLOOKUP(D85,Insumos!$B$1:$B$764,Insumos!$C$1:$C$764)</f>
        <v>VB</v>
      </c>
      <c r="F85" s="179">
        <v>1</v>
      </c>
      <c r="G85" s="177">
        <f>IF(B85="insumo",_xlfn.XLOOKUP($D85,Insumos!$B$1:$B$764,Insumos!$D$1:$D$764),"")</f>
        <v>215</v>
      </c>
      <c r="H85" s="177" cm="1">
        <f t="array" ref="H85">_xlfn.IFS(B85="Serviço",SUMIFS(H86:$H$3085,C86:$C$3085,$C85),B85="Insumo",F85*G85,B85="Etapa","")</f>
        <v>215</v>
      </c>
      <c r="I85" s="178"/>
    </row>
    <row r="86" spans="1:9" hidden="1" outlineLevel="2" x14ac:dyDescent="0.25">
      <c r="A86" s="175">
        <f t="shared" si="2"/>
        <v>10</v>
      </c>
      <c r="B86" s="175" t="s">
        <v>327</v>
      </c>
      <c r="C86" s="175" t="str">
        <f t="shared" si="3"/>
        <v>Armazenamento de esquadrias*</v>
      </c>
      <c r="D86" s="175" t="s">
        <v>352</v>
      </c>
      <c r="E86" s="176" t="str">
        <f>_xlfn.XLOOKUP(D86,Insumos!$B$1:$B$764,Insumos!$C$1:$C$764)</f>
        <v>M2</v>
      </c>
      <c r="F86" s="179">
        <v>1</v>
      </c>
      <c r="G86" s="177">
        <f>IF(B86="insumo",_xlfn.XLOOKUP($D86,Insumos!$B$1:$B$764,Insumos!$D$1:$D$764),"")</f>
        <v>50</v>
      </c>
      <c r="H86" s="177" cm="1">
        <f t="array" ref="H86">_xlfn.IFS(B86="Serviço",SUMIFS(H87:$H$3085,C87:$C$3085,$C86),B86="Insumo",F86*G86,B86="Etapa","")</f>
        <v>50</v>
      </c>
      <c r="I86" s="178"/>
    </row>
    <row r="87" spans="1:9" hidden="1" outlineLevel="1" collapsed="1" x14ac:dyDescent="0.25">
      <c r="A87" s="175">
        <f t="shared" si="2"/>
        <v>1</v>
      </c>
      <c r="B87" s="175" t="s">
        <v>109</v>
      </c>
      <c r="C87" s="175" t="str">
        <f t="shared" si="3"/>
        <v>Armazenamento de instalações complementares*</v>
      </c>
      <c r="D87" s="175" t="s">
        <v>293</v>
      </c>
      <c r="E87" s="176" t="s">
        <v>13</v>
      </c>
      <c r="F87" s="175"/>
      <c r="G87" s="177" t="str">
        <f>IF(B87="insumo",_xlfn.XLOOKUP($D87,Insumos!$B$1:$B$764,Insumos!$D$1:$D$764),"")</f>
        <v/>
      </c>
      <c r="H87" s="177" cm="1">
        <f t="array" ref="H87">_xlfn.IFS(B87="Serviço",SUMIFS(H88:$H$3085,C88:$C$3085,$C87),B87="Insumo",F87*G87,B87="Etapa","")</f>
        <v>376.71488999999997</v>
      </c>
      <c r="I87" s="178" t="s">
        <v>195</v>
      </c>
    </row>
    <row r="88" spans="1:9" hidden="1" outlineLevel="2" x14ac:dyDescent="0.25">
      <c r="A88" s="175">
        <f t="shared" si="2"/>
        <v>11</v>
      </c>
      <c r="B88" s="175" t="s">
        <v>327</v>
      </c>
      <c r="C88" s="175" t="str">
        <f t="shared" si="3"/>
        <v>Armazenamento de instalações complementares*</v>
      </c>
      <c r="D88" s="175" t="s">
        <v>344</v>
      </c>
      <c r="E88" s="176" t="str">
        <f>_xlfn.XLOOKUP(D88,Insumos!$B$1:$B$764,Insumos!$C$1:$C$764)</f>
        <v>M2</v>
      </c>
      <c r="F88" s="179">
        <v>0.59099999999999997</v>
      </c>
      <c r="G88" s="177">
        <f>IF(B88="insumo",_xlfn.XLOOKUP($D88,Insumos!$B$1:$B$764,Insumos!$D$1:$D$764),"")</f>
        <v>46.5</v>
      </c>
      <c r="H88" s="177" cm="1">
        <f t="array" ref="H88">_xlfn.IFS(B88="Serviço",SUMIFS(H89:$H$3085,C89:$C$3085,$C88),B88="Insumo",F88*G88,B88="Etapa","")</f>
        <v>27.481499999999997</v>
      </c>
      <c r="I88" s="178"/>
    </row>
    <row r="89" spans="1:9" hidden="1" outlineLevel="2" x14ac:dyDescent="0.25">
      <c r="A89" s="175">
        <f t="shared" si="2"/>
        <v>10</v>
      </c>
      <c r="B89" s="175" t="s">
        <v>327</v>
      </c>
      <c r="C89" s="175" t="str">
        <f t="shared" si="3"/>
        <v>Armazenamento de instalações complementares*</v>
      </c>
      <c r="D89" s="175" t="s">
        <v>345</v>
      </c>
      <c r="E89" s="176" t="str">
        <f>_xlfn.XLOOKUP(D89,Insumos!$B$1:$B$764,Insumos!$C$1:$C$764)</f>
        <v>UN</v>
      </c>
      <c r="F89" s="179">
        <v>0.40400000000000003</v>
      </c>
      <c r="G89" s="177">
        <f>IF(B89="insumo",_xlfn.XLOOKUP($D89,Insumos!$B$1:$B$764,Insumos!$D$1:$D$764),"")</f>
        <v>58.46</v>
      </c>
      <c r="H89" s="177" cm="1">
        <f t="array" ref="H89">_xlfn.IFS(B89="Serviço",SUMIFS(H90:$H$3085,C90:$C$3085,$C89),B89="Insumo",F89*G89,B89="Etapa","")</f>
        <v>23.617840000000001</v>
      </c>
      <c r="I89" s="178"/>
    </row>
    <row r="90" spans="1:9" hidden="1" outlineLevel="2" x14ac:dyDescent="0.25">
      <c r="A90" s="175">
        <f t="shared" si="2"/>
        <v>24</v>
      </c>
      <c r="B90" s="175" t="s">
        <v>327</v>
      </c>
      <c r="C90" s="175" t="str">
        <f t="shared" si="3"/>
        <v>Armazenamento de instalações complementares*</v>
      </c>
      <c r="D90" s="175" t="s">
        <v>346</v>
      </c>
      <c r="E90" s="176" t="str">
        <f>_xlfn.XLOOKUP(D90,Insumos!$B$1:$B$764,Insumos!$C$1:$C$764)</f>
        <v>M</v>
      </c>
      <c r="F90" s="179">
        <v>4.3899999999999997</v>
      </c>
      <c r="G90" s="177">
        <f>IF(B90="insumo",_xlfn.XLOOKUP($D90,Insumos!$B$1:$B$764,Insumos!$D$1:$D$764),"")</f>
        <v>7</v>
      </c>
      <c r="H90" s="177" cm="1">
        <f t="array" ref="H90">_xlfn.IFS(B90="Serviço",SUMIFS(H91:$H$3085,C91:$C$3085,$C90),B90="Insumo",F90*G90,B90="Etapa","")</f>
        <v>30.729999999999997</v>
      </c>
      <c r="I90" s="178"/>
    </row>
    <row r="91" spans="1:9" hidden="1" outlineLevel="2" x14ac:dyDescent="0.25">
      <c r="A91" s="175">
        <f t="shared" si="2"/>
        <v>11</v>
      </c>
      <c r="B91" s="175" t="s">
        <v>327</v>
      </c>
      <c r="C91" s="175" t="str">
        <f t="shared" si="3"/>
        <v>Armazenamento de instalações complementares*</v>
      </c>
      <c r="D91" s="175" t="s">
        <v>347</v>
      </c>
      <c r="E91" s="176" t="str">
        <f>_xlfn.XLOOKUP(D91,Insumos!$B$1:$B$764,Insumos!$C$1:$C$764)</f>
        <v>M2</v>
      </c>
      <c r="F91" s="179">
        <v>0.15</v>
      </c>
      <c r="G91" s="177">
        <f>IF(B91="insumo",_xlfn.XLOOKUP($D91,Insumos!$B$1:$B$764,Insumos!$D$1:$D$764),"")</f>
        <v>46.5</v>
      </c>
      <c r="H91" s="177" cm="1">
        <f t="array" ref="H91">_xlfn.IFS(B91="Serviço",SUMIFS(H92:$H$3085,C92:$C$3085,$C91),B91="Insumo",F91*G91,B91="Etapa","")</f>
        <v>6.9749999999999996</v>
      </c>
      <c r="I91" s="178"/>
    </row>
    <row r="92" spans="1:9" hidden="1" outlineLevel="2" x14ac:dyDescent="0.25">
      <c r="A92" s="175">
        <f t="shared" si="2"/>
        <v>10</v>
      </c>
      <c r="B92" s="175" t="s">
        <v>327</v>
      </c>
      <c r="C92" s="175" t="str">
        <f t="shared" si="3"/>
        <v>Armazenamento de instalações complementares*</v>
      </c>
      <c r="D92" s="175" t="s">
        <v>348</v>
      </c>
      <c r="E92" s="176" t="str">
        <f>_xlfn.XLOOKUP(D92,Insumos!$B$1:$B$764,Insumos!$C$1:$C$764)</f>
        <v>M</v>
      </c>
      <c r="F92" s="179">
        <v>1</v>
      </c>
      <c r="G92" s="177">
        <f>IF(B92="insumo",_xlfn.XLOOKUP($D92,Insumos!$B$1:$B$764,Insumos!$D$1:$D$764),"")</f>
        <v>2</v>
      </c>
      <c r="H92" s="177" cm="1">
        <f t="array" ref="H92">_xlfn.IFS(B92="Serviço",SUMIFS(H93:$H$3085,C93:$C$3085,$C92),B92="Insumo",F92*G92,B92="Etapa","")</f>
        <v>2</v>
      </c>
      <c r="I92" s="178"/>
    </row>
    <row r="93" spans="1:9" hidden="1" outlineLevel="2" x14ac:dyDescent="0.25">
      <c r="A93" s="175">
        <f t="shared" si="2"/>
        <v>36</v>
      </c>
      <c r="B93" s="175" t="s">
        <v>327</v>
      </c>
      <c r="C93" s="175" t="str">
        <f t="shared" si="3"/>
        <v>Armazenamento de instalações complementares*</v>
      </c>
      <c r="D93" s="175" t="s">
        <v>349</v>
      </c>
      <c r="E93" s="176" t="str">
        <f>_xlfn.XLOOKUP(D93,Insumos!$B$1:$B$764,Insumos!$C$1:$C$764)</f>
        <v>KG</v>
      </c>
      <c r="F93" s="179">
        <v>1</v>
      </c>
      <c r="G93" s="177">
        <f>IF(B93="insumo",_xlfn.XLOOKUP($D93,Insumos!$B$1:$B$764,Insumos!$D$1:$D$764),"")</f>
        <v>18.13</v>
      </c>
      <c r="H93" s="177" cm="1">
        <f t="array" ref="H93">_xlfn.IFS(B93="Serviço",SUMIFS(H94:$H$3085,C94:$C$3085,$C93),B93="Insumo",F93*G93,B93="Etapa","")</f>
        <v>18.13</v>
      </c>
      <c r="I93" s="178"/>
    </row>
    <row r="94" spans="1:9" hidden="1" outlineLevel="2" x14ac:dyDescent="0.25">
      <c r="A94" s="175">
        <f t="shared" si="2"/>
        <v>10</v>
      </c>
      <c r="B94" s="175" t="s">
        <v>327</v>
      </c>
      <c r="C94" s="175" t="str">
        <f t="shared" si="3"/>
        <v>Armazenamento de instalações complementares*</v>
      </c>
      <c r="D94" s="175" t="s">
        <v>350</v>
      </c>
      <c r="E94" s="176" t="str">
        <f>_xlfn.XLOOKUP(D94,Insumos!$B$1:$B$764,Insumos!$C$1:$C$764)</f>
        <v>UN</v>
      </c>
      <c r="F94" s="179">
        <v>1.4999999999999999E-2</v>
      </c>
      <c r="G94" s="177">
        <f>IF(B94="insumo",_xlfn.XLOOKUP($D94,Insumos!$B$1:$B$764,Insumos!$D$1:$D$764),"")</f>
        <v>185.37</v>
      </c>
      <c r="H94" s="177" cm="1">
        <f t="array" ref="H94">_xlfn.IFS(B94="Serviço",SUMIFS(H95:$H$3085,C95:$C$3085,$C94),B94="Insumo",F94*G94,B94="Etapa","")</f>
        <v>2.7805499999999999</v>
      </c>
      <c r="I94" s="178"/>
    </row>
    <row r="95" spans="1:9" hidden="1" outlineLevel="2" x14ac:dyDescent="0.25">
      <c r="A95" s="175">
        <f t="shared" si="2"/>
        <v>10</v>
      </c>
      <c r="B95" s="175" t="s">
        <v>327</v>
      </c>
      <c r="C95" s="175" t="str">
        <f t="shared" si="3"/>
        <v>Armazenamento de instalações complementares*</v>
      </c>
      <c r="D95" s="175" t="s">
        <v>351</v>
      </c>
      <c r="E95" s="176" t="str">
        <f>_xlfn.XLOOKUP(D95,Insumos!$B$1:$B$764,Insumos!$C$1:$C$764)</f>
        <v>VB</v>
      </c>
      <c r="F95" s="179">
        <v>1</v>
      </c>
      <c r="G95" s="177">
        <f>IF(B95="insumo",_xlfn.XLOOKUP($D95,Insumos!$B$1:$B$764,Insumos!$D$1:$D$764),"")</f>
        <v>215</v>
      </c>
      <c r="H95" s="177" cm="1">
        <f t="array" ref="H95">_xlfn.IFS(B95="Serviço",SUMIFS(H96:$H$3085,C96:$C$3085,$C95),B95="Insumo",F95*G95,B95="Etapa","")</f>
        <v>215</v>
      </c>
      <c r="I95" s="178"/>
    </row>
    <row r="96" spans="1:9" hidden="1" outlineLevel="2" x14ac:dyDescent="0.25">
      <c r="A96" s="175">
        <f t="shared" si="2"/>
        <v>10</v>
      </c>
      <c r="B96" s="175" t="s">
        <v>327</v>
      </c>
      <c r="C96" s="175" t="str">
        <f t="shared" si="3"/>
        <v>Armazenamento de instalações complementares*</v>
      </c>
      <c r="D96" s="175" t="s">
        <v>352</v>
      </c>
      <c r="E96" s="176" t="str">
        <f>_xlfn.XLOOKUP(D96,Insumos!$B$1:$B$764,Insumos!$C$1:$C$764)</f>
        <v>M2</v>
      </c>
      <c r="F96" s="179">
        <v>1</v>
      </c>
      <c r="G96" s="177">
        <f>IF(B96="insumo",_xlfn.XLOOKUP($D96,Insumos!$B$1:$B$764,Insumos!$D$1:$D$764),"")</f>
        <v>50</v>
      </c>
      <c r="H96" s="177" cm="1">
        <f t="array" ref="H96">_xlfn.IFS(B96="Serviço",SUMIFS(H97:$H$3085,C97:$C$3085,$C96),B96="Insumo",F96*G96,B96="Etapa","")</f>
        <v>50</v>
      </c>
      <c r="I96" s="178"/>
    </row>
    <row r="97" spans="1:9" hidden="1" outlineLevel="1" collapsed="1" x14ac:dyDescent="0.25">
      <c r="A97" s="175">
        <f t="shared" si="2"/>
        <v>1</v>
      </c>
      <c r="B97" s="175" t="s">
        <v>109</v>
      </c>
      <c r="C97" s="175" t="str">
        <f t="shared" si="3"/>
        <v>Armazenamento para estoque geral*</v>
      </c>
      <c r="D97" s="175" t="s">
        <v>294</v>
      </c>
      <c r="E97" s="176" t="s">
        <v>13</v>
      </c>
      <c r="F97" s="175"/>
      <c r="G97" s="177" t="str">
        <f>IF(B97="insumo",_xlfn.XLOOKUP($D97,Insumos!$B$1:$B$764,Insumos!$D$1:$D$764),"")</f>
        <v/>
      </c>
      <c r="H97" s="177" cm="1">
        <f t="array" ref="H97">_xlfn.IFS(B97="Serviço",SUMIFS(H98:$H$3085,C98:$C$3085,$C97),B97="Insumo",F97*G97,B97="Etapa","")</f>
        <v>376.71488999999997</v>
      </c>
      <c r="I97" s="178" t="s">
        <v>195</v>
      </c>
    </row>
    <row r="98" spans="1:9" hidden="1" outlineLevel="2" x14ac:dyDescent="0.25">
      <c r="A98" s="175">
        <f t="shared" si="2"/>
        <v>11</v>
      </c>
      <c r="B98" s="175" t="s">
        <v>327</v>
      </c>
      <c r="C98" s="175" t="str">
        <f t="shared" si="3"/>
        <v>Armazenamento para estoque geral*</v>
      </c>
      <c r="D98" s="175" t="s">
        <v>344</v>
      </c>
      <c r="E98" s="176" t="str">
        <f>_xlfn.XLOOKUP(D98,Insumos!$B$1:$B$764,Insumos!$C$1:$C$764)</f>
        <v>M2</v>
      </c>
      <c r="F98" s="179">
        <v>0.59099999999999997</v>
      </c>
      <c r="G98" s="177">
        <f>IF(B98="insumo",_xlfn.XLOOKUP($D98,Insumos!$B$1:$B$764,Insumos!$D$1:$D$764),"")</f>
        <v>46.5</v>
      </c>
      <c r="H98" s="177" cm="1">
        <f t="array" ref="H98">_xlfn.IFS(B98="Serviço",SUMIFS(H99:$H$3085,C99:$C$3085,$C98),B98="Insumo",F98*G98,B98="Etapa","")</f>
        <v>27.481499999999997</v>
      </c>
      <c r="I98" s="178"/>
    </row>
    <row r="99" spans="1:9" hidden="1" outlineLevel="2" x14ac:dyDescent="0.25">
      <c r="A99" s="175">
        <f t="shared" si="2"/>
        <v>10</v>
      </c>
      <c r="B99" s="175" t="s">
        <v>327</v>
      </c>
      <c r="C99" s="175" t="str">
        <f t="shared" si="3"/>
        <v>Armazenamento para estoque geral*</v>
      </c>
      <c r="D99" s="175" t="s">
        <v>345</v>
      </c>
      <c r="E99" s="176" t="str">
        <f>_xlfn.XLOOKUP(D99,Insumos!$B$1:$B$764,Insumos!$C$1:$C$764)</f>
        <v>UN</v>
      </c>
      <c r="F99" s="179">
        <v>0.40400000000000003</v>
      </c>
      <c r="G99" s="177">
        <f>IF(B99="insumo",_xlfn.XLOOKUP($D99,Insumos!$B$1:$B$764,Insumos!$D$1:$D$764),"")</f>
        <v>58.46</v>
      </c>
      <c r="H99" s="177" cm="1">
        <f t="array" ref="H99">_xlfn.IFS(B99="Serviço",SUMIFS(H100:$H$3085,C100:$C$3085,$C99),B99="Insumo",F99*G99,B99="Etapa","")</f>
        <v>23.617840000000001</v>
      </c>
      <c r="I99" s="178"/>
    </row>
    <row r="100" spans="1:9" hidden="1" outlineLevel="2" x14ac:dyDescent="0.25">
      <c r="A100" s="175">
        <f t="shared" si="2"/>
        <v>24</v>
      </c>
      <c r="B100" s="175" t="s">
        <v>327</v>
      </c>
      <c r="C100" s="175" t="str">
        <f t="shared" si="3"/>
        <v>Armazenamento para estoque geral*</v>
      </c>
      <c r="D100" s="175" t="s">
        <v>346</v>
      </c>
      <c r="E100" s="176" t="str">
        <f>_xlfn.XLOOKUP(D100,Insumos!$B$1:$B$764,Insumos!$C$1:$C$764)</f>
        <v>M</v>
      </c>
      <c r="F100" s="179">
        <v>4.3899999999999997</v>
      </c>
      <c r="G100" s="177">
        <f>IF(B100="insumo",_xlfn.XLOOKUP($D100,Insumos!$B$1:$B$764,Insumos!$D$1:$D$764),"")</f>
        <v>7</v>
      </c>
      <c r="H100" s="177" cm="1">
        <f t="array" ref="H100">_xlfn.IFS(B100="Serviço",SUMIFS(H101:$H$3085,C101:$C$3085,$C100),B100="Insumo",F100*G100,B100="Etapa","")</f>
        <v>30.729999999999997</v>
      </c>
      <c r="I100" s="178"/>
    </row>
    <row r="101" spans="1:9" hidden="1" outlineLevel="2" x14ac:dyDescent="0.25">
      <c r="A101" s="175">
        <f t="shared" si="2"/>
        <v>11</v>
      </c>
      <c r="B101" s="175" t="s">
        <v>327</v>
      </c>
      <c r="C101" s="175" t="str">
        <f t="shared" si="3"/>
        <v>Armazenamento para estoque geral*</v>
      </c>
      <c r="D101" s="175" t="s">
        <v>347</v>
      </c>
      <c r="E101" s="176" t="str">
        <f>_xlfn.XLOOKUP(D101,Insumos!$B$1:$B$764,Insumos!$C$1:$C$764)</f>
        <v>M2</v>
      </c>
      <c r="F101" s="179">
        <v>0.15</v>
      </c>
      <c r="G101" s="177">
        <f>IF(B101="insumo",_xlfn.XLOOKUP($D101,Insumos!$B$1:$B$764,Insumos!$D$1:$D$764),"")</f>
        <v>46.5</v>
      </c>
      <c r="H101" s="177" cm="1">
        <f t="array" ref="H101">_xlfn.IFS(B101="Serviço",SUMIFS(H102:$H$3085,C102:$C$3085,$C101),B101="Insumo",F101*G101,B101="Etapa","")</f>
        <v>6.9749999999999996</v>
      </c>
      <c r="I101" s="178"/>
    </row>
    <row r="102" spans="1:9" hidden="1" outlineLevel="2" x14ac:dyDescent="0.25">
      <c r="A102" s="175">
        <f t="shared" si="2"/>
        <v>10</v>
      </c>
      <c r="B102" s="175" t="s">
        <v>327</v>
      </c>
      <c r="C102" s="175" t="str">
        <f t="shared" si="3"/>
        <v>Armazenamento para estoque geral*</v>
      </c>
      <c r="D102" s="175" t="s">
        <v>348</v>
      </c>
      <c r="E102" s="176" t="str">
        <f>_xlfn.XLOOKUP(D102,Insumos!$B$1:$B$764,Insumos!$C$1:$C$764)</f>
        <v>M</v>
      </c>
      <c r="F102" s="179">
        <v>1</v>
      </c>
      <c r="G102" s="177">
        <f>IF(B102="insumo",_xlfn.XLOOKUP($D102,Insumos!$B$1:$B$764,Insumos!$D$1:$D$764),"")</f>
        <v>2</v>
      </c>
      <c r="H102" s="177" cm="1">
        <f t="array" ref="H102">_xlfn.IFS(B102="Serviço",SUMIFS(H103:$H$3085,C103:$C$3085,$C102),B102="Insumo",F102*G102,B102="Etapa","")</f>
        <v>2</v>
      </c>
      <c r="I102" s="178"/>
    </row>
    <row r="103" spans="1:9" hidden="1" outlineLevel="2" x14ac:dyDescent="0.25">
      <c r="A103" s="175">
        <f t="shared" si="2"/>
        <v>36</v>
      </c>
      <c r="B103" s="175" t="s">
        <v>327</v>
      </c>
      <c r="C103" s="175" t="str">
        <f t="shared" si="3"/>
        <v>Armazenamento para estoque geral*</v>
      </c>
      <c r="D103" s="175" t="s">
        <v>349</v>
      </c>
      <c r="E103" s="176" t="str">
        <f>_xlfn.XLOOKUP(D103,Insumos!$B$1:$B$764,Insumos!$C$1:$C$764)</f>
        <v>KG</v>
      </c>
      <c r="F103" s="179">
        <v>1</v>
      </c>
      <c r="G103" s="177">
        <f>IF(B103="insumo",_xlfn.XLOOKUP($D103,Insumos!$B$1:$B$764,Insumos!$D$1:$D$764),"")</f>
        <v>18.13</v>
      </c>
      <c r="H103" s="177" cm="1">
        <f t="array" ref="H103">_xlfn.IFS(B103="Serviço",SUMIFS(H104:$H$3085,C104:$C$3085,$C103),B103="Insumo",F103*G103,B103="Etapa","")</f>
        <v>18.13</v>
      </c>
      <c r="I103" s="178"/>
    </row>
    <row r="104" spans="1:9" hidden="1" outlineLevel="2" x14ac:dyDescent="0.25">
      <c r="A104" s="175">
        <f t="shared" si="2"/>
        <v>10</v>
      </c>
      <c r="B104" s="175" t="s">
        <v>327</v>
      </c>
      <c r="C104" s="175" t="str">
        <f t="shared" si="3"/>
        <v>Armazenamento para estoque geral*</v>
      </c>
      <c r="D104" s="175" t="s">
        <v>350</v>
      </c>
      <c r="E104" s="176" t="str">
        <f>_xlfn.XLOOKUP(D104,Insumos!$B$1:$B$764,Insumos!$C$1:$C$764)</f>
        <v>UN</v>
      </c>
      <c r="F104" s="179">
        <v>1.4999999999999999E-2</v>
      </c>
      <c r="G104" s="177">
        <f>IF(B104="insumo",_xlfn.XLOOKUP($D104,Insumos!$B$1:$B$764,Insumos!$D$1:$D$764),"")</f>
        <v>185.37</v>
      </c>
      <c r="H104" s="177" cm="1">
        <f t="array" ref="H104">_xlfn.IFS(B104="Serviço",SUMIFS(H105:$H$3085,C105:$C$3085,$C104),B104="Insumo",F104*G104,B104="Etapa","")</f>
        <v>2.7805499999999999</v>
      </c>
      <c r="I104" s="178"/>
    </row>
    <row r="105" spans="1:9" hidden="1" outlineLevel="2" x14ac:dyDescent="0.25">
      <c r="A105" s="175">
        <f t="shared" si="2"/>
        <v>10</v>
      </c>
      <c r="B105" s="175" t="s">
        <v>327</v>
      </c>
      <c r="C105" s="175" t="str">
        <f t="shared" si="3"/>
        <v>Armazenamento para estoque geral*</v>
      </c>
      <c r="D105" s="175" t="s">
        <v>351</v>
      </c>
      <c r="E105" s="176" t="str">
        <f>_xlfn.XLOOKUP(D105,Insumos!$B$1:$B$764,Insumos!$C$1:$C$764)</f>
        <v>VB</v>
      </c>
      <c r="F105" s="179">
        <v>1</v>
      </c>
      <c r="G105" s="177">
        <f>IF(B105="insumo",_xlfn.XLOOKUP($D105,Insumos!$B$1:$B$764,Insumos!$D$1:$D$764),"")</f>
        <v>215</v>
      </c>
      <c r="H105" s="177" cm="1">
        <f t="array" ref="H105">_xlfn.IFS(B105="Serviço",SUMIFS(H106:$H$3085,C106:$C$3085,$C105),B105="Insumo",F105*G105,B105="Etapa","")</f>
        <v>215</v>
      </c>
      <c r="I105" s="178"/>
    </row>
    <row r="106" spans="1:9" hidden="1" outlineLevel="2" x14ac:dyDescent="0.25">
      <c r="A106" s="175">
        <f t="shared" si="2"/>
        <v>10</v>
      </c>
      <c r="B106" s="175" t="s">
        <v>327</v>
      </c>
      <c r="C106" s="175" t="str">
        <f t="shared" si="3"/>
        <v>Armazenamento para estoque geral*</v>
      </c>
      <c r="D106" s="175" t="s">
        <v>352</v>
      </c>
      <c r="E106" s="176" t="str">
        <f>_xlfn.XLOOKUP(D106,Insumos!$B$1:$B$764,Insumos!$C$1:$C$764)</f>
        <v>M2</v>
      </c>
      <c r="F106" s="179">
        <v>1</v>
      </c>
      <c r="G106" s="177">
        <f>IF(B106="insumo",_xlfn.XLOOKUP($D106,Insumos!$B$1:$B$764,Insumos!$D$1:$D$764),"")</f>
        <v>50</v>
      </c>
      <c r="H106" s="177" cm="1">
        <f t="array" ref="H106">_xlfn.IFS(B106="Serviço",SUMIFS(H107:$H$3085,C107:$C$3085,$C106),B106="Insumo",F106*G106,B106="Etapa","")</f>
        <v>50</v>
      </c>
      <c r="I106" s="178"/>
    </row>
    <row r="107" spans="1:9" hidden="1" outlineLevel="1" collapsed="1" x14ac:dyDescent="0.25">
      <c r="A107" s="175">
        <f t="shared" si="2"/>
        <v>1</v>
      </c>
      <c r="B107" s="175" t="s">
        <v>109</v>
      </c>
      <c r="C107" s="175" t="str">
        <f t="shared" si="3"/>
        <v>Construções temporárias</v>
      </c>
      <c r="D107" s="175" t="s">
        <v>295</v>
      </c>
      <c r="E107" s="176" t="s">
        <v>13</v>
      </c>
      <c r="F107" s="175"/>
      <c r="G107" s="177" t="str">
        <f>IF(B107="insumo",_xlfn.XLOOKUP($D107,Insumos!$B$1:$B$764,Insumos!$D$1:$D$764),"")</f>
        <v/>
      </c>
      <c r="H107" s="177" cm="1">
        <f t="array" ref="H107">_xlfn.IFS(B107="Serviço",SUMIFS(H108:$H$3085,C108:$C$3085,$C107),B107="Insumo",F107*G107,B107="Etapa","")</f>
        <v>449.1549</v>
      </c>
      <c r="I107" s="178" t="s">
        <v>195</v>
      </c>
    </row>
    <row r="108" spans="1:9" hidden="1" outlineLevel="2" x14ac:dyDescent="0.25">
      <c r="A108" s="175">
        <f t="shared" si="2"/>
        <v>11</v>
      </c>
      <c r="B108" s="175" t="s">
        <v>327</v>
      </c>
      <c r="C108" s="175" t="str">
        <f t="shared" si="3"/>
        <v>Construções temporárias</v>
      </c>
      <c r="D108" s="175" t="s">
        <v>344</v>
      </c>
      <c r="E108" s="176" t="str">
        <f>_xlfn.XLOOKUP(D108,Insumos!$B$1:$B$764,Insumos!$C$1:$C$764)</f>
        <v>M2</v>
      </c>
      <c r="F108" s="179">
        <v>0.59099999999999997</v>
      </c>
      <c r="G108" s="177">
        <f>IF(B108="insumo",_xlfn.XLOOKUP($D108,Insumos!$B$1:$B$764,Insumos!$D$1:$D$764),"")</f>
        <v>46.5</v>
      </c>
      <c r="H108" s="177" cm="1">
        <f t="array" ref="H108">_xlfn.IFS(B108="Serviço",SUMIFS(H109:$H$3085,C109:$C$3085,$C108),B108="Insumo",F108*G108,B108="Etapa","")</f>
        <v>27.481499999999997</v>
      </c>
      <c r="I108" s="178"/>
    </row>
    <row r="109" spans="1:9" hidden="1" outlineLevel="2" x14ac:dyDescent="0.25">
      <c r="A109" s="175">
        <f t="shared" si="2"/>
        <v>10</v>
      </c>
      <c r="B109" s="175" t="s">
        <v>327</v>
      </c>
      <c r="C109" s="175" t="str">
        <f t="shared" si="3"/>
        <v>Construções temporárias</v>
      </c>
      <c r="D109" s="175" t="s">
        <v>345</v>
      </c>
      <c r="E109" s="176" t="str">
        <f>_xlfn.XLOOKUP(D109,Insumos!$B$1:$B$764,Insumos!$C$1:$C$764)</f>
        <v>UN</v>
      </c>
      <c r="F109" s="179">
        <v>0.40400000000000003</v>
      </c>
      <c r="G109" s="177">
        <f>IF(B109="insumo",_xlfn.XLOOKUP($D109,Insumos!$B$1:$B$764,Insumos!$D$1:$D$764),"")</f>
        <v>58.46</v>
      </c>
      <c r="H109" s="177" cm="1">
        <f t="array" ref="H109">_xlfn.IFS(B109="Serviço",SUMIFS(H110:$H$3085,C110:$C$3085,$C109),B109="Insumo",F109*G109,B109="Etapa","")</f>
        <v>23.617840000000001</v>
      </c>
      <c r="I109" s="178"/>
    </row>
    <row r="110" spans="1:9" hidden="1" outlineLevel="2" x14ac:dyDescent="0.25">
      <c r="A110" s="175">
        <f t="shared" si="2"/>
        <v>24</v>
      </c>
      <c r="B110" s="175" t="s">
        <v>327</v>
      </c>
      <c r="C110" s="175" t="str">
        <f t="shared" si="3"/>
        <v>Construções temporárias</v>
      </c>
      <c r="D110" s="175" t="s">
        <v>346</v>
      </c>
      <c r="E110" s="176" t="str">
        <f>_xlfn.XLOOKUP(D110,Insumos!$B$1:$B$764,Insumos!$C$1:$C$764)</f>
        <v>M</v>
      </c>
      <c r="F110" s="179">
        <v>4.3899999999999997</v>
      </c>
      <c r="G110" s="177">
        <f>IF(B110="insumo",_xlfn.XLOOKUP($D110,Insumos!$B$1:$B$764,Insumos!$D$1:$D$764),"")</f>
        <v>7</v>
      </c>
      <c r="H110" s="177" cm="1">
        <f t="array" ref="H110">_xlfn.IFS(B110="Serviço",SUMIFS(H111:$H$3085,C111:$C$3085,$C110),B110="Insumo",F110*G110,B110="Etapa","")</f>
        <v>30.729999999999997</v>
      </c>
      <c r="I110" s="178"/>
    </row>
    <row r="111" spans="1:9" hidden="1" outlineLevel="2" x14ac:dyDescent="0.25">
      <c r="A111" s="175">
        <f t="shared" si="2"/>
        <v>11</v>
      </c>
      <c r="B111" s="175" t="s">
        <v>327</v>
      </c>
      <c r="C111" s="175" t="str">
        <f t="shared" si="3"/>
        <v>Construções temporárias</v>
      </c>
      <c r="D111" s="175" t="s">
        <v>347</v>
      </c>
      <c r="E111" s="176" t="str">
        <f>_xlfn.XLOOKUP(D111,Insumos!$B$1:$B$764,Insumos!$C$1:$C$764)</f>
        <v>M2</v>
      </c>
      <c r="F111" s="179">
        <v>0.15</v>
      </c>
      <c r="G111" s="177">
        <f>IF(B111="insumo",_xlfn.XLOOKUP($D111,Insumos!$B$1:$B$764,Insumos!$D$1:$D$764),"")</f>
        <v>46.5</v>
      </c>
      <c r="H111" s="177" cm="1">
        <f t="array" ref="H111">_xlfn.IFS(B111="Serviço",SUMIFS(H112:$H$3085,C112:$C$3085,$C111),B111="Insumo",F111*G111,B111="Etapa","")</f>
        <v>6.9749999999999996</v>
      </c>
      <c r="I111" s="178"/>
    </row>
    <row r="112" spans="1:9" hidden="1" outlineLevel="2" x14ac:dyDescent="0.25">
      <c r="A112" s="175">
        <f t="shared" si="2"/>
        <v>10</v>
      </c>
      <c r="B112" s="175" t="s">
        <v>327</v>
      </c>
      <c r="C112" s="175" t="str">
        <f t="shared" si="3"/>
        <v>Construções temporárias</v>
      </c>
      <c r="D112" s="175" t="s">
        <v>348</v>
      </c>
      <c r="E112" s="176" t="str">
        <f>_xlfn.XLOOKUP(D112,Insumos!$B$1:$B$764,Insumos!$C$1:$C$764)</f>
        <v>M</v>
      </c>
      <c r="F112" s="179">
        <v>1</v>
      </c>
      <c r="G112" s="177">
        <f>IF(B112="insumo",_xlfn.XLOOKUP($D112,Insumos!$B$1:$B$764,Insumos!$D$1:$D$764),"")</f>
        <v>2</v>
      </c>
      <c r="H112" s="177" cm="1">
        <f t="array" ref="H112">_xlfn.IFS(B112="Serviço",SUMIFS(H113:$H$3085,C113:$C$3085,$C112),B112="Insumo",F112*G112,B112="Etapa","")</f>
        <v>2</v>
      </c>
      <c r="I112" s="178"/>
    </row>
    <row r="113" spans="1:9" hidden="1" outlineLevel="2" x14ac:dyDescent="0.25">
      <c r="A113" s="175">
        <f t="shared" si="2"/>
        <v>36</v>
      </c>
      <c r="B113" s="175" t="s">
        <v>327</v>
      </c>
      <c r="C113" s="175" t="str">
        <f t="shared" si="3"/>
        <v>Construções temporárias</v>
      </c>
      <c r="D113" s="175" t="s">
        <v>349</v>
      </c>
      <c r="E113" s="176" t="str">
        <f>_xlfn.XLOOKUP(D113,Insumos!$B$1:$B$764,Insumos!$C$1:$C$764)</f>
        <v>KG</v>
      </c>
      <c r="F113" s="179">
        <v>1</v>
      </c>
      <c r="G113" s="177">
        <f>IF(B113="insumo",_xlfn.XLOOKUP($D113,Insumos!$B$1:$B$764,Insumos!$D$1:$D$764),"")</f>
        <v>18.13</v>
      </c>
      <c r="H113" s="177" cm="1">
        <f t="array" ref="H113">_xlfn.IFS(B113="Serviço",SUMIFS(H114:$H$3085,C114:$C$3085,$C113),B113="Insumo",F113*G113,B113="Etapa","")</f>
        <v>18.13</v>
      </c>
      <c r="I113" s="178"/>
    </row>
    <row r="114" spans="1:9" hidden="1" outlineLevel="2" x14ac:dyDescent="0.25">
      <c r="A114" s="175">
        <f t="shared" si="2"/>
        <v>9</v>
      </c>
      <c r="B114" s="175" t="s">
        <v>327</v>
      </c>
      <c r="C114" s="175" t="str">
        <f t="shared" si="3"/>
        <v>Construções temporárias</v>
      </c>
      <c r="D114" s="175" t="s">
        <v>339</v>
      </c>
      <c r="E114" s="176" t="str">
        <f>_xlfn.XLOOKUP(D114,Insumos!$B$1:$B$764,Insumos!$C$1:$C$764)</f>
        <v>M3</v>
      </c>
      <c r="F114" s="179">
        <v>7.3999999999999996E-2</v>
      </c>
      <c r="G114" s="177">
        <f>IF(B114="insumo",_xlfn.XLOOKUP($D114,Insumos!$B$1:$B$764,Insumos!$D$1:$D$764),"")</f>
        <v>490</v>
      </c>
      <c r="H114" s="177" cm="1">
        <f t="array" ref="H114">_xlfn.IFS(B114="Serviço",SUMIFS(H115:$H$3085,C115:$C$3085,$C114),B114="Insumo",F114*G114,B114="Etapa","")</f>
        <v>36.26</v>
      </c>
      <c r="I114" s="178"/>
    </row>
    <row r="115" spans="1:9" hidden="1" outlineLevel="2" x14ac:dyDescent="0.25">
      <c r="A115" s="175">
        <f t="shared" si="2"/>
        <v>2</v>
      </c>
      <c r="B115" s="175" t="s">
        <v>327</v>
      </c>
      <c r="C115" s="175" t="str">
        <f t="shared" si="3"/>
        <v>Construções temporárias</v>
      </c>
      <c r="D115" s="175" t="s">
        <v>353</v>
      </c>
      <c r="E115" s="176" t="str">
        <f>_xlfn.XLOOKUP(D115,Insumos!$B$1:$B$764,Insumos!$C$1:$C$764)</f>
        <v>KG</v>
      </c>
      <c r="F115" s="179">
        <v>1.3339999999999999</v>
      </c>
      <c r="G115" s="177">
        <f>IF(B115="insumo",_xlfn.XLOOKUP($D115,Insumos!$B$1:$B$764,Insumos!$D$1:$D$764),"")</f>
        <v>6.1</v>
      </c>
      <c r="H115" s="177" cm="1">
        <f t="array" ref="H115">_xlfn.IFS(B115="Serviço",SUMIFS(H116:$H$3085,C116:$C$3085,$C115),B115="Insumo",F115*G115,B115="Etapa","")</f>
        <v>8.1373999999999977</v>
      </c>
      <c r="I115" s="178"/>
    </row>
    <row r="116" spans="1:9" hidden="1" outlineLevel="2" x14ac:dyDescent="0.25">
      <c r="A116" s="175">
        <f t="shared" si="2"/>
        <v>2</v>
      </c>
      <c r="B116" s="175" t="s">
        <v>327</v>
      </c>
      <c r="C116" s="175" t="str">
        <f t="shared" si="3"/>
        <v>Construções temporárias</v>
      </c>
      <c r="D116" s="175" t="s">
        <v>354</v>
      </c>
      <c r="E116" s="176" t="str">
        <f>_xlfn.XLOOKUP(D116,Insumos!$B$1:$B$764,Insumos!$C$1:$C$764)</f>
        <v>M2</v>
      </c>
      <c r="F116" s="179">
        <v>1.19</v>
      </c>
      <c r="G116" s="177">
        <f>IF(B116="insumo",_xlfn.XLOOKUP($D116,Insumos!$B$1:$B$764,Insumos!$D$1:$D$764),"")</f>
        <v>21.31</v>
      </c>
      <c r="H116" s="177" cm="1">
        <f t="array" ref="H116">_xlfn.IFS(B116="Serviço",SUMIFS(H117:$H$3085,C117:$C$3085,$C116),B116="Insumo",F116*G116,B116="Etapa","")</f>
        <v>25.358899999999998</v>
      </c>
      <c r="I116" s="178"/>
    </row>
    <row r="117" spans="1:9" hidden="1" outlineLevel="2" x14ac:dyDescent="0.25">
      <c r="A117" s="175">
        <f t="shared" si="2"/>
        <v>2</v>
      </c>
      <c r="B117" s="175" t="s">
        <v>327</v>
      </c>
      <c r="C117" s="175" t="str">
        <f t="shared" si="3"/>
        <v>Construções temporárias</v>
      </c>
      <c r="D117" s="175" t="s">
        <v>355</v>
      </c>
      <c r="E117" s="176" t="str">
        <f>_xlfn.XLOOKUP(D117,Insumos!$B$1:$B$764,Insumos!$C$1:$C$764)</f>
        <v>L</v>
      </c>
      <c r="F117" s="179">
        <v>0.18</v>
      </c>
      <c r="G117" s="177">
        <f>IF(B117="insumo",_xlfn.XLOOKUP($D117,Insumos!$B$1:$B$764,Insumos!$D$1:$D$764),"")</f>
        <v>8.5</v>
      </c>
      <c r="H117" s="177" cm="1">
        <f t="array" ref="H117">_xlfn.IFS(B117="Serviço",SUMIFS(H118:$H$3085,C118:$C$3085,$C117),B117="Insumo",F117*G117,B117="Etapa","")</f>
        <v>1.53</v>
      </c>
      <c r="I117" s="178"/>
    </row>
    <row r="118" spans="1:9" hidden="1" outlineLevel="2" x14ac:dyDescent="0.25">
      <c r="A118" s="175">
        <f t="shared" si="2"/>
        <v>2</v>
      </c>
      <c r="B118" s="175" t="s">
        <v>327</v>
      </c>
      <c r="C118" s="175" t="str">
        <f t="shared" si="3"/>
        <v>Construções temporárias</v>
      </c>
      <c r="D118" s="175" t="s">
        <v>356</v>
      </c>
      <c r="E118" s="176" t="str">
        <f>_xlfn.XLOOKUP(D118,Insumos!$B$1:$B$764,Insumos!$C$1:$C$764)</f>
        <v>KG</v>
      </c>
      <c r="F118" s="179">
        <v>0.06</v>
      </c>
      <c r="G118" s="177">
        <f>IF(B118="insumo",_xlfn.XLOOKUP($D118,Insumos!$B$1:$B$764,Insumos!$D$1:$D$764),"")</f>
        <v>10</v>
      </c>
      <c r="H118" s="177" cm="1">
        <f t="array" ref="H118">_xlfn.IFS(B118="Serviço",SUMIFS(H119:$H$3085,C119:$C$3085,$C118),B118="Insumo",F118*G118,B118="Etapa","")</f>
        <v>0.6</v>
      </c>
      <c r="I118" s="178"/>
    </row>
    <row r="119" spans="1:9" hidden="1" outlineLevel="2" x14ac:dyDescent="0.25">
      <c r="A119" s="175">
        <f t="shared" si="2"/>
        <v>2</v>
      </c>
      <c r="B119" s="175" t="s">
        <v>327</v>
      </c>
      <c r="C119" s="175" t="str">
        <f t="shared" si="3"/>
        <v>Construções temporárias</v>
      </c>
      <c r="D119" s="175" t="s">
        <v>357</v>
      </c>
      <c r="E119" s="176" t="str">
        <f>_xlfn.XLOOKUP(D119,Insumos!$B$1:$B$764,Insumos!$C$1:$C$764)</f>
        <v>L</v>
      </c>
      <c r="F119" s="179">
        <v>0.03</v>
      </c>
      <c r="G119" s="177">
        <f>IF(B119="insumo",_xlfn.XLOOKUP($D119,Insumos!$B$1:$B$764,Insumos!$D$1:$D$764),"")</f>
        <v>16</v>
      </c>
      <c r="H119" s="177" cm="1">
        <f t="array" ref="H119">_xlfn.IFS(B119="Serviço",SUMIFS(H120:$H$3085,C120:$C$3085,$C119),B119="Insumo",F119*G119,B119="Etapa","")</f>
        <v>0.48</v>
      </c>
      <c r="I119" s="178"/>
    </row>
    <row r="120" spans="1:9" hidden="1" outlineLevel="2" x14ac:dyDescent="0.25">
      <c r="A120" s="175">
        <f t="shared" si="2"/>
        <v>26</v>
      </c>
      <c r="B120" s="175" t="s">
        <v>327</v>
      </c>
      <c r="C120" s="175" t="str">
        <f t="shared" si="3"/>
        <v>Construções temporárias</v>
      </c>
      <c r="D120" s="175" t="s">
        <v>358</v>
      </c>
      <c r="E120" s="176" t="str">
        <f>_xlfn.XLOOKUP(D120,Insumos!$B$1:$B$764,Insumos!$C$1:$C$764)</f>
        <v>UN</v>
      </c>
      <c r="F120" s="179">
        <v>3.9E-2</v>
      </c>
      <c r="G120" s="177">
        <f>IF(B120="insumo",_xlfn.XLOOKUP($D120,Insumos!$B$1:$B$764,Insumos!$D$1:$D$764),"")</f>
        <v>1.89</v>
      </c>
      <c r="H120" s="177" cm="1">
        <f t="array" ref="H120">_xlfn.IFS(B120="Serviço",SUMIFS(H121:$H$3085,C121:$C$3085,$C120),B120="Insumo",F120*G120,B120="Etapa","")</f>
        <v>7.3709999999999998E-2</v>
      </c>
      <c r="I120" s="178"/>
    </row>
    <row r="121" spans="1:9" hidden="1" outlineLevel="2" x14ac:dyDescent="0.25">
      <c r="A121" s="175">
        <f t="shared" si="2"/>
        <v>10</v>
      </c>
      <c r="B121" s="175" t="s">
        <v>327</v>
      </c>
      <c r="C121" s="175" t="str">
        <f t="shared" si="3"/>
        <v>Construções temporárias</v>
      </c>
      <c r="D121" s="175" t="s">
        <v>350</v>
      </c>
      <c r="E121" s="176" t="str">
        <f>_xlfn.XLOOKUP(D121,Insumos!$B$1:$B$764,Insumos!$C$1:$C$764)</f>
        <v>UN</v>
      </c>
      <c r="F121" s="179">
        <v>1.4999999999999999E-2</v>
      </c>
      <c r="G121" s="177">
        <f>IF(B121="insumo",_xlfn.XLOOKUP($D121,Insumos!$B$1:$B$764,Insumos!$D$1:$D$764),"")</f>
        <v>185.37</v>
      </c>
      <c r="H121" s="177" cm="1">
        <f t="array" ref="H121">_xlfn.IFS(B121="Serviço",SUMIFS(H122:$H$3085,C122:$C$3085,$C121),B121="Insumo",F121*G121,B121="Etapa","")</f>
        <v>2.7805499999999999</v>
      </c>
      <c r="I121" s="178"/>
    </row>
    <row r="122" spans="1:9" hidden="1" outlineLevel="2" x14ac:dyDescent="0.25">
      <c r="A122" s="175">
        <f t="shared" si="2"/>
        <v>10</v>
      </c>
      <c r="B122" s="175" t="s">
        <v>327</v>
      </c>
      <c r="C122" s="175" t="str">
        <f t="shared" si="3"/>
        <v>Construções temporárias</v>
      </c>
      <c r="D122" s="175" t="s">
        <v>351</v>
      </c>
      <c r="E122" s="176" t="str">
        <f>_xlfn.XLOOKUP(D122,Insumos!$B$1:$B$764,Insumos!$C$1:$C$764)</f>
        <v>VB</v>
      </c>
      <c r="F122" s="179">
        <v>1</v>
      </c>
      <c r="G122" s="177">
        <f>IF(B122="insumo",_xlfn.XLOOKUP($D122,Insumos!$B$1:$B$764,Insumos!$D$1:$D$764),"")</f>
        <v>215</v>
      </c>
      <c r="H122" s="177" cm="1">
        <f t="array" ref="H122">_xlfn.IFS(B122="Serviço",SUMIFS(H123:$H$3085,C123:$C$3085,$C122),B122="Insumo",F122*G122,B122="Etapa","")</f>
        <v>215</v>
      </c>
      <c r="I122" s="178"/>
    </row>
    <row r="123" spans="1:9" hidden="1" outlineLevel="2" x14ac:dyDescent="0.25">
      <c r="A123" s="175">
        <f t="shared" si="2"/>
        <v>10</v>
      </c>
      <c r="B123" s="175" t="s">
        <v>327</v>
      </c>
      <c r="C123" s="175" t="str">
        <f t="shared" si="3"/>
        <v>Construções temporárias</v>
      </c>
      <c r="D123" s="175" t="s">
        <v>352</v>
      </c>
      <c r="E123" s="176" t="str">
        <f>_xlfn.XLOOKUP(D123,Insumos!$B$1:$B$764,Insumos!$C$1:$C$764)</f>
        <v>M2</v>
      </c>
      <c r="F123" s="179">
        <v>1</v>
      </c>
      <c r="G123" s="177">
        <f>IF(B123="insumo",_xlfn.XLOOKUP($D123,Insumos!$B$1:$B$764,Insumos!$D$1:$D$764),"")</f>
        <v>50</v>
      </c>
      <c r="H123" s="177" cm="1">
        <f t="array" ref="H123">_xlfn.IFS(B123="Serviço",SUMIFS(H124:$H$3085,C124:$C$3085,$C123),B123="Insumo",F123*G123,B123="Etapa","")</f>
        <v>50</v>
      </c>
      <c r="I123" s="178"/>
    </row>
    <row r="124" spans="1:9" hidden="1" outlineLevel="1" collapsed="1" x14ac:dyDescent="0.25">
      <c r="A124" s="175">
        <f t="shared" si="2"/>
        <v>1</v>
      </c>
      <c r="B124" s="175" t="s">
        <v>109</v>
      </c>
      <c r="C124" s="175" t="str">
        <f t="shared" si="3"/>
        <v>Almoxarifado geral</v>
      </c>
      <c r="D124" s="175" t="s">
        <v>296</v>
      </c>
      <c r="E124" s="176" t="s">
        <v>13</v>
      </c>
      <c r="F124" s="175"/>
      <c r="G124" s="177" t="str">
        <f>IF(B124="insumo",_xlfn.XLOOKUP($D124,Insumos!$B$1:$B$764,Insumos!$D$1:$D$764),"")</f>
        <v/>
      </c>
      <c r="H124" s="177" cm="1">
        <f t="array" ref="H124">_xlfn.IFS(B124="Serviço",SUMIFS(H125:$H$3085,C125:$C$3085,$C124),B124="Insumo",F124*G124,B124="Etapa","")</f>
        <v>449.1549</v>
      </c>
      <c r="I124" s="178" t="s">
        <v>195</v>
      </c>
    </row>
    <row r="125" spans="1:9" hidden="1" outlineLevel="2" x14ac:dyDescent="0.25">
      <c r="A125" s="175">
        <f t="shared" si="2"/>
        <v>11</v>
      </c>
      <c r="B125" s="175" t="s">
        <v>327</v>
      </c>
      <c r="C125" s="175" t="str">
        <f t="shared" si="3"/>
        <v>Almoxarifado geral</v>
      </c>
      <c r="D125" s="175" t="s">
        <v>344</v>
      </c>
      <c r="E125" s="176" t="str">
        <f>_xlfn.XLOOKUP(D125,Insumos!$B$1:$B$764,Insumos!$C$1:$C$764)</f>
        <v>M2</v>
      </c>
      <c r="F125" s="179">
        <v>0.59099999999999997</v>
      </c>
      <c r="G125" s="177">
        <f>IF(B125="insumo",_xlfn.XLOOKUP($D125,Insumos!$B$1:$B$764,Insumos!$D$1:$D$764),"")</f>
        <v>46.5</v>
      </c>
      <c r="H125" s="177" cm="1">
        <f t="array" ref="H125">_xlfn.IFS(B125="Serviço",SUMIFS(H126:$H$3085,C126:$C$3085,$C125),B125="Insumo",F125*G125,B125="Etapa","")</f>
        <v>27.481499999999997</v>
      </c>
      <c r="I125" s="178"/>
    </row>
    <row r="126" spans="1:9" hidden="1" outlineLevel="2" x14ac:dyDescent="0.25">
      <c r="A126" s="175">
        <f t="shared" si="2"/>
        <v>10</v>
      </c>
      <c r="B126" s="175" t="s">
        <v>327</v>
      </c>
      <c r="C126" s="175" t="str">
        <f t="shared" si="3"/>
        <v>Almoxarifado geral</v>
      </c>
      <c r="D126" s="175" t="s">
        <v>345</v>
      </c>
      <c r="E126" s="176" t="str">
        <f>_xlfn.XLOOKUP(D126,Insumos!$B$1:$B$764,Insumos!$C$1:$C$764)</f>
        <v>UN</v>
      </c>
      <c r="F126" s="179">
        <v>0.40400000000000003</v>
      </c>
      <c r="G126" s="177">
        <f>IF(B126="insumo",_xlfn.XLOOKUP($D126,Insumos!$B$1:$B$764,Insumos!$D$1:$D$764),"")</f>
        <v>58.46</v>
      </c>
      <c r="H126" s="177" cm="1">
        <f t="array" ref="H126">_xlfn.IFS(B126="Serviço",SUMIFS(H127:$H$3085,C127:$C$3085,$C126),B126="Insumo",F126*G126,B126="Etapa","")</f>
        <v>23.617840000000001</v>
      </c>
      <c r="I126" s="178"/>
    </row>
    <row r="127" spans="1:9" hidden="1" outlineLevel="2" x14ac:dyDescent="0.25">
      <c r="A127" s="175">
        <f t="shared" si="2"/>
        <v>24</v>
      </c>
      <c r="B127" s="175" t="s">
        <v>327</v>
      </c>
      <c r="C127" s="175" t="str">
        <f t="shared" si="3"/>
        <v>Almoxarifado geral</v>
      </c>
      <c r="D127" s="175" t="s">
        <v>346</v>
      </c>
      <c r="E127" s="176" t="str">
        <f>_xlfn.XLOOKUP(D127,Insumos!$B$1:$B$764,Insumos!$C$1:$C$764)</f>
        <v>M</v>
      </c>
      <c r="F127" s="179">
        <v>4.3899999999999997</v>
      </c>
      <c r="G127" s="177">
        <f>IF(B127="insumo",_xlfn.XLOOKUP($D127,Insumos!$B$1:$B$764,Insumos!$D$1:$D$764),"")</f>
        <v>7</v>
      </c>
      <c r="H127" s="177" cm="1">
        <f t="array" ref="H127">_xlfn.IFS(B127="Serviço",SUMIFS(H128:$H$3085,C128:$C$3085,$C127),B127="Insumo",F127*G127,B127="Etapa","")</f>
        <v>30.729999999999997</v>
      </c>
      <c r="I127" s="178"/>
    </row>
    <row r="128" spans="1:9" hidden="1" outlineLevel="2" x14ac:dyDescent="0.25">
      <c r="A128" s="175">
        <f t="shared" si="2"/>
        <v>11</v>
      </c>
      <c r="B128" s="175" t="s">
        <v>327</v>
      </c>
      <c r="C128" s="175" t="str">
        <f t="shared" si="3"/>
        <v>Almoxarifado geral</v>
      </c>
      <c r="D128" s="175" t="s">
        <v>347</v>
      </c>
      <c r="E128" s="176" t="str">
        <f>_xlfn.XLOOKUP(D128,Insumos!$B$1:$B$764,Insumos!$C$1:$C$764)</f>
        <v>M2</v>
      </c>
      <c r="F128" s="179">
        <v>0.15</v>
      </c>
      <c r="G128" s="177">
        <f>IF(B128="insumo",_xlfn.XLOOKUP($D128,Insumos!$B$1:$B$764,Insumos!$D$1:$D$764),"")</f>
        <v>46.5</v>
      </c>
      <c r="H128" s="177" cm="1">
        <f t="array" ref="H128">_xlfn.IFS(B128="Serviço",SUMIFS(H129:$H$3085,C129:$C$3085,$C128),B128="Insumo",F128*G128,B128="Etapa","")</f>
        <v>6.9749999999999996</v>
      </c>
      <c r="I128" s="178"/>
    </row>
    <row r="129" spans="1:9" hidden="1" outlineLevel="2" x14ac:dyDescent="0.25">
      <c r="A129" s="175">
        <f t="shared" si="2"/>
        <v>10</v>
      </c>
      <c r="B129" s="175" t="s">
        <v>327</v>
      </c>
      <c r="C129" s="175" t="str">
        <f t="shared" si="3"/>
        <v>Almoxarifado geral</v>
      </c>
      <c r="D129" s="175" t="s">
        <v>348</v>
      </c>
      <c r="E129" s="176" t="str">
        <f>_xlfn.XLOOKUP(D129,Insumos!$B$1:$B$764,Insumos!$C$1:$C$764)</f>
        <v>M</v>
      </c>
      <c r="F129" s="179">
        <v>1</v>
      </c>
      <c r="G129" s="177">
        <f>IF(B129="insumo",_xlfn.XLOOKUP($D129,Insumos!$B$1:$B$764,Insumos!$D$1:$D$764),"")</f>
        <v>2</v>
      </c>
      <c r="H129" s="177" cm="1">
        <f t="array" ref="H129">_xlfn.IFS(B129="Serviço",SUMIFS(H130:$H$3085,C130:$C$3085,$C129),B129="Insumo",F129*G129,B129="Etapa","")</f>
        <v>2</v>
      </c>
      <c r="I129" s="178"/>
    </row>
    <row r="130" spans="1:9" hidden="1" outlineLevel="2" x14ac:dyDescent="0.25">
      <c r="A130" s="175">
        <f t="shared" ref="A130:A193" si="4">COUNTIFS($D$2:$D$3085,D130,$B$2:$B$3085,B130)</f>
        <v>36</v>
      </c>
      <c r="B130" s="175" t="s">
        <v>327</v>
      </c>
      <c r="C130" s="175" t="str">
        <f t="shared" ref="C130:C193" si="5">IF(B130="serviço",D130,C129)</f>
        <v>Almoxarifado geral</v>
      </c>
      <c r="D130" s="175" t="s">
        <v>349</v>
      </c>
      <c r="E130" s="176" t="str">
        <f>_xlfn.XLOOKUP(D130,Insumos!$B$1:$B$764,Insumos!$C$1:$C$764)</f>
        <v>KG</v>
      </c>
      <c r="F130" s="179">
        <v>1</v>
      </c>
      <c r="G130" s="177">
        <f>IF(B130="insumo",_xlfn.XLOOKUP($D130,Insumos!$B$1:$B$764,Insumos!$D$1:$D$764),"")</f>
        <v>18.13</v>
      </c>
      <c r="H130" s="177" cm="1">
        <f t="array" ref="H130">_xlfn.IFS(B130="Serviço",SUMIFS(H131:$H$3085,C131:$C$3085,$C130),B130="Insumo",F130*G130,B130="Etapa","")</f>
        <v>18.13</v>
      </c>
      <c r="I130" s="178"/>
    </row>
    <row r="131" spans="1:9" hidden="1" outlineLevel="2" x14ac:dyDescent="0.25">
      <c r="A131" s="175">
        <f t="shared" si="4"/>
        <v>9</v>
      </c>
      <c r="B131" s="175" t="s">
        <v>327</v>
      </c>
      <c r="C131" s="175" t="str">
        <f t="shared" si="5"/>
        <v>Almoxarifado geral</v>
      </c>
      <c r="D131" s="175" t="s">
        <v>339</v>
      </c>
      <c r="E131" s="176" t="str">
        <f>_xlfn.XLOOKUP(D131,Insumos!$B$1:$B$764,Insumos!$C$1:$C$764)</f>
        <v>M3</v>
      </c>
      <c r="F131" s="179">
        <v>7.3999999999999996E-2</v>
      </c>
      <c r="G131" s="177">
        <f>IF(B131="insumo",_xlfn.XLOOKUP($D131,Insumos!$B$1:$B$764,Insumos!$D$1:$D$764),"")</f>
        <v>490</v>
      </c>
      <c r="H131" s="177" cm="1">
        <f t="array" ref="H131">_xlfn.IFS(B131="Serviço",SUMIFS(H132:$H$3085,C132:$C$3085,$C131),B131="Insumo",F131*G131,B131="Etapa","")</f>
        <v>36.26</v>
      </c>
      <c r="I131" s="178"/>
    </row>
    <row r="132" spans="1:9" hidden="1" outlineLevel="2" x14ac:dyDescent="0.25">
      <c r="A132" s="175">
        <f t="shared" si="4"/>
        <v>2</v>
      </c>
      <c r="B132" s="175" t="s">
        <v>327</v>
      </c>
      <c r="C132" s="175" t="str">
        <f t="shared" si="5"/>
        <v>Almoxarifado geral</v>
      </c>
      <c r="D132" s="175" t="s">
        <v>353</v>
      </c>
      <c r="E132" s="176" t="str">
        <f>_xlfn.XLOOKUP(D132,Insumos!$B$1:$B$764,Insumos!$C$1:$C$764)</f>
        <v>KG</v>
      </c>
      <c r="F132" s="179">
        <v>1.3339999999999999</v>
      </c>
      <c r="G132" s="177">
        <f>IF(B132="insumo",_xlfn.XLOOKUP($D132,Insumos!$B$1:$B$764,Insumos!$D$1:$D$764),"")</f>
        <v>6.1</v>
      </c>
      <c r="H132" s="177" cm="1">
        <f t="array" ref="H132">_xlfn.IFS(B132="Serviço",SUMIFS(H133:$H$3085,C133:$C$3085,$C132),B132="Insumo",F132*G132,B132="Etapa","")</f>
        <v>8.1373999999999977</v>
      </c>
      <c r="I132" s="178"/>
    </row>
    <row r="133" spans="1:9" hidden="1" outlineLevel="2" x14ac:dyDescent="0.25">
      <c r="A133" s="175">
        <f t="shared" si="4"/>
        <v>2</v>
      </c>
      <c r="B133" s="175" t="s">
        <v>327</v>
      </c>
      <c r="C133" s="175" t="str">
        <f t="shared" si="5"/>
        <v>Almoxarifado geral</v>
      </c>
      <c r="D133" s="175" t="s">
        <v>354</v>
      </c>
      <c r="E133" s="176" t="str">
        <f>_xlfn.XLOOKUP(D133,Insumos!$B$1:$B$764,Insumos!$C$1:$C$764)</f>
        <v>M2</v>
      </c>
      <c r="F133" s="179">
        <v>1.19</v>
      </c>
      <c r="G133" s="177">
        <f>IF(B133="insumo",_xlfn.XLOOKUP($D133,Insumos!$B$1:$B$764,Insumos!$D$1:$D$764),"")</f>
        <v>21.31</v>
      </c>
      <c r="H133" s="177" cm="1">
        <f t="array" ref="H133">_xlfn.IFS(B133="Serviço",SUMIFS(H134:$H$3085,C134:$C$3085,$C133),B133="Insumo",F133*G133,B133="Etapa","")</f>
        <v>25.358899999999998</v>
      </c>
      <c r="I133" s="178"/>
    </row>
    <row r="134" spans="1:9" hidden="1" outlineLevel="2" x14ac:dyDescent="0.25">
      <c r="A134" s="175">
        <f t="shared" si="4"/>
        <v>2</v>
      </c>
      <c r="B134" s="175" t="s">
        <v>327</v>
      </c>
      <c r="C134" s="175" t="str">
        <f t="shared" si="5"/>
        <v>Almoxarifado geral</v>
      </c>
      <c r="D134" s="175" t="s">
        <v>355</v>
      </c>
      <c r="E134" s="176" t="str">
        <f>_xlfn.XLOOKUP(D134,Insumos!$B$1:$B$764,Insumos!$C$1:$C$764)</f>
        <v>L</v>
      </c>
      <c r="F134" s="179">
        <v>0.18</v>
      </c>
      <c r="G134" s="177">
        <f>IF(B134="insumo",_xlfn.XLOOKUP($D134,Insumos!$B$1:$B$764,Insumos!$D$1:$D$764),"")</f>
        <v>8.5</v>
      </c>
      <c r="H134" s="177" cm="1">
        <f t="array" ref="H134">_xlfn.IFS(B134="Serviço",SUMIFS(H135:$H$3085,C135:$C$3085,$C134),B134="Insumo",F134*G134,B134="Etapa","")</f>
        <v>1.53</v>
      </c>
      <c r="I134" s="178"/>
    </row>
    <row r="135" spans="1:9" hidden="1" outlineLevel="2" x14ac:dyDescent="0.25">
      <c r="A135" s="175">
        <f t="shared" si="4"/>
        <v>2</v>
      </c>
      <c r="B135" s="175" t="s">
        <v>327</v>
      </c>
      <c r="C135" s="175" t="str">
        <f t="shared" si="5"/>
        <v>Almoxarifado geral</v>
      </c>
      <c r="D135" s="175" t="s">
        <v>356</v>
      </c>
      <c r="E135" s="176" t="str">
        <f>_xlfn.XLOOKUP(D135,Insumos!$B$1:$B$764,Insumos!$C$1:$C$764)</f>
        <v>KG</v>
      </c>
      <c r="F135" s="179">
        <v>0.06</v>
      </c>
      <c r="G135" s="177">
        <f>IF(B135="insumo",_xlfn.XLOOKUP($D135,Insumos!$B$1:$B$764,Insumos!$D$1:$D$764),"")</f>
        <v>10</v>
      </c>
      <c r="H135" s="177" cm="1">
        <f t="array" ref="H135">_xlfn.IFS(B135="Serviço",SUMIFS(H136:$H$3085,C136:$C$3085,$C135),B135="Insumo",F135*G135,B135="Etapa","")</f>
        <v>0.6</v>
      </c>
      <c r="I135" s="178"/>
    </row>
    <row r="136" spans="1:9" hidden="1" outlineLevel="2" x14ac:dyDescent="0.25">
      <c r="A136" s="175">
        <f t="shared" si="4"/>
        <v>2</v>
      </c>
      <c r="B136" s="175" t="s">
        <v>327</v>
      </c>
      <c r="C136" s="175" t="str">
        <f t="shared" si="5"/>
        <v>Almoxarifado geral</v>
      </c>
      <c r="D136" s="175" t="s">
        <v>357</v>
      </c>
      <c r="E136" s="176" t="str">
        <f>_xlfn.XLOOKUP(D136,Insumos!$B$1:$B$764,Insumos!$C$1:$C$764)</f>
        <v>L</v>
      </c>
      <c r="F136" s="179">
        <v>0.03</v>
      </c>
      <c r="G136" s="177">
        <f>IF(B136="insumo",_xlfn.XLOOKUP($D136,Insumos!$B$1:$B$764,Insumos!$D$1:$D$764),"")</f>
        <v>16</v>
      </c>
      <c r="H136" s="177" cm="1">
        <f t="array" ref="H136">_xlfn.IFS(B136="Serviço",SUMIFS(H137:$H$3085,C137:$C$3085,$C136),B136="Insumo",F136*G136,B136="Etapa","")</f>
        <v>0.48</v>
      </c>
      <c r="I136" s="178"/>
    </row>
    <row r="137" spans="1:9" hidden="1" outlineLevel="2" x14ac:dyDescent="0.25">
      <c r="A137" s="175">
        <f t="shared" si="4"/>
        <v>26</v>
      </c>
      <c r="B137" s="175" t="s">
        <v>327</v>
      </c>
      <c r="C137" s="175" t="str">
        <f t="shared" si="5"/>
        <v>Almoxarifado geral</v>
      </c>
      <c r="D137" s="175" t="s">
        <v>358</v>
      </c>
      <c r="E137" s="176" t="str">
        <f>_xlfn.XLOOKUP(D137,Insumos!$B$1:$B$764,Insumos!$C$1:$C$764)</f>
        <v>UN</v>
      </c>
      <c r="F137" s="179">
        <v>3.9E-2</v>
      </c>
      <c r="G137" s="177">
        <f>IF(B137="insumo",_xlfn.XLOOKUP($D137,Insumos!$B$1:$B$764,Insumos!$D$1:$D$764),"")</f>
        <v>1.89</v>
      </c>
      <c r="H137" s="177" cm="1">
        <f t="array" ref="H137">_xlfn.IFS(B137="Serviço",SUMIFS(H138:$H$3085,C138:$C$3085,$C137),B137="Insumo",F137*G137,B137="Etapa","")</f>
        <v>7.3709999999999998E-2</v>
      </c>
      <c r="I137" s="178"/>
    </row>
    <row r="138" spans="1:9" hidden="1" outlineLevel="2" x14ac:dyDescent="0.25">
      <c r="A138" s="175">
        <f t="shared" si="4"/>
        <v>10</v>
      </c>
      <c r="B138" s="175" t="s">
        <v>327</v>
      </c>
      <c r="C138" s="175" t="str">
        <f t="shared" si="5"/>
        <v>Almoxarifado geral</v>
      </c>
      <c r="D138" s="175" t="s">
        <v>350</v>
      </c>
      <c r="E138" s="176" t="str">
        <f>_xlfn.XLOOKUP(D138,Insumos!$B$1:$B$764,Insumos!$C$1:$C$764)</f>
        <v>UN</v>
      </c>
      <c r="F138" s="179">
        <v>1.4999999999999999E-2</v>
      </c>
      <c r="G138" s="177">
        <f>IF(B138="insumo",_xlfn.XLOOKUP($D138,Insumos!$B$1:$B$764,Insumos!$D$1:$D$764),"")</f>
        <v>185.37</v>
      </c>
      <c r="H138" s="177" cm="1">
        <f t="array" ref="H138">_xlfn.IFS(B138="Serviço",SUMIFS(H139:$H$3085,C139:$C$3085,$C138),B138="Insumo",F138*G138,B138="Etapa","")</f>
        <v>2.7805499999999999</v>
      </c>
      <c r="I138" s="178"/>
    </row>
    <row r="139" spans="1:9" hidden="1" outlineLevel="2" x14ac:dyDescent="0.25">
      <c r="A139" s="175">
        <f t="shared" si="4"/>
        <v>10</v>
      </c>
      <c r="B139" s="175" t="s">
        <v>327</v>
      </c>
      <c r="C139" s="175" t="str">
        <f t="shared" si="5"/>
        <v>Almoxarifado geral</v>
      </c>
      <c r="D139" s="175" t="s">
        <v>351</v>
      </c>
      <c r="E139" s="176" t="str">
        <f>_xlfn.XLOOKUP(D139,Insumos!$B$1:$B$764,Insumos!$C$1:$C$764)</f>
        <v>VB</v>
      </c>
      <c r="F139" s="179">
        <v>1</v>
      </c>
      <c r="G139" s="177">
        <f>IF(B139="insumo",_xlfn.XLOOKUP($D139,Insumos!$B$1:$B$764,Insumos!$D$1:$D$764),"")</f>
        <v>215</v>
      </c>
      <c r="H139" s="177" cm="1">
        <f t="array" ref="H139">_xlfn.IFS(B139="Serviço",SUMIFS(H140:$H$3085,C140:$C$3085,$C139),B139="Insumo",F139*G139,B139="Etapa","")</f>
        <v>215</v>
      </c>
      <c r="I139" s="178"/>
    </row>
    <row r="140" spans="1:9" hidden="1" outlineLevel="2" x14ac:dyDescent="0.25">
      <c r="A140" s="175">
        <f t="shared" si="4"/>
        <v>10</v>
      </c>
      <c r="B140" s="175" t="s">
        <v>327</v>
      </c>
      <c r="C140" s="175" t="str">
        <f t="shared" si="5"/>
        <v>Almoxarifado geral</v>
      </c>
      <c r="D140" s="175" t="s">
        <v>352</v>
      </c>
      <c r="E140" s="176" t="str">
        <f>_xlfn.XLOOKUP(D140,Insumos!$B$1:$B$764,Insumos!$C$1:$C$764)</f>
        <v>M2</v>
      </c>
      <c r="F140" s="179">
        <v>1</v>
      </c>
      <c r="G140" s="177">
        <f>IF(B140="insumo",_xlfn.XLOOKUP($D140,Insumos!$B$1:$B$764,Insumos!$D$1:$D$764),"")</f>
        <v>50</v>
      </c>
      <c r="H140" s="177" cm="1">
        <f t="array" ref="H140">_xlfn.IFS(B140="Serviço",SUMIFS(H141:$H$3085,C141:$C$3085,$C140),B140="Insumo",F140*G140,B140="Etapa","")</f>
        <v>50</v>
      </c>
      <c r="I140" s="178"/>
    </row>
    <row r="141" spans="1:9" hidden="1" outlineLevel="1" collapsed="1" x14ac:dyDescent="0.25">
      <c r="A141" s="175">
        <f t="shared" si="4"/>
        <v>1</v>
      </c>
      <c r="B141" s="175" t="s">
        <v>109</v>
      </c>
      <c r="C141" s="175" t="str">
        <f t="shared" si="5"/>
        <v>Placa indicativa fixada na estrutura por pregos</v>
      </c>
      <c r="D141" s="175" t="s">
        <v>297</v>
      </c>
      <c r="E141" s="176" t="s">
        <v>13</v>
      </c>
      <c r="F141" s="175"/>
      <c r="G141" s="177" t="str">
        <f>IF(B141="insumo",_xlfn.XLOOKUP($D141,Insumos!$B$1:$B$764,Insumos!$D$1:$D$764),"")</f>
        <v/>
      </c>
      <c r="H141" s="177" cm="1">
        <f t="array" ref="H141">_xlfn.IFS(B141="Serviço",SUMIFS(H142:$H$3085,C142:$C$3085,$C141),B141="Insumo",F141*G141,B141="Etapa","")</f>
        <v>7891.02</v>
      </c>
      <c r="I141" s="178" t="s">
        <v>195</v>
      </c>
    </row>
    <row r="142" spans="1:9" hidden="1" outlineLevel="2" x14ac:dyDescent="0.25">
      <c r="A142" s="175">
        <f t="shared" si="4"/>
        <v>1</v>
      </c>
      <c r="B142" s="175" t="s">
        <v>327</v>
      </c>
      <c r="C142" s="175" t="str">
        <f t="shared" si="5"/>
        <v>Placa indicativa fixada na estrutura por pregos</v>
      </c>
      <c r="D142" s="175" t="s">
        <v>359</v>
      </c>
      <c r="E142" s="176" t="str">
        <f>_xlfn.XLOOKUP(D142,Insumos!$B$1:$B$764,Insumos!$C$1:$C$764)</f>
        <v>UN</v>
      </c>
      <c r="F142" s="179">
        <v>3</v>
      </c>
      <c r="G142" s="177">
        <f>IF(B142="insumo",_xlfn.XLOOKUP($D142,Insumos!$B$1:$B$764,Insumos!$D$1:$D$764),"")</f>
        <v>1052.1099999999999</v>
      </c>
      <c r="H142" s="177" cm="1">
        <f t="array" ref="H142">_xlfn.IFS(B142="Serviço",SUMIFS(H143:$H$3085,C143:$C$3085,$C142),B142="Insumo",F142*G142,B142="Etapa","")</f>
        <v>3156.33</v>
      </c>
      <c r="I142" s="178"/>
    </row>
    <row r="143" spans="1:9" hidden="1" outlineLevel="2" x14ac:dyDescent="0.25">
      <c r="A143" s="175">
        <f t="shared" si="4"/>
        <v>1</v>
      </c>
      <c r="B143" s="175" t="s">
        <v>327</v>
      </c>
      <c r="C143" s="175" t="str">
        <f t="shared" si="5"/>
        <v>Placa indicativa fixada na estrutura por pregos</v>
      </c>
      <c r="D143" s="175" t="s">
        <v>360</v>
      </c>
      <c r="E143" s="176" t="str">
        <f>_xlfn.XLOOKUP(D143,Insumos!$B$1:$B$764,Insumos!$C$1:$C$764)</f>
        <v>UN</v>
      </c>
      <c r="F143" s="179">
        <v>3</v>
      </c>
      <c r="G143" s="177">
        <f>IF(B143="insumo",_xlfn.XLOOKUP($D143,Insumos!$B$1:$B$764,Insumos!$D$1:$D$764),"")</f>
        <v>536.53</v>
      </c>
      <c r="H143" s="177" cm="1">
        <f t="array" ref="H143">_xlfn.IFS(B143="Serviço",SUMIFS(H144:$H$3085,C144:$C$3085,$C143),B143="Insumo",F143*G143,B143="Etapa","")</f>
        <v>1609.59</v>
      </c>
      <c r="I143" s="178"/>
    </row>
    <row r="144" spans="1:9" hidden="1" outlineLevel="2" x14ac:dyDescent="0.25">
      <c r="A144" s="175">
        <f t="shared" si="4"/>
        <v>1</v>
      </c>
      <c r="B144" s="175" t="s">
        <v>327</v>
      </c>
      <c r="C144" s="175" t="str">
        <f t="shared" si="5"/>
        <v>Placa indicativa fixada na estrutura por pregos</v>
      </c>
      <c r="D144" s="175" t="s">
        <v>361</v>
      </c>
      <c r="E144" s="176" t="str">
        <f>_xlfn.XLOOKUP(D144,Insumos!$B$1:$B$764,Insumos!$C$1:$C$764)</f>
        <v>UN</v>
      </c>
      <c r="F144" s="179">
        <v>6</v>
      </c>
      <c r="G144" s="177">
        <f>IF(B144="insumo",_xlfn.XLOOKUP($D144,Insumos!$B$1:$B$764,Insumos!$D$1:$D$764),"")</f>
        <v>520.85</v>
      </c>
      <c r="H144" s="177" cm="1">
        <f t="array" ref="H144">_xlfn.IFS(B144="Serviço",SUMIFS(H145:$H$3085,C145:$C$3085,$C144),B144="Insumo",F144*G144,B144="Etapa","")</f>
        <v>3125.1000000000004</v>
      </c>
      <c r="I144" s="178"/>
    </row>
    <row r="145" spans="1:9" hidden="1" outlineLevel="1" collapsed="1" x14ac:dyDescent="0.25">
      <c r="A145" s="175">
        <f t="shared" si="4"/>
        <v>1</v>
      </c>
      <c r="B145" s="175" t="s">
        <v>109</v>
      </c>
      <c r="C145" s="175" t="str">
        <f t="shared" si="5"/>
        <v>Locação da obra</v>
      </c>
      <c r="D145" s="175" t="s">
        <v>187</v>
      </c>
      <c r="E145" s="176" t="s">
        <v>13</v>
      </c>
      <c r="F145" s="175"/>
      <c r="G145" s="177" t="str">
        <f>IF(B145="insumo",_xlfn.XLOOKUP($D145,Insumos!$B$1:$B$764,Insumos!$D$1:$D$764),"")</f>
        <v/>
      </c>
      <c r="H145" s="177" cm="1">
        <f t="array" ref="H145">_xlfn.IFS(B145="Serviço",SUMIFS(H146:$H$3085,C146:$C$3085,$C145),B145="Insumo",F145*G145,B145="Etapa","")</f>
        <v>24.961985999999996</v>
      </c>
      <c r="I145" s="178" t="s">
        <v>195</v>
      </c>
    </row>
    <row r="146" spans="1:9" hidden="1" outlineLevel="2" x14ac:dyDescent="0.25">
      <c r="A146" s="175">
        <f t="shared" si="4"/>
        <v>2</v>
      </c>
      <c r="B146" s="175" t="s">
        <v>327</v>
      </c>
      <c r="C146" s="175" t="str">
        <f t="shared" si="5"/>
        <v>Locação da obra</v>
      </c>
      <c r="D146" s="175" t="s">
        <v>362</v>
      </c>
      <c r="E146" s="176" t="str">
        <f>_xlfn.XLOOKUP(D146,Insumos!$B$1:$B$764,Insumos!$C$1:$C$764)</f>
        <v>L</v>
      </c>
      <c r="F146" s="179">
        <v>2.5600000000000001E-2</v>
      </c>
      <c r="G146" s="177">
        <f>IF(B146="insumo",_xlfn.XLOOKUP($D146,Insumos!$B$1:$B$764,Insumos!$D$1:$D$764),"")</f>
        <v>23.01</v>
      </c>
      <c r="H146" s="177" cm="1">
        <f t="array" ref="H146">_xlfn.IFS(B146="Serviço",SUMIFS(H147:$H$3085,C147:$C$3085,$C146),B146="Insumo",F146*G146,B146="Etapa","")</f>
        <v>0.58905600000000002</v>
      </c>
      <c r="I146" s="178"/>
    </row>
    <row r="147" spans="1:9" hidden="1" outlineLevel="2" x14ac:dyDescent="0.25">
      <c r="A147" s="175">
        <f t="shared" si="4"/>
        <v>11</v>
      </c>
      <c r="B147" s="175" t="s">
        <v>327</v>
      </c>
      <c r="C147" s="175" t="str">
        <f t="shared" si="5"/>
        <v>Locação da obra</v>
      </c>
      <c r="D147" s="175" t="s">
        <v>344</v>
      </c>
      <c r="E147" s="176" t="str">
        <f>_xlfn.XLOOKUP(D147,Insumos!$B$1:$B$764,Insumos!$C$1:$C$764)</f>
        <v>M2</v>
      </c>
      <c r="F147" s="179">
        <v>0.11199999999999999</v>
      </c>
      <c r="G147" s="177">
        <f>IF(B147="insumo",_xlfn.XLOOKUP($D147,Insumos!$B$1:$B$764,Insumos!$D$1:$D$764),"")</f>
        <v>46.5</v>
      </c>
      <c r="H147" s="177" cm="1">
        <f t="array" ref="H147">_xlfn.IFS(B147="Serviço",SUMIFS(H148:$H$3085,C148:$C$3085,$C147),B147="Insumo",F147*G147,B147="Etapa","")</f>
        <v>5.2079999999999993</v>
      </c>
      <c r="I147" s="178"/>
    </row>
    <row r="148" spans="1:9" hidden="1" outlineLevel="2" x14ac:dyDescent="0.25">
      <c r="A148" s="175">
        <f t="shared" si="4"/>
        <v>36</v>
      </c>
      <c r="B148" s="175" t="s">
        <v>327</v>
      </c>
      <c r="C148" s="175" t="str">
        <f t="shared" si="5"/>
        <v>Locação da obra</v>
      </c>
      <c r="D148" s="175" t="s">
        <v>349</v>
      </c>
      <c r="E148" s="176" t="str">
        <f>_xlfn.XLOOKUP(D148,Insumos!$B$1:$B$764,Insumos!$C$1:$C$764)</f>
        <v>KG</v>
      </c>
      <c r="F148" s="179">
        <v>0.111</v>
      </c>
      <c r="G148" s="177">
        <f>IF(B148="insumo",_xlfn.XLOOKUP($D148,Insumos!$B$1:$B$764,Insumos!$D$1:$D$764),"")</f>
        <v>18.13</v>
      </c>
      <c r="H148" s="177" cm="1">
        <f t="array" ref="H148">_xlfn.IFS(B148="Serviço",SUMIFS(H149:$H$3085,C149:$C$3085,$C148),B148="Insumo",F148*G148,B148="Etapa","")</f>
        <v>2.0124299999999997</v>
      </c>
      <c r="I148" s="178"/>
    </row>
    <row r="149" spans="1:9" hidden="1" outlineLevel="2" x14ac:dyDescent="0.25">
      <c r="A149" s="175">
        <f t="shared" si="4"/>
        <v>11</v>
      </c>
      <c r="B149" s="175" t="s">
        <v>327</v>
      </c>
      <c r="C149" s="175" t="str">
        <f t="shared" si="5"/>
        <v>Locação da obra</v>
      </c>
      <c r="D149" s="175" t="s">
        <v>347</v>
      </c>
      <c r="E149" s="176" t="str">
        <f>_xlfn.XLOOKUP(D149,Insumos!$B$1:$B$764,Insumos!$C$1:$C$764)</f>
        <v>M2</v>
      </c>
      <c r="F149" s="179">
        <v>0.15</v>
      </c>
      <c r="G149" s="177">
        <f>IF(B149="insumo",_xlfn.XLOOKUP($D149,Insumos!$B$1:$B$764,Insumos!$D$1:$D$764),"")</f>
        <v>46.5</v>
      </c>
      <c r="H149" s="177" cm="1">
        <f t="array" ref="H149">_xlfn.IFS(B149="Serviço",SUMIFS(H150:$H$3085,C150:$C$3085,$C149),B149="Insumo",F149*G149,B149="Etapa","")</f>
        <v>6.9749999999999996</v>
      </c>
      <c r="I149" s="178"/>
    </row>
    <row r="150" spans="1:9" hidden="1" outlineLevel="2" x14ac:dyDescent="0.25">
      <c r="A150" s="175">
        <f t="shared" si="4"/>
        <v>1</v>
      </c>
      <c r="B150" s="175" t="s">
        <v>327</v>
      </c>
      <c r="C150" s="175" t="str">
        <f t="shared" si="5"/>
        <v>Locação da obra</v>
      </c>
      <c r="D150" s="175" t="s">
        <v>363</v>
      </c>
      <c r="E150" s="176" t="s">
        <v>25</v>
      </c>
      <c r="F150" s="179">
        <v>0.34499999999999997</v>
      </c>
      <c r="G150" s="177">
        <f>IF(B150="insumo",_xlfn.XLOOKUP($D150,Insumos!$B$1:$B$764,Insumos!$D$1:$D$764),"")</f>
        <v>29.5</v>
      </c>
      <c r="H150" s="177" cm="1">
        <f t="array" ref="H150">_xlfn.IFS(B150="Serviço",SUMIFS(H151:$H$3085,C151:$C$3085,$C150),B150="Insumo",F150*G150,B150="Etapa","")</f>
        <v>10.177499999999998</v>
      </c>
      <c r="I150" s="178"/>
    </row>
    <row r="151" spans="1:9" collapsed="1" x14ac:dyDescent="0.25">
      <c r="A151" s="172">
        <f t="shared" si="4"/>
        <v>1</v>
      </c>
      <c r="B151" s="172" t="s">
        <v>107</v>
      </c>
      <c r="C151" s="172"/>
      <c r="D151" s="172" t="s">
        <v>326</v>
      </c>
      <c r="E151" s="173"/>
      <c r="F151" s="174"/>
      <c r="G151" s="180" t="str">
        <f>IF(B151="insumo",_xlfn.XLOOKUP($D151,Insumos!$B$1:$B$764,Insumos!$D$1:$D$764),"")</f>
        <v/>
      </c>
      <c r="H151" s="180" t="str" cm="1">
        <f t="array" ref="H151">_xlfn.IFS(B151="Serviço",SUMIFS(H152:$H$3085,C152:$C$3085,$C151),B151="Insumo",F151*G151,B151="Etapa","")</f>
        <v/>
      </c>
      <c r="I151" s="174"/>
    </row>
    <row r="152" spans="1:9" hidden="1" outlineLevel="1" collapsed="1" x14ac:dyDescent="0.25">
      <c r="A152" s="175">
        <f t="shared" si="4"/>
        <v>1</v>
      </c>
      <c r="B152" s="175" t="s">
        <v>109</v>
      </c>
      <c r="C152" s="175" t="str">
        <f t="shared" si="5"/>
        <v>Bandeja de proteção primária</v>
      </c>
      <c r="D152" s="175" t="s">
        <v>153</v>
      </c>
      <c r="E152" s="176" t="s">
        <v>25</v>
      </c>
      <c r="F152" s="175"/>
      <c r="G152" s="177" t="str">
        <f>IF(B152="insumo",_xlfn.XLOOKUP($D152,Insumos!$B$1:$B$764,Insumos!$D$1:$D$764),"")</f>
        <v/>
      </c>
      <c r="H152" s="177" cm="1">
        <f t="array" ref="H152">_xlfn.IFS(B152="Serviço",SUMIFS(H153:$H$3085,C153:$C$3085,$C152),B152="Insumo",F152*G152,B152="Etapa","")</f>
        <v>364.86614637281906</v>
      </c>
      <c r="I152" s="178" t="s">
        <v>195</v>
      </c>
    </row>
    <row r="153" spans="1:9" hidden="1" outlineLevel="2" x14ac:dyDescent="0.25">
      <c r="A153" s="175">
        <f t="shared" si="4"/>
        <v>2</v>
      </c>
      <c r="B153" s="175" t="s">
        <v>327</v>
      </c>
      <c r="C153" s="175" t="str">
        <f t="shared" si="5"/>
        <v>Bandeja de proteção primária</v>
      </c>
      <c r="D153" s="175" t="s">
        <v>364</v>
      </c>
      <c r="E153" s="176" t="str">
        <f>_xlfn.XLOOKUP(D153,Insumos!$B$1:$B$764,Insumos!$C$1:$C$764)</f>
        <v>KG</v>
      </c>
      <c r="F153" s="179">
        <v>0.17</v>
      </c>
      <c r="G153" s="177">
        <f>IF(B153="insumo",_xlfn.XLOOKUP($D153,Insumos!$B$1:$B$764,Insumos!$D$1:$D$764),"")</f>
        <v>13.08</v>
      </c>
      <c r="H153" s="177" cm="1">
        <f t="array" ref="H153">_xlfn.IFS(B153="Serviço",SUMIFS(H154:$H$3085,C154:$C$3085,$C153),B153="Insumo",F153*G153,B153="Etapa","")</f>
        <v>2.2236000000000002</v>
      </c>
      <c r="I153" s="178"/>
    </row>
    <row r="154" spans="1:9" hidden="1" outlineLevel="2" x14ac:dyDescent="0.25">
      <c r="A154" s="175">
        <f t="shared" si="4"/>
        <v>2</v>
      </c>
      <c r="B154" s="175" t="s">
        <v>327</v>
      </c>
      <c r="C154" s="175" t="str">
        <f t="shared" si="5"/>
        <v>Bandeja de proteção primária</v>
      </c>
      <c r="D154" s="175" t="s">
        <v>365</v>
      </c>
      <c r="E154" s="176" t="str">
        <f>_xlfn.XLOOKUP(D154,Insumos!$B$1:$B$764,Insumos!$C$1:$C$764)</f>
        <v>M2</v>
      </c>
      <c r="F154" s="179">
        <v>2.54</v>
      </c>
      <c r="G154" s="177">
        <f>IF(B154="insumo",_xlfn.XLOOKUP($D154,Insumos!$B$1:$B$764,Insumos!$D$1:$D$764),"")</f>
        <v>46.120293847566572</v>
      </c>
      <c r="H154" s="177" cm="1">
        <f t="array" ref="H154">_xlfn.IFS(B154="Serviço",SUMIFS(H155:$H$3085,C155:$C$3085,$C154),B154="Insumo",F154*G154,B154="Etapa","")</f>
        <v>117.1455463728191</v>
      </c>
      <c r="I154" s="178"/>
    </row>
    <row r="155" spans="1:9" hidden="1" outlineLevel="2" x14ac:dyDescent="0.25">
      <c r="A155" s="175">
        <f t="shared" si="4"/>
        <v>2</v>
      </c>
      <c r="B155" s="175" t="s">
        <v>327</v>
      </c>
      <c r="C155" s="175" t="str">
        <f t="shared" si="5"/>
        <v>Bandeja de proteção primária</v>
      </c>
      <c r="D155" s="175" t="s">
        <v>366</v>
      </c>
      <c r="E155" s="176" t="str">
        <f>_xlfn.XLOOKUP(D155,Insumos!$B$1:$B$764,Insumos!$C$1:$C$764)</f>
        <v>UN</v>
      </c>
      <c r="F155" s="179">
        <v>3.39</v>
      </c>
      <c r="G155" s="177">
        <f>IF(B155="insumo",_xlfn.XLOOKUP($D155,Insumos!$B$1:$B$764,Insumos!$D$1:$D$764),"")</f>
        <v>5.3</v>
      </c>
      <c r="H155" s="177" cm="1">
        <f t="array" ref="H155">_xlfn.IFS(B155="Serviço",SUMIFS(H156:$H$3085,C156:$C$3085,$C155),B155="Insumo",F155*G155,B155="Etapa","")</f>
        <v>17.966999999999999</v>
      </c>
      <c r="I155" s="178"/>
    </row>
    <row r="156" spans="1:9" hidden="1" outlineLevel="2" x14ac:dyDescent="0.25">
      <c r="A156" s="175">
        <f t="shared" si="4"/>
        <v>1</v>
      </c>
      <c r="B156" s="175" t="s">
        <v>327</v>
      </c>
      <c r="C156" s="175" t="str">
        <f t="shared" si="5"/>
        <v>Bandeja de proteção primária</v>
      </c>
      <c r="D156" s="175" t="s">
        <v>367</v>
      </c>
      <c r="E156" s="176" t="str">
        <f>_xlfn.XLOOKUP(D156,Insumos!$B$1:$B$764,Insumos!$C$1:$C$764)</f>
        <v>UN</v>
      </c>
      <c r="F156" s="179">
        <f>1.13*8</f>
        <v>9.0399999999999991</v>
      </c>
      <c r="G156" s="177">
        <f>IF(B156="insumo",_xlfn.XLOOKUP($D156,Insumos!$B$1:$B$764,Insumos!$D$1:$D$764),"")</f>
        <v>19</v>
      </c>
      <c r="H156" s="177" cm="1">
        <f t="array" ref="H156">_xlfn.IFS(B156="Serviço",SUMIFS(H157:$H$3085,C157:$C$3085,$C156),B156="Insumo",F156*G156,B156="Etapa","")</f>
        <v>171.76</v>
      </c>
      <c r="I156" s="178"/>
    </row>
    <row r="157" spans="1:9" hidden="1" outlineLevel="2" x14ac:dyDescent="0.25">
      <c r="A157" s="175">
        <f t="shared" si="4"/>
        <v>8</v>
      </c>
      <c r="B157" s="175" t="s">
        <v>327</v>
      </c>
      <c r="C157" s="175" t="str">
        <f t="shared" si="5"/>
        <v>Bandeja de proteção primária</v>
      </c>
      <c r="D157" s="175" t="s">
        <v>368</v>
      </c>
      <c r="E157" s="176" t="str">
        <f>_xlfn.XLOOKUP(D157,Insumos!$B$1:$B$764,Insumos!$C$1:$C$764)</f>
        <v>M3</v>
      </c>
      <c r="F157" s="179">
        <v>5.0700000000000002E-2</v>
      </c>
      <c r="G157" s="177">
        <f>IF(B157="insumo",_xlfn.XLOOKUP($D157,Insumos!$B$1:$B$764,Insumos!$D$1:$D$764),"")</f>
        <v>1100</v>
      </c>
      <c r="H157" s="177" cm="1">
        <f t="array" ref="H157">_xlfn.IFS(B157="Serviço",SUMIFS(H158:$H$3085,C158:$C$3085,$C157),B157="Insumo",F157*G157,B157="Etapa","")</f>
        <v>55.77</v>
      </c>
      <c r="I157" s="178"/>
    </row>
    <row r="158" spans="1:9" hidden="1" outlineLevel="1" collapsed="1" x14ac:dyDescent="0.25">
      <c r="A158" s="175">
        <f t="shared" si="4"/>
        <v>1</v>
      </c>
      <c r="B158" s="175" t="s">
        <v>109</v>
      </c>
      <c r="C158" s="175" t="str">
        <f t="shared" si="5"/>
        <v>Bandeja de proteção secundária</v>
      </c>
      <c r="D158" s="175" t="s">
        <v>154</v>
      </c>
      <c r="E158" s="176" t="s">
        <v>25</v>
      </c>
      <c r="F158" s="175"/>
      <c r="G158" s="177" t="str">
        <f>IF(B158="insumo",_xlfn.XLOOKUP($D158,Insumos!$B$1:$B$764,Insumos!$D$1:$D$764),"")</f>
        <v/>
      </c>
      <c r="H158" s="177" cm="1">
        <f t="array" ref="H158">_xlfn.IFS(B158="Serviço",SUMIFS(H159:$H$3085,C159:$C$3085,$C158),B158="Insumo",F158*G158,B158="Etapa","")</f>
        <v>287.72614637281907</v>
      </c>
      <c r="I158" s="178" t="s">
        <v>195</v>
      </c>
    </row>
    <row r="159" spans="1:9" hidden="1" outlineLevel="2" x14ac:dyDescent="0.25">
      <c r="A159" s="175">
        <f t="shared" si="4"/>
        <v>2</v>
      </c>
      <c r="B159" s="175" t="s">
        <v>327</v>
      </c>
      <c r="C159" s="175" t="str">
        <f t="shared" si="5"/>
        <v>Bandeja de proteção secundária</v>
      </c>
      <c r="D159" s="175" t="s">
        <v>364</v>
      </c>
      <c r="E159" s="176" t="str">
        <f>_xlfn.XLOOKUP(D159,Insumos!$B$1:$B$764,Insumos!$C$1:$C$764)</f>
        <v>KG</v>
      </c>
      <c r="F159" s="179">
        <v>0.17</v>
      </c>
      <c r="G159" s="177">
        <f>IF(B159="insumo",_xlfn.XLOOKUP($D159,Insumos!$B$1:$B$764,Insumos!$D$1:$D$764),"")</f>
        <v>13.08</v>
      </c>
      <c r="H159" s="177" cm="1">
        <f t="array" ref="H159">_xlfn.IFS(B159="Serviço",SUMIFS(H160:$H$3085,C160:$C$3085,$C159),B159="Insumo",F159*G159,B159="Etapa","")</f>
        <v>2.2236000000000002</v>
      </c>
      <c r="I159" s="178"/>
    </row>
    <row r="160" spans="1:9" hidden="1" outlineLevel="2" x14ac:dyDescent="0.25">
      <c r="A160" s="175">
        <f t="shared" si="4"/>
        <v>2</v>
      </c>
      <c r="B160" s="175" t="s">
        <v>327</v>
      </c>
      <c r="C160" s="175" t="str">
        <f t="shared" si="5"/>
        <v>Bandeja de proteção secundária</v>
      </c>
      <c r="D160" s="175" t="s">
        <v>365</v>
      </c>
      <c r="E160" s="176" t="str">
        <f>_xlfn.XLOOKUP(D160,Insumos!$B$1:$B$764,Insumos!$C$1:$C$764)</f>
        <v>M2</v>
      </c>
      <c r="F160" s="179">
        <v>2.54</v>
      </c>
      <c r="G160" s="177">
        <f>IF(B160="insumo",_xlfn.XLOOKUP($D160,Insumos!$B$1:$B$764,Insumos!$D$1:$D$764),"")</f>
        <v>46.120293847566572</v>
      </c>
      <c r="H160" s="177" cm="1">
        <f t="array" ref="H160">_xlfn.IFS(B160="Serviço",SUMIFS(H161:$H$3085,C161:$C$3085,$C160),B160="Insumo",F160*G160,B160="Etapa","")</f>
        <v>117.1455463728191</v>
      </c>
      <c r="I160" s="178"/>
    </row>
    <row r="161" spans="1:9" hidden="1" outlineLevel="2" x14ac:dyDescent="0.25">
      <c r="A161" s="175">
        <f t="shared" si="4"/>
        <v>2</v>
      </c>
      <c r="B161" s="175" t="s">
        <v>327</v>
      </c>
      <c r="C161" s="175" t="str">
        <f t="shared" si="5"/>
        <v>Bandeja de proteção secundária</v>
      </c>
      <c r="D161" s="175" t="s">
        <v>366</v>
      </c>
      <c r="E161" s="176" t="str">
        <f>_xlfn.XLOOKUP(D161,Insumos!$B$1:$B$764,Insumos!$C$1:$C$764)</f>
        <v>UN</v>
      </c>
      <c r="F161" s="179">
        <v>3.39</v>
      </c>
      <c r="G161" s="177">
        <f>IF(B161="insumo",_xlfn.XLOOKUP($D161,Insumos!$B$1:$B$764,Insumos!$D$1:$D$764),"")</f>
        <v>5.3</v>
      </c>
      <c r="H161" s="177" cm="1">
        <f t="array" ref="H161">_xlfn.IFS(B161="Serviço",SUMIFS(H162:$H$3085,C162:$C$3085,$C161),B161="Insumo",F161*G161,B161="Etapa","")</f>
        <v>17.966999999999999</v>
      </c>
      <c r="I161" s="178"/>
    </row>
    <row r="162" spans="1:9" hidden="1" outlineLevel="2" x14ac:dyDescent="0.25">
      <c r="A162" s="175">
        <f t="shared" si="4"/>
        <v>1</v>
      </c>
      <c r="B162" s="175" t="s">
        <v>327</v>
      </c>
      <c r="C162" s="175" t="str">
        <f t="shared" si="5"/>
        <v>Bandeja de proteção secundária</v>
      </c>
      <c r="D162" s="175" t="s">
        <v>2391</v>
      </c>
      <c r="E162" s="176" t="str">
        <f>_xlfn.XLOOKUP(D162,Insumos!$B$1:$B$764,Insumos!$C$1:$C$764)</f>
        <v>UN</v>
      </c>
      <c r="F162" s="179">
        <f>1.13*6</f>
        <v>6.7799999999999994</v>
      </c>
      <c r="G162" s="177">
        <f>IF(B162="insumo",_xlfn.XLOOKUP($D162,Insumos!$B$1:$B$764,Insumos!$D$1:$D$764),"")</f>
        <v>16</v>
      </c>
      <c r="H162" s="177" cm="1">
        <f t="array" ref="H162">_xlfn.IFS(B162="Serviço",SUMIFS(H163:$H$3085,C163:$C$3085,$C162),B162="Insumo",F162*G162,B162="Etapa","")</f>
        <v>108.47999999999999</v>
      </c>
      <c r="I162" s="178"/>
    </row>
    <row r="163" spans="1:9" hidden="1" outlineLevel="2" x14ac:dyDescent="0.25">
      <c r="A163" s="175">
        <f t="shared" si="4"/>
        <v>8</v>
      </c>
      <c r="B163" s="175" t="s">
        <v>327</v>
      </c>
      <c r="C163" s="175" t="str">
        <f t="shared" si="5"/>
        <v>Bandeja de proteção secundária</v>
      </c>
      <c r="D163" s="175" t="s">
        <v>368</v>
      </c>
      <c r="E163" s="176" t="str">
        <f>_xlfn.XLOOKUP(D163,Insumos!$B$1:$B$764,Insumos!$C$1:$C$764)</f>
        <v>M3</v>
      </c>
      <c r="F163" s="179">
        <v>3.8100000000000002E-2</v>
      </c>
      <c r="G163" s="177">
        <f>IF(B163="insumo",_xlfn.XLOOKUP($D163,Insumos!$B$1:$B$764,Insumos!$D$1:$D$764),"")</f>
        <v>1100</v>
      </c>
      <c r="H163" s="177" cm="1">
        <f t="array" ref="H163">_xlfn.IFS(B163="Serviço",SUMIFS(H164:$H$3085,C164:$C$3085,$C163),B163="Insumo",F163*G163,B163="Etapa","")</f>
        <v>41.910000000000004</v>
      </c>
      <c r="I163" s="178"/>
    </row>
    <row r="164" spans="1:9" hidden="1" outlineLevel="1" collapsed="1" x14ac:dyDescent="0.25">
      <c r="A164" s="175">
        <f t="shared" si="4"/>
        <v>1</v>
      </c>
      <c r="B164" s="175" t="s">
        <v>109</v>
      </c>
      <c r="C164" s="175" t="str">
        <f t="shared" si="5"/>
        <v>Guarda-corpo de vãos, fixado em fôrma de madeira, em trama de madeira com tela de polipropileno</v>
      </c>
      <c r="D164" s="175" t="s">
        <v>2035</v>
      </c>
      <c r="E164" s="176" t="s">
        <v>13</v>
      </c>
      <c r="F164" s="175"/>
      <c r="G164" s="177" t="str">
        <f>IF(B164="insumo",_xlfn.XLOOKUP($D164,Insumos!$B$1:$B$764,Insumos!$D$1:$D$764),"")</f>
        <v/>
      </c>
      <c r="H164" s="177" cm="1">
        <f t="array" ref="H164">_xlfn.IFS(B164="Serviço",SUMIFS(H165:$H$3085,C165:$C$3085,$C164),B164="Insumo",F164*G164,B164="Etapa","")</f>
        <v>38.622647000000001</v>
      </c>
      <c r="I164" s="178" t="s">
        <v>195</v>
      </c>
    </row>
    <row r="165" spans="1:9" hidden="1" outlineLevel="2" x14ac:dyDescent="0.25">
      <c r="A165" s="175">
        <f t="shared" si="4"/>
        <v>36</v>
      </c>
      <c r="B165" s="175" t="s">
        <v>327</v>
      </c>
      <c r="C165" s="175" t="str">
        <f t="shared" si="5"/>
        <v>Guarda-corpo de vãos, fixado em fôrma de madeira, em trama de madeira com tela de polipropileno</v>
      </c>
      <c r="D165" s="175" t="s">
        <v>349</v>
      </c>
      <c r="E165" s="176" t="str">
        <f>_xlfn.XLOOKUP(D165,Insumos!$B$1:$B$764,Insumos!$C$1:$C$764)</f>
        <v>KG</v>
      </c>
      <c r="F165" s="179">
        <v>3.8899999999999997E-2</v>
      </c>
      <c r="G165" s="177">
        <f>IF(B165="insumo",_xlfn.XLOOKUP($D165,Insumos!$B$1:$B$764,Insumos!$D$1:$D$764),"")</f>
        <v>18.13</v>
      </c>
      <c r="H165" s="177" cm="1">
        <f t="array" ref="H165">_xlfn.IFS(B165="Serviço",SUMIFS(H166:$H$3085,C166:$C$3085,$C165),B165="Insumo",F165*G165,B165="Etapa","")</f>
        <v>0.70525699999999991</v>
      </c>
      <c r="I165" s="178"/>
    </row>
    <row r="166" spans="1:9" hidden="1" outlineLevel="2" x14ac:dyDescent="0.25">
      <c r="A166" s="175">
        <f t="shared" si="4"/>
        <v>3</v>
      </c>
      <c r="B166" s="175" t="s">
        <v>327</v>
      </c>
      <c r="C166" s="175" t="str">
        <f t="shared" si="5"/>
        <v>Guarda-corpo de vãos, fixado em fôrma de madeira, em trama de madeira com tela de polipropileno</v>
      </c>
      <c r="D166" s="175" t="s">
        <v>369</v>
      </c>
      <c r="E166" s="176" t="str">
        <f>_xlfn.XLOOKUP(D166,Insumos!$B$1:$B$764,Insumos!$C$1:$C$764)</f>
        <v>M</v>
      </c>
      <c r="F166" s="179">
        <v>1.4179999999999999</v>
      </c>
      <c r="G166" s="177">
        <f>IF(B166="insumo",_xlfn.XLOOKUP($D166,Insumos!$B$1:$B$764,Insumos!$D$1:$D$764),"")</f>
        <v>21.23</v>
      </c>
      <c r="H166" s="177" cm="1">
        <f t="array" ref="H166">_xlfn.IFS(B166="Serviço",SUMIFS(H167:$H$3085,C167:$C$3085,$C166),B166="Insumo",F166*G166,B166="Etapa","")</f>
        <v>30.104139999999997</v>
      </c>
      <c r="I166" s="178"/>
    </row>
    <row r="167" spans="1:9" hidden="1" outlineLevel="2" x14ac:dyDescent="0.25">
      <c r="A167" s="175">
        <f t="shared" si="4"/>
        <v>2</v>
      </c>
      <c r="B167" s="175" t="s">
        <v>327</v>
      </c>
      <c r="C167" s="175" t="str">
        <f t="shared" si="5"/>
        <v>Guarda-corpo de vãos, fixado em fôrma de madeira, em trama de madeira com tela de polipropileno</v>
      </c>
      <c r="D167" s="175" t="s">
        <v>370</v>
      </c>
      <c r="E167" s="176" t="str">
        <f>_xlfn.XLOOKUP(D167,Insumos!$B$1:$B$764,Insumos!$C$1:$C$764)</f>
        <v>M</v>
      </c>
      <c r="F167" s="179">
        <v>0.52500000000000002</v>
      </c>
      <c r="G167" s="177">
        <f>IF(B167="insumo",_xlfn.XLOOKUP($D167,Insumos!$B$1:$B$764,Insumos!$D$1:$D$764),"")</f>
        <v>2.73</v>
      </c>
      <c r="H167" s="177" cm="1">
        <f t="array" ref="H167">_xlfn.IFS(B167="Serviço",SUMIFS(H168:$H$3085,C168:$C$3085,$C167),B167="Insumo",F167*G167,B167="Etapa","")</f>
        <v>1.4332500000000001</v>
      </c>
      <c r="I167" s="178"/>
    </row>
    <row r="168" spans="1:9" hidden="1" outlineLevel="2" x14ac:dyDescent="0.25">
      <c r="A168" s="175">
        <f t="shared" si="4"/>
        <v>8</v>
      </c>
      <c r="B168" s="175" t="s">
        <v>327</v>
      </c>
      <c r="C168" s="175" t="str">
        <f t="shared" si="5"/>
        <v>Guarda-corpo de vãos, fixado em fôrma de madeira, em trama de madeira com tela de polipropileno</v>
      </c>
      <c r="D168" s="175" t="s">
        <v>368</v>
      </c>
      <c r="E168" s="176" t="str">
        <f>_xlfn.XLOOKUP(D168,Insumos!$B$1:$B$764,Insumos!$C$1:$C$764)</f>
        <v>M3</v>
      </c>
      <c r="F168" s="179">
        <v>5.7999999999999996E-3</v>
      </c>
      <c r="G168" s="177">
        <f>IF(B168="insumo",_xlfn.XLOOKUP($D168,Insumos!$B$1:$B$764,Insumos!$D$1:$D$764),"")</f>
        <v>1100</v>
      </c>
      <c r="H168" s="177" cm="1">
        <f t="array" ref="H168">_xlfn.IFS(B168="Serviço",SUMIFS(H169:$H$3085,C169:$C$3085,$C168),B168="Insumo",F168*G168,B168="Etapa","")</f>
        <v>6.38</v>
      </c>
      <c r="I168" s="178"/>
    </row>
    <row r="169" spans="1:9" hidden="1" outlineLevel="1" collapsed="1" x14ac:dyDescent="0.25">
      <c r="A169" s="175">
        <f t="shared" si="4"/>
        <v>1</v>
      </c>
      <c r="B169" s="175" t="s">
        <v>109</v>
      </c>
      <c r="C169" s="175" t="str">
        <f t="shared" si="5"/>
        <v>Guarda-corpo em laje pós-desforma com pontalete de madeira, travessões e tela</v>
      </c>
      <c r="D169" s="175" t="s">
        <v>324</v>
      </c>
      <c r="E169" s="176" t="s">
        <v>25</v>
      </c>
      <c r="F169" s="175"/>
      <c r="G169" s="177" t="str">
        <f>IF(B169="insumo",_xlfn.XLOOKUP($D169,Insumos!$B$1:$B$764,Insumos!$D$1:$D$764),"")</f>
        <v/>
      </c>
      <c r="H169" s="177" cm="1">
        <f t="array" ref="H169">_xlfn.IFS(B169="Serviço",SUMIFS(H170:$H$3085,C170:$C$3085,$C169),B169="Insumo",F169*G169,B169="Etapa","")</f>
        <v>42.421057000000005</v>
      </c>
      <c r="I169" s="178" t="s">
        <v>195</v>
      </c>
    </row>
    <row r="170" spans="1:9" hidden="1" outlineLevel="2" x14ac:dyDescent="0.25">
      <c r="A170" s="175">
        <f t="shared" si="4"/>
        <v>36</v>
      </c>
      <c r="B170" s="175" t="s">
        <v>327</v>
      </c>
      <c r="C170" s="175" t="str">
        <f t="shared" si="5"/>
        <v>Guarda-corpo em laje pós-desforma com pontalete de madeira, travessões e tela</v>
      </c>
      <c r="D170" s="175" t="s">
        <v>349</v>
      </c>
      <c r="E170" s="176" t="str">
        <f>_xlfn.XLOOKUP(D170,Insumos!$B$1:$B$764,Insumos!$C$1:$C$764)</f>
        <v>KG</v>
      </c>
      <c r="F170" s="179">
        <v>3.8899999999999997E-2</v>
      </c>
      <c r="G170" s="177">
        <f>IF(B170="insumo",_xlfn.XLOOKUP($D170,Insumos!$B$1:$B$764,Insumos!$D$1:$D$764),"")</f>
        <v>18.13</v>
      </c>
      <c r="H170" s="177" cm="1">
        <f t="array" ref="H170">_xlfn.IFS(B170="Serviço",SUMIFS(H171:$H$3085,C171:$C$3085,$C170),B170="Insumo",F170*G170,B170="Etapa","")</f>
        <v>0.70525699999999991</v>
      </c>
      <c r="I170" s="178"/>
    </row>
    <row r="171" spans="1:9" hidden="1" outlineLevel="2" x14ac:dyDescent="0.25">
      <c r="A171" s="175">
        <f t="shared" si="4"/>
        <v>3</v>
      </c>
      <c r="B171" s="175" t="s">
        <v>327</v>
      </c>
      <c r="C171" s="175" t="str">
        <f t="shared" si="5"/>
        <v>Guarda-corpo em laje pós-desforma com pontalete de madeira, travessões e tela</v>
      </c>
      <c r="D171" s="175" t="s">
        <v>369</v>
      </c>
      <c r="E171" s="176" t="str">
        <f>_xlfn.XLOOKUP(D171,Insumos!$B$1:$B$764,Insumos!$C$1:$C$764)</f>
        <v>M</v>
      </c>
      <c r="F171" s="179">
        <v>1.41</v>
      </c>
      <c r="G171" s="177">
        <f>IF(B171="insumo",_xlfn.XLOOKUP($D171,Insumos!$B$1:$B$764,Insumos!$D$1:$D$764),"")</f>
        <v>21.23</v>
      </c>
      <c r="H171" s="177" cm="1">
        <f t="array" ref="H171">_xlfn.IFS(B171="Serviço",SUMIFS(H172:$H$3085,C172:$C$3085,$C171),B171="Insumo",F171*G171,B171="Etapa","")</f>
        <v>29.9343</v>
      </c>
      <c r="I171" s="178"/>
    </row>
    <row r="172" spans="1:9" hidden="1" outlineLevel="2" x14ac:dyDescent="0.25">
      <c r="A172" s="175">
        <f t="shared" si="4"/>
        <v>1</v>
      </c>
      <c r="B172" s="175" t="s">
        <v>327</v>
      </c>
      <c r="C172" s="175" t="str">
        <f t="shared" si="5"/>
        <v>Guarda-corpo em laje pós-desforma com pontalete de madeira, travessões e tela</v>
      </c>
      <c r="D172" s="175" t="s">
        <v>371</v>
      </c>
      <c r="E172" s="176" t="str">
        <f>_xlfn.XLOOKUP(D172,Insumos!$B$1:$B$764,Insumos!$C$1:$C$764)</f>
        <v>UN</v>
      </c>
      <c r="F172" s="179">
        <v>0.1</v>
      </c>
      <c r="G172" s="177">
        <f>IF(B172="insumo",_xlfn.XLOOKUP($D172,Insumos!$B$1:$B$764,Insumos!$D$1:$D$764),"")</f>
        <v>39</v>
      </c>
      <c r="H172" s="177" cm="1">
        <f t="array" ref="H172">_xlfn.IFS(B172="Serviço",SUMIFS(H173:$H$3085,C173:$C$3085,$C172),B172="Insumo",F172*G172,B172="Etapa","")</f>
        <v>3.9000000000000004</v>
      </c>
      <c r="I172" s="178"/>
    </row>
    <row r="173" spans="1:9" hidden="1" outlineLevel="2" x14ac:dyDescent="0.25">
      <c r="A173" s="175">
        <f t="shared" si="4"/>
        <v>2</v>
      </c>
      <c r="B173" s="175" t="s">
        <v>327</v>
      </c>
      <c r="C173" s="175" t="str">
        <f t="shared" si="5"/>
        <v>Guarda-corpo em laje pós-desforma com pontalete de madeira, travessões e tela</v>
      </c>
      <c r="D173" s="175" t="s">
        <v>370</v>
      </c>
      <c r="E173" s="176" t="str">
        <f>_xlfn.XLOOKUP(D173,Insumos!$B$1:$B$764,Insumos!$C$1:$C$764)</f>
        <v>M</v>
      </c>
      <c r="F173" s="179">
        <v>0.55000000000000004</v>
      </c>
      <c r="G173" s="177">
        <f>IF(B173="insumo",_xlfn.XLOOKUP($D173,Insumos!$B$1:$B$764,Insumos!$D$1:$D$764),"")</f>
        <v>2.73</v>
      </c>
      <c r="H173" s="177" cm="1">
        <f t="array" ref="H173">_xlfn.IFS(B173="Serviço",SUMIFS(H174:$H$3085,C174:$C$3085,$C173),B173="Insumo",F173*G173,B173="Etapa","")</f>
        <v>1.5015000000000001</v>
      </c>
      <c r="I173" s="178"/>
    </row>
    <row r="174" spans="1:9" hidden="1" outlineLevel="2" x14ac:dyDescent="0.25">
      <c r="A174" s="175">
        <f t="shared" si="4"/>
        <v>8</v>
      </c>
      <c r="B174" s="175" t="s">
        <v>327</v>
      </c>
      <c r="C174" s="175" t="str">
        <f t="shared" si="5"/>
        <v>Guarda-corpo em laje pós-desforma com pontalete de madeira, travessões e tela</v>
      </c>
      <c r="D174" s="175" t="s">
        <v>368</v>
      </c>
      <c r="E174" s="176" t="str">
        <f>_xlfn.XLOOKUP(D174,Insumos!$B$1:$B$764,Insumos!$C$1:$C$764)</f>
        <v>M3</v>
      </c>
      <c r="F174" s="179">
        <v>5.7999999999999996E-3</v>
      </c>
      <c r="G174" s="177">
        <f>IF(B174="insumo",_xlfn.XLOOKUP($D174,Insumos!$B$1:$B$764,Insumos!$D$1:$D$764),"")</f>
        <v>1100</v>
      </c>
      <c r="H174" s="177" cm="1">
        <f t="array" ref="H174">_xlfn.IFS(B174="Serviço",SUMIFS(H175:$H$3085,C175:$C$3085,$C174),B174="Insumo",F174*G174,B174="Etapa","")</f>
        <v>6.38</v>
      </c>
      <c r="I174" s="178"/>
    </row>
    <row r="175" spans="1:9" hidden="1" outlineLevel="1" collapsed="1" x14ac:dyDescent="0.25">
      <c r="A175" s="175">
        <f t="shared" si="4"/>
        <v>1</v>
      </c>
      <c r="B175" s="175" t="s">
        <v>109</v>
      </c>
      <c r="C175" s="175" t="str">
        <f t="shared" si="5"/>
        <v>Tela fachadeira</v>
      </c>
      <c r="D175" s="175" t="s">
        <v>155</v>
      </c>
      <c r="E175" s="176" t="s">
        <v>13</v>
      </c>
      <c r="F175" s="175"/>
      <c r="G175" s="177" t="str">
        <f>IF(B175="insumo",_xlfn.XLOOKUP($D175,Insumos!$B$1:$B$764,Insumos!$D$1:$D$764),"")</f>
        <v/>
      </c>
      <c r="H175" s="177" cm="1">
        <f t="array" ref="H175">_xlfn.IFS(B175="Serviço",SUMIFS(H176:$H$3085,C176:$C$3085,$C175),B175="Insumo",F175*G175,B175="Etapa","")</f>
        <v>8.5113000000000003</v>
      </c>
      <c r="I175" s="178" t="s">
        <v>195</v>
      </c>
    </row>
    <row r="176" spans="1:9" hidden="1" outlineLevel="2" x14ac:dyDescent="0.25">
      <c r="A176" s="175">
        <f t="shared" si="4"/>
        <v>36</v>
      </c>
      <c r="B176" s="175" t="s">
        <v>327</v>
      </c>
      <c r="C176" s="175" t="str">
        <f t="shared" si="5"/>
        <v>Tela fachadeira</v>
      </c>
      <c r="D176" s="175" t="s">
        <v>349</v>
      </c>
      <c r="E176" s="176" t="str">
        <f>_xlfn.XLOOKUP(D176,Insumos!$B$1:$B$764,Insumos!$C$1:$C$764)</f>
        <v>KG</v>
      </c>
      <c r="F176" s="179">
        <v>0.01</v>
      </c>
      <c r="G176" s="177">
        <f>IF(B176="insumo",_xlfn.XLOOKUP($D176,Insumos!$B$1:$B$764,Insumos!$D$1:$D$764),"")</f>
        <v>18.13</v>
      </c>
      <c r="H176" s="177" cm="1">
        <f t="array" ref="H176">_xlfn.IFS(B176="Serviço",SUMIFS(H177:$H$3085,C177:$C$3085,$C176),B176="Insumo",F176*G176,B176="Etapa","")</f>
        <v>0.18129999999999999</v>
      </c>
      <c r="I176" s="178"/>
    </row>
    <row r="177" spans="1:9" hidden="1" outlineLevel="2" x14ac:dyDescent="0.25">
      <c r="A177" s="175">
        <f t="shared" si="4"/>
        <v>1</v>
      </c>
      <c r="B177" s="175" t="s">
        <v>327</v>
      </c>
      <c r="C177" s="175" t="str">
        <f t="shared" si="5"/>
        <v>Tela fachadeira</v>
      </c>
      <c r="D177" s="175" t="s">
        <v>372</v>
      </c>
      <c r="E177" s="176" t="str">
        <f>_xlfn.XLOOKUP(D177,Insumos!$B$1:$B$764,Insumos!$C$1:$C$764)</f>
        <v>M2</v>
      </c>
      <c r="F177" s="179">
        <v>1.05</v>
      </c>
      <c r="G177" s="177">
        <f>IF(B177="insumo",_xlfn.XLOOKUP($D177,Insumos!$B$1:$B$764,Insumos!$D$1:$D$764),"")</f>
        <v>3.5</v>
      </c>
      <c r="H177" s="177" cm="1">
        <f t="array" ref="H177">_xlfn.IFS(B177="Serviço",SUMIFS(H178:$H$3085,C178:$C$3085,$C177),B177="Insumo",F177*G177,B177="Etapa","")</f>
        <v>3.6750000000000003</v>
      </c>
      <c r="I177" s="178"/>
    </row>
    <row r="178" spans="1:9" hidden="1" outlineLevel="2" x14ac:dyDescent="0.25">
      <c r="A178" s="175">
        <f t="shared" si="4"/>
        <v>8</v>
      </c>
      <c r="B178" s="175" t="s">
        <v>327</v>
      </c>
      <c r="C178" s="175" t="str">
        <f t="shared" si="5"/>
        <v>Tela fachadeira</v>
      </c>
      <c r="D178" s="175" t="s">
        <v>368</v>
      </c>
      <c r="E178" s="176" t="str">
        <f>_xlfn.XLOOKUP(D178,Insumos!$B$1:$B$764,Insumos!$C$1:$C$764)</f>
        <v>M3</v>
      </c>
      <c r="F178" s="179">
        <v>1.9E-3</v>
      </c>
      <c r="G178" s="177">
        <f>IF(B178="insumo",_xlfn.XLOOKUP($D178,Insumos!$B$1:$B$764,Insumos!$D$1:$D$764),"")</f>
        <v>1100</v>
      </c>
      <c r="H178" s="177" cm="1">
        <f t="array" ref="H178">_xlfn.IFS(B178="Serviço",SUMIFS(H179:$H$3085,C179:$C$3085,$C178),B178="Insumo",F178*G178,B178="Etapa","")</f>
        <v>2.09</v>
      </c>
      <c r="I178" s="178"/>
    </row>
    <row r="179" spans="1:9" hidden="1" outlineLevel="2" x14ac:dyDescent="0.25">
      <c r="A179" s="175">
        <f t="shared" si="4"/>
        <v>18</v>
      </c>
      <c r="B179" s="175" t="s">
        <v>327</v>
      </c>
      <c r="C179" s="175" t="str">
        <f t="shared" si="5"/>
        <v>Tela fachadeira</v>
      </c>
      <c r="D179" s="175" t="s">
        <v>373</v>
      </c>
      <c r="E179" s="176" t="str">
        <f>_xlfn.XLOOKUP(D179,Insumos!$B$1:$B$764,Insumos!$C$1:$C$764)</f>
        <v>M3</v>
      </c>
      <c r="F179" s="179">
        <v>1.9E-3</v>
      </c>
      <c r="G179" s="177">
        <f>IF(B179="insumo",_xlfn.XLOOKUP($D179,Insumos!$B$1:$B$764,Insumos!$D$1:$D$764),"")</f>
        <v>1350</v>
      </c>
      <c r="H179" s="177" cm="1">
        <f t="array" ref="H179">_xlfn.IFS(B179="Serviço",SUMIFS(H180:$H$3085,C180:$C$3085,$C179),B179="Insumo",F179*G179,B179="Etapa","")</f>
        <v>2.5649999999999999</v>
      </c>
      <c r="I179" s="178"/>
    </row>
    <row r="180" spans="1:9" hidden="1" outlineLevel="1" collapsed="1" x14ac:dyDescent="0.25">
      <c r="A180" s="175">
        <f t="shared" si="4"/>
        <v>1</v>
      </c>
      <c r="B180" s="175" t="s">
        <v>109</v>
      </c>
      <c r="C180" s="175" t="str">
        <f t="shared" si="5"/>
        <v>Tela de polietileno reforçada com impressão digital</v>
      </c>
      <c r="D180" s="175" t="s">
        <v>2037</v>
      </c>
      <c r="E180" s="176" t="s">
        <v>13</v>
      </c>
      <c r="F180" s="175"/>
      <c r="G180" s="177" t="str">
        <f>IF(B180="insumo",_xlfn.XLOOKUP($D180,Insumos!$B$1:$B$764,Insumos!$D$1:$D$764),"")</f>
        <v/>
      </c>
      <c r="H180" s="177" cm="1">
        <f t="array" ref="H180">_xlfn.IFS(B180="Serviço",SUMIFS(H181:$H$3085,C181:$C$3085,$C180),B180="Insumo",F180*G180,B180="Etapa","")</f>
        <v>19.086299999999998</v>
      </c>
      <c r="I180" s="178" t="s">
        <v>195</v>
      </c>
    </row>
    <row r="181" spans="1:9" hidden="1" outlineLevel="2" x14ac:dyDescent="0.25">
      <c r="A181" s="175">
        <f t="shared" si="4"/>
        <v>36</v>
      </c>
      <c r="B181" s="175" t="s">
        <v>327</v>
      </c>
      <c r="C181" s="175" t="str">
        <f t="shared" si="5"/>
        <v>Tela de polietileno reforçada com impressão digital</v>
      </c>
      <c r="D181" s="175" t="s">
        <v>349</v>
      </c>
      <c r="E181" s="176" t="str">
        <f>_xlfn.XLOOKUP(D181,Insumos!$B$1:$B$764,Insumos!$C$1:$C$764)</f>
        <v>KG</v>
      </c>
      <c r="F181" s="179">
        <v>0.01</v>
      </c>
      <c r="G181" s="177">
        <f>IF(B181="insumo",_xlfn.XLOOKUP($D181,Insumos!$B$1:$B$764,Insumos!$D$1:$D$764),"")</f>
        <v>18.13</v>
      </c>
      <c r="H181" s="177" cm="1">
        <f t="array" ref="H181">_xlfn.IFS(B181="Serviço",SUMIFS(H182:$H$3085,C182:$C$3085,$C181),B181="Insumo",F181*G181,B181="Etapa","")</f>
        <v>0.18129999999999999</v>
      </c>
      <c r="I181" s="178"/>
    </row>
    <row r="182" spans="1:9" hidden="1" outlineLevel="2" x14ac:dyDescent="0.25">
      <c r="A182" s="175">
        <f t="shared" si="4"/>
        <v>1</v>
      </c>
      <c r="B182" s="175" t="s">
        <v>327</v>
      </c>
      <c r="C182" s="175" t="str">
        <f t="shared" si="5"/>
        <v>Tela de polietileno reforçada com impressão digital</v>
      </c>
      <c r="D182" s="175" t="s">
        <v>2036</v>
      </c>
      <c r="E182" s="176" t="str">
        <f>_xlfn.XLOOKUP(D182,Insumos!$B$1:$B$764,Insumos!$C$1:$C$764)</f>
        <v>M2</v>
      </c>
      <c r="F182" s="179">
        <v>1.1399999999999999</v>
      </c>
      <c r="G182" s="422">
        <v>12.5</v>
      </c>
      <c r="H182" s="177" cm="1">
        <f t="array" ref="H182">_xlfn.IFS(B182="Serviço",SUMIFS(H183:$H$3085,C183:$C$3085,$C182),B182="Insumo",F182*G182,B182="Etapa","")</f>
        <v>14.249999999999998</v>
      </c>
      <c r="I182" s="410"/>
    </row>
    <row r="183" spans="1:9" hidden="1" outlineLevel="2" x14ac:dyDescent="0.25">
      <c r="A183" s="175">
        <f t="shared" si="4"/>
        <v>8</v>
      </c>
      <c r="B183" s="175" t="s">
        <v>327</v>
      </c>
      <c r="C183" s="175" t="str">
        <f t="shared" si="5"/>
        <v>Tela de polietileno reforçada com impressão digital</v>
      </c>
      <c r="D183" s="175" t="s">
        <v>368</v>
      </c>
      <c r="E183" s="176" t="str">
        <f>_xlfn.XLOOKUP(D183,Insumos!$B$1:$B$764,Insumos!$C$1:$C$764)</f>
        <v>M3</v>
      </c>
      <c r="F183" s="179">
        <v>1.9E-3</v>
      </c>
      <c r="G183" s="177">
        <f>IF(B183="insumo",_xlfn.XLOOKUP($D183,Insumos!$B$1:$B$764,Insumos!$D$1:$D$764),"")</f>
        <v>1100</v>
      </c>
      <c r="H183" s="177" cm="1">
        <f t="array" ref="H183">_xlfn.IFS(B183="Serviço",SUMIFS(H184:$H$3085,C184:$C$3085,$C183),B183="Insumo",F183*G183,B183="Etapa","")</f>
        <v>2.09</v>
      </c>
      <c r="I183" s="178"/>
    </row>
    <row r="184" spans="1:9" hidden="1" outlineLevel="2" x14ac:dyDescent="0.25">
      <c r="A184" s="175">
        <f t="shared" si="4"/>
        <v>18</v>
      </c>
      <c r="B184" s="175" t="s">
        <v>327</v>
      </c>
      <c r="C184" s="175" t="str">
        <f t="shared" si="5"/>
        <v>Tela de polietileno reforçada com impressão digital</v>
      </c>
      <c r="D184" s="175" t="s">
        <v>373</v>
      </c>
      <c r="E184" s="176" t="str">
        <f>_xlfn.XLOOKUP(D184,Insumos!$B$1:$B$764,Insumos!$C$1:$C$764)</f>
        <v>M3</v>
      </c>
      <c r="F184" s="179">
        <v>1.9E-3</v>
      </c>
      <c r="G184" s="177">
        <f>IF(B184="insumo",_xlfn.XLOOKUP($D184,Insumos!$B$1:$B$764,Insumos!$D$1:$D$764),"")</f>
        <v>1350</v>
      </c>
      <c r="H184" s="177" cm="1">
        <f t="array" ref="H184">_xlfn.IFS(B184="Serviço",SUMIFS(H185:$H$3085,C185:$C$3085,$C184),B184="Insumo",F184*G184,B184="Etapa","")</f>
        <v>2.5649999999999999</v>
      </c>
      <c r="I184" s="178"/>
    </row>
    <row r="185" spans="1:9" hidden="1" outlineLevel="1" collapsed="1" x14ac:dyDescent="0.25">
      <c r="A185" s="175">
        <f t="shared" si="4"/>
        <v>1</v>
      </c>
      <c r="B185" s="175" t="s">
        <v>109</v>
      </c>
      <c r="C185" s="175" t="str">
        <f t="shared" si="5"/>
        <v>Fechamento removível de vãos de porta de elevador em madeira</v>
      </c>
      <c r="D185" s="175" t="s">
        <v>156</v>
      </c>
      <c r="E185" s="176" t="s">
        <v>13</v>
      </c>
      <c r="F185" s="175"/>
      <c r="G185" s="177" t="str">
        <f>IF(B185="insumo",_xlfn.XLOOKUP($D185,Insumos!$B$1:$B$764,Insumos!$D$1:$D$764),"")</f>
        <v/>
      </c>
      <c r="H185" s="177" cm="1">
        <f t="array" ref="H185">_xlfn.IFS(B185="Serviço",SUMIFS(H186:$H$3085,C186:$C$3085,$C185),B185="Insumo",F185*G185,B185="Etapa","")</f>
        <v>49.519651000000003</v>
      </c>
      <c r="I185" s="178" t="s">
        <v>195</v>
      </c>
    </row>
    <row r="186" spans="1:9" hidden="1" outlineLevel="2" x14ac:dyDescent="0.25">
      <c r="A186" s="175">
        <f t="shared" si="4"/>
        <v>36</v>
      </c>
      <c r="B186" s="175" t="s">
        <v>327</v>
      </c>
      <c r="C186" s="175" t="str">
        <f t="shared" si="5"/>
        <v>Fechamento removível de vãos de porta de elevador em madeira</v>
      </c>
      <c r="D186" s="175" t="s">
        <v>349</v>
      </c>
      <c r="E186" s="176" t="str">
        <f>_xlfn.XLOOKUP(D186,Insumos!$B$1:$B$764,Insumos!$C$1:$C$764)</f>
        <v>KG</v>
      </c>
      <c r="F186" s="179">
        <v>6.6699999999999995E-2</v>
      </c>
      <c r="G186" s="177">
        <f>IF(B186="insumo",_xlfn.XLOOKUP($D186,Insumos!$B$1:$B$764,Insumos!$D$1:$D$764),"")</f>
        <v>18.13</v>
      </c>
      <c r="H186" s="177" cm="1">
        <f t="array" ref="H186">_xlfn.IFS(B186="Serviço",SUMIFS(H187:$H$3085,C187:$C$3085,$C186),B186="Insumo",F186*G186,B186="Etapa","")</f>
        <v>1.2092709999999998</v>
      </c>
      <c r="I186" s="178"/>
    </row>
    <row r="187" spans="1:9" hidden="1" outlineLevel="2" x14ac:dyDescent="0.25">
      <c r="A187" s="175">
        <f t="shared" si="4"/>
        <v>1</v>
      </c>
      <c r="B187" s="175" t="s">
        <v>327</v>
      </c>
      <c r="C187" s="175" t="str">
        <f t="shared" si="5"/>
        <v>Fechamento removível de vãos de porta de elevador em madeira</v>
      </c>
      <c r="D187" s="175" t="s">
        <v>374</v>
      </c>
      <c r="E187" s="176" t="str">
        <f>_xlfn.XLOOKUP(D187,Insumos!$B$1:$B$764,Insumos!$C$1:$C$764)</f>
        <v>M2</v>
      </c>
      <c r="F187" s="179">
        <v>1.071</v>
      </c>
      <c r="G187" s="177">
        <f>IF(B187="insumo",_xlfn.XLOOKUP($D187,Insumos!$B$1:$B$764,Insumos!$D$1:$D$764),"")</f>
        <v>35.78</v>
      </c>
      <c r="H187" s="177" cm="1">
        <f t="array" ref="H187">_xlfn.IFS(B187="Serviço",SUMIFS(H188:$H$3085,C188:$C$3085,$C187),B187="Insumo",F187*G187,B187="Etapa","")</f>
        <v>38.32038</v>
      </c>
      <c r="I187" s="178"/>
    </row>
    <row r="188" spans="1:9" hidden="1" outlineLevel="2" x14ac:dyDescent="0.25">
      <c r="A188" s="175">
        <f t="shared" si="4"/>
        <v>18</v>
      </c>
      <c r="B188" s="175" t="s">
        <v>327</v>
      </c>
      <c r="C188" s="175" t="str">
        <f t="shared" si="5"/>
        <v>Fechamento removível de vãos de porta de elevador em madeira</v>
      </c>
      <c r="D188" s="175" t="s">
        <v>373</v>
      </c>
      <c r="E188" s="176" t="str">
        <f>_xlfn.XLOOKUP(D188,Insumos!$B$1:$B$764,Insumos!$C$1:$C$764)</f>
        <v>M3</v>
      </c>
      <c r="F188" s="179">
        <v>7.4000000000000003E-3</v>
      </c>
      <c r="G188" s="177">
        <f>IF(B188="insumo",_xlfn.XLOOKUP($D188,Insumos!$B$1:$B$764,Insumos!$D$1:$D$764),"")</f>
        <v>1350</v>
      </c>
      <c r="H188" s="177" cm="1">
        <f t="array" ref="H188">_xlfn.IFS(B188="Serviço",SUMIFS(H189:$H$3085,C189:$C$3085,$C188),B188="Insumo",F188*G188,B188="Etapa","")</f>
        <v>9.99</v>
      </c>
      <c r="I188" s="178"/>
    </row>
    <row r="189" spans="1:9" hidden="1" outlineLevel="1" collapsed="1" x14ac:dyDescent="0.25">
      <c r="A189" s="175">
        <f t="shared" si="4"/>
        <v>1</v>
      </c>
      <c r="B189" s="175" t="s">
        <v>109</v>
      </c>
      <c r="C189" s="175" t="str">
        <f t="shared" si="5"/>
        <v>Cobertura para Proteção de Pedestres</v>
      </c>
      <c r="D189" s="175" t="s">
        <v>194</v>
      </c>
      <c r="E189" s="176" t="s">
        <v>13</v>
      </c>
      <c r="F189" s="175"/>
      <c r="G189" s="177" t="str">
        <f>IF(B189="insumo",_xlfn.XLOOKUP($D189,Insumos!$B$1:$B$764,Insumos!$D$1:$D$764),"")</f>
        <v/>
      </c>
      <c r="H189" s="177" cm="1">
        <f t="array" ref="H189">_xlfn.IFS(B189="Serviço",SUMIFS(H190:$H$3085,C190:$C$3085,$C189),B189="Insumo",F189*G189,B189="Etapa","")</f>
        <v>880</v>
      </c>
      <c r="I189" s="178" t="s">
        <v>196</v>
      </c>
    </row>
    <row r="190" spans="1:9" hidden="1" outlineLevel="2" x14ac:dyDescent="0.25">
      <c r="A190" s="175">
        <f t="shared" si="4"/>
        <v>1</v>
      </c>
      <c r="B190" s="175" t="s">
        <v>327</v>
      </c>
      <c r="C190" s="175" t="str">
        <f t="shared" si="5"/>
        <v>Cobertura para Proteção de Pedestres</v>
      </c>
      <c r="D190" s="175" t="s">
        <v>375</v>
      </c>
      <c r="E190" s="176" t="str">
        <f>_xlfn.XLOOKUP(D190,Insumos!$B$1:$B$764,Insumos!$C$1:$C$764)</f>
        <v>m2</v>
      </c>
      <c r="F190" s="179">
        <v>1</v>
      </c>
      <c r="G190" s="177">
        <f>IF(B190="insumo",_xlfn.XLOOKUP($D190,Insumos!$B$1:$B$764,Insumos!$D$1:$D$764),"")</f>
        <v>880</v>
      </c>
      <c r="H190" s="177" cm="1">
        <f t="array" ref="H190">_xlfn.IFS(B190="Serviço",SUMIFS(H191:$H$3085,C191:$C$3085,$C190),B190="Insumo",F190*G190,B190="Etapa","")</f>
        <v>880</v>
      </c>
      <c r="I190" s="178"/>
    </row>
    <row r="191" spans="1:9" hidden="1" outlineLevel="1" collapsed="1" x14ac:dyDescent="0.25">
      <c r="A191" s="175">
        <f t="shared" si="4"/>
        <v>1</v>
      </c>
      <c r="B191" s="175" t="s">
        <v>109</v>
      </c>
      <c r="C191" s="175" t="str">
        <f t="shared" si="5"/>
        <v>Tapume em telha metálica trapezoidal</v>
      </c>
      <c r="D191" s="175" t="s">
        <v>2034</v>
      </c>
      <c r="E191" s="176" t="s">
        <v>13</v>
      </c>
      <c r="F191" s="175"/>
      <c r="G191" s="177" t="str">
        <f>IF(B191="insumo",_xlfn.XLOOKUP($D191,Insumos!$B$1:$B$764,Insumos!$D$1:$D$764),"")</f>
        <v/>
      </c>
      <c r="H191" s="177" cm="1">
        <f t="array" ref="H191">_xlfn.IFS(B191="Serviço",SUMIFS(H192:$H$3085,C192:$C$3085,$C191),B191="Insumo",F191*G191,B191="Etapa","")</f>
        <v>164.07660000000001</v>
      </c>
      <c r="I191" s="178" t="s">
        <v>195</v>
      </c>
    </row>
    <row r="192" spans="1:9" hidden="1" outlineLevel="2" x14ac:dyDescent="0.25">
      <c r="A192" s="175">
        <f t="shared" si="4"/>
        <v>7</v>
      </c>
      <c r="B192" s="175" t="s">
        <v>327</v>
      </c>
      <c r="C192" s="175" t="str">
        <f t="shared" si="5"/>
        <v>Tapume em telha metálica trapezoidal</v>
      </c>
      <c r="D192" s="175" t="s">
        <v>376</v>
      </c>
      <c r="E192" s="176" t="str">
        <f>_xlfn.XLOOKUP(D192,Insumos!$B$1:$B$764,Insumos!$C$1:$C$764)</f>
        <v>KG</v>
      </c>
      <c r="F192" s="179">
        <v>6.8000000000000005E-2</v>
      </c>
      <c r="G192" s="177">
        <f>IF(B192="insumo",_xlfn.XLOOKUP($D192,Insumos!$B$1:$B$764,Insumos!$D$1:$D$764),"")</f>
        <v>15.65</v>
      </c>
      <c r="H192" s="177" cm="1">
        <f t="array" ref="H192">_xlfn.IFS(B192="Serviço",SUMIFS(H193:$H$3085,C193:$C$3085,$C192),B192="Insumo",F192*G192,B192="Etapa","")</f>
        <v>1.0642</v>
      </c>
      <c r="I192" s="178"/>
    </row>
    <row r="193" spans="1:9" hidden="1" outlineLevel="2" x14ac:dyDescent="0.25">
      <c r="A193" s="175">
        <f t="shared" si="4"/>
        <v>8</v>
      </c>
      <c r="B193" s="175" t="s">
        <v>327</v>
      </c>
      <c r="C193" s="175" t="str">
        <f t="shared" si="5"/>
        <v>Tapume em telha metálica trapezoidal</v>
      </c>
      <c r="D193" s="175" t="s">
        <v>368</v>
      </c>
      <c r="E193" s="176" t="str">
        <f>_xlfn.XLOOKUP(D193,Insumos!$B$1:$B$764,Insumos!$C$1:$C$764)</f>
        <v>M3</v>
      </c>
      <c r="F193" s="179">
        <v>7.7999999999999996E-3</v>
      </c>
      <c r="G193" s="177">
        <f>IF(B193="insumo",_xlfn.XLOOKUP($D193,Insumos!$B$1:$B$764,Insumos!$D$1:$D$764),"")</f>
        <v>1100</v>
      </c>
      <c r="H193" s="177" cm="1">
        <f t="array" ref="H193">_xlfn.IFS(B193="Serviço",SUMIFS(H194:$H$3085,C194:$C$3085,$C193),B193="Insumo",F193*G193,B193="Etapa","")</f>
        <v>8.58</v>
      </c>
      <c r="I193" s="178"/>
    </row>
    <row r="194" spans="1:9" hidden="1" outlineLevel="2" x14ac:dyDescent="0.25">
      <c r="A194" s="175">
        <f t="shared" ref="A194:A257" si="6">COUNTIFS($D$2:$D$3085,D194,$B$2:$B$3085,B194)</f>
        <v>3</v>
      </c>
      <c r="B194" s="175" t="s">
        <v>327</v>
      </c>
      <c r="C194" s="175" t="str">
        <f t="shared" ref="C194:C261" si="7">IF(B194="serviço",D194,C193)</f>
        <v>Tapume em telha metálica trapezoidal</v>
      </c>
      <c r="D194" s="175" t="s">
        <v>369</v>
      </c>
      <c r="E194" s="176" t="str">
        <f>_xlfn.XLOOKUP(D194,Insumos!$B$1:$B$764,Insumos!$C$1:$C$764)</f>
        <v>M</v>
      </c>
      <c r="F194" s="179">
        <v>2</v>
      </c>
      <c r="G194" s="177">
        <f>IF(B194="insumo",_xlfn.XLOOKUP($D194,Insumos!$B$1:$B$764,Insumos!$D$1:$D$764),"")</f>
        <v>21.23</v>
      </c>
      <c r="H194" s="177" cm="1">
        <f t="array" ref="H194">_xlfn.IFS(B194="Serviço",SUMIFS(H195:$H$3085,C195:$C$3085,$C194),B194="Insumo",F194*G194,B194="Etapa","")</f>
        <v>42.46</v>
      </c>
      <c r="I194" s="178"/>
    </row>
    <row r="195" spans="1:9" hidden="1" outlineLevel="2" x14ac:dyDescent="0.25">
      <c r="A195" s="175">
        <f t="shared" si="6"/>
        <v>1</v>
      </c>
      <c r="B195" s="175" t="s">
        <v>327</v>
      </c>
      <c r="C195" s="175" t="str">
        <f t="shared" si="7"/>
        <v>Tapume em telha metálica trapezoidal</v>
      </c>
      <c r="D195" s="175" t="s">
        <v>377</v>
      </c>
      <c r="E195" s="176" t="str">
        <f>_xlfn.XLOOKUP(D195,Insumos!$B$1:$B$764,Insumos!$C$1:$C$764)</f>
        <v>M2</v>
      </c>
      <c r="F195" s="179">
        <v>1.1499999999999999</v>
      </c>
      <c r="G195" s="177">
        <f>IF(B195="insumo",_xlfn.XLOOKUP($D195,Insumos!$B$1:$B$764,Insumos!$D$1:$D$764),"")</f>
        <v>97</v>
      </c>
      <c r="H195" s="177" cm="1">
        <f t="array" ref="H195">_xlfn.IFS(B195="Serviço",SUMIFS(H196:$H$3085,C196:$C$3085,$C195),B195="Insumo",F195*G195,B195="Etapa","")</f>
        <v>111.55</v>
      </c>
      <c r="I195" s="178"/>
    </row>
    <row r="196" spans="1:9" hidden="1" outlineLevel="2" x14ac:dyDescent="0.25">
      <c r="A196" s="175">
        <f t="shared" si="6"/>
        <v>1</v>
      </c>
      <c r="B196" s="175" t="s">
        <v>327</v>
      </c>
      <c r="C196" s="175" t="str">
        <f t="shared" si="7"/>
        <v>Tapume em telha metálica trapezoidal</v>
      </c>
      <c r="D196" s="175" t="s">
        <v>378</v>
      </c>
      <c r="E196" s="176" t="str">
        <f>_xlfn.XLOOKUP(D196,Insumos!$B$1:$B$764,Insumos!$C$1:$C$764)</f>
        <v>M3</v>
      </c>
      <c r="F196" s="179">
        <v>1.1999999999999999E-3</v>
      </c>
      <c r="G196" s="177">
        <f>IF(B196="insumo",_xlfn.XLOOKUP($D196,Insumos!$B$1:$B$764,Insumos!$D$1:$D$764),"")</f>
        <v>352</v>
      </c>
      <c r="H196" s="177" cm="1">
        <f t="array" ref="H196">_xlfn.IFS(B196="Serviço",SUMIFS(H197:$H$3085,C197:$C$3085,$C196),B196="Insumo",F196*G196,B196="Etapa","")</f>
        <v>0.42239999999999994</v>
      </c>
      <c r="I196" s="178"/>
    </row>
    <row r="197" spans="1:9" hidden="1" outlineLevel="1" collapsed="1" x14ac:dyDescent="0.25">
      <c r="A197" s="175">
        <f t="shared" si="6"/>
        <v>1</v>
      </c>
      <c r="B197" s="175" t="s">
        <v>109</v>
      </c>
      <c r="C197" s="175" t="str">
        <f t="shared" si="7"/>
        <v>Varal de segurança com cabo de aço (linha de vida)</v>
      </c>
      <c r="D197" s="175" t="s">
        <v>325</v>
      </c>
      <c r="E197" s="176" t="s">
        <v>25</v>
      </c>
      <c r="F197" s="175"/>
      <c r="G197" s="177" t="str">
        <f>IF(B197="insumo",_xlfn.XLOOKUP($D197,Insumos!$B$1:$B$764,Insumos!$D$1:$D$764),"")</f>
        <v/>
      </c>
      <c r="H197" s="177" cm="1">
        <f t="array" ref="H197">_xlfn.IFS(B197="Serviço",SUMIFS(H198:$H$3085,C198:$C$3085,$C197),B197="Insumo",F197*G197,B197="Etapa","")</f>
        <v>61.164290000000008</v>
      </c>
      <c r="I197" s="178" t="s">
        <v>195</v>
      </c>
    </row>
    <row r="198" spans="1:9" hidden="1" outlineLevel="2" x14ac:dyDescent="0.25">
      <c r="A198" s="175">
        <f t="shared" si="6"/>
        <v>1</v>
      </c>
      <c r="B198" s="175" t="s">
        <v>327</v>
      </c>
      <c r="C198" s="175" t="str">
        <f t="shared" si="7"/>
        <v>Varal de segurança com cabo de aço (linha de vida)</v>
      </c>
      <c r="D198" s="175" t="s">
        <v>379</v>
      </c>
      <c r="E198" s="176" t="str">
        <f>_xlfn.XLOOKUP(D198,Insumos!$B$1:$B$764,Insumos!$C$1:$C$764)</f>
        <v>M</v>
      </c>
      <c r="F198" s="179">
        <v>1</v>
      </c>
      <c r="G198" s="177">
        <f>IF(B198="insumo",_xlfn.XLOOKUP($D198,Insumos!$B$1:$B$764,Insumos!$D$1:$D$764),"")</f>
        <v>5.2</v>
      </c>
      <c r="H198" s="177" cm="1">
        <f t="array" ref="H198">_xlfn.IFS(B198="Serviço",SUMIFS(H199:$H$3085,C199:$C$3085,$C198),B198="Insumo",F198*G198,B198="Etapa","")</f>
        <v>5.2</v>
      </c>
      <c r="I198" s="178"/>
    </row>
    <row r="199" spans="1:9" hidden="1" outlineLevel="2" x14ac:dyDescent="0.25">
      <c r="A199" s="175">
        <f t="shared" si="6"/>
        <v>1</v>
      </c>
      <c r="B199" s="175" t="s">
        <v>327</v>
      </c>
      <c r="C199" s="175" t="str">
        <f t="shared" si="7"/>
        <v>Varal de segurança com cabo de aço (linha de vida)</v>
      </c>
      <c r="D199" s="175" t="s">
        <v>380</v>
      </c>
      <c r="E199" s="176" t="str">
        <f>_xlfn.XLOOKUP(D199,Insumos!$B$1:$B$764,Insumos!$C$1:$C$764)</f>
        <v>UN</v>
      </c>
      <c r="F199" s="179">
        <v>0.92</v>
      </c>
      <c r="G199" s="177">
        <f>IF(B199="insumo",_xlfn.XLOOKUP($D199,Insumos!$B$1:$B$764,Insumos!$D$1:$D$764),"")</f>
        <v>1.7</v>
      </c>
      <c r="H199" s="177" cm="1">
        <f t="array" ref="H199">_xlfn.IFS(B199="Serviço",SUMIFS(H200:$H$3085,C200:$C$3085,$C199),B199="Insumo",F199*G199,B199="Etapa","")</f>
        <v>1.5640000000000001</v>
      </c>
      <c r="I199" s="178"/>
    </row>
    <row r="200" spans="1:9" hidden="1" outlineLevel="2" x14ac:dyDescent="0.25">
      <c r="A200" s="175">
        <f t="shared" si="6"/>
        <v>1</v>
      </c>
      <c r="B200" s="175" t="s">
        <v>327</v>
      </c>
      <c r="C200" s="175" t="str">
        <f t="shared" si="7"/>
        <v>Varal de segurança com cabo de aço (linha de vida)</v>
      </c>
      <c r="D200" s="175" t="s">
        <v>381</v>
      </c>
      <c r="E200" s="176" t="str">
        <f>_xlfn.XLOOKUP(D200,Insumos!$B$1:$B$764,Insumos!$C$1:$C$764)</f>
        <v>UN</v>
      </c>
      <c r="F200" s="179">
        <v>1.609</v>
      </c>
      <c r="G200" s="177">
        <f>IF(B200="insumo",_xlfn.XLOOKUP($D200,Insumos!$B$1:$B$764,Insumos!$D$1:$D$764),"")</f>
        <v>33.81</v>
      </c>
      <c r="H200" s="177" cm="1">
        <f t="array" ref="H200">_xlfn.IFS(B200="Serviço",SUMIFS(H201:$H$3085,C201:$C$3085,$C200),B200="Insumo",F200*G200,B200="Etapa","")</f>
        <v>54.400290000000005</v>
      </c>
      <c r="I200" s="178"/>
    </row>
    <row r="201" spans="1:9" hidden="1" outlineLevel="1" collapsed="1" x14ac:dyDescent="0.25">
      <c r="A201" s="175">
        <f t="shared" si="6"/>
        <v>1</v>
      </c>
      <c r="B201" s="175" t="s">
        <v>109</v>
      </c>
      <c r="C201" s="175" t="str">
        <f t="shared" si="7"/>
        <v>Tela SLQA</v>
      </c>
      <c r="D201" s="175" t="s">
        <v>2472</v>
      </c>
      <c r="E201" s="176" t="s">
        <v>13</v>
      </c>
      <c r="F201" s="175"/>
      <c r="G201" s="177" t="str">
        <f>IF(B201="insumo",_xlfn.XLOOKUP($D201,Insumos!$B$1:$B$764,Insumos!$D$1:$D$764),"")</f>
        <v/>
      </c>
      <c r="H201" s="177" cm="1">
        <f t="array" ref="H201">_xlfn.IFS(B201="Serviço",SUMIFS(H202:$H$3085,C202:$C$3085,$C201),B201="Insumo",F201*G201,B201="Etapa","")</f>
        <v>44.678759266886331</v>
      </c>
      <c r="I201" s="178" t="s">
        <v>196</v>
      </c>
    </row>
    <row r="202" spans="1:9" hidden="1" outlineLevel="2" x14ac:dyDescent="0.25">
      <c r="A202" s="175">
        <f t="shared" si="6"/>
        <v>1</v>
      </c>
      <c r="B202" s="175" t="s">
        <v>327</v>
      </c>
      <c r="C202" s="175" t="str">
        <f t="shared" si="7"/>
        <v>Tela SLQA</v>
      </c>
      <c r="D202" s="175" t="s">
        <v>382</v>
      </c>
      <c r="E202" s="176" t="str">
        <f>_xlfn.XLOOKUP(D202,Insumos!$B$1:$B$764,Insumos!$C$1:$C$764)</f>
        <v>M2</v>
      </c>
      <c r="F202" s="179">
        <v>1</v>
      </c>
      <c r="G202" s="177">
        <f>IF(B202="insumo",_xlfn.XLOOKUP($D202,Insumos!$B$1:$B$764,Insumos!$D$1:$D$764),"")</f>
        <v>44.678759266886331</v>
      </c>
      <c r="H202" s="177" cm="1">
        <f t="array" ref="H202">_xlfn.IFS(B202="Serviço",SUMIFS(H203:$H$3085,C203:$C$3085,$C202),B202="Insumo",F202*G202,B202="Etapa","")</f>
        <v>44.678759266886331</v>
      </c>
      <c r="I202" s="178"/>
    </row>
    <row r="203" spans="1:9" collapsed="1" x14ac:dyDescent="0.25">
      <c r="A203" s="172">
        <f t="shared" si="6"/>
        <v>1</v>
      </c>
      <c r="B203" s="172" t="s">
        <v>107</v>
      </c>
      <c r="C203" s="172"/>
      <c r="D203" s="172" t="s">
        <v>35</v>
      </c>
      <c r="E203" s="173"/>
      <c r="F203" s="174"/>
      <c r="G203" s="180" t="str">
        <f>IF(B203="insumo",_xlfn.XLOOKUP($D203,Insumos!$B$1:$B$764,Insumos!$D$1:$D$764),"")</f>
        <v/>
      </c>
      <c r="H203" s="180" t="str" cm="1">
        <f t="array" ref="H203">_xlfn.IFS(B203="Serviço",SUMIFS(H204:$H$3085,C204:$C$3085,$C203),B203="Insumo",F203*G203,B203="Etapa","")</f>
        <v/>
      </c>
      <c r="I203" s="174"/>
    </row>
    <row r="204" spans="1:9" hidden="1" outlineLevel="1" collapsed="1" x14ac:dyDescent="0.25">
      <c r="A204" s="175">
        <f t="shared" si="6"/>
        <v>1</v>
      </c>
      <c r="B204" s="175" t="s">
        <v>109</v>
      </c>
      <c r="C204" s="175" t="str">
        <f t="shared" si="7"/>
        <v>Rebaixamento de Lençol freático</v>
      </c>
      <c r="D204" s="175" t="s">
        <v>383</v>
      </c>
      <c r="E204" s="176" t="s">
        <v>127</v>
      </c>
      <c r="F204" s="175"/>
      <c r="G204" s="177" t="str">
        <f>IF(B204="insumo",_xlfn.XLOOKUP($D204,Insumos!$B$1:$B$764,Insumos!$D$1:$D$764),"")</f>
        <v/>
      </c>
      <c r="H204" s="177" cm="1">
        <f t="array" ref="H204">_xlfn.IFS(B204="Serviço",SUMIFS(H205:$H$3085,C205:$C$3085,$C204),B204="Insumo",F204*G204,B204="Etapa","")</f>
        <v>29600</v>
      </c>
      <c r="I204" s="178" t="s">
        <v>195</v>
      </c>
    </row>
    <row r="205" spans="1:9" hidden="1" outlineLevel="2" x14ac:dyDescent="0.25">
      <c r="A205" s="175">
        <f t="shared" si="6"/>
        <v>1</v>
      </c>
      <c r="B205" s="175" t="s">
        <v>327</v>
      </c>
      <c r="C205" s="175" t="str">
        <f t="shared" si="7"/>
        <v>Rebaixamento de Lençol freático</v>
      </c>
      <c r="D205" s="175" t="s">
        <v>384</v>
      </c>
      <c r="E205" s="176" t="str">
        <f>_xlfn.XLOOKUP(D205,Insumos!$B$1:$B$764,Insumos!$C$1:$C$764)</f>
        <v>MÊS</v>
      </c>
      <c r="F205" s="179">
        <f>ROUNDUP(0.00347*$I$205,)</f>
        <v>4</v>
      </c>
      <c r="G205" s="177">
        <f>IF(B205="insumo",_xlfn.XLOOKUP($D205,Insumos!$B$1:$B$764,Insumos!$D$1:$D$764),"")</f>
        <v>6500</v>
      </c>
      <c r="H205" s="177" cm="1">
        <f t="array" ref="H205">_xlfn.IFS(B205="Serviço",SUMIFS(H206:$H$3085,C206:$C$3085,$C205),B205="Insumo",F205*G205,B205="Etapa","")</f>
        <v>26000</v>
      </c>
      <c r="I205" s="181">
        <v>1069.8</v>
      </c>
    </row>
    <row r="206" spans="1:9" hidden="1" outlineLevel="2" x14ac:dyDescent="0.25">
      <c r="A206" s="175">
        <f t="shared" si="6"/>
        <v>1</v>
      </c>
      <c r="B206" s="175" t="s">
        <v>327</v>
      </c>
      <c r="C206" s="175" t="str">
        <f t="shared" si="7"/>
        <v>Rebaixamento de Lençol freático</v>
      </c>
      <c r="D206" s="175" t="s">
        <v>385</v>
      </c>
      <c r="E206" s="176" t="str">
        <f>_xlfn.XLOOKUP(D206,Insumos!$B$1:$B$764,Insumos!$C$1:$C$764)</f>
        <v>MÊS</v>
      </c>
      <c r="F206" s="179">
        <f>ROUNDUP(0.00347*$I$205,)</f>
        <v>4</v>
      </c>
      <c r="G206" s="177">
        <f>IF(B206="insumo",_xlfn.XLOOKUP($D206,Insumos!$B$1:$B$764,Insumos!$D$1:$D$764),"")</f>
        <v>900</v>
      </c>
      <c r="H206" s="177" cm="1">
        <f t="array" ref="H206">_xlfn.IFS(B206="Serviço",SUMIFS(H207:$H$3085,C207:$C$3085,$C206),B206="Insumo",F206*G206,B206="Etapa","")</f>
        <v>3600</v>
      </c>
      <c r="I206" s="178"/>
    </row>
    <row r="207" spans="1:9" hidden="1" outlineLevel="1" collapsed="1" x14ac:dyDescent="0.25">
      <c r="A207" s="175">
        <f t="shared" si="6"/>
        <v>1</v>
      </c>
      <c r="B207" s="175" t="s">
        <v>109</v>
      </c>
      <c r="C207" s="175" t="str">
        <f t="shared" si="7"/>
        <v>Instalação de equipamentos para Rebaixamento de Lençol freático</v>
      </c>
      <c r="D207" s="175" t="s">
        <v>386</v>
      </c>
      <c r="E207" s="176" t="s">
        <v>387</v>
      </c>
      <c r="F207" s="175"/>
      <c r="G207" s="177" t="str">
        <f>IF(B207="insumo",_xlfn.XLOOKUP($D207,Insumos!$B$1:$B$764,Insumos!$D$1:$D$764),"")</f>
        <v/>
      </c>
      <c r="H207" s="177" cm="1">
        <f t="array" ref="H207">_xlfn.IFS(B207="Serviço",SUMIFS(H208:$H$3085,C208:$C$3085,$C207),B207="Insumo",F207*G207,B207="Etapa","")</f>
        <v>1200</v>
      </c>
      <c r="I207" s="178" t="s">
        <v>195</v>
      </c>
    </row>
    <row r="208" spans="1:9" hidden="1" outlineLevel="2" x14ac:dyDescent="0.25">
      <c r="A208" s="175">
        <f t="shared" si="6"/>
        <v>1</v>
      </c>
      <c r="B208" s="175" t="s">
        <v>327</v>
      </c>
      <c r="C208" s="175" t="str">
        <f t="shared" si="7"/>
        <v>Instalação de equipamentos para Rebaixamento de Lençol freático</v>
      </c>
      <c r="D208" s="175" t="s">
        <v>388</v>
      </c>
      <c r="E208" s="176" t="str">
        <f>_xlfn.XLOOKUP(D208,Insumos!$B$1:$B$764,Insumos!$C$1:$C$764)</f>
        <v>VB</v>
      </c>
      <c r="F208" s="179">
        <v>1</v>
      </c>
      <c r="G208" s="177">
        <f>IF(B208="insumo",_xlfn.XLOOKUP($D208,Insumos!$B$1:$B$764,Insumos!$D$1:$D$764),"")</f>
        <v>1200</v>
      </c>
      <c r="H208" s="177" cm="1">
        <f t="array" ref="H208">_xlfn.IFS(B208="Serviço",SUMIFS(H209:$H$3085,C209:$C$3085,$C208),B208="Insumo",F208*G208,B208="Etapa","")</f>
        <v>1200</v>
      </c>
      <c r="I208" s="178" t="s">
        <v>389</v>
      </c>
    </row>
    <row r="209" spans="1:9" hidden="1" outlineLevel="1" collapsed="1" x14ac:dyDescent="0.25">
      <c r="A209" s="175">
        <f t="shared" si="6"/>
        <v>1</v>
      </c>
      <c r="B209" s="175" t="s">
        <v>109</v>
      </c>
      <c r="C209" s="175" t="str">
        <f t="shared" si="7"/>
        <v>Detonação de rochas</v>
      </c>
      <c r="D209" s="175" t="s">
        <v>1175</v>
      </c>
      <c r="E209" s="176" t="s">
        <v>390</v>
      </c>
      <c r="F209" s="175"/>
      <c r="G209" s="177" t="str">
        <f>IF(B209="insumo",_xlfn.XLOOKUP($D209,Insumos!$B$1:$B$764,Insumos!$D$1:$D$764),"")</f>
        <v/>
      </c>
      <c r="H209" s="177" cm="1">
        <f t="array" ref="H209">_xlfn.IFS(B209="Serviço",SUMIFS(H210:$H$3085,C210:$C$3085,$C209),B209="Insumo",F209*G209,B209="Etapa","")</f>
        <v>320</v>
      </c>
      <c r="I209" s="178" t="s">
        <v>195</v>
      </c>
    </row>
    <row r="210" spans="1:9" hidden="1" outlineLevel="2" x14ac:dyDescent="0.25">
      <c r="A210" s="175">
        <f t="shared" si="6"/>
        <v>1</v>
      </c>
      <c r="B210" s="175" t="s">
        <v>327</v>
      </c>
      <c r="C210" s="175" t="str">
        <f t="shared" si="7"/>
        <v>Detonação de rochas</v>
      </c>
      <c r="D210" s="175" t="s">
        <v>1175</v>
      </c>
      <c r="E210" s="176" t="str">
        <f>_xlfn.XLOOKUP(D210,Insumos!$B$1:$B$764,Insumos!$C$1:$C$764)</f>
        <v>M3</v>
      </c>
      <c r="F210" s="179">
        <v>1</v>
      </c>
      <c r="G210" s="177">
        <f>IF(B210="insumo",_xlfn.XLOOKUP($D210,Insumos!$B$1:$B$764,Insumos!$D$1:$D$764),"")</f>
        <v>320</v>
      </c>
      <c r="H210" s="177" cm="1">
        <f t="array" ref="H210">_xlfn.IFS(B210="Serviço",SUMIFS(H211:$H$3085,C211:$C$3085,$C210),B210="Insumo",F210*G210,B210="Etapa","")</f>
        <v>320</v>
      </c>
      <c r="I210" s="181">
        <v>1069.8</v>
      </c>
    </row>
    <row r="211" spans="1:9" hidden="1" outlineLevel="1" collapsed="1" x14ac:dyDescent="0.25">
      <c r="A211" s="175">
        <f t="shared" si="6"/>
        <v>1</v>
      </c>
      <c r="B211" s="175" t="s">
        <v>109</v>
      </c>
      <c r="C211" s="175" t="str">
        <f t="shared" si="7"/>
        <v>Escavação mecanizada para blocos de fundação, vigas de fundação e poço de elevador, com retroescavadeira</v>
      </c>
      <c r="D211" s="175" t="s">
        <v>102</v>
      </c>
      <c r="E211" s="176" t="s">
        <v>390</v>
      </c>
      <c r="F211" s="175"/>
      <c r="G211" s="177" t="str">
        <f>IF(B211="insumo",_xlfn.XLOOKUP($D211,Insumos!$B$1:$B$764,Insumos!$D$1:$D$764),"")</f>
        <v/>
      </c>
      <c r="H211" s="177" cm="1">
        <f t="array" ref="H211">_xlfn.IFS(B211="Serviço",SUMIFS(H212:$H$3085,C212:$C$3085,$C211),B211="Insumo",F211*G211,B211="Etapa","")</f>
        <v>36.36</v>
      </c>
      <c r="I211" s="178" t="s">
        <v>195</v>
      </c>
    </row>
    <row r="212" spans="1:9" hidden="1" outlineLevel="2" x14ac:dyDescent="0.25">
      <c r="A212" s="175">
        <f t="shared" si="6"/>
        <v>2</v>
      </c>
      <c r="B212" s="175" t="s">
        <v>327</v>
      </c>
      <c r="C212" s="175" t="str">
        <f t="shared" si="7"/>
        <v>Escavação mecanizada para blocos de fundação, vigas de fundação e poço de elevador, com retroescavadeira</v>
      </c>
      <c r="D212" s="175" t="s">
        <v>391</v>
      </c>
      <c r="E212" s="176" t="str">
        <f>_xlfn.XLOOKUP(D212,Insumos!$B$1:$B$764,Insumos!$C$1:$C$764)</f>
        <v>M3</v>
      </c>
      <c r="F212" s="179">
        <v>1</v>
      </c>
      <c r="G212" s="177">
        <f>IF(B212="insumo",_xlfn.XLOOKUP($D212,Insumos!$B$1:$B$764,Insumos!$D$1:$D$764),"")</f>
        <v>36.36</v>
      </c>
      <c r="H212" s="177" cm="1">
        <f t="array" ref="H212">_xlfn.IFS(B212="Serviço",SUMIFS(H213:$H$3085,C213:$C$3085,$C212),B212="Insumo",F212*G212,B212="Etapa","")</f>
        <v>36.36</v>
      </c>
      <c r="I212" s="178"/>
    </row>
    <row r="213" spans="1:9" hidden="1" outlineLevel="1" collapsed="1" x14ac:dyDescent="0.25">
      <c r="A213" s="175">
        <f t="shared" si="6"/>
        <v>1</v>
      </c>
      <c r="B213" s="175" t="s">
        <v>109</v>
      </c>
      <c r="C213" s="175" t="str">
        <f t="shared" si="7"/>
        <v>Escavação mecanizada para estacas de fundação, com retroescavadeira</v>
      </c>
      <c r="D213" s="175" t="s">
        <v>392</v>
      </c>
      <c r="E213" s="176" t="s">
        <v>390</v>
      </c>
      <c r="F213" s="175"/>
      <c r="G213" s="177" t="str">
        <f>IF(B213="insumo",_xlfn.XLOOKUP($D213,Insumos!$B$1:$B$764,Insumos!$D$1:$D$764),"")</f>
        <v/>
      </c>
      <c r="H213" s="177" cm="1">
        <f t="array" ref="H213">_xlfn.IFS(B213="Serviço",SUMIFS(H214:$H$3085,C214:$C$3085,$C213),B213="Insumo",F213*G213,B213="Etapa","")</f>
        <v>36.36</v>
      </c>
      <c r="I213" s="178" t="s">
        <v>195</v>
      </c>
    </row>
    <row r="214" spans="1:9" hidden="1" outlineLevel="2" x14ac:dyDescent="0.25">
      <c r="A214" s="175">
        <f t="shared" si="6"/>
        <v>2</v>
      </c>
      <c r="B214" s="175" t="s">
        <v>327</v>
      </c>
      <c r="C214" s="175" t="str">
        <f t="shared" si="7"/>
        <v>Escavação mecanizada para estacas de fundação, com retroescavadeira</v>
      </c>
      <c r="D214" s="175" t="s">
        <v>391</v>
      </c>
      <c r="E214" s="176" t="str">
        <f>_xlfn.XLOOKUP(D214,Insumos!$B$1:$B$764,Insumos!$C$1:$C$764)</f>
        <v>M3</v>
      </c>
      <c r="F214" s="179">
        <v>1</v>
      </c>
      <c r="G214" s="177">
        <f>IF(B214="insumo",_xlfn.XLOOKUP($D214,Insumos!$B$1:$B$764,Insumos!$D$1:$D$764),"")</f>
        <v>36.36</v>
      </c>
      <c r="H214" s="177" cm="1">
        <f t="array" ref="H214">_xlfn.IFS(B214="Serviço",SUMIFS(H215:$H$3085,C215:$C$3085,$C214),B214="Insumo",F214*G214,B214="Etapa","")</f>
        <v>36.36</v>
      </c>
      <c r="I214" s="178"/>
    </row>
    <row r="215" spans="1:9" hidden="1" outlineLevel="1" collapsed="1" x14ac:dyDescent="0.25">
      <c r="A215" s="175">
        <f t="shared" si="6"/>
        <v>1</v>
      </c>
      <c r="B215" s="175" t="s">
        <v>109</v>
      </c>
      <c r="C215" s="175" t="str">
        <f t="shared" si="7"/>
        <v>Reaterro mecanizado de valas para blocos e vigas de fundação, com retroescavadeira</v>
      </c>
      <c r="D215" s="175" t="s">
        <v>103</v>
      </c>
      <c r="E215" s="176" t="s">
        <v>390</v>
      </c>
      <c r="F215" s="175"/>
      <c r="G215" s="177" t="str">
        <f>IF(B215="insumo",_xlfn.XLOOKUP($D215,Insumos!$B$1:$B$764,Insumos!$D$1:$D$764),"")</f>
        <v/>
      </c>
      <c r="H215" s="177" cm="1">
        <f t="array" ref="H215">_xlfn.IFS(B215="Serviço",SUMIFS(H216:$H$3085,C216:$C$3085,$C215),B215="Insumo",F215*G215,B215="Etapa","")</f>
        <v>14.55</v>
      </c>
      <c r="I215" s="178" t="s">
        <v>195</v>
      </c>
    </row>
    <row r="216" spans="1:9" hidden="1" outlineLevel="2" x14ac:dyDescent="0.25">
      <c r="A216" s="175">
        <f t="shared" si="6"/>
        <v>1</v>
      </c>
      <c r="B216" s="175" t="s">
        <v>327</v>
      </c>
      <c r="C216" s="175" t="str">
        <f t="shared" si="7"/>
        <v>Reaterro mecanizado de valas para blocos e vigas de fundação, com retroescavadeira</v>
      </c>
      <c r="D216" s="175" t="s">
        <v>393</v>
      </c>
      <c r="E216" s="176" t="str">
        <f>_xlfn.XLOOKUP(D216,Insumos!$B$1:$B$764,Insumos!$C$1:$C$764)</f>
        <v>M3</v>
      </c>
      <c r="F216" s="179">
        <v>1</v>
      </c>
      <c r="G216" s="177">
        <f>IF(B216="insumo",_xlfn.XLOOKUP($D216,Insumos!$B$1:$B$764,Insumos!$D$1:$D$764),"")</f>
        <v>14.55</v>
      </c>
      <c r="H216" s="177" cm="1">
        <f t="array" ref="H216">_xlfn.IFS(B216="Serviço",SUMIFS(H221:$H$3085,C221:$C$3085,$C216),B216="Insumo",F216*G216,B216="Etapa","")</f>
        <v>14.55</v>
      </c>
      <c r="I216" s="178"/>
    </row>
    <row r="217" spans="1:9" hidden="1" outlineLevel="1" collapsed="1" x14ac:dyDescent="0.25">
      <c r="A217" s="175">
        <f t="shared" si="6"/>
        <v>1</v>
      </c>
      <c r="B217" s="175" t="s">
        <v>109</v>
      </c>
      <c r="C217" s="175" t="str">
        <f t="shared" si="7"/>
        <v>Lastro de Concreto Magro, Aplicado em Blocos de Fundação, e=4cm</v>
      </c>
      <c r="D217" s="175" t="s">
        <v>2466</v>
      </c>
      <c r="E217" s="176" t="s">
        <v>390</v>
      </c>
      <c r="F217" s="175"/>
      <c r="G217" s="177" t="str">
        <f>IF(B217="insumo",_xlfn.XLOOKUP($D217,Insumos!$B$1:$B$764,Insumos!$D$1:$D$764),"")</f>
        <v/>
      </c>
      <c r="H217" s="448" cm="1">
        <f t="array" ref="H217">_xlfn.IFS(B217="Serviço",SUMIFS(H218:$H$3085,C218:$C$3085,$C217),B217="Insumo",F217*G217,B217="Etapa","")</f>
        <v>188.67999999999998</v>
      </c>
      <c r="I217" s="178" t="s">
        <v>195</v>
      </c>
    </row>
    <row r="218" spans="1:9" hidden="1" outlineLevel="2" x14ac:dyDescent="0.25">
      <c r="A218" s="175">
        <f t="shared" si="6"/>
        <v>3</v>
      </c>
      <c r="B218" s="175" t="s">
        <v>327</v>
      </c>
      <c r="C218" s="175" t="str">
        <f t="shared" si="7"/>
        <v>Lastro de Concreto Magro, Aplicado em Blocos de Fundação, e=4cm</v>
      </c>
      <c r="D218" s="175" t="s">
        <v>394</v>
      </c>
      <c r="E218" s="176" t="str">
        <f>_xlfn.XLOOKUP(D218,Insumos!$B$1:$B$764,Insumos!$C$1:$C$764)</f>
        <v>M3</v>
      </c>
      <c r="F218" s="179">
        <f>1*0.04/0.1</f>
        <v>0.39999999999999997</v>
      </c>
      <c r="G218" s="177">
        <f>IF(B218="insumo",_xlfn.XLOOKUP($D218,Insumos!$B$1:$B$764,Insumos!$D$1:$D$764),"")</f>
        <v>430.94</v>
      </c>
      <c r="H218" s="177" cm="1">
        <f t="array" ref="H218">_xlfn.IFS(B218="Serviço",SUMIFS(H219:$H$3085,C219:$C$3085,$C218),B218="Insumo",F218*G218,B218="Etapa","")</f>
        <v>172.37599999999998</v>
      </c>
      <c r="I218" s="178"/>
    </row>
    <row r="219" spans="1:9" hidden="1" outlineLevel="2" x14ac:dyDescent="0.25">
      <c r="A219" s="175">
        <f t="shared" si="6"/>
        <v>22</v>
      </c>
      <c r="B219" s="175" t="s">
        <v>327</v>
      </c>
      <c r="C219" s="175" t="str">
        <f t="shared" si="7"/>
        <v>Lastro de Concreto Magro, Aplicado em Blocos de Fundação, e=4cm</v>
      </c>
      <c r="D219" s="175" t="s">
        <v>395</v>
      </c>
      <c r="E219" s="176" t="str">
        <f>_xlfn.XLOOKUP(D219,Insumos!$B$1:$B$764,Insumos!$C$1:$C$764)</f>
        <v>M3</v>
      </c>
      <c r="F219" s="179">
        <f>1*0.04/0.1</f>
        <v>0.39999999999999997</v>
      </c>
      <c r="G219" s="177">
        <f>IF(B219="insumo",_xlfn.XLOOKUP($D219,Insumos!$B$1:$B$764,Insumos!$D$1:$D$764),"")</f>
        <v>40</v>
      </c>
      <c r="H219" s="177" cm="1">
        <f t="array" ref="H219">_xlfn.IFS(B219="Serviço",SUMIFS(H220:$H$3085,C220:$C$3085,$C219),B219="Insumo",F219*G219,B219="Etapa","")</f>
        <v>15.999999999999998</v>
      </c>
      <c r="I219" s="178"/>
    </row>
    <row r="220" spans="1:9" hidden="1" outlineLevel="2" x14ac:dyDescent="0.25">
      <c r="A220" s="175">
        <f t="shared" si="6"/>
        <v>39</v>
      </c>
      <c r="B220" s="175" t="s">
        <v>327</v>
      </c>
      <c r="C220" s="175" t="str">
        <f t="shared" si="7"/>
        <v>Lastro de Concreto Magro, Aplicado em Blocos de Fundação, e=4cm</v>
      </c>
      <c r="D220" s="175" t="s">
        <v>396</v>
      </c>
      <c r="E220" s="176" t="str">
        <f>_xlfn.XLOOKUP(D220,Insumos!$B$1:$B$764,Insumos!$C$1:$C$764)</f>
        <v>KG</v>
      </c>
      <c r="F220" s="179">
        <f>1*0.04/0.1</f>
        <v>0.39999999999999997</v>
      </c>
      <c r="G220" s="177">
        <f>IF(B220="insumo",_xlfn.XLOOKUP($D220,Insumos!$B$1:$B$764,Insumos!$D$1:$D$764),"")</f>
        <v>0.76</v>
      </c>
      <c r="H220" s="177" cm="1">
        <f t="array" ref="H220">_xlfn.IFS(B220="Serviço",SUMIFS(H221:$H$3085,C221:$C$3085,$C220),B220="Insumo",F220*G220,B220="Etapa","")</f>
        <v>0.30399999999999999</v>
      </c>
      <c r="I220" s="178"/>
    </row>
    <row r="221" spans="1:9" hidden="1" outlineLevel="1" collapsed="1" x14ac:dyDescent="0.25">
      <c r="A221" s="175">
        <f t="shared" si="6"/>
        <v>1</v>
      </c>
      <c r="B221" s="175" t="s">
        <v>109</v>
      </c>
      <c r="C221" s="175" t="str">
        <f t="shared" si="7"/>
        <v>Lastro de Concreto Magro, Aplicado em Blocos de Fundação</v>
      </c>
      <c r="D221" s="175" t="s">
        <v>1176</v>
      </c>
      <c r="E221" s="176" t="s">
        <v>390</v>
      </c>
      <c r="F221" s="175"/>
      <c r="G221" s="177" t="str">
        <f>IF(B221="insumo",_xlfn.XLOOKUP($D221,Insumos!$B$1:$B$764,Insumos!$D$1:$D$764),"")</f>
        <v/>
      </c>
      <c r="H221" s="448" cm="1">
        <f t="array" ref="H221">_xlfn.IFS(B221="Serviço",SUMIFS(H222:$H$3085,C222:$C$3085,$C221),B221="Insumo",F221*G221,B221="Etapa","")</f>
        <v>518.7940000000001</v>
      </c>
      <c r="I221" s="178" t="s">
        <v>195</v>
      </c>
    </row>
    <row r="222" spans="1:9" hidden="1" outlineLevel="2" x14ac:dyDescent="0.25">
      <c r="A222" s="175">
        <f t="shared" si="6"/>
        <v>3</v>
      </c>
      <c r="B222" s="175" t="s">
        <v>327</v>
      </c>
      <c r="C222" s="175" t="str">
        <f t="shared" si="7"/>
        <v>Lastro de Concreto Magro, Aplicado em Blocos de Fundação</v>
      </c>
      <c r="D222" s="175" t="s">
        <v>394</v>
      </c>
      <c r="E222" s="176" t="str">
        <f>_xlfn.XLOOKUP(D222,Insumos!$B$1:$B$764,Insumos!$C$1:$C$764)</f>
        <v>M3</v>
      </c>
      <c r="F222" s="179">
        <v>1.1000000000000001</v>
      </c>
      <c r="G222" s="177">
        <f>IF(B222="insumo",_xlfn.XLOOKUP($D222,Insumos!$B$1:$B$764,Insumos!$D$1:$D$764),"")</f>
        <v>430.94</v>
      </c>
      <c r="H222" s="177" cm="1">
        <f t="array" ref="H222">_xlfn.IFS(B222="Serviço",SUMIFS(H223:$H$3085,C223:$C$3085,$C222),B222="Insumo",F222*G222,B222="Etapa","")</f>
        <v>474.03400000000005</v>
      </c>
      <c r="I222" s="178"/>
    </row>
    <row r="223" spans="1:9" hidden="1" outlineLevel="2" x14ac:dyDescent="0.25">
      <c r="A223" s="175">
        <f t="shared" si="6"/>
        <v>22</v>
      </c>
      <c r="B223" s="175" t="s">
        <v>327</v>
      </c>
      <c r="C223" s="175" t="str">
        <f t="shared" si="7"/>
        <v>Lastro de Concreto Magro, Aplicado em Blocos de Fundação</v>
      </c>
      <c r="D223" s="175" t="s">
        <v>395</v>
      </c>
      <c r="E223" s="176" t="str">
        <f>_xlfn.XLOOKUP(D223,Insumos!$B$1:$B$764,Insumos!$C$1:$C$764)</f>
        <v>M3</v>
      </c>
      <c r="F223" s="179">
        <v>1.1000000000000001</v>
      </c>
      <c r="G223" s="177">
        <f>IF(B223="insumo",_xlfn.XLOOKUP($D223,Insumos!$B$1:$B$764,Insumos!$D$1:$D$764),"")</f>
        <v>40</v>
      </c>
      <c r="H223" s="177" cm="1">
        <f t="array" ref="H223">_xlfn.IFS(B223="Serviço",SUMIFS(H224:$H$3085,C224:$C$3085,$C223),B223="Insumo",F223*G223,B223="Etapa","")</f>
        <v>44</v>
      </c>
      <c r="I223" s="178"/>
    </row>
    <row r="224" spans="1:9" hidden="1" outlineLevel="2" x14ac:dyDescent="0.25">
      <c r="A224" s="175">
        <f t="shared" si="6"/>
        <v>39</v>
      </c>
      <c r="B224" s="175" t="s">
        <v>327</v>
      </c>
      <c r="C224" s="175" t="str">
        <f t="shared" si="7"/>
        <v>Lastro de Concreto Magro, Aplicado em Blocos de Fundação</v>
      </c>
      <c r="D224" s="175" t="s">
        <v>396</v>
      </c>
      <c r="E224" s="176" t="str">
        <f>_xlfn.XLOOKUP(D224,Insumos!$B$1:$B$764,Insumos!$C$1:$C$764)</f>
        <v>KG</v>
      </c>
      <c r="F224" s="179">
        <v>1</v>
      </c>
      <c r="G224" s="177">
        <f>IF(B224="insumo",_xlfn.XLOOKUP($D224,Insumos!$B$1:$B$764,Insumos!$D$1:$D$764),"")</f>
        <v>0.76</v>
      </c>
      <c r="H224" s="177" cm="1">
        <f t="array" ref="H224">_xlfn.IFS(B224="Serviço",SUMIFS(H225:$H$3085,C225:$C$3085,$C224),B224="Insumo",F224*G224,B224="Etapa","")</f>
        <v>0.76</v>
      </c>
      <c r="I224" s="178"/>
    </row>
    <row r="225" spans="1:9" hidden="1" outlineLevel="1" collapsed="1" x14ac:dyDescent="0.25">
      <c r="A225" s="175">
        <f t="shared" si="6"/>
        <v>1</v>
      </c>
      <c r="B225" s="175" t="s">
        <v>109</v>
      </c>
      <c r="C225" s="175" t="str">
        <f t="shared" si="7"/>
        <v>Lastro de Brita, Aplicado em Blocos de Fundação, e= 5cm</v>
      </c>
      <c r="D225" s="175" t="s">
        <v>397</v>
      </c>
      <c r="E225" s="176" t="s">
        <v>390</v>
      </c>
      <c r="F225" s="175"/>
      <c r="G225" s="177" t="str">
        <f>IF(B225="insumo",_xlfn.XLOOKUP($D225,Insumos!$B$1:$B$764,Insumos!$D$1:$D$764),"")</f>
        <v/>
      </c>
      <c r="H225" s="177" cm="1">
        <f t="array" ref="H225">_xlfn.IFS(B225="Serviço",SUMIFS(H226:$H$3085,C226:$C$3085,$C225),B225="Insumo",F225*G225,B225="Etapa","")</f>
        <v>208.65600000000001</v>
      </c>
      <c r="I225" s="178" t="s">
        <v>195</v>
      </c>
    </row>
    <row r="226" spans="1:9" hidden="1" outlineLevel="2" x14ac:dyDescent="0.25">
      <c r="A226" s="175">
        <f t="shared" si="6"/>
        <v>2</v>
      </c>
      <c r="B226" s="175" t="s">
        <v>327</v>
      </c>
      <c r="C226" s="175" t="str">
        <f t="shared" si="7"/>
        <v>Lastro de Brita, Aplicado em Blocos de Fundação, e= 5cm</v>
      </c>
      <c r="D226" s="175" t="s">
        <v>398</v>
      </c>
      <c r="E226" s="176" t="str">
        <f>_xlfn.XLOOKUP(D226,Insumos!$B$1:$B$764,Insumos!$C$1:$C$764)</f>
        <v>M3</v>
      </c>
      <c r="F226" s="179">
        <v>1.38</v>
      </c>
      <c r="G226" s="177">
        <f>IF(B226="insumo",_xlfn.XLOOKUP($D226,Insumos!$B$1:$B$764,Insumos!$D$1:$D$764),"")</f>
        <v>151.20000000000002</v>
      </c>
      <c r="H226" s="177" cm="1">
        <f t="array" ref="H226">_xlfn.IFS(B226="Serviço",SUMIFS(H227:$H$3085,C227:$C$3085,$C226),B226="Insumo",F226*G226,B226="Etapa","")</f>
        <v>208.65600000000001</v>
      </c>
      <c r="I226" s="178"/>
    </row>
    <row r="227" spans="1:9" hidden="1" outlineLevel="1" collapsed="1" x14ac:dyDescent="0.25">
      <c r="A227" s="175">
        <f t="shared" si="6"/>
        <v>1</v>
      </c>
      <c r="B227" s="175" t="s">
        <v>109</v>
      </c>
      <c r="C227" s="175" t="str">
        <f t="shared" si="7"/>
        <v>Lastro de Brita, Aplicado em fundação rasa</v>
      </c>
      <c r="D227" s="175" t="s">
        <v>399</v>
      </c>
      <c r="E227" s="176" t="s">
        <v>390</v>
      </c>
      <c r="F227" s="175"/>
      <c r="G227" s="177" t="str">
        <f>IF(B227="insumo",_xlfn.XLOOKUP($D227,Insumos!$B$1:$B$764,Insumos!$D$1:$D$764),"")</f>
        <v/>
      </c>
      <c r="H227" s="177" cm="1">
        <f t="array" ref="H227">_xlfn.IFS(B227="Serviço",SUMIFS(H228:$H$3085,C228:$C$3085,$C227),B227="Insumo",F227*G227,B227="Etapa","")</f>
        <v>208.65600000000001</v>
      </c>
      <c r="I227" s="178" t="s">
        <v>195</v>
      </c>
    </row>
    <row r="228" spans="1:9" hidden="1" outlineLevel="2" x14ac:dyDescent="0.25">
      <c r="A228" s="175">
        <f t="shared" si="6"/>
        <v>2</v>
      </c>
      <c r="B228" s="175" t="s">
        <v>327</v>
      </c>
      <c r="C228" s="175" t="str">
        <f t="shared" si="7"/>
        <v>Lastro de Brita, Aplicado em fundação rasa</v>
      </c>
      <c r="D228" s="175" t="s">
        <v>398</v>
      </c>
      <c r="E228" s="176" t="str">
        <f>_xlfn.XLOOKUP(D228,Insumos!$B$1:$B$764,Insumos!$C$1:$C$764)</f>
        <v>M3</v>
      </c>
      <c r="F228" s="179">
        <v>1.38</v>
      </c>
      <c r="G228" s="177">
        <f>IF(B228="insumo",_xlfn.XLOOKUP($D228,Insumos!$B$1:$B$764,Insumos!$D$1:$D$764),"")</f>
        <v>151.20000000000002</v>
      </c>
      <c r="H228" s="177" cm="1">
        <f t="array" ref="H228">_xlfn.IFS(B228="Serviço",SUMIFS(H229:$H$3085,C229:$C$3085,$C228),B228="Insumo",F228*G228,B228="Etapa","")</f>
        <v>208.65600000000001</v>
      </c>
      <c r="I228" s="178"/>
    </row>
    <row r="229" spans="1:9" hidden="1" outlineLevel="1" collapsed="1" x14ac:dyDescent="0.25">
      <c r="A229" s="175">
        <f t="shared" si="6"/>
        <v>1</v>
      </c>
      <c r="B229" s="175" t="s">
        <v>109</v>
      </c>
      <c r="C229" s="175" t="str">
        <f t="shared" si="7"/>
        <v>Terraplanagem - Corte e Desaterro Solo</v>
      </c>
      <c r="D229" s="175" t="s">
        <v>400</v>
      </c>
      <c r="E229" s="176" t="s">
        <v>390</v>
      </c>
      <c r="F229" s="175"/>
      <c r="G229" s="177" t="str">
        <f>IF(B229="insumo",_xlfn.XLOOKUP($D229,Insumos!$B$1:$B$764,Insumos!$D$1:$D$764),"")</f>
        <v/>
      </c>
      <c r="H229" s="177" cm="1">
        <f t="array" ref="H229">_xlfn.IFS(B229="Serviço",SUMIFS(H230:$H$3085,C230:$C$3085,$C229),B229="Insumo",F229*G229,B229="Etapa","")</f>
        <v>2.7132000000000001</v>
      </c>
      <c r="I229" s="178" t="s">
        <v>195</v>
      </c>
    </row>
    <row r="230" spans="1:9" hidden="1" outlineLevel="2" x14ac:dyDescent="0.25">
      <c r="A230" s="175">
        <f t="shared" si="6"/>
        <v>1</v>
      </c>
      <c r="B230" s="175" t="s">
        <v>327</v>
      </c>
      <c r="C230" s="175" t="str">
        <f t="shared" si="7"/>
        <v>Terraplanagem - Corte e Desaterro Solo</v>
      </c>
      <c r="D230" s="175" t="s">
        <v>401</v>
      </c>
      <c r="E230" s="176" t="str">
        <f>_xlfn.XLOOKUP(D230,Insumos!$B$1:$B$764,Insumos!$C$1:$C$764)</f>
        <v>M3</v>
      </c>
      <c r="F230" s="179">
        <v>1</v>
      </c>
      <c r="G230" s="177">
        <f>IF(B230="insumo",_xlfn.XLOOKUP($D230,Insumos!$B$1:$B$764,Insumos!$D$1:$D$764),"")</f>
        <v>2.7132000000000001</v>
      </c>
      <c r="H230" s="177" cm="1">
        <f t="array" ref="H230">_xlfn.IFS(B230="Serviço",SUMIFS(H231:$H$3085,C231:$C$3085,$C230),B230="Insumo",F230*G230,B230="Etapa","")</f>
        <v>2.7132000000000001</v>
      </c>
      <c r="I230" s="178"/>
    </row>
    <row r="231" spans="1:9" hidden="1" outlineLevel="1" collapsed="1" x14ac:dyDescent="0.25">
      <c r="A231" s="175">
        <f t="shared" si="6"/>
        <v>1</v>
      </c>
      <c r="B231" s="175" t="s">
        <v>109</v>
      </c>
      <c r="C231" s="175" t="str">
        <f t="shared" si="7"/>
        <v>Desmonte de Rocha</v>
      </c>
      <c r="D231" s="175" t="s">
        <v>402</v>
      </c>
      <c r="E231" s="176" t="s">
        <v>390</v>
      </c>
      <c r="F231" s="175"/>
      <c r="G231" s="177" t="str">
        <f>IF(B231="insumo",_xlfn.XLOOKUP($D231,Insumos!$B$1:$B$764,Insumos!$D$1:$D$764),"")</f>
        <v/>
      </c>
      <c r="H231" s="177" cm="1">
        <f t="array" ref="H231">_xlfn.IFS(B231="Serviço",SUMIFS(H232:$H$3085,C232:$C$3085,$C231),B231="Insumo",F231*G231,B231="Etapa","")</f>
        <v>4.4982000000000006</v>
      </c>
      <c r="I231" s="178" t="s">
        <v>195</v>
      </c>
    </row>
    <row r="232" spans="1:9" hidden="1" outlineLevel="2" x14ac:dyDescent="0.25">
      <c r="A232" s="175">
        <f t="shared" si="6"/>
        <v>1</v>
      </c>
      <c r="B232" s="175" t="s">
        <v>327</v>
      </c>
      <c r="C232" s="175" t="str">
        <f t="shared" si="7"/>
        <v>Desmonte de Rocha</v>
      </c>
      <c r="D232" s="175" t="s">
        <v>403</v>
      </c>
      <c r="E232" s="176" t="str">
        <f>_xlfn.XLOOKUP(D232,Insumos!$B$1:$B$764,Insumos!$C$1:$C$764)</f>
        <v>M3</v>
      </c>
      <c r="F232" s="179">
        <v>1</v>
      </c>
      <c r="G232" s="177">
        <f>IF(B232="insumo",_xlfn.XLOOKUP($D232,Insumos!$B$1:$B$764,Insumos!$D$1:$D$764),"")</f>
        <v>4.4982000000000006</v>
      </c>
      <c r="H232" s="177" cm="1">
        <f t="array" ref="H232">_xlfn.IFS(B232="Serviço",SUMIFS(H233:$H$3085,C233:$C$3085,$C232),B232="Insumo",F232*G232,B232="Etapa","")</f>
        <v>4.4982000000000006</v>
      </c>
      <c r="I232" s="178"/>
    </row>
    <row r="233" spans="1:9" hidden="1" outlineLevel="1" collapsed="1" x14ac:dyDescent="0.25">
      <c r="A233" s="175">
        <f t="shared" si="6"/>
        <v>1</v>
      </c>
      <c r="B233" s="175" t="s">
        <v>109</v>
      </c>
      <c r="C233" s="175" t="str">
        <f t="shared" si="7"/>
        <v>Terraplanagem - Aterro material de 1º categoria</v>
      </c>
      <c r="D233" s="175" t="s">
        <v>404</v>
      </c>
      <c r="E233" s="176" t="s">
        <v>390</v>
      </c>
      <c r="F233" s="175"/>
      <c r="G233" s="177" t="str">
        <f>IF(B233="insumo",_xlfn.XLOOKUP($D233,Insumos!$B$1:$B$764,Insumos!$D$1:$D$764),"")</f>
        <v/>
      </c>
      <c r="H233" s="177" cm="1">
        <f t="array" ref="H233">_xlfn.IFS(B233="Serviço",SUMIFS(H234:$H$3085,C234:$C$3085,$C233),B233="Insumo",F233*G233,B233="Etapa","")</f>
        <v>9.2718000000000007</v>
      </c>
      <c r="I233" s="178" t="s">
        <v>195</v>
      </c>
    </row>
    <row r="234" spans="1:9" hidden="1" outlineLevel="2" x14ac:dyDescent="0.25">
      <c r="A234" s="175">
        <f t="shared" si="6"/>
        <v>1</v>
      </c>
      <c r="B234" s="175" t="s">
        <v>327</v>
      </c>
      <c r="C234" s="175" t="str">
        <f t="shared" si="7"/>
        <v>Terraplanagem - Aterro material de 1º categoria</v>
      </c>
      <c r="D234" s="175" t="s">
        <v>405</v>
      </c>
      <c r="E234" s="176" t="str">
        <f>_xlfn.XLOOKUP(D234,Insumos!$B$1:$B$764,Insumos!$C$1:$C$764)</f>
        <v>M3</v>
      </c>
      <c r="F234" s="179">
        <v>1</v>
      </c>
      <c r="G234" s="177">
        <f>IF(B234="insumo",_xlfn.XLOOKUP($D234,Insumos!$B$1:$B$764,Insumos!$D$1:$D$764),"")</f>
        <v>9.2718000000000007</v>
      </c>
      <c r="H234" s="177" cm="1">
        <f t="array" ref="H234">_xlfn.IFS(B234="Serviço",SUMIFS(H235:$H$3085,C235:$C$3085,$C234),B234="Insumo",F234*G234,B234="Etapa","")</f>
        <v>9.2718000000000007</v>
      </c>
      <c r="I234" s="178"/>
    </row>
    <row r="235" spans="1:9" hidden="1" outlineLevel="1" collapsed="1" x14ac:dyDescent="0.25">
      <c r="A235" s="175">
        <f t="shared" si="6"/>
        <v>1</v>
      </c>
      <c r="B235" s="175" t="s">
        <v>109</v>
      </c>
      <c r="C235" s="175" t="str">
        <f t="shared" si="7"/>
        <v>Terraplanagem - Corte e aterro (Produtividade 1890m3/dia) - Mão de Obra Própria</v>
      </c>
      <c r="D235" s="175" t="s">
        <v>406</v>
      </c>
      <c r="E235" s="176" t="s">
        <v>390</v>
      </c>
      <c r="F235" s="175"/>
      <c r="G235" s="177" t="str">
        <f>IF(B235="insumo",_xlfn.XLOOKUP($D235,Insumos!$B$1:$B$764,Insumos!$D$1:$D$764),"")</f>
        <v/>
      </c>
      <c r="H235" s="177" cm="1">
        <f t="array" ref="H235">_xlfn.IFS(B235="Serviço",SUMIFS(H236:$H$3085,C236:$C$3085,$C235),B235="Insumo",F235*G235,B235="Etapa","")</f>
        <v>2.9215</v>
      </c>
      <c r="I235" s="178" t="s">
        <v>195</v>
      </c>
    </row>
    <row r="236" spans="1:9" hidden="1" outlineLevel="2" x14ac:dyDescent="0.25">
      <c r="A236" s="175">
        <f t="shared" si="6"/>
        <v>1</v>
      </c>
      <c r="B236" s="175" t="s">
        <v>327</v>
      </c>
      <c r="C236" s="175" t="str">
        <f t="shared" si="7"/>
        <v>Terraplanagem - Corte e aterro (Produtividade 1890m3/dia) - Mão de Obra Própria</v>
      </c>
      <c r="D236" s="175" t="s">
        <v>407</v>
      </c>
      <c r="E236" s="176" t="str">
        <f>_xlfn.XLOOKUP(D236,Insumos!$B$1:$B$764,Insumos!$C$1:$C$764)</f>
        <v>MÊS</v>
      </c>
      <c r="F236" s="179">
        <v>1.1000000000000001E-5</v>
      </c>
      <c r="G236" s="177">
        <f>IF(B236="insumo",_xlfn.XLOOKUP($D236,Insumos!$B$1:$B$764,Insumos!$D$1:$D$764),"")</f>
        <v>33660</v>
      </c>
      <c r="H236" s="177" cm="1">
        <f t="array" ref="H236">_xlfn.IFS(B236="Serviço",SUMIFS(H237:$H$3085,C237:$C$3085,$C236),B236="Insumo",F236*G236,B236="Etapa","")</f>
        <v>0.37026000000000003</v>
      </c>
      <c r="I236" s="178"/>
    </row>
    <row r="237" spans="1:9" hidden="1" outlineLevel="2" x14ac:dyDescent="0.25">
      <c r="A237" s="175">
        <f t="shared" si="6"/>
        <v>1</v>
      </c>
      <c r="B237" s="175" t="s">
        <v>327</v>
      </c>
      <c r="C237" s="175" t="str">
        <f t="shared" si="7"/>
        <v>Terraplanagem - Corte e aterro (Produtividade 1890m3/dia) - Mão de Obra Própria</v>
      </c>
      <c r="D237" s="175" t="s">
        <v>408</v>
      </c>
      <c r="E237" s="176" t="str">
        <f>_xlfn.XLOOKUP(D237,Insumos!$B$1:$B$764,Insumos!$C$1:$C$764)</f>
        <v>MÊS</v>
      </c>
      <c r="F237" s="179">
        <v>1.2E-5</v>
      </c>
      <c r="G237" s="177">
        <f>IF(B237="insumo",_xlfn.XLOOKUP($D237,Insumos!$B$1:$B$764,Insumos!$D$1:$D$764),"")</f>
        <v>32270</v>
      </c>
      <c r="H237" s="177" cm="1">
        <f t="array" ref="H237">_xlfn.IFS(B237="Serviço",SUMIFS(H238:$H$3085,C238:$C$3085,$C237),B237="Insumo",F237*G237,B237="Etapa","")</f>
        <v>0.38724000000000003</v>
      </c>
      <c r="I237" s="178"/>
    </row>
    <row r="238" spans="1:9" hidden="1" outlineLevel="2" x14ac:dyDescent="0.25">
      <c r="A238" s="175">
        <f t="shared" si="6"/>
        <v>1</v>
      </c>
      <c r="B238" s="175" t="s">
        <v>327</v>
      </c>
      <c r="C238" s="175" t="str">
        <f t="shared" si="7"/>
        <v>Terraplanagem - Corte e aterro (Produtividade 1890m3/dia) - Mão de Obra Própria</v>
      </c>
      <c r="D238" s="175" t="s">
        <v>409</v>
      </c>
      <c r="E238" s="176" t="str">
        <f>_xlfn.XLOOKUP(D238,Insumos!$B$1:$B$764,Insumos!$C$1:$C$764)</f>
        <v>MÊS</v>
      </c>
      <c r="F238" s="179">
        <v>2.4000000000000001E-5</v>
      </c>
      <c r="G238" s="177">
        <f>IF(B238="insumo",_xlfn.XLOOKUP($D238,Insumos!$B$1:$B$764,Insumos!$D$1:$D$764),"")</f>
        <v>15000</v>
      </c>
      <c r="H238" s="177" cm="1">
        <f t="array" ref="H238">_xlfn.IFS(B238="Serviço",SUMIFS(H239:$H$3085,C239:$C$3085,$C238),B238="Insumo",F238*G238,B238="Etapa","")</f>
        <v>0.36</v>
      </c>
      <c r="I238" s="178"/>
    </row>
    <row r="239" spans="1:9" hidden="1" outlineLevel="2" x14ac:dyDescent="0.25">
      <c r="A239" s="175">
        <f t="shared" si="6"/>
        <v>1</v>
      </c>
      <c r="B239" s="175" t="s">
        <v>327</v>
      </c>
      <c r="C239" s="175" t="str">
        <f t="shared" si="7"/>
        <v>Terraplanagem - Corte e aterro (Produtividade 1890m3/dia) - Mão de Obra Própria</v>
      </c>
      <c r="D239" s="175" t="s">
        <v>410</v>
      </c>
      <c r="E239" s="176" t="str">
        <f>_xlfn.XLOOKUP(D239,Insumos!$B$1:$B$764,Insumos!$C$1:$C$764)</f>
        <v>MÊS</v>
      </c>
      <c r="F239" s="179">
        <v>5.1999999999999997E-5</v>
      </c>
      <c r="G239" s="177">
        <f>IF(B239="insumo",_xlfn.XLOOKUP($D239,Insumos!$B$1:$B$764,Insumos!$D$1:$D$764),"")</f>
        <v>7000</v>
      </c>
      <c r="H239" s="177" cm="1">
        <f t="array" ref="H239">_xlfn.IFS(B239="Serviço",SUMIFS(H240:$H$3085,C240:$C$3085,$C239),B239="Insumo",F239*G239,B239="Etapa","")</f>
        <v>0.36399999999999999</v>
      </c>
      <c r="I239" s="178"/>
    </row>
    <row r="240" spans="1:9" hidden="1" outlineLevel="2" x14ac:dyDescent="0.25">
      <c r="A240" s="175">
        <f t="shared" si="6"/>
        <v>1</v>
      </c>
      <c r="B240" s="175" t="s">
        <v>327</v>
      </c>
      <c r="C240" s="175" t="str">
        <f t="shared" si="7"/>
        <v>Terraplanagem - Corte e aterro (Produtividade 1890m3/dia) - Mão de Obra Própria</v>
      </c>
      <c r="D240" s="175" t="s">
        <v>411</v>
      </c>
      <c r="E240" s="176" t="str">
        <f>_xlfn.XLOOKUP(D240,Insumos!$B$1:$B$764,Insumos!$C$1:$C$764)</f>
        <v>MÊS</v>
      </c>
      <c r="F240" s="179">
        <v>3.6000000000000002E-4</v>
      </c>
      <c r="G240" s="177">
        <f>IF(B240="insumo",_xlfn.XLOOKUP($D240,Insumos!$B$1:$B$764,Insumos!$D$1:$D$764),"")</f>
        <v>4000</v>
      </c>
      <c r="H240" s="177" cm="1">
        <f t="array" ref="H240">_xlfn.IFS(B240="Serviço",SUMIFS(H241:$H$3085,C241:$C$3085,$C240),B240="Insumo",F240*G240,B240="Etapa","")</f>
        <v>1.4400000000000002</v>
      </c>
      <c r="I240" s="178"/>
    </row>
    <row r="241" spans="1:9" hidden="1" outlineLevel="1" collapsed="1" x14ac:dyDescent="0.25">
      <c r="A241" s="175">
        <f t="shared" si="6"/>
        <v>1</v>
      </c>
      <c r="B241" s="175" t="s">
        <v>109</v>
      </c>
      <c r="C241" s="175" t="str">
        <f t="shared" si="7"/>
        <v>Movimentação de terra para bota-fora - Escavação de Valas</v>
      </c>
      <c r="D241" s="175" t="s">
        <v>412</v>
      </c>
      <c r="E241" s="176" t="s">
        <v>390</v>
      </c>
      <c r="F241" s="175"/>
      <c r="G241" s="177" t="str">
        <f>IF(B241="insumo",_xlfn.XLOOKUP($D241,Insumos!$B$1:$B$764,Insumos!$D$1:$D$764),"")</f>
        <v/>
      </c>
      <c r="H241" s="177" cm="1">
        <f t="array" ref="H241">_xlfn.IFS(B241="Serviço",SUMIFS(H242:$H$3085,C242:$C$3085,$C241),B241="Insumo",F241*G241,B241="Etapa","")</f>
        <v>45.45</v>
      </c>
      <c r="I241" s="178" t="s">
        <v>195</v>
      </c>
    </row>
    <row r="242" spans="1:9" hidden="1" outlineLevel="2" x14ac:dyDescent="0.25">
      <c r="A242" s="175">
        <f t="shared" si="6"/>
        <v>2</v>
      </c>
      <c r="B242" s="175" t="s">
        <v>327</v>
      </c>
      <c r="C242" s="175" t="str">
        <f t="shared" si="7"/>
        <v>Movimentação de terra para bota-fora - Escavação de Valas</v>
      </c>
      <c r="D242" s="175" t="s">
        <v>412</v>
      </c>
      <c r="E242" s="176" t="str">
        <f>_xlfn.XLOOKUP(D242,Insumos!$B$1:$B$764,Insumos!$C$1:$C$764)</f>
        <v>M3</v>
      </c>
      <c r="F242" s="179">
        <v>1</v>
      </c>
      <c r="G242" s="177">
        <f>IF(B242="insumo",_xlfn.XLOOKUP($D242,Insumos!$B$1:$B$764,Insumos!$D$1:$D$764),"")</f>
        <v>45.45</v>
      </c>
      <c r="H242" s="177" cm="1">
        <f t="array" ref="H242">_xlfn.IFS(B242="Serviço",SUMIFS(H243:$H$3085,C243:$C$3085,$C242),B242="Insumo",F242*G242,B242="Etapa","")</f>
        <v>45.45</v>
      </c>
      <c r="I242" s="178"/>
    </row>
    <row r="243" spans="1:9" hidden="1" outlineLevel="1" collapsed="1" x14ac:dyDescent="0.25">
      <c r="A243" s="175">
        <f t="shared" si="6"/>
        <v>1</v>
      </c>
      <c r="B243" s="175" t="s">
        <v>109</v>
      </c>
      <c r="C243" s="175" t="str">
        <f t="shared" si="7"/>
        <v>Movimentação de terra para bota-fora - Estacas</v>
      </c>
      <c r="D243" s="175" t="s">
        <v>199</v>
      </c>
      <c r="E243" s="176" t="s">
        <v>390</v>
      </c>
      <c r="F243" s="175"/>
      <c r="G243" s="177" t="str">
        <f>IF(B243="insumo",_xlfn.XLOOKUP($D243,Insumos!$B$1:$B$764,Insumos!$D$1:$D$764),"")</f>
        <v/>
      </c>
      <c r="H243" s="177" cm="1">
        <f t="array" ref="H243">_xlfn.IFS(B243="Serviço",SUMIFS(H244:$H$3085,C244:$C$3085,$C243),B243="Insumo",F243*G243,B243="Etapa","")</f>
        <v>68.180000000000007</v>
      </c>
      <c r="I243" s="178" t="s">
        <v>195</v>
      </c>
    </row>
    <row r="244" spans="1:9" hidden="1" outlineLevel="2" x14ac:dyDescent="0.25">
      <c r="A244" s="175">
        <f t="shared" si="6"/>
        <v>1</v>
      </c>
      <c r="B244" s="175" t="s">
        <v>327</v>
      </c>
      <c r="C244" s="175" t="str">
        <f t="shared" si="7"/>
        <v>Movimentação de terra para bota-fora - Estacas</v>
      </c>
      <c r="D244" s="175" t="s">
        <v>199</v>
      </c>
      <c r="E244" s="176" t="str">
        <f>_xlfn.XLOOKUP(D244,Insumos!$B$1:$B$764,Insumos!$C$1:$C$764)</f>
        <v>M3</v>
      </c>
      <c r="F244" s="179">
        <v>1</v>
      </c>
      <c r="G244" s="177">
        <f>IF(B244="insumo",_xlfn.XLOOKUP($D244,Insumos!$B$1:$B$764,Insumos!$D$1:$D$764),"")</f>
        <v>68.180000000000007</v>
      </c>
      <c r="H244" s="177" cm="1">
        <f t="array" ref="H244">_xlfn.IFS(B244="Serviço",SUMIFS(H245:$H$3085,C245:$C$3085,$C244),B244="Insumo",F244*G244,B244="Etapa","")</f>
        <v>68.180000000000007</v>
      </c>
      <c r="I244" s="178"/>
    </row>
    <row r="245" spans="1:9" hidden="1" outlineLevel="1" collapsed="1" x14ac:dyDescent="0.25">
      <c r="A245" s="175">
        <f t="shared" si="6"/>
        <v>1</v>
      </c>
      <c r="B245" s="175" t="s">
        <v>109</v>
      </c>
      <c r="C245" s="175" t="str">
        <f t="shared" si="7"/>
        <v>Movimentação de terra para bota-fora - Escavação Vertical Terraplenagem</v>
      </c>
      <c r="D245" s="175" t="s">
        <v>413</v>
      </c>
      <c r="E245" s="176" t="s">
        <v>390</v>
      </c>
      <c r="F245" s="175"/>
      <c r="G245" s="177" t="str">
        <f>IF(B245="insumo",_xlfn.XLOOKUP($D245,Insumos!$B$1:$B$764,Insumos!$D$1:$D$764),"")</f>
        <v/>
      </c>
      <c r="H245" s="177" cm="1">
        <f t="array" ref="H245">_xlfn.IFS(B245="Serviço",SUMIFS(H246:$H$3085,C246:$C$3085,$C245),B245="Insumo",F245*G245,B245="Etapa","")</f>
        <v>45.45</v>
      </c>
      <c r="I245" s="178" t="s">
        <v>195</v>
      </c>
    </row>
    <row r="246" spans="1:9" hidden="1" outlineLevel="2" x14ac:dyDescent="0.25">
      <c r="A246" s="175">
        <f t="shared" si="6"/>
        <v>2</v>
      </c>
      <c r="B246" s="175" t="s">
        <v>327</v>
      </c>
      <c r="C246" s="175" t="str">
        <f t="shared" si="7"/>
        <v>Movimentação de terra para bota-fora - Escavação Vertical Terraplenagem</v>
      </c>
      <c r="D246" s="175" t="s">
        <v>412</v>
      </c>
      <c r="E246" s="176" t="str">
        <f>_xlfn.XLOOKUP(D246,Insumos!$B$1:$B$764,Insumos!$C$1:$C$764)</f>
        <v>M3</v>
      </c>
      <c r="F246" s="179">
        <v>1</v>
      </c>
      <c r="G246" s="177">
        <f>IF(B246="insumo",_xlfn.XLOOKUP($D246,Insumos!$B$1:$B$764,Insumos!$D$1:$D$764),"")</f>
        <v>45.45</v>
      </c>
      <c r="H246" s="177" cm="1">
        <f t="array" ref="H246">_xlfn.IFS(B246="Serviço",SUMIFS(H247:$H$3085,C247:$C$3085,$C246),B246="Insumo",F246*G246,B246="Etapa","")</f>
        <v>45.45</v>
      </c>
      <c r="I246" s="178"/>
    </row>
    <row r="247" spans="1:9" collapsed="1" x14ac:dyDescent="0.25">
      <c r="A247" s="172">
        <f t="shared" si="6"/>
        <v>1</v>
      </c>
      <c r="B247" s="172" t="s">
        <v>107</v>
      </c>
      <c r="C247" s="172"/>
      <c r="D247" s="172" t="s">
        <v>33</v>
      </c>
      <c r="E247" s="173"/>
      <c r="F247" s="174"/>
      <c r="G247" s="180" t="str">
        <f>IF(B247="insumo",_xlfn.XLOOKUP($D247,Insumos!$B$1:$B$764,Insumos!$D$1:$D$764),"")</f>
        <v/>
      </c>
      <c r="H247" s="180" t="str" cm="1">
        <f t="array" ref="H247">_xlfn.IFS(B247="Serviço",SUMIFS(H248:$H$3085,C248:$C$3085,$C247),B247="Insumo",F247*G247,B247="Etapa","")</f>
        <v/>
      </c>
      <c r="I247" s="174"/>
    </row>
    <row r="248" spans="1:9" hidden="1" outlineLevel="1" collapsed="1" x14ac:dyDescent="0.25">
      <c r="A248" s="175">
        <f t="shared" si="6"/>
        <v>1</v>
      </c>
      <c r="B248" s="175" t="s">
        <v>109</v>
      </c>
      <c r="C248" s="175" t="str">
        <f t="shared" si="7"/>
        <v>Execucao Estaca Helice Continua 030Cm</v>
      </c>
      <c r="D248" s="175" t="s">
        <v>414</v>
      </c>
      <c r="E248" s="176" t="s">
        <v>25</v>
      </c>
      <c r="F248" s="175"/>
      <c r="G248" s="177" t="str">
        <f>IF(B248="insumo",_xlfn.XLOOKUP($D248,Insumos!$B$1:$B$764,Insumos!$D$1:$D$764),"")</f>
        <v/>
      </c>
      <c r="H248" s="177" cm="1">
        <f t="array" ref="H248">_xlfn.IFS(B248="Serviço",SUMIFS(H249:$H$3085,C249:$C$3085,$C248),B248="Insumo",F248*G248,B248="Etapa","")</f>
        <v>60</v>
      </c>
      <c r="I248" s="178" t="s">
        <v>195</v>
      </c>
    </row>
    <row r="249" spans="1:9" hidden="1" outlineLevel="2" x14ac:dyDescent="0.25">
      <c r="A249" s="175">
        <f t="shared" si="6"/>
        <v>1</v>
      </c>
      <c r="B249" s="175" t="s">
        <v>327</v>
      </c>
      <c r="C249" s="175" t="str">
        <f t="shared" si="7"/>
        <v>Execucao Estaca Helice Continua 030Cm</v>
      </c>
      <c r="D249" s="175" t="s">
        <v>414</v>
      </c>
      <c r="E249" s="176" t="str">
        <f>_xlfn.XLOOKUP(D249,Insumos!$B$1:$B$764,Insumos!$C$1:$C$764)</f>
        <v>M</v>
      </c>
      <c r="F249" s="179">
        <v>1</v>
      </c>
      <c r="G249" s="177">
        <f>IF(B249="insumo",_xlfn.XLOOKUP($D249,Insumos!$B$1:$B$764,Insumos!$D$1:$D$764),"")</f>
        <v>60</v>
      </c>
      <c r="H249" s="177" cm="1">
        <f t="array" ref="H249">_xlfn.IFS(B249="Serviço",SUMIFS(H250:$H$3085,C250:$C$3085,$C249),B249="Insumo",F249*G249,B249="Etapa","")</f>
        <v>60</v>
      </c>
      <c r="I249" s="178"/>
    </row>
    <row r="250" spans="1:9" hidden="1" outlineLevel="1" collapsed="1" x14ac:dyDescent="0.25">
      <c r="A250" s="175">
        <f t="shared" si="6"/>
        <v>1</v>
      </c>
      <c r="B250" s="175" t="s">
        <v>109</v>
      </c>
      <c r="C250" s="175" t="str">
        <f t="shared" si="7"/>
        <v>Execucao Estaca Helice Continua 040Cm</v>
      </c>
      <c r="D250" s="175" t="s">
        <v>415</v>
      </c>
      <c r="E250" s="176" t="s">
        <v>25</v>
      </c>
      <c r="F250" s="175"/>
      <c r="G250" s="177" t="str">
        <f>IF(B250="insumo",_xlfn.XLOOKUP($D250,Insumos!$B$1:$B$764,Insumos!$D$1:$D$764),"")</f>
        <v/>
      </c>
      <c r="H250" s="177" cm="1">
        <f t="array" ref="H250">_xlfn.IFS(B250="Serviço",SUMIFS(H251:$H$3085,C251:$C$3085,$C250),B250="Insumo",F250*G250,B250="Etapa","")</f>
        <v>75</v>
      </c>
      <c r="I250" s="178" t="s">
        <v>195</v>
      </c>
    </row>
    <row r="251" spans="1:9" hidden="1" outlineLevel="2" x14ac:dyDescent="0.25">
      <c r="A251" s="175">
        <f t="shared" si="6"/>
        <v>1</v>
      </c>
      <c r="B251" s="175" t="s">
        <v>327</v>
      </c>
      <c r="C251" s="175" t="str">
        <f t="shared" si="7"/>
        <v>Execucao Estaca Helice Continua 040Cm</v>
      </c>
      <c r="D251" s="175" t="s">
        <v>415</v>
      </c>
      <c r="E251" s="176" t="str">
        <f>_xlfn.XLOOKUP(D251,Insumos!$B$1:$B$764,Insumos!$C$1:$C$764)</f>
        <v>M</v>
      </c>
      <c r="F251" s="179">
        <v>1</v>
      </c>
      <c r="G251" s="177">
        <f>IF(B251="insumo",_xlfn.XLOOKUP($D251,Insumos!$B$1:$B$764,Insumos!$D$1:$D$764),"")</f>
        <v>75</v>
      </c>
      <c r="H251" s="177" cm="1">
        <f t="array" ref="H251">_xlfn.IFS(B251="Serviço",SUMIFS(H252:$H$3085,C252:$C$3085,$C251),B251="Insumo",F251*G251,B251="Etapa","")</f>
        <v>75</v>
      </c>
      <c r="I251" s="178"/>
    </row>
    <row r="252" spans="1:9" hidden="1" outlineLevel="1" collapsed="1" x14ac:dyDescent="0.25">
      <c r="A252" s="175">
        <f t="shared" si="6"/>
        <v>1</v>
      </c>
      <c r="B252" s="175" t="s">
        <v>109</v>
      </c>
      <c r="C252" s="175" t="str">
        <f t="shared" si="7"/>
        <v xml:space="preserve">Perfuração de estaca hélice contínua Ø 50cm	</v>
      </c>
      <c r="D252" s="175" t="s">
        <v>151</v>
      </c>
      <c r="E252" s="176" t="s">
        <v>25</v>
      </c>
      <c r="F252" s="175"/>
      <c r="G252" s="177" t="str">
        <f>IF(B252="insumo",_xlfn.XLOOKUP($D252,Insumos!$B$1:$B$764,Insumos!$D$1:$D$764),"")</f>
        <v/>
      </c>
      <c r="H252" s="177" cm="1">
        <f t="array" ref="H252">_xlfn.IFS(B252="Serviço",SUMIFS(H253:$H$3085,C253:$C$3085,$C252),B252="Insumo",F252*G252,B252="Etapa","")</f>
        <v>150</v>
      </c>
      <c r="I252" s="178" t="s">
        <v>195</v>
      </c>
    </row>
    <row r="253" spans="1:9" hidden="1" outlineLevel="2" x14ac:dyDescent="0.25">
      <c r="A253" s="175">
        <f t="shared" si="6"/>
        <v>1</v>
      </c>
      <c r="B253" s="175" t="s">
        <v>327</v>
      </c>
      <c r="C253" s="175" t="str">
        <f t="shared" si="7"/>
        <v xml:space="preserve">Perfuração de estaca hélice contínua Ø 50cm	</v>
      </c>
      <c r="D253" s="175" t="s">
        <v>416</v>
      </c>
      <c r="E253" s="176" t="str">
        <f>_xlfn.XLOOKUP(D253,Insumos!$B$1:$B$764,Insumos!$C$1:$C$764)</f>
        <v>M</v>
      </c>
      <c r="F253" s="179">
        <v>1</v>
      </c>
      <c r="G253" s="177">
        <f>IF(B253="insumo",_xlfn.XLOOKUP($D253,Insumos!$B$1:$B$764,Insumos!$D$1:$D$764),"")</f>
        <v>150</v>
      </c>
      <c r="H253" s="177" cm="1">
        <f t="array" ref="H253">_xlfn.IFS(B253="Serviço",SUMIFS(H254:$H$3085,C254:$C$3085,$C253),B253="Insumo",F253*G253,B253="Etapa","")</f>
        <v>150</v>
      </c>
      <c r="I253" s="178"/>
    </row>
    <row r="254" spans="1:9" hidden="1" outlineLevel="1" collapsed="1" x14ac:dyDescent="0.25">
      <c r="A254" s="175">
        <f t="shared" si="6"/>
        <v>1</v>
      </c>
      <c r="B254" s="175" t="s">
        <v>109</v>
      </c>
      <c r="C254" s="175" t="str">
        <f t="shared" si="7"/>
        <v xml:space="preserve">Perfuração de estaca hélice contínua Ø 60cm	</v>
      </c>
      <c r="D254" s="175" t="s">
        <v>169</v>
      </c>
      <c r="E254" s="176" t="s">
        <v>25</v>
      </c>
      <c r="F254" s="175"/>
      <c r="G254" s="177" t="str">
        <f>IF(B254="insumo",_xlfn.XLOOKUP($D254,Insumos!$B$1:$B$764,Insumos!$D$1:$D$764),"")</f>
        <v/>
      </c>
      <c r="H254" s="177" cm="1">
        <f t="array" ref="H254">_xlfn.IFS(B254="Serviço",SUMIFS(H255:$H$3085,C255:$C$3085,$C254),B254="Insumo",F254*G254,B254="Etapa","")</f>
        <v>180</v>
      </c>
      <c r="I254" s="178" t="s">
        <v>195</v>
      </c>
    </row>
    <row r="255" spans="1:9" hidden="1" outlineLevel="2" x14ac:dyDescent="0.25">
      <c r="A255" s="175">
        <f t="shared" si="6"/>
        <v>1</v>
      </c>
      <c r="B255" s="175" t="s">
        <v>327</v>
      </c>
      <c r="C255" s="175" t="str">
        <f t="shared" si="7"/>
        <v xml:space="preserve">Perfuração de estaca hélice contínua Ø 60cm	</v>
      </c>
      <c r="D255" s="175" t="s">
        <v>417</v>
      </c>
      <c r="E255" s="176" t="str">
        <f>_xlfn.XLOOKUP(D255,Insumos!$B$1:$B$764,Insumos!$C$1:$C$764)</f>
        <v>M</v>
      </c>
      <c r="F255" s="179">
        <v>1</v>
      </c>
      <c r="G255" s="177">
        <f>IF(B255="insumo",_xlfn.XLOOKUP($D255,Insumos!$B$1:$B$764,Insumos!$D$1:$D$764),"")</f>
        <v>180</v>
      </c>
      <c r="H255" s="177" cm="1">
        <f t="array" ref="H255">_xlfn.IFS(B255="Serviço",SUMIFS(H256:$H$3085,C256:$C$3085,$C255),B255="Insumo",F255*G255,B255="Etapa","")</f>
        <v>180</v>
      </c>
      <c r="I255" s="178"/>
    </row>
    <row r="256" spans="1:9" hidden="1" outlineLevel="1" collapsed="1" x14ac:dyDescent="0.25">
      <c r="A256" s="175">
        <f t="shared" si="6"/>
        <v>1</v>
      </c>
      <c r="B256" s="175" t="s">
        <v>109</v>
      </c>
      <c r="C256" s="175" t="str">
        <f t="shared" si="7"/>
        <v>Execucao Estaca Helice Continua Monitorada 050Cm</v>
      </c>
      <c r="D256" s="175" t="s">
        <v>2344</v>
      </c>
      <c r="E256" s="176" t="s">
        <v>25</v>
      </c>
      <c r="F256" s="175"/>
      <c r="G256" s="177" t="str">
        <f>IF(B256="insumo",_xlfn.XLOOKUP($D256,Insumos!$B$1:$B$764,Insumos!$D$1:$D$764),"")</f>
        <v/>
      </c>
      <c r="H256" s="177" cm="1">
        <f t="array" ref="H256">_xlfn.IFS(B256="Serviço",SUMIFS(H257:$H$3085,C257:$C$3085,$C256),B256="Insumo",F256*G256,B256="Etapa","")</f>
        <v>150</v>
      </c>
      <c r="I256" s="178" t="s">
        <v>195</v>
      </c>
    </row>
    <row r="257" spans="1:10" hidden="1" outlineLevel="2" x14ac:dyDescent="0.25">
      <c r="A257" s="175">
        <f t="shared" si="6"/>
        <v>1</v>
      </c>
      <c r="B257" s="175" t="s">
        <v>327</v>
      </c>
      <c r="C257" s="175" t="str">
        <f t="shared" si="7"/>
        <v>Execucao Estaca Helice Continua Monitorada 050Cm</v>
      </c>
      <c r="D257" s="175" t="s">
        <v>2344</v>
      </c>
      <c r="E257" s="176" t="str">
        <f>_xlfn.XLOOKUP(D257,Insumos!$B$1:$B$764,Insumos!$C$1:$C$764)</f>
        <v>M</v>
      </c>
      <c r="F257" s="179">
        <v>1</v>
      </c>
      <c r="G257" s="177">
        <f>IF(B257="insumo",_xlfn.XLOOKUP($D257,Insumos!$B$1:$B$764,Insumos!$D$1:$D$764),"")</f>
        <v>150</v>
      </c>
      <c r="H257" s="177" cm="1">
        <f t="array" ref="H257">_xlfn.IFS(B257="Serviço",SUMIFS(H258:$H$3085,C258:$C$3085,$C257),B257="Insumo",F257*G257,B257="Etapa","")</f>
        <v>150</v>
      </c>
      <c r="I257" s="178"/>
    </row>
    <row r="258" spans="1:10" hidden="1" outlineLevel="1" collapsed="1" x14ac:dyDescent="0.25">
      <c r="A258" s="175">
        <f t="shared" ref="A258:A321" si="8">COUNTIFS($D$2:$D$3085,D258,$B$2:$B$3085,B258)</f>
        <v>1</v>
      </c>
      <c r="B258" s="175" t="s">
        <v>109</v>
      </c>
      <c r="C258" s="175" t="str">
        <f t="shared" si="7"/>
        <v>Execucao Estaca Helice Continua Monitorada 060Cm</v>
      </c>
      <c r="D258" s="175" t="s">
        <v>2345</v>
      </c>
      <c r="E258" s="176" t="s">
        <v>25</v>
      </c>
      <c r="F258" s="175"/>
      <c r="G258" s="177" t="str">
        <f>IF(B258="insumo",_xlfn.XLOOKUP($D258,Insumos!$B$1:$B$764,Insumos!$D$1:$D$764),"")</f>
        <v/>
      </c>
      <c r="H258" s="177" cm="1">
        <f t="array" ref="H258">_xlfn.IFS(B258="Serviço",SUMIFS(H259:$H$3085,C259:$C$3085,$C258),B258="Insumo",F258*G258,B258="Etapa","")</f>
        <v>180</v>
      </c>
      <c r="I258" s="178" t="s">
        <v>195</v>
      </c>
    </row>
    <row r="259" spans="1:10" hidden="1" outlineLevel="2" x14ac:dyDescent="0.25">
      <c r="A259" s="175">
        <f t="shared" si="8"/>
        <v>1</v>
      </c>
      <c r="B259" s="175" t="s">
        <v>327</v>
      </c>
      <c r="C259" s="175" t="str">
        <f t="shared" si="7"/>
        <v>Execucao Estaca Helice Continua Monitorada 060Cm</v>
      </c>
      <c r="D259" s="175" t="s">
        <v>2345</v>
      </c>
      <c r="E259" s="176" t="str">
        <f>_xlfn.XLOOKUP(D259,Insumos!$B$1:$B$764,Insumos!$C$1:$C$764)</f>
        <v>M</v>
      </c>
      <c r="F259" s="179">
        <v>1</v>
      </c>
      <c r="G259" s="177">
        <f>IF(B259="insumo",_xlfn.XLOOKUP($D259,Insumos!$B$1:$B$764,Insumos!$D$1:$D$764),"")</f>
        <v>180</v>
      </c>
      <c r="H259" s="177" cm="1">
        <f t="array" ref="H259">_xlfn.IFS(B259="Serviço",SUMIFS(H260:$H$3085,C260:$C$3085,$C259),B259="Insumo",F259*G259,B259="Etapa","")</f>
        <v>180</v>
      </c>
      <c r="I259" s="178"/>
    </row>
    <row r="260" spans="1:10" hidden="1" outlineLevel="1" collapsed="1" x14ac:dyDescent="0.25">
      <c r="A260" s="175">
        <f t="shared" si="8"/>
        <v>1</v>
      </c>
      <c r="B260" s="175" t="s">
        <v>109</v>
      </c>
      <c r="C260" s="175" t="str">
        <f t="shared" si="7"/>
        <v>Execucao Estaca Helice Continua 070Cm</v>
      </c>
      <c r="D260" s="175" t="s">
        <v>418</v>
      </c>
      <c r="E260" s="176" t="s">
        <v>25</v>
      </c>
      <c r="F260" s="175"/>
      <c r="G260" s="177" t="str">
        <f>IF(B260="insumo",_xlfn.XLOOKUP($D260,Insumos!$B$1:$B$764,Insumos!$D$1:$D$764),"")</f>
        <v/>
      </c>
      <c r="H260" s="177" cm="1">
        <f t="array" ref="H260">_xlfn.IFS(B260="Serviço",SUMIFS(H261:$H$3085,C261:$C$3085,$C260),B260="Insumo",F260*G260,B260="Etapa","")</f>
        <v>120</v>
      </c>
      <c r="I260" s="178" t="s">
        <v>195</v>
      </c>
    </row>
    <row r="261" spans="1:10" hidden="1" outlineLevel="2" x14ac:dyDescent="0.25">
      <c r="A261" s="175">
        <f t="shared" si="8"/>
        <v>1</v>
      </c>
      <c r="B261" s="175" t="s">
        <v>327</v>
      </c>
      <c r="C261" s="175" t="str">
        <f t="shared" si="7"/>
        <v>Execucao Estaca Helice Continua 070Cm</v>
      </c>
      <c r="D261" s="175" t="s">
        <v>418</v>
      </c>
      <c r="E261" s="176" t="str">
        <f>_xlfn.XLOOKUP(D261,Insumos!$B$1:$B$764,Insumos!$C$1:$C$764)</f>
        <v>M</v>
      </c>
      <c r="F261" s="179">
        <v>1</v>
      </c>
      <c r="G261" s="177">
        <f>IF(B261="insumo",_xlfn.XLOOKUP($D261,Insumos!$B$1:$B$764,Insumos!$D$1:$D$764),"")</f>
        <v>120</v>
      </c>
      <c r="H261" s="177" cm="1">
        <f t="array" ref="H261">_xlfn.IFS(B261="Serviço",SUMIFS(H262:$H$3085,C262:$C$3085,$C261),B261="Insumo",F261*G261,B261="Etapa","")</f>
        <v>120</v>
      </c>
      <c r="I261" s="178"/>
    </row>
    <row r="262" spans="1:10" hidden="1" outlineLevel="1" collapsed="1" x14ac:dyDescent="0.25">
      <c r="A262" s="175">
        <f t="shared" si="8"/>
        <v>1</v>
      </c>
      <c r="B262" s="175" t="s">
        <v>109</v>
      </c>
      <c r="C262" s="175" t="str">
        <f t="shared" ref="C262:C325" si="9">IF(B262="serviço",D262,C261)</f>
        <v>Execucao Estaca Helice Continua 080Cm</v>
      </c>
      <c r="D262" s="175" t="s">
        <v>419</v>
      </c>
      <c r="E262" s="176" t="s">
        <v>25</v>
      </c>
      <c r="F262" s="175"/>
      <c r="G262" s="177" t="str">
        <f>IF(B262="insumo",_xlfn.XLOOKUP($D262,Insumos!$B$1:$B$764,Insumos!$D$1:$D$764),"")</f>
        <v/>
      </c>
      <c r="H262" s="177" cm="1">
        <f t="array" ref="H262">_xlfn.IFS(B262="Serviço",SUMIFS(H263:$H$3085,C263:$C$3085,$C262),B262="Insumo",F262*G262,B262="Etapa","")</f>
        <v>135</v>
      </c>
      <c r="I262" s="178" t="s">
        <v>195</v>
      </c>
    </row>
    <row r="263" spans="1:10" hidden="1" outlineLevel="2" x14ac:dyDescent="0.25">
      <c r="A263" s="175">
        <f t="shared" si="8"/>
        <v>1</v>
      </c>
      <c r="B263" s="175" t="s">
        <v>327</v>
      </c>
      <c r="C263" s="175" t="str">
        <f t="shared" si="9"/>
        <v>Execucao Estaca Helice Continua 080Cm</v>
      </c>
      <c r="D263" s="175" t="s">
        <v>419</v>
      </c>
      <c r="E263" s="176" t="str">
        <f>_xlfn.XLOOKUP(D263,Insumos!$B$1:$B$764,Insumos!$C$1:$C$764)</f>
        <v>M</v>
      </c>
      <c r="F263" s="179">
        <v>1</v>
      </c>
      <c r="G263" s="177">
        <f>IF(B263="insumo",_xlfn.XLOOKUP($D263,Insumos!$B$1:$B$764,Insumos!$D$1:$D$764),"")</f>
        <v>135</v>
      </c>
      <c r="H263" s="177" cm="1">
        <f t="array" ref="H263">_xlfn.IFS(B263="Serviço",SUMIFS(H264:$H$3085,C264:$C$3085,$C263),B263="Insumo",F263*G263,B263="Etapa","")</f>
        <v>135</v>
      </c>
      <c r="I263" s="178"/>
    </row>
    <row r="264" spans="1:10" hidden="1" outlineLevel="1" collapsed="1" x14ac:dyDescent="0.25">
      <c r="A264" s="175">
        <f t="shared" si="8"/>
        <v>1</v>
      </c>
      <c r="B264" s="175" t="s">
        <v>109</v>
      </c>
      <c r="C264" s="175" t="str">
        <f t="shared" si="9"/>
        <v>Execucao Estaca Helice Continua 090Cm</v>
      </c>
      <c r="D264" s="175" t="s">
        <v>420</v>
      </c>
      <c r="E264" s="176" t="s">
        <v>25</v>
      </c>
      <c r="F264" s="175"/>
      <c r="G264" s="177" t="str">
        <f>IF(B264="insumo",_xlfn.XLOOKUP($D264,Insumos!$B$1:$B$764,Insumos!$D$1:$D$764),"")</f>
        <v/>
      </c>
      <c r="H264" s="177" cm="1">
        <f t="array" ref="H264">_xlfn.IFS(B264="Serviço",SUMIFS(H265:$H$3085,C265:$C$3085,$C264),B264="Insumo",F264*G264,B264="Etapa","")</f>
        <v>150</v>
      </c>
      <c r="I264" s="178" t="s">
        <v>195</v>
      </c>
    </row>
    <row r="265" spans="1:10" hidden="1" outlineLevel="2" x14ac:dyDescent="0.25">
      <c r="A265" s="175">
        <f t="shared" si="8"/>
        <v>1</v>
      </c>
      <c r="B265" s="175" t="s">
        <v>327</v>
      </c>
      <c r="C265" s="175" t="str">
        <f t="shared" si="9"/>
        <v>Execucao Estaca Helice Continua 090Cm</v>
      </c>
      <c r="D265" s="175" t="s">
        <v>420</v>
      </c>
      <c r="E265" s="176" t="str">
        <f>_xlfn.XLOOKUP(D265,Insumos!$B$1:$B$764,Insumos!$C$1:$C$764)</f>
        <v>M</v>
      </c>
      <c r="F265" s="179">
        <v>1</v>
      </c>
      <c r="G265" s="177">
        <f>IF(B265="insumo",_xlfn.XLOOKUP($D265,Insumos!$B$1:$B$764,Insumos!$D$1:$D$764),"")</f>
        <v>150</v>
      </c>
      <c r="H265" s="177" cm="1">
        <f t="array" ref="H265">_xlfn.IFS(B265="Serviço",SUMIFS(H266:$H$3085,C266:$C$3085,$C265),B265="Insumo",F265*G265,B265="Etapa","")</f>
        <v>150</v>
      </c>
      <c r="I265" s="178"/>
    </row>
    <row r="266" spans="1:10" hidden="1" outlineLevel="1" collapsed="1" x14ac:dyDescent="0.25">
      <c r="A266" s="175">
        <f t="shared" si="8"/>
        <v>1</v>
      </c>
      <c r="B266" s="175" t="s">
        <v>109</v>
      </c>
      <c r="C266" s="175" t="str">
        <f t="shared" si="9"/>
        <v>Execucao Estaca Helice Continua 100Cm</v>
      </c>
      <c r="D266" s="175" t="s">
        <v>421</v>
      </c>
      <c r="E266" s="176" t="s">
        <v>25</v>
      </c>
      <c r="F266" s="175"/>
      <c r="G266" s="177" t="str">
        <f>IF(B266="insumo",_xlfn.XLOOKUP($D266,Insumos!$B$1:$B$764,Insumos!$D$1:$D$764),"")</f>
        <v/>
      </c>
      <c r="H266" s="177" cm="1">
        <f t="array" ref="H266">_xlfn.IFS(B266="Serviço",SUMIFS(H267:$H$3085,C267:$C$3085,$C266),B266="Insumo",F266*G266,B266="Etapa","")</f>
        <v>166.66666666666669</v>
      </c>
      <c r="I266" s="178" t="s">
        <v>195</v>
      </c>
    </row>
    <row r="267" spans="1:10" hidden="1" outlineLevel="2" x14ac:dyDescent="0.25">
      <c r="A267" s="175">
        <f t="shared" si="8"/>
        <v>1</v>
      </c>
      <c r="B267" s="175" t="s">
        <v>327</v>
      </c>
      <c r="C267" s="175" t="str">
        <f t="shared" si="9"/>
        <v>Execucao Estaca Helice Continua 100Cm</v>
      </c>
      <c r="D267" s="175" t="s">
        <v>421</v>
      </c>
      <c r="E267" s="176" t="str">
        <f>_xlfn.XLOOKUP(D267,Insumos!$B$1:$B$764,Insumos!$C$1:$C$764)</f>
        <v>M</v>
      </c>
      <c r="F267" s="179">
        <v>1</v>
      </c>
      <c r="G267" s="177">
        <f>IF(B267="insumo",_xlfn.XLOOKUP($D267,Insumos!$B$1:$B$764,Insumos!$D$1:$D$764),"")</f>
        <v>166.66666666666669</v>
      </c>
      <c r="H267" s="177" cm="1">
        <f t="array" ref="H267">_xlfn.IFS(B267="Serviço",SUMIFS(H268:$H$3085,C268:$C$3085,$C267),B267="Insumo",F267*G267,B267="Etapa","")</f>
        <v>166.66666666666669</v>
      </c>
      <c r="I267" s="178"/>
    </row>
    <row r="268" spans="1:10" hidden="1" outlineLevel="1" collapsed="1" x14ac:dyDescent="0.25">
      <c r="A268" s="175">
        <f t="shared" si="8"/>
        <v>1</v>
      </c>
      <c r="B268" s="175" t="s">
        <v>109</v>
      </c>
      <c r="C268" s="175" t="str">
        <f t="shared" si="9"/>
        <v xml:space="preserve">Perfuração de estaca Escavada Ø 25cm	</v>
      </c>
      <c r="D268" s="175" t="s">
        <v>422</v>
      </c>
      <c r="E268" s="176" t="s">
        <v>25</v>
      </c>
      <c r="F268" s="175"/>
      <c r="G268" s="177" t="str">
        <f>IF(B268="insumo",_xlfn.XLOOKUP($D268,Insumos!$B$1:$B$764,Insumos!$D$1:$D$764),"")</f>
        <v/>
      </c>
      <c r="H268" s="177" cm="1">
        <f t="array" ref="H268">_xlfn.IFS(B268="Serviço",SUMIFS(H269:$H$3085,C269:$C$3085,$C268),B268="Insumo",F268*G268,B268="Etapa","")</f>
        <v>33</v>
      </c>
      <c r="I268" s="178" t="s">
        <v>195</v>
      </c>
    </row>
    <row r="269" spans="1:10" hidden="1" outlineLevel="2" x14ac:dyDescent="0.25">
      <c r="A269" s="175">
        <f t="shared" si="8"/>
        <v>1</v>
      </c>
      <c r="B269" s="175" t="s">
        <v>327</v>
      </c>
      <c r="C269" s="175" t="str">
        <f t="shared" si="9"/>
        <v xml:space="preserve">Perfuração de estaca Escavada Ø 25cm	</v>
      </c>
      <c r="D269" s="175" t="s">
        <v>423</v>
      </c>
      <c r="E269" s="176" t="str">
        <f>_xlfn.XLOOKUP(D269,Insumos!$B$1:$B$764,Insumos!$C$1:$C$764)</f>
        <v>M</v>
      </c>
      <c r="F269" s="179">
        <v>1</v>
      </c>
      <c r="G269" s="177">
        <f>IF(B269="insumo",_xlfn.XLOOKUP($D269,Insumos!$B$1:$B$764,Insumos!$D$1:$D$764),"")</f>
        <v>33</v>
      </c>
      <c r="H269" s="177" cm="1">
        <f t="array" ref="H269">_xlfn.IFS(B269="Serviço",SUMIFS(H270:$H$3085,C270:$C$3085,$C269),B269="Insumo",F269*G269,B269="Etapa","")</f>
        <v>33</v>
      </c>
      <c r="I269" s="178"/>
    </row>
    <row r="270" spans="1:10" hidden="1" outlineLevel="1" collapsed="1" x14ac:dyDescent="0.25">
      <c r="A270" s="175">
        <f t="shared" si="8"/>
        <v>1</v>
      </c>
      <c r="B270" s="175" t="s">
        <v>109</v>
      </c>
      <c r="C270" s="175" t="str">
        <f t="shared" si="9"/>
        <v xml:space="preserve">Perfuração de estaca Escavada Ø 30cm	</v>
      </c>
      <c r="D270" s="175" t="s">
        <v>424</v>
      </c>
      <c r="E270" s="176" t="s">
        <v>25</v>
      </c>
      <c r="F270" s="175"/>
      <c r="G270" s="177" t="str">
        <f>IF(B270="insumo",_xlfn.XLOOKUP($D270,Insumos!$B$1:$B$764,Insumos!$D$1:$D$764),"")</f>
        <v/>
      </c>
      <c r="H270" s="177" cm="1">
        <f t="array" ref="H270">_xlfn.IFS(B270="Serviço",SUMIFS(H271:$H$3085,C271:$C$3085,$C270),B270="Insumo",F270*G270,B270="Etapa","")</f>
        <v>39</v>
      </c>
      <c r="I270" s="178" t="s">
        <v>195</v>
      </c>
      <c r="J270" s="432"/>
    </row>
    <row r="271" spans="1:10" hidden="1" outlineLevel="2" x14ac:dyDescent="0.25">
      <c r="A271" s="175">
        <f t="shared" si="8"/>
        <v>2</v>
      </c>
      <c r="B271" s="175" t="s">
        <v>327</v>
      </c>
      <c r="C271" s="175" t="str">
        <f t="shared" si="9"/>
        <v xml:space="preserve">Perfuração de estaca Escavada Ø 30cm	</v>
      </c>
      <c r="D271" s="175" t="s">
        <v>425</v>
      </c>
      <c r="E271" s="176" t="str">
        <f>_xlfn.XLOOKUP(D271,Insumos!$B$1:$B$764,Insumos!$C$1:$C$764)</f>
        <v>M</v>
      </c>
      <c r="F271" s="179">
        <v>1</v>
      </c>
      <c r="G271" s="177">
        <f>IF(B271="insumo",_xlfn.XLOOKUP($D271,Insumos!$B$1:$B$764,Insumos!$D$1:$D$764),"")</f>
        <v>39</v>
      </c>
      <c r="H271" s="177" cm="1">
        <f t="array" ref="H271">_xlfn.IFS(B271="Serviço",SUMIFS(H272:$H$3085,C272:$C$3085,$C271),B271="Insumo",F271*G271,B271="Etapa","")</f>
        <v>39</v>
      </c>
      <c r="I271" s="178"/>
    </row>
    <row r="272" spans="1:10" hidden="1" outlineLevel="1" collapsed="1" x14ac:dyDescent="0.25">
      <c r="A272" s="175">
        <f t="shared" si="8"/>
        <v>1</v>
      </c>
      <c r="B272" s="175" t="s">
        <v>109</v>
      </c>
      <c r="C272" s="175" t="str">
        <f t="shared" si="9"/>
        <v xml:space="preserve">Perfuração de estaca Escavada Ø 40cm	</v>
      </c>
      <c r="D272" s="175" t="s">
        <v>2436</v>
      </c>
      <c r="E272" s="176" t="s">
        <v>25</v>
      </c>
      <c r="F272" s="175"/>
      <c r="G272" s="177" t="str">
        <f>IF(B272="insumo",_xlfn.XLOOKUP($D272,Insumos!$B$1:$B$764,Insumos!$D$1:$D$764),"")</f>
        <v/>
      </c>
      <c r="H272" s="177" cm="1">
        <f t="array" ref="H272">_xlfn.IFS(B272="Serviço",SUMIFS(H273:$H$3085,C273:$C$3085,$C272),B272="Insumo",F272*G272,B272="Etapa","")</f>
        <v>52.800000000000004</v>
      </c>
      <c r="I272" s="178" t="s">
        <v>195</v>
      </c>
      <c r="J272" s="432"/>
    </row>
    <row r="273" spans="1:10" hidden="1" outlineLevel="2" x14ac:dyDescent="0.25">
      <c r="A273" s="175">
        <f t="shared" si="8"/>
        <v>2</v>
      </c>
      <c r="B273" s="175" t="s">
        <v>327</v>
      </c>
      <c r="C273" s="175" t="str">
        <f t="shared" si="9"/>
        <v xml:space="preserve">Perfuração de estaca Escavada Ø 40cm	</v>
      </c>
      <c r="D273" s="175" t="s">
        <v>2432</v>
      </c>
      <c r="E273" s="176" t="str">
        <f>_xlfn.XLOOKUP(D273,Insumos!$B$1:$B$764,Insumos!$C$1:$C$764)</f>
        <v>M</v>
      </c>
      <c r="F273" s="179">
        <v>1</v>
      </c>
      <c r="G273" s="177">
        <f>IF(B273="insumo",_xlfn.XLOOKUP($D273,Insumos!$B$1:$B$764,Insumos!$D$1:$D$764),"")</f>
        <v>52.800000000000004</v>
      </c>
      <c r="H273" s="177" cm="1">
        <f t="array" ref="H273">_xlfn.IFS(B273="Serviço",SUMIFS(H274:$H$3085,C274:$C$3085,$C273),B273="Insumo",F273*G273,B273="Etapa","")</f>
        <v>52.800000000000004</v>
      </c>
      <c r="I273" s="178"/>
    </row>
    <row r="274" spans="1:10" hidden="1" outlineLevel="1" collapsed="1" x14ac:dyDescent="0.25">
      <c r="A274" s="175">
        <f t="shared" si="8"/>
        <v>1</v>
      </c>
      <c r="B274" s="175" t="s">
        <v>109</v>
      </c>
      <c r="C274" s="175" t="str">
        <f t="shared" si="9"/>
        <v xml:space="preserve">Perfuração de estaca Escavada Ø 50cm	</v>
      </c>
      <c r="D274" s="175" t="s">
        <v>2437</v>
      </c>
      <c r="E274" s="176" t="s">
        <v>25</v>
      </c>
      <c r="F274" s="175"/>
      <c r="G274" s="177" t="str">
        <f>IF(B274="insumo",_xlfn.XLOOKUP($D274,Insumos!$B$1:$B$764,Insumos!$D$1:$D$764),"")</f>
        <v/>
      </c>
      <c r="H274" s="177" cm="1">
        <f t="array" ref="H274">_xlfn.IFS(B274="Serviço",SUMIFS(H275:$H$3085,C275:$C$3085,$C274),B274="Insumo",F274*G274,B274="Etapa","")</f>
        <v>66</v>
      </c>
      <c r="I274" s="178" t="s">
        <v>195</v>
      </c>
      <c r="J274" s="432"/>
    </row>
    <row r="275" spans="1:10" hidden="1" outlineLevel="2" x14ac:dyDescent="0.25">
      <c r="A275" s="175">
        <f t="shared" si="8"/>
        <v>1</v>
      </c>
      <c r="B275" s="175" t="s">
        <v>327</v>
      </c>
      <c r="C275" s="175" t="str">
        <f t="shared" si="9"/>
        <v xml:space="preserve">Perfuração de estaca Escavada Ø 50cm	</v>
      </c>
      <c r="D275" s="175" t="s">
        <v>2431</v>
      </c>
      <c r="E275" s="176" t="str">
        <f>_xlfn.XLOOKUP(D275,Insumos!$B$1:$B$764,Insumos!$C$1:$C$764)</f>
        <v>M</v>
      </c>
      <c r="F275" s="179">
        <v>1</v>
      </c>
      <c r="G275" s="177">
        <f>IF(B275="insumo",_xlfn.XLOOKUP($D275,Insumos!$B$1:$B$764,Insumos!$D$1:$D$764),"")</f>
        <v>66</v>
      </c>
      <c r="H275" s="177" cm="1">
        <f t="array" ref="H275">_xlfn.IFS(B275="Serviço",SUMIFS(H276:$H$3085,C276:$C$3085,$C275),B275="Insumo",F275*G275,B275="Etapa","")</f>
        <v>66</v>
      </c>
      <c r="I275" s="178"/>
    </row>
    <row r="276" spans="1:10" hidden="1" outlineLevel="1" collapsed="1" x14ac:dyDescent="0.25">
      <c r="A276" s="175">
        <f t="shared" si="8"/>
        <v>1</v>
      </c>
      <c r="B276" s="175" t="s">
        <v>109</v>
      </c>
      <c r="C276" s="175" t="str">
        <f t="shared" si="9"/>
        <v xml:space="preserve">Perfuração de estaca Escavada Ø 60cm	</v>
      </c>
      <c r="D276" s="175" t="s">
        <v>2438</v>
      </c>
      <c r="E276" s="176" t="s">
        <v>25</v>
      </c>
      <c r="F276" s="175"/>
      <c r="G276" s="177" t="str">
        <f>IF(B276="insumo",_xlfn.XLOOKUP($D276,Insumos!$B$1:$B$764,Insumos!$D$1:$D$764),"")</f>
        <v/>
      </c>
      <c r="H276" s="177" cm="1">
        <f t="array" ref="H276">_xlfn.IFS(B276="Serviço",SUMIFS(H277:$H$3085,C277:$C$3085,$C276),B276="Insumo",F276*G276,B276="Etapa","")</f>
        <v>79.2</v>
      </c>
      <c r="I276" s="178" t="s">
        <v>195</v>
      </c>
      <c r="J276" s="432"/>
    </row>
    <row r="277" spans="1:10" hidden="1" outlineLevel="2" x14ac:dyDescent="0.25">
      <c r="A277" s="175">
        <f t="shared" si="8"/>
        <v>1</v>
      </c>
      <c r="B277" s="175" t="s">
        <v>327</v>
      </c>
      <c r="C277" s="175" t="str">
        <f t="shared" si="9"/>
        <v xml:space="preserve">Perfuração de estaca Escavada Ø 60cm	</v>
      </c>
      <c r="D277" s="175" t="s">
        <v>2433</v>
      </c>
      <c r="E277" s="176" t="str">
        <f>_xlfn.XLOOKUP(D277,Insumos!$B$1:$B$764,Insumos!$C$1:$C$764)</f>
        <v>M</v>
      </c>
      <c r="F277" s="179">
        <v>1</v>
      </c>
      <c r="G277" s="177">
        <f>IF(B277="insumo",_xlfn.XLOOKUP($D277,Insumos!$B$1:$B$764,Insumos!$D$1:$D$764),"")</f>
        <v>79.2</v>
      </c>
      <c r="H277" s="177" cm="1">
        <f t="array" ref="H277">_xlfn.IFS(B277="Serviço",SUMIFS(H278:$H$3085,C278:$C$3085,$C277),B277="Insumo",F277*G277,B277="Etapa","")</f>
        <v>79.2</v>
      </c>
      <c r="I277" s="178"/>
    </row>
    <row r="278" spans="1:10" hidden="1" outlineLevel="1" collapsed="1" x14ac:dyDescent="0.25">
      <c r="A278" s="175">
        <f t="shared" si="8"/>
        <v>1</v>
      </c>
      <c r="B278" s="175" t="s">
        <v>109</v>
      </c>
      <c r="C278" s="175" t="str">
        <f t="shared" si="9"/>
        <v xml:space="preserve">Perfuração de estaca Escavada Ø 70cm	</v>
      </c>
      <c r="D278" s="175" t="s">
        <v>2439</v>
      </c>
      <c r="E278" s="176" t="s">
        <v>25</v>
      </c>
      <c r="F278" s="175"/>
      <c r="G278" s="177" t="str">
        <f>IF(B278="insumo",_xlfn.XLOOKUP($D278,Insumos!$B$1:$B$764,Insumos!$D$1:$D$764),"")</f>
        <v/>
      </c>
      <c r="H278" s="177" cm="1">
        <f t="array" ref="H278">_xlfn.IFS(B278="Serviço",SUMIFS(H279:$H$3085,C279:$C$3085,$C278),B278="Insumo",F278*G278,B278="Etapa","")</f>
        <v>92.4</v>
      </c>
      <c r="I278" s="178" t="s">
        <v>195</v>
      </c>
      <c r="J278" s="432"/>
    </row>
    <row r="279" spans="1:10" hidden="1" outlineLevel="2" x14ac:dyDescent="0.25">
      <c r="A279" s="175">
        <f t="shared" si="8"/>
        <v>1</v>
      </c>
      <c r="B279" s="175" t="s">
        <v>327</v>
      </c>
      <c r="C279" s="175" t="str">
        <f t="shared" si="9"/>
        <v xml:space="preserve">Perfuração de estaca Escavada Ø 70cm	</v>
      </c>
      <c r="D279" s="175" t="s">
        <v>2434</v>
      </c>
      <c r="E279" s="176" t="str">
        <f>_xlfn.XLOOKUP(D279,Insumos!$B$1:$B$764,Insumos!$C$1:$C$764)</f>
        <v>M</v>
      </c>
      <c r="F279" s="179">
        <v>1</v>
      </c>
      <c r="G279" s="177">
        <f>IF(B279="insumo",_xlfn.XLOOKUP($D279,Insumos!$B$1:$B$764,Insumos!$D$1:$D$764),"")</f>
        <v>92.4</v>
      </c>
      <c r="H279" s="177" cm="1">
        <f t="array" ref="H279">_xlfn.IFS(B279="Serviço",SUMIFS(H280:$H$3085,C280:$C$3085,$C279),B279="Insumo",F279*G279,B279="Etapa","")</f>
        <v>92.4</v>
      </c>
      <c r="I279" s="178"/>
    </row>
    <row r="280" spans="1:10" hidden="1" outlineLevel="1" collapsed="1" x14ac:dyDescent="0.25">
      <c r="A280" s="175">
        <f t="shared" si="8"/>
        <v>1</v>
      </c>
      <c r="B280" s="175" t="s">
        <v>109</v>
      </c>
      <c r="C280" s="175" t="str">
        <f t="shared" si="9"/>
        <v xml:space="preserve">Perfuração de estaca Escavada Ø 80cm	</v>
      </c>
      <c r="D280" s="175" t="s">
        <v>2440</v>
      </c>
      <c r="E280" s="176" t="s">
        <v>25</v>
      </c>
      <c r="F280" s="175"/>
      <c r="G280" s="177" t="str">
        <f>IF(B280="insumo",_xlfn.XLOOKUP($D280,Insumos!$B$1:$B$764,Insumos!$D$1:$D$764),"")</f>
        <v/>
      </c>
      <c r="H280" s="177" cm="1">
        <f t="array" ref="H280">_xlfn.IFS(B280="Serviço",SUMIFS(H281:$H$3085,C281:$C$3085,$C280),B280="Insumo",F280*G280,B280="Etapa","")</f>
        <v>105.60000000000001</v>
      </c>
      <c r="I280" s="178" t="s">
        <v>195</v>
      </c>
      <c r="J280" s="432"/>
    </row>
    <row r="281" spans="1:10" hidden="1" outlineLevel="2" x14ac:dyDescent="0.25">
      <c r="A281" s="175">
        <f t="shared" si="8"/>
        <v>1</v>
      </c>
      <c r="B281" s="175" t="s">
        <v>327</v>
      </c>
      <c r="C281" s="175" t="str">
        <f t="shared" si="9"/>
        <v xml:space="preserve">Perfuração de estaca Escavada Ø 80cm	</v>
      </c>
      <c r="D281" s="175" t="s">
        <v>2435</v>
      </c>
      <c r="E281" s="176" t="str">
        <f>_xlfn.XLOOKUP(D281,Insumos!$B$1:$B$764,Insumos!$C$1:$C$764)</f>
        <v>M</v>
      </c>
      <c r="F281" s="179">
        <v>1</v>
      </c>
      <c r="G281" s="177">
        <f>IF(B281="insumo",_xlfn.XLOOKUP($D281,Insumos!$B$1:$B$764,Insumos!$D$1:$D$764),"")</f>
        <v>105.60000000000001</v>
      </c>
      <c r="H281" s="177" cm="1">
        <f t="array" ref="H281">_xlfn.IFS(B281="Serviço",SUMIFS(H282:$H$3085,C282:$C$3085,$C281),B281="Insumo",F281*G281,B281="Etapa","")</f>
        <v>105.60000000000001</v>
      </c>
      <c r="I281" s="178"/>
    </row>
    <row r="282" spans="1:10" hidden="1" outlineLevel="1" collapsed="1" x14ac:dyDescent="0.25">
      <c r="A282" s="175">
        <f t="shared" si="8"/>
        <v>1</v>
      </c>
      <c r="B282" s="175" t="s">
        <v>109</v>
      </c>
      <c r="C282" s="175" t="str">
        <f t="shared" si="9"/>
        <v xml:space="preserve">	Mobilização e desmobilização de equipamentos - Para execução de estaca hélice monitorada</v>
      </c>
      <c r="D282" s="175" t="s">
        <v>2346</v>
      </c>
      <c r="E282" s="176" t="s">
        <v>29</v>
      </c>
      <c r="F282" s="175"/>
      <c r="G282" s="177" t="str">
        <f>IF(B282="insumo",_xlfn.XLOOKUP($D282,Insumos!$B$1:$B$764,Insumos!$D$1:$D$764),"")</f>
        <v/>
      </c>
      <c r="H282" s="177" cm="1">
        <f t="array" ref="H282">_xlfn.IFS(B282="Serviço",SUMIFS(H283:$H$3085,C283:$C$3085,$C282),B282="Insumo",F282*G282,B282="Etapa","")</f>
        <v>32000</v>
      </c>
      <c r="I282" s="178" t="s">
        <v>195</v>
      </c>
    </row>
    <row r="283" spans="1:10" hidden="1" outlineLevel="2" x14ac:dyDescent="0.25">
      <c r="A283" s="175">
        <f t="shared" si="8"/>
        <v>1</v>
      </c>
      <c r="B283" s="175" t="s">
        <v>327</v>
      </c>
      <c r="C283" s="175" t="str">
        <f t="shared" si="9"/>
        <v xml:space="preserve">	Mobilização e desmobilização de equipamentos - Para execução de estaca hélice monitorada</v>
      </c>
      <c r="D283" s="175" t="s">
        <v>2346</v>
      </c>
      <c r="E283" s="176" t="str">
        <f>_xlfn.XLOOKUP(D283,Insumos!$B$1:$B$764,Insumos!$C$1:$C$764)</f>
        <v>VB</v>
      </c>
      <c r="F283" s="179">
        <v>1</v>
      </c>
      <c r="G283" s="177">
        <f>IF(B283="insumo",_xlfn.XLOOKUP($D283,Insumos!$B$1:$B$764,Insumos!$D$1:$D$764),"")</f>
        <v>32000</v>
      </c>
      <c r="H283" s="177" cm="1">
        <f t="array" ref="H283">_xlfn.IFS(B283="Serviço",SUMIFS(H284:$H$3085,C284:$C$3085,$C283),B283="Insumo",F283*G283,B283="Etapa","")</f>
        <v>32000</v>
      </c>
      <c r="I283" s="178"/>
    </row>
    <row r="284" spans="1:10" hidden="1" outlineLevel="1" collapsed="1" x14ac:dyDescent="0.25">
      <c r="A284" s="175">
        <f t="shared" si="8"/>
        <v>1</v>
      </c>
      <c r="B284" s="175" t="s">
        <v>109</v>
      </c>
      <c r="C284" s="175" t="str">
        <f t="shared" si="9"/>
        <v xml:space="preserve">	Mobilização e desmobilização de equipamentos - Para execução de estaca hélice</v>
      </c>
      <c r="D284" s="175" t="s">
        <v>100</v>
      </c>
      <c r="E284" s="176" t="s">
        <v>29</v>
      </c>
      <c r="F284" s="175"/>
      <c r="G284" s="177" t="str">
        <f>IF(B284="insumo",_xlfn.XLOOKUP($D284,Insumos!$B$1:$B$764,Insumos!$D$1:$D$764),"")</f>
        <v/>
      </c>
      <c r="H284" s="177" cm="1">
        <f t="array" ref="H284">_xlfn.IFS(B284="Serviço",SUMIFS(H285:$H$3085,C285:$C$3085,$C284),B284="Insumo",F284*G284,B284="Etapa","")</f>
        <v>18500</v>
      </c>
      <c r="I284" s="178" t="s">
        <v>195</v>
      </c>
    </row>
    <row r="285" spans="1:10" hidden="1" outlineLevel="2" x14ac:dyDescent="0.25">
      <c r="A285" s="175">
        <f t="shared" si="8"/>
        <v>1</v>
      </c>
      <c r="B285" s="175" t="s">
        <v>327</v>
      </c>
      <c r="C285" s="175" t="str">
        <f t="shared" si="9"/>
        <v xml:space="preserve">	Mobilização e desmobilização de equipamentos - Para execução de estaca hélice</v>
      </c>
      <c r="D285" s="175" t="s">
        <v>100</v>
      </c>
      <c r="E285" s="176" t="str">
        <f>_xlfn.XLOOKUP(D285,Insumos!$B$1:$B$764,Insumos!$C$1:$C$764)</f>
        <v>VB</v>
      </c>
      <c r="F285" s="179">
        <v>1</v>
      </c>
      <c r="G285" s="177">
        <f>IF(B285="insumo",_xlfn.XLOOKUP($D285,Insumos!$B$1:$B$764,Insumos!$D$1:$D$764),"")</f>
        <v>18500</v>
      </c>
      <c r="H285" s="177" cm="1">
        <f t="array" ref="H285">_xlfn.IFS(B285="Serviço",SUMIFS(H286:$H$3085,C286:$C$3085,$C285),B285="Insumo",F285*G285,B285="Etapa","")</f>
        <v>18500</v>
      </c>
      <c r="I285" s="178"/>
    </row>
    <row r="286" spans="1:10" hidden="1" outlineLevel="1" collapsed="1" x14ac:dyDescent="0.25">
      <c r="A286" s="175">
        <f t="shared" si="8"/>
        <v>1</v>
      </c>
      <c r="B286" s="175" t="s">
        <v>109</v>
      </c>
      <c r="C286" s="175" t="str">
        <f t="shared" si="9"/>
        <v xml:space="preserve">	Mobilização e desmobilização de equipamentos - Para execução de estaca Escavada</v>
      </c>
      <c r="D286" s="175" t="s">
        <v>426</v>
      </c>
      <c r="E286" s="176" t="s">
        <v>29</v>
      </c>
      <c r="F286" s="175"/>
      <c r="G286" s="177" t="str">
        <f>IF(B286="insumo",_xlfn.XLOOKUP($D286,Insumos!$B$1:$B$764,Insumos!$D$1:$D$764),"")</f>
        <v/>
      </c>
      <c r="H286" s="177" cm="1">
        <f t="array" ref="H286">_xlfn.IFS(B286="Serviço",SUMIFS(H287:$H$3085,C287:$C$3085,$C286),B286="Insumo",F286*G286,B286="Etapa","")</f>
        <v>26000</v>
      </c>
      <c r="I286" s="178" t="s">
        <v>195</v>
      </c>
    </row>
    <row r="287" spans="1:10" hidden="1" outlineLevel="2" x14ac:dyDescent="0.25">
      <c r="A287" s="175">
        <f t="shared" si="8"/>
        <v>1</v>
      </c>
      <c r="B287" s="175" t="s">
        <v>327</v>
      </c>
      <c r="C287" s="175" t="str">
        <f t="shared" si="9"/>
        <v xml:space="preserve">	Mobilização e desmobilização de equipamentos - Para execução de estaca Escavada</v>
      </c>
      <c r="D287" s="175" t="s">
        <v>426</v>
      </c>
      <c r="E287" s="176" t="str">
        <f>_xlfn.XLOOKUP(D287,Insumos!$B$1:$B$764,Insumos!$C$1:$C$764)</f>
        <v>VB</v>
      </c>
      <c r="F287" s="179">
        <v>1</v>
      </c>
      <c r="G287" s="177">
        <f>IF(B287="insumo",_xlfn.XLOOKUP($D287,Insumos!$B$1:$B$764,Insumos!$D$1:$D$764),"")</f>
        <v>26000</v>
      </c>
      <c r="H287" s="177" cm="1">
        <f t="array" ref="H287">_xlfn.IFS(B287="Serviço",SUMIFS(H288:$H$3085,C288:$C$3085,$C287),B287="Insumo",F287*G287,B287="Etapa","")</f>
        <v>26000</v>
      </c>
      <c r="I287" s="178"/>
    </row>
    <row r="288" spans="1:10" hidden="1" outlineLevel="1" collapsed="1" x14ac:dyDescent="0.25">
      <c r="A288" s="175">
        <f t="shared" si="8"/>
        <v>1</v>
      </c>
      <c r="B288" s="175" t="s">
        <v>109</v>
      </c>
      <c r="C288" s="175" t="str">
        <f t="shared" si="9"/>
        <v>Armação Pronta para estaca Ø 50cm (5F 16,0 4MTS ESP75 PS20)</v>
      </c>
      <c r="D288" s="175" t="s">
        <v>1166</v>
      </c>
      <c r="E288" s="176" t="s">
        <v>131</v>
      </c>
      <c r="F288" s="175"/>
      <c r="G288" s="177" t="str">
        <f>IF(B288="insumo",_xlfn.XLOOKUP($D288,Insumos!$B$1:$B$764,Insumos!$D$1:$D$764),"")</f>
        <v/>
      </c>
      <c r="H288" s="177" cm="1">
        <f t="array" ref="H288">_xlfn.IFS(B288="Serviço",SUMIFS(H289:$H$3085,C289:$C$3085,$C288),B288="Insumo",F288*G288,B288="Etapa","")</f>
        <v>302.92200000000003</v>
      </c>
      <c r="I288" s="178" t="s">
        <v>195</v>
      </c>
    </row>
    <row r="289" spans="1:9" hidden="1" outlineLevel="2" x14ac:dyDescent="0.25">
      <c r="A289" s="175">
        <f t="shared" si="8"/>
        <v>1</v>
      </c>
      <c r="B289" s="175" t="s">
        <v>327</v>
      </c>
      <c r="C289" s="175" t="str">
        <f t="shared" si="9"/>
        <v>Armação Pronta para estaca Ø 50cm (5F 16,0 4MTS ESP75 PS20)</v>
      </c>
      <c r="D289" s="175" t="s">
        <v>1167</v>
      </c>
      <c r="E289" s="176" t="s">
        <v>131</v>
      </c>
      <c r="F289" s="179">
        <v>1</v>
      </c>
      <c r="G289" s="177">
        <f>IF(B289="insumo",_xlfn.XLOOKUP($D289,Insumos!$B$1:$B$764,Insumos!$D$1:$D$764),"")</f>
        <v>302.92200000000003</v>
      </c>
      <c r="H289" s="177" cm="1">
        <f t="array" ref="H289">_xlfn.IFS(B289="Serviço",SUMIFS(H290:$H$3085,C290:$C$3085,$C289),B289="Insumo",F289*G289,B289="Etapa","")</f>
        <v>302.92200000000003</v>
      </c>
      <c r="I289" s="178"/>
    </row>
    <row r="290" spans="1:9" hidden="1" outlineLevel="1" collapsed="1" x14ac:dyDescent="0.25">
      <c r="A290" s="175">
        <f t="shared" si="8"/>
        <v>1</v>
      </c>
      <c r="B290" s="175" t="s">
        <v>109</v>
      </c>
      <c r="C290" s="175" t="str">
        <f t="shared" si="9"/>
        <v>Armação Pronta para estaca Ø 60cm (5F 20,0 4MTS ESP75 PS20)</v>
      </c>
      <c r="D290" s="175" t="s">
        <v>1169</v>
      </c>
      <c r="E290" s="176" t="s">
        <v>131</v>
      </c>
      <c r="F290" s="175"/>
      <c r="G290" s="177" t="str">
        <f>IF(B290="insumo",_xlfn.XLOOKUP($D290,Insumos!$B$1:$B$764,Insumos!$D$1:$D$764),"")</f>
        <v/>
      </c>
      <c r="H290" s="177" cm="1">
        <f t="array" ref="H290">_xlfn.IFS(B290="Serviço",SUMIFS(H291:$H$3085,C291:$C$3085,$C290),B290="Insumo",F290*G290,B290="Etapa","")</f>
        <v>466.33699999999999</v>
      </c>
      <c r="I290" s="178" t="s">
        <v>195</v>
      </c>
    </row>
    <row r="291" spans="1:9" hidden="1" outlineLevel="2" x14ac:dyDescent="0.25">
      <c r="A291" s="175">
        <f t="shared" si="8"/>
        <v>1</v>
      </c>
      <c r="B291" s="175" t="s">
        <v>327</v>
      </c>
      <c r="C291" s="175" t="str">
        <f t="shared" si="9"/>
        <v>Armação Pronta para estaca Ø 60cm (5F 20,0 4MTS ESP75 PS20)</v>
      </c>
      <c r="D291" s="175" t="s">
        <v>1168</v>
      </c>
      <c r="E291" s="176" t="s">
        <v>131</v>
      </c>
      <c r="F291" s="179">
        <v>1</v>
      </c>
      <c r="G291" s="177">
        <f>IF(B291="insumo",_xlfn.XLOOKUP($D291,Insumos!$B$1:$B$764,Insumos!$D$1:$D$764),"")</f>
        <v>466.33699999999999</v>
      </c>
      <c r="H291" s="177" cm="1">
        <f t="array" ref="H291">_xlfn.IFS(B291="Serviço",SUMIFS(H292:$H$3085,C292:$C$3085,$C291),B291="Insumo",F291*G291,B291="Etapa","")</f>
        <v>466.33699999999999</v>
      </c>
      <c r="I291" s="178"/>
    </row>
    <row r="292" spans="1:9" hidden="1" outlineLevel="1" collapsed="1" x14ac:dyDescent="0.25">
      <c r="A292" s="175">
        <f t="shared" si="8"/>
        <v>1</v>
      </c>
      <c r="B292" s="175" t="s">
        <v>109</v>
      </c>
      <c r="C292" s="175" t="str">
        <f t="shared" si="9"/>
        <v>Armação Pronta para estaca Ø 60cm (7F 20,0 6MTS ESP75 PS20)</v>
      </c>
      <c r="D292" s="175" t="s">
        <v>1171</v>
      </c>
      <c r="E292" s="176" t="s">
        <v>131</v>
      </c>
      <c r="F292" s="175"/>
      <c r="G292" s="177" t="str">
        <f>IF(B292="insumo",_xlfn.XLOOKUP($D292,Insumos!$B$1:$B$764,Insumos!$D$1:$D$764),"")</f>
        <v/>
      </c>
      <c r="H292" s="177" cm="1">
        <f t="array" ref="H292">_xlfn.IFS(B292="Serviço",SUMIFS(H293:$H$3085,C293:$C$3085,$C292),B292="Insumo",F292*G292,B292="Etapa","")</f>
        <v>937.63900000000001</v>
      </c>
      <c r="I292" s="178" t="s">
        <v>195</v>
      </c>
    </row>
    <row r="293" spans="1:9" hidden="1" outlineLevel="2" x14ac:dyDescent="0.25">
      <c r="A293" s="175">
        <f t="shared" si="8"/>
        <v>1</v>
      </c>
      <c r="B293" s="175" t="s">
        <v>327</v>
      </c>
      <c r="C293" s="175" t="str">
        <f t="shared" si="9"/>
        <v>Armação Pronta para estaca Ø 60cm (7F 20,0 6MTS ESP75 PS20)</v>
      </c>
      <c r="D293" s="175" t="s">
        <v>1170</v>
      </c>
      <c r="E293" s="176" t="s">
        <v>131</v>
      </c>
      <c r="F293" s="179">
        <v>1</v>
      </c>
      <c r="G293" s="177">
        <f>IF(B293="insumo",_xlfn.XLOOKUP($D293,Insumos!$B$1:$B$764,Insumos!$D$1:$D$764),"")</f>
        <v>937.63900000000001</v>
      </c>
      <c r="H293" s="177" cm="1">
        <f t="array" ref="H293">_xlfn.IFS(B293="Serviço",SUMIFS(H294:$H$3085,C294:$C$3085,$C293),B293="Insumo",F293*G293,B293="Etapa","")</f>
        <v>937.63900000000001</v>
      </c>
      <c r="I293" s="178"/>
    </row>
    <row r="294" spans="1:9" hidden="1" outlineLevel="1" collapsed="1" x14ac:dyDescent="0.25">
      <c r="A294" s="175">
        <f t="shared" si="8"/>
        <v>1</v>
      </c>
      <c r="B294" s="175" t="s">
        <v>109</v>
      </c>
      <c r="C294" s="175" t="str">
        <f t="shared" si="9"/>
        <v>Armação Pronta para estaca Ø 60cm (9F 20,0 8MTS ESP75 PS20)</v>
      </c>
      <c r="D294" s="175" t="s">
        <v>1173</v>
      </c>
      <c r="E294" s="176" t="s">
        <v>131</v>
      </c>
      <c r="F294" s="175"/>
      <c r="G294" s="177" t="str">
        <f>IF(B294="insumo",_xlfn.XLOOKUP($D294,Insumos!$B$1:$B$764,Insumos!$D$1:$D$764),"")</f>
        <v/>
      </c>
      <c r="H294" s="177" cm="1">
        <f t="array" ref="H294">_xlfn.IFS(B294="Serviço",SUMIFS(H295:$H$3085,C295:$C$3085,$C294),B294="Insumo",F294*G294,B294="Etapa","")</f>
        <v>1609.6659999999999</v>
      </c>
      <c r="I294" s="178" t="s">
        <v>195</v>
      </c>
    </row>
    <row r="295" spans="1:9" hidden="1" outlineLevel="2" x14ac:dyDescent="0.25">
      <c r="A295" s="175">
        <f t="shared" si="8"/>
        <v>1</v>
      </c>
      <c r="B295" s="175" t="s">
        <v>327</v>
      </c>
      <c r="C295" s="175" t="str">
        <f t="shared" si="9"/>
        <v>Armação Pronta para estaca Ø 60cm (9F 20,0 8MTS ESP75 PS20)</v>
      </c>
      <c r="D295" s="175" t="s">
        <v>1172</v>
      </c>
      <c r="E295" s="176" t="s">
        <v>131</v>
      </c>
      <c r="F295" s="179">
        <v>1</v>
      </c>
      <c r="G295" s="177">
        <f>IF(B295="insumo",_xlfn.XLOOKUP($D295,Insumos!$B$1:$B$764,Insumos!$D$1:$D$764),"")</f>
        <v>1609.6659999999999</v>
      </c>
      <c r="H295" s="177" cm="1">
        <f t="array" ref="H295">_xlfn.IFS(B295="Serviço",SUMIFS(H296:$H$3085,C296:$C$3085,$C295),B295="Insumo",F295*G295,B295="Etapa","")</f>
        <v>1609.6659999999999</v>
      </c>
      <c r="I295" s="178"/>
    </row>
    <row r="296" spans="1:9" hidden="1" outlineLevel="1" x14ac:dyDescent="0.25">
      <c r="A296" s="175">
        <f t="shared" si="8"/>
        <v>1</v>
      </c>
      <c r="B296" s="175" t="s">
        <v>109</v>
      </c>
      <c r="C296" s="175" t="str">
        <f t="shared" si="9"/>
        <v>Armação aço CA-50 ø 6,3mm para estaca (corte e dobra em obra)</v>
      </c>
      <c r="D296" s="175" t="s">
        <v>40</v>
      </c>
      <c r="E296" s="176" t="s">
        <v>428</v>
      </c>
      <c r="F296" s="175"/>
      <c r="G296" s="177" t="str">
        <f>IF(B296="insumo",_xlfn.XLOOKUP($D296,Insumos!$B$1:$B$764,Insumos!$D$1:$D$764),"")</f>
        <v/>
      </c>
      <c r="H296" s="177" cm="1">
        <f t="array" ref="H296">_xlfn.IFS(B296="Serviço",SUMIFS(H297:$H$3085,C297:$C$3085,$C296),B296="Insumo",F296*G296,B296="Etapa","")</f>
        <v>6.9381450000000005</v>
      </c>
      <c r="I296" s="178" t="s">
        <v>195</v>
      </c>
    </row>
    <row r="297" spans="1:9" hidden="1" outlineLevel="2" x14ac:dyDescent="0.25">
      <c r="A297" s="175">
        <f t="shared" si="8"/>
        <v>4</v>
      </c>
      <c r="B297" s="175" t="s">
        <v>327</v>
      </c>
      <c r="C297" s="175" t="str">
        <f t="shared" si="9"/>
        <v>Armação aço CA-50 ø 6,3mm para estaca (corte e dobra em obra)</v>
      </c>
      <c r="D297" s="175" t="s">
        <v>429</v>
      </c>
      <c r="E297" s="176" t="str">
        <f>_xlfn.XLOOKUP(D297,Insumos!$B$1:$B$764,Insumos!$C$1:$C$764)</f>
        <v>KG</v>
      </c>
      <c r="F297" s="179">
        <v>1.1000000000000001</v>
      </c>
      <c r="G297" s="177">
        <f>IF(B297="insumo",_xlfn.XLOOKUP($D297,Insumos!$B$1:$B$764,Insumos!$D$1:$D$764),"")</f>
        <v>6.04</v>
      </c>
      <c r="H297" s="177" cm="1">
        <f t="array" ref="H297">_xlfn.IFS(B297="Serviço",SUMIFS(H298:$H$3085,C298:$C$3085,$C297),B297="Insumo",F297*G297,B297="Etapa","")</f>
        <v>6.644000000000001</v>
      </c>
      <c r="I297" s="178"/>
    </row>
    <row r="298" spans="1:9" hidden="1" outlineLevel="2" x14ac:dyDescent="0.25">
      <c r="A298" s="175">
        <f t="shared" si="8"/>
        <v>24</v>
      </c>
      <c r="B298" s="175" t="s">
        <v>327</v>
      </c>
      <c r="C298" s="175" t="str">
        <f t="shared" si="9"/>
        <v>Armação aço CA-50 ø 6,3mm para estaca (corte e dobra em obra)</v>
      </c>
      <c r="D298" s="175" t="s">
        <v>430</v>
      </c>
      <c r="E298" s="176" t="str">
        <f>_xlfn.XLOOKUP(D298,Insumos!$B$1:$B$764,Insumos!$C$1:$C$764)</f>
        <v>KG</v>
      </c>
      <c r="F298" s="179">
        <v>2.0500000000000001E-2</v>
      </c>
      <c r="G298" s="177">
        <f>IF(B298="insumo",_xlfn.XLOOKUP($D298,Insumos!$B$1:$B$764,Insumos!$D$1:$D$764),"")</f>
        <v>13.69</v>
      </c>
      <c r="H298" s="177" cm="1">
        <f t="array" ref="H298">_xlfn.IFS(B298="Serviço",SUMIFS(H299:$H$3085,C299:$C$3085,$C298),B298="Insumo",F298*G298,B298="Etapa","")</f>
        <v>0.28064499999999998</v>
      </c>
      <c r="I298" s="178"/>
    </row>
    <row r="299" spans="1:9" hidden="1" outlineLevel="2" x14ac:dyDescent="0.25">
      <c r="A299" s="175">
        <f t="shared" si="8"/>
        <v>35</v>
      </c>
      <c r="B299" s="175" t="s">
        <v>327</v>
      </c>
      <c r="C299" s="175" t="str">
        <f t="shared" si="9"/>
        <v>Armação aço CA-50 ø 6,3mm para estaca (corte e dobra em obra)</v>
      </c>
      <c r="D299" s="175" t="s">
        <v>431</v>
      </c>
      <c r="E299" s="176" t="str">
        <f>_xlfn.XLOOKUP(D299,Insumos!$B$1:$B$764,Insumos!$C$1:$C$764)</f>
        <v>UN</v>
      </c>
      <c r="F299" s="179">
        <v>0.05</v>
      </c>
      <c r="G299" s="177">
        <f>IF(B299="insumo",_xlfn.XLOOKUP($D299,Insumos!$B$1:$B$764,Insumos!$D$1:$D$764),"")</f>
        <v>0.27</v>
      </c>
      <c r="H299" s="177" cm="1">
        <f t="array" ref="H299">_xlfn.IFS(B299="Serviço",SUMIFS(H300:$H$3085,C300:$C$3085,$C299),B299="Insumo",F299*G299,B299="Etapa","")</f>
        <v>1.3500000000000002E-2</v>
      </c>
      <c r="I299" s="178"/>
    </row>
    <row r="300" spans="1:9" hidden="1" outlineLevel="1" collapsed="1" x14ac:dyDescent="0.25">
      <c r="A300" s="175">
        <f t="shared" si="8"/>
        <v>1</v>
      </c>
      <c r="B300" s="175" t="s">
        <v>109</v>
      </c>
      <c r="C300" s="175" t="str">
        <f t="shared" si="9"/>
        <v>Armação aço CA-50 ø 8,0mm para estaca (corte e dobra em obra)</v>
      </c>
      <c r="D300" s="175" t="s">
        <v>432</v>
      </c>
      <c r="E300" s="176" t="s">
        <v>428</v>
      </c>
      <c r="F300" s="175"/>
      <c r="G300" s="177" t="str">
        <f>IF(B300="insumo",_xlfn.XLOOKUP($D300,Insumos!$B$1:$B$764,Insumos!$D$1:$D$764),"")</f>
        <v/>
      </c>
      <c r="H300" s="177" cm="1">
        <f t="array" ref="H300">_xlfn.IFS(B300="Serviço",SUMIFS(H301:$H$3085,C301:$C$3085,$C300),B300="Insumo",F300*G300,B300="Etapa","")</f>
        <v>6.9381450000000005</v>
      </c>
      <c r="I300" s="178" t="s">
        <v>195</v>
      </c>
    </row>
    <row r="301" spans="1:9" hidden="1" outlineLevel="2" x14ac:dyDescent="0.25">
      <c r="A301" s="175">
        <f t="shared" si="8"/>
        <v>5</v>
      </c>
      <c r="B301" s="175" t="s">
        <v>327</v>
      </c>
      <c r="C301" s="175" t="str">
        <f t="shared" si="9"/>
        <v>Armação aço CA-50 ø 8,0mm para estaca (corte e dobra em obra)</v>
      </c>
      <c r="D301" s="175" t="s">
        <v>433</v>
      </c>
      <c r="E301" s="176" t="str">
        <f>_xlfn.XLOOKUP(D301,Insumos!$B$1:$B$764,Insumos!$C$1:$C$764)</f>
        <v>KG</v>
      </c>
      <c r="F301" s="179">
        <v>1.1000000000000001</v>
      </c>
      <c r="G301" s="177">
        <f>IF(B301="insumo",_xlfn.XLOOKUP($D301,Insumos!$B$1:$B$764,Insumos!$D$1:$D$764),"")</f>
        <v>6.04</v>
      </c>
      <c r="H301" s="177" cm="1">
        <f t="array" ref="H301">_xlfn.IFS(B301="Serviço",SUMIFS(H302:$H$3085,C302:$C$3085,$C301),B301="Insumo",F301*G301,B301="Etapa","")</f>
        <v>6.644000000000001</v>
      </c>
      <c r="I301" s="178"/>
    </row>
    <row r="302" spans="1:9" hidden="1" outlineLevel="2" x14ac:dyDescent="0.25">
      <c r="A302" s="175">
        <f t="shared" si="8"/>
        <v>24</v>
      </c>
      <c r="B302" s="175" t="s">
        <v>327</v>
      </c>
      <c r="C302" s="175" t="str">
        <f t="shared" si="9"/>
        <v>Armação aço CA-50 ø 8,0mm para estaca (corte e dobra em obra)</v>
      </c>
      <c r="D302" s="175" t="s">
        <v>430</v>
      </c>
      <c r="E302" s="176" t="str">
        <f>_xlfn.XLOOKUP(D302,Insumos!$B$1:$B$764,Insumos!$C$1:$C$764)</f>
        <v>KG</v>
      </c>
      <c r="F302" s="179">
        <v>2.0500000000000001E-2</v>
      </c>
      <c r="G302" s="177">
        <f>IF(B302="insumo",_xlfn.XLOOKUP($D302,Insumos!$B$1:$B$764,Insumos!$D$1:$D$764),"")</f>
        <v>13.69</v>
      </c>
      <c r="H302" s="177" cm="1">
        <f t="array" ref="H302">_xlfn.IFS(B302="Serviço",SUMIFS(H303:$H$3085,C303:$C$3085,$C302),B302="Insumo",F302*G302,B302="Etapa","")</f>
        <v>0.28064499999999998</v>
      </c>
      <c r="I302" s="178"/>
    </row>
    <row r="303" spans="1:9" hidden="1" outlineLevel="2" x14ac:dyDescent="0.25">
      <c r="A303" s="175">
        <f t="shared" si="8"/>
        <v>35</v>
      </c>
      <c r="B303" s="175" t="s">
        <v>327</v>
      </c>
      <c r="C303" s="175" t="str">
        <f t="shared" si="9"/>
        <v>Armação aço CA-50 ø 8,0mm para estaca (corte e dobra em obra)</v>
      </c>
      <c r="D303" s="175" t="s">
        <v>431</v>
      </c>
      <c r="E303" s="176" t="str">
        <f>_xlfn.XLOOKUP(D303,Insumos!$B$1:$B$764,Insumos!$C$1:$C$764)</f>
        <v>UN</v>
      </c>
      <c r="F303" s="179">
        <v>0.05</v>
      </c>
      <c r="G303" s="177">
        <f>IF(B303="insumo",_xlfn.XLOOKUP($D303,Insumos!$B$1:$B$764,Insumos!$D$1:$D$764),"")</f>
        <v>0.27</v>
      </c>
      <c r="H303" s="177" cm="1">
        <f t="array" ref="H303">_xlfn.IFS(B303="Serviço",SUMIFS(H304:$H$3085,C304:$C$3085,$C303),B303="Insumo",F303*G303,B303="Etapa","")</f>
        <v>1.3500000000000002E-2</v>
      </c>
      <c r="I303" s="178"/>
    </row>
    <row r="304" spans="1:9" hidden="1" outlineLevel="1" collapsed="1" x14ac:dyDescent="0.25">
      <c r="A304" s="175">
        <f t="shared" si="8"/>
        <v>1</v>
      </c>
      <c r="B304" s="175" t="s">
        <v>109</v>
      </c>
      <c r="C304" s="175" t="str">
        <f t="shared" si="9"/>
        <v>Armação aço CA-50 ø 10,0mm para estaca (corte e dobra em obra)</v>
      </c>
      <c r="D304" s="175" t="s">
        <v>434</v>
      </c>
      <c r="E304" s="176" t="s">
        <v>428</v>
      </c>
      <c r="F304" s="175"/>
      <c r="G304" s="177" t="str">
        <f>IF(B304="insumo",_xlfn.XLOOKUP($D304,Insumos!$B$1:$B$764,Insumos!$D$1:$D$764),"")</f>
        <v/>
      </c>
      <c r="H304" s="177" cm="1">
        <f t="array" ref="H304">_xlfn.IFS(B304="Serviço",SUMIFS(H305:$H$3085,C305:$C$3085,$C304),B304="Insumo",F304*G304,B304="Etapa","")</f>
        <v>6.6301449999999997</v>
      </c>
      <c r="I304" s="178" t="s">
        <v>195</v>
      </c>
    </row>
    <row r="305" spans="1:9" hidden="1" outlineLevel="2" x14ac:dyDescent="0.25">
      <c r="A305" s="175">
        <f t="shared" si="8"/>
        <v>4</v>
      </c>
      <c r="B305" s="175" t="s">
        <v>327</v>
      </c>
      <c r="C305" s="175" t="str">
        <f t="shared" si="9"/>
        <v>Armação aço CA-50 ø 10,0mm para estaca (corte e dobra em obra)</v>
      </c>
      <c r="D305" s="175" t="s">
        <v>435</v>
      </c>
      <c r="E305" s="176" t="str">
        <f>_xlfn.XLOOKUP(D305,Insumos!$B$1:$B$764,Insumos!$C$1:$C$764)</f>
        <v>KG</v>
      </c>
      <c r="F305" s="179">
        <v>1.1000000000000001</v>
      </c>
      <c r="G305" s="177">
        <f>IF(B305="insumo",_xlfn.XLOOKUP($D305,Insumos!$B$1:$B$764,Insumos!$D$1:$D$764),"")</f>
        <v>5.76</v>
      </c>
      <c r="H305" s="177" cm="1">
        <f t="array" ref="H305">_xlfn.IFS(B305="Serviço",SUMIFS(H306:$H$3085,C306:$C$3085,$C305),B305="Insumo",F305*G305,B305="Etapa","")</f>
        <v>6.3360000000000003</v>
      </c>
      <c r="I305" s="178"/>
    </row>
    <row r="306" spans="1:9" hidden="1" outlineLevel="2" x14ac:dyDescent="0.25">
      <c r="A306" s="175">
        <f t="shared" si="8"/>
        <v>24</v>
      </c>
      <c r="B306" s="175" t="s">
        <v>327</v>
      </c>
      <c r="C306" s="175" t="str">
        <f t="shared" si="9"/>
        <v>Armação aço CA-50 ø 10,0mm para estaca (corte e dobra em obra)</v>
      </c>
      <c r="D306" s="175" t="s">
        <v>430</v>
      </c>
      <c r="E306" s="176" t="str">
        <f>_xlfn.XLOOKUP(D306,Insumos!$B$1:$B$764,Insumos!$C$1:$C$764)</f>
        <v>KG</v>
      </c>
      <c r="F306" s="179">
        <v>2.0500000000000001E-2</v>
      </c>
      <c r="G306" s="177">
        <f>IF(B306="insumo",_xlfn.XLOOKUP($D306,Insumos!$B$1:$B$764,Insumos!$D$1:$D$764),"")</f>
        <v>13.69</v>
      </c>
      <c r="H306" s="177" cm="1">
        <f t="array" ref="H306">_xlfn.IFS(B306="Serviço",SUMIFS(H307:$H$3085,C307:$C$3085,$C306),B306="Insumo",F306*G306,B306="Etapa","")</f>
        <v>0.28064499999999998</v>
      </c>
      <c r="I306" s="178"/>
    </row>
    <row r="307" spans="1:9" hidden="1" outlineLevel="2" x14ac:dyDescent="0.25">
      <c r="A307" s="175">
        <f t="shared" si="8"/>
        <v>35</v>
      </c>
      <c r="B307" s="175" t="s">
        <v>327</v>
      </c>
      <c r="C307" s="175" t="str">
        <f t="shared" si="9"/>
        <v>Armação aço CA-50 ø 10,0mm para estaca (corte e dobra em obra)</v>
      </c>
      <c r="D307" s="175" t="s">
        <v>431</v>
      </c>
      <c r="E307" s="176" t="str">
        <f>_xlfn.XLOOKUP(D307,Insumos!$B$1:$B$764,Insumos!$C$1:$C$764)</f>
        <v>UN</v>
      </c>
      <c r="F307" s="179">
        <v>0.05</v>
      </c>
      <c r="G307" s="177">
        <f>IF(B307="insumo",_xlfn.XLOOKUP($D307,Insumos!$B$1:$B$764,Insumos!$D$1:$D$764),"")</f>
        <v>0.27</v>
      </c>
      <c r="H307" s="177" cm="1">
        <f t="array" ref="H307">_xlfn.IFS(B307="Serviço",SUMIFS(H308:$H$3085,C308:$C$3085,$C307),B307="Insumo",F307*G307,B307="Etapa","")</f>
        <v>1.3500000000000002E-2</v>
      </c>
      <c r="I307" s="178"/>
    </row>
    <row r="308" spans="1:9" hidden="1" outlineLevel="1" collapsed="1" x14ac:dyDescent="0.25">
      <c r="A308" s="175">
        <f t="shared" si="8"/>
        <v>1</v>
      </c>
      <c r="B308" s="175" t="s">
        <v>109</v>
      </c>
      <c r="C308" s="175" t="str">
        <f t="shared" si="9"/>
        <v>Armação aço CA-50 ø 12,5mm para estaca (corte e dobra em obra)</v>
      </c>
      <c r="D308" s="175" t="s">
        <v>2430</v>
      </c>
      <c r="E308" s="176" t="s">
        <v>428</v>
      </c>
      <c r="F308" s="175"/>
      <c r="G308" s="177" t="str">
        <f>IF(B308="insumo",_xlfn.XLOOKUP($D308,Insumos!$B$1:$B$764,Insumos!$D$1:$D$764),"")</f>
        <v/>
      </c>
      <c r="H308" s="177" cm="1">
        <f t="array" ref="H308">_xlfn.IFS(B308="Serviço",SUMIFS(H309:$H$3085,C309:$C$3085,$C308),B308="Insumo",F308*G308,B308="Etapa","")</f>
        <v>6.4431449999999995</v>
      </c>
      <c r="I308" s="178" t="s">
        <v>195</v>
      </c>
    </row>
    <row r="309" spans="1:9" hidden="1" outlineLevel="2" x14ac:dyDescent="0.25">
      <c r="A309" s="175">
        <f t="shared" si="8"/>
        <v>4</v>
      </c>
      <c r="B309" s="175" t="s">
        <v>327</v>
      </c>
      <c r="C309" s="175" t="str">
        <f t="shared" si="9"/>
        <v>Armação aço CA-50 ø 12,5mm para estaca (corte e dobra em obra)</v>
      </c>
      <c r="D309" s="175" t="s">
        <v>453</v>
      </c>
      <c r="E309" s="176" t="str">
        <f>_xlfn.XLOOKUP(D309,Insumos!$B$1:$B$764,Insumos!$C$1:$C$764)</f>
        <v>KG</v>
      </c>
      <c r="F309" s="179">
        <v>1.1000000000000001</v>
      </c>
      <c r="G309" s="177">
        <f>IF(B309="insumo",_xlfn.XLOOKUP($D309,Insumos!$B$1:$B$764,Insumos!$D$1:$D$764),"")</f>
        <v>5.59</v>
      </c>
      <c r="H309" s="177" cm="1">
        <f t="array" ref="H309">_xlfn.IFS(B309="Serviço",SUMIFS(H310:$H$3085,C310:$C$3085,$C309),B309="Insumo",F309*G309,B309="Etapa","")</f>
        <v>6.149</v>
      </c>
      <c r="I309" s="178"/>
    </row>
    <row r="310" spans="1:9" hidden="1" outlineLevel="2" x14ac:dyDescent="0.25">
      <c r="A310" s="175">
        <f t="shared" si="8"/>
        <v>24</v>
      </c>
      <c r="B310" s="175" t="s">
        <v>327</v>
      </c>
      <c r="C310" s="175" t="str">
        <f t="shared" si="9"/>
        <v>Armação aço CA-50 ø 12,5mm para estaca (corte e dobra em obra)</v>
      </c>
      <c r="D310" s="175" t="s">
        <v>430</v>
      </c>
      <c r="E310" s="176" t="str">
        <f>_xlfn.XLOOKUP(D310,Insumos!$B$1:$B$764,Insumos!$C$1:$C$764)</f>
        <v>KG</v>
      </c>
      <c r="F310" s="179">
        <v>2.0500000000000001E-2</v>
      </c>
      <c r="G310" s="177">
        <f>IF(B310="insumo",_xlfn.XLOOKUP($D310,Insumos!$B$1:$B$764,Insumos!$D$1:$D$764),"")</f>
        <v>13.69</v>
      </c>
      <c r="H310" s="177" cm="1">
        <f t="array" ref="H310">_xlfn.IFS(B310="Serviço",SUMIFS(H311:$H$3085,C311:$C$3085,$C310),B310="Insumo",F310*G310,B310="Etapa","")</f>
        <v>0.28064499999999998</v>
      </c>
      <c r="I310" s="178"/>
    </row>
    <row r="311" spans="1:9" hidden="1" outlineLevel="2" x14ac:dyDescent="0.25">
      <c r="A311" s="175">
        <f t="shared" si="8"/>
        <v>35</v>
      </c>
      <c r="B311" s="175" t="s">
        <v>327</v>
      </c>
      <c r="C311" s="175" t="str">
        <f t="shared" si="9"/>
        <v>Armação aço CA-50 ø 12,5mm para estaca (corte e dobra em obra)</v>
      </c>
      <c r="D311" s="175" t="s">
        <v>431</v>
      </c>
      <c r="E311" s="176" t="str">
        <f>_xlfn.XLOOKUP(D311,Insumos!$B$1:$B$764,Insumos!$C$1:$C$764)</f>
        <v>UN</v>
      </c>
      <c r="F311" s="179">
        <v>0.05</v>
      </c>
      <c r="G311" s="177">
        <f>IF(B311="insumo",_xlfn.XLOOKUP($D311,Insumos!$B$1:$B$764,Insumos!$D$1:$D$764),"")</f>
        <v>0.27</v>
      </c>
      <c r="H311" s="177" cm="1">
        <f t="array" ref="H311">_xlfn.IFS(B311="Serviço",SUMIFS(H312:$H$3085,C312:$C$3085,$C311),B311="Insumo",F311*G311,B311="Etapa","")</f>
        <v>1.3500000000000002E-2</v>
      </c>
      <c r="I311" s="178"/>
    </row>
    <row r="312" spans="1:9" hidden="1" outlineLevel="1" collapsed="1" x14ac:dyDescent="0.25">
      <c r="A312" s="175">
        <f t="shared" si="8"/>
        <v>1</v>
      </c>
      <c r="B312" s="175" t="s">
        <v>109</v>
      </c>
      <c r="C312" s="175" t="str">
        <f t="shared" si="9"/>
        <v>Armação aço CA-50 ø 16,0mm para estaca (corte e dobra em obra)</v>
      </c>
      <c r="D312" s="175" t="s">
        <v>41</v>
      </c>
      <c r="E312" s="176" t="s">
        <v>428</v>
      </c>
      <c r="F312" s="175"/>
      <c r="G312" s="177" t="str">
        <f>IF(B312="insumo",_xlfn.XLOOKUP($D312,Insumos!$B$1:$B$764,Insumos!$D$1:$D$764),"")</f>
        <v/>
      </c>
      <c r="H312" s="177" cm="1">
        <f t="array" ref="H312">_xlfn.IFS(B312="Serviço",SUMIFS(H313:$H$3085,C313:$C$3085,$C312),B312="Insumo",F312*G312,B312="Etapa","")</f>
        <v>6.4431449999999995</v>
      </c>
      <c r="I312" s="178" t="s">
        <v>195</v>
      </c>
    </row>
    <row r="313" spans="1:9" hidden="1" outlineLevel="2" x14ac:dyDescent="0.25">
      <c r="A313" s="175">
        <f t="shared" si="8"/>
        <v>4</v>
      </c>
      <c r="B313" s="175" t="s">
        <v>327</v>
      </c>
      <c r="C313" s="175" t="str">
        <f t="shared" si="9"/>
        <v>Armação aço CA-50 ø 16,0mm para estaca (corte e dobra em obra)</v>
      </c>
      <c r="D313" s="175" t="s">
        <v>436</v>
      </c>
      <c r="E313" s="176" t="str">
        <f>_xlfn.XLOOKUP(D313,Insumos!$B$1:$B$764,Insumos!$C$1:$C$764)</f>
        <v>KG</v>
      </c>
      <c r="F313" s="179">
        <v>1.1000000000000001</v>
      </c>
      <c r="G313" s="177">
        <f>IF(B313="insumo",_xlfn.XLOOKUP($D313,Insumos!$B$1:$B$764,Insumos!$D$1:$D$764),"")</f>
        <v>5.59</v>
      </c>
      <c r="H313" s="177" cm="1">
        <f t="array" ref="H313">_xlfn.IFS(B313="Serviço",SUMIFS(H314:$H$3085,C314:$C$3085,$C313),B313="Insumo",F313*G313,B313="Etapa","")</f>
        <v>6.149</v>
      </c>
      <c r="I313" s="178"/>
    </row>
    <row r="314" spans="1:9" hidden="1" outlineLevel="2" x14ac:dyDescent="0.25">
      <c r="A314" s="175">
        <f t="shared" si="8"/>
        <v>24</v>
      </c>
      <c r="B314" s="175" t="s">
        <v>327</v>
      </c>
      <c r="C314" s="175" t="str">
        <f t="shared" si="9"/>
        <v>Armação aço CA-50 ø 16,0mm para estaca (corte e dobra em obra)</v>
      </c>
      <c r="D314" s="175" t="s">
        <v>430</v>
      </c>
      <c r="E314" s="176" t="str">
        <f>_xlfn.XLOOKUP(D314,Insumos!$B$1:$B$764,Insumos!$C$1:$C$764)</f>
        <v>KG</v>
      </c>
      <c r="F314" s="179">
        <v>2.0500000000000001E-2</v>
      </c>
      <c r="G314" s="177">
        <f>IF(B314="insumo",_xlfn.XLOOKUP($D314,Insumos!$B$1:$B$764,Insumos!$D$1:$D$764),"")</f>
        <v>13.69</v>
      </c>
      <c r="H314" s="177" cm="1">
        <f t="array" ref="H314">_xlfn.IFS(B314="Serviço",SUMIFS(H315:$H$3085,C315:$C$3085,$C314),B314="Insumo",F314*G314,B314="Etapa","")</f>
        <v>0.28064499999999998</v>
      </c>
      <c r="I314" s="178"/>
    </row>
    <row r="315" spans="1:9" hidden="1" outlineLevel="2" x14ac:dyDescent="0.25">
      <c r="A315" s="175">
        <f t="shared" si="8"/>
        <v>35</v>
      </c>
      <c r="B315" s="175" t="s">
        <v>327</v>
      </c>
      <c r="C315" s="175" t="str">
        <f t="shared" si="9"/>
        <v>Armação aço CA-50 ø 16,0mm para estaca (corte e dobra em obra)</v>
      </c>
      <c r="D315" s="175" t="s">
        <v>431</v>
      </c>
      <c r="E315" s="176" t="str">
        <f>_xlfn.XLOOKUP(D315,Insumos!$B$1:$B$764,Insumos!$C$1:$C$764)</f>
        <v>UN</v>
      </c>
      <c r="F315" s="179">
        <v>0.05</v>
      </c>
      <c r="G315" s="177">
        <f>IF(B315="insumo",_xlfn.XLOOKUP($D315,Insumos!$B$1:$B$764,Insumos!$D$1:$D$764),"")</f>
        <v>0.27</v>
      </c>
      <c r="H315" s="177" cm="1">
        <f t="array" ref="H315">_xlfn.IFS(B315="Serviço",SUMIFS(H316:$H$3085,C316:$C$3085,$C315),B315="Insumo",F315*G315,B315="Etapa","")</f>
        <v>1.3500000000000002E-2</v>
      </c>
      <c r="I315" s="178"/>
    </row>
    <row r="316" spans="1:9" hidden="1" outlineLevel="1" x14ac:dyDescent="0.25">
      <c r="A316" s="175">
        <f t="shared" si="8"/>
        <v>1</v>
      </c>
      <c r="B316" s="175" t="s">
        <v>109</v>
      </c>
      <c r="C316" s="175" t="str">
        <f t="shared" si="9"/>
        <v>Armação aço CA-50 ø 20,0mm para estaca (corte e dobra em obra)</v>
      </c>
      <c r="D316" s="175" t="s">
        <v>201</v>
      </c>
      <c r="E316" s="176" t="s">
        <v>428</v>
      </c>
      <c r="F316" s="175"/>
      <c r="G316" s="177" t="str">
        <f>IF(B316="insumo",_xlfn.XLOOKUP($D316,Insumos!$B$1:$B$764,Insumos!$D$1:$D$764),"")</f>
        <v/>
      </c>
      <c r="H316" s="177" cm="1">
        <f t="array" ref="H316">_xlfn.IFS(B316="Serviço",SUMIFS(H317:$H$3085,C317:$C$3085,$C316),B316="Insumo",F316*G316,B316="Etapa","")</f>
        <v>6.4431449999999995</v>
      </c>
      <c r="I316" s="178" t="s">
        <v>195</v>
      </c>
    </row>
    <row r="317" spans="1:9" hidden="1" outlineLevel="2" x14ac:dyDescent="0.25">
      <c r="A317" s="175">
        <f t="shared" si="8"/>
        <v>4</v>
      </c>
      <c r="B317" s="175" t="s">
        <v>327</v>
      </c>
      <c r="C317" s="175" t="str">
        <f t="shared" si="9"/>
        <v>Armação aço CA-50 ø 20,0mm para estaca (corte e dobra em obra)</v>
      </c>
      <c r="D317" s="175" t="s">
        <v>437</v>
      </c>
      <c r="E317" s="176" t="str">
        <f>_xlfn.XLOOKUP(D317,Insumos!$B$1:$B$764,Insumos!$C$1:$C$764)</f>
        <v>KG</v>
      </c>
      <c r="F317" s="179">
        <v>1.1000000000000001</v>
      </c>
      <c r="G317" s="177">
        <f>IF(B317="insumo",_xlfn.XLOOKUP($D317,Insumos!$B$1:$B$764,Insumos!$D$1:$D$764),"")</f>
        <v>5.59</v>
      </c>
      <c r="H317" s="177" cm="1">
        <f t="array" ref="H317">_xlfn.IFS(B317="Serviço",SUMIFS(H318:$H$3085,C318:$C$3085,$C317),B317="Insumo",F317*G317,B317="Etapa","")</f>
        <v>6.149</v>
      </c>
      <c r="I317" s="178"/>
    </row>
    <row r="318" spans="1:9" hidden="1" outlineLevel="2" x14ac:dyDescent="0.25">
      <c r="A318" s="175">
        <f t="shared" si="8"/>
        <v>24</v>
      </c>
      <c r="B318" s="175" t="s">
        <v>327</v>
      </c>
      <c r="C318" s="175" t="str">
        <f t="shared" si="9"/>
        <v>Armação aço CA-50 ø 20,0mm para estaca (corte e dobra em obra)</v>
      </c>
      <c r="D318" s="175" t="s">
        <v>430</v>
      </c>
      <c r="E318" s="176" t="str">
        <f>_xlfn.XLOOKUP(D318,Insumos!$B$1:$B$764,Insumos!$C$1:$C$764)</f>
        <v>KG</v>
      </c>
      <c r="F318" s="179">
        <v>2.0500000000000001E-2</v>
      </c>
      <c r="G318" s="177">
        <f>IF(B318="insumo",_xlfn.XLOOKUP($D318,Insumos!$B$1:$B$764,Insumos!$D$1:$D$764),"")</f>
        <v>13.69</v>
      </c>
      <c r="H318" s="177" cm="1">
        <f t="array" ref="H318">_xlfn.IFS(B318="Serviço",SUMIFS(H319:$H$3085,C319:$C$3085,$C318),B318="Insumo",F318*G318,B318="Etapa","")</f>
        <v>0.28064499999999998</v>
      </c>
      <c r="I318" s="178"/>
    </row>
    <row r="319" spans="1:9" hidden="1" outlineLevel="2" x14ac:dyDescent="0.25">
      <c r="A319" s="175">
        <f t="shared" si="8"/>
        <v>35</v>
      </c>
      <c r="B319" s="175" t="s">
        <v>327</v>
      </c>
      <c r="C319" s="175" t="str">
        <f t="shared" si="9"/>
        <v>Armação aço CA-50 ø 20,0mm para estaca (corte e dobra em obra)</v>
      </c>
      <c r="D319" s="175" t="s">
        <v>431</v>
      </c>
      <c r="E319" s="176" t="str">
        <f>_xlfn.XLOOKUP(D319,Insumos!$B$1:$B$764,Insumos!$C$1:$C$764)</f>
        <v>UN</v>
      </c>
      <c r="F319" s="179">
        <v>0.05</v>
      </c>
      <c r="G319" s="177">
        <f>IF(B319="insumo",_xlfn.XLOOKUP($D319,Insumos!$B$1:$B$764,Insumos!$D$1:$D$764),"")</f>
        <v>0.27</v>
      </c>
      <c r="H319" s="177" cm="1">
        <f t="array" ref="H319">_xlfn.IFS(B319="Serviço",SUMIFS(H320:$H$3085,C320:$C$3085,$C319),B319="Insumo",F319*G319,B319="Etapa","")</f>
        <v>1.3500000000000002E-2</v>
      </c>
      <c r="I319" s="178"/>
    </row>
    <row r="320" spans="1:9" hidden="1" outlineLevel="1" collapsed="1" x14ac:dyDescent="0.25">
      <c r="A320" s="175">
        <f t="shared" si="8"/>
        <v>1</v>
      </c>
      <c r="B320" s="175" t="s">
        <v>109</v>
      </c>
      <c r="C320" s="175" t="str">
        <f t="shared" si="9"/>
        <v xml:space="preserve">Armação aço CA-60 ø 5,00mm para estaca (corte e dobra em obra) </v>
      </c>
      <c r="D320" s="175" t="s">
        <v>438</v>
      </c>
      <c r="E320" s="176" t="s">
        <v>428</v>
      </c>
      <c r="F320" s="175"/>
      <c r="G320" s="177" t="str">
        <f>IF(B320="insumo",_xlfn.XLOOKUP($D320,Insumos!$B$1:$B$764,Insumos!$D$1:$D$764),"")</f>
        <v/>
      </c>
      <c r="H320" s="177" cm="1">
        <f t="array" ref="H320">_xlfn.IFS(B320="Serviço",SUMIFS(H321:$H$3085,C321:$C$3085,$C320),B320="Insumo",F320*G320,B320="Etapa","")</f>
        <v>7.4881450000000003</v>
      </c>
      <c r="I320" s="178" t="s">
        <v>195</v>
      </c>
    </row>
    <row r="321" spans="1:9" hidden="1" outlineLevel="2" x14ac:dyDescent="0.25">
      <c r="A321" s="175">
        <f t="shared" si="8"/>
        <v>4</v>
      </c>
      <c r="B321" s="175" t="s">
        <v>327</v>
      </c>
      <c r="C321" s="175" t="str">
        <f t="shared" si="9"/>
        <v xml:space="preserve">Armação aço CA-60 ø 5,00mm para estaca (corte e dobra em obra) </v>
      </c>
      <c r="D321" s="175" t="s">
        <v>439</v>
      </c>
      <c r="E321" s="176" t="str">
        <f>_xlfn.XLOOKUP(D321,Insumos!$B$1:$B$764,Insumos!$C$1:$C$764)</f>
        <v>KG</v>
      </c>
      <c r="F321" s="179">
        <v>1.1000000000000001</v>
      </c>
      <c r="G321" s="177">
        <f>IF(B321="insumo",_xlfn.XLOOKUP($D321,Insumos!$B$1:$B$764,Insumos!$D$1:$D$764),"")</f>
        <v>6.54</v>
      </c>
      <c r="H321" s="177" cm="1">
        <f t="array" ref="H321">_xlfn.IFS(B321="Serviço",SUMIFS(H322:$H$3085,C322:$C$3085,$C321),B321="Insumo",F321*G321,B321="Etapa","")</f>
        <v>7.1940000000000008</v>
      </c>
      <c r="I321" s="178"/>
    </row>
    <row r="322" spans="1:9" hidden="1" outlineLevel="2" x14ac:dyDescent="0.25">
      <c r="A322" s="175">
        <f t="shared" ref="A322:A385" si="10">COUNTIFS($D$2:$D$3085,D322,$B$2:$B$3085,B322)</f>
        <v>24</v>
      </c>
      <c r="B322" s="175" t="s">
        <v>327</v>
      </c>
      <c r="C322" s="175" t="str">
        <f t="shared" si="9"/>
        <v xml:space="preserve">Armação aço CA-60 ø 5,00mm para estaca (corte e dobra em obra) </v>
      </c>
      <c r="D322" s="175" t="s">
        <v>430</v>
      </c>
      <c r="E322" s="176" t="str">
        <f>_xlfn.XLOOKUP(D322,Insumos!$B$1:$B$764,Insumos!$C$1:$C$764)</f>
        <v>KG</v>
      </c>
      <c r="F322" s="179">
        <v>2.0500000000000001E-2</v>
      </c>
      <c r="G322" s="177">
        <f>IF(B322="insumo",_xlfn.XLOOKUP($D322,Insumos!$B$1:$B$764,Insumos!$D$1:$D$764),"")</f>
        <v>13.69</v>
      </c>
      <c r="H322" s="177" cm="1">
        <f t="array" ref="H322">_xlfn.IFS(B322="Serviço",SUMIFS(H323:$H$3085,C323:$C$3085,$C322),B322="Insumo",F322*G322,B322="Etapa","")</f>
        <v>0.28064499999999998</v>
      </c>
      <c r="I322" s="178"/>
    </row>
    <row r="323" spans="1:9" hidden="1" outlineLevel="2" x14ac:dyDescent="0.25">
      <c r="A323" s="175">
        <f t="shared" si="10"/>
        <v>35</v>
      </c>
      <c r="B323" s="175" t="s">
        <v>327</v>
      </c>
      <c r="C323" s="175" t="str">
        <f t="shared" si="9"/>
        <v xml:space="preserve">Armação aço CA-60 ø 5,00mm para estaca (corte e dobra em obra) </v>
      </c>
      <c r="D323" s="175" t="s">
        <v>431</v>
      </c>
      <c r="E323" s="176" t="str">
        <f>_xlfn.XLOOKUP(D323,Insumos!$B$1:$B$764,Insumos!$C$1:$C$764)</f>
        <v>UN</v>
      </c>
      <c r="F323" s="179">
        <v>0.05</v>
      </c>
      <c r="G323" s="177">
        <f>IF(B323="insumo",_xlfn.XLOOKUP($D323,Insumos!$B$1:$B$764,Insumos!$D$1:$D$764),"")</f>
        <v>0.27</v>
      </c>
      <c r="H323" s="177" cm="1">
        <f t="array" ref="H323">_xlfn.IFS(B323="Serviço",SUMIFS(H324:$H$3085,C324:$C$3085,$C323),B323="Insumo",F323*G323,B323="Etapa","")</f>
        <v>1.3500000000000002E-2</v>
      </c>
      <c r="I323" s="178"/>
    </row>
    <row r="324" spans="1:9" hidden="1" outlineLevel="1" collapsed="1" x14ac:dyDescent="0.25">
      <c r="A324" s="175">
        <f t="shared" si="10"/>
        <v>1</v>
      </c>
      <c r="B324" s="175" t="s">
        <v>109</v>
      </c>
      <c r="C324" s="175" t="str">
        <f t="shared" si="9"/>
        <v>Concreto Usinado bombeável para estacas 25MPa  - incluindo serviço de bombeamento</v>
      </c>
      <c r="D324" s="175" t="s">
        <v>440</v>
      </c>
      <c r="E324" s="176" t="s">
        <v>390</v>
      </c>
      <c r="F324" s="175"/>
      <c r="G324" s="177" t="str">
        <f>IF(B324="insumo",_xlfn.XLOOKUP($D324,Insumos!$B$1:$B$764,Insumos!$D$1:$D$764),"")</f>
        <v/>
      </c>
      <c r="H324" s="177" cm="1">
        <f t="array" ref="H324">_xlfn.IFS(B324="Serviço",SUMIFS(H325:$H$3085,C325:$C$3085,$C324),B324="Insumo",F324*G324,B324="Etapa","")</f>
        <v>693.66</v>
      </c>
      <c r="I324" s="178" t="s">
        <v>195</v>
      </c>
    </row>
    <row r="325" spans="1:9" hidden="1" outlineLevel="2" x14ac:dyDescent="0.25">
      <c r="A325" s="175">
        <f t="shared" si="10"/>
        <v>3</v>
      </c>
      <c r="B325" s="175" t="s">
        <v>327</v>
      </c>
      <c r="C325" s="175" t="str">
        <f t="shared" si="9"/>
        <v>Concreto Usinado bombeável para estacas 25MPa  - incluindo serviço de bombeamento</v>
      </c>
      <c r="D325" s="175" t="s">
        <v>441</v>
      </c>
      <c r="E325" s="176" t="str">
        <f>_xlfn.XLOOKUP(D325,Insumos!$B$1:$B$764,Insumos!$C$1:$C$764)</f>
        <v>M3</v>
      </c>
      <c r="F325" s="179">
        <v>1.3</v>
      </c>
      <c r="G325" s="177">
        <f>IF(B325="insumo",_xlfn.XLOOKUP($D325,Insumos!$B$1:$B$764,Insumos!$D$1:$D$764),"")</f>
        <v>492.99999999999994</v>
      </c>
      <c r="H325" s="177" cm="1">
        <f t="array" ref="H325">_xlfn.IFS(B325="Serviço",SUMIFS(H326:$H$3085,C326:$C$3085,$C325),B325="Insumo",F325*G325,B325="Etapa","")</f>
        <v>640.9</v>
      </c>
      <c r="I325" s="178"/>
    </row>
    <row r="326" spans="1:9" hidden="1" outlineLevel="2" x14ac:dyDescent="0.25">
      <c r="A326" s="175">
        <f t="shared" si="10"/>
        <v>22</v>
      </c>
      <c r="B326" s="175" t="s">
        <v>327</v>
      </c>
      <c r="C326" s="175" t="str">
        <f t="shared" ref="C326:C389" si="11">IF(B326="serviço",D326,C325)</f>
        <v>Concreto Usinado bombeável para estacas 25MPa  - incluindo serviço de bombeamento</v>
      </c>
      <c r="D326" s="175" t="s">
        <v>395</v>
      </c>
      <c r="E326" s="176" t="str">
        <f>_xlfn.XLOOKUP(D326,Insumos!$B$1:$B$764,Insumos!$C$1:$C$764)</f>
        <v>M3</v>
      </c>
      <c r="F326" s="179">
        <v>1.3</v>
      </c>
      <c r="G326" s="177">
        <f>IF(B326="insumo",_xlfn.XLOOKUP($D326,Insumos!$B$1:$B$764,Insumos!$D$1:$D$764),"")</f>
        <v>40</v>
      </c>
      <c r="H326" s="177" cm="1">
        <f t="array" ref="H326">_xlfn.IFS(B326="Serviço",SUMIFS(H327:$H$3085,C327:$C$3085,$C326),B326="Insumo",F326*G326,B326="Etapa","")</f>
        <v>52</v>
      </c>
      <c r="I326" s="178"/>
    </row>
    <row r="327" spans="1:9" hidden="1" outlineLevel="2" x14ac:dyDescent="0.25">
      <c r="A327" s="175">
        <f t="shared" si="10"/>
        <v>39</v>
      </c>
      <c r="B327" s="175" t="s">
        <v>327</v>
      </c>
      <c r="C327" s="175" t="str">
        <f t="shared" si="11"/>
        <v>Concreto Usinado bombeável para estacas 25MPa  - incluindo serviço de bombeamento</v>
      </c>
      <c r="D327" s="175" t="s">
        <v>396</v>
      </c>
      <c r="E327" s="176" t="str">
        <f>_xlfn.XLOOKUP(D327,Insumos!$B$1:$B$764,Insumos!$C$1:$C$764)</f>
        <v>KG</v>
      </c>
      <c r="F327" s="179">
        <v>1</v>
      </c>
      <c r="G327" s="177">
        <f>IF(B327="insumo",_xlfn.XLOOKUP($D327,Insumos!$B$1:$B$764,Insumos!$D$1:$D$764),"")</f>
        <v>0.76</v>
      </c>
      <c r="H327" s="177" cm="1">
        <f t="array" ref="H327">_xlfn.IFS(B327="Serviço",SUMIFS(H328:$H$3085,C328:$C$3085,$C327),B327="Insumo",F327*G327,B327="Etapa","")</f>
        <v>0.76</v>
      </c>
      <c r="I327" s="178"/>
    </row>
    <row r="328" spans="1:9" hidden="1" outlineLevel="1" collapsed="1" x14ac:dyDescent="0.25">
      <c r="A328" s="175">
        <f t="shared" si="10"/>
        <v>1</v>
      </c>
      <c r="B328" s="175" t="s">
        <v>109</v>
      </c>
      <c r="C328" s="175" t="str">
        <f t="shared" si="11"/>
        <v>Concreto Usinado bombeável para estacas 30MPa  - incluindo serviço de bombeamento</v>
      </c>
      <c r="D328" s="175" t="s">
        <v>442</v>
      </c>
      <c r="E328" s="176" t="s">
        <v>390</v>
      </c>
      <c r="F328" s="175"/>
      <c r="G328" s="177" t="str">
        <f>IF(B328="insumo",_xlfn.XLOOKUP($D328,Insumos!$B$1:$B$764,Insumos!$D$1:$D$764),"")</f>
        <v/>
      </c>
      <c r="H328" s="177" cm="1">
        <f t="array" ref="H328">_xlfn.IFS(B328="Serviço",SUMIFS(H329:$H$3085,C329:$C$3085,$C328),B328="Insumo",F328*G328,B328="Etapa","")</f>
        <v>725.70500000000004</v>
      </c>
      <c r="I328" s="178" t="s">
        <v>195</v>
      </c>
    </row>
    <row r="329" spans="1:9" hidden="1" outlineLevel="2" x14ac:dyDescent="0.25">
      <c r="A329" s="175">
        <f t="shared" si="10"/>
        <v>1</v>
      </c>
      <c r="B329" s="175" t="s">
        <v>327</v>
      </c>
      <c r="C329" s="175" t="str">
        <f t="shared" si="11"/>
        <v>Concreto Usinado bombeável para estacas 30MPa  - incluindo serviço de bombeamento</v>
      </c>
      <c r="D329" s="175" t="s">
        <v>443</v>
      </c>
      <c r="E329" s="176" t="str">
        <f>_xlfn.XLOOKUP(D329,Insumos!$B$1:$B$764,Insumos!$C$1:$C$764)</f>
        <v>M3</v>
      </c>
      <c r="F329" s="179">
        <v>1.3</v>
      </c>
      <c r="G329" s="177">
        <f>IF(B329="insumo",_xlfn.XLOOKUP($D329,Insumos!$B$1:$B$764,Insumos!$D$1:$D$764),"")</f>
        <v>517.65</v>
      </c>
      <c r="H329" s="177" cm="1">
        <f t="array" ref="H329">_xlfn.IFS(B329="Serviço",SUMIFS(H330:$H$3085,C330:$C$3085,$C329),B329="Insumo",F329*G329,B329="Etapa","")</f>
        <v>672.94500000000005</v>
      </c>
      <c r="I329" s="178"/>
    </row>
    <row r="330" spans="1:9" hidden="1" outlineLevel="2" x14ac:dyDescent="0.25">
      <c r="A330" s="175">
        <f t="shared" si="10"/>
        <v>22</v>
      </c>
      <c r="B330" s="175" t="s">
        <v>327</v>
      </c>
      <c r="C330" s="175" t="str">
        <f t="shared" si="11"/>
        <v>Concreto Usinado bombeável para estacas 30MPa  - incluindo serviço de bombeamento</v>
      </c>
      <c r="D330" s="175" t="s">
        <v>395</v>
      </c>
      <c r="E330" s="176" t="str">
        <f>_xlfn.XLOOKUP(D330,Insumos!$B$1:$B$764,Insumos!$C$1:$C$764)</f>
        <v>M3</v>
      </c>
      <c r="F330" s="179">
        <v>1.3</v>
      </c>
      <c r="G330" s="177">
        <f>IF(B330="insumo",_xlfn.XLOOKUP($D330,Insumos!$B$1:$B$764,Insumos!$D$1:$D$764),"")</f>
        <v>40</v>
      </c>
      <c r="H330" s="177" cm="1">
        <f t="array" ref="H330">_xlfn.IFS(B330="Serviço",SUMIFS(H331:$H$3085,C331:$C$3085,$C330),B330="Insumo",F330*G330,B330="Etapa","")</f>
        <v>52</v>
      </c>
      <c r="I330" s="178"/>
    </row>
    <row r="331" spans="1:9" hidden="1" outlineLevel="2" x14ac:dyDescent="0.25">
      <c r="A331" s="175">
        <f t="shared" si="10"/>
        <v>39</v>
      </c>
      <c r="B331" s="175" t="s">
        <v>327</v>
      </c>
      <c r="C331" s="175" t="str">
        <f t="shared" si="11"/>
        <v>Concreto Usinado bombeável para estacas 30MPa  - incluindo serviço de bombeamento</v>
      </c>
      <c r="D331" s="175" t="s">
        <v>396</v>
      </c>
      <c r="E331" s="176" t="str">
        <f>_xlfn.XLOOKUP(D331,Insumos!$B$1:$B$764,Insumos!$C$1:$C$764)</f>
        <v>KG</v>
      </c>
      <c r="F331" s="179">
        <v>1</v>
      </c>
      <c r="G331" s="177">
        <f>IF(B331="insumo",_xlfn.XLOOKUP($D331,Insumos!$B$1:$B$764,Insumos!$D$1:$D$764),"")</f>
        <v>0.76</v>
      </c>
      <c r="H331" s="177" cm="1">
        <f t="array" ref="H331">_xlfn.IFS(B331="Serviço",SUMIFS(H332:$H$3085,C332:$C$3085,$C331),B331="Insumo",F331*G331,B331="Etapa","")</f>
        <v>0.76</v>
      </c>
      <c r="I331" s="178"/>
    </row>
    <row r="332" spans="1:9" hidden="1" outlineLevel="1" collapsed="1" x14ac:dyDescent="0.25">
      <c r="A332" s="175">
        <f t="shared" si="10"/>
        <v>1</v>
      </c>
      <c r="B332" s="175" t="s">
        <v>109</v>
      </c>
      <c r="C332" s="175" t="str">
        <f t="shared" si="11"/>
        <v>Concreto Usinado bombeável para estacas 35MPa  - incluindo serviço de bombeamento</v>
      </c>
      <c r="D332" s="175" t="s">
        <v>444</v>
      </c>
      <c r="E332" s="176" t="s">
        <v>390</v>
      </c>
      <c r="F332" s="175"/>
      <c r="G332" s="177" t="str">
        <f>IF(B332="insumo",_xlfn.XLOOKUP($D332,Insumos!$B$1:$B$764,Insumos!$D$1:$D$764),"")</f>
        <v/>
      </c>
      <c r="H332" s="177" cm="1">
        <f t="array" ref="H332">_xlfn.IFS(B332="Serviço",SUMIFS(H333:$H$3085,C333:$C$3085,$C332),B332="Insumo",F332*G332,B332="Etapa","")</f>
        <v>787.26</v>
      </c>
      <c r="I332" s="178" t="s">
        <v>195</v>
      </c>
    </row>
    <row r="333" spans="1:9" hidden="1" outlineLevel="2" x14ac:dyDescent="0.25">
      <c r="A333" s="175">
        <f t="shared" si="10"/>
        <v>1</v>
      </c>
      <c r="B333" s="175" t="s">
        <v>327</v>
      </c>
      <c r="C333" s="175" t="str">
        <f t="shared" si="11"/>
        <v>Concreto Usinado bombeável para estacas 35MPa  - incluindo serviço de bombeamento</v>
      </c>
      <c r="D333" s="175" t="s">
        <v>445</v>
      </c>
      <c r="E333" s="176" t="str">
        <f>_xlfn.XLOOKUP(D333,Insumos!$B$1:$B$764,Insumos!$C$1:$C$764)</f>
        <v>M3</v>
      </c>
      <c r="F333" s="179">
        <v>1.3</v>
      </c>
      <c r="G333" s="177">
        <f>IF(B333="insumo",_xlfn.XLOOKUP($D333,Insumos!$B$1:$B$764,Insumos!$D$1:$D$764),"")</f>
        <v>565</v>
      </c>
      <c r="H333" s="177" cm="1">
        <f t="array" ref="H333">_xlfn.IFS(B333="Serviço",SUMIFS(H334:$H$3085,C334:$C$3085,$C333),B333="Insumo",F333*G333,B333="Etapa","")</f>
        <v>734.5</v>
      </c>
      <c r="I333" s="178"/>
    </row>
    <row r="334" spans="1:9" hidden="1" outlineLevel="2" x14ac:dyDescent="0.25">
      <c r="A334" s="175">
        <f t="shared" si="10"/>
        <v>22</v>
      </c>
      <c r="B334" s="175" t="s">
        <v>327</v>
      </c>
      <c r="C334" s="175" t="str">
        <f t="shared" si="11"/>
        <v>Concreto Usinado bombeável para estacas 35MPa  - incluindo serviço de bombeamento</v>
      </c>
      <c r="D334" s="175" t="s">
        <v>395</v>
      </c>
      <c r="E334" s="176" t="str">
        <f>_xlfn.XLOOKUP(D334,Insumos!$B$1:$B$764,Insumos!$C$1:$C$764)</f>
        <v>M3</v>
      </c>
      <c r="F334" s="179">
        <v>1.3</v>
      </c>
      <c r="G334" s="177">
        <f>IF(B334="insumo",_xlfn.XLOOKUP($D334,Insumos!$B$1:$B$764,Insumos!$D$1:$D$764),"")</f>
        <v>40</v>
      </c>
      <c r="H334" s="177" cm="1">
        <f t="array" ref="H334">_xlfn.IFS(B334="Serviço",SUMIFS(H335:$H$3085,C335:$C$3085,$C334),B334="Insumo",F334*G334,B334="Etapa","")</f>
        <v>52</v>
      </c>
      <c r="I334" s="178"/>
    </row>
    <row r="335" spans="1:9" hidden="1" outlineLevel="2" x14ac:dyDescent="0.25">
      <c r="A335" s="175">
        <f t="shared" si="10"/>
        <v>39</v>
      </c>
      <c r="B335" s="175" t="s">
        <v>327</v>
      </c>
      <c r="C335" s="175" t="str">
        <f t="shared" si="11"/>
        <v>Concreto Usinado bombeável para estacas 35MPa  - incluindo serviço de bombeamento</v>
      </c>
      <c r="D335" s="175" t="s">
        <v>396</v>
      </c>
      <c r="E335" s="176" t="str">
        <f>_xlfn.XLOOKUP(D335,Insumos!$B$1:$B$764,Insumos!$C$1:$C$764)</f>
        <v>KG</v>
      </c>
      <c r="F335" s="179">
        <v>1</v>
      </c>
      <c r="G335" s="177">
        <f>IF(B335="insumo",_xlfn.XLOOKUP($D335,Insumos!$B$1:$B$764,Insumos!$D$1:$D$764),"")</f>
        <v>0.76</v>
      </c>
      <c r="H335" s="177" cm="1">
        <f t="array" ref="H335">_xlfn.IFS(B335="Serviço",SUMIFS(H336:$H$3085,C336:$C$3085,$C335),B335="Insumo",F335*G335,B335="Etapa","")</f>
        <v>0.76</v>
      </c>
      <c r="I335" s="178"/>
    </row>
    <row r="336" spans="1:9" hidden="1" outlineLevel="1" x14ac:dyDescent="0.25">
      <c r="A336" s="175">
        <f t="shared" si="10"/>
        <v>1</v>
      </c>
      <c r="B336" s="175" t="s">
        <v>109</v>
      </c>
      <c r="C336" s="175" t="str">
        <f t="shared" si="11"/>
        <v>Concreto Usinado bombeável para estacas 40MPa  - incluindo serviço de bombeamento</v>
      </c>
      <c r="D336" s="175" t="s">
        <v>170</v>
      </c>
      <c r="E336" s="176" t="s">
        <v>390</v>
      </c>
      <c r="F336" s="175"/>
      <c r="G336" s="177" t="str">
        <f>IF(B336="insumo",_xlfn.XLOOKUP($D336,Insumos!$B$1:$B$764,Insumos!$D$1:$D$764),"")</f>
        <v/>
      </c>
      <c r="H336" s="177" cm="1">
        <f t="array" ref="H336">_xlfn.IFS(B336="Serviço",SUMIFS(H337:$H$3085,C337:$C$3085,$C336),B336="Insumo",F336*G336,B336="Etapa","")</f>
        <v>756.76</v>
      </c>
      <c r="I336" s="178" t="s">
        <v>195</v>
      </c>
    </row>
    <row r="337" spans="1:9" hidden="1" outlineLevel="2" x14ac:dyDescent="0.25">
      <c r="A337" s="175">
        <f t="shared" si="10"/>
        <v>1</v>
      </c>
      <c r="B337" s="175" t="s">
        <v>327</v>
      </c>
      <c r="C337" s="175" t="str">
        <f t="shared" si="11"/>
        <v>Concreto Usinado bombeável para estacas 40MPa  - incluindo serviço de bombeamento</v>
      </c>
      <c r="D337" s="175" t="s">
        <v>446</v>
      </c>
      <c r="E337" s="176" t="str">
        <f>_xlfn.XLOOKUP(D337,Insumos!$B$1:$B$764,Insumos!$C$1:$C$764)</f>
        <v>M3</v>
      </c>
      <c r="F337" s="179">
        <v>1.2</v>
      </c>
      <c r="G337" s="177">
        <f>IF(B337="insumo",_xlfn.XLOOKUP($D337,Insumos!$B$1:$B$764,Insumos!$D$1:$D$764),"")</f>
        <v>590</v>
      </c>
      <c r="H337" s="177" cm="1">
        <f t="array" ref="H337">_xlfn.IFS(B337="Serviço",SUMIFS(H338:$H$3085,C338:$C$3085,$C337),B337="Insumo",F337*G337,B337="Etapa","")</f>
        <v>708</v>
      </c>
      <c r="I337" s="178"/>
    </row>
    <row r="338" spans="1:9" hidden="1" outlineLevel="2" x14ac:dyDescent="0.25">
      <c r="A338" s="175">
        <f t="shared" si="10"/>
        <v>22</v>
      </c>
      <c r="B338" s="175" t="s">
        <v>327</v>
      </c>
      <c r="C338" s="175" t="str">
        <f t="shared" si="11"/>
        <v>Concreto Usinado bombeável para estacas 40MPa  - incluindo serviço de bombeamento</v>
      </c>
      <c r="D338" s="175" t="s">
        <v>395</v>
      </c>
      <c r="E338" s="176" t="str">
        <f>_xlfn.XLOOKUP(D338,Insumos!$B$1:$B$764,Insumos!$C$1:$C$764)</f>
        <v>M3</v>
      </c>
      <c r="F338" s="179">
        <v>1.2</v>
      </c>
      <c r="G338" s="177">
        <f>IF(B338="insumo",_xlfn.XLOOKUP($D338,Insumos!$B$1:$B$764,Insumos!$D$1:$D$764),"")</f>
        <v>40</v>
      </c>
      <c r="H338" s="177" cm="1">
        <f t="array" ref="H338">_xlfn.IFS(B338="Serviço",SUMIFS(H339:$H$3085,C339:$C$3085,$C338),B338="Insumo",F338*G338,B338="Etapa","")</f>
        <v>48</v>
      </c>
      <c r="I338" s="178"/>
    </row>
    <row r="339" spans="1:9" hidden="1" outlineLevel="2" x14ac:dyDescent="0.25">
      <c r="A339" s="175">
        <f t="shared" si="10"/>
        <v>39</v>
      </c>
      <c r="B339" s="175" t="s">
        <v>327</v>
      </c>
      <c r="C339" s="175" t="str">
        <f t="shared" si="11"/>
        <v>Concreto Usinado bombeável para estacas 40MPa  - incluindo serviço de bombeamento</v>
      </c>
      <c r="D339" s="175" t="s">
        <v>396</v>
      </c>
      <c r="E339" s="176" t="str">
        <f>_xlfn.XLOOKUP(D339,Insumos!$B$1:$B$764,Insumos!$C$1:$C$764)</f>
        <v>KG</v>
      </c>
      <c r="F339" s="179">
        <v>1</v>
      </c>
      <c r="G339" s="177">
        <f>IF(B339="insumo",_xlfn.XLOOKUP($D339,Insumos!$B$1:$B$764,Insumos!$D$1:$D$764),"")</f>
        <v>0.76</v>
      </c>
      <c r="H339" s="177" cm="1">
        <f t="array" ref="H339">_xlfn.IFS(B339="Serviço",SUMIFS(H340:$H$3085,C340:$C$3085,$C339),B339="Insumo",F339*G339,B339="Etapa","")</f>
        <v>0.76</v>
      </c>
      <c r="I339" s="178"/>
    </row>
    <row r="340" spans="1:9" hidden="1" outlineLevel="1" collapsed="1" x14ac:dyDescent="0.25">
      <c r="A340" s="175">
        <f t="shared" si="10"/>
        <v>1</v>
      </c>
      <c r="B340" s="175" t="s">
        <v>109</v>
      </c>
      <c r="C340" s="175" t="str">
        <f t="shared" si="11"/>
        <v>Corte e Preparo de Cabeça de Estaca</v>
      </c>
      <c r="D340" s="175" t="s">
        <v>200</v>
      </c>
      <c r="E340" s="176" t="s">
        <v>131</v>
      </c>
      <c r="F340" s="175"/>
      <c r="G340" s="177" t="str">
        <f>IF(B340="insumo",_xlfn.XLOOKUP($D340,Insumos!$B$1:$B$764,Insumos!$D$1:$D$764),"")</f>
        <v/>
      </c>
      <c r="H340" s="177" cm="1">
        <f t="array" ref="H340">_xlfn.IFS(B340="Serviço",SUMIFS(H341:$H$3085,C341:$C$3085,$C340),B340="Insumo",F340*G340,B340="Etapa","")</f>
        <v>300</v>
      </c>
      <c r="I340" s="178" t="s">
        <v>195</v>
      </c>
    </row>
    <row r="341" spans="1:9" hidden="1" outlineLevel="2" x14ac:dyDescent="0.25">
      <c r="A341" s="175">
        <f t="shared" si="10"/>
        <v>1</v>
      </c>
      <c r="B341" s="175" t="s">
        <v>327</v>
      </c>
      <c r="C341" s="175" t="str">
        <f t="shared" si="11"/>
        <v>Corte e Preparo de Cabeça de Estaca</v>
      </c>
      <c r="D341" s="175" t="s">
        <v>447</v>
      </c>
      <c r="E341" s="176" t="str">
        <f>_xlfn.XLOOKUP(D341,Insumos!$B$1:$B$764,Insumos!$C$1:$C$764)</f>
        <v>UN</v>
      </c>
      <c r="F341" s="179">
        <v>1</v>
      </c>
      <c r="G341" s="177">
        <f>IF(B341="insumo",_xlfn.XLOOKUP($D341,Insumos!$B$1:$B$764,Insumos!$D$1:$D$764),"")</f>
        <v>300</v>
      </c>
      <c r="H341" s="177" cm="1">
        <f t="array" ref="H341">_xlfn.IFS(B341="Serviço",SUMIFS(H342:$H$3085,C342:$C$3085,$C341),B341="Insumo",F341*G341,B341="Etapa","")</f>
        <v>300</v>
      </c>
      <c r="I341" s="178"/>
    </row>
    <row r="342" spans="1:9" collapsed="1" x14ac:dyDescent="0.25">
      <c r="A342" s="172">
        <f t="shared" si="10"/>
        <v>1</v>
      </c>
      <c r="B342" s="172" t="s">
        <v>107</v>
      </c>
      <c r="C342" s="172"/>
      <c r="D342" s="172" t="s">
        <v>34</v>
      </c>
      <c r="E342" s="173"/>
      <c r="F342" s="174"/>
      <c r="G342" s="180" t="str">
        <f>IF(B342="insumo",_xlfn.XLOOKUP($D342,Insumos!$B$1:$B$764,Insumos!$D$1:$D$764),"")</f>
        <v/>
      </c>
      <c r="H342" s="177" t="str" cm="1">
        <f t="array" ref="H342">_xlfn.IFS(B342="Serviço",SUMIFS(H343:$H$3085,C343:$C$3085,$C342),B342="Insumo",F342*G342,B342="Etapa","")</f>
        <v/>
      </c>
      <c r="I342" s="174"/>
    </row>
    <row r="343" spans="1:9" hidden="1" outlineLevel="1" x14ac:dyDescent="0.25">
      <c r="A343" s="175">
        <f t="shared" si="10"/>
        <v>1</v>
      </c>
      <c r="B343" s="175" t="s">
        <v>109</v>
      </c>
      <c r="C343" s="175" t="str">
        <f t="shared" si="11"/>
        <v>Forma para infraestrutura em Tábuas de Madeira Serrada 2x reaproveitamento</v>
      </c>
      <c r="D343" s="175" t="s">
        <v>448</v>
      </c>
      <c r="E343" s="176" t="s">
        <v>13</v>
      </c>
      <c r="F343" s="175"/>
      <c r="G343" s="177" t="str">
        <f>IF(B343="insumo",_xlfn.XLOOKUP($D343,Insumos!$B$1:$B$764,Insumos!$D$1:$D$764),"")</f>
        <v/>
      </c>
      <c r="H343" s="177" cm="1">
        <f t="array" ref="H343">_xlfn.IFS(B343="Serviço",SUMIFS(H344:$H$3085,C344:$C$3085,$C343),B343="Insumo",F343*G343,B343="Etapa","")</f>
        <v>59.956228571428568</v>
      </c>
      <c r="I343" s="178" t="s">
        <v>195</v>
      </c>
    </row>
    <row r="344" spans="1:9" hidden="1" outlineLevel="2" x14ac:dyDescent="0.25">
      <c r="A344" s="175">
        <f t="shared" si="10"/>
        <v>3</v>
      </c>
      <c r="B344" s="175" t="s">
        <v>327</v>
      </c>
      <c r="C344" s="175" t="str">
        <f t="shared" si="11"/>
        <v>Forma para infraestrutura em Tábuas de Madeira Serrada 2x reaproveitamento</v>
      </c>
      <c r="D344" s="175" t="s">
        <v>449</v>
      </c>
      <c r="E344" s="176" t="str">
        <f>_xlfn.XLOOKUP(D344,Insumos!$B$1:$B$764,Insumos!$C$1:$C$764)</f>
        <v>KG</v>
      </c>
      <c r="F344" s="179">
        <v>1.0999999999999999E-2</v>
      </c>
      <c r="G344" s="177">
        <f>IF(B344="insumo",_xlfn.XLOOKUP($D344,Insumos!$B$1:$B$764,Insumos!$D$1:$D$764),"")</f>
        <v>18.8</v>
      </c>
      <c r="H344" s="177" cm="1">
        <f t="array" ref="H344">_xlfn.IFS(B344="Serviço",SUMIFS(H345:$H$3085,C345:$C$3085,$C344),B344="Insumo",F344*G344,B344="Etapa","")</f>
        <v>0.20679999999999998</v>
      </c>
      <c r="I344" s="178"/>
    </row>
    <row r="345" spans="1:9" hidden="1" outlineLevel="2" x14ac:dyDescent="0.25">
      <c r="A345" s="175">
        <f t="shared" si="10"/>
        <v>36</v>
      </c>
      <c r="B345" s="175" t="s">
        <v>327</v>
      </c>
      <c r="C345" s="175" t="str">
        <f t="shared" si="11"/>
        <v>Forma para infraestrutura em Tábuas de Madeira Serrada 2x reaproveitamento</v>
      </c>
      <c r="D345" s="175" t="s">
        <v>349</v>
      </c>
      <c r="E345" s="176" t="str">
        <f>_xlfn.XLOOKUP(D345,Insumos!$B$1:$B$764,Insumos!$C$1:$C$764)</f>
        <v>KG</v>
      </c>
      <c r="F345" s="179">
        <v>9.5000000000000001E-2</v>
      </c>
      <c r="G345" s="177">
        <f>IF(B345="insumo",_xlfn.XLOOKUP($D345,Insumos!$B$1:$B$764,Insumos!$D$1:$D$764),"")</f>
        <v>18.13</v>
      </c>
      <c r="H345" s="177" cm="1">
        <f t="array" ref="H345">_xlfn.IFS(B345="Serviço",SUMIFS(H346:$H$3085,C346:$C$3085,$C345),B345="Insumo",F345*G345,B345="Etapa","")</f>
        <v>1.7223499999999998</v>
      </c>
      <c r="I345" s="178"/>
    </row>
    <row r="346" spans="1:9" hidden="1" outlineLevel="2" x14ac:dyDescent="0.25">
      <c r="A346" s="175">
        <f t="shared" si="10"/>
        <v>9</v>
      </c>
      <c r="B346" s="175" t="s">
        <v>327</v>
      </c>
      <c r="C346" s="175" t="str">
        <f t="shared" si="11"/>
        <v>Forma para infraestrutura em Tábuas de Madeira Serrada 2x reaproveitamento</v>
      </c>
      <c r="D346" s="175" t="s">
        <v>450</v>
      </c>
      <c r="E346" s="176" t="str">
        <f>_xlfn.XLOOKUP(D346,Insumos!$B$1:$B$764,Insumos!$C$1:$C$764)</f>
        <v>L</v>
      </c>
      <c r="F346" s="179">
        <v>1.7000000000000001E-2</v>
      </c>
      <c r="G346" s="177">
        <f>IF(B346="insumo",_xlfn.XLOOKUP($D346,Insumos!$B$1:$B$764,Insumos!$D$1:$D$764),"")</f>
        <v>15.55</v>
      </c>
      <c r="H346" s="177" cm="1">
        <f t="array" ref="H346">_xlfn.IFS(B346="Serviço",SUMIFS(H347:$H$3085,C347:$C$3085,$C346),B346="Insumo",F346*G346,B346="Etapa","")</f>
        <v>0.26435000000000003</v>
      </c>
      <c r="I346" s="178"/>
    </row>
    <row r="347" spans="1:9" hidden="1" outlineLevel="2" x14ac:dyDescent="0.25">
      <c r="A347" s="175">
        <f t="shared" si="10"/>
        <v>24</v>
      </c>
      <c r="B347" s="175" t="s">
        <v>327</v>
      </c>
      <c r="C347" s="175" t="str">
        <f t="shared" si="11"/>
        <v>Forma para infraestrutura em Tábuas de Madeira Serrada 2x reaproveitamento</v>
      </c>
      <c r="D347" s="175" t="s">
        <v>346</v>
      </c>
      <c r="E347" s="176" t="str">
        <f>_xlfn.XLOOKUP(D347,Insumos!$B$1:$B$764,Insumos!$C$1:$C$764)</f>
        <v>M</v>
      </c>
      <c r="F347" s="179">
        <v>0.73714285714285721</v>
      </c>
      <c r="G347" s="177">
        <f>IF(B347="insumo",_xlfn.XLOOKUP($D347,Insumos!$B$1:$B$764,Insumos!$D$1:$D$764),"")</f>
        <v>7</v>
      </c>
      <c r="H347" s="177" cm="1">
        <f t="array" ref="H347">_xlfn.IFS(B347="Serviço",SUMIFS(H348:$H$3085,C348:$C$3085,$C347),B347="Insumo",F347*G347,B347="Etapa","")</f>
        <v>5.16</v>
      </c>
      <c r="I347" s="178"/>
    </row>
    <row r="348" spans="1:9" hidden="1" outlineLevel="2" x14ac:dyDescent="0.25">
      <c r="A348" s="175">
        <f t="shared" si="10"/>
        <v>18</v>
      </c>
      <c r="B348" s="175" t="s">
        <v>327</v>
      </c>
      <c r="C348" s="175" t="str">
        <f t="shared" si="11"/>
        <v>Forma para infraestrutura em Tábuas de Madeira Serrada 2x reaproveitamento</v>
      </c>
      <c r="D348" s="175" t="s">
        <v>373</v>
      </c>
      <c r="E348" s="176" t="str">
        <f>_xlfn.XLOOKUP(D348,Insumos!$B$1:$B$764,Insumos!$C$1:$C$764)</f>
        <v>M3</v>
      </c>
      <c r="F348" s="179">
        <v>2.638095238095238E-3</v>
      </c>
      <c r="G348" s="177">
        <f>IF(B348="insumo",_xlfn.XLOOKUP($D348,Insumos!$B$1:$B$764,Insumos!$D$1:$D$764),"")</f>
        <v>1350</v>
      </c>
      <c r="H348" s="177" cm="1">
        <f t="array" ref="H348">_xlfn.IFS(B348="Serviço",SUMIFS(H349:$H$3085,C349:$C$3085,$C348),B348="Insumo",F348*G348,B348="Etapa","")</f>
        <v>3.5614285714285714</v>
      </c>
      <c r="I348" s="178"/>
    </row>
    <row r="349" spans="1:9" hidden="1" outlineLevel="2" x14ac:dyDescent="0.25">
      <c r="A349" s="175">
        <f t="shared" si="10"/>
        <v>5</v>
      </c>
      <c r="B349" s="175" t="s">
        <v>327</v>
      </c>
      <c r="C349" s="175" t="str">
        <f t="shared" si="11"/>
        <v>Forma para infraestrutura em Tábuas de Madeira Serrada 2x reaproveitamento</v>
      </c>
      <c r="D349" s="175" t="s">
        <v>451</v>
      </c>
      <c r="E349" s="176" t="str">
        <f>_xlfn.XLOOKUP(D349,Insumos!$B$1:$B$764,Insumos!$C$1:$C$764)</f>
        <v>M</v>
      </c>
      <c r="F349" s="179">
        <v>1.155</v>
      </c>
      <c r="G349" s="177">
        <f>IF(B349="insumo",_xlfn.XLOOKUP($D349,Insumos!$B$1:$B$764,Insumos!$D$1:$D$764),"")</f>
        <v>42.46</v>
      </c>
      <c r="H349" s="177" cm="1">
        <f t="array" ref="H349">_xlfn.IFS(B349="Serviço",SUMIFS(H350:$H$3085,C350:$C$3085,$C349),B349="Insumo",F349*G349,B349="Etapa","")</f>
        <v>49.0413</v>
      </c>
      <c r="I349" s="178"/>
    </row>
    <row r="350" spans="1:9" hidden="1" outlineLevel="1" collapsed="1" x14ac:dyDescent="0.25">
      <c r="A350" s="175">
        <f t="shared" si="10"/>
        <v>1</v>
      </c>
      <c r="B350" s="175" t="s">
        <v>109</v>
      </c>
      <c r="C350" s="175" t="str">
        <f t="shared" si="11"/>
        <v>Forma para infraestrutura em Tábuas de Madeira Serrada 4x reaproveitamento</v>
      </c>
      <c r="D350" s="175" t="s">
        <v>452</v>
      </c>
      <c r="E350" s="176" t="s">
        <v>13</v>
      </c>
      <c r="F350" s="175"/>
      <c r="G350" s="177" t="str">
        <f>IF(B350="insumo",_xlfn.XLOOKUP($D350,Insumos!$B$1:$B$764,Insumos!$D$1:$D$764),"")</f>
        <v/>
      </c>
      <c r="H350" s="177" cm="1">
        <f t="array" ref="H350">_xlfn.IFS(B350="Serviço",SUMIFS(H351:$H$3085,C351:$C$3085,$C350),B350="Insumo",F350*G350,B350="Etapa","")</f>
        <v>59.956228571428568</v>
      </c>
      <c r="I350" s="178" t="s">
        <v>195</v>
      </c>
    </row>
    <row r="351" spans="1:9" hidden="1" outlineLevel="2" x14ac:dyDescent="0.25">
      <c r="A351" s="175">
        <f t="shared" si="10"/>
        <v>3</v>
      </c>
      <c r="B351" s="175" t="s">
        <v>327</v>
      </c>
      <c r="C351" s="175" t="str">
        <f t="shared" si="11"/>
        <v>Forma para infraestrutura em Tábuas de Madeira Serrada 4x reaproveitamento</v>
      </c>
      <c r="D351" s="175" t="s">
        <v>449</v>
      </c>
      <c r="E351" s="176" t="str">
        <f>_xlfn.XLOOKUP(D351,Insumos!$B$1:$B$764,Insumos!$C$1:$C$764)</f>
        <v>KG</v>
      </c>
      <c r="F351" s="179">
        <v>1.0999999999999999E-2</v>
      </c>
      <c r="G351" s="177">
        <f>IF(B351="insumo",_xlfn.XLOOKUP($D351,Insumos!$B$1:$B$764,Insumos!$D$1:$D$764),"")</f>
        <v>18.8</v>
      </c>
      <c r="H351" s="177" cm="1">
        <f t="array" ref="H351">_xlfn.IFS(B351="Serviço",SUMIFS(H352:$H$3085,C352:$C$3085,$C351),B351="Insumo",F351*G351,B351="Etapa","")</f>
        <v>0.20679999999999998</v>
      </c>
      <c r="I351" s="178"/>
    </row>
    <row r="352" spans="1:9" hidden="1" outlineLevel="2" x14ac:dyDescent="0.25">
      <c r="A352" s="175">
        <f t="shared" si="10"/>
        <v>36</v>
      </c>
      <c r="B352" s="175" t="s">
        <v>327</v>
      </c>
      <c r="C352" s="175" t="str">
        <f t="shared" si="11"/>
        <v>Forma para infraestrutura em Tábuas de Madeira Serrada 4x reaproveitamento</v>
      </c>
      <c r="D352" s="175" t="s">
        <v>349</v>
      </c>
      <c r="E352" s="176" t="str">
        <f>_xlfn.XLOOKUP(D352,Insumos!$B$1:$B$764,Insumos!$C$1:$C$764)</f>
        <v>KG</v>
      </c>
      <c r="F352" s="179">
        <v>9.5000000000000001E-2</v>
      </c>
      <c r="G352" s="177">
        <f>IF(B352="insumo",_xlfn.XLOOKUP($D352,Insumos!$B$1:$B$764,Insumos!$D$1:$D$764),"")</f>
        <v>18.13</v>
      </c>
      <c r="H352" s="177" cm="1">
        <f t="array" ref="H352">_xlfn.IFS(B352="Serviço",SUMIFS(H353:$H$3085,C353:$C$3085,$C352),B352="Insumo",F352*G352,B352="Etapa","")</f>
        <v>1.7223499999999998</v>
      </c>
      <c r="I352" s="178"/>
    </row>
    <row r="353" spans="1:9" hidden="1" outlineLevel="2" x14ac:dyDescent="0.25">
      <c r="A353" s="175">
        <f t="shared" si="10"/>
        <v>9</v>
      </c>
      <c r="B353" s="175" t="s">
        <v>327</v>
      </c>
      <c r="C353" s="175" t="str">
        <f t="shared" si="11"/>
        <v>Forma para infraestrutura em Tábuas de Madeira Serrada 4x reaproveitamento</v>
      </c>
      <c r="D353" s="175" t="s">
        <v>450</v>
      </c>
      <c r="E353" s="176" t="str">
        <f>_xlfn.XLOOKUP(D353,Insumos!$B$1:$B$764,Insumos!$C$1:$C$764)</f>
        <v>L</v>
      </c>
      <c r="F353" s="179">
        <v>1.7000000000000001E-2</v>
      </c>
      <c r="G353" s="177">
        <f>IF(B353="insumo",_xlfn.XLOOKUP($D353,Insumos!$B$1:$B$764,Insumos!$D$1:$D$764),"")</f>
        <v>15.55</v>
      </c>
      <c r="H353" s="177" cm="1">
        <f t="array" ref="H353">_xlfn.IFS(B353="Serviço",SUMIFS(H354:$H$3085,C354:$C$3085,$C353),B353="Insumo",F353*G353,B353="Etapa","")</f>
        <v>0.26435000000000003</v>
      </c>
      <c r="I353" s="178"/>
    </row>
    <row r="354" spans="1:9" hidden="1" outlineLevel="2" x14ac:dyDescent="0.25">
      <c r="A354" s="175">
        <f t="shared" si="10"/>
        <v>24</v>
      </c>
      <c r="B354" s="175" t="s">
        <v>327</v>
      </c>
      <c r="C354" s="175" t="str">
        <f t="shared" si="11"/>
        <v>Forma para infraestrutura em Tábuas de Madeira Serrada 4x reaproveitamento</v>
      </c>
      <c r="D354" s="175" t="s">
        <v>346</v>
      </c>
      <c r="E354" s="176" t="str">
        <f>_xlfn.XLOOKUP(D354,Insumos!$B$1:$B$764,Insumos!$C$1:$C$764)</f>
        <v>M</v>
      </c>
      <c r="F354" s="179">
        <v>0.73714285714285721</v>
      </c>
      <c r="G354" s="177">
        <f>IF(B354="insumo",_xlfn.XLOOKUP($D354,Insumos!$B$1:$B$764,Insumos!$D$1:$D$764),"")</f>
        <v>7</v>
      </c>
      <c r="H354" s="177" cm="1">
        <f t="array" ref="H354">_xlfn.IFS(B354="Serviço",SUMIFS(H355:$H$3085,C355:$C$3085,$C354),B354="Insumo",F354*G354,B354="Etapa","")</f>
        <v>5.16</v>
      </c>
      <c r="I354" s="178"/>
    </row>
    <row r="355" spans="1:9" hidden="1" outlineLevel="2" x14ac:dyDescent="0.25">
      <c r="A355" s="175">
        <f t="shared" si="10"/>
        <v>18</v>
      </c>
      <c r="B355" s="175" t="s">
        <v>327</v>
      </c>
      <c r="C355" s="175" t="str">
        <f t="shared" si="11"/>
        <v>Forma para infraestrutura em Tábuas de Madeira Serrada 4x reaproveitamento</v>
      </c>
      <c r="D355" s="175" t="s">
        <v>373</v>
      </c>
      <c r="E355" s="176" t="str">
        <f>_xlfn.XLOOKUP(D355,Insumos!$B$1:$B$764,Insumos!$C$1:$C$764)</f>
        <v>M3</v>
      </c>
      <c r="F355" s="179">
        <v>2.638095238095238E-3</v>
      </c>
      <c r="G355" s="177">
        <f>IF(B355="insumo",_xlfn.XLOOKUP($D355,Insumos!$B$1:$B$764,Insumos!$D$1:$D$764),"")</f>
        <v>1350</v>
      </c>
      <c r="H355" s="177" cm="1">
        <f t="array" ref="H355">_xlfn.IFS(B355="Serviço",SUMIFS(H356:$H$3085,C356:$C$3085,$C355),B355="Insumo",F355*G355,B355="Etapa","")</f>
        <v>3.5614285714285714</v>
      </c>
      <c r="I355" s="178"/>
    </row>
    <row r="356" spans="1:9" hidden="1" outlineLevel="2" x14ac:dyDescent="0.25">
      <c r="A356" s="175">
        <f t="shared" si="10"/>
        <v>5</v>
      </c>
      <c r="B356" s="175" t="s">
        <v>327</v>
      </c>
      <c r="C356" s="175" t="str">
        <f t="shared" si="11"/>
        <v>Forma para infraestrutura em Tábuas de Madeira Serrada 4x reaproveitamento</v>
      </c>
      <c r="D356" s="175" t="s">
        <v>451</v>
      </c>
      <c r="E356" s="176" t="str">
        <f>_xlfn.XLOOKUP(D356,Insumos!$B$1:$B$764,Insumos!$C$1:$C$764)</f>
        <v>M</v>
      </c>
      <c r="F356" s="179">
        <v>1.155</v>
      </c>
      <c r="G356" s="177">
        <f>IF(B356="insumo",_xlfn.XLOOKUP($D356,Insumos!$B$1:$B$764,Insumos!$D$1:$D$764),"")</f>
        <v>42.46</v>
      </c>
      <c r="H356" s="177" cm="1">
        <f t="array" ref="H356">_xlfn.IFS(B356="Serviço",SUMIFS(H357:$H$3085,C357:$C$3085,$C356),B356="Insumo",F356*G356,B356="Etapa","")</f>
        <v>49.0413</v>
      </c>
      <c r="I356" s="178"/>
    </row>
    <row r="357" spans="1:9" hidden="1" outlineLevel="1" collapsed="1" x14ac:dyDescent="0.25">
      <c r="A357" s="175">
        <f t="shared" si="10"/>
        <v>1</v>
      </c>
      <c r="B357" s="175" t="s">
        <v>109</v>
      </c>
      <c r="C357" s="175" t="str">
        <f t="shared" si="11"/>
        <v>Armação aço CA-50 ø 6,3mm para infraestrutura (corte e dobra em obra)</v>
      </c>
      <c r="D357" s="175" t="s">
        <v>96</v>
      </c>
      <c r="E357" s="176" t="s">
        <v>428</v>
      </c>
      <c r="F357" s="175"/>
      <c r="G357" s="177" t="str">
        <f>IF(B357="insumo",_xlfn.XLOOKUP($D357,Insumos!$B$1:$B$764,Insumos!$D$1:$D$764),"")</f>
        <v/>
      </c>
      <c r="H357" s="177" cm="1">
        <f t="array" ref="H357">_xlfn.IFS(B357="Serviço",SUMIFS(H358:$H$3085,C358:$C$3085,$C357),B357="Insumo",F357*G357,B357="Etapa","")</f>
        <v>6.9381450000000005</v>
      </c>
      <c r="I357" s="178" t="s">
        <v>195</v>
      </c>
    </row>
    <row r="358" spans="1:9" hidden="1" outlineLevel="2" x14ac:dyDescent="0.25">
      <c r="A358" s="175">
        <f t="shared" si="10"/>
        <v>4</v>
      </c>
      <c r="B358" s="175" t="s">
        <v>327</v>
      </c>
      <c r="C358" s="175" t="str">
        <f t="shared" si="11"/>
        <v>Armação aço CA-50 ø 6,3mm para infraestrutura (corte e dobra em obra)</v>
      </c>
      <c r="D358" s="175" t="s">
        <v>429</v>
      </c>
      <c r="E358" s="176" t="str">
        <f>_xlfn.XLOOKUP(D358,Insumos!$B$1:$B$764,Insumos!$C$1:$C$764)</f>
        <v>KG</v>
      </c>
      <c r="F358" s="179">
        <v>1.1000000000000001</v>
      </c>
      <c r="G358" s="177">
        <f>IF(B358="insumo",_xlfn.XLOOKUP($D358,Insumos!$B$1:$B$764,Insumos!$D$1:$D$764),"")</f>
        <v>6.04</v>
      </c>
      <c r="H358" s="177" cm="1">
        <f t="array" ref="H358">_xlfn.IFS(B358="Serviço",SUMIFS(H359:$H$3085,C359:$C$3085,$C358),B358="Insumo",F358*G358,B358="Etapa","")</f>
        <v>6.644000000000001</v>
      </c>
      <c r="I358" s="178"/>
    </row>
    <row r="359" spans="1:9" hidden="1" outlineLevel="2" x14ac:dyDescent="0.25">
      <c r="A359" s="175">
        <f t="shared" si="10"/>
        <v>24</v>
      </c>
      <c r="B359" s="175" t="s">
        <v>327</v>
      </c>
      <c r="C359" s="175" t="str">
        <f t="shared" si="11"/>
        <v>Armação aço CA-50 ø 6,3mm para infraestrutura (corte e dobra em obra)</v>
      </c>
      <c r="D359" s="175" t="s">
        <v>430</v>
      </c>
      <c r="E359" s="176" t="str">
        <f>_xlfn.XLOOKUP(D359,Insumos!$B$1:$B$764,Insumos!$C$1:$C$764)</f>
        <v>KG</v>
      </c>
      <c r="F359" s="179">
        <v>2.0500000000000001E-2</v>
      </c>
      <c r="G359" s="177">
        <f>IF(B359="insumo",_xlfn.XLOOKUP($D359,Insumos!$B$1:$B$764,Insumos!$D$1:$D$764),"")</f>
        <v>13.69</v>
      </c>
      <c r="H359" s="177" cm="1">
        <f t="array" ref="H359">_xlfn.IFS(B359="Serviço",SUMIFS(H360:$H$3085,C360:$C$3085,$C359),B359="Insumo",F359*G359,B359="Etapa","")</f>
        <v>0.28064499999999998</v>
      </c>
      <c r="I359" s="178"/>
    </row>
    <row r="360" spans="1:9" hidden="1" outlineLevel="2" x14ac:dyDescent="0.25">
      <c r="A360" s="175">
        <f t="shared" si="10"/>
        <v>35</v>
      </c>
      <c r="B360" s="175" t="s">
        <v>327</v>
      </c>
      <c r="C360" s="175" t="str">
        <f t="shared" si="11"/>
        <v>Armação aço CA-50 ø 6,3mm para infraestrutura (corte e dobra em obra)</v>
      </c>
      <c r="D360" s="175" t="s">
        <v>431</v>
      </c>
      <c r="E360" s="176" t="str">
        <f>_xlfn.XLOOKUP(D360,Insumos!$B$1:$B$764,Insumos!$C$1:$C$764)</f>
        <v>UN</v>
      </c>
      <c r="F360" s="179">
        <v>0.05</v>
      </c>
      <c r="G360" s="177">
        <f>IF(B360="insumo",_xlfn.XLOOKUP($D360,Insumos!$B$1:$B$764,Insumos!$D$1:$D$764),"")</f>
        <v>0.27</v>
      </c>
      <c r="H360" s="177" cm="1">
        <f t="array" ref="H360">_xlfn.IFS(B360="Serviço",SUMIFS(H361:$H$3085,C361:$C$3085,$C360),B360="Insumo",F360*G360,B360="Etapa","")</f>
        <v>1.3500000000000002E-2</v>
      </c>
      <c r="I360" s="178"/>
    </row>
    <row r="361" spans="1:9" hidden="1" outlineLevel="1" collapsed="1" x14ac:dyDescent="0.25">
      <c r="A361" s="175">
        <f t="shared" si="10"/>
        <v>1</v>
      </c>
      <c r="B361" s="175" t="s">
        <v>109</v>
      </c>
      <c r="C361" s="175" t="str">
        <f t="shared" si="11"/>
        <v>Armação aço CA-50 ø 8,0mm para infraestrutura (corte e dobra em obra)</v>
      </c>
      <c r="D361" s="175" t="s">
        <v>44</v>
      </c>
      <c r="E361" s="176" t="s">
        <v>428</v>
      </c>
      <c r="F361" s="175"/>
      <c r="G361" s="177" t="str">
        <f>IF(B361="insumo",_xlfn.XLOOKUP($D361,Insumos!$B$1:$B$764,Insumos!$D$1:$D$764),"")</f>
        <v/>
      </c>
      <c r="H361" s="177" cm="1">
        <f t="array" ref="H361">_xlfn.IFS(B361="Serviço",SUMIFS(H362:$H$3085,C362:$C$3085,$C361),B361="Insumo",F361*G361,B361="Etapa","")</f>
        <v>6.9381450000000005</v>
      </c>
      <c r="I361" s="178" t="s">
        <v>195</v>
      </c>
    </row>
    <row r="362" spans="1:9" hidden="1" outlineLevel="2" x14ac:dyDescent="0.25">
      <c r="A362" s="175">
        <f t="shared" si="10"/>
        <v>5</v>
      </c>
      <c r="B362" s="175" t="s">
        <v>327</v>
      </c>
      <c r="C362" s="175" t="str">
        <f t="shared" si="11"/>
        <v>Armação aço CA-50 ø 8,0mm para infraestrutura (corte e dobra em obra)</v>
      </c>
      <c r="D362" s="175" t="s">
        <v>433</v>
      </c>
      <c r="E362" s="176" t="str">
        <f>_xlfn.XLOOKUP(D362,Insumos!$B$1:$B$764,Insumos!$C$1:$C$764)</f>
        <v>KG</v>
      </c>
      <c r="F362" s="179">
        <v>1.1000000000000001</v>
      </c>
      <c r="G362" s="177">
        <f>IF(B362="insumo",_xlfn.XLOOKUP($D362,Insumos!$B$1:$B$764,Insumos!$D$1:$D$764),"")</f>
        <v>6.04</v>
      </c>
      <c r="H362" s="177" cm="1">
        <f t="array" ref="H362">_xlfn.IFS(B362="Serviço",SUMIFS(H363:$H$3085,C363:$C$3085,$C362),B362="Insumo",F362*G362,B362="Etapa","")</f>
        <v>6.644000000000001</v>
      </c>
      <c r="I362" s="178"/>
    </row>
    <row r="363" spans="1:9" hidden="1" outlineLevel="2" x14ac:dyDescent="0.25">
      <c r="A363" s="175">
        <f t="shared" si="10"/>
        <v>24</v>
      </c>
      <c r="B363" s="175" t="s">
        <v>327</v>
      </c>
      <c r="C363" s="175" t="str">
        <f t="shared" si="11"/>
        <v>Armação aço CA-50 ø 8,0mm para infraestrutura (corte e dobra em obra)</v>
      </c>
      <c r="D363" s="175" t="s">
        <v>430</v>
      </c>
      <c r="E363" s="176" t="str">
        <f>_xlfn.XLOOKUP(D363,Insumos!$B$1:$B$764,Insumos!$C$1:$C$764)</f>
        <v>KG</v>
      </c>
      <c r="F363" s="179">
        <v>2.0500000000000001E-2</v>
      </c>
      <c r="G363" s="177">
        <f>IF(B363="insumo",_xlfn.XLOOKUP($D363,Insumos!$B$1:$B$764,Insumos!$D$1:$D$764),"")</f>
        <v>13.69</v>
      </c>
      <c r="H363" s="177" cm="1">
        <f t="array" ref="H363">_xlfn.IFS(B363="Serviço",SUMIFS(H364:$H$3085,C364:$C$3085,$C363),B363="Insumo",F363*G363,B363="Etapa","")</f>
        <v>0.28064499999999998</v>
      </c>
      <c r="I363" s="178"/>
    </row>
    <row r="364" spans="1:9" hidden="1" outlineLevel="2" x14ac:dyDescent="0.25">
      <c r="A364" s="175">
        <f t="shared" si="10"/>
        <v>35</v>
      </c>
      <c r="B364" s="175" t="s">
        <v>327</v>
      </c>
      <c r="C364" s="175" t="str">
        <f t="shared" si="11"/>
        <v>Armação aço CA-50 ø 8,0mm para infraestrutura (corte e dobra em obra)</v>
      </c>
      <c r="D364" s="175" t="s">
        <v>431</v>
      </c>
      <c r="E364" s="176" t="str">
        <f>_xlfn.XLOOKUP(D364,Insumos!$B$1:$B$764,Insumos!$C$1:$C$764)</f>
        <v>UN</v>
      </c>
      <c r="F364" s="179">
        <v>0.05</v>
      </c>
      <c r="G364" s="177">
        <f>IF(B364="insumo",_xlfn.XLOOKUP($D364,Insumos!$B$1:$B$764,Insumos!$D$1:$D$764),"")</f>
        <v>0.27</v>
      </c>
      <c r="H364" s="177" cm="1">
        <f t="array" ref="H364">_xlfn.IFS(B364="Serviço",SUMIFS(H365:$H$3085,C365:$C$3085,$C364),B364="Insumo",F364*G364,B364="Etapa","")</f>
        <v>1.3500000000000002E-2</v>
      </c>
      <c r="I364" s="178"/>
    </row>
    <row r="365" spans="1:9" hidden="1" outlineLevel="1" collapsed="1" x14ac:dyDescent="0.25">
      <c r="A365" s="175">
        <f t="shared" si="10"/>
        <v>1</v>
      </c>
      <c r="B365" s="175" t="s">
        <v>109</v>
      </c>
      <c r="C365" s="175" t="str">
        <f t="shared" si="11"/>
        <v>Armação aço CA-50 ø 10,0mm para infraestrutura (corte e dobra em obra)</v>
      </c>
      <c r="D365" s="175" t="s">
        <v>45</v>
      </c>
      <c r="E365" s="176" t="s">
        <v>428</v>
      </c>
      <c r="F365" s="175"/>
      <c r="G365" s="177" t="str">
        <f>IF(B365="insumo",_xlfn.XLOOKUP($D365,Insumos!$B$1:$B$764,Insumos!$D$1:$D$764),"")</f>
        <v/>
      </c>
      <c r="H365" s="177" cm="1">
        <f t="array" ref="H365">_xlfn.IFS(B365="Serviço",SUMIFS(H366:$H$3085,C366:$C$3085,$C365),B365="Insumo",F365*G365,B365="Etapa","")</f>
        <v>6.6301449999999997</v>
      </c>
      <c r="I365" s="178" t="s">
        <v>195</v>
      </c>
    </row>
    <row r="366" spans="1:9" hidden="1" outlineLevel="2" x14ac:dyDescent="0.25">
      <c r="A366" s="175">
        <f t="shared" si="10"/>
        <v>4</v>
      </c>
      <c r="B366" s="175" t="s">
        <v>327</v>
      </c>
      <c r="C366" s="175" t="str">
        <f t="shared" si="11"/>
        <v>Armação aço CA-50 ø 10,0mm para infraestrutura (corte e dobra em obra)</v>
      </c>
      <c r="D366" s="175" t="s">
        <v>435</v>
      </c>
      <c r="E366" s="176" t="str">
        <f>_xlfn.XLOOKUP(D366,Insumos!$B$1:$B$764,Insumos!$C$1:$C$764)</f>
        <v>KG</v>
      </c>
      <c r="F366" s="179">
        <v>1.1000000000000001</v>
      </c>
      <c r="G366" s="177">
        <f>IF(B366="insumo",_xlfn.XLOOKUP($D366,Insumos!$B$1:$B$764,Insumos!$D$1:$D$764),"")</f>
        <v>5.76</v>
      </c>
      <c r="H366" s="177" cm="1">
        <f t="array" ref="H366">_xlfn.IFS(B366="Serviço",SUMIFS(H367:$H$3085,C367:$C$3085,$C366),B366="Insumo",F366*G366,B366="Etapa","")</f>
        <v>6.3360000000000003</v>
      </c>
      <c r="I366" s="178"/>
    </row>
    <row r="367" spans="1:9" hidden="1" outlineLevel="2" x14ac:dyDescent="0.25">
      <c r="A367" s="175">
        <f t="shared" si="10"/>
        <v>24</v>
      </c>
      <c r="B367" s="175" t="s">
        <v>327</v>
      </c>
      <c r="C367" s="175" t="str">
        <f t="shared" si="11"/>
        <v>Armação aço CA-50 ø 10,0mm para infraestrutura (corte e dobra em obra)</v>
      </c>
      <c r="D367" s="175" t="s">
        <v>430</v>
      </c>
      <c r="E367" s="176" t="str">
        <f>_xlfn.XLOOKUP(D367,Insumos!$B$1:$B$764,Insumos!$C$1:$C$764)</f>
        <v>KG</v>
      </c>
      <c r="F367" s="179">
        <v>2.0500000000000001E-2</v>
      </c>
      <c r="G367" s="177">
        <f>IF(B367="insumo",_xlfn.XLOOKUP($D367,Insumos!$B$1:$B$764,Insumos!$D$1:$D$764),"")</f>
        <v>13.69</v>
      </c>
      <c r="H367" s="177" cm="1">
        <f t="array" ref="H367">_xlfn.IFS(B367="Serviço",SUMIFS(H368:$H$3085,C368:$C$3085,$C367),B367="Insumo",F367*G367,B367="Etapa","")</f>
        <v>0.28064499999999998</v>
      </c>
      <c r="I367" s="178"/>
    </row>
    <row r="368" spans="1:9" hidden="1" outlineLevel="2" x14ac:dyDescent="0.25">
      <c r="A368" s="175">
        <f t="shared" si="10"/>
        <v>35</v>
      </c>
      <c r="B368" s="175" t="s">
        <v>327</v>
      </c>
      <c r="C368" s="175" t="str">
        <f t="shared" si="11"/>
        <v>Armação aço CA-50 ø 10,0mm para infraestrutura (corte e dobra em obra)</v>
      </c>
      <c r="D368" s="175" t="s">
        <v>431</v>
      </c>
      <c r="E368" s="176" t="str">
        <f>_xlfn.XLOOKUP(D368,Insumos!$B$1:$B$764,Insumos!$C$1:$C$764)</f>
        <v>UN</v>
      </c>
      <c r="F368" s="179">
        <v>0.05</v>
      </c>
      <c r="G368" s="177">
        <f>IF(B368="insumo",_xlfn.XLOOKUP($D368,Insumos!$B$1:$B$764,Insumos!$D$1:$D$764),"")</f>
        <v>0.27</v>
      </c>
      <c r="H368" s="177" cm="1">
        <f t="array" ref="H368">_xlfn.IFS(B368="Serviço",SUMIFS(H369:$H$3085,C369:$C$3085,$C368),B368="Insumo",F368*G368,B368="Etapa","")</f>
        <v>1.3500000000000002E-2</v>
      </c>
      <c r="I368" s="178"/>
    </row>
    <row r="369" spans="1:9" hidden="1" outlineLevel="1" collapsed="1" x14ac:dyDescent="0.25">
      <c r="A369" s="175">
        <f t="shared" si="10"/>
        <v>1</v>
      </c>
      <c r="B369" s="175" t="s">
        <v>109</v>
      </c>
      <c r="C369" s="175" t="str">
        <f t="shared" si="11"/>
        <v xml:space="preserve">Armação aço CA-50 ø 12,5mm para infraestrutura (corte e dobra em obra) </v>
      </c>
      <c r="D369" s="175" t="s">
        <v>97</v>
      </c>
      <c r="E369" s="176" t="s">
        <v>428</v>
      </c>
      <c r="F369" s="175"/>
      <c r="G369" s="177" t="str">
        <f>IF(B369="insumo",_xlfn.XLOOKUP($D369,Insumos!$B$1:$B$764,Insumos!$D$1:$D$764),"")</f>
        <v/>
      </c>
      <c r="H369" s="177" cm="1">
        <f t="array" ref="H369">_xlfn.IFS(B369="Serviço",SUMIFS(H370:$H$3085,C370:$C$3085,$C369),B369="Insumo",F369*G369,B369="Etapa","")</f>
        <v>6.4431449999999995</v>
      </c>
      <c r="I369" s="178" t="s">
        <v>195</v>
      </c>
    </row>
    <row r="370" spans="1:9" hidden="1" outlineLevel="2" x14ac:dyDescent="0.25">
      <c r="A370" s="175">
        <f t="shared" si="10"/>
        <v>4</v>
      </c>
      <c r="B370" s="175" t="s">
        <v>327</v>
      </c>
      <c r="C370" s="175" t="str">
        <f t="shared" si="11"/>
        <v xml:space="preserve">Armação aço CA-50 ø 12,5mm para infraestrutura (corte e dobra em obra) </v>
      </c>
      <c r="D370" s="175" t="s">
        <v>453</v>
      </c>
      <c r="E370" s="176" t="str">
        <f>_xlfn.XLOOKUP(D370,Insumos!$B$1:$B$764,Insumos!$C$1:$C$764)</f>
        <v>KG</v>
      </c>
      <c r="F370" s="179">
        <v>1.1000000000000001</v>
      </c>
      <c r="G370" s="177">
        <f>IF(B370="insumo",_xlfn.XLOOKUP($D370,Insumos!$B$1:$B$764,Insumos!$D$1:$D$764),"")</f>
        <v>5.59</v>
      </c>
      <c r="H370" s="177" cm="1">
        <f t="array" ref="H370">_xlfn.IFS(B370="Serviço",SUMIFS(H371:$H$3085,C371:$C$3085,$C370),B370="Insumo",F370*G370,B370="Etapa","")</f>
        <v>6.149</v>
      </c>
      <c r="I370" s="178"/>
    </row>
    <row r="371" spans="1:9" hidden="1" outlineLevel="2" x14ac:dyDescent="0.25">
      <c r="A371" s="175">
        <f t="shared" si="10"/>
        <v>24</v>
      </c>
      <c r="B371" s="175" t="s">
        <v>327</v>
      </c>
      <c r="C371" s="175" t="str">
        <f t="shared" si="11"/>
        <v xml:space="preserve">Armação aço CA-50 ø 12,5mm para infraestrutura (corte e dobra em obra) </v>
      </c>
      <c r="D371" s="175" t="s">
        <v>430</v>
      </c>
      <c r="E371" s="176" t="str">
        <f>_xlfn.XLOOKUP(D371,Insumos!$B$1:$B$764,Insumos!$C$1:$C$764)</f>
        <v>KG</v>
      </c>
      <c r="F371" s="179">
        <v>2.0500000000000001E-2</v>
      </c>
      <c r="G371" s="177">
        <f>IF(B371="insumo",_xlfn.XLOOKUP($D371,Insumos!$B$1:$B$764,Insumos!$D$1:$D$764),"")</f>
        <v>13.69</v>
      </c>
      <c r="H371" s="177" cm="1">
        <f t="array" ref="H371">_xlfn.IFS(B371="Serviço",SUMIFS(H372:$H$3085,C372:$C$3085,$C371),B371="Insumo",F371*G371,B371="Etapa","")</f>
        <v>0.28064499999999998</v>
      </c>
      <c r="I371" s="178"/>
    </row>
    <row r="372" spans="1:9" hidden="1" outlineLevel="2" x14ac:dyDescent="0.25">
      <c r="A372" s="175">
        <f t="shared" si="10"/>
        <v>35</v>
      </c>
      <c r="B372" s="175" t="s">
        <v>327</v>
      </c>
      <c r="C372" s="175" t="str">
        <f t="shared" si="11"/>
        <v xml:space="preserve">Armação aço CA-50 ø 12,5mm para infraestrutura (corte e dobra em obra) </v>
      </c>
      <c r="D372" s="175" t="s">
        <v>431</v>
      </c>
      <c r="E372" s="176" t="str">
        <f>_xlfn.XLOOKUP(D372,Insumos!$B$1:$B$764,Insumos!$C$1:$C$764)</f>
        <v>UN</v>
      </c>
      <c r="F372" s="179">
        <v>0.05</v>
      </c>
      <c r="G372" s="177">
        <f>IF(B372="insumo",_xlfn.XLOOKUP($D372,Insumos!$B$1:$B$764,Insumos!$D$1:$D$764),"")</f>
        <v>0.27</v>
      </c>
      <c r="H372" s="177" cm="1">
        <f t="array" ref="H372">_xlfn.IFS(B372="Serviço",SUMIFS(H373:$H$3085,C373:$C$3085,$C372),B372="Insumo",F372*G372,B372="Etapa","")</f>
        <v>1.3500000000000002E-2</v>
      </c>
      <c r="I372" s="178"/>
    </row>
    <row r="373" spans="1:9" hidden="1" outlineLevel="1" collapsed="1" x14ac:dyDescent="0.25">
      <c r="A373" s="175">
        <f t="shared" si="10"/>
        <v>1</v>
      </c>
      <c r="B373" s="175" t="s">
        <v>109</v>
      </c>
      <c r="C373" s="175" t="str">
        <f t="shared" si="11"/>
        <v>Armação aço CA-50 ø 16,0mm para infraestrutura (corte e dobra em obra)</v>
      </c>
      <c r="D373" s="175" t="s">
        <v>46</v>
      </c>
      <c r="E373" s="176" t="s">
        <v>428</v>
      </c>
      <c r="F373" s="175"/>
      <c r="G373" s="177" t="str">
        <f>IF(B373="insumo",_xlfn.XLOOKUP($D373,Insumos!$B$1:$B$764,Insumos!$D$1:$D$764),"")</f>
        <v/>
      </c>
      <c r="H373" s="177" cm="1">
        <f t="array" ref="H373">_xlfn.IFS(B373="Serviço",SUMIFS(H374:$H$3085,C374:$C$3085,$C373),B373="Insumo",F373*G373,B373="Etapa","")</f>
        <v>6.4431449999999995</v>
      </c>
      <c r="I373" s="178" t="s">
        <v>195</v>
      </c>
    </row>
    <row r="374" spans="1:9" hidden="1" outlineLevel="2" x14ac:dyDescent="0.25">
      <c r="A374" s="175">
        <f t="shared" si="10"/>
        <v>4</v>
      </c>
      <c r="B374" s="175" t="s">
        <v>327</v>
      </c>
      <c r="C374" s="175" t="str">
        <f t="shared" si="11"/>
        <v>Armação aço CA-50 ø 16,0mm para infraestrutura (corte e dobra em obra)</v>
      </c>
      <c r="D374" s="175" t="s">
        <v>436</v>
      </c>
      <c r="E374" s="176" t="str">
        <f>_xlfn.XLOOKUP(D374,Insumos!$B$1:$B$764,Insumos!$C$1:$C$764)</f>
        <v>KG</v>
      </c>
      <c r="F374" s="179">
        <v>1.1000000000000001</v>
      </c>
      <c r="G374" s="177">
        <f>IF(B374="insumo",_xlfn.XLOOKUP($D374,Insumos!$B$1:$B$764,Insumos!$D$1:$D$764),"")</f>
        <v>5.59</v>
      </c>
      <c r="H374" s="177" cm="1">
        <f t="array" ref="H374">_xlfn.IFS(B374="Serviço",SUMIFS(H375:$H$3085,C375:$C$3085,$C374),B374="Insumo",F374*G374,B374="Etapa","")</f>
        <v>6.149</v>
      </c>
      <c r="I374" s="178"/>
    </row>
    <row r="375" spans="1:9" hidden="1" outlineLevel="2" x14ac:dyDescent="0.25">
      <c r="A375" s="175">
        <f t="shared" si="10"/>
        <v>24</v>
      </c>
      <c r="B375" s="175" t="s">
        <v>327</v>
      </c>
      <c r="C375" s="175" t="str">
        <f t="shared" si="11"/>
        <v>Armação aço CA-50 ø 16,0mm para infraestrutura (corte e dobra em obra)</v>
      </c>
      <c r="D375" s="175" t="s">
        <v>430</v>
      </c>
      <c r="E375" s="176" t="str">
        <f>_xlfn.XLOOKUP(D375,Insumos!$B$1:$B$764,Insumos!$C$1:$C$764)</f>
        <v>KG</v>
      </c>
      <c r="F375" s="179">
        <v>2.0500000000000001E-2</v>
      </c>
      <c r="G375" s="177">
        <f>IF(B375="insumo",_xlfn.XLOOKUP($D375,Insumos!$B$1:$B$764,Insumos!$D$1:$D$764),"")</f>
        <v>13.69</v>
      </c>
      <c r="H375" s="177" cm="1">
        <f t="array" ref="H375">_xlfn.IFS(B375="Serviço",SUMIFS(H376:$H$3085,C376:$C$3085,$C375),B375="Insumo",F375*G375,B375="Etapa","")</f>
        <v>0.28064499999999998</v>
      </c>
      <c r="I375" s="178"/>
    </row>
    <row r="376" spans="1:9" hidden="1" outlineLevel="2" x14ac:dyDescent="0.25">
      <c r="A376" s="175">
        <f t="shared" si="10"/>
        <v>35</v>
      </c>
      <c r="B376" s="175" t="s">
        <v>327</v>
      </c>
      <c r="C376" s="175" t="str">
        <f t="shared" si="11"/>
        <v>Armação aço CA-50 ø 16,0mm para infraestrutura (corte e dobra em obra)</v>
      </c>
      <c r="D376" s="175" t="s">
        <v>431</v>
      </c>
      <c r="E376" s="176" t="str">
        <f>_xlfn.XLOOKUP(D376,Insumos!$B$1:$B$764,Insumos!$C$1:$C$764)</f>
        <v>UN</v>
      </c>
      <c r="F376" s="179">
        <v>0.05</v>
      </c>
      <c r="G376" s="177">
        <f>IF(B376="insumo",_xlfn.XLOOKUP($D376,Insumos!$B$1:$B$764,Insumos!$D$1:$D$764),"")</f>
        <v>0.27</v>
      </c>
      <c r="H376" s="177" cm="1">
        <f t="array" ref="H376">_xlfn.IFS(B376="Serviço",SUMIFS(H377:$H$3085,C377:$C$3085,$C376),B376="Insumo",F376*G376,B376="Etapa","")</f>
        <v>1.3500000000000002E-2</v>
      </c>
      <c r="I376" s="178"/>
    </row>
    <row r="377" spans="1:9" hidden="1" outlineLevel="1" collapsed="1" x14ac:dyDescent="0.25">
      <c r="A377" s="175">
        <f t="shared" si="10"/>
        <v>1</v>
      </c>
      <c r="B377" s="175" t="s">
        <v>109</v>
      </c>
      <c r="C377" s="175" t="str">
        <f t="shared" si="11"/>
        <v xml:space="preserve">Armação aço CA-50 ø 20,0mm para infraestrutura (corte e dobra em obra) </v>
      </c>
      <c r="D377" s="175" t="s">
        <v>98</v>
      </c>
      <c r="E377" s="176" t="s">
        <v>428</v>
      </c>
      <c r="F377" s="175"/>
      <c r="G377" s="177" t="str">
        <f>IF(B377="insumo",_xlfn.XLOOKUP($D377,Insumos!$B$1:$B$764,Insumos!$D$1:$D$764),"")</f>
        <v/>
      </c>
      <c r="H377" s="177" cm="1">
        <f t="array" ref="H377">_xlfn.IFS(B377="Serviço",SUMIFS(H378:$H$3085,C378:$C$3085,$C377),B377="Insumo",F377*G377,B377="Etapa","")</f>
        <v>6.4431449999999995</v>
      </c>
      <c r="I377" s="178" t="s">
        <v>195</v>
      </c>
    </row>
    <row r="378" spans="1:9" hidden="1" outlineLevel="2" x14ac:dyDescent="0.25">
      <c r="A378" s="175">
        <f t="shared" si="10"/>
        <v>4</v>
      </c>
      <c r="B378" s="175" t="s">
        <v>327</v>
      </c>
      <c r="C378" s="175" t="str">
        <f t="shared" si="11"/>
        <v xml:space="preserve">Armação aço CA-50 ø 20,0mm para infraestrutura (corte e dobra em obra) </v>
      </c>
      <c r="D378" s="175" t="s">
        <v>437</v>
      </c>
      <c r="E378" s="176" t="str">
        <f>_xlfn.XLOOKUP(D378,Insumos!$B$1:$B$764,Insumos!$C$1:$C$764)</f>
        <v>KG</v>
      </c>
      <c r="F378" s="179">
        <v>1.1000000000000001</v>
      </c>
      <c r="G378" s="177">
        <f>IF(B378="insumo",_xlfn.XLOOKUP($D378,Insumos!$B$1:$B$764,Insumos!$D$1:$D$764),"")</f>
        <v>5.59</v>
      </c>
      <c r="H378" s="177" cm="1">
        <f t="array" ref="H378">_xlfn.IFS(B378="Serviço",SUMIFS(H379:$H$3085,C379:$C$3085,$C378),B378="Insumo",F378*G378,B378="Etapa","")</f>
        <v>6.149</v>
      </c>
      <c r="I378" s="178"/>
    </row>
    <row r="379" spans="1:9" hidden="1" outlineLevel="2" x14ac:dyDescent="0.25">
      <c r="A379" s="175">
        <f t="shared" si="10"/>
        <v>24</v>
      </c>
      <c r="B379" s="175" t="s">
        <v>327</v>
      </c>
      <c r="C379" s="175" t="str">
        <f t="shared" si="11"/>
        <v xml:space="preserve">Armação aço CA-50 ø 20,0mm para infraestrutura (corte e dobra em obra) </v>
      </c>
      <c r="D379" s="175" t="s">
        <v>430</v>
      </c>
      <c r="E379" s="176" t="str">
        <f>_xlfn.XLOOKUP(D379,Insumos!$B$1:$B$764,Insumos!$C$1:$C$764)</f>
        <v>KG</v>
      </c>
      <c r="F379" s="179">
        <v>2.0500000000000001E-2</v>
      </c>
      <c r="G379" s="177">
        <f>IF(B379="insumo",_xlfn.XLOOKUP($D379,Insumos!$B$1:$B$764,Insumos!$D$1:$D$764),"")</f>
        <v>13.69</v>
      </c>
      <c r="H379" s="177" cm="1">
        <f t="array" ref="H379">_xlfn.IFS(B379="Serviço",SUMIFS(H380:$H$3085,C380:$C$3085,$C379),B379="Insumo",F379*G379,B379="Etapa","")</f>
        <v>0.28064499999999998</v>
      </c>
      <c r="I379" s="178"/>
    </row>
    <row r="380" spans="1:9" hidden="1" outlineLevel="2" x14ac:dyDescent="0.25">
      <c r="A380" s="175">
        <f t="shared" si="10"/>
        <v>35</v>
      </c>
      <c r="B380" s="175" t="s">
        <v>327</v>
      </c>
      <c r="C380" s="175" t="str">
        <f t="shared" si="11"/>
        <v xml:space="preserve">Armação aço CA-50 ø 20,0mm para infraestrutura (corte e dobra em obra) </v>
      </c>
      <c r="D380" s="175" t="s">
        <v>431</v>
      </c>
      <c r="E380" s="176" t="str">
        <f>_xlfn.XLOOKUP(D380,Insumos!$B$1:$B$764,Insumos!$C$1:$C$764)</f>
        <v>UN</v>
      </c>
      <c r="F380" s="179">
        <v>0.05</v>
      </c>
      <c r="G380" s="177">
        <f>IF(B380="insumo",_xlfn.XLOOKUP($D380,Insumos!$B$1:$B$764,Insumos!$D$1:$D$764),"")</f>
        <v>0.27</v>
      </c>
      <c r="H380" s="177" cm="1">
        <f t="array" ref="H380">_xlfn.IFS(B380="Serviço",SUMIFS(H381:$H$3085,C381:$C$3085,$C380),B380="Insumo",F380*G380,B380="Etapa","")</f>
        <v>1.3500000000000002E-2</v>
      </c>
      <c r="I380" s="178"/>
    </row>
    <row r="381" spans="1:9" hidden="1" outlineLevel="1" collapsed="1" x14ac:dyDescent="0.25">
      <c r="A381" s="175">
        <f t="shared" si="10"/>
        <v>1</v>
      </c>
      <c r="B381" s="175" t="s">
        <v>109</v>
      </c>
      <c r="C381" s="175" t="str">
        <f t="shared" si="11"/>
        <v xml:space="preserve">Armação aço CA-50 ø 25,0mm para infraestrutura (corte e dobra em obra) </v>
      </c>
      <c r="D381" s="175" t="s">
        <v>202</v>
      </c>
      <c r="E381" s="176" t="s">
        <v>428</v>
      </c>
      <c r="F381" s="175"/>
      <c r="G381" s="177" t="str">
        <f>IF(B381="insumo",_xlfn.XLOOKUP($D381,Insumos!$B$1:$B$764,Insumos!$D$1:$D$764),"")</f>
        <v/>
      </c>
      <c r="H381" s="177" cm="1">
        <f t="array" ref="H381">_xlfn.IFS(B381="Serviço",SUMIFS(H382:$H$3085,C382:$C$3085,$C381),B381="Insumo",F381*G381,B381="Etapa","")</f>
        <v>6.7071449999999997</v>
      </c>
      <c r="I381" s="178" t="s">
        <v>195</v>
      </c>
    </row>
    <row r="382" spans="1:9" hidden="1" outlineLevel="2" x14ac:dyDescent="0.25">
      <c r="A382" s="175">
        <f t="shared" si="10"/>
        <v>3</v>
      </c>
      <c r="B382" s="175" t="s">
        <v>327</v>
      </c>
      <c r="C382" s="175" t="str">
        <f t="shared" si="11"/>
        <v xml:space="preserve">Armação aço CA-50 ø 25,0mm para infraestrutura (corte e dobra em obra) </v>
      </c>
      <c r="D382" s="175" t="s">
        <v>454</v>
      </c>
      <c r="E382" s="176" t="str">
        <f>_xlfn.XLOOKUP(D382,Insumos!$B$1:$B$764,Insumos!$C$1:$C$764)</f>
        <v>KG</v>
      </c>
      <c r="F382" s="179">
        <v>1.1000000000000001</v>
      </c>
      <c r="G382" s="177">
        <v>5.83</v>
      </c>
      <c r="H382" s="177" cm="1">
        <f t="array" ref="H382">_xlfn.IFS(B382="Serviço",SUMIFS(H383:$H$3085,C383:$C$3085,$C382),B382="Insumo",F382*G382,B382="Etapa","")</f>
        <v>6.4130000000000003</v>
      </c>
      <c r="I382" s="178"/>
    </row>
    <row r="383" spans="1:9" hidden="1" outlineLevel="2" x14ac:dyDescent="0.25">
      <c r="A383" s="175">
        <f t="shared" si="10"/>
        <v>24</v>
      </c>
      <c r="B383" s="175" t="s">
        <v>327</v>
      </c>
      <c r="C383" s="175" t="str">
        <f t="shared" si="11"/>
        <v xml:space="preserve">Armação aço CA-50 ø 25,0mm para infraestrutura (corte e dobra em obra) </v>
      </c>
      <c r="D383" s="175" t="s">
        <v>430</v>
      </c>
      <c r="E383" s="176" t="str">
        <f>_xlfn.XLOOKUP(D383,Insumos!$B$1:$B$764,Insumos!$C$1:$C$764)</f>
        <v>KG</v>
      </c>
      <c r="F383" s="179">
        <v>2.0500000000000001E-2</v>
      </c>
      <c r="G383" s="177">
        <v>13.69</v>
      </c>
      <c r="H383" s="177" cm="1">
        <f t="array" ref="H383">_xlfn.IFS(B383="Serviço",SUMIFS(H384:$H$3085,C384:$C$3085,$C383),B383="Insumo",F383*G383,B383="Etapa","")</f>
        <v>0.28064499999999998</v>
      </c>
      <c r="I383" s="178"/>
    </row>
    <row r="384" spans="1:9" hidden="1" outlineLevel="2" x14ac:dyDescent="0.25">
      <c r="A384" s="175">
        <f t="shared" si="10"/>
        <v>35</v>
      </c>
      <c r="B384" s="175" t="s">
        <v>327</v>
      </c>
      <c r="C384" s="175" t="str">
        <f t="shared" si="11"/>
        <v xml:space="preserve">Armação aço CA-50 ø 25,0mm para infraestrutura (corte e dobra em obra) </v>
      </c>
      <c r="D384" s="175" t="s">
        <v>431</v>
      </c>
      <c r="E384" s="176" t="str">
        <f>_xlfn.XLOOKUP(D384,Insumos!$B$1:$B$764,Insumos!$C$1:$C$764)</f>
        <v>UN</v>
      </c>
      <c r="F384" s="179">
        <v>0.05</v>
      </c>
      <c r="G384" s="177">
        <v>0.27</v>
      </c>
      <c r="H384" s="177" cm="1">
        <f t="array" ref="H384">_xlfn.IFS(B384="Serviço",SUMIFS(H385:$H$3085,C385:$C$3085,$C384),B384="Insumo",F384*G384,B384="Etapa","")</f>
        <v>1.3500000000000002E-2</v>
      </c>
      <c r="I384" s="178"/>
    </row>
    <row r="385" spans="1:10" hidden="1" outlineLevel="1" collapsed="1" x14ac:dyDescent="0.25">
      <c r="A385" s="175">
        <f t="shared" si="10"/>
        <v>1</v>
      </c>
      <c r="B385" s="175" t="s">
        <v>109</v>
      </c>
      <c r="C385" s="175" t="str">
        <f t="shared" si="11"/>
        <v xml:space="preserve">Armação aço CA-60 ø 5,00mm para infraestrutura (corte e dobra em obra) </v>
      </c>
      <c r="D385" s="175" t="s">
        <v>455</v>
      </c>
      <c r="E385" s="176" t="s">
        <v>428</v>
      </c>
      <c r="F385" s="175"/>
      <c r="G385" s="177" t="str">
        <f>IF(B385="insumo",_xlfn.XLOOKUP($D385,Insumos!$B$1:$B$764,Insumos!$D$1:$D$764),"")</f>
        <v/>
      </c>
      <c r="H385" s="177" cm="1">
        <f t="array" ref="H385">_xlfn.IFS(B385="Serviço",SUMIFS(H386:$H$3085,C386:$C$3085,$C385),B385="Insumo",F385*G385,B385="Etapa","")</f>
        <v>7.4881450000000003</v>
      </c>
      <c r="I385" s="178" t="s">
        <v>195</v>
      </c>
    </row>
    <row r="386" spans="1:10" hidden="1" outlineLevel="2" x14ac:dyDescent="0.25">
      <c r="A386" s="175">
        <f t="shared" ref="A386:A449" si="12">COUNTIFS($D$2:$D$3085,D386,$B$2:$B$3085,B386)</f>
        <v>4</v>
      </c>
      <c r="B386" s="175" t="s">
        <v>327</v>
      </c>
      <c r="C386" s="175" t="str">
        <f t="shared" si="11"/>
        <v xml:space="preserve">Armação aço CA-60 ø 5,00mm para infraestrutura (corte e dobra em obra) </v>
      </c>
      <c r="D386" s="175" t="s">
        <v>439</v>
      </c>
      <c r="E386" s="176" t="str">
        <f>_xlfn.XLOOKUP(D386,Insumos!$B$1:$B$764,Insumos!$C$1:$C$764)</f>
        <v>KG</v>
      </c>
      <c r="F386" s="179">
        <v>1.1000000000000001</v>
      </c>
      <c r="G386" s="177">
        <f>IF(B386="insumo",_xlfn.XLOOKUP($D386,Insumos!$B$1:$B$764,Insumos!$D$1:$D$764),"")</f>
        <v>6.54</v>
      </c>
      <c r="H386" s="177" cm="1">
        <f t="array" ref="H386">_xlfn.IFS(B386="Serviço",SUMIFS(H387:$H$3085,C387:$C$3085,$C386),B386="Insumo",F386*G386,B386="Etapa","")</f>
        <v>7.1940000000000008</v>
      </c>
      <c r="I386" s="178"/>
    </row>
    <row r="387" spans="1:10" hidden="1" outlineLevel="2" x14ac:dyDescent="0.25">
      <c r="A387" s="175">
        <f t="shared" si="12"/>
        <v>24</v>
      </c>
      <c r="B387" s="175" t="s">
        <v>327</v>
      </c>
      <c r="C387" s="175" t="str">
        <f t="shared" si="11"/>
        <v xml:space="preserve">Armação aço CA-60 ø 5,00mm para infraestrutura (corte e dobra em obra) </v>
      </c>
      <c r="D387" s="175" t="s">
        <v>430</v>
      </c>
      <c r="E387" s="176" t="str">
        <f>_xlfn.XLOOKUP(D387,Insumos!$B$1:$B$764,Insumos!$C$1:$C$764)</f>
        <v>KG</v>
      </c>
      <c r="F387" s="179">
        <v>2.0500000000000001E-2</v>
      </c>
      <c r="G387" s="177">
        <f>IF(B387="insumo",_xlfn.XLOOKUP($D387,Insumos!$B$1:$B$764,Insumos!$D$1:$D$764),"")</f>
        <v>13.69</v>
      </c>
      <c r="H387" s="177" cm="1">
        <f t="array" ref="H387">_xlfn.IFS(B387="Serviço",SUMIFS(H388:$H$3085,C388:$C$3085,$C387),B387="Insumo",F387*G387,B387="Etapa","")</f>
        <v>0.28064499999999998</v>
      </c>
      <c r="I387" s="178"/>
    </row>
    <row r="388" spans="1:10" hidden="1" outlineLevel="2" x14ac:dyDescent="0.25">
      <c r="A388" s="175">
        <f t="shared" si="12"/>
        <v>35</v>
      </c>
      <c r="B388" s="175" t="s">
        <v>327</v>
      </c>
      <c r="C388" s="175" t="str">
        <f t="shared" si="11"/>
        <v xml:space="preserve">Armação aço CA-60 ø 5,00mm para infraestrutura (corte e dobra em obra) </v>
      </c>
      <c r="D388" s="175" t="s">
        <v>431</v>
      </c>
      <c r="E388" s="176" t="str">
        <f>_xlfn.XLOOKUP(D388,Insumos!$B$1:$B$764,Insumos!$C$1:$C$764)</f>
        <v>UN</v>
      </c>
      <c r="F388" s="179">
        <v>0.05</v>
      </c>
      <c r="G388" s="177">
        <f>IF(B388="insumo",_xlfn.XLOOKUP($D388,Insumos!$B$1:$B$764,Insumos!$D$1:$D$764),"")</f>
        <v>0.27</v>
      </c>
      <c r="H388" s="177" cm="1">
        <f t="array" ref="H388">_xlfn.IFS(B388="Serviço",SUMIFS(H389:$H$3085,C389:$C$3085,$C388),B388="Insumo",F388*G388,B388="Etapa","")</f>
        <v>1.3500000000000002E-2</v>
      </c>
      <c r="I388" s="178"/>
    </row>
    <row r="389" spans="1:10" hidden="1" outlineLevel="1" collapsed="1" x14ac:dyDescent="0.25">
      <c r="A389" s="175">
        <f t="shared" si="12"/>
        <v>1</v>
      </c>
      <c r="B389" s="175" t="s">
        <v>109</v>
      </c>
      <c r="C389" s="175" t="str">
        <f t="shared" si="11"/>
        <v xml:space="preserve">Armação aço CA-50 ø 32,00mm para infraestrutura (corte e dobra em obra) </v>
      </c>
      <c r="D389" s="175" t="s">
        <v>318</v>
      </c>
      <c r="E389" s="176" t="s">
        <v>428</v>
      </c>
      <c r="F389" s="175"/>
      <c r="G389" s="177" t="str">
        <f>IF(B389="insumo",_xlfn.XLOOKUP($D389,Insumos!$B$1:$B$764,Insumos!$D$1:$D$764),"")</f>
        <v/>
      </c>
      <c r="H389" s="177" cm="1">
        <f t="array" ref="H389">_xlfn.IFS(B389="Serviço",SUMIFS(H390:$H$3085,C390:$C$3085,$C389),B389="Insumo",F389*G389,B389="Etapa","")</f>
        <v>8.5027850000000011</v>
      </c>
      <c r="I389" s="178" t="s">
        <v>195</v>
      </c>
    </row>
    <row r="390" spans="1:10" hidden="1" outlineLevel="2" x14ac:dyDescent="0.25">
      <c r="A390" s="175">
        <f t="shared" si="12"/>
        <v>1</v>
      </c>
      <c r="B390" s="175" t="s">
        <v>327</v>
      </c>
      <c r="C390" s="175" t="str">
        <f t="shared" ref="C390:C453" si="13">IF(B390="serviço",D390,C389)</f>
        <v xml:space="preserve">Armação aço CA-50 ø 32,00mm para infraestrutura (corte e dobra em obra) </v>
      </c>
      <c r="D390" s="175" t="s">
        <v>1164</v>
      </c>
      <c r="E390" s="176" t="str">
        <f>_xlfn.XLOOKUP(D390,Insumos!$B$1:$B$764,Insumos!$C$1:$C$764)</f>
        <v>KG</v>
      </c>
      <c r="F390" s="179">
        <v>1.1000000000000001</v>
      </c>
      <c r="G390" s="177">
        <f>IF(B390="insumo",_xlfn.XLOOKUP($D390,Insumos!$B$1:$B$764,Insumos!$D$1:$D$764),"")</f>
        <v>7.4623999999999997</v>
      </c>
      <c r="H390" s="177" cm="1">
        <f t="array" ref="H390">_xlfn.IFS(B390="Serviço",SUMIFS(H391:$H$3085,C391:$C$3085,$C390),B390="Insumo",F390*G390,B390="Etapa","")</f>
        <v>8.2086400000000008</v>
      </c>
      <c r="I390" s="178"/>
    </row>
    <row r="391" spans="1:10" hidden="1" outlineLevel="2" x14ac:dyDescent="0.25">
      <c r="A391" s="175">
        <f t="shared" si="12"/>
        <v>24</v>
      </c>
      <c r="B391" s="175" t="s">
        <v>327</v>
      </c>
      <c r="C391" s="175" t="str">
        <f t="shared" si="13"/>
        <v xml:space="preserve">Armação aço CA-50 ø 32,00mm para infraestrutura (corte e dobra em obra) </v>
      </c>
      <c r="D391" s="175" t="s">
        <v>430</v>
      </c>
      <c r="E391" s="176" t="str">
        <f>_xlfn.XLOOKUP(D391,Insumos!$B$1:$B$764,Insumos!$C$1:$C$764)</f>
        <v>KG</v>
      </c>
      <c r="F391" s="179">
        <v>2.0500000000000001E-2</v>
      </c>
      <c r="G391" s="177">
        <f>IF(B391="insumo",_xlfn.XLOOKUP($D391,Insumos!$B$1:$B$764,Insumos!$D$1:$D$764),"")</f>
        <v>13.69</v>
      </c>
      <c r="H391" s="177" cm="1">
        <f t="array" ref="H391">_xlfn.IFS(B391="Serviço",SUMIFS(H392:$H$3085,C392:$C$3085,$C391),B391="Insumo",F391*G391,B391="Etapa","")</f>
        <v>0.28064499999999998</v>
      </c>
      <c r="I391" s="178"/>
    </row>
    <row r="392" spans="1:10" hidden="1" outlineLevel="2" x14ac:dyDescent="0.25">
      <c r="A392" s="175">
        <f t="shared" si="12"/>
        <v>35</v>
      </c>
      <c r="B392" s="175" t="s">
        <v>327</v>
      </c>
      <c r="C392" s="175" t="str">
        <f t="shared" si="13"/>
        <v xml:space="preserve">Armação aço CA-50 ø 32,00mm para infraestrutura (corte e dobra em obra) </v>
      </c>
      <c r="D392" s="175" t="s">
        <v>431</v>
      </c>
      <c r="E392" s="176" t="str">
        <f>_xlfn.XLOOKUP(D392,Insumos!$B$1:$B$764,Insumos!$C$1:$C$764)</f>
        <v>UN</v>
      </c>
      <c r="F392" s="179">
        <v>0.05</v>
      </c>
      <c r="G392" s="177">
        <f>IF(B392="insumo",_xlfn.XLOOKUP($D392,Insumos!$B$1:$B$764,Insumos!$D$1:$D$764),"")</f>
        <v>0.27</v>
      </c>
      <c r="H392" s="177" cm="1">
        <f t="array" ref="H392">_xlfn.IFS(B392="Serviço",SUMIFS(H393:$H$3085,C393:$C$3085,$C392),B392="Insumo",F392*G392,B392="Etapa","")</f>
        <v>1.3500000000000002E-2</v>
      </c>
      <c r="I392" s="178"/>
    </row>
    <row r="393" spans="1:10" hidden="1" outlineLevel="1" collapsed="1" x14ac:dyDescent="0.25">
      <c r="A393" s="175">
        <f t="shared" si="12"/>
        <v>1</v>
      </c>
      <c r="B393" s="175" t="s">
        <v>109</v>
      </c>
      <c r="C393" s="175" t="str">
        <f t="shared" si="13"/>
        <v>Junta serrada de 4 mm e 10 cm de altura, com tarucel</v>
      </c>
      <c r="D393" s="175" t="s">
        <v>2446</v>
      </c>
      <c r="E393" s="176" t="s">
        <v>25</v>
      </c>
      <c r="F393" s="175"/>
      <c r="G393" s="177" t="str">
        <f>IF(B393="insumo",_xlfn.XLOOKUP($D393,Insumos!$B$1:$B$764,Insumos!$D$1:$D$764),"")</f>
        <v/>
      </c>
      <c r="H393" s="177" cm="1">
        <f t="array" ref="H393">_xlfn.IFS(B393="Serviço",SUMIFS(H394:$H$3085,C394:$C$3085,$C393),B393="Insumo",F393*G393,B393="Etapa","")</f>
        <v>5.1066666666666665</v>
      </c>
      <c r="I393" s="178" t="s">
        <v>195</v>
      </c>
    </row>
    <row r="394" spans="1:10" hidden="1" outlineLevel="2" x14ac:dyDescent="0.25">
      <c r="A394" s="175">
        <f t="shared" si="12"/>
        <v>1</v>
      </c>
      <c r="B394" s="175" t="s">
        <v>327</v>
      </c>
      <c r="C394" s="175" t="str">
        <f t="shared" si="13"/>
        <v>Junta serrada de 4 mm e 10 cm de altura, com tarucel</v>
      </c>
      <c r="D394" s="175" t="s">
        <v>2447</v>
      </c>
      <c r="E394" s="176" t="str">
        <f>_xlfn.XLOOKUP(D394,Insumos!$B$1:$B$764,Insumos!$C$1:$C$764)</f>
        <v>M</v>
      </c>
      <c r="F394" s="179">
        <v>1.1000000000000001</v>
      </c>
      <c r="G394" s="177">
        <f>IF(B394="insumo",_xlfn.XLOOKUP($D394,Insumos!$B$1:$B$764,Insumos!$D$1:$D$764),"")</f>
        <v>0.8</v>
      </c>
      <c r="H394" s="177" cm="1">
        <f t="array" ref="H394">_xlfn.IFS(B394="Serviço",SUMIFS(H395:$H$3085,C395:$C$3085,$C394),B394="Insumo",F394*G394,B394="Etapa","")</f>
        <v>0.88000000000000012</v>
      </c>
      <c r="I394" s="178"/>
    </row>
    <row r="395" spans="1:10" hidden="1" outlineLevel="2" x14ac:dyDescent="0.25">
      <c r="A395" s="175">
        <f t="shared" si="12"/>
        <v>10</v>
      </c>
      <c r="B395" s="175" t="s">
        <v>327</v>
      </c>
      <c r="C395" s="175" t="str">
        <f t="shared" si="13"/>
        <v>Junta serrada de 4 mm e 10 cm de altura, com tarucel</v>
      </c>
      <c r="D395" s="175" t="s">
        <v>1012</v>
      </c>
      <c r="E395" s="176" t="str">
        <f>_xlfn.XLOOKUP(D395,Insumos!$B$1:$B$764,Insumos!$C$1:$C$764)</f>
        <v>UN</v>
      </c>
      <c r="F395" s="179">
        <f>(1*0.004*0.01)/I395</f>
        <v>0.13333333333333333</v>
      </c>
      <c r="G395" s="177">
        <f>IF(B395="insumo",_xlfn.XLOOKUP($D395,Insumos!$B$1:$B$764,Insumos!$D$1:$D$764),"")</f>
        <v>31.7</v>
      </c>
      <c r="H395" s="177" cm="1">
        <f t="array" ref="H395">_xlfn.IFS(B395="Serviço",SUMIFS(H396:$H$3085,C396:$C$3085,$C395),B395="Insumo",F395*G395,B395="Etapa","")</f>
        <v>4.2266666666666666</v>
      </c>
      <c r="I395" s="179">
        <f>0.01*0.01*3</f>
        <v>3.0000000000000003E-4</v>
      </c>
      <c r="J395" s="441" t="s">
        <v>2448</v>
      </c>
    </row>
    <row r="396" spans="1:10" hidden="1" outlineLevel="1" collapsed="1" x14ac:dyDescent="0.25">
      <c r="A396" s="175">
        <f t="shared" si="12"/>
        <v>1</v>
      </c>
      <c r="B396" s="175" t="s">
        <v>109</v>
      </c>
      <c r="C396" s="175" t="str">
        <f t="shared" si="13"/>
        <v>Concreto Usinado bombeável 30MPa para infraestrutura - incluindo serviço de bombeamento</v>
      </c>
      <c r="D396" s="175" t="s">
        <v>456</v>
      </c>
      <c r="E396" s="176" t="s">
        <v>390</v>
      </c>
      <c r="F396" s="175"/>
      <c r="G396" s="177" t="str">
        <f>IF(B396="insumo",_xlfn.XLOOKUP($D396,Insumos!$B$1:$B$764,Insumos!$D$1:$D$764),"")</f>
        <v/>
      </c>
      <c r="H396" s="177" cm="1">
        <f t="array" ref="H396">_xlfn.IFS(B396="Serviço",SUMIFS(H397:$H$3085,C397:$C$3085,$C396),B396="Insumo",F396*G396,B396="Etapa","")</f>
        <v>578.26</v>
      </c>
      <c r="I396" s="178" t="s">
        <v>195</v>
      </c>
    </row>
    <row r="397" spans="1:10" hidden="1" outlineLevel="2" x14ac:dyDescent="0.25">
      <c r="A397" s="175">
        <f t="shared" si="12"/>
        <v>4</v>
      </c>
      <c r="B397" s="175" t="s">
        <v>327</v>
      </c>
      <c r="C397" s="175" t="str">
        <f t="shared" si="13"/>
        <v>Concreto Usinado bombeável 30MPa para infraestrutura - incluindo serviço de bombeamento</v>
      </c>
      <c r="D397" s="175" t="s">
        <v>457</v>
      </c>
      <c r="E397" s="176" t="str">
        <f>_xlfn.XLOOKUP(D397,Insumos!$B$1:$B$764,Insumos!$C$1:$C$764)</f>
        <v>M3</v>
      </c>
      <c r="F397" s="179">
        <v>1.05</v>
      </c>
      <c r="G397" s="177">
        <f>IF(B397="insumo",_xlfn.XLOOKUP($D397,Insumos!$B$1:$B$764,Insumos!$D$1:$D$764),"")</f>
        <v>510</v>
      </c>
      <c r="H397" s="177" cm="1">
        <f t="array" ref="H397">_xlfn.IFS(B397="Serviço",SUMIFS(H398:$H$3085,C398:$C$3085,$C397),B397="Insumo",F397*G397,B397="Etapa","")</f>
        <v>535.5</v>
      </c>
      <c r="I397" s="178"/>
    </row>
    <row r="398" spans="1:10" hidden="1" outlineLevel="2" x14ac:dyDescent="0.25">
      <c r="A398" s="175">
        <f t="shared" si="12"/>
        <v>22</v>
      </c>
      <c r="B398" s="175" t="s">
        <v>327</v>
      </c>
      <c r="C398" s="175" t="str">
        <f t="shared" si="13"/>
        <v>Concreto Usinado bombeável 30MPa para infraestrutura - incluindo serviço de bombeamento</v>
      </c>
      <c r="D398" s="175" t="s">
        <v>395</v>
      </c>
      <c r="E398" s="176" t="str">
        <f>_xlfn.XLOOKUP(D398,Insumos!$B$1:$B$764,Insumos!$C$1:$C$764)</f>
        <v>M3</v>
      </c>
      <c r="F398" s="179">
        <v>1.05</v>
      </c>
      <c r="G398" s="177">
        <f>IF(B398="insumo",_xlfn.XLOOKUP($D398,Insumos!$B$1:$B$764,Insumos!$D$1:$D$764),"")</f>
        <v>40</v>
      </c>
      <c r="H398" s="177" cm="1">
        <f t="array" ref="H398">_xlfn.IFS(B398="Serviço",SUMIFS(H399:$H$3085,C399:$C$3085,$C398),B398="Insumo",F398*G398,B398="Etapa","")</f>
        <v>42</v>
      </c>
      <c r="I398" s="178"/>
    </row>
    <row r="399" spans="1:10" hidden="1" outlineLevel="2" x14ac:dyDescent="0.25">
      <c r="A399" s="175">
        <f t="shared" si="12"/>
        <v>39</v>
      </c>
      <c r="B399" s="175" t="s">
        <v>327</v>
      </c>
      <c r="C399" s="175" t="str">
        <f t="shared" si="13"/>
        <v>Concreto Usinado bombeável 30MPa para infraestrutura - incluindo serviço de bombeamento</v>
      </c>
      <c r="D399" s="175" t="s">
        <v>396</v>
      </c>
      <c r="E399" s="176" t="str">
        <f>_xlfn.XLOOKUP(D399,Insumos!$B$1:$B$764,Insumos!$C$1:$C$764)</f>
        <v>KG</v>
      </c>
      <c r="F399" s="179">
        <v>1</v>
      </c>
      <c r="G399" s="177">
        <f>IF(B399="insumo",_xlfn.XLOOKUP($D399,Insumos!$B$1:$B$764,Insumos!$D$1:$D$764),"")</f>
        <v>0.76</v>
      </c>
      <c r="H399" s="177" cm="1">
        <f t="array" ref="H399">_xlfn.IFS(B399="Serviço",SUMIFS(H400:$H$3085,C400:$C$3085,$C399),B399="Insumo",F399*G399,B399="Etapa","")</f>
        <v>0.76</v>
      </c>
      <c r="I399" s="178"/>
    </row>
    <row r="400" spans="1:10" hidden="1" outlineLevel="1" collapsed="1" x14ac:dyDescent="0.25">
      <c r="A400" s="175">
        <f t="shared" si="12"/>
        <v>1</v>
      </c>
      <c r="B400" s="175" t="s">
        <v>109</v>
      </c>
      <c r="C400" s="175" t="str">
        <f t="shared" si="13"/>
        <v>Concreto Usinado bombeável 35MPa para infraestrutura - incluindo serviço de bombeamento</v>
      </c>
      <c r="D400" s="175" t="s">
        <v>458</v>
      </c>
      <c r="E400" s="176" t="s">
        <v>390</v>
      </c>
      <c r="F400" s="175"/>
      <c r="G400" s="177" t="str">
        <f>IF(B400="insumo",_xlfn.XLOOKUP($D400,Insumos!$B$1:$B$764,Insumos!$D$1:$D$764),"")</f>
        <v/>
      </c>
      <c r="H400" s="177" cm="1">
        <f t="array" ref="H400">_xlfn.IFS(B400="Serviço",SUMIFS(H401:$H$3085,C401:$C$3085,$C400),B400="Insumo",F400*G400,B400="Etapa","")</f>
        <v>578.26</v>
      </c>
      <c r="I400" s="178" t="s">
        <v>195</v>
      </c>
    </row>
    <row r="401" spans="1:9" hidden="1" outlineLevel="2" x14ac:dyDescent="0.25">
      <c r="A401" s="175">
        <f t="shared" si="12"/>
        <v>6</v>
      </c>
      <c r="B401" s="175" t="s">
        <v>327</v>
      </c>
      <c r="C401" s="175" t="str">
        <f t="shared" si="13"/>
        <v>Concreto Usinado bombeável 35MPa para infraestrutura - incluindo serviço de bombeamento</v>
      </c>
      <c r="D401" s="175" t="s">
        <v>459</v>
      </c>
      <c r="E401" s="176" t="str">
        <f>_xlfn.XLOOKUP(D401,Insumos!$B$1:$B$764,Insumos!$C$1:$C$764)</f>
        <v>M3</v>
      </c>
      <c r="F401" s="179">
        <v>1.05</v>
      </c>
      <c r="G401" s="177">
        <f>IF(B401="insumo",_xlfn.XLOOKUP($D401,Insumos!$B$1:$B$764,Insumos!$D$1:$D$764),"")</f>
        <v>510</v>
      </c>
      <c r="H401" s="177" cm="1">
        <f t="array" ref="H401">_xlfn.IFS(B401="Serviço",SUMIFS(H402:$H$3085,C402:$C$3085,$C401),B401="Insumo",F401*G401,B401="Etapa","")</f>
        <v>535.5</v>
      </c>
      <c r="I401" s="178"/>
    </row>
    <row r="402" spans="1:9" hidden="1" outlineLevel="2" x14ac:dyDescent="0.25">
      <c r="A402" s="175">
        <f t="shared" si="12"/>
        <v>22</v>
      </c>
      <c r="B402" s="175" t="s">
        <v>327</v>
      </c>
      <c r="C402" s="175" t="str">
        <f t="shared" si="13"/>
        <v>Concreto Usinado bombeável 35MPa para infraestrutura - incluindo serviço de bombeamento</v>
      </c>
      <c r="D402" s="175" t="s">
        <v>395</v>
      </c>
      <c r="E402" s="176" t="str">
        <f>_xlfn.XLOOKUP(D402,Insumos!$B$1:$B$764,Insumos!$C$1:$C$764)</f>
        <v>M3</v>
      </c>
      <c r="F402" s="179">
        <v>1.05</v>
      </c>
      <c r="G402" s="177">
        <f>IF(B402="insumo",_xlfn.XLOOKUP($D402,Insumos!$B$1:$B$764,Insumos!$D$1:$D$764),"")</f>
        <v>40</v>
      </c>
      <c r="H402" s="177" cm="1">
        <f t="array" ref="H402">_xlfn.IFS(B402="Serviço",SUMIFS(H403:$H$3085,C403:$C$3085,$C402),B402="Insumo",F402*G402,B402="Etapa","")</f>
        <v>42</v>
      </c>
      <c r="I402" s="178"/>
    </row>
    <row r="403" spans="1:9" hidden="1" outlineLevel="2" x14ac:dyDescent="0.25">
      <c r="A403" s="175">
        <f t="shared" si="12"/>
        <v>39</v>
      </c>
      <c r="B403" s="175" t="s">
        <v>327</v>
      </c>
      <c r="C403" s="175" t="str">
        <f t="shared" si="13"/>
        <v>Concreto Usinado bombeável 35MPa para infraestrutura - incluindo serviço de bombeamento</v>
      </c>
      <c r="D403" s="175" t="s">
        <v>396</v>
      </c>
      <c r="E403" s="176" t="str">
        <f>_xlfn.XLOOKUP(D403,Insumos!$B$1:$B$764,Insumos!$C$1:$C$764)</f>
        <v>KG</v>
      </c>
      <c r="F403" s="179">
        <v>1</v>
      </c>
      <c r="G403" s="177">
        <f>IF(B403="insumo",_xlfn.XLOOKUP($D403,Insumos!$B$1:$B$764,Insumos!$D$1:$D$764),"")</f>
        <v>0.76</v>
      </c>
      <c r="H403" s="177" cm="1">
        <f t="array" ref="H403">_xlfn.IFS(B403="Serviço",SUMIFS(H404:$H$3085,C404:$C$3085,$C403),B403="Insumo",F403*G403,B403="Etapa","")</f>
        <v>0.76</v>
      </c>
      <c r="I403" s="178"/>
    </row>
    <row r="404" spans="1:9" hidden="1" outlineLevel="1" collapsed="1" x14ac:dyDescent="0.25">
      <c r="A404" s="175">
        <f t="shared" si="12"/>
        <v>1</v>
      </c>
      <c r="B404" s="175" t="s">
        <v>109</v>
      </c>
      <c r="C404" s="175" t="str">
        <f t="shared" si="13"/>
        <v>Concreto Usinado bombeável 40MPa para infraestrutura- incluindo serviço de bombeamento</v>
      </c>
      <c r="D404" s="175" t="s">
        <v>2341</v>
      </c>
      <c r="E404" s="176" t="s">
        <v>390</v>
      </c>
      <c r="F404" s="175"/>
      <c r="G404" s="177" t="str">
        <f>IF(B404="insumo",_xlfn.XLOOKUP($D404,Insumos!$B$1:$B$764,Insumos!$D$1:$D$764),"")</f>
        <v/>
      </c>
      <c r="H404" s="177" cm="1">
        <f t="array" ref="H404">_xlfn.IFS(B404="Serviço",SUMIFS(H405:$H$3085,C405:$C$3085,$C404),B404="Insumo",F404*G404,B404="Etapa","")</f>
        <v>651.76</v>
      </c>
      <c r="I404" s="178" t="s">
        <v>195</v>
      </c>
    </row>
    <row r="405" spans="1:9" hidden="1" outlineLevel="2" x14ac:dyDescent="0.25">
      <c r="A405" s="175">
        <f t="shared" si="12"/>
        <v>2</v>
      </c>
      <c r="B405" s="175" t="s">
        <v>327</v>
      </c>
      <c r="C405" s="175" t="str">
        <f t="shared" si="13"/>
        <v>Concreto Usinado bombeável 40MPa para infraestrutura- incluindo serviço de bombeamento</v>
      </c>
      <c r="D405" s="175" t="s">
        <v>502</v>
      </c>
      <c r="E405" s="176" t="str">
        <f>_xlfn.XLOOKUP(D405,Insumos!$B$1:$B$764,Insumos!$C$1:$C$764)</f>
        <v>M3</v>
      </c>
      <c r="F405" s="179">
        <v>1.05</v>
      </c>
      <c r="G405" s="177">
        <f>IF(B405="insumo",_xlfn.XLOOKUP($D405,Insumos!$B$1:$B$764,Insumos!$D$1:$D$764),"")</f>
        <v>580</v>
      </c>
      <c r="H405" s="177" cm="1">
        <f t="array" ref="H405">_xlfn.IFS(B405="Serviço",SUMIFS(H406:$H$3085,C406:$C$3085,$C405),B405="Insumo",F405*G405,B405="Etapa","")</f>
        <v>609</v>
      </c>
      <c r="I405" s="178"/>
    </row>
    <row r="406" spans="1:9" hidden="1" outlineLevel="2" x14ac:dyDescent="0.25">
      <c r="A406" s="175">
        <f t="shared" si="12"/>
        <v>22</v>
      </c>
      <c r="B406" s="175" t="s">
        <v>327</v>
      </c>
      <c r="C406" s="175" t="str">
        <f t="shared" si="13"/>
        <v>Concreto Usinado bombeável 40MPa para infraestrutura- incluindo serviço de bombeamento</v>
      </c>
      <c r="D406" s="175" t="s">
        <v>395</v>
      </c>
      <c r="E406" s="176" t="str">
        <f>_xlfn.XLOOKUP(D406,Insumos!$B$1:$B$764,Insumos!$C$1:$C$764)</f>
        <v>M3</v>
      </c>
      <c r="F406" s="179">
        <v>1.05</v>
      </c>
      <c r="G406" s="177">
        <f>IF(B406="insumo",_xlfn.XLOOKUP($D406,Insumos!$B$1:$B$764,Insumos!$D$1:$D$764),"")</f>
        <v>40</v>
      </c>
      <c r="H406" s="177" cm="1">
        <f t="array" ref="H406">_xlfn.IFS(B406="Serviço",SUMIFS(H407:$H$3085,C407:$C$3085,$C406),B406="Insumo",F406*G406,B406="Etapa","")</f>
        <v>42</v>
      </c>
      <c r="I406" s="178"/>
    </row>
    <row r="407" spans="1:9" hidden="1" outlineLevel="2" x14ac:dyDescent="0.25">
      <c r="A407" s="175">
        <f t="shared" si="12"/>
        <v>39</v>
      </c>
      <c r="B407" s="175" t="s">
        <v>327</v>
      </c>
      <c r="C407" s="175" t="str">
        <f t="shared" si="13"/>
        <v>Concreto Usinado bombeável 40MPa para infraestrutura- incluindo serviço de bombeamento</v>
      </c>
      <c r="D407" s="175" t="s">
        <v>396</v>
      </c>
      <c r="E407" s="176" t="str">
        <f>_xlfn.XLOOKUP(D407,Insumos!$B$1:$B$764,Insumos!$C$1:$C$764)</f>
        <v>KG</v>
      </c>
      <c r="F407" s="179">
        <v>1</v>
      </c>
      <c r="G407" s="177">
        <f>IF(B407="insumo",_xlfn.XLOOKUP($D407,Insumos!$B$1:$B$764,Insumos!$D$1:$D$764),"")</f>
        <v>0.76</v>
      </c>
      <c r="H407" s="177" cm="1">
        <f t="array" ref="H407">_xlfn.IFS(B407="Serviço",SUMIFS(H408:$H$3085,C408:$C$3085,$C407),B407="Insumo",F407*G407,B407="Etapa","")</f>
        <v>0.76</v>
      </c>
      <c r="I407" s="178"/>
    </row>
    <row r="408" spans="1:9" hidden="1" outlineLevel="1" collapsed="1" x14ac:dyDescent="0.25">
      <c r="A408" s="175">
        <f t="shared" si="12"/>
        <v>1</v>
      </c>
      <c r="B408" s="175" t="s">
        <v>109</v>
      </c>
      <c r="C408" s="175" t="str">
        <f t="shared" si="13"/>
        <v>Concreto Usinado bombeável 45MPa para infraestrutura- incluindo serviço de bombeamento</v>
      </c>
      <c r="D408" s="175" t="s">
        <v>460</v>
      </c>
      <c r="E408" s="176" t="s">
        <v>390</v>
      </c>
      <c r="F408" s="175"/>
      <c r="G408" s="177" t="str">
        <f>IF(B408="insumo",_xlfn.XLOOKUP($D408,Insumos!$B$1:$B$764,Insumos!$D$1:$D$764),"")</f>
        <v/>
      </c>
      <c r="H408" s="177" cm="1">
        <f t="array" ref="H408">_xlfn.IFS(B408="Serviço",SUMIFS(H409:$H$3085,C409:$C$3085,$C408),B408="Insumo",F408*G408,B408="Etapa","")</f>
        <v>662.03425000000016</v>
      </c>
      <c r="I408" s="178" t="s">
        <v>195</v>
      </c>
    </row>
    <row r="409" spans="1:9" hidden="1" outlineLevel="2" x14ac:dyDescent="0.25">
      <c r="A409" s="175">
        <f t="shared" si="12"/>
        <v>1</v>
      </c>
      <c r="B409" s="175" t="s">
        <v>327</v>
      </c>
      <c r="C409" s="175" t="str">
        <f t="shared" si="13"/>
        <v>Concreto Usinado bombeável 45MPa para infraestrutura- incluindo serviço de bombeamento</v>
      </c>
      <c r="D409" s="175" t="s">
        <v>461</v>
      </c>
      <c r="E409" s="176" t="str">
        <f>_xlfn.XLOOKUP(D409,Insumos!$B$1:$B$764,Insumos!$C$1:$C$764)</f>
        <v>M3</v>
      </c>
      <c r="F409" s="179">
        <v>1.05</v>
      </c>
      <c r="G409" s="177">
        <f>IF(B409="insumo",_xlfn.XLOOKUP($D409,Insumos!$B$1:$B$764,Insumos!$D$1:$D$764),"")</f>
        <v>589.78500000000008</v>
      </c>
      <c r="H409" s="177" cm="1">
        <f t="array" ref="H409">_xlfn.IFS(B409="Serviço",SUMIFS(H410:$H$3085,C410:$C$3085,$C409),B409="Insumo",F409*G409,B409="Etapa","")</f>
        <v>619.27425000000017</v>
      </c>
      <c r="I409" s="178"/>
    </row>
    <row r="410" spans="1:9" hidden="1" outlineLevel="2" x14ac:dyDescent="0.25">
      <c r="A410" s="175">
        <f t="shared" si="12"/>
        <v>22</v>
      </c>
      <c r="B410" s="175" t="s">
        <v>327</v>
      </c>
      <c r="C410" s="175" t="str">
        <f t="shared" si="13"/>
        <v>Concreto Usinado bombeável 45MPa para infraestrutura- incluindo serviço de bombeamento</v>
      </c>
      <c r="D410" s="175" t="s">
        <v>395</v>
      </c>
      <c r="E410" s="176" t="str">
        <f>_xlfn.XLOOKUP(D410,Insumos!$B$1:$B$764,Insumos!$C$1:$C$764)</f>
        <v>M3</v>
      </c>
      <c r="F410" s="179">
        <v>1.05</v>
      </c>
      <c r="G410" s="177">
        <f>IF(B410="insumo",_xlfn.XLOOKUP($D410,Insumos!$B$1:$B$764,Insumos!$D$1:$D$764),"")</f>
        <v>40</v>
      </c>
      <c r="H410" s="177" cm="1">
        <f t="array" ref="H410">_xlfn.IFS(B410="Serviço",SUMIFS(H411:$H$3085,C411:$C$3085,$C410),B410="Insumo",F410*G410,B410="Etapa","")</f>
        <v>42</v>
      </c>
      <c r="I410" s="178"/>
    </row>
    <row r="411" spans="1:9" hidden="1" outlineLevel="2" x14ac:dyDescent="0.25">
      <c r="A411" s="175">
        <f t="shared" si="12"/>
        <v>39</v>
      </c>
      <c r="B411" s="175" t="s">
        <v>327</v>
      </c>
      <c r="C411" s="175" t="str">
        <f t="shared" si="13"/>
        <v>Concreto Usinado bombeável 45MPa para infraestrutura- incluindo serviço de bombeamento</v>
      </c>
      <c r="D411" s="175" t="s">
        <v>396</v>
      </c>
      <c r="E411" s="176" t="str">
        <f>_xlfn.XLOOKUP(D411,Insumos!$B$1:$B$764,Insumos!$C$1:$C$764)</f>
        <v>KG</v>
      </c>
      <c r="F411" s="179">
        <v>1</v>
      </c>
      <c r="G411" s="177">
        <f>IF(B411="insumo",_xlfn.XLOOKUP($D411,Insumos!$B$1:$B$764,Insumos!$D$1:$D$764),"")</f>
        <v>0.76</v>
      </c>
      <c r="H411" s="177" cm="1">
        <f t="array" ref="H411">_xlfn.IFS(B411="Serviço",SUMIFS(H412:$H$3085,C412:$C$3085,$C411),B411="Insumo",F411*G411,B411="Etapa","")</f>
        <v>0.76</v>
      </c>
      <c r="I411" s="178"/>
    </row>
    <row r="412" spans="1:9" hidden="1" outlineLevel="1" collapsed="1" x14ac:dyDescent="0.25">
      <c r="A412" s="175">
        <f t="shared" si="12"/>
        <v>1</v>
      </c>
      <c r="B412" s="175" t="s">
        <v>109</v>
      </c>
      <c r="C412" s="175" t="str">
        <f t="shared" si="13"/>
        <v>Concreto Usinado bombeável 50MPa para infraestrutura- incluindo serviço de bombeamento</v>
      </c>
      <c r="D412" s="175" t="s">
        <v>319</v>
      </c>
      <c r="E412" s="176" t="s">
        <v>390</v>
      </c>
      <c r="F412" s="175"/>
      <c r="G412" s="177" t="str">
        <f>IF(B412="insumo",_xlfn.XLOOKUP($D412,Insumos!$B$1:$B$764,Insumos!$D$1:$D$764),"")</f>
        <v/>
      </c>
      <c r="H412" s="177" cm="1">
        <f t="array" ref="H412">_xlfn.IFS(B412="Serviço",SUMIFS(H413:$H$3085,C413:$C$3085,$C412),B412="Insumo",F412*G412,B412="Etapa","")</f>
        <v>682.5</v>
      </c>
      <c r="I412" s="178" t="s">
        <v>195</v>
      </c>
    </row>
    <row r="413" spans="1:9" hidden="1" outlineLevel="2" x14ac:dyDescent="0.25">
      <c r="A413" s="175">
        <f t="shared" si="12"/>
        <v>3</v>
      </c>
      <c r="B413" s="175" t="s">
        <v>327</v>
      </c>
      <c r="C413" s="175" t="str">
        <f t="shared" si="13"/>
        <v>Concreto Usinado bombeável 50MPa para infraestrutura- incluindo serviço de bombeamento</v>
      </c>
      <c r="D413" s="175" t="s">
        <v>462</v>
      </c>
      <c r="E413" s="176" t="str">
        <f>_xlfn.XLOOKUP(D413,Insumos!$B$1:$B$764,Insumos!$C$1:$C$764)</f>
        <v>M3</v>
      </c>
      <c r="F413" s="179">
        <v>1.05</v>
      </c>
      <c r="G413" s="177">
        <f>IF(B413="insumo",_xlfn.XLOOKUP($D413,Insumos!$B$1:$B$764,Insumos!$D$1:$D$764),"")</f>
        <v>610</v>
      </c>
      <c r="H413" s="177" cm="1">
        <f t="array" ref="H413">_xlfn.IFS(B413="Serviço",SUMIFS(H414:$H$3085,C414:$C$3085,$C413),B413="Insumo",F413*G413,B413="Etapa","")</f>
        <v>640.5</v>
      </c>
      <c r="I413" s="178"/>
    </row>
    <row r="414" spans="1:9" hidden="1" outlineLevel="2" x14ac:dyDescent="0.25">
      <c r="A414" s="175">
        <f t="shared" si="12"/>
        <v>22</v>
      </c>
      <c r="B414" s="175" t="s">
        <v>327</v>
      </c>
      <c r="C414" s="175" t="str">
        <f t="shared" si="13"/>
        <v>Concreto Usinado bombeável 50MPa para infraestrutura- incluindo serviço de bombeamento</v>
      </c>
      <c r="D414" s="175" t="s">
        <v>395</v>
      </c>
      <c r="E414" s="176" t="str">
        <f>_xlfn.XLOOKUP(D414,Insumos!$B$1:$B$764,Insumos!$C$1:$C$764)</f>
        <v>M3</v>
      </c>
      <c r="F414" s="179">
        <v>1.05</v>
      </c>
      <c r="G414" s="177">
        <f>IF(B414="insumo",_xlfn.XLOOKUP($D414,Insumos!$B$1:$B$764,Insumos!$D$1:$D$764),"")</f>
        <v>40</v>
      </c>
      <c r="H414" s="177" cm="1">
        <f t="array" ref="H414">_xlfn.IFS(B414="Serviço",SUMIFS(H415:$H$3085,C415:$C$3085,$C414),B414="Insumo",F414*G414,B414="Etapa","")</f>
        <v>42</v>
      </c>
      <c r="I414" s="178"/>
    </row>
    <row r="415" spans="1:9" hidden="1" outlineLevel="2" x14ac:dyDescent="0.25">
      <c r="A415" s="175">
        <f t="shared" si="12"/>
        <v>39</v>
      </c>
      <c r="B415" s="175" t="s">
        <v>327</v>
      </c>
      <c r="C415" s="175" t="str">
        <f t="shared" si="13"/>
        <v>Concreto Usinado bombeável 50MPa para infraestrutura- incluindo serviço de bombeamento</v>
      </c>
      <c r="D415" s="175" t="s">
        <v>396</v>
      </c>
      <c r="E415" s="176" t="str">
        <f>_xlfn.XLOOKUP(D415,Insumos!$B$1:$B$764,Insumos!$C$1:$C$764)</f>
        <v>KG</v>
      </c>
      <c r="F415" s="179">
        <v>0</v>
      </c>
      <c r="G415" s="177">
        <f>IF(B415="insumo",_xlfn.XLOOKUP($D415,Insumos!$B$1:$B$764,Insumos!$D$1:$D$764),"")</f>
        <v>0.76</v>
      </c>
      <c r="H415" s="177" cm="1">
        <f t="array" ref="H415">_xlfn.IFS(B415="Serviço",SUMIFS(H416:$H$3085,C416:$C$3085,$C415),B415="Insumo",F415*G415,B415="Etapa","")</f>
        <v>0</v>
      </c>
      <c r="I415" s="178"/>
    </row>
    <row r="416" spans="1:9" hidden="1" outlineLevel="1" collapsed="1" x14ac:dyDescent="0.25">
      <c r="A416" s="175">
        <f t="shared" si="12"/>
        <v>1</v>
      </c>
      <c r="B416" s="175" t="s">
        <v>109</v>
      </c>
      <c r="C416" s="175" t="str">
        <f t="shared" si="13"/>
        <v>Concreto Usinado bombeável 60MPa para infraestrutura- incluindo serviço de bombeamento</v>
      </c>
      <c r="D416" s="175" t="s">
        <v>320</v>
      </c>
      <c r="E416" s="176" t="s">
        <v>390</v>
      </c>
      <c r="F416" s="175"/>
      <c r="G416" s="177" t="str">
        <f>IF(B416="insumo",_xlfn.XLOOKUP($D416,Insumos!$B$1:$B$764,Insumos!$D$1:$D$764),"")</f>
        <v/>
      </c>
      <c r="H416" s="177" cm="1">
        <f t="array" ref="H416">_xlfn.IFS(B416="Serviço",SUMIFS(H417:$H$3085,C417:$C$3085,$C416),B416="Insumo",F416*G416,B416="Etapa","")</f>
        <v>42</v>
      </c>
      <c r="I416" s="178" t="s">
        <v>195</v>
      </c>
    </row>
    <row r="417" spans="1:9" hidden="1" outlineLevel="2" x14ac:dyDescent="0.25">
      <c r="A417" s="175">
        <f t="shared" si="12"/>
        <v>1</v>
      </c>
      <c r="B417" s="175" t="s">
        <v>327</v>
      </c>
      <c r="C417" s="175" t="str">
        <f t="shared" si="13"/>
        <v>Concreto Usinado bombeável 60MPa para infraestrutura- incluindo serviço de bombeamento</v>
      </c>
      <c r="D417" s="175" t="s">
        <v>1165</v>
      </c>
      <c r="E417" s="176" t="str">
        <f>_xlfn.XLOOKUP(D417,Insumos!$B$1:$B$764,Insumos!$C$1:$C$764)</f>
        <v>M3</v>
      </c>
      <c r="F417" s="179">
        <v>1.05</v>
      </c>
      <c r="G417" s="177">
        <f>IF(B417="insumo",_xlfn.XLOOKUP($D417,Insumos!$B$1:$B$764,Insumos!$D$1:$D$764),"")</f>
        <v>0</v>
      </c>
      <c r="H417" s="177" cm="1">
        <f t="array" ref="H417">_xlfn.IFS(B417="Serviço",SUMIFS(H418:$H$3085,C418:$C$3085,$C417),B417="Insumo",F417*G417,B417="Etapa","")</f>
        <v>0</v>
      </c>
      <c r="I417" s="178"/>
    </row>
    <row r="418" spans="1:9" hidden="1" outlineLevel="2" x14ac:dyDescent="0.25">
      <c r="A418" s="175">
        <f t="shared" si="12"/>
        <v>22</v>
      </c>
      <c r="B418" s="175" t="s">
        <v>327</v>
      </c>
      <c r="C418" s="175" t="str">
        <f t="shared" si="13"/>
        <v>Concreto Usinado bombeável 60MPa para infraestrutura- incluindo serviço de bombeamento</v>
      </c>
      <c r="D418" s="175" t="s">
        <v>395</v>
      </c>
      <c r="E418" s="176" t="str">
        <f>_xlfn.XLOOKUP(D418,Insumos!$B$1:$B$764,Insumos!$C$1:$C$764)</f>
        <v>M3</v>
      </c>
      <c r="F418" s="179">
        <v>1.05</v>
      </c>
      <c r="G418" s="177">
        <f>IF(B418="insumo",_xlfn.XLOOKUP($D418,Insumos!$B$1:$B$764,Insumos!$D$1:$D$764),"")</f>
        <v>40</v>
      </c>
      <c r="H418" s="177" cm="1">
        <f t="array" ref="H418">_xlfn.IFS(B418="Serviço",SUMIFS(H419:$H$3085,C419:$C$3085,$C418),B418="Insumo",F418*G418,B418="Etapa","")</f>
        <v>42</v>
      </c>
      <c r="I418" s="178"/>
    </row>
    <row r="419" spans="1:9" hidden="1" outlineLevel="2" x14ac:dyDescent="0.25">
      <c r="A419" s="175">
        <f t="shared" si="12"/>
        <v>39</v>
      </c>
      <c r="B419" s="175" t="s">
        <v>327</v>
      </c>
      <c r="C419" s="175" t="str">
        <f t="shared" si="13"/>
        <v>Concreto Usinado bombeável 60MPa para infraestrutura- incluindo serviço de bombeamento</v>
      </c>
      <c r="D419" s="175" t="s">
        <v>396</v>
      </c>
      <c r="E419" s="176" t="str">
        <f>_xlfn.XLOOKUP(D419,Insumos!$B$1:$B$764,Insumos!$C$1:$C$764)</f>
        <v>KG</v>
      </c>
      <c r="F419" s="179">
        <v>0</v>
      </c>
      <c r="G419" s="177">
        <f>IF(B419="insumo",_xlfn.XLOOKUP($D419,Insumos!$B$1:$B$764,Insumos!$D$1:$D$764),"")</f>
        <v>0.76</v>
      </c>
      <c r="H419" s="177" cm="1">
        <f t="array" ref="H419">_xlfn.IFS(B419="Serviço",SUMIFS(H420:$H$3085,C420:$C$3085,$C419),B419="Insumo",F419*G419,B419="Etapa","")</f>
        <v>0</v>
      </c>
      <c r="I419" s="178"/>
    </row>
    <row r="420" spans="1:9" hidden="1" outlineLevel="1" collapsed="1" x14ac:dyDescent="0.25">
      <c r="A420" s="175">
        <f t="shared" si="12"/>
        <v>1</v>
      </c>
      <c r="B420" s="175" t="s">
        <v>109</v>
      </c>
      <c r="C420" s="175" t="str">
        <f t="shared" si="13"/>
        <v>Mão de obra para execução de fundação</v>
      </c>
      <c r="D420" s="175" t="s">
        <v>463</v>
      </c>
      <c r="E420" s="176" t="s">
        <v>13</v>
      </c>
      <c r="F420" s="175"/>
      <c r="G420" s="177" t="str">
        <f>IF(B420="insumo",_xlfn.XLOOKUP($D420,Insumos!$B$1:$B$764,Insumos!$D$1:$D$764),"")</f>
        <v/>
      </c>
      <c r="H420" s="177" cm="1">
        <f t="array" ref="H420">_xlfn.IFS(B420="Serviço",SUMIFS(H421:$H$3085,C421:$C$3085,$C420),B420="Insumo",F420*G420,B420="Etapa","")</f>
        <v>290</v>
      </c>
      <c r="I420" s="178" t="s">
        <v>195</v>
      </c>
    </row>
    <row r="421" spans="1:9" hidden="1" outlineLevel="2" x14ac:dyDescent="0.25">
      <c r="A421" s="175">
        <f t="shared" si="12"/>
        <v>1</v>
      </c>
      <c r="B421" s="175" t="s">
        <v>327</v>
      </c>
      <c r="C421" s="175" t="str">
        <f t="shared" si="13"/>
        <v>Mão de obra para execução de fundação</v>
      </c>
      <c r="D421" s="175" t="s">
        <v>463</v>
      </c>
      <c r="E421" s="176" t="str">
        <f>_xlfn.XLOOKUP(D421,Insumos!$B$1:$B$764,Insumos!$C$1:$C$764)</f>
        <v>M2</v>
      </c>
      <c r="F421" s="179">
        <v>1</v>
      </c>
      <c r="G421" s="177">
        <f>IF(B421="insumo",_xlfn.XLOOKUP($D421,Insumos!$B$1:$B$764,Insumos!$D$1:$D$764),"")</f>
        <v>290</v>
      </c>
      <c r="H421" s="177" cm="1">
        <f t="array" ref="H421">_xlfn.IFS(B421="Serviço",SUMIFS(H422:$H$3085,C422:$C$3085,$C421),B421="Insumo",F421*G421,B421="Etapa","")</f>
        <v>290</v>
      </c>
      <c r="I421" s="178"/>
    </row>
    <row r="422" spans="1:9" collapsed="1" x14ac:dyDescent="0.25">
      <c r="A422" s="172">
        <f t="shared" si="12"/>
        <v>1</v>
      </c>
      <c r="B422" s="172" t="s">
        <v>107</v>
      </c>
      <c r="C422" s="172"/>
      <c r="D422" s="172" t="s">
        <v>464</v>
      </c>
      <c r="E422" s="173"/>
      <c r="F422" s="174"/>
      <c r="G422" s="180" t="str">
        <f>IF(B422="insumo",_xlfn.XLOOKUP($D422,Insumos!$B$1:$B$764,Insumos!$D$1:$D$764),"")</f>
        <v/>
      </c>
      <c r="H422" s="177" t="str" cm="1">
        <f t="array" ref="H422">_xlfn.IFS(B422="Serviço",SUMIFS(H423:$H$3085,C423:$C$3085,$C422),B422="Insumo",F422*G422,B422="Etapa","")</f>
        <v/>
      </c>
      <c r="I422" s="174"/>
    </row>
    <row r="423" spans="1:9" hidden="1" outlineLevel="1" collapsed="1" x14ac:dyDescent="0.25">
      <c r="A423" s="175">
        <f t="shared" si="12"/>
        <v>1</v>
      </c>
      <c r="B423" s="175" t="s">
        <v>109</v>
      </c>
      <c r="C423" s="175" t="str">
        <f t="shared" si="13"/>
        <v xml:space="preserve">Perfuração de estaca Escavada para contenção Ø 30cm	</v>
      </c>
      <c r="D423" s="175" t="s">
        <v>465</v>
      </c>
      <c r="E423" s="176" t="s">
        <v>25</v>
      </c>
      <c r="F423" s="175"/>
      <c r="G423" s="177" t="str">
        <f>IF(B423="insumo",_xlfn.XLOOKUP($D423,Insumos!$B$1:$B$764,Insumos!$D$1:$D$764),"")</f>
        <v/>
      </c>
      <c r="H423" s="177" cm="1">
        <f t="array" ref="H423">_xlfn.IFS(B423="Serviço",SUMIFS(H424:$H$3085,C424:$C$3085,$C423),B423="Insumo",F423*G423,B423="Etapa","")</f>
        <v>39</v>
      </c>
      <c r="I423" s="178" t="s">
        <v>195</v>
      </c>
    </row>
    <row r="424" spans="1:9" hidden="1" outlineLevel="2" x14ac:dyDescent="0.25">
      <c r="A424" s="175">
        <f t="shared" si="12"/>
        <v>2</v>
      </c>
      <c r="B424" s="175" t="s">
        <v>327</v>
      </c>
      <c r="C424" s="175" t="str">
        <f t="shared" si="13"/>
        <v xml:space="preserve">Perfuração de estaca Escavada para contenção Ø 30cm	</v>
      </c>
      <c r="D424" s="175" t="s">
        <v>425</v>
      </c>
      <c r="E424" s="176" t="str">
        <f>_xlfn.XLOOKUP(D424,Insumos!$B$1:$B$764,Insumos!$C$1:$C$764)</f>
        <v>M</v>
      </c>
      <c r="F424" s="179">
        <v>1</v>
      </c>
      <c r="G424" s="177">
        <f>IF(B424="insumo",_xlfn.XLOOKUP($D424,Insumos!$B$1:$B$764,Insumos!$D$1:$D$764),"")</f>
        <v>39</v>
      </c>
      <c r="H424" s="177" cm="1">
        <f t="array" ref="H424">_xlfn.IFS(B424="Serviço",SUMIFS(H425:$H$3085,C425:$C$3085,$C424),B424="Insumo",F424*G424,B424="Etapa","")</f>
        <v>39</v>
      </c>
      <c r="I424" s="178"/>
    </row>
    <row r="425" spans="1:9" hidden="1" outlineLevel="1" collapsed="1" x14ac:dyDescent="0.25">
      <c r="A425" s="175">
        <f t="shared" si="12"/>
        <v>1</v>
      </c>
      <c r="B425" s="175" t="s">
        <v>109</v>
      </c>
      <c r="C425" s="175" t="str">
        <f t="shared" si="13"/>
        <v xml:space="preserve">Perfuração de estaca Escavada para contenção Ø 40cm	</v>
      </c>
      <c r="D425" s="175" t="s">
        <v>2444</v>
      </c>
      <c r="E425" s="176" t="s">
        <v>25</v>
      </c>
      <c r="F425" s="175"/>
      <c r="G425" s="177" t="str">
        <f>IF(B425="insumo",_xlfn.XLOOKUP($D425,Insumos!$B$1:$B$764,Insumos!$D$1:$D$764),"")</f>
        <v/>
      </c>
      <c r="H425" s="177" cm="1">
        <f t="array" ref="H425">_xlfn.IFS(B425="Serviço",SUMIFS(H426:$H$3085,C426:$C$3085,$C425),B425="Insumo",F425*G425,B425="Etapa","")</f>
        <v>52.800000000000004</v>
      </c>
      <c r="I425" s="178" t="s">
        <v>195</v>
      </c>
    </row>
    <row r="426" spans="1:9" hidden="1" outlineLevel="2" x14ac:dyDescent="0.25">
      <c r="A426" s="175">
        <f t="shared" si="12"/>
        <v>2</v>
      </c>
      <c r="B426" s="175" t="s">
        <v>327</v>
      </c>
      <c r="C426" s="175" t="str">
        <f t="shared" si="13"/>
        <v xml:space="preserve">Perfuração de estaca Escavada para contenção Ø 40cm	</v>
      </c>
      <c r="D426" s="175" t="s">
        <v>2432</v>
      </c>
      <c r="E426" s="176" t="str">
        <f>_xlfn.XLOOKUP(D426,Insumos!$B$1:$B$764,Insumos!$C$1:$C$764)</f>
        <v>M</v>
      </c>
      <c r="F426" s="179">
        <v>1</v>
      </c>
      <c r="G426" s="177">
        <f>IF(B426="insumo",_xlfn.XLOOKUP($D426,Insumos!$B$1:$B$764,Insumos!$D$1:$D$764),"")</f>
        <v>52.800000000000004</v>
      </c>
      <c r="H426" s="177" cm="1">
        <f t="array" ref="H426">_xlfn.IFS(B426="Serviço",SUMIFS(H427:$H$3085,C427:$C$3085,$C426),B426="Insumo",F426*G426,B426="Etapa","")</f>
        <v>52.800000000000004</v>
      </c>
      <c r="I426" s="178"/>
    </row>
    <row r="427" spans="1:9" hidden="1" outlineLevel="1" collapsed="1" x14ac:dyDescent="0.25">
      <c r="A427" s="175">
        <f t="shared" si="12"/>
        <v>1</v>
      </c>
      <c r="B427" s="175" t="s">
        <v>109</v>
      </c>
      <c r="C427" s="175" t="str">
        <f t="shared" si="13"/>
        <v>Concreto Usinado bombeável para estaca das Contenções 25MPa  - incluindo serviço de bombeamento</v>
      </c>
      <c r="D427" s="175" t="s">
        <v>466</v>
      </c>
      <c r="E427" s="176" t="s">
        <v>390</v>
      </c>
      <c r="F427" s="175"/>
      <c r="G427" s="177" t="str">
        <f>IF(B427="insumo",_xlfn.XLOOKUP($D427,Insumos!$B$1:$B$764,Insumos!$D$1:$D$764),"")</f>
        <v/>
      </c>
      <c r="H427" s="177" cm="1">
        <f t="array" ref="H427">_xlfn.IFS(B427="Serviço",SUMIFS(H428:$H$3085,C428:$C$3085,$C427),B427="Insumo",F427*G427,B427="Etapa","")</f>
        <v>693.66</v>
      </c>
      <c r="I427" s="178" t="s">
        <v>195</v>
      </c>
    </row>
    <row r="428" spans="1:9" hidden="1" outlineLevel="2" x14ac:dyDescent="0.25">
      <c r="A428" s="175">
        <f t="shared" si="12"/>
        <v>3</v>
      </c>
      <c r="B428" s="175" t="s">
        <v>327</v>
      </c>
      <c r="C428" s="175" t="str">
        <f t="shared" si="13"/>
        <v>Concreto Usinado bombeável para estaca das Contenções 25MPa  - incluindo serviço de bombeamento</v>
      </c>
      <c r="D428" s="175" t="s">
        <v>441</v>
      </c>
      <c r="E428" s="176" t="str">
        <f>_xlfn.XLOOKUP(D428,Insumos!$B$1:$B$764,Insumos!$C$1:$C$764)</f>
        <v>M3</v>
      </c>
      <c r="F428" s="179">
        <v>1.3</v>
      </c>
      <c r="G428" s="177">
        <f>IF(B428="insumo",_xlfn.XLOOKUP($D428,Insumos!$B$1:$B$764,Insumos!$D$1:$D$764),"")</f>
        <v>492.99999999999994</v>
      </c>
      <c r="H428" s="177" cm="1">
        <f t="array" ref="H428">_xlfn.IFS(B428="Serviço",SUMIFS(H429:$H$3085,C429:$C$3085,$C428),B428="Insumo",F428*G428,B428="Etapa","")</f>
        <v>640.9</v>
      </c>
      <c r="I428" s="178"/>
    </row>
    <row r="429" spans="1:9" hidden="1" outlineLevel="2" x14ac:dyDescent="0.25">
      <c r="A429" s="175">
        <f t="shared" si="12"/>
        <v>22</v>
      </c>
      <c r="B429" s="175" t="s">
        <v>327</v>
      </c>
      <c r="C429" s="175" t="str">
        <f t="shared" si="13"/>
        <v>Concreto Usinado bombeável para estaca das Contenções 25MPa  - incluindo serviço de bombeamento</v>
      </c>
      <c r="D429" s="175" t="s">
        <v>395</v>
      </c>
      <c r="E429" s="176" t="str">
        <f>_xlfn.XLOOKUP(D429,Insumos!$B$1:$B$764,Insumos!$C$1:$C$764)</f>
        <v>M3</v>
      </c>
      <c r="F429" s="179">
        <v>1.3</v>
      </c>
      <c r="G429" s="177">
        <f>IF(B429="insumo",_xlfn.XLOOKUP($D429,Insumos!$B$1:$B$764,Insumos!$D$1:$D$764),"")</f>
        <v>40</v>
      </c>
      <c r="H429" s="177" cm="1">
        <f t="array" ref="H429">_xlfn.IFS(B429="Serviço",SUMIFS(H430:$H$3085,C430:$C$3085,$C429),B429="Insumo",F429*G429,B429="Etapa","")</f>
        <v>52</v>
      </c>
      <c r="I429" s="178"/>
    </row>
    <row r="430" spans="1:9" hidden="1" outlineLevel="2" x14ac:dyDescent="0.25">
      <c r="A430" s="175">
        <f t="shared" si="12"/>
        <v>39</v>
      </c>
      <c r="B430" s="175" t="s">
        <v>327</v>
      </c>
      <c r="C430" s="175" t="str">
        <f t="shared" si="13"/>
        <v>Concreto Usinado bombeável para estaca das Contenções 25MPa  - incluindo serviço de bombeamento</v>
      </c>
      <c r="D430" s="175" t="s">
        <v>396</v>
      </c>
      <c r="E430" s="176" t="str">
        <f>_xlfn.XLOOKUP(D430,Insumos!$B$1:$B$764,Insumos!$C$1:$C$764)</f>
        <v>KG</v>
      </c>
      <c r="F430" s="179">
        <v>1</v>
      </c>
      <c r="G430" s="177">
        <f>IF(B430="insumo",_xlfn.XLOOKUP($D430,Insumos!$B$1:$B$764,Insumos!$D$1:$D$764),"")</f>
        <v>0.76</v>
      </c>
      <c r="H430" s="177" cm="1">
        <f t="array" ref="H430">_xlfn.IFS(B430="Serviço",SUMIFS(H431:$H$3085,C431:$C$3085,$C430),B430="Insumo",F430*G430,B430="Etapa","")</f>
        <v>0.76</v>
      </c>
      <c r="I430" s="178"/>
    </row>
    <row r="431" spans="1:9" hidden="1" outlineLevel="1" x14ac:dyDescent="0.25">
      <c r="A431" s="175">
        <f t="shared" si="12"/>
        <v>1</v>
      </c>
      <c r="B431" s="175" t="s">
        <v>109</v>
      </c>
      <c r="C431" s="175" t="str">
        <f t="shared" si="13"/>
        <v>Forma para Contenções em Tábuas de Madeira Serrada 17mm 4x reaproveitamento</v>
      </c>
      <c r="D431" s="175" t="s">
        <v>467</v>
      </c>
      <c r="E431" s="176" t="s">
        <v>13</v>
      </c>
      <c r="F431" s="175"/>
      <c r="G431" s="177" t="str">
        <f>IF(B431="insumo",_xlfn.XLOOKUP($D431,Insumos!$B$1:$B$764,Insumos!$D$1:$D$764),"")</f>
        <v/>
      </c>
      <c r="H431" s="177" cm="1">
        <f t="array" ref="H431">_xlfn.IFS(B431="Serviço",SUMIFS(H432:$H$3085,C432:$C$3085,$C431),B431="Insumo",F431*G431,B431="Etapa","")</f>
        <v>59.956228571428568</v>
      </c>
      <c r="I431" s="178" t="s">
        <v>195</v>
      </c>
    </row>
    <row r="432" spans="1:9" hidden="1" outlineLevel="2" x14ac:dyDescent="0.25">
      <c r="A432" s="175">
        <f t="shared" si="12"/>
        <v>3</v>
      </c>
      <c r="B432" s="175" t="s">
        <v>327</v>
      </c>
      <c r="C432" s="175" t="str">
        <f t="shared" si="13"/>
        <v>Forma para Contenções em Tábuas de Madeira Serrada 17mm 4x reaproveitamento</v>
      </c>
      <c r="D432" s="175" t="s">
        <v>449</v>
      </c>
      <c r="E432" s="176" t="str">
        <f>_xlfn.XLOOKUP(D432,Insumos!$B$1:$B$764,Insumos!$C$1:$C$764)</f>
        <v>KG</v>
      </c>
      <c r="F432" s="179">
        <v>1.0999999999999999E-2</v>
      </c>
      <c r="G432" s="177">
        <f>IF(B432="insumo",_xlfn.XLOOKUP($D432,Insumos!$B$1:$B$764,Insumos!$D$1:$D$764),"")</f>
        <v>18.8</v>
      </c>
      <c r="H432" s="177" cm="1">
        <f t="array" ref="H432">_xlfn.IFS(B432="Serviço",SUMIFS(H433:$H$3085,C433:$C$3085,$C432),B432="Insumo",F432*G432,B432="Etapa","")</f>
        <v>0.20679999999999998</v>
      </c>
      <c r="I432" s="178"/>
    </row>
    <row r="433" spans="1:9" hidden="1" outlineLevel="2" x14ac:dyDescent="0.25">
      <c r="A433" s="175">
        <f t="shared" si="12"/>
        <v>36</v>
      </c>
      <c r="B433" s="175" t="s">
        <v>327</v>
      </c>
      <c r="C433" s="175" t="str">
        <f t="shared" si="13"/>
        <v>Forma para Contenções em Tábuas de Madeira Serrada 17mm 4x reaproveitamento</v>
      </c>
      <c r="D433" s="175" t="s">
        <v>349</v>
      </c>
      <c r="E433" s="176" t="str">
        <f>_xlfn.XLOOKUP(D433,Insumos!$B$1:$B$764,Insumos!$C$1:$C$764)</f>
        <v>KG</v>
      </c>
      <c r="F433" s="179">
        <v>9.5000000000000001E-2</v>
      </c>
      <c r="G433" s="177">
        <f>IF(B433="insumo",_xlfn.XLOOKUP($D433,Insumos!$B$1:$B$764,Insumos!$D$1:$D$764),"")</f>
        <v>18.13</v>
      </c>
      <c r="H433" s="177" cm="1">
        <f t="array" ref="H433">_xlfn.IFS(B433="Serviço",SUMIFS(H434:$H$3085,C434:$C$3085,$C433),B433="Insumo",F433*G433,B433="Etapa","")</f>
        <v>1.7223499999999998</v>
      </c>
      <c r="I433" s="178"/>
    </row>
    <row r="434" spans="1:9" hidden="1" outlineLevel="2" x14ac:dyDescent="0.25">
      <c r="A434" s="175">
        <f t="shared" si="12"/>
        <v>9</v>
      </c>
      <c r="B434" s="175" t="s">
        <v>327</v>
      </c>
      <c r="C434" s="175" t="str">
        <f t="shared" si="13"/>
        <v>Forma para Contenções em Tábuas de Madeira Serrada 17mm 4x reaproveitamento</v>
      </c>
      <c r="D434" s="175" t="s">
        <v>450</v>
      </c>
      <c r="E434" s="176" t="str">
        <f>_xlfn.XLOOKUP(D434,Insumos!$B$1:$B$764,Insumos!$C$1:$C$764)</f>
        <v>L</v>
      </c>
      <c r="F434" s="179">
        <v>1.7000000000000001E-2</v>
      </c>
      <c r="G434" s="177">
        <f>IF(B434="insumo",_xlfn.XLOOKUP($D434,Insumos!$B$1:$B$764,Insumos!$D$1:$D$764),"")</f>
        <v>15.55</v>
      </c>
      <c r="H434" s="177" cm="1">
        <f t="array" ref="H434">_xlfn.IFS(B434="Serviço",SUMIFS(H435:$H$3085,C435:$C$3085,$C434),B434="Insumo",F434*G434,B434="Etapa","")</f>
        <v>0.26435000000000003</v>
      </c>
      <c r="I434" s="178"/>
    </row>
    <row r="435" spans="1:9" hidden="1" outlineLevel="2" x14ac:dyDescent="0.25">
      <c r="A435" s="175">
        <f t="shared" si="12"/>
        <v>24</v>
      </c>
      <c r="B435" s="175" t="s">
        <v>327</v>
      </c>
      <c r="C435" s="175" t="str">
        <f t="shared" si="13"/>
        <v>Forma para Contenções em Tábuas de Madeira Serrada 17mm 4x reaproveitamento</v>
      </c>
      <c r="D435" s="175" t="s">
        <v>346</v>
      </c>
      <c r="E435" s="176" t="str">
        <f>_xlfn.XLOOKUP(D435,Insumos!$B$1:$B$764,Insumos!$C$1:$C$764)</f>
        <v>M</v>
      </c>
      <c r="F435" s="179">
        <v>0.73714285714285721</v>
      </c>
      <c r="G435" s="177">
        <f>IF(B435="insumo",_xlfn.XLOOKUP($D435,Insumos!$B$1:$B$764,Insumos!$D$1:$D$764),"")</f>
        <v>7</v>
      </c>
      <c r="H435" s="177" cm="1">
        <f t="array" ref="H435">_xlfn.IFS(B435="Serviço",SUMIFS(H436:$H$3085,C436:$C$3085,$C435),B435="Insumo",F435*G435,B435="Etapa","")</f>
        <v>5.16</v>
      </c>
      <c r="I435" s="178"/>
    </row>
    <row r="436" spans="1:9" hidden="1" outlineLevel="2" x14ac:dyDescent="0.25">
      <c r="A436" s="175">
        <f t="shared" si="12"/>
        <v>18</v>
      </c>
      <c r="B436" s="175" t="s">
        <v>327</v>
      </c>
      <c r="C436" s="175" t="str">
        <f t="shared" si="13"/>
        <v>Forma para Contenções em Tábuas de Madeira Serrada 17mm 4x reaproveitamento</v>
      </c>
      <c r="D436" s="175" t="s">
        <v>373</v>
      </c>
      <c r="E436" s="176" t="str">
        <f>_xlfn.XLOOKUP(D436,Insumos!$B$1:$B$764,Insumos!$C$1:$C$764)</f>
        <v>M3</v>
      </c>
      <c r="F436" s="179">
        <v>2.638095238095238E-3</v>
      </c>
      <c r="G436" s="177">
        <f>IF(B436="insumo",_xlfn.XLOOKUP($D436,Insumos!$B$1:$B$764,Insumos!$D$1:$D$764),"")</f>
        <v>1350</v>
      </c>
      <c r="H436" s="177" cm="1">
        <f t="array" ref="H436">_xlfn.IFS(B436="Serviço",SUMIFS(H437:$H$3085,C437:$C$3085,$C436),B436="Insumo",F436*G436,B436="Etapa","")</f>
        <v>3.5614285714285714</v>
      </c>
      <c r="I436" s="178"/>
    </row>
    <row r="437" spans="1:9" hidden="1" outlineLevel="2" x14ac:dyDescent="0.25">
      <c r="A437" s="175">
        <f t="shared" si="12"/>
        <v>5</v>
      </c>
      <c r="B437" s="175" t="s">
        <v>327</v>
      </c>
      <c r="C437" s="175" t="str">
        <f t="shared" si="13"/>
        <v>Forma para Contenções em Tábuas de Madeira Serrada 17mm 4x reaproveitamento</v>
      </c>
      <c r="D437" s="175" t="s">
        <v>451</v>
      </c>
      <c r="E437" s="176" t="str">
        <f>_xlfn.XLOOKUP(D437,Insumos!$B$1:$B$764,Insumos!$C$1:$C$764)</f>
        <v>M</v>
      </c>
      <c r="F437" s="179">
        <v>1.155</v>
      </c>
      <c r="G437" s="177">
        <f>IF(B437="insumo",_xlfn.XLOOKUP($D437,Insumos!$B$1:$B$764,Insumos!$D$1:$D$764),"")</f>
        <v>42.46</v>
      </c>
      <c r="H437" s="177" cm="1">
        <f t="array" ref="H437">_xlfn.IFS(B437="Serviço",SUMIFS(H438:$H$3085,C438:$C$3085,$C437),B437="Insumo",F437*G437,B437="Etapa","")</f>
        <v>49.0413</v>
      </c>
      <c r="I437" s="178"/>
    </row>
    <row r="438" spans="1:9" hidden="1" outlineLevel="1" x14ac:dyDescent="0.25">
      <c r="A438" s="175">
        <f t="shared" si="12"/>
        <v>1</v>
      </c>
      <c r="B438" s="175" t="s">
        <v>109</v>
      </c>
      <c r="C438" s="175" t="str">
        <f t="shared" si="13"/>
        <v>Armação aço CA-50 ø 6,3mm para Contenções (corte e dobra em obra)</v>
      </c>
      <c r="D438" s="175" t="s">
        <v>468</v>
      </c>
      <c r="E438" s="176" t="s">
        <v>428</v>
      </c>
      <c r="F438" s="175"/>
      <c r="G438" s="177" t="str">
        <f>IF(B438="insumo",_xlfn.XLOOKUP($D438,Insumos!$B$1:$B$764,Insumos!$D$1:$D$764),"")</f>
        <v/>
      </c>
      <c r="H438" s="177" cm="1">
        <f t="array" ref="H438">_xlfn.IFS(B438="Serviço",SUMIFS(H439:$H$3085,C439:$C$3085,$C438),B438="Insumo",F438*G438,B438="Etapa","")</f>
        <v>6.9381450000000005</v>
      </c>
      <c r="I438" s="178" t="s">
        <v>195</v>
      </c>
    </row>
    <row r="439" spans="1:9" hidden="1" outlineLevel="2" x14ac:dyDescent="0.25">
      <c r="A439" s="175">
        <f t="shared" si="12"/>
        <v>4</v>
      </c>
      <c r="B439" s="175" t="s">
        <v>327</v>
      </c>
      <c r="C439" s="175" t="str">
        <f t="shared" si="13"/>
        <v>Armação aço CA-50 ø 6,3mm para Contenções (corte e dobra em obra)</v>
      </c>
      <c r="D439" s="175" t="s">
        <v>429</v>
      </c>
      <c r="E439" s="176" t="str">
        <f>_xlfn.XLOOKUP(D439,Insumos!$B$1:$B$764,Insumos!$C$1:$C$764)</f>
        <v>KG</v>
      </c>
      <c r="F439" s="179">
        <v>1.1000000000000001</v>
      </c>
      <c r="G439" s="177">
        <f>IF(B439="insumo",_xlfn.XLOOKUP($D439,Insumos!$B$1:$B$764,Insumos!$D$1:$D$764),"")</f>
        <v>6.04</v>
      </c>
      <c r="H439" s="177" cm="1">
        <f t="array" ref="H439">_xlfn.IFS(B439="Serviço",SUMIFS(H440:$H$3085,C440:$C$3085,$C439),B439="Insumo",F439*G439,B439="Etapa","")</f>
        <v>6.644000000000001</v>
      </c>
      <c r="I439" s="178"/>
    </row>
    <row r="440" spans="1:9" hidden="1" outlineLevel="2" x14ac:dyDescent="0.25">
      <c r="A440" s="175">
        <f t="shared" si="12"/>
        <v>24</v>
      </c>
      <c r="B440" s="175" t="s">
        <v>327</v>
      </c>
      <c r="C440" s="175" t="str">
        <f t="shared" si="13"/>
        <v>Armação aço CA-50 ø 6,3mm para Contenções (corte e dobra em obra)</v>
      </c>
      <c r="D440" s="175" t="s">
        <v>430</v>
      </c>
      <c r="E440" s="176" t="str">
        <f>_xlfn.XLOOKUP(D440,Insumos!$B$1:$B$764,Insumos!$C$1:$C$764)</f>
        <v>KG</v>
      </c>
      <c r="F440" s="179">
        <v>2.0500000000000001E-2</v>
      </c>
      <c r="G440" s="177">
        <f>IF(B440="insumo",_xlfn.XLOOKUP($D440,Insumos!$B$1:$B$764,Insumos!$D$1:$D$764),"")</f>
        <v>13.69</v>
      </c>
      <c r="H440" s="177" cm="1">
        <f t="array" ref="H440">_xlfn.IFS(B440="Serviço",SUMIFS(H441:$H$3085,C441:$C$3085,$C440),B440="Insumo",F440*G440,B440="Etapa","")</f>
        <v>0.28064499999999998</v>
      </c>
      <c r="I440" s="178"/>
    </row>
    <row r="441" spans="1:9" hidden="1" outlineLevel="2" x14ac:dyDescent="0.25">
      <c r="A441" s="175">
        <f t="shared" si="12"/>
        <v>35</v>
      </c>
      <c r="B441" s="175" t="s">
        <v>327</v>
      </c>
      <c r="C441" s="175" t="str">
        <f t="shared" si="13"/>
        <v>Armação aço CA-50 ø 6,3mm para Contenções (corte e dobra em obra)</v>
      </c>
      <c r="D441" s="175" t="s">
        <v>431</v>
      </c>
      <c r="E441" s="176" t="str">
        <f>_xlfn.XLOOKUP(D441,Insumos!$B$1:$B$764,Insumos!$C$1:$C$764)</f>
        <v>UN</v>
      </c>
      <c r="F441" s="179">
        <v>0.05</v>
      </c>
      <c r="G441" s="177">
        <f>IF(B441="insumo",_xlfn.XLOOKUP($D441,Insumos!$B$1:$B$764,Insumos!$D$1:$D$764),"")</f>
        <v>0.27</v>
      </c>
      <c r="H441" s="177" cm="1">
        <f t="array" ref="H441">_xlfn.IFS(B441="Serviço",SUMIFS(H442:$H$3085,C442:$C$3085,$C441),B441="Insumo",F441*G441,B441="Etapa","")</f>
        <v>1.3500000000000002E-2</v>
      </c>
      <c r="I441" s="178"/>
    </row>
    <row r="442" spans="1:9" hidden="1" outlineLevel="1" x14ac:dyDescent="0.25">
      <c r="A442" s="175">
        <f t="shared" si="12"/>
        <v>1</v>
      </c>
      <c r="B442" s="175" t="s">
        <v>109</v>
      </c>
      <c r="C442" s="175" t="str">
        <f t="shared" si="13"/>
        <v>Armação aço CA-50 ø 8,0mm para Contenções (corte e dobra em obra)</v>
      </c>
      <c r="D442" s="175" t="s">
        <v>469</v>
      </c>
      <c r="E442" s="176" t="s">
        <v>428</v>
      </c>
      <c r="F442" s="175"/>
      <c r="G442" s="177" t="str">
        <f>IF(B442="insumo",_xlfn.XLOOKUP($D442,Insumos!$B$1:$B$764,Insumos!$D$1:$D$764),"")</f>
        <v/>
      </c>
      <c r="H442" s="177" cm="1">
        <f t="array" ref="H442">_xlfn.IFS(B442="Serviço",SUMIFS(H443:$H$3085,C443:$C$3085,$C442),B442="Insumo",F442*G442,B442="Etapa","")</f>
        <v>6.9381450000000005</v>
      </c>
      <c r="I442" s="178" t="s">
        <v>195</v>
      </c>
    </row>
    <row r="443" spans="1:9" hidden="1" outlineLevel="2" x14ac:dyDescent="0.25">
      <c r="A443" s="175">
        <f t="shared" si="12"/>
        <v>5</v>
      </c>
      <c r="B443" s="175" t="s">
        <v>327</v>
      </c>
      <c r="C443" s="175" t="str">
        <f t="shared" si="13"/>
        <v>Armação aço CA-50 ø 8,0mm para Contenções (corte e dobra em obra)</v>
      </c>
      <c r="D443" s="175" t="s">
        <v>433</v>
      </c>
      <c r="E443" s="176" t="str">
        <f>_xlfn.XLOOKUP(D443,Insumos!$B$1:$B$764,Insumos!$C$1:$C$764)</f>
        <v>KG</v>
      </c>
      <c r="F443" s="179">
        <v>1.1000000000000001</v>
      </c>
      <c r="G443" s="177">
        <f>IF(B443="insumo",_xlfn.XLOOKUP($D443,Insumos!$B$1:$B$764,Insumos!$D$1:$D$764),"")</f>
        <v>6.04</v>
      </c>
      <c r="H443" s="177" cm="1">
        <f t="array" ref="H443">_xlfn.IFS(B443="Serviço",SUMIFS(H444:$H$3085,C444:$C$3085,$C443),B443="Insumo",F443*G443,B443="Etapa","")</f>
        <v>6.644000000000001</v>
      </c>
      <c r="I443" s="178"/>
    </row>
    <row r="444" spans="1:9" hidden="1" outlineLevel="2" x14ac:dyDescent="0.25">
      <c r="A444" s="175">
        <f t="shared" si="12"/>
        <v>24</v>
      </c>
      <c r="B444" s="175" t="s">
        <v>327</v>
      </c>
      <c r="C444" s="175" t="str">
        <f t="shared" si="13"/>
        <v>Armação aço CA-50 ø 8,0mm para Contenções (corte e dobra em obra)</v>
      </c>
      <c r="D444" s="175" t="s">
        <v>430</v>
      </c>
      <c r="E444" s="176" t="str">
        <f>_xlfn.XLOOKUP(D444,Insumos!$B$1:$B$764,Insumos!$C$1:$C$764)</f>
        <v>KG</v>
      </c>
      <c r="F444" s="179">
        <v>2.0500000000000001E-2</v>
      </c>
      <c r="G444" s="177">
        <f>IF(B444="insumo",_xlfn.XLOOKUP($D444,Insumos!$B$1:$B$764,Insumos!$D$1:$D$764),"")</f>
        <v>13.69</v>
      </c>
      <c r="H444" s="177" cm="1">
        <f t="array" ref="H444">_xlfn.IFS(B444="Serviço",SUMIFS(H445:$H$3085,C445:$C$3085,$C444),B444="Insumo",F444*G444,B444="Etapa","")</f>
        <v>0.28064499999999998</v>
      </c>
      <c r="I444" s="178"/>
    </row>
    <row r="445" spans="1:9" hidden="1" outlineLevel="2" x14ac:dyDescent="0.25">
      <c r="A445" s="175">
        <f t="shared" si="12"/>
        <v>35</v>
      </c>
      <c r="B445" s="175" t="s">
        <v>327</v>
      </c>
      <c r="C445" s="175" t="str">
        <f t="shared" si="13"/>
        <v>Armação aço CA-50 ø 8,0mm para Contenções (corte e dobra em obra)</v>
      </c>
      <c r="D445" s="175" t="s">
        <v>431</v>
      </c>
      <c r="E445" s="176" t="str">
        <f>_xlfn.XLOOKUP(D445,Insumos!$B$1:$B$764,Insumos!$C$1:$C$764)</f>
        <v>UN</v>
      </c>
      <c r="F445" s="179">
        <v>0.05</v>
      </c>
      <c r="G445" s="177">
        <f>IF(B445="insumo",_xlfn.XLOOKUP($D445,Insumos!$B$1:$B$764,Insumos!$D$1:$D$764),"")</f>
        <v>0.27</v>
      </c>
      <c r="H445" s="177" cm="1">
        <f t="array" ref="H445">_xlfn.IFS(B445="Serviço",SUMIFS(H446:$H$3085,C446:$C$3085,$C445),B445="Insumo",F445*G445,B445="Etapa","")</f>
        <v>1.3500000000000002E-2</v>
      </c>
      <c r="I445" s="178"/>
    </row>
    <row r="446" spans="1:9" hidden="1" outlineLevel="1" collapsed="1" x14ac:dyDescent="0.25">
      <c r="A446" s="175">
        <f t="shared" si="12"/>
        <v>1</v>
      </c>
      <c r="B446" s="175" t="s">
        <v>109</v>
      </c>
      <c r="C446" s="175" t="str">
        <f t="shared" si="13"/>
        <v>Armação aço CA-50 ø 10,0mm para Contenções (corte e dobra em obra)</v>
      </c>
      <c r="D446" s="175" t="s">
        <v>470</v>
      </c>
      <c r="E446" s="176" t="s">
        <v>428</v>
      </c>
      <c r="F446" s="175"/>
      <c r="G446" s="177" t="str">
        <f>IF(B446="insumo",_xlfn.XLOOKUP($D446,Insumos!$B$1:$B$764,Insumos!$D$1:$D$764),"")</f>
        <v/>
      </c>
      <c r="H446" s="177" cm="1">
        <f t="array" ref="H446">_xlfn.IFS(B446="Serviço",SUMIFS(H447:$H$3085,C447:$C$3085,$C446),B446="Insumo",F446*G446,B446="Etapa","")</f>
        <v>6.6301449999999997</v>
      </c>
      <c r="I446" s="178" t="s">
        <v>195</v>
      </c>
    </row>
    <row r="447" spans="1:9" hidden="1" outlineLevel="2" x14ac:dyDescent="0.25">
      <c r="A447" s="175">
        <f t="shared" si="12"/>
        <v>4</v>
      </c>
      <c r="B447" s="175" t="s">
        <v>327</v>
      </c>
      <c r="C447" s="175" t="str">
        <f t="shared" si="13"/>
        <v>Armação aço CA-50 ø 10,0mm para Contenções (corte e dobra em obra)</v>
      </c>
      <c r="D447" s="175" t="s">
        <v>435</v>
      </c>
      <c r="E447" s="176" t="str">
        <f>_xlfn.XLOOKUP(D447,Insumos!$B$1:$B$764,Insumos!$C$1:$C$764)</f>
        <v>KG</v>
      </c>
      <c r="F447" s="179">
        <v>1.1000000000000001</v>
      </c>
      <c r="G447" s="177">
        <f>IF(B447="insumo",_xlfn.XLOOKUP($D447,Insumos!$B$1:$B$764,Insumos!$D$1:$D$764),"")</f>
        <v>5.76</v>
      </c>
      <c r="H447" s="177" cm="1">
        <f t="array" ref="H447">_xlfn.IFS(B447="Serviço",SUMIFS(H448:$H$3085,C448:$C$3085,$C447),B447="Insumo",F447*G447,B447="Etapa","")</f>
        <v>6.3360000000000003</v>
      </c>
      <c r="I447" s="178"/>
    </row>
    <row r="448" spans="1:9" hidden="1" outlineLevel="2" x14ac:dyDescent="0.25">
      <c r="A448" s="175">
        <f t="shared" si="12"/>
        <v>24</v>
      </c>
      <c r="B448" s="175" t="s">
        <v>327</v>
      </c>
      <c r="C448" s="175" t="str">
        <f t="shared" si="13"/>
        <v>Armação aço CA-50 ø 10,0mm para Contenções (corte e dobra em obra)</v>
      </c>
      <c r="D448" s="175" t="s">
        <v>430</v>
      </c>
      <c r="E448" s="176" t="str">
        <f>_xlfn.XLOOKUP(D448,Insumos!$B$1:$B$764,Insumos!$C$1:$C$764)</f>
        <v>KG</v>
      </c>
      <c r="F448" s="179">
        <v>2.0500000000000001E-2</v>
      </c>
      <c r="G448" s="177">
        <f>IF(B448="insumo",_xlfn.XLOOKUP($D448,Insumos!$B$1:$B$764,Insumos!$D$1:$D$764),"")</f>
        <v>13.69</v>
      </c>
      <c r="H448" s="177" cm="1">
        <f t="array" ref="H448">_xlfn.IFS(B448="Serviço",SUMIFS(H449:$H$3085,C449:$C$3085,$C448),B448="Insumo",F448*G448,B448="Etapa","")</f>
        <v>0.28064499999999998</v>
      </c>
      <c r="I448" s="178"/>
    </row>
    <row r="449" spans="1:9" hidden="1" outlineLevel="2" x14ac:dyDescent="0.25">
      <c r="A449" s="175">
        <f t="shared" si="12"/>
        <v>35</v>
      </c>
      <c r="B449" s="175" t="s">
        <v>327</v>
      </c>
      <c r="C449" s="175" t="str">
        <f t="shared" si="13"/>
        <v>Armação aço CA-50 ø 10,0mm para Contenções (corte e dobra em obra)</v>
      </c>
      <c r="D449" s="175" t="s">
        <v>431</v>
      </c>
      <c r="E449" s="176" t="str">
        <f>_xlfn.XLOOKUP(D449,Insumos!$B$1:$B$764,Insumos!$C$1:$C$764)</f>
        <v>UN</v>
      </c>
      <c r="F449" s="179">
        <v>0.05</v>
      </c>
      <c r="G449" s="177">
        <f>IF(B449="insumo",_xlfn.XLOOKUP($D449,Insumos!$B$1:$B$764,Insumos!$D$1:$D$764),"")</f>
        <v>0.27</v>
      </c>
      <c r="H449" s="177" cm="1">
        <f t="array" ref="H449">_xlfn.IFS(B449="Serviço",SUMIFS(H450:$H$3085,C450:$C$3085,$C449),B449="Insumo",F449*G449,B449="Etapa","")</f>
        <v>1.3500000000000002E-2</v>
      </c>
      <c r="I449" s="178"/>
    </row>
    <row r="450" spans="1:9" hidden="1" outlineLevel="1" x14ac:dyDescent="0.25">
      <c r="A450" s="175">
        <f t="shared" ref="A450:A513" si="14">COUNTIFS($D$2:$D$3085,D450,$B$2:$B$3085,B450)</f>
        <v>1</v>
      </c>
      <c r="B450" s="175" t="s">
        <v>109</v>
      </c>
      <c r="C450" s="175" t="str">
        <f t="shared" si="13"/>
        <v xml:space="preserve">Armação aço CA-50 ø 12,5mm para Contenções (corte e dobra em obra) </v>
      </c>
      <c r="D450" s="175" t="s">
        <v>471</v>
      </c>
      <c r="E450" s="176" t="s">
        <v>428</v>
      </c>
      <c r="F450" s="175"/>
      <c r="G450" s="177" t="str">
        <f>IF(B450="insumo",_xlfn.XLOOKUP($D450,Insumos!$B$1:$B$764,Insumos!$D$1:$D$764),"")</f>
        <v/>
      </c>
      <c r="H450" s="177" cm="1">
        <f t="array" ref="H450">_xlfn.IFS(B450="Serviço",SUMIFS(H451:$H$3085,C451:$C$3085,$C450),B450="Insumo",F450*G450,B450="Etapa","")</f>
        <v>6.4431449999999995</v>
      </c>
      <c r="I450" s="178" t="s">
        <v>195</v>
      </c>
    </row>
    <row r="451" spans="1:9" hidden="1" outlineLevel="2" x14ac:dyDescent="0.25">
      <c r="A451" s="175">
        <f t="shared" si="14"/>
        <v>4</v>
      </c>
      <c r="B451" s="175" t="s">
        <v>327</v>
      </c>
      <c r="C451" s="175" t="str">
        <f t="shared" si="13"/>
        <v xml:space="preserve">Armação aço CA-50 ø 12,5mm para Contenções (corte e dobra em obra) </v>
      </c>
      <c r="D451" s="175" t="s">
        <v>453</v>
      </c>
      <c r="E451" s="176" t="str">
        <f>_xlfn.XLOOKUP(D451,Insumos!$B$1:$B$764,Insumos!$C$1:$C$764)</f>
        <v>KG</v>
      </c>
      <c r="F451" s="179">
        <v>1.1000000000000001</v>
      </c>
      <c r="G451" s="177">
        <f>IF(B451="insumo",_xlfn.XLOOKUP($D451,Insumos!$B$1:$B$764,Insumos!$D$1:$D$764),"")</f>
        <v>5.59</v>
      </c>
      <c r="H451" s="177" cm="1">
        <f t="array" ref="H451">_xlfn.IFS(B451="Serviço",SUMIFS(H452:$H$3085,C452:$C$3085,$C451),B451="Insumo",F451*G451,B451="Etapa","")</f>
        <v>6.149</v>
      </c>
      <c r="I451" s="178"/>
    </row>
    <row r="452" spans="1:9" hidden="1" outlineLevel="2" x14ac:dyDescent="0.25">
      <c r="A452" s="175">
        <f t="shared" si="14"/>
        <v>24</v>
      </c>
      <c r="B452" s="175" t="s">
        <v>327</v>
      </c>
      <c r="C452" s="175" t="str">
        <f t="shared" si="13"/>
        <v xml:space="preserve">Armação aço CA-50 ø 12,5mm para Contenções (corte e dobra em obra) </v>
      </c>
      <c r="D452" s="175" t="s">
        <v>430</v>
      </c>
      <c r="E452" s="176" t="str">
        <f>_xlfn.XLOOKUP(D452,Insumos!$B$1:$B$764,Insumos!$C$1:$C$764)</f>
        <v>KG</v>
      </c>
      <c r="F452" s="179">
        <v>2.0500000000000001E-2</v>
      </c>
      <c r="G452" s="177">
        <f>IF(B452="insumo",_xlfn.XLOOKUP($D452,Insumos!$B$1:$B$764,Insumos!$D$1:$D$764),"")</f>
        <v>13.69</v>
      </c>
      <c r="H452" s="177" cm="1">
        <f t="array" ref="H452">_xlfn.IFS(B452="Serviço",SUMIFS(H453:$H$3085,C453:$C$3085,$C452),B452="Insumo",F452*G452,B452="Etapa","")</f>
        <v>0.28064499999999998</v>
      </c>
      <c r="I452" s="178"/>
    </row>
    <row r="453" spans="1:9" hidden="1" outlineLevel="2" x14ac:dyDescent="0.25">
      <c r="A453" s="175">
        <f t="shared" si="14"/>
        <v>35</v>
      </c>
      <c r="B453" s="175" t="s">
        <v>327</v>
      </c>
      <c r="C453" s="175" t="str">
        <f t="shared" si="13"/>
        <v xml:space="preserve">Armação aço CA-50 ø 12,5mm para Contenções (corte e dobra em obra) </v>
      </c>
      <c r="D453" s="175" t="s">
        <v>431</v>
      </c>
      <c r="E453" s="176" t="str">
        <f>_xlfn.XLOOKUP(D453,Insumos!$B$1:$B$764,Insumos!$C$1:$C$764)</f>
        <v>UN</v>
      </c>
      <c r="F453" s="179">
        <v>0.05</v>
      </c>
      <c r="G453" s="177">
        <f>IF(B453="insumo",_xlfn.XLOOKUP($D453,Insumos!$B$1:$B$764,Insumos!$D$1:$D$764),"")</f>
        <v>0.27</v>
      </c>
      <c r="H453" s="177" cm="1">
        <f t="array" ref="H453">_xlfn.IFS(B453="Serviço",SUMIFS(H454:$H$3085,C454:$C$3085,$C453),B453="Insumo",F453*G453,B453="Etapa","")</f>
        <v>1.3500000000000002E-2</v>
      </c>
      <c r="I453" s="178"/>
    </row>
    <row r="454" spans="1:9" hidden="1" outlineLevel="1" collapsed="1" x14ac:dyDescent="0.25">
      <c r="A454" s="175">
        <f t="shared" si="14"/>
        <v>1</v>
      </c>
      <c r="B454" s="175" t="s">
        <v>109</v>
      </c>
      <c r="C454" s="175" t="str">
        <f t="shared" ref="C454:C517" si="15">IF(B454="serviço",D454,C453)</f>
        <v>Armação aço CA-50 ø 16,0mm para Contenções (corte e dobra em obra)</v>
      </c>
      <c r="D454" s="175" t="s">
        <v>472</v>
      </c>
      <c r="E454" s="176" t="s">
        <v>428</v>
      </c>
      <c r="F454" s="175"/>
      <c r="G454" s="177" t="str">
        <f>IF(B454="insumo",_xlfn.XLOOKUP($D454,Insumos!$B$1:$B$764,Insumos!$D$1:$D$764),"")</f>
        <v/>
      </c>
      <c r="H454" s="177" cm="1">
        <f t="array" ref="H454">_xlfn.IFS(B454="Serviço",SUMIFS(H455:$H$3085,C455:$C$3085,$C454),B454="Insumo",F454*G454,B454="Etapa","")</f>
        <v>6.4431449999999995</v>
      </c>
      <c r="I454" s="178" t="s">
        <v>195</v>
      </c>
    </row>
    <row r="455" spans="1:9" hidden="1" outlineLevel="2" x14ac:dyDescent="0.25">
      <c r="A455" s="175">
        <f t="shared" si="14"/>
        <v>4</v>
      </c>
      <c r="B455" s="175" t="s">
        <v>327</v>
      </c>
      <c r="C455" s="175" t="str">
        <f t="shared" si="15"/>
        <v>Armação aço CA-50 ø 16,0mm para Contenções (corte e dobra em obra)</v>
      </c>
      <c r="D455" s="175" t="s">
        <v>436</v>
      </c>
      <c r="E455" s="176" t="str">
        <f>_xlfn.XLOOKUP(D455,Insumos!$B$1:$B$764,Insumos!$C$1:$C$764)</f>
        <v>KG</v>
      </c>
      <c r="F455" s="179">
        <v>1.1000000000000001</v>
      </c>
      <c r="G455" s="177">
        <f>IF(B455="insumo",_xlfn.XLOOKUP($D455,Insumos!$B$1:$B$764,Insumos!$D$1:$D$764),"")</f>
        <v>5.59</v>
      </c>
      <c r="H455" s="177" cm="1">
        <f t="array" ref="H455">_xlfn.IFS(B455="Serviço",SUMIFS(H456:$H$3085,C456:$C$3085,$C455),B455="Insumo",F455*G455,B455="Etapa","")</f>
        <v>6.149</v>
      </c>
      <c r="I455" s="178"/>
    </row>
    <row r="456" spans="1:9" hidden="1" outlineLevel="2" x14ac:dyDescent="0.25">
      <c r="A456" s="175">
        <f t="shared" si="14"/>
        <v>24</v>
      </c>
      <c r="B456" s="175" t="s">
        <v>327</v>
      </c>
      <c r="C456" s="175" t="str">
        <f t="shared" si="15"/>
        <v>Armação aço CA-50 ø 16,0mm para Contenções (corte e dobra em obra)</v>
      </c>
      <c r="D456" s="175" t="s">
        <v>430</v>
      </c>
      <c r="E456" s="176" t="str">
        <f>_xlfn.XLOOKUP(D456,Insumos!$B$1:$B$764,Insumos!$C$1:$C$764)</f>
        <v>KG</v>
      </c>
      <c r="F456" s="179">
        <v>2.0500000000000001E-2</v>
      </c>
      <c r="G456" s="177">
        <f>IF(B456="insumo",_xlfn.XLOOKUP($D456,Insumos!$B$1:$B$764,Insumos!$D$1:$D$764),"")</f>
        <v>13.69</v>
      </c>
      <c r="H456" s="177" cm="1">
        <f t="array" ref="H456">_xlfn.IFS(B456="Serviço",SUMIFS(H457:$H$3085,C457:$C$3085,$C456),B456="Insumo",F456*G456,B456="Etapa","")</f>
        <v>0.28064499999999998</v>
      </c>
      <c r="I456" s="178"/>
    </row>
    <row r="457" spans="1:9" hidden="1" outlineLevel="2" x14ac:dyDescent="0.25">
      <c r="A457" s="175">
        <f t="shared" si="14"/>
        <v>35</v>
      </c>
      <c r="B457" s="175" t="s">
        <v>327</v>
      </c>
      <c r="C457" s="175" t="str">
        <f t="shared" si="15"/>
        <v>Armação aço CA-50 ø 16,0mm para Contenções (corte e dobra em obra)</v>
      </c>
      <c r="D457" s="175" t="s">
        <v>431</v>
      </c>
      <c r="E457" s="176" t="str">
        <f>_xlfn.XLOOKUP(D457,Insumos!$B$1:$B$764,Insumos!$C$1:$C$764)</f>
        <v>UN</v>
      </c>
      <c r="F457" s="179">
        <v>0.05</v>
      </c>
      <c r="G457" s="177">
        <f>IF(B457="insumo",_xlfn.XLOOKUP($D457,Insumos!$B$1:$B$764,Insumos!$D$1:$D$764),"")</f>
        <v>0.27</v>
      </c>
      <c r="H457" s="177" cm="1">
        <f t="array" ref="H457">_xlfn.IFS(B457="Serviço",SUMIFS(H458:$H$3085,C458:$C$3085,$C457),B457="Insumo",F457*G457,B457="Etapa","")</f>
        <v>1.3500000000000002E-2</v>
      </c>
      <c r="I457" s="178"/>
    </row>
    <row r="458" spans="1:9" hidden="1" outlineLevel="1" collapsed="1" x14ac:dyDescent="0.25">
      <c r="A458" s="175">
        <f t="shared" si="14"/>
        <v>1</v>
      </c>
      <c r="B458" s="175" t="s">
        <v>109</v>
      </c>
      <c r="C458" s="175" t="str">
        <f t="shared" si="15"/>
        <v xml:space="preserve">Armação aço CA-50 ø 20,0mm para Contenções (corte e dobra em obra) </v>
      </c>
      <c r="D458" s="175" t="s">
        <v>473</v>
      </c>
      <c r="E458" s="176" t="s">
        <v>428</v>
      </c>
      <c r="F458" s="175"/>
      <c r="G458" s="177" t="str">
        <f>IF(B458="insumo",_xlfn.XLOOKUP($D458,Insumos!$B$1:$B$764,Insumos!$D$1:$D$764),"")</f>
        <v/>
      </c>
      <c r="H458" s="177" cm="1">
        <f t="array" ref="H458">_xlfn.IFS(B458="Serviço",SUMIFS(H459:$H$3085,C459:$C$3085,$C458),B458="Insumo",F458*G458,B458="Etapa","")</f>
        <v>6.4431449999999995</v>
      </c>
      <c r="I458" s="178" t="s">
        <v>195</v>
      </c>
    </row>
    <row r="459" spans="1:9" hidden="1" outlineLevel="2" x14ac:dyDescent="0.25">
      <c r="A459" s="175">
        <f t="shared" si="14"/>
        <v>4</v>
      </c>
      <c r="B459" s="175" t="s">
        <v>327</v>
      </c>
      <c r="C459" s="175" t="str">
        <f t="shared" si="15"/>
        <v xml:space="preserve">Armação aço CA-50 ø 20,0mm para Contenções (corte e dobra em obra) </v>
      </c>
      <c r="D459" s="175" t="s">
        <v>437</v>
      </c>
      <c r="E459" s="176" t="str">
        <f>_xlfn.XLOOKUP(D459,Insumos!$B$1:$B$764,Insumos!$C$1:$C$764)</f>
        <v>KG</v>
      </c>
      <c r="F459" s="179">
        <v>1.1000000000000001</v>
      </c>
      <c r="G459" s="177">
        <f>IF(B459="insumo",_xlfn.XLOOKUP($D459,Insumos!$B$1:$B$764,Insumos!$D$1:$D$764),"")</f>
        <v>5.59</v>
      </c>
      <c r="H459" s="177" cm="1">
        <f t="array" ref="H459">_xlfn.IFS(B459="Serviço",SUMIFS(H460:$H$3085,C460:$C$3085,$C459),B459="Insumo",F459*G459,B459="Etapa","")</f>
        <v>6.149</v>
      </c>
      <c r="I459" s="178"/>
    </row>
    <row r="460" spans="1:9" hidden="1" outlineLevel="2" x14ac:dyDescent="0.25">
      <c r="A460" s="175">
        <f t="shared" si="14"/>
        <v>24</v>
      </c>
      <c r="B460" s="175" t="s">
        <v>327</v>
      </c>
      <c r="C460" s="175" t="str">
        <f t="shared" si="15"/>
        <v xml:space="preserve">Armação aço CA-50 ø 20,0mm para Contenções (corte e dobra em obra) </v>
      </c>
      <c r="D460" s="175" t="s">
        <v>430</v>
      </c>
      <c r="E460" s="176" t="str">
        <f>_xlfn.XLOOKUP(D460,Insumos!$B$1:$B$764,Insumos!$C$1:$C$764)</f>
        <v>KG</v>
      </c>
      <c r="F460" s="179">
        <v>2.0500000000000001E-2</v>
      </c>
      <c r="G460" s="177">
        <f>IF(B460="insumo",_xlfn.XLOOKUP($D460,Insumos!$B$1:$B$764,Insumos!$D$1:$D$764),"")</f>
        <v>13.69</v>
      </c>
      <c r="H460" s="177" cm="1">
        <f t="array" ref="H460">_xlfn.IFS(B460="Serviço",SUMIFS(H461:$H$3085,C461:$C$3085,$C460),B460="Insumo",F460*G460,B460="Etapa","")</f>
        <v>0.28064499999999998</v>
      </c>
      <c r="I460" s="178"/>
    </row>
    <row r="461" spans="1:9" hidden="1" outlineLevel="2" x14ac:dyDescent="0.25">
      <c r="A461" s="175">
        <f t="shared" si="14"/>
        <v>35</v>
      </c>
      <c r="B461" s="175" t="s">
        <v>327</v>
      </c>
      <c r="C461" s="175" t="str">
        <f t="shared" si="15"/>
        <v xml:space="preserve">Armação aço CA-50 ø 20,0mm para Contenções (corte e dobra em obra) </v>
      </c>
      <c r="D461" s="175" t="s">
        <v>431</v>
      </c>
      <c r="E461" s="176" t="str">
        <f>_xlfn.XLOOKUP(D461,Insumos!$B$1:$B$764,Insumos!$C$1:$C$764)</f>
        <v>UN</v>
      </c>
      <c r="F461" s="179">
        <v>0.05</v>
      </c>
      <c r="G461" s="177">
        <f>IF(B461="insumo",_xlfn.XLOOKUP($D461,Insumos!$B$1:$B$764,Insumos!$D$1:$D$764),"")</f>
        <v>0.27</v>
      </c>
      <c r="H461" s="177" cm="1">
        <f t="array" ref="H461">_xlfn.IFS(B461="Serviço",SUMIFS(H462:$H$3085,C462:$C$3085,$C461),B461="Insumo",F461*G461,B461="Etapa","")</f>
        <v>1.3500000000000002E-2</v>
      </c>
      <c r="I461" s="178"/>
    </row>
    <row r="462" spans="1:9" hidden="1" outlineLevel="1" x14ac:dyDescent="0.25">
      <c r="A462" s="175">
        <f t="shared" si="14"/>
        <v>1</v>
      </c>
      <c r="B462" s="175" t="s">
        <v>109</v>
      </c>
      <c r="C462" s="175" t="str">
        <f t="shared" si="15"/>
        <v xml:space="preserve">Armação aço CA-50 ø 25,0mm para Contenções (corte e dobra em obra) </v>
      </c>
      <c r="D462" s="175" t="s">
        <v>474</v>
      </c>
      <c r="E462" s="176" t="s">
        <v>428</v>
      </c>
      <c r="F462" s="175"/>
      <c r="G462" s="177" t="str">
        <f>IF(B462="insumo",_xlfn.XLOOKUP($D462,Insumos!$B$1:$B$764,Insumos!$D$1:$D$764),"")</f>
        <v/>
      </c>
      <c r="H462" s="177" cm="1">
        <f t="array" ref="H462">_xlfn.IFS(B462="Serviço",SUMIFS(H463:$H$3085,C463:$C$3085,$C462),B462="Insumo",F462*G462,B462="Etapa","")</f>
        <v>6.7071449999999997</v>
      </c>
      <c r="I462" s="178" t="s">
        <v>195</v>
      </c>
    </row>
    <row r="463" spans="1:9" hidden="1" outlineLevel="2" x14ac:dyDescent="0.25">
      <c r="A463" s="175">
        <f t="shared" si="14"/>
        <v>3</v>
      </c>
      <c r="B463" s="175" t="s">
        <v>327</v>
      </c>
      <c r="C463" s="175" t="str">
        <f t="shared" si="15"/>
        <v xml:space="preserve">Armação aço CA-50 ø 25,0mm para Contenções (corte e dobra em obra) </v>
      </c>
      <c r="D463" s="175" t="s">
        <v>454</v>
      </c>
      <c r="E463" s="176" t="str">
        <f>_xlfn.XLOOKUP(D463,Insumos!$B$1:$B$764,Insumos!$C$1:$C$764)</f>
        <v>KG</v>
      </c>
      <c r="F463" s="179">
        <v>1.1000000000000001</v>
      </c>
      <c r="G463" s="177">
        <f>IF(B463="insumo",_xlfn.XLOOKUP($D463,Insumos!$B$1:$B$764,Insumos!$D$1:$D$764),"")</f>
        <v>5.83</v>
      </c>
      <c r="H463" s="177" cm="1">
        <f t="array" ref="H463">_xlfn.IFS(B463="Serviço",SUMIFS(H464:$H$3085,C464:$C$3085,$C463),B463="Insumo",F463*G463,B463="Etapa","")</f>
        <v>6.4130000000000003</v>
      </c>
      <c r="I463" s="178"/>
    </row>
    <row r="464" spans="1:9" hidden="1" outlineLevel="2" x14ac:dyDescent="0.25">
      <c r="A464" s="175">
        <f t="shared" si="14"/>
        <v>24</v>
      </c>
      <c r="B464" s="175" t="s">
        <v>327</v>
      </c>
      <c r="C464" s="175" t="str">
        <f t="shared" si="15"/>
        <v xml:space="preserve">Armação aço CA-50 ø 25,0mm para Contenções (corte e dobra em obra) </v>
      </c>
      <c r="D464" s="175" t="s">
        <v>430</v>
      </c>
      <c r="E464" s="176" t="str">
        <f>_xlfn.XLOOKUP(D464,Insumos!$B$1:$B$764,Insumos!$C$1:$C$764)</f>
        <v>KG</v>
      </c>
      <c r="F464" s="179">
        <v>2.0500000000000001E-2</v>
      </c>
      <c r="G464" s="177">
        <f>IF(B464="insumo",_xlfn.XLOOKUP($D464,Insumos!$B$1:$B$764,Insumos!$D$1:$D$764),"")</f>
        <v>13.69</v>
      </c>
      <c r="H464" s="177" cm="1">
        <f t="array" ref="H464">_xlfn.IFS(B464="Serviço",SUMIFS(H465:$H$3085,C465:$C$3085,$C464),B464="Insumo",F464*G464,B464="Etapa","")</f>
        <v>0.28064499999999998</v>
      </c>
      <c r="I464" s="178"/>
    </row>
    <row r="465" spans="1:9" hidden="1" outlineLevel="2" x14ac:dyDescent="0.25">
      <c r="A465" s="175">
        <f t="shared" si="14"/>
        <v>35</v>
      </c>
      <c r="B465" s="175" t="s">
        <v>327</v>
      </c>
      <c r="C465" s="175" t="str">
        <f t="shared" si="15"/>
        <v xml:space="preserve">Armação aço CA-50 ø 25,0mm para Contenções (corte e dobra em obra) </v>
      </c>
      <c r="D465" s="175" t="s">
        <v>431</v>
      </c>
      <c r="E465" s="176" t="str">
        <f>_xlfn.XLOOKUP(D465,Insumos!$B$1:$B$764,Insumos!$C$1:$C$764)</f>
        <v>UN</v>
      </c>
      <c r="F465" s="179">
        <v>0.05</v>
      </c>
      <c r="G465" s="177">
        <f>IF(B465="insumo",_xlfn.XLOOKUP($D465,Insumos!$B$1:$B$764,Insumos!$D$1:$D$764),"")</f>
        <v>0.27</v>
      </c>
      <c r="H465" s="177" cm="1">
        <f t="array" ref="H465">_xlfn.IFS(B465="Serviço",SUMIFS(H466:$H$3085,C466:$C$3085,$C465),B465="Insumo",F465*G465,B465="Etapa","")</f>
        <v>1.3500000000000002E-2</v>
      </c>
      <c r="I465" s="178"/>
    </row>
    <row r="466" spans="1:9" hidden="1" outlineLevel="1" collapsed="1" x14ac:dyDescent="0.25">
      <c r="A466" s="175">
        <f t="shared" si="14"/>
        <v>1</v>
      </c>
      <c r="B466" s="175" t="s">
        <v>109</v>
      </c>
      <c r="C466" s="175" t="str">
        <f t="shared" si="15"/>
        <v xml:space="preserve">Armação aço CA-60 ø 5,00mm para Contenções (corte e dobra em obra) </v>
      </c>
      <c r="D466" s="175" t="s">
        <v>475</v>
      </c>
      <c r="E466" s="176" t="s">
        <v>428</v>
      </c>
      <c r="F466" s="175"/>
      <c r="G466" s="177" t="str">
        <f>IF(B466="insumo",_xlfn.XLOOKUP($D466,Insumos!$B$1:$B$764,Insumos!$D$1:$D$764),"")</f>
        <v/>
      </c>
      <c r="H466" s="177" cm="1">
        <f t="array" ref="H466">_xlfn.IFS(B466="Serviço",SUMIFS(H467:$H$3085,C467:$C$3085,$C466),B466="Insumo",F466*G466,B466="Etapa","")</f>
        <v>7.4881450000000003</v>
      </c>
      <c r="I466" s="178" t="s">
        <v>195</v>
      </c>
    </row>
    <row r="467" spans="1:9" hidden="1" outlineLevel="2" x14ac:dyDescent="0.25">
      <c r="A467" s="175">
        <f t="shared" si="14"/>
        <v>4</v>
      </c>
      <c r="B467" s="175" t="s">
        <v>327</v>
      </c>
      <c r="C467" s="175" t="str">
        <f t="shared" si="15"/>
        <v xml:space="preserve">Armação aço CA-60 ø 5,00mm para Contenções (corte e dobra em obra) </v>
      </c>
      <c r="D467" s="175" t="s">
        <v>439</v>
      </c>
      <c r="E467" s="176" t="str">
        <f>_xlfn.XLOOKUP(D467,Insumos!$B$1:$B$764,Insumos!$C$1:$C$764)</f>
        <v>KG</v>
      </c>
      <c r="F467" s="179">
        <v>1.1000000000000001</v>
      </c>
      <c r="G467" s="177">
        <f>IF(B467="insumo",_xlfn.XLOOKUP($D467,Insumos!$B$1:$B$764,Insumos!$D$1:$D$764),"")</f>
        <v>6.54</v>
      </c>
      <c r="H467" s="177" cm="1">
        <f t="array" ref="H467">_xlfn.IFS(B467="Serviço",SUMIFS(H468:$H$3085,C468:$C$3085,$C467),B467="Insumo",F467*G467,B467="Etapa","")</f>
        <v>7.1940000000000008</v>
      </c>
      <c r="I467" s="178"/>
    </row>
    <row r="468" spans="1:9" hidden="1" outlineLevel="2" x14ac:dyDescent="0.25">
      <c r="A468" s="175">
        <f t="shared" si="14"/>
        <v>24</v>
      </c>
      <c r="B468" s="175" t="s">
        <v>327</v>
      </c>
      <c r="C468" s="175" t="str">
        <f t="shared" si="15"/>
        <v xml:space="preserve">Armação aço CA-60 ø 5,00mm para Contenções (corte e dobra em obra) </v>
      </c>
      <c r="D468" s="175" t="s">
        <v>430</v>
      </c>
      <c r="E468" s="176" t="str">
        <f>_xlfn.XLOOKUP(D468,Insumos!$B$1:$B$764,Insumos!$C$1:$C$764)</f>
        <v>KG</v>
      </c>
      <c r="F468" s="179">
        <v>2.0500000000000001E-2</v>
      </c>
      <c r="G468" s="177">
        <f>IF(B468="insumo",_xlfn.XLOOKUP($D468,Insumos!$B$1:$B$764,Insumos!$D$1:$D$764),"")</f>
        <v>13.69</v>
      </c>
      <c r="H468" s="177" cm="1">
        <f t="array" ref="H468">_xlfn.IFS(B468="Serviço",SUMIFS(H469:$H$3085,C469:$C$3085,$C468),B468="Insumo",F468*G468,B468="Etapa","")</f>
        <v>0.28064499999999998</v>
      </c>
      <c r="I468" s="178"/>
    </row>
    <row r="469" spans="1:9" hidden="1" outlineLevel="2" x14ac:dyDescent="0.25">
      <c r="A469" s="175">
        <f t="shared" si="14"/>
        <v>35</v>
      </c>
      <c r="B469" s="175" t="s">
        <v>327</v>
      </c>
      <c r="C469" s="175" t="str">
        <f t="shared" si="15"/>
        <v xml:space="preserve">Armação aço CA-60 ø 5,00mm para Contenções (corte e dobra em obra) </v>
      </c>
      <c r="D469" s="175" t="s">
        <v>431</v>
      </c>
      <c r="E469" s="176" t="str">
        <f>_xlfn.XLOOKUP(D469,Insumos!$B$1:$B$764,Insumos!$C$1:$C$764)</f>
        <v>UN</v>
      </c>
      <c r="F469" s="179">
        <v>0.05</v>
      </c>
      <c r="G469" s="177">
        <f>IF(B469="insumo",_xlfn.XLOOKUP($D469,Insumos!$B$1:$B$764,Insumos!$D$1:$D$764),"")</f>
        <v>0.27</v>
      </c>
      <c r="H469" s="177" cm="1">
        <f t="array" ref="H469">_xlfn.IFS(B469="Serviço",SUMIFS(H470:$H$3085,C470:$C$3085,$C469),B469="Insumo",F469*G469,B469="Etapa","")</f>
        <v>1.3500000000000002E-2</v>
      </c>
      <c r="I469" s="178"/>
    </row>
    <row r="470" spans="1:9" hidden="1" outlineLevel="1" x14ac:dyDescent="0.25">
      <c r="A470" s="175">
        <f t="shared" si="14"/>
        <v>1</v>
      </c>
      <c r="B470" s="175" t="s">
        <v>109</v>
      </c>
      <c r="C470" s="175" t="str">
        <f t="shared" si="15"/>
        <v>Concreto Usinado bombeável para Contenções 25MPa  - incluindo serviço de bombeamento</v>
      </c>
      <c r="D470" s="175" t="s">
        <v>476</v>
      </c>
      <c r="E470" s="176" t="s">
        <v>390</v>
      </c>
      <c r="F470" s="175"/>
      <c r="G470" s="177" t="str">
        <f>IF(B470="insumo",_xlfn.XLOOKUP($D470,Insumos!$B$1:$B$764,Insumos!$D$1:$D$764),"")</f>
        <v/>
      </c>
      <c r="H470" s="177" cm="1">
        <f t="array" ref="H470">_xlfn.IFS(B470="Serviço",SUMIFS(H471:$H$3085,C471:$C$3085,$C470),B470="Insumo",F470*G470,B470="Etapa","")</f>
        <v>640.3599999999999</v>
      </c>
      <c r="I470" s="178" t="s">
        <v>195</v>
      </c>
    </row>
    <row r="471" spans="1:9" hidden="1" outlineLevel="2" x14ac:dyDescent="0.25">
      <c r="A471" s="175">
        <f t="shared" si="14"/>
        <v>3</v>
      </c>
      <c r="B471" s="175" t="s">
        <v>327</v>
      </c>
      <c r="C471" s="175" t="str">
        <f t="shared" si="15"/>
        <v>Concreto Usinado bombeável para Contenções 25MPa  - incluindo serviço de bombeamento</v>
      </c>
      <c r="D471" s="175" t="s">
        <v>441</v>
      </c>
      <c r="E471" s="176" t="str">
        <f>_xlfn.XLOOKUP(D471,Insumos!$B$1:$B$764,Insumos!$C$1:$C$764)</f>
        <v>M3</v>
      </c>
      <c r="F471" s="179">
        <v>1.2</v>
      </c>
      <c r="G471" s="177">
        <f>IF(B471="insumo",_xlfn.XLOOKUP($D471,Insumos!$B$1:$B$764,Insumos!$D$1:$D$764),"")</f>
        <v>492.99999999999994</v>
      </c>
      <c r="H471" s="177" cm="1">
        <f t="array" ref="H471">_xlfn.IFS(B471="Serviço",SUMIFS(H472:$H$3085,C472:$C$3085,$C471),B471="Insumo",F471*G471,B471="Etapa","")</f>
        <v>591.59999999999991</v>
      </c>
      <c r="I471" s="178"/>
    </row>
    <row r="472" spans="1:9" hidden="1" outlineLevel="2" x14ac:dyDescent="0.25">
      <c r="A472" s="175">
        <f t="shared" si="14"/>
        <v>22</v>
      </c>
      <c r="B472" s="175" t="s">
        <v>327</v>
      </c>
      <c r="C472" s="175" t="str">
        <f t="shared" si="15"/>
        <v>Concreto Usinado bombeável para Contenções 25MPa  - incluindo serviço de bombeamento</v>
      </c>
      <c r="D472" s="175" t="s">
        <v>395</v>
      </c>
      <c r="E472" s="176" t="str">
        <f>_xlfn.XLOOKUP(D472,Insumos!$B$1:$B$764,Insumos!$C$1:$C$764)</f>
        <v>M3</v>
      </c>
      <c r="F472" s="179">
        <v>1.2</v>
      </c>
      <c r="G472" s="177">
        <f>IF(B472="insumo",_xlfn.XLOOKUP($D472,Insumos!$B$1:$B$764,Insumos!$D$1:$D$764),"")</f>
        <v>40</v>
      </c>
      <c r="H472" s="177" cm="1">
        <f t="array" ref="H472">_xlfn.IFS(B472="Serviço",SUMIFS(H473:$H$3085,C473:$C$3085,$C472),B472="Insumo",F472*G472,B472="Etapa","")</f>
        <v>48</v>
      </c>
      <c r="I472" s="178"/>
    </row>
    <row r="473" spans="1:9" hidden="1" outlineLevel="2" x14ac:dyDescent="0.25">
      <c r="A473" s="175">
        <f t="shared" si="14"/>
        <v>39</v>
      </c>
      <c r="B473" s="175" t="s">
        <v>327</v>
      </c>
      <c r="C473" s="175" t="str">
        <f t="shared" si="15"/>
        <v>Concreto Usinado bombeável para Contenções 25MPa  - incluindo serviço de bombeamento</v>
      </c>
      <c r="D473" s="175" t="s">
        <v>396</v>
      </c>
      <c r="E473" s="176" t="str">
        <f>_xlfn.XLOOKUP(D473,Insumos!$B$1:$B$764,Insumos!$C$1:$C$764)</f>
        <v>KG</v>
      </c>
      <c r="F473" s="179">
        <v>1</v>
      </c>
      <c r="G473" s="177">
        <f>IF(B473="insumo",_xlfn.XLOOKUP($D473,Insumos!$B$1:$B$764,Insumos!$D$1:$D$764),"")</f>
        <v>0.76</v>
      </c>
      <c r="H473" s="177" cm="1">
        <f t="array" ref="H473">_xlfn.IFS(B473="Serviço",SUMIFS(H474:$H$3085,C474:$C$3085,$C473),B473="Insumo",F473*G473,B473="Etapa","")</f>
        <v>0.76</v>
      </c>
      <c r="I473" s="178"/>
    </row>
    <row r="474" spans="1:9" hidden="1" outlineLevel="1" x14ac:dyDescent="0.25">
      <c r="A474" s="175">
        <f t="shared" si="14"/>
        <v>1</v>
      </c>
      <c r="B474" s="175" t="s">
        <v>109</v>
      </c>
      <c r="C474" s="175" t="str">
        <f t="shared" si="15"/>
        <v>Concreto Usinado bombeável para Contenções 30MPa  - incluindo serviço de bombeamento</v>
      </c>
      <c r="D474" s="175" t="s">
        <v>477</v>
      </c>
      <c r="E474" s="176" t="s">
        <v>390</v>
      </c>
      <c r="F474" s="175"/>
      <c r="G474" s="177" t="str">
        <f>IF(B474="insumo",_xlfn.XLOOKUP($D474,Insumos!$B$1:$B$764,Insumos!$D$1:$D$764),"")</f>
        <v/>
      </c>
      <c r="H474" s="177" cm="1">
        <f t="array" ref="H474">_xlfn.IFS(B474="Serviço",SUMIFS(H475:$H$3085,C475:$C$3085,$C474),B474="Insumo",F474*G474,B474="Etapa","")</f>
        <v>654.76</v>
      </c>
      <c r="I474" s="178" t="s">
        <v>195</v>
      </c>
    </row>
    <row r="475" spans="1:9" hidden="1" outlineLevel="2" x14ac:dyDescent="0.25">
      <c r="A475" s="175">
        <f t="shared" si="14"/>
        <v>4</v>
      </c>
      <c r="B475" s="175" t="s">
        <v>327</v>
      </c>
      <c r="C475" s="175" t="str">
        <f t="shared" si="15"/>
        <v>Concreto Usinado bombeável para Contenções 30MPa  - incluindo serviço de bombeamento</v>
      </c>
      <c r="D475" s="175" t="s">
        <v>457</v>
      </c>
      <c r="E475" s="176" t="str">
        <f>_xlfn.XLOOKUP(D475,Insumos!$B$1:$B$764,Insumos!$C$1:$C$764)</f>
        <v>M3</v>
      </c>
      <c r="F475" s="179">
        <v>1.2</v>
      </c>
      <c r="G475" s="177">
        <f>IF(B475="insumo",_xlfn.XLOOKUP($D475,Insumos!$B$1:$B$764,Insumos!$D$1:$D$764),"")</f>
        <v>510</v>
      </c>
      <c r="H475" s="177" cm="1">
        <f t="array" ref="H475">_xlfn.IFS(B475="Serviço",SUMIFS(H476:$H$3085,C476:$C$3085,$C475),B475="Insumo",F475*G475,B475="Etapa","")</f>
        <v>612</v>
      </c>
      <c r="I475" s="178"/>
    </row>
    <row r="476" spans="1:9" hidden="1" outlineLevel="2" x14ac:dyDescent="0.25">
      <c r="A476" s="175">
        <f t="shared" si="14"/>
        <v>22</v>
      </c>
      <c r="B476" s="175" t="s">
        <v>327</v>
      </c>
      <c r="C476" s="175" t="str">
        <f t="shared" si="15"/>
        <v>Concreto Usinado bombeável para Contenções 30MPa  - incluindo serviço de bombeamento</v>
      </c>
      <c r="D476" s="175" t="s">
        <v>395</v>
      </c>
      <c r="E476" s="176" t="str">
        <f>_xlfn.XLOOKUP(D476,Insumos!$B$1:$B$764,Insumos!$C$1:$C$764)</f>
        <v>M3</v>
      </c>
      <c r="F476" s="179">
        <v>1.05</v>
      </c>
      <c r="G476" s="177">
        <f>IF(B476="insumo",_xlfn.XLOOKUP($D476,Insumos!$B$1:$B$764,Insumos!$D$1:$D$764),"")</f>
        <v>40</v>
      </c>
      <c r="H476" s="177" cm="1">
        <f t="array" ref="H476">_xlfn.IFS(B476="Serviço",SUMIFS(H477:$H$3085,C477:$C$3085,$C476),B476="Insumo",F476*G476,B476="Etapa","")</f>
        <v>42</v>
      </c>
      <c r="I476" s="178"/>
    </row>
    <row r="477" spans="1:9" hidden="1" outlineLevel="2" x14ac:dyDescent="0.25">
      <c r="A477" s="175">
        <f t="shared" si="14"/>
        <v>39</v>
      </c>
      <c r="B477" s="175" t="s">
        <v>327</v>
      </c>
      <c r="C477" s="175" t="str">
        <f t="shared" si="15"/>
        <v>Concreto Usinado bombeável para Contenções 30MPa  - incluindo serviço de bombeamento</v>
      </c>
      <c r="D477" s="175" t="s">
        <v>396</v>
      </c>
      <c r="E477" s="176" t="str">
        <f>_xlfn.XLOOKUP(D477,Insumos!$B$1:$B$764,Insumos!$C$1:$C$764)</f>
        <v>KG</v>
      </c>
      <c r="F477" s="179">
        <v>1</v>
      </c>
      <c r="G477" s="177">
        <f>IF(B477="insumo",_xlfn.XLOOKUP($D477,Insumos!$B$1:$B$764,Insumos!$D$1:$D$764),"")</f>
        <v>0.76</v>
      </c>
      <c r="H477" s="177" cm="1">
        <f t="array" ref="H477">_xlfn.IFS(B477="Serviço",SUMIFS(H478:$H$3085,C478:$C$3085,$C477),B477="Insumo",F477*G477,B477="Etapa","")</f>
        <v>0.76</v>
      </c>
      <c r="I477" s="178"/>
    </row>
    <row r="478" spans="1:9" hidden="1" outlineLevel="1" collapsed="1" x14ac:dyDescent="0.25">
      <c r="A478" s="175">
        <f t="shared" si="14"/>
        <v>1</v>
      </c>
      <c r="B478" s="175" t="s">
        <v>109</v>
      </c>
      <c r="C478" s="175" t="str">
        <f t="shared" si="15"/>
        <v>Mão de obra de obra execução de contenção em cortina de concreto</v>
      </c>
      <c r="D478" s="175" t="s">
        <v>478</v>
      </c>
      <c r="E478" s="176" t="str">
        <f>_xlfn.XLOOKUP(D478,Insumos!$B$1:$B$764,Insumos!$C$1:$C$764)</f>
        <v>M2</v>
      </c>
      <c r="F478" s="175"/>
      <c r="G478" s="177" t="str">
        <f>IF(B478="insumo",_xlfn.XLOOKUP($D478,Insumos!$B$1:$B$764,Insumos!$D$1:$D$764),"")</f>
        <v/>
      </c>
      <c r="H478" s="177" cm="1">
        <f t="array" ref="H478">_xlfn.IFS(B478="Serviço",SUMIFS(H479:$H$3085,C479:$C$3085,$C478),B478="Insumo",F478*G478,B478="Etapa","")</f>
        <v>166.34420509708741</v>
      </c>
      <c r="I478" s="178" t="s">
        <v>195</v>
      </c>
    </row>
    <row r="479" spans="1:9" hidden="1" outlineLevel="2" x14ac:dyDescent="0.25">
      <c r="A479" s="175">
        <f t="shared" si="14"/>
        <v>1</v>
      </c>
      <c r="B479" s="175" t="s">
        <v>327</v>
      </c>
      <c r="C479" s="175" t="str">
        <f t="shared" si="15"/>
        <v>Mão de obra de obra execução de contenção em cortina de concreto</v>
      </c>
      <c r="D479" s="175" t="s">
        <v>478</v>
      </c>
      <c r="E479" s="176" t="str">
        <f>_xlfn.XLOOKUP(D479,Insumos!$B$1:$B$764,Insumos!$C$1:$C$764)</f>
        <v>M2</v>
      </c>
      <c r="F479" s="179">
        <v>1</v>
      </c>
      <c r="G479" s="177">
        <f>IF(B479="insumo",_xlfn.XLOOKUP($D479,Insumos!$B$1:$B$764,Insumos!$D$1:$D$764),"")</f>
        <v>166.34420509708741</v>
      </c>
      <c r="H479" s="177" cm="1">
        <f t="array" ref="H479">_xlfn.IFS(B479="Serviço",SUMIFS(H480:$H$3085,C480:$C$3085,$C479),B479="Insumo",F479*G479,B479="Etapa","")</f>
        <v>166.34420509708741</v>
      </c>
      <c r="I479" s="178"/>
    </row>
    <row r="480" spans="1:9" x14ac:dyDescent="0.25">
      <c r="A480" s="172">
        <f t="shared" si="14"/>
        <v>1</v>
      </c>
      <c r="B480" s="172" t="s">
        <v>107</v>
      </c>
      <c r="C480" s="172"/>
      <c r="D480" s="172" t="s">
        <v>51</v>
      </c>
      <c r="E480" s="173"/>
      <c r="F480" s="174"/>
      <c r="G480" s="180" t="str">
        <f>IF(B480="insumo",_xlfn.XLOOKUP($D480,Insumos!$B$1:$B$764,Insumos!$D$1:$D$764),"")</f>
        <v/>
      </c>
      <c r="H480" s="177" t="str" cm="1">
        <f t="array" ref="H480">_xlfn.IFS(B480="Serviço",SUMIFS(H481:$H$3085,C481:$C$3085,$C480),B480="Insumo",F480*G480,B480="Etapa","")</f>
        <v/>
      </c>
      <c r="I480" s="174"/>
    </row>
    <row r="481" spans="1:9" outlineLevel="1" collapsed="1" x14ac:dyDescent="0.25">
      <c r="A481" s="175">
        <f t="shared" si="14"/>
        <v>1</v>
      </c>
      <c r="B481" s="175" t="s">
        <v>109</v>
      </c>
      <c r="C481" s="175" t="str">
        <f t="shared" si="15"/>
        <v>Forma para Laje Contrapiso Térreo em Tábuas de Madeira Serrada 18mm 4x reaproveitamento</v>
      </c>
      <c r="D481" s="175" t="s">
        <v>479</v>
      </c>
      <c r="E481" s="176" t="s">
        <v>13</v>
      </c>
      <c r="F481" s="175"/>
      <c r="G481" s="177" t="str">
        <f>IF(B481="insumo",_xlfn.XLOOKUP($D481,Insumos!$B$1:$B$764,Insumos!$D$1:$D$764),"")</f>
        <v/>
      </c>
      <c r="H481" s="177" cm="1">
        <f t="array" ref="H481">_xlfn.IFS(B481="Serviço",SUMIFS(H482:$H$3085,C482:$C$3085,$C481),B481="Insumo",F481*G481,B481="Etapa","")</f>
        <v>65.418449999999993</v>
      </c>
      <c r="I481" s="178" t="s">
        <v>195</v>
      </c>
    </row>
    <row r="482" spans="1:9" hidden="1" outlineLevel="2" x14ac:dyDescent="0.25">
      <c r="A482" s="175">
        <f t="shared" si="14"/>
        <v>36</v>
      </c>
      <c r="B482" s="175" t="s">
        <v>327</v>
      </c>
      <c r="C482" s="175" t="str">
        <f t="shared" si="15"/>
        <v>Forma para Laje Contrapiso Térreo em Tábuas de Madeira Serrada 18mm 4x reaproveitamento</v>
      </c>
      <c r="D482" s="175" t="s">
        <v>349</v>
      </c>
      <c r="E482" s="176" t="str">
        <f>_xlfn.XLOOKUP(D482,Insumos!$B$1:$B$764,Insumos!$C$1:$C$764)</f>
        <v>KG</v>
      </c>
      <c r="F482" s="179">
        <v>9.5000000000000001E-2</v>
      </c>
      <c r="G482" s="177">
        <f>IF(B482="insumo",_xlfn.XLOOKUP($D482,Insumos!$B$1:$B$764,Insumos!$D$1:$D$764),"")</f>
        <v>18.13</v>
      </c>
      <c r="H482" s="177" cm="1">
        <f t="array" ref="H482">_xlfn.IFS(B482="Serviço",SUMIFS(H483:$H$3085,C483:$C$3085,$C482),B482="Insumo",F482*G482,B482="Etapa","")</f>
        <v>1.7223499999999998</v>
      </c>
      <c r="I482" s="178"/>
    </row>
    <row r="483" spans="1:9" hidden="1" outlineLevel="2" x14ac:dyDescent="0.25">
      <c r="A483" s="175">
        <f t="shared" si="14"/>
        <v>9</v>
      </c>
      <c r="B483" s="175" t="s">
        <v>327</v>
      </c>
      <c r="C483" s="175" t="str">
        <f t="shared" si="15"/>
        <v>Forma para Laje Contrapiso Térreo em Tábuas de Madeira Serrada 18mm 4x reaproveitamento</v>
      </c>
      <c r="D483" s="175" t="s">
        <v>450</v>
      </c>
      <c r="E483" s="176" t="str">
        <f>_xlfn.XLOOKUP(D483,Insumos!$B$1:$B$764,Insumos!$C$1:$C$764)</f>
        <v>L</v>
      </c>
      <c r="F483" s="179">
        <v>1.7000000000000001E-2</v>
      </c>
      <c r="G483" s="177">
        <f>IF(B483="insumo",_xlfn.XLOOKUP($D483,Insumos!$B$1:$B$764,Insumos!$D$1:$D$764),"")</f>
        <v>15.55</v>
      </c>
      <c r="H483" s="177" cm="1">
        <f t="array" ref="H483">_xlfn.IFS(B483="Serviço",SUMIFS(H484:$H$3085,C484:$C$3085,$C483),B483="Insumo",F483*G483,B483="Etapa","")</f>
        <v>0.26435000000000003</v>
      </c>
      <c r="I483" s="178"/>
    </row>
    <row r="484" spans="1:9" hidden="1" outlineLevel="2" x14ac:dyDescent="0.25">
      <c r="A484" s="175">
        <f t="shared" si="14"/>
        <v>24</v>
      </c>
      <c r="B484" s="175" t="s">
        <v>327</v>
      </c>
      <c r="C484" s="175" t="str">
        <f t="shared" si="15"/>
        <v>Forma para Laje Contrapiso Térreo em Tábuas de Madeira Serrada 18mm 4x reaproveitamento</v>
      </c>
      <c r="D484" s="175" t="s">
        <v>346</v>
      </c>
      <c r="E484" s="176" t="str">
        <f>_xlfn.XLOOKUP(D484,Insumos!$B$1:$B$764,Insumos!$C$1:$C$764)</f>
        <v>M</v>
      </c>
      <c r="F484" s="179">
        <v>0.44857142857142857</v>
      </c>
      <c r="G484" s="177">
        <f>IF(B484="insumo",_xlfn.XLOOKUP($D484,Insumos!$B$1:$B$764,Insumos!$D$1:$D$764),"")</f>
        <v>7</v>
      </c>
      <c r="H484" s="177" cm="1">
        <f t="array" ref="H484">_xlfn.IFS(B484="Serviço",SUMIFS(H485:$H$3085,C485:$C$3085,$C484),B484="Insumo",F484*G484,B484="Etapa","")</f>
        <v>3.14</v>
      </c>
      <c r="I484" s="178"/>
    </row>
    <row r="485" spans="1:9" hidden="1" outlineLevel="2" x14ac:dyDescent="0.25">
      <c r="A485" s="175">
        <f t="shared" si="14"/>
        <v>18</v>
      </c>
      <c r="B485" s="175" t="s">
        <v>327</v>
      </c>
      <c r="C485" s="175" t="str">
        <f t="shared" si="15"/>
        <v>Forma para Laje Contrapiso Térreo em Tábuas de Madeira Serrada 18mm 4x reaproveitamento</v>
      </c>
      <c r="D485" s="175" t="s">
        <v>373</v>
      </c>
      <c r="E485" s="176" t="str">
        <f>_xlfn.XLOOKUP(D485,Insumos!$B$1:$B$764,Insumos!$C$1:$C$764)</f>
        <v>M3</v>
      </c>
      <c r="F485" s="179">
        <v>1.2570000000000001E-3</v>
      </c>
      <c r="G485" s="177">
        <f>IF(B485="insumo",_xlfn.XLOOKUP($D485,Insumos!$B$1:$B$764,Insumos!$D$1:$D$764),"")</f>
        <v>1350</v>
      </c>
      <c r="H485" s="177" cm="1">
        <f t="array" ref="H485">_xlfn.IFS(B485="Serviço",SUMIFS(H486:$H$3085,C486:$C$3085,$C485),B485="Insumo",F485*G485,B485="Etapa","")</f>
        <v>1.6969500000000002</v>
      </c>
      <c r="I485" s="178"/>
    </row>
    <row r="486" spans="1:9" hidden="1" outlineLevel="2" x14ac:dyDescent="0.25">
      <c r="A486" s="175">
        <f t="shared" si="14"/>
        <v>3</v>
      </c>
      <c r="B486" s="175" t="s">
        <v>327</v>
      </c>
      <c r="C486" s="175" t="str">
        <f t="shared" si="15"/>
        <v>Forma para Laje Contrapiso Térreo em Tábuas de Madeira Serrada 18mm 4x reaproveitamento</v>
      </c>
      <c r="D486" s="175" t="s">
        <v>480</v>
      </c>
      <c r="E486" s="176" t="str">
        <f>_xlfn.XLOOKUP(D486,Insumos!$B$1:$B$764,Insumos!$C$1:$C$764)</f>
        <v>M</v>
      </c>
      <c r="F486" s="179">
        <v>1.38</v>
      </c>
      <c r="G486" s="177">
        <f>IF(B486="insumo",_xlfn.XLOOKUP($D486,Insumos!$B$1:$B$764,Insumos!$D$1:$D$764),"")</f>
        <v>42.46</v>
      </c>
      <c r="H486" s="177" cm="1">
        <f t="array" ref="H486">_xlfn.IFS(B486="Serviço",SUMIFS(H487:$H$3085,C487:$C$3085,$C486),B486="Insumo",F486*G486,B486="Etapa","")</f>
        <v>58.594799999999999</v>
      </c>
      <c r="I486" s="178"/>
    </row>
    <row r="487" spans="1:9" outlineLevel="1" collapsed="1" x14ac:dyDescent="0.25">
      <c r="A487" s="175">
        <f t="shared" si="14"/>
        <v>1</v>
      </c>
      <c r="B487" s="175" t="s">
        <v>109</v>
      </c>
      <c r="C487" s="175" t="str">
        <f t="shared" si="15"/>
        <v>Fabricação de Fôrma para Pilares, em Chapa de Madeira Compensada Plastificada, E=18mm</v>
      </c>
      <c r="D487" s="175" t="s">
        <v>481</v>
      </c>
      <c r="E487" s="176" t="s">
        <v>13</v>
      </c>
      <c r="F487" s="175"/>
      <c r="G487" s="177" t="str">
        <f>IF(B487="insumo",_xlfn.XLOOKUP($D487,Insumos!$B$1:$B$764,Insumos!$D$1:$D$764),"")</f>
        <v/>
      </c>
      <c r="H487" s="177" cm="1">
        <f t="array" ref="H487">_xlfn.IFS(B487="Serviço",SUMIFS(H488:$H$3085,C488:$C$3085,$C487),B487="Insumo",F487*G487,B487="Etapa","")</f>
        <v>117.15402760330576</v>
      </c>
      <c r="I487" s="178" t="s">
        <v>195</v>
      </c>
    </row>
    <row r="488" spans="1:9" hidden="1" outlineLevel="2" x14ac:dyDescent="0.25">
      <c r="A488" s="175">
        <f t="shared" si="14"/>
        <v>36</v>
      </c>
      <c r="B488" s="175" t="s">
        <v>327</v>
      </c>
      <c r="C488" s="175" t="str">
        <f t="shared" si="15"/>
        <v>Fabricação de Fôrma para Pilares, em Chapa de Madeira Compensada Plastificada, E=18mm</v>
      </c>
      <c r="D488" s="175" t="s">
        <v>349</v>
      </c>
      <c r="E488" s="176" t="str">
        <f>_xlfn.XLOOKUP(D488,Insumos!$B$1:$B$764,Insumos!$C$1:$C$764)</f>
        <v>KG</v>
      </c>
      <c r="F488" s="179">
        <v>0.20799999999999999</v>
      </c>
      <c r="G488" s="177">
        <f>IF(B488="insumo",_xlfn.XLOOKUP($D488,Insumos!$B$1:$B$764,Insumos!$D$1:$D$764),"")</f>
        <v>18.13</v>
      </c>
      <c r="H488" s="177" cm="1">
        <f t="array" ref="H488">_xlfn.IFS(B488="Serviço",SUMIFS(H489:$H$3085,C489:$C$3085,$C488),B488="Insumo",F488*G488,B488="Etapa","")</f>
        <v>3.7710399999999997</v>
      </c>
      <c r="I488" s="178"/>
    </row>
    <row r="489" spans="1:9" hidden="1" outlineLevel="2" x14ac:dyDescent="0.25">
      <c r="A489" s="175">
        <f t="shared" si="14"/>
        <v>3</v>
      </c>
      <c r="B489" s="175" t="s">
        <v>327</v>
      </c>
      <c r="C489" s="175" t="str">
        <f t="shared" si="15"/>
        <v>Fabricação de Fôrma para Pilares, em Chapa de Madeira Compensada Plastificada, E=18mm</v>
      </c>
      <c r="D489" s="175" t="s">
        <v>482</v>
      </c>
      <c r="E489" s="176" t="str">
        <f>_xlfn.XLOOKUP(D489,Insumos!$B$1:$B$764,Insumos!$C$1:$C$764)</f>
        <v>M2</v>
      </c>
      <c r="F489" s="179">
        <v>1.3360000000000001</v>
      </c>
      <c r="G489" s="177">
        <f>IF(B489="insumo",_xlfn.XLOOKUP($D489,Insumos!$B$1:$B$764,Insumos!$D$1:$D$764),"")</f>
        <v>59.297520661157016</v>
      </c>
      <c r="H489" s="177" cm="1">
        <f t="array" ref="H489">_xlfn.IFS(B489="Serviço",SUMIFS(H490:$H$3085,C490:$C$3085,$C489),B489="Insumo",F489*G489,B489="Etapa","")</f>
        <v>79.221487603305775</v>
      </c>
      <c r="I489" s="178"/>
    </row>
    <row r="490" spans="1:9" hidden="1" outlineLevel="2" x14ac:dyDescent="0.25">
      <c r="A490" s="175">
        <f t="shared" si="14"/>
        <v>24</v>
      </c>
      <c r="B490" s="175" t="s">
        <v>327</v>
      </c>
      <c r="C490" s="175" t="str">
        <f t="shared" si="15"/>
        <v>Fabricação de Fôrma para Pilares, em Chapa de Madeira Compensada Plastificada, E=18mm</v>
      </c>
      <c r="D490" s="175" t="s">
        <v>346</v>
      </c>
      <c r="E490" s="176" t="str">
        <f>_xlfn.XLOOKUP(D490,Insumos!$B$1:$B$764,Insumos!$C$1:$C$764)</f>
        <v>M</v>
      </c>
      <c r="F490" s="179">
        <v>0.42714285714285716</v>
      </c>
      <c r="G490" s="177">
        <f>IF(B490="insumo",_xlfn.XLOOKUP($D490,Insumos!$B$1:$B$764,Insumos!$D$1:$D$764),"")</f>
        <v>7</v>
      </c>
      <c r="H490" s="177" cm="1">
        <f t="array" ref="H490">_xlfn.IFS(B490="Serviço",SUMIFS(H491:$H$3085,C491:$C$3085,$C490),B490="Insumo",F490*G490,B490="Etapa","")</f>
        <v>2.99</v>
      </c>
      <c r="I490" s="178"/>
    </row>
    <row r="491" spans="1:9" hidden="1" outlineLevel="2" x14ac:dyDescent="0.25">
      <c r="A491" s="175">
        <f t="shared" si="14"/>
        <v>18</v>
      </c>
      <c r="B491" s="175" t="s">
        <v>327</v>
      </c>
      <c r="C491" s="175" t="str">
        <f t="shared" si="15"/>
        <v>Fabricação de Fôrma para Pilares, em Chapa de Madeira Compensada Plastificada, E=18mm</v>
      </c>
      <c r="D491" s="175" t="s">
        <v>373</v>
      </c>
      <c r="E491" s="176" t="str">
        <f>_xlfn.XLOOKUP(D491,Insumos!$B$1:$B$764,Insumos!$C$1:$C$764)</f>
        <v>M3</v>
      </c>
      <c r="F491" s="179">
        <v>2.3089999999999999E-2</v>
      </c>
      <c r="G491" s="177">
        <f>IF(B491="insumo",_xlfn.XLOOKUP($D491,Insumos!$B$1:$B$764,Insumos!$D$1:$D$764),"")</f>
        <v>1350</v>
      </c>
      <c r="H491" s="177" cm="1">
        <f t="array" ref="H491">_xlfn.IFS(B491="Serviço",SUMIFS(H492:$H$3085,C492:$C$3085,$C491),B491="Insumo",F491*G491,B491="Etapa","")</f>
        <v>31.171499999999998</v>
      </c>
      <c r="I491" s="178"/>
    </row>
    <row r="492" spans="1:9" outlineLevel="1" collapsed="1" x14ac:dyDescent="0.25">
      <c r="A492" s="175">
        <f t="shared" si="14"/>
        <v>1</v>
      </c>
      <c r="B492" s="175" t="s">
        <v>109</v>
      </c>
      <c r="C492" s="175" t="str">
        <f t="shared" si="15"/>
        <v>Fabricação de Fôrma para Vigas, em Chapa de Madeira Compensada Plastificada, E=18mm</v>
      </c>
      <c r="D492" s="175" t="s">
        <v>483</v>
      </c>
      <c r="E492" s="176" t="s">
        <v>13</v>
      </c>
      <c r="F492" s="175"/>
      <c r="G492" s="177" t="str">
        <f>IF(B492="insumo",_xlfn.XLOOKUP($D492,Insumos!$B$1:$B$764,Insumos!$D$1:$D$764),"")</f>
        <v/>
      </c>
      <c r="H492" s="177" cm="1">
        <f t="array" ref="H492">_xlfn.IFS(B492="Serviço",SUMIFS(H493:$H$3085,C493:$C$3085,$C492),B492="Insumo",F492*G492,B492="Etapa","")</f>
        <v>96.647628677685944</v>
      </c>
      <c r="I492" s="178" t="s">
        <v>195</v>
      </c>
    </row>
    <row r="493" spans="1:9" hidden="1" outlineLevel="2" x14ac:dyDescent="0.25">
      <c r="A493" s="175">
        <f t="shared" si="14"/>
        <v>36</v>
      </c>
      <c r="B493" s="175" t="s">
        <v>327</v>
      </c>
      <c r="C493" s="175" t="str">
        <f t="shared" si="15"/>
        <v>Fabricação de Fôrma para Vigas, em Chapa de Madeira Compensada Plastificada, E=18mm</v>
      </c>
      <c r="D493" s="175" t="s">
        <v>349</v>
      </c>
      <c r="E493" s="176" t="str">
        <f>_xlfn.XLOOKUP(D493,Insumos!$B$1:$B$764,Insumos!$C$1:$C$764)</f>
        <v>KG</v>
      </c>
      <c r="F493" s="179">
        <v>0.159</v>
      </c>
      <c r="G493" s="177">
        <f>IF(B493="insumo",_xlfn.XLOOKUP($D493,Insumos!$B$1:$B$764,Insumos!$D$1:$D$764),"")</f>
        <v>18.13</v>
      </c>
      <c r="H493" s="177" cm="1">
        <f t="array" ref="H493">_xlfn.IFS(B493="Serviço",SUMIFS(H494:$H$3085,C494:$C$3085,$C493),B493="Insumo",F493*G493,B493="Etapa","")</f>
        <v>2.8826700000000001</v>
      </c>
      <c r="I493" s="178"/>
    </row>
    <row r="494" spans="1:9" hidden="1" outlineLevel="2" x14ac:dyDescent="0.25">
      <c r="A494" s="175">
        <f t="shared" si="14"/>
        <v>3</v>
      </c>
      <c r="B494" s="175" t="s">
        <v>327</v>
      </c>
      <c r="C494" s="175" t="str">
        <f t="shared" si="15"/>
        <v>Fabricação de Fôrma para Vigas, em Chapa de Madeira Compensada Plastificada, E=18mm</v>
      </c>
      <c r="D494" s="175" t="s">
        <v>482</v>
      </c>
      <c r="E494" s="176" t="str">
        <f>_xlfn.XLOOKUP(D494,Insumos!$B$1:$B$764,Insumos!$C$1:$C$764)</f>
        <v>M2</v>
      </c>
      <c r="F494" s="179">
        <v>1.1459999999999999</v>
      </c>
      <c r="G494" s="177">
        <f>IF(B494="insumo",_xlfn.XLOOKUP($D494,Insumos!$B$1:$B$764,Insumos!$D$1:$D$764),"")</f>
        <v>59.297520661157016</v>
      </c>
      <c r="H494" s="177" cm="1">
        <f t="array" ref="H494">_xlfn.IFS(B494="Serviço",SUMIFS(H495:$H$3085,C495:$C$3085,$C494),B494="Insumo",F494*G494,B494="Etapa","")</f>
        <v>67.954958677685937</v>
      </c>
      <c r="I494" s="178"/>
    </row>
    <row r="495" spans="1:9" hidden="1" outlineLevel="2" x14ac:dyDescent="0.25">
      <c r="A495" s="175">
        <f t="shared" si="14"/>
        <v>24</v>
      </c>
      <c r="B495" s="175" t="s">
        <v>327</v>
      </c>
      <c r="C495" s="175" t="str">
        <f t="shared" si="15"/>
        <v>Fabricação de Fôrma para Vigas, em Chapa de Madeira Compensada Plastificada, E=18mm</v>
      </c>
      <c r="D495" s="175" t="s">
        <v>346</v>
      </c>
      <c r="E495" s="176" t="str">
        <f>_xlfn.XLOOKUP(D495,Insumos!$B$1:$B$764,Insumos!$C$1:$C$764)</f>
        <v>M</v>
      </c>
      <c r="F495" s="179">
        <v>0.33571428571428574</v>
      </c>
      <c r="G495" s="177">
        <f>IF(B495="insumo",_xlfn.XLOOKUP($D495,Insumos!$B$1:$B$764,Insumos!$D$1:$D$764),"")</f>
        <v>7</v>
      </c>
      <c r="H495" s="177" cm="1">
        <f t="array" ref="H495">_xlfn.IFS(B495="Serviço",SUMIFS(H496:$H$3085,C496:$C$3085,$C495),B495="Insumo",F495*G495,B495="Etapa","")</f>
        <v>2.35</v>
      </c>
      <c r="I495" s="178"/>
    </row>
    <row r="496" spans="1:9" hidden="1" outlineLevel="2" x14ac:dyDescent="0.25">
      <c r="A496" s="175">
        <f t="shared" si="14"/>
        <v>18</v>
      </c>
      <c r="B496" s="175" t="s">
        <v>327</v>
      </c>
      <c r="C496" s="175" t="str">
        <f t="shared" si="15"/>
        <v>Fabricação de Fôrma para Vigas, em Chapa de Madeira Compensada Plastificada, E=18mm</v>
      </c>
      <c r="D496" s="175" t="s">
        <v>373</v>
      </c>
      <c r="E496" s="176" t="str">
        <f>_xlfn.XLOOKUP(D496,Insumos!$B$1:$B$764,Insumos!$C$1:$C$764)</f>
        <v>M3</v>
      </c>
      <c r="F496" s="179">
        <v>1.737777777777778E-2</v>
      </c>
      <c r="G496" s="177">
        <f>IF(B496="insumo",_xlfn.XLOOKUP($D496,Insumos!$B$1:$B$764,Insumos!$D$1:$D$764),"")</f>
        <v>1350</v>
      </c>
      <c r="H496" s="177" cm="1">
        <f t="array" ref="H496">_xlfn.IFS(B496="Serviço",SUMIFS(H497:$H$3085,C497:$C$3085,$C496),B496="Insumo",F496*G496,B496="Etapa","")</f>
        <v>23.460000000000004</v>
      </c>
      <c r="I496" s="178"/>
    </row>
    <row r="497" spans="1:9" outlineLevel="1" collapsed="1" x14ac:dyDescent="0.25">
      <c r="A497" s="175">
        <f t="shared" si="14"/>
        <v>1</v>
      </c>
      <c r="B497" s="175" t="s">
        <v>109</v>
      </c>
      <c r="C497" s="175" t="str">
        <f t="shared" si="15"/>
        <v>Fabricação de Fôrma para Lajes, em Chapa de Madeira Compensada Plastificada, E=18mm</v>
      </c>
      <c r="D497" s="175" t="s">
        <v>485</v>
      </c>
      <c r="E497" s="176" t="s">
        <v>13</v>
      </c>
      <c r="F497" s="175"/>
      <c r="G497" s="177" t="str">
        <f>IF(B497="insumo",_xlfn.XLOOKUP($D497,Insumos!$B$1:$B$764,Insumos!$D$1:$D$764),"")</f>
        <v/>
      </c>
      <c r="H497" s="177" cm="1">
        <f t="array" ref="H497">_xlfn.IFS(B497="Serviço",SUMIFS(H498:$H$3085,C498:$C$3085,$C497),B497="Insumo",F497*G497,B497="Etapa","")</f>
        <v>70.837628677685942</v>
      </c>
      <c r="I497" s="178" t="s">
        <v>195</v>
      </c>
    </row>
    <row r="498" spans="1:9" hidden="1" outlineLevel="2" x14ac:dyDescent="0.25">
      <c r="A498" s="175">
        <f t="shared" si="14"/>
        <v>36</v>
      </c>
      <c r="B498" s="175" t="s">
        <v>327</v>
      </c>
      <c r="C498" s="175" t="str">
        <f t="shared" si="15"/>
        <v>Fabricação de Fôrma para Lajes, em Chapa de Madeira Compensada Plastificada, E=18mm</v>
      </c>
      <c r="D498" s="175" t="s">
        <v>349</v>
      </c>
      <c r="E498" s="176" t="str">
        <f>_xlfn.XLOOKUP(D498,Insumos!$B$1:$B$764,Insumos!$C$1:$C$764)</f>
        <v>KG</v>
      </c>
      <c r="F498" s="179">
        <v>0.159</v>
      </c>
      <c r="G498" s="177">
        <f>IF(B498="insumo",_xlfn.XLOOKUP($D498,Insumos!$B$1:$B$764,Insumos!$D$1:$D$764),"")</f>
        <v>18.13</v>
      </c>
      <c r="H498" s="177" cm="1">
        <f t="array" ref="H498">_xlfn.IFS(B498="Serviço",SUMIFS(H499:$H$3085,C499:$C$3085,$C498),B498="Insumo",F498*G498,B498="Etapa","")</f>
        <v>2.8826700000000001</v>
      </c>
      <c r="I498" s="178"/>
    </row>
    <row r="499" spans="1:9" hidden="1" outlineLevel="2" x14ac:dyDescent="0.25">
      <c r="A499" s="175">
        <f t="shared" si="14"/>
        <v>3</v>
      </c>
      <c r="B499" s="175" t="s">
        <v>327</v>
      </c>
      <c r="C499" s="175" t="str">
        <f t="shared" si="15"/>
        <v>Fabricação de Fôrma para Lajes, em Chapa de Madeira Compensada Plastificada, E=18mm</v>
      </c>
      <c r="D499" s="175" t="s">
        <v>482</v>
      </c>
      <c r="E499" s="176" t="str">
        <f>_xlfn.XLOOKUP(D499,Insumos!$B$1:$B$764,Insumos!$C$1:$C$764)</f>
        <v>M2</v>
      </c>
      <c r="F499" s="179">
        <v>1.1459999999999999</v>
      </c>
      <c r="G499" s="177">
        <f>IF(B499="insumo",_xlfn.XLOOKUP($D499,Insumos!$B$1:$B$764,Insumos!$D$1:$D$764),"")</f>
        <v>59.297520661157016</v>
      </c>
      <c r="H499" s="177" cm="1">
        <f t="array" ref="H499">_xlfn.IFS(B499="Serviço",SUMIFS(H500:$H$3085,C500:$C$3085,$C499),B499="Insumo",F499*G499,B499="Etapa","")</f>
        <v>67.954958677685937</v>
      </c>
      <c r="I499" s="178"/>
    </row>
    <row r="500" spans="1:9" outlineLevel="1" collapsed="1" x14ac:dyDescent="0.25">
      <c r="A500" s="175">
        <f t="shared" si="14"/>
        <v>1</v>
      </c>
      <c r="B500" s="175" t="s">
        <v>109</v>
      </c>
      <c r="C500" s="175" t="str">
        <f t="shared" si="15"/>
        <v>Fabricação de Fôrma para Escadas, em Chapa de Madeira Compensada Resinada, E=18mm</v>
      </c>
      <c r="D500" s="175" t="s">
        <v>2350</v>
      </c>
      <c r="E500" s="176" t="s">
        <v>13</v>
      </c>
      <c r="F500" s="175"/>
      <c r="G500" s="177" t="str">
        <f>IF(B500="insumo",_xlfn.XLOOKUP($D500,Insumos!$B$1:$B$764,Insumos!$D$1:$D$764),"")</f>
        <v/>
      </c>
      <c r="H500" s="177" cm="1">
        <f t="array" ref="H500">_xlfn.IFS(B500="Serviço",SUMIFS(H501:$H$3085,C501:$C$3085,$C500),B500="Insumo",F500*G500,B500="Etapa","")</f>
        <v>115.05469714285715</v>
      </c>
      <c r="I500" s="178" t="s">
        <v>195</v>
      </c>
    </row>
    <row r="501" spans="1:9" hidden="1" outlineLevel="2" x14ac:dyDescent="0.25">
      <c r="A501" s="175">
        <f t="shared" si="14"/>
        <v>3</v>
      </c>
      <c r="B501" s="175" t="s">
        <v>327</v>
      </c>
      <c r="C501" s="175" t="str">
        <f t="shared" si="15"/>
        <v>Fabricação de Fôrma para Escadas, em Chapa de Madeira Compensada Resinada, E=18mm</v>
      </c>
      <c r="D501" s="175" t="s">
        <v>2351</v>
      </c>
      <c r="E501" s="176" t="str">
        <f>_xlfn.XLOOKUP(D501,Insumos!$B$1:$B$764,Insumos!$C$1:$C$764)</f>
        <v>KG</v>
      </c>
      <c r="F501" s="179">
        <v>7.0999999999999994E-2</v>
      </c>
      <c r="G501" s="177">
        <f>IF(B501="insumo",_xlfn.XLOOKUP($D501,Insumos!$B$1:$B$764,Insumos!$D$1:$D$764),"")</f>
        <v>15.85</v>
      </c>
      <c r="H501" s="177" cm="1">
        <f t="array" ref="H501">_xlfn.IFS(B501="Serviço",SUMIFS(H502:$H$3085,C502:$C$3085,$C501),B501="Insumo",F501*G501,B501="Etapa","")</f>
        <v>1.1253499999999999</v>
      </c>
      <c r="I501" s="178"/>
    </row>
    <row r="502" spans="1:9" hidden="1" outlineLevel="2" x14ac:dyDescent="0.25">
      <c r="A502" s="175">
        <f t="shared" si="14"/>
        <v>3</v>
      </c>
      <c r="B502" s="175" t="s">
        <v>327</v>
      </c>
      <c r="C502" s="175" t="str">
        <f t="shared" si="15"/>
        <v>Fabricação de Fôrma para Escadas, em Chapa de Madeira Compensada Resinada, E=18mm</v>
      </c>
      <c r="D502" s="175" t="s">
        <v>1150</v>
      </c>
      <c r="E502" s="176" t="str">
        <f>_xlfn.XLOOKUP(D502,Insumos!$B$1:$B$764,Insumos!$C$1:$C$764)</f>
        <v>KG</v>
      </c>
      <c r="F502" s="179">
        <v>3.1E-2</v>
      </c>
      <c r="G502" s="177">
        <f>IF(B502="insumo",_xlfn.XLOOKUP($D502,Insumos!$B$1:$B$764,Insumos!$D$1:$D$764),"")</f>
        <v>17.63</v>
      </c>
      <c r="H502" s="177" cm="1">
        <f t="array" ref="H502">_xlfn.IFS(B502="Serviço",SUMIFS(H503:$H$3085,C503:$C$3085,$C502),B502="Insumo",F502*G502,B502="Etapa","")</f>
        <v>0.54652999999999996</v>
      </c>
      <c r="I502" s="178"/>
    </row>
    <row r="503" spans="1:9" hidden="1" outlineLevel="2" x14ac:dyDescent="0.25">
      <c r="A503" s="175">
        <f t="shared" si="14"/>
        <v>4</v>
      </c>
      <c r="B503" s="175" t="s">
        <v>327</v>
      </c>
      <c r="C503" s="175" t="str">
        <f t="shared" si="15"/>
        <v>Fabricação de Fôrma para Escadas, em Chapa de Madeira Compensada Resinada, E=18mm</v>
      </c>
      <c r="D503" s="175" t="s">
        <v>484</v>
      </c>
      <c r="E503" s="176" t="str">
        <f>_xlfn.XLOOKUP(D503,Insumos!$B$1:$B$764,Insumos!$C$1:$C$764)</f>
        <v>M2</v>
      </c>
      <c r="F503" s="179">
        <v>1.3360000000000001</v>
      </c>
      <c r="G503" s="177">
        <f>IF(B503="insumo",_xlfn.XLOOKUP($D503,Insumos!$B$1:$B$764,Insumos!$D$1:$D$764),"")</f>
        <v>46.002857142857138</v>
      </c>
      <c r="H503" s="177" cm="1">
        <f t="array" ref="H503">_xlfn.IFS(B503="Serviço",SUMIFS(H504:$H$3085,C504:$C$3085,$C503),B503="Insumo",F503*G503,B503="Etapa","")</f>
        <v>61.45981714285714</v>
      </c>
      <c r="I503" s="178"/>
    </row>
    <row r="504" spans="1:9" hidden="1" outlineLevel="2" x14ac:dyDescent="0.25">
      <c r="A504" s="175">
        <f t="shared" si="14"/>
        <v>24</v>
      </c>
      <c r="B504" s="175" t="s">
        <v>327</v>
      </c>
      <c r="C504" s="175" t="str">
        <f t="shared" si="15"/>
        <v>Fabricação de Fôrma para Escadas, em Chapa de Madeira Compensada Resinada, E=18mm</v>
      </c>
      <c r="D504" s="175" t="s">
        <v>346</v>
      </c>
      <c r="E504" s="176" t="str">
        <f>_xlfn.XLOOKUP(D504,Insumos!$B$1:$B$764,Insumos!$C$1:$C$764)</f>
        <v>M</v>
      </c>
      <c r="F504" s="179">
        <v>6.7039999999999997</v>
      </c>
      <c r="G504" s="177">
        <f>IF(B504="insumo",_xlfn.XLOOKUP($D504,Insumos!$B$1:$B$764,Insumos!$D$1:$D$764),"")</f>
        <v>7</v>
      </c>
      <c r="H504" s="177" cm="1">
        <f t="array" ref="H504">_xlfn.IFS(B504="Serviço",SUMIFS(H505:$H$3085,C505:$C$3085,$C504),B504="Insumo",F504*G504,B504="Etapa","")</f>
        <v>46.927999999999997</v>
      </c>
      <c r="I504" s="178"/>
    </row>
    <row r="505" spans="1:9" hidden="1" outlineLevel="2" x14ac:dyDescent="0.25">
      <c r="A505" s="175">
        <f t="shared" si="14"/>
        <v>18</v>
      </c>
      <c r="B505" s="175" t="s">
        <v>327</v>
      </c>
      <c r="C505" s="175" t="str">
        <f t="shared" si="15"/>
        <v>Fabricação de Fôrma para Escadas, em Chapa de Madeira Compensada Resinada, E=18mm</v>
      </c>
      <c r="D505" s="175" t="s">
        <v>373</v>
      </c>
      <c r="E505" s="176" t="str">
        <f>_xlfn.XLOOKUP(D505,Insumos!$B$1:$B$764,Insumos!$C$1:$C$764)</f>
        <v>M3</v>
      </c>
      <c r="F505" s="179">
        <v>3.7000000000000002E-3</v>
      </c>
      <c r="G505" s="177">
        <f>IF(B505="insumo",_xlfn.XLOOKUP($D505,Insumos!$B$1:$B$764,Insumos!$D$1:$D$764),"")</f>
        <v>1350</v>
      </c>
      <c r="H505" s="177" cm="1">
        <f t="array" ref="H505">_xlfn.IFS(B505="Serviço",SUMIFS(H506:$H$3085,C506:$C$3085,$C505),B505="Insumo",F505*G505,B505="Etapa","")</f>
        <v>4.9950000000000001</v>
      </c>
      <c r="I505" s="178"/>
    </row>
    <row r="506" spans="1:9" outlineLevel="1" collapsed="1" x14ac:dyDescent="0.25">
      <c r="A506" s="175">
        <f t="shared" si="14"/>
        <v>1</v>
      </c>
      <c r="B506" s="175" t="s">
        <v>109</v>
      </c>
      <c r="C506" s="175" t="str">
        <f t="shared" si="15"/>
        <v>Fabricação de Fôrma para Escadas, em Chapa de Madeira Compensada Resinada, E=17mm</v>
      </c>
      <c r="D506" s="175" t="s">
        <v>2463</v>
      </c>
      <c r="E506" s="176" t="s">
        <v>13</v>
      </c>
      <c r="F506" s="175"/>
      <c r="G506" s="177" t="str">
        <f>IF(B506="insumo",_xlfn.XLOOKUP($D506,Insumos!$B$1:$B$764,Insumos!$D$1:$D$764),"")</f>
        <v/>
      </c>
      <c r="H506" s="177" cm="1">
        <f t="array" ref="H506">_xlfn.IFS(B506="Serviço",SUMIFS(H507:$H$3085,C507:$C$3085,$C506),B506="Insumo",F506*G506,B506="Etapa","")</f>
        <v>104.30944000000001</v>
      </c>
      <c r="I506" s="178" t="s">
        <v>195</v>
      </c>
    </row>
    <row r="507" spans="1:9" hidden="1" outlineLevel="2" x14ac:dyDescent="0.25">
      <c r="A507" s="175">
        <f t="shared" si="14"/>
        <v>3</v>
      </c>
      <c r="B507" s="175" t="s">
        <v>327</v>
      </c>
      <c r="C507" s="175" t="str">
        <f t="shared" si="15"/>
        <v>Fabricação de Fôrma para Escadas, em Chapa de Madeira Compensada Resinada, E=17mm</v>
      </c>
      <c r="D507" s="175" t="s">
        <v>2351</v>
      </c>
      <c r="E507" s="176" t="str">
        <f>_xlfn.XLOOKUP(D507,Insumos!$B$1:$B$764,Insumos!$C$1:$C$764)</f>
        <v>KG</v>
      </c>
      <c r="F507" s="179">
        <v>7.0999999999999994E-2</v>
      </c>
      <c r="G507" s="177">
        <f>IF(B507="insumo",_xlfn.XLOOKUP($D507,Insumos!$B$1:$B$764,Insumos!$D$1:$D$764),"")</f>
        <v>15.85</v>
      </c>
      <c r="H507" s="177" cm="1">
        <f t="array" ref="H507">_xlfn.IFS(B507="Serviço",SUMIFS(H508:$H$3085,C508:$C$3085,$C507),B507="Insumo",F507*G507,B507="Etapa","")</f>
        <v>1.1253499999999999</v>
      </c>
      <c r="I507" s="178"/>
    </row>
    <row r="508" spans="1:9" hidden="1" outlineLevel="2" x14ac:dyDescent="0.25">
      <c r="A508" s="175">
        <f t="shared" si="14"/>
        <v>3</v>
      </c>
      <c r="B508" s="175" t="s">
        <v>327</v>
      </c>
      <c r="C508" s="175" t="str">
        <f t="shared" si="15"/>
        <v>Fabricação de Fôrma para Escadas, em Chapa de Madeira Compensada Resinada, E=17mm</v>
      </c>
      <c r="D508" s="175" t="s">
        <v>1150</v>
      </c>
      <c r="E508" s="176" t="str">
        <f>_xlfn.XLOOKUP(D508,Insumos!$B$1:$B$764,Insumos!$C$1:$C$764)</f>
        <v>KG</v>
      </c>
      <c r="F508" s="179">
        <v>3.1E-2</v>
      </c>
      <c r="G508" s="177">
        <f>IF(B508="insumo",_xlfn.XLOOKUP($D508,Insumos!$B$1:$B$764,Insumos!$D$1:$D$764),"")</f>
        <v>17.63</v>
      </c>
      <c r="H508" s="177" cm="1">
        <f t="array" ref="H508">_xlfn.IFS(B508="Serviço",SUMIFS(H509:$H$3085,C509:$C$3085,$C508),B508="Insumo",F508*G508,B508="Etapa","")</f>
        <v>0.54652999999999996</v>
      </c>
      <c r="I508" s="178"/>
    </row>
    <row r="509" spans="1:9" hidden="1" outlineLevel="2" x14ac:dyDescent="0.25">
      <c r="A509" s="175">
        <f t="shared" si="14"/>
        <v>4</v>
      </c>
      <c r="B509" s="175" t="s">
        <v>327</v>
      </c>
      <c r="C509" s="175" t="str">
        <f t="shared" si="15"/>
        <v>Fabricação de Fôrma para Escadas, em Chapa de Madeira Compensada Resinada, E=17mm</v>
      </c>
      <c r="D509" s="175" t="s">
        <v>2455</v>
      </c>
      <c r="E509" s="176" t="str">
        <f>_xlfn.XLOOKUP(D509,Insumos!$B$1:$B$764,Insumos!$C$1:$C$764)</f>
        <v>M2</v>
      </c>
      <c r="F509" s="179">
        <v>1.3360000000000001</v>
      </c>
      <c r="G509" s="177">
        <f>IF(B509="insumo",_xlfn.XLOOKUP($D509,Insumos!$B$1:$B$764,Insumos!$D$1:$D$764),"")</f>
        <v>37.96</v>
      </c>
      <c r="H509" s="177" cm="1">
        <f t="array" ref="H509">_xlfn.IFS(B509="Serviço",SUMIFS(H510:$H$3085,C510:$C$3085,$C509),B509="Insumo",F509*G509,B509="Etapa","")</f>
        <v>50.714560000000006</v>
      </c>
      <c r="I509" s="178"/>
    </row>
    <row r="510" spans="1:9" hidden="1" outlineLevel="2" x14ac:dyDescent="0.25">
      <c r="A510" s="175">
        <f t="shared" si="14"/>
        <v>24</v>
      </c>
      <c r="B510" s="175" t="s">
        <v>327</v>
      </c>
      <c r="C510" s="175" t="str">
        <f t="shared" si="15"/>
        <v>Fabricação de Fôrma para Escadas, em Chapa de Madeira Compensada Resinada, E=17mm</v>
      </c>
      <c r="D510" s="175" t="s">
        <v>346</v>
      </c>
      <c r="E510" s="176" t="str">
        <f>_xlfn.XLOOKUP(D510,Insumos!$B$1:$B$764,Insumos!$C$1:$C$764)</f>
        <v>M</v>
      </c>
      <c r="F510" s="179">
        <v>6.7039999999999997</v>
      </c>
      <c r="G510" s="177">
        <f>IF(B510="insumo",_xlfn.XLOOKUP($D510,Insumos!$B$1:$B$764,Insumos!$D$1:$D$764),"")</f>
        <v>7</v>
      </c>
      <c r="H510" s="177" cm="1">
        <f t="array" ref="H510">_xlfn.IFS(B510="Serviço",SUMIFS(H511:$H$3085,C511:$C$3085,$C510),B510="Insumo",F510*G510,B510="Etapa","")</f>
        <v>46.927999999999997</v>
      </c>
      <c r="I510" s="178"/>
    </row>
    <row r="511" spans="1:9" hidden="1" outlineLevel="2" x14ac:dyDescent="0.25">
      <c r="A511" s="175">
        <f t="shared" si="14"/>
        <v>18</v>
      </c>
      <c r="B511" s="175" t="s">
        <v>327</v>
      </c>
      <c r="C511" s="175" t="str">
        <f t="shared" si="15"/>
        <v>Fabricação de Fôrma para Escadas, em Chapa de Madeira Compensada Resinada, E=17mm</v>
      </c>
      <c r="D511" s="175" t="s">
        <v>373</v>
      </c>
      <c r="E511" s="176" t="str">
        <f>_xlfn.XLOOKUP(D511,Insumos!$B$1:$B$764,Insumos!$C$1:$C$764)</f>
        <v>M3</v>
      </c>
      <c r="F511" s="179">
        <v>3.7000000000000002E-3</v>
      </c>
      <c r="G511" s="177">
        <f>IF(B511="insumo",_xlfn.XLOOKUP($D511,Insumos!$B$1:$B$764,Insumos!$D$1:$D$764),"")</f>
        <v>1350</v>
      </c>
      <c r="H511" s="177" cm="1">
        <f t="array" ref="H511">_xlfn.IFS(B511="Serviço",SUMIFS(H512:$H$3085,C512:$C$3085,$C511),B511="Insumo",F511*G511,B511="Etapa","")</f>
        <v>4.9950000000000001</v>
      </c>
      <c r="I511" s="178"/>
    </row>
    <row r="512" spans="1:9" outlineLevel="1" collapsed="1" x14ac:dyDescent="0.25">
      <c r="A512" s="175">
        <f t="shared" si="14"/>
        <v>1</v>
      </c>
      <c r="B512" s="175" t="s">
        <v>109</v>
      </c>
      <c r="C512" s="175" t="str">
        <f t="shared" si="15"/>
        <v>Fabricação de Fôrma para Pilares, em Chapa de Madeira Compensada Resinada, E=17mm</v>
      </c>
      <c r="D512" s="175" t="s">
        <v>2456</v>
      </c>
      <c r="E512" s="176" t="s">
        <v>13</v>
      </c>
      <c r="F512" s="175"/>
      <c r="G512" s="177" t="str">
        <f>IF(B512="insumo",_xlfn.XLOOKUP($D512,Insumos!$B$1:$B$764,Insumos!$D$1:$D$764),"")</f>
        <v/>
      </c>
      <c r="H512" s="177" cm="1">
        <f t="array" ref="H512">_xlfn.IFS(B512="Serviço",SUMIFS(H513:$H$3085,C513:$C$3085,$C512),B512="Insumo",F512*G512,B512="Etapa","")</f>
        <v>88.647100000000009</v>
      </c>
      <c r="I512" s="178" t="s">
        <v>195</v>
      </c>
    </row>
    <row r="513" spans="1:9" hidden="1" outlineLevel="2" x14ac:dyDescent="0.25">
      <c r="A513" s="175">
        <f t="shared" si="14"/>
        <v>36</v>
      </c>
      <c r="B513" s="175" t="s">
        <v>327</v>
      </c>
      <c r="C513" s="175" t="str">
        <f t="shared" si="15"/>
        <v>Fabricação de Fôrma para Pilares, em Chapa de Madeira Compensada Resinada, E=17mm</v>
      </c>
      <c r="D513" s="175" t="s">
        <v>349</v>
      </c>
      <c r="E513" s="176" t="str">
        <f>_xlfn.XLOOKUP(D513,Insumos!$B$1:$B$764,Insumos!$C$1:$C$764)</f>
        <v>KG</v>
      </c>
      <c r="F513" s="179">
        <v>0.20799999999999999</v>
      </c>
      <c r="G513" s="177">
        <f>IF(B513="insumo",_xlfn.XLOOKUP($D513,Insumos!$B$1:$B$764,Insumos!$D$1:$D$764),"")</f>
        <v>18.13</v>
      </c>
      <c r="H513" s="177" cm="1">
        <f t="array" ref="H513">_xlfn.IFS(B513="Serviço",SUMIFS(H514:$H$3085,C514:$C$3085,$C513),B513="Insumo",F513*G513,B513="Etapa","")</f>
        <v>3.7710399999999997</v>
      </c>
      <c r="I513" s="178"/>
    </row>
    <row r="514" spans="1:9" hidden="1" outlineLevel="2" x14ac:dyDescent="0.25">
      <c r="A514" s="175">
        <f t="shared" ref="A514:A577" si="16">COUNTIFS($D$2:$D$3085,D514,$B$2:$B$3085,B514)</f>
        <v>4</v>
      </c>
      <c r="B514" s="175" t="s">
        <v>327</v>
      </c>
      <c r="C514" s="175" t="str">
        <f t="shared" si="15"/>
        <v>Fabricação de Fôrma para Pilares, em Chapa de Madeira Compensada Resinada, E=17mm</v>
      </c>
      <c r="D514" s="175" t="s">
        <v>2455</v>
      </c>
      <c r="E514" s="176" t="str">
        <f>_xlfn.XLOOKUP(D514,Insumos!$B$1:$B$764,Insumos!$C$1:$C$764)</f>
        <v>M2</v>
      </c>
      <c r="F514" s="179">
        <v>1.3360000000000001</v>
      </c>
      <c r="G514" s="177">
        <f>IF(B514="insumo",_xlfn.XLOOKUP($D514,Insumos!$B$1:$B$764,Insumos!$D$1:$D$764),"")</f>
        <v>37.96</v>
      </c>
      <c r="H514" s="177" cm="1">
        <f t="array" ref="H514">_xlfn.IFS(B514="Serviço",SUMIFS(H515:$H$3085,C515:$C$3085,$C514),B514="Insumo",F514*G514,B514="Etapa","")</f>
        <v>50.714560000000006</v>
      </c>
      <c r="I514" s="178"/>
    </row>
    <row r="515" spans="1:9" hidden="1" outlineLevel="2" x14ac:dyDescent="0.25">
      <c r="A515" s="175">
        <f t="shared" si="16"/>
        <v>24</v>
      </c>
      <c r="B515" s="175" t="s">
        <v>327</v>
      </c>
      <c r="C515" s="175" t="str">
        <f t="shared" si="15"/>
        <v>Fabricação de Fôrma para Pilares, em Chapa de Madeira Compensada Resinada, E=17mm</v>
      </c>
      <c r="D515" s="175" t="s">
        <v>346</v>
      </c>
      <c r="E515" s="176" t="str">
        <f>_xlfn.XLOOKUP(D515,Insumos!$B$1:$B$764,Insumos!$C$1:$C$764)</f>
        <v>M</v>
      </c>
      <c r="F515" s="179">
        <v>0.42714285714285716</v>
      </c>
      <c r="G515" s="177">
        <f>IF(B515="insumo",_xlfn.XLOOKUP($D515,Insumos!$B$1:$B$764,Insumos!$D$1:$D$764),"")</f>
        <v>7</v>
      </c>
      <c r="H515" s="177" cm="1">
        <f t="array" ref="H515">_xlfn.IFS(B515="Serviço",SUMIFS(H516:$H$3085,C516:$C$3085,$C515),B515="Insumo",F515*G515,B515="Etapa","")</f>
        <v>2.99</v>
      </c>
      <c r="I515" s="178"/>
    </row>
    <row r="516" spans="1:9" hidden="1" outlineLevel="2" x14ac:dyDescent="0.25">
      <c r="A516" s="175">
        <f t="shared" si="16"/>
        <v>18</v>
      </c>
      <c r="B516" s="175" t="s">
        <v>327</v>
      </c>
      <c r="C516" s="175" t="str">
        <f t="shared" si="15"/>
        <v>Fabricação de Fôrma para Pilares, em Chapa de Madeira Compensada Resinada, E=17mm</v>
      </c>
      <c r="D516" s="175" t="s">
        <v>373</v>
      </c>
      <c r="E516" s="176" t="str">
        <f>_xlfn.XLOOKUP(D516,Insumos!$B$1:$B$764,Insumos!$C$1:$C$764)</f>
        <v>M3</v>
      </c>
      <c r="F516" s="179">
        <v>2.3089999999999999E-2</v>
      </c>
      <c r="G516" s="177">
        <f>IF(B516="insumo",_xlfn.XLOOKUP($D516,Insumos!$B$1:$B$764,Insumos!$D$1:$D$764),"")</f>
        <v>1350</v>
      </c>
      <c r="H516" s="177" cm="1">
        <f t="array" ref="H516">_xlfn.IFS(B516="Serviço",SUMIFS(H517:$H$3085,C517:$C$3085,$C516),B516="Insumo",F516*G516,B516="Etapa","")</f>
        <v>31.171499999999998</v>
      </c>
      <c r="I516" s="178"/>
    </row>
    <row r="517" spans="1:9" outlineLevel="1" collapsed="1" x14ac:dyDescent="0.25">
      <c r="A517" s="175">
        <f t="shared" si="16"/>
        <v>1</v>
      </c>
      <c r="B517" s="175" t="s">
        <v>109</v>
      </c>
      <c r="C517" s="175" t="str">
        <f t="shared" si="15"/>
        <v>Fabricação de Fôrma para Vigas, em Chapa de Madeira Compensada Resinada, E=17mm</v>
      </c>
      <c r="D517" s="175" t="s">
        <v>2457</v>
      </c>
      <c r="E517" s="176" t="s">
        <v>13</v>
      </c>
      <c r="F517" s="175"/>
      <c r="G517" s="177" t="str">
        <f>IF(B517="insumo",_xlfn.XLOOKUP($D517,Insumos!$B$1:$B$764,Insumos!$D$1:$D$764),"")</f>
        <v/>
      </c>
      <c r="H517" s="177" cm="1">
        <f t="array" ref="H517">_xlfn.IFS(B517="Serviço",SUMIFS(H518:$H$3085,C518:$C$3085,$C517),B517="Insumo",F517*G517,B517="Etapa","")</f>
        <v>72.194829999999996</v>
      </c>
      <c r="I517" s="178" t="s">
        <v>195</v>
      </c>
    </row>
    <row r="518" spans="1:9" hidden="1" outlineLevel="2" x14ac:dyDescent="0.25">
      <c r="A518" s="175">
        <f t="shared" si="16"/>
        <v>36</v>
      </c>
      <c r="B518" s="175" t="s">
        <v>327</v>
      </c>
      <c r="C518" s="175" t="str">
        <f t="shared" ref="C518:C581" si="17">IF(B518="serviço",D518,C517)</f>
        <v>Fabricação de Fôrma para Vigas, em Chapa de Madeira Compensada Resinada, E=17mm</v>
      </c>
      <c r="D518" s="175" t="s">
        <v>349</v>
      </c>
      <c r="E518" s="176" t="str">
        <f>_xlfn.XLOOKUP(D518,Insumos!$B$1:$B$764,Insumos!$C$1:$C$764)</f>
        <v>KG</v>
      </c>
      <c r="F518" s="179">
        <v>0.159</v>
      </c>
      <c r="G518" s="177">
        <f>IF(B518="insumo",_xlfn.XLOOKUP($D518,Insumos!$B$1:$B$764,Insumos!$D$1:$D$764),"")</f>
        <v>18.13</v>
      </c>
      <c r="H518" s="177" cm="1">
        <f t="array" ref="H518">_xlfn.IFS(B518="Serviço",SUMIFS(H519:$H$3085,C519:$C$3085,$C518),B518="Insumo",F518*G518,B518="Etapa","")</f>
        <v>2.8826700000000001</v>
      </c>
      <c r="I518" s="178"/>
    </row>
    <row r="519" spans="1:9" hidden="1" outlineLevel="2" x14ac:dyDescent="0.25">
      <c r="A519" s="175">
        <f t="shared" si="16"/>
        <v>4</v>
      </c>
      <c r="B519" s="175" t="s">
        <v>327</v>
      </c>
      <c r="C519" s="175" t="str">
        <f t="shared" si="17"/>
        <v>Fabricação de Fôrma para Vigas, em Chapa de Madeira Compensada Resinada, E=17mm</v>
      </c>
      <c r="D519" s="175" t="s">
        <v>2455</v>
      </c>
      <c r="E519" s="176" t="str">
        <f>_xlfn.XLOOKUP(D519,Insumos!$B$1:$B$764,Insumos!$C$1:$C$764)</f>
        <v>M2</v>
      </c>
      <c r="F519" s="179">
        <v>1.1459999999999999</v>
      </c>
      <c r="G519" s="177">
        <f>IF(B519="insumo",_xlfn.XLOOKUP($D519,Insumos!$B$1:$B$764,Insumos!$D$1:$D$764),"")</f>
        <v>37.96</v>
      </c>
      <c r="H519" s="177" cm="1">
        <f t="array" ref="H519">_xlfn.IFS(B519="Serviço",SUMIFS(H520:$H$3085,C520:$C$3085,$C519),B519="Insumo",F519*G519,B519="Etapa","")</f>
        <v>43.502159999999996</v>
      </c>
      <c r="I519" s="178"/>
    </row>
    <row r="520" spans="1:9" hidden="1" outlineLevel="2" x14ac:dyDescent="0.25">
      <c r="A520" s="175">
        <f t="shared" si="16"/>
        <v>24</v>
      </c>
      <c r="B520" s="175" t="s">
        <v>327</v>
      </c>
      <c r="C520" s="175" t="str">
        <f t="shared" si="17"/>
        <v>Fabricação de Fôrma para Vigas, em Chapa de Madeira Compensada Resinada, E=17mm</v>
      </c>
      <c r="D520" s="175" t="s">
        <v>346</v>
      </c>
      <c r="E520" s="176" t="str">
        <f>_xlfn.XLOOKUP(D520,Insumos!$B$1:$B$764,Insumos!$C$1:$C$764)</f>
        <v>M</v>
      </c>
      <c r="F520" s="179">
        <v>0.33571428571428574</v>
      </c>
      <c r="G520" s="177">
        <f>IF(B520="insumo",_xlfn.XLOOKUP($D520,Insumos!$B$1:$B$764,Insumos!$D$1:$D$764),"")</f>
        <v>7</v>
      </c>
      <c r="H520" s="177" cm="1">
        <f t="array" ref="H520">_xlfn.IFS(B520="Serviço",SUMIFS(H521:$H$3085,C521:$C$3085,$C520),B520="Insumo",F520*G520,B520="Etapa","")</f>
        <v>2.35</v>
      </c>
      <c r="I520" s="178"/>
    </row>
    <row r="521" spans="1:9" hidden="1" outlineLevel="2" x14ac:dyDescent="0.25">
      <c r="A521" s="175">
        <f t="shared" si="16"/>
        <v>18</v>
      </c>
      <c r="B521" s="175" t="s">
        <v>327</v>
      </c>
      <c r="C521" s="175" t="str">
        <f t="shared" si="17"/>
        <v>Fabricação de Fôrma para Vigas, em Chapa de Madeira Compensada Resinada, E=17mm</v>
      </c>
      <c r="D521" s="175" t="s">
        <v>373</v>
      </c>
      <c r="E521" s="176" t="str">
        <f>_xlfn.XLOOKUP(D521,Insumos!$B$1:$B$764,Insumos!$C$1:$C$764)</f>
        <v>M3</v>
      </c>
      <c r="F521" s="179">
        <v>1.737777777777778E-2</v>
      </c>
      <c r="G521" s="177">
        <f>IF(B521="insumo",_xlfn.XLOOKUP($D521,Insumos!$B$1:$B$764,Insumos!$D$1:$D$764),"")</f>
        <v>1350</v>
      </c>
      <c r="H521" s="177" cm="1">
        <f t="array" ref="H521">_xlfn.IFS(B521="Serviço",SUMIFS(H522:$H$3085,C522:$C$3085,$C521),B521="Insumo",F521*G521,B521="Etapa","")</f>
        <v>23.460000000000004</v>
      </c>
      <c r="I521" s="178"/>
    </row>
    <row r="522" spans="1:9" outlineLevel="1" collapsed="1" x14ac:dyDescent="0.25">
      <c r="A522" s="175">
        <f t="shared" si="16"/>
        <v>1</v>
      </c>
      <c r="B522" s="175" t="s">
        <v>109</v>
      </c>
      <c r="C522" s="175" t="str">
        <f t="shared" si="17"/>
        <v>Fabricação de Fôrma para Lajes, em Chapa de Madeira Compensada Resinada, E=17mm</v>
      </c>
      <c r="D522" s="175" t="s">
        <v>2458</v>
      </c>
      <c r="E522" s="176" t="s">
        <v>13</v>
      </c>
      <c r="F522" s="175"/>
      <c r="G522" s="177" t="str">
        <f>IF(B522="insumo",_xlfn.XLOOKUP($D522,Insumos!$B$1:$B$764,Insumos!$D$1:$D$764),"")</f>
        <v/>
      </c>
      <c r="H522" s="177" cm="1">
        <f t="array" ref="H522">_xlfn.IFS(B522="Serviço",SUMIFS(H523:$H$3085,C523:$C$3085,$C522),B522="Insumo",F522*G522,B522="Etapa","")</f>
        <v>46.384829999999994</v>
      </c>
      <c r="I522" s="178" t="s">
        <v>195</v>
      </c>
    </row>
    <row r="523" spans="1:9" hidden="1" outlineLevel="2" x14ac:dyDescent="0.25">
      <c r="A523" s="175">
        <f t="shared" si="16"/>
        <v>36</v>
      </c>
      <c r="B523" s="175" t="s">
        <v>327</v>
      </c>
      <c r="C523" s="175" t="str">
        <f t="shared" si="17"/>
        <v>Fabricação de Fôrma para Lajes, em Chapa de Madeira Compensada Resinada, E=17mm</v>
      </c>
      <c r="D523" s="175" t="s">
        <v>349</v>
      </c>
      <c r="E523" s="176" t="str">
        <f>_xlfn.XLOOKUP(D523,Insumos!$B$1:$B$764,Insumos!$C$1:$C$764)</f>
        <v>KG</v>
      </c>
      <c r="F523" s="179">
        <v>0.159</v>
      </c>
      <c r="G523" s="177">
        <f>IF(B523="insumo",_xlfn.XLOOKUP($D523,Insumos!$B$1:$B$764,Insumos!$D$1:$D$764),"")</f>
        <v>18.13</v>
      </c>
      <c r="H523" s="177" cm="1">
        <f t="array" ref="H523">_xlfn.IFS(B523="Serviço",SUMIFS(H524:$H$3085,C524:$C$3085,$C523),B523="Insumo",F523*G523,B523="Etapa","")</f>
        <v>2.8826700000000001</v>
      </c>
      <c r="I523" s="178"/>
    </row>
    <row r="524" spans="1:9" hidden="1" outlineLevel="2" x14ac:dyDescent="0.25">
      <c r="A524" s="175">
        <f t="shared" si="16"/>
        <v>4</v>
      </c>
      <c r="B524" s="175" t="s">
        <v>327</v>
      </c>
      <c r="C524" s="175" t="str">
        <f t="shared" si="17"/>
        <v>Fabricação de Fôrma para Lajes, em Chapa de Madeira Compensada Resinada, E=17mm</v>
      </c>
      <c r="D524" s="175" t="s">
        <v>2455</v>
      </c>
      <c r="E524" s="176" t="str">
        <f>_xlfn.XLOOKUP(D524,Insumos!$B$1:$B$764,Insumos!$C$1:$C$764)</f>
        <v>M2</v>
      </c>
      <c r="F524" s="179">
        <v>1.1459999999999999</v>
      </c>
      <c r="G524" s="177">
        <f>IF(B524="insumo",_xlfn.XLOOKUP($D524,Insumos!$B$1:$B$764,Insumos!$D$1:$D$764),"")</f>
        <v>37.96</v>
      </c>
      <c r="H524" s="177" cm="1">
        <f t="array" ref="H524">_xlfn.IFS(B524="Serviço",SUMIFS(H525:$H$3085,C525:$C$3085,$C524),B524="Insumo",F524*G524,B524="Etapa","")</f>
        <v>43.502159999999996</v>
      </c>
      <c r="I524" s="178"/>
    </row>
    <row r="525" spans="1:9" outlineLevel="1" collapsed="1" x14ac:dyDescent="0.25">
      <c r="A525" s="175">
        <f t="shared" si="16"/>
        <v>1</v>
      </c>
      <c r="B525" s="175" t="s">
        <v>109</v>
      </c>
      <c r="C525" s="175" t="str">
        <f t="shared" si="17"/>
        <v>Fabricação de Fôrma para Pilares, em Chapa de Madeira Compensada Resinada, E=18mm</v>
      </c>
      <c r="D525" s="175" t="s">
        <v>486</v>
      </c>
      <c r="E525" s="176" t="s">
        <v>13</v>
      </c>
      <c r="F525" s="175"/>
      <c r="G525" s="177" t="str">
        <f>IF(B525="insumo",_xlfn.XLOOKUP($D525,Insumos!$B$1:$B$764,Insumos!$D$1:$D$764),"")</f>
        <v/>
      </c>
      <c r="H525" s="177" cm="1">
        <f t="array" ref="H525">_xlfn.IFS(B525="Serviço",SUMIFS(H526:$H$3085,C526:$C$3085,$C525),B525="Insumo",F525*G525,B525="Etapa","")</f>
        <v>99.392357142857136</v>
      </c>
      <c r="I525" s="178" t="s">
        <v>195</v>
      </c>
    </row>
    <row r="526" spans="1:9" hidden="1" outlineLevel="2" x14ac:dyDescent="0.25">
      <c r="A526" s="175">
        <f t="shared" si="16"/>
        <v>36</v>
      </c>
      <c r="B526" s="175" t="s">
        <v>327</v>
      </c>
      <c r="C526" s="175" t="str">
        <f t="shared" si="17"/>
        <v>Fabricação de Fôrma para Pilares, em Chapa de Madeira Compensada Resinada, E=18mm</v>
      </c>
      <c r="D526" s="175" t="s">
        <v>349</v>
      </c>
      <c r="E526" s="176" t="str">
        <f>_xlfn.XLOOKUP(D526,Insumos!$B$1:$B$764,Insumos!$C$1:$C$764)</f>
        <v>KG</v>
      </c>
      <c r="F526" s="179">
        <v>0.20799999999999999</v>
      </c>
      <c r="G526" s="177">
        <f>IF(B526="insumo",_xlfn.XLOOKUP($D526,Insumos!$B$1:$B$764,Insumos!$D$1:$D$764),"")</f>
        <v>18.13</v>
      </c>
      <c r="H526" s="177" cm="1">
        <f t="array" ref="H526">_xlfn.IFS(B526="Serviço",SUMIFS(H527:$H$3085,C527:$C$3085,$C526),B526="Insumo",F526*G526,B526="Etapa","")</f>
        <v>3.7710399999999997</v>
      </c>
      <c r="I526" s="178"/>
    </row>
    <row r="527" spans="1:9" hidden="1" outlineLevel="2" x14ac:dyDescent="0.25">
      <c r="A527" s="175">
        <f t="shared" si="16"/>
        <v>4</v>
      </c>
      <c r="B527" s="175" t="s">
        <v>327</v>
      </c>
      <c r="C527" s="175" t="str">
        <f t="shared" si="17"/>
        <v>Fabricação de Fôrma para Pilares, em Chapa de Madeira Compensada Resinada, E=18mm</v>
      </c>
      <c r="D527" s="175" t="s">
        <v>484</v>
      </c>
      <c r="E527" s="176" t="str">
        <f>_xlfn.XLOOKUP(D527,Insumos!$B$1:$B$764,Insumos!$C$1:$C$764)</f>
        <v>M2</v>
      </c>
      <c r="F527" s="179">
        <v>1.3360000000000001</v>
      </c>
      <c r="G527" s="177">
        <f>IF(B527="insumo",_xlfn.XLOOKUP($D527,Insumos!$B$1:$B$764,Insumos!$D$1:$D$764),"")</f>
        <v>46.002857142857138</v>
      </c>
      <c r="H527" s="177" cm="1">
        <f t="array" ref="H527">_xlfn.IFS(B527="Serviço",SUMIFS(H528:$H$3085,C528:$C$3085,$C527),B527="Insumo",F527*G527,B527="Etapa","")</f>
        <v>61.45981714285714</v>
      </c>
      <c r="I527" s="178"/>
    </row>
    <row r="528" spans="1:9" hidden="1" outlineLevel="2" x14ac:dyDescent="0.25">
      <c r="A528" s="175">
        <f t="shared" si="16"/>
        <v>24</v>
      </c>
      <c r="B528" s="175" t="s">
        <v>327</v>
      </c>
      <c r="C528" s="175" t="str">
        <f t="shared" si="17"/>
        <v>Fabricação de Fôrma para Pilares, em Chapa de Madeira Compensada Resinada, E=18mm</v>
      </c>
      <c r="D528" s="175" t="s">
        <v>346</v>
      </c>
      <c r="E528" s="176" t="str">
        <f>_xlfn.XLOOKUP(D528,Insumos!$B$1:$B$764,Insumos!$C$1:$C$764)</f>
        <v>M</v>
      </c>
      <c r="F528" s="179">
        <v>0.42714285714285716</v>
      </c>
      <c r="G528" s="177">
        <f>IF(B528="insumo",_xlfn.XLOOKUP($D528,Insumos!$B$1:$B$764,Insumos!$D$1:$D$764),"")</f>
        <v>7</v>
      </c>
      <c r="H528" s="177" cm="1">
        <f t="array" ref="H528">_xlfn.IFS(B528="Serviço",SUMIFS(H529:$H$3085,C529:$C$3085,$C528),B528="Insumo",F528*G528,B528="Etapa","")</f>
        <v>2.99</v>
      </c>
      <c r="I528" s="178"/>
    </row>
    <row r="529" spans="1:9" hidden="1" outlineLevel="2" x14ac:dyDescent="0.25">
      <c r="A529" s="175">
        <f t="shared" si="16"/>
        <v>18</v>
      </c>
      <c r="B529" s="175" t="s">
        <v>327</v>
      </c>
      <c r="C529" s="175" t="str">
        <f t="shared" si="17"/>
        <v>Fabricação de Fôrma para Pilares, em Chapa de Madeira Compensada Resinada, E=18mm</v>
      </c>
      <c r="D529" s="175" t="s">
        <v>373</v>
      </c>
      <c r="E529" s="176" t="str">
        <f>_xlfn.XLOOKUP(D529,Insumos!$B$1:$B$764,Insumos!$C$1:$C$764)</f>
        <v>M3</v>
      </c>
      <c r="F529" s="179">
        <v>2.3089999999999999E-2</v>
      </c>
      <c r="G529" s="177">
        <f>IF(B529="insumo",_xlfn.XLOOKUP($D529,Insumos!$B$1:$B$764,Insumos!$D$1:$D$764),"")</f>
        <v>1350</v>
      </c>
      <c r="H529" s="177" cm="1">
        <f t="array" ref="H529">_xlfn.IFS(B529="Serviço",SUMIFS(H530:$H$3085,C530:$C$3085,$C529),B529="Insumo",F529*G529,B529="Etapa","")</f>
        <v>31.171499999999998</v>
      </c>
      <c r="I529" s="178"/>
    </row>
    <row r="530" spans="1:9" outlineLevel="1" collapsed="1" x14ac:dyDescent="0.25">
      <c r="A530" s="175">
        <f t="shared" si="16"/>
        <v>1</v>
      </c>
      <c r="B530" s="175" t="s">
        <v>109</v>
      </c>
      <c r="C530" s="175" t="str">
        <f t="shared" si="17"/>
        <v>Fabricação de Fôrma para Vigas, em Chapa de Madeira Compensada Resinada, E=18mm</v>
      </c>
      <c r="D530" s="175" t="s">
        <v>487</v>
      </c>
      <c r="E530" s="176" t="s">
        <v>13</v>
      </c>
      <c r="F530" s="175"/>
      <c r="G530" s="177" t="str">
        <f>IF(B530="insumo",_xlfn.XLOOKUP($D530,Insumos!$B$1:$B$764,Insumos!$D$1:$D$764),"")</f>
        <v/>
      </c>
      <c r="H530" s="177" cm="1">
        <f t="array" ref="H530">_xlfn.IFS(B530="Serviço",SUMIFS(H531:$H$3085,C531:$C$3085,$C530),B530="Insumo",F530*G530,B530="Etapa","")</f>
        <v>81.411944285714284</v>
      </c>
      <c r="I530" s="178" t="s">
        <v>195</v>
      </c>
    </row>
    <row r="531" spans="1:9" hidden="1" outlineLevel="2" x14ac:dyDescent="0.25">
      <c r="A531" s="175">
        <f t="shared" si="16"/>
        <v>36</v>
      </c>
      <c r="B531" s="175" t="s">
        <v>327</v>
      </c>
      <c r="C531" s="175" t="str">
        <f t="shared" si="17"/>
        <v>Fabricação de Fôrma para Vigas, em Chapa de Madeira Compensada Resinada, E=18mm</v>
      </c>
      <c r="D531" s="175" t="s">
        <v>349</v>
      </c>
      <c r="E531" s="176" t="str">
        <f>_xlfn.XLOOKUP(D531,Insumos!$B$1:$B$764,Insumos!$C$1:$C$764)</f>
        <v>KG</v>
      </c>
      <c r="F531" s="179">
        <v>0.159</v>
      </c>
      <c r="G531" s="177">
        <f>IF(B531="insumo",_xlfn.XLOOKUP($D531,Insumos!$B$1:$B$764,Insumos!$D$1:$D$764),"")</f>
        <v>18.13</v>
      </c>
      <c r="H531" s="177" cm="1">
        <f t="array" ref="H531">_xlfn.IFS(B531="Serviço",SUMIFS(H532:$H$3085,C532:$C$3085,$C531),B531="Insumo",F531*G531,B531="Etapa","")</f>
        <v>2.8826700000000001</v>
      </c>
      <c r="I531" s="178"/>
    </row>
    <row r="532" spans="1:9" hidden="1" outlineLevel="2" x14ac:dyDescent="0.25">
      <c r="A532" s="175">
        <f t="shared" si="16"/>
        <v>4</v>
      </c>
      <c r="B532" s="175" t="s">
        <v>327</v>
      </c>
      <c r="C532" s="175" t="str">
        <f t="shared" si="17"/>
        <v>Fabricação de Fôrma para Vigas, em Chapa de Madeira Compensada Resinada, E=18mm</v>
      </c>
      <c r="D532" s="175" t="s">
        <v>484</v>
      </c>
      <c r="E532" s="176" t="str">
        <f>_xlfn.XLOOKUP(D532,Insumos!$B$1:$B$764,Insumos!$C$1:$C$764)</f>
        <v>M2</v>
      </c>
      <c r="F532" s="179">
        <v>1.1459999999999999</v>
      </c>
      <c r="G532" s="177">
        <f>IF(B532="insumo",_xlfn.XLOOKUP($D532,Insumos!$B$1:$B$764,Insumos!$D$1:$D$764),"")</f>
        <v>46.002857142857138</v>
      </c>
      <c r="H532" s="177" cm="1">
        <f t="array" ref="H532">_xlfn.IFS(B532="Serviço",SUMIFS(H533:$H$3085,C533:$C$3085,$C532),B532="Insumo",F532*G532,B532="Etapa","")</f>
        <v>52.719274285714278</v>
      </c>
      <c r="I532" s="178"/>
    </row>
    <row r="533" spans="1:9" hidden="1" outlineLevel="2" x14ac:dyDescent="0.25">
      <c r="A533" s="175">
        <f t="shared" si="16"/>
        <v>24</v>
      </c>
      <c r="B533" s="175" t="s">
        <v>327</v>
      </c>
      <c r="C533" s="175" t="str">
        <f t="shared" si="17"/>
        <v>Fabricação de Fôrma para Vigas, em Chapa de Madeira Compensada Resinada, E=18mm</v>
      </c>
      <c r="D533" s="175" t="s">
        <v>346</v>
      </c>
      <c r="E533" s="176" t="str">
        <f>_xlfn.XLOOKUP(D533,Insumos!$B$1:$B$764,Insumos!$C$1:$C$764)</f>
        <v>M</v>
      </c>
      <c r="F533" s="179">
        <v>0.33571428571428574</v>
      </c>
      <c r="G533" s="177">
        <f>IF(B533="insumo",_xlfn.XLOOKUP($D533,Insumos!$B$1:$B$764,Insumos!$D$1:$D$764),"")</f>
        <v>7</v>
      </c>
      <c r="H533" s="177" cm="1">
        <f t="array" ref="H533">_xlfn.IFS(B533="Serviço",SUMIFS(H534:$H$3085,C534:$C$3085,$C533),B533="Insumo",F533*G533,B533="Etapa","")</f>
        <v>2.35</v>
      </c>
      <c r="I533" s="178"/>
    </row>
    <row r="534" spans="1:9" hidden="1" outlineLevel="2" x14ac:dyDescent="0.25">
      <c r="A534" s="175">
        <f t="shared" si="16"/>
        <v>18</v>
      </c>
      <c r="B534" s="175" t="s">
        <v>327</v>
      </c>
      <c r="C534" s="175" t="str">
        <f t="shared" si="17"/>
        <v>Fabricação de Fôrma para Vigas, em Chapa de Madeira Compensada Resinada, E=18mm</v>
      </c>
      <c r="D534" s="175" t="s">
        <v>373</v>
      </c>
      <c r="E534" s="176" t="str">
        <f>_xlfn.XLOOKUP(D534,Insumos!$B$1:$B$764,Insumos!$C$1:$C$764)</f>
        <v>M3</v>
      </c>
      <c r="F534" s="179">
        <v>1.737777777777778E-2</v>
      </c>
      <c r="G534" s="177">
        <f>IF(B534="insumo",_xlfn.XLOOKUP($D534,Insumos!$B$1:$B$764,Insumos!$D$1:$D$764),"")</f>
        <v>1350</v>
      </c>
      <c r="H534" s="177" cm="1">
        <f t="array" ref="H534">_xlfn.IFS(B534="Serviço",SUMIFS(H535:$H$3085,C535:$C$3085,$C534),B534="Insumo",F534*G534,B534="Etapa","")</f>
        <v>23.460000000000004</v>
      </c>
      <c r="I534" s="178"/>
    </row>
    <row r="535" spans="1:9" outlineLevel="1" collapsed="1" x14ac:dyDescent="0.25">
      <c r="A535" s="175">
        <f t="shared" si="16"/>
        <v>1</v>
      </c>
      <c r="B535" s="175" t="s">
        <v>109</v>
      </c>
      <c r="C535" s="175" t="str">
        <f t="shared" si="17"/>
        <v>Fabricação de Fôrma para Lajes, em Chapa de Madeira Compensada Resinada, E=18mm</v>
      </c>
      <c r="D535" s="175" t="s">
        <v>488</v>
      </c>
      <c r="E535" s="176" t="s">
        <v>13</v>
      </c>
      <c r="F535" s="175"/>
      <c r="G535" s="177" t="str">
        <f>IF(B535="insumo",_xlfn.XLOOKUP($D535,Insumos!$B$1:$B$764,Insumos!$D$1:$D$764),"")</f>
        <v/>
      </c>
      <c r="H535" s="177" cm="1">
        <f t="array" ref="H535">_xlfn.IFS(B535="Serviço",SUMIFS(H536:$H$3085,C536:$C$3085,$C535),B535="Insumo",F535*G535,B535="Etapa","")</f>
        <v>55.601944285714275</v>
      </c>
      <c r="I535" s="178" t="s">
        <v>195</v>
      </c>
    </row>
    <row r="536" spans="1:9" hidden="1" outlineLevel="2" x14ac:dyDescent="0.25">
      <c r="A536" s="175">
        <f t="shared" si="16"/>
        <v>36</v>
      </c>
      <c r="B536" s="175" t="s">
        <v>327</v>
      </c>
      <c r="C536" s="175" t="str">
        <f t="shared" si="17"/>
        <v>Fabricação de Fôrma para Lajes, em Chapa de Madeira Compensada Resinada, E=18mm</v>
      </c>
      <c r="D536" s="175" t="s">
        <v>349</v>
      </c>
      <c r="E536" s="176" t="str">
        <f>_xlfn.XLOOKUP(D536,Insumos!$B$1:$B$764,Insumos!$C$1:$C$764)</f>
        <v>KG</v>
      </c>
      <c r="F536" s="179">
        <v>0.159</v>
      </c>
      <c r="G536" s="177">
        <f>IF(B536="insumo",_xlfn.XLOOKUP($D536,Insumos!$B$1:$B$764,Insumos!$D$1:$D$764),"")</f>
        <v>18.13</v>
      </c>
      <c r="H536" s="177" cm="1">
        <f t="array" ref="H536">_xlfn.IFS(B536="Serviço",SUMIFS(H537:$H$3085,C537:$C$3085,$C536),B536="Insumo",F536*G536,B536="Etapa","")</f>
        <v>2.8826700000000001</v>
      </c>
      <c r="I536" s="178"/>
    </row>
    <row r="537" spans="1:9" hidden="1" outlineLevel="2" x14ac:dyDescent="0.25">
      <c r="A537" s="175">
        <f t="shared" si="16"/>
        <v>4</v>
      </c>
      <c r="B537" s="175" t="s">
        <v>327</v>
      </c>
      <c r="C537" s="175" t="str">
        <f t="shared" si="17"/>
        <v>Fabricação de Fôrma para Lajes, em Chapa de Madeira Compensada Resinada, E=18mm</v>
      </c>
      <c r="D537" s="175" t="s">
        <v>484</v>
      </c>
      <c r="E537" s="176" t="str">
        <f>_xlfn.XLOOKUP(D537,Insumos!$B$1:$B$764,Insumos!$C$1:$C$764)</f>
        <v>M2</v>
      </c>
      <c r="F537" s="179">
        <v>1.1459999999999999</v>
      </c>
      <c r="G537" s="177">
        <f>IF(B537="insumo",_xlfn.XLOOKUP($D537,Insumos!$B$1:$B$764,Insumos!$D$1:$D$764),"")</f>
        <v>46.002857142857138</v>
      </c>
      <c r="H537" s="177" cm="1">
        <f t="array" ref="H537">_xlfn.IFS(B537="Serviço",SUMIFS(H538:$H$3085,C538:$C$3085,$C537),B537="Insumo",F537*G537,B537="Etapa","")</f>
        <v>52.719274285714278</v>
      </c>
      <c r="I537" s="178"/>
    </row>
    <row r="538" spans="1:9" outlineLevel="1" collapsed="1" x14ac:dyDescent="0.25">
      <c r="A538" s="175">
        <f t="shared" si="16"/>
        <v>1</v>
      </c>
      <c r="B538" s="175" t="s">
        <v>109</v>
      </c>
      <c r="C538" s="175" t="str">
        <f t="shared" si="17"/>
        <v>Montagem e Desmontagem de Fôrma de Pilares</v>
      </c>
      <c r="D538" s="175" t="s">
        <v>489</v>
      </c>
      <c r="E538" s="176" t="s">
        <v>13</v>
      </c>
      <c r="F538" s="175"/>
      <c r="G538" s="177" t="str">
        <f>IF(B538="insumo",_xlfn.XLOOKUP($D538,Insumos!$B$1:$B$764,Insumos!$D$1:$D$764),"")</f>
        <v/>
      </c>
      <c r="H538" s="177" cm="1">
        <f t="array" ref="H538">_xlfn.IFS(B538="Serviço",SUMIFS(H539:$H$3085,C539:$C$3085,$C538),B538="Insumo",F538*G538,B538="Etapa","")</f>
        <v>0.69165999999999994</v>
      </c>
      <c r="I538" s="178" t="s">
        <v>195</v>
      </c>
    </row>
    <row r="539" spans="1:9" hidden="1" outlineLevel="2" x14ac:dyDescent="0.25">
      <c r="A539" s="175">
        <f t="shared" si="16"/>
        <v>36</v>
      </c>
      <c r="B539" s="175" t="s">
        <v>327</v>
      </c>
      <c r="C539" s="175" t="str">
        <f t="shared" si="17"/>
        <v>Montagem e Desmontagem de Fôrma de Pilares</v>
      </c>
      <c r="D539" s="175" t="s">
        <v>349</v>
      </c>
      <c r="E539" s="176" t="str">
        <f>_xlfn.XLOOKUP(D539,Insumos!$B$1:$B$764,Insumos!$C$1:$C$764)</f>
        <v>KG</v>
      </c>
      <c r="F539" s="179">
        <v>2.7E-2</v>
      </c>
      <c r="G539" s="177">
        <f>IF(B539="insumo",_xlfn.XLOOKUP($D539,Insumos!$B$1:$B$764,Insumos!$D$1:$D$764),"")</f>
        <v>18.13</v>
      </c>
      <c r="H539" s="177" cm="1">
        <f t="array" ref="H539">_xlfn.IFS(B539="Serviço",SUMIFS(H540:$H$3085,C540:$C$3085,$C539),B539="Insumo",F539*G539,B539="Etapa","")</f>
        <v>0.48950999999999995</v>
      </c>
      <c r="I539" s="178"/>
    </row>
    <row r="540" spans="1:9" hidden="1" outlineLevel="2" x14ac:dyDescent="0.25">
      <c r="A540" s="175">
        <f t="shared" si="16"/>
        <v>9</v>
      </c>
      <c r="B540" s="175" t="s">
        <v>327</v>
      </c>
      <c r="C540" s="175" t="str">
        <f t="shared" si="17"/>
        <v>Montagem e Desmontagem de Fôrma de Pilares</v>
      </c>
      <c r="D540" s="175" t="s">
        <v>450</v>
      </c>
      <c r="E540" s="176" t="str">
        <f>_xlfn.XLOOKUP(D540,Insumos!$B$1:$B$764,Insumos!$C$1:$C$764)</f>
        <v>L</v>
      </c>
      <c r="F540" s="179">
        <v>1.2999999999999999E-2</v>
      </c>
      <c r="G540" s="177">
        <f>IF(B540="insumo",_xlfn.XLOOKUP($D540,Insumos!$B$1:$B$764,Insumos!$D$1:$D$764),"")</f>
        <v>15.55</v>
      </c>
      <c r="H540" s="177" cm="1">
        <f t="array" ref="H540">_xlfn.IFS(B540="Serviço",SUMIFS(H541:$H$3085,C541:$C$3085,$C540),B540="Insumo",F540*G540,B540="Etapa","")</f>
        <v>0.20215</v>
      </c>
      <c r="I540" s="178"/>
    </row>
    <row r="541" spans="1:9" ht="16.5" customHeight="1" outlineLevel="1" collapsed="1" x14ac:dyDescent="0.25">
      <c r="A541" s="175">
        <f t="shared" si="16"/>
        <v>1</v>
      </c>
      <c r="B541" s="175" t="s">
        <v>109</v>
      </c>
      <c r="C541" s="175" t="str">
        <f t="shared" si="17"/>
        <v>Montagem e Desmontagem de Fôrma de Vigas</v>
      </c>
      <c r="D541" s="175" t="s">
        <v>490</v>
      </c>
      <c r="E541" s="176" t="s">
        <v>13</v>
      </c>
      <c r="F541" s="175"/>
      <c r="G541" s="177" t="str">
        <f>IF(B541="insumo",_xlfn.XLOOKUP($D541,Insumos!$B$1:$B$764,Insumos!$D$1:$D$764),"")</f>
        <v/>
      </c>
      <c r="H541" s="177" cm="1">
        <f t="array" ref="H541">_xlfn.IFS(B541="Serviço",SUMIFS(H542:$H$3085,C542:$C$3085,$C541),B541="Insumo",F541*G541,B541="Etapa","")</f>
        <v>4.6844188000000004</v>
      </c>
      <c r="I541" s="178" t="s">
        <v>195</v>
      </c>
    </row>
    <row r="542" spans="1:9" hidden="1" outlineLevel="2" x14ac:dyDescent="0.25">
      <c r="A542" s="175">
        <f t="shared" si="16"/>
        <v>36</v>
      </c>
      <c r="B542" s="175" t="s">
        <v>327</v>
      </c>
      <c r="C542" s="175" t="str">
        <f t="shared" si="17"/>
        <v>Montagem e Desmontagem de Fôrma de Vigas</v>
      </c>
      <c r="D542" s="175" t="s">
        <v>349</v>
      </c>
      <c r="E542" s="176" t="str">
        <f>_xlfn.XLOOKUP(D542,Insumos!$B$1:$B$764,Insumos!$C$1:$C$764)</f>
        <v>KG</v>
      </c>
      <c r="F542" s="179">
        <v>6.6000000000000003E-2</v>
      </c>
      <c r="G542" s="177">
        <f>IF(B542="insumo",_xlfn.XLOOKUP($D542,Insumos!$B$1:$B$764,Insumos!$D$1:$D$764),"")</f>
        <v>18.13</v>
      </c>
      <c r="H542" s="177" cm="1">
        <f t="array" ref="H542">_xlfn.IFS(B542="Serviço",SUMIFS(H543:$H$3085,C543:$C$3085,$C542),B542="Insumo",F542*G542,B542="Etapa","")</f>
        <v>1.19658</v>
      </c>
      <c r="I542" s="178"/>
    </row>
    <row r="543" spans="1:9" hidden="1" outlineLevel="2" x14ac:dyDescent="0.25">
      <c r="A543" s="175">
        <f t="shared" si="16"/>
        <v>9</v>
      </c>
      <c r="B543" s="175" t="s">
        <v>327</v>
      </c>
      <c r="C543" s="175" t="str">
        <f t="shared" si="17"/>
        <v>Montagem e Desmontagem de Fôrma de Vigas</v>
      </c>
      <c r="D543" s="175" t="s">
        <v>450</v>
      </c>
      <c r="E543" s="176" t="str">
        <f>_xlfn.XLOOKUP(D543,Insumos!$B$1:$B$764,Insumos!$C$1:$C$764)</f>
        <v>L</v>
      </c>
      <c r="F543" s="179">
        <v>1.2999999999999999E-2</v>
      </c>
      <c r="G543" s="177">
        <f>IF(B543="insumo",_xlfn.XLOOKUP($D543,Insumos!$B$1:$B$764,Insumos!$D$1:$D$764),"")</f>
        <v>15.55</v>
      </c>
      <c r="H543" s="177" cm="1">
        <f t="array" ref="H543">_xlfn.IFS(B543="Serviço",SUMIFS(H544:$H$3085,C544:$C$3085,$C543),B543="Insumo",F543*G543,B543="Etapa","")</f>
        <v>0.20215</v>
      </c>
      <c r="I543" s="178"/>
    </row>
    <row r="544" spans="1:9" hidden="1" outlineLevel="2" x14ac:dyDescent="0.25">
      <c r="A544" s="175">
        <f t="shared" si="16"/>
        <v>24</v>
      </c>
      <c r="B544" s="175" t="s">
        <v>327</v>
      </c>
      <c r="C544" s="175" t="str">
        <f t="shared" si="17"/>
        <v>Montagem e Desmontagem de Fôrma de Vigas</v>
      </c>
      <c r="D544" s="175" t="s">
        <v>346</v>
      </c>
      <c r="E544" s="176" t="str">
        <f>_xlfn.XLOOKUP(D544,Insumos!$B$1:$B$764,Insumos!$C$1:$C$764)</f>
        <v>M</v>
      </c>
      <c r="F544" s="179">
        <v>0.2857142857142857</v>
      </c>
      <c r="G544" s="177">
        <f>IF(B544="insumo",_xlfn.XLOOKUP($D544,Insumos!$B$1:$B$764,Insumos!$D$1:$D$764),"")</f>
        <v>7</v>
      </c>
      <c r="H544" s="177" cm="1">
        <f t="array" ref="H544">_xlfn.IFS(B544="Serviço",SUMIFS(H545:$H$3085,C545:$C$3085,$C544),B544="Insumo",F544*G544,B544="Etapa","")</f>
        <v>2</v>
      </c>
      <c r="I544" s="178"/>
    </row>
    <row r="545" spans="1:9" hidden="1" outlineLevel="2" x14ac:dyDescent="0.25">
      <c r="A545" s="175">
        <f t="shared" si="16"/>
        <v>5</v>
      </c>
      <c r="B545" s="175" t="s">
        <v>327</v>
      </c>
      <c r="C545" s="175" t="str">
        <f t="shared" si="17"/>
        <v>Montagem e Desmontagem de Fôrma de Vigas</v>
      </c>
      <c r="D545" s="175" t="s">
        <v>451</v>
      </c>
      <c r="E545" s="176" t="str">
        <f>_xlfn.XLOOKUP(D545,Insumos!$B$1:$B$764,Insumos!$C$1:$C$764)</f>
        <v>M</v>
      </c>
      <c r="F545" s="179">
        <v>3.0280000000000001E-2</v>
      </c>
      <c r="G545" s="177">
        <f>IF(B545="insumo",_xlfn.XLOOKUP($D545,Insumos!$B$1:$B$764,Insumos!$D$1:$D$764),"")</f>
        <v>42.46</v>
      </c>
      <c r="H545" s="177" cm="1">
        <f t="array" ref="H545">_xlfn.IFS(B545="Serviço",SUMIFS(H546:$H$3085,C546:$C$3085,$C545),B545="Insumo",F545*G545,B545="Etapa","")</f>
        <v>1.2856888000000002</v>
      </c>
      <c r="I545" s="178"/>
    </row>
    <row r="546" spans="1:9" outlineLevel="1" collapsed="1" x14ac:dyDescent="0.25">
      <c r="A546" s="175">
        <f t="shared" si="16"/>
        <v>1</v>
      </c>
      <c r="B546" s="175" t="s">
        <v>109</v>
      </c>
      <c r="C546" s="175" t="str">
        <f t="shared" si="17"/>
        <v>Montagem e Desmontagem de Fôrma de Lajes</v>
      </c>
      <c r="D546" s="175" t="s">
        <v>491</v>
      </c>
      <c r="E546" s="176" t="s">
        <v>13</v>
      </c>
      <c r="F546" s="175"/>
      <c r="G546" s="177" t="str">
        <f>IF(B546="insumo",_xlfn.XLOOKUP($D546,Insumos!$B$1:$B$764,Insumos!$D$1:$D$764),"")</f>
        <v/>
      </c>
      <c r="H546" s="177" cm="1">
        <f t="array" ref="H546">_xlfn.IFS(B546="Serviço",SUMIFS(H547:$H$3085,C547:$C$3085,$C546),B546="Insumo",F546*G546,B546="Etapa","")</f>
        <v>0.69165999999999994</v>
      </c>
      <c r="I546" s="178" t="s">
        <v>195</v>
      </c>
    </row>
    <row r="547" spans="1:9" hidden="1" outlineLevel="2" x14ac:dyDescent="0.25">
      <c r="A547" s="175">
        <f t="shared" si="16"/>
        <v>36</v>
      </c>
      <c r="B547" s="175" t="s">
        <v>327</v>
      </c>
      <c r="C547" s="175" t="str">
        <f t="shared" si="17"/>
        <v>Montagem e Desmontagem de Fôrma de Lajes</v>
      </c>
      <c r="D547" s="175" t="s">
        <v>349</v>
      </c>
      <c r="E547" s="176" t="str">
        <f>_xlfn.XLOOKUP(D547,Insumos!$B$1:$B$764,Insumos!$C$1:$C$764)</f>
        <v>KG</v>
      </c>
      <c r="F547" s="179">
        <v>2.7E-2</v>
      </c>
      <c r="G547" s="177">
        <f>IF(B547="insumo",_xlfn.XLOOKUP($D547,Insumos!$B$1:$B$764,Insumos!$D$1:$D$764),"")</f>
        <v>18.13</v>
      </c>
      <c r="H547" s="177" cm="1">
        <f t="array" ref="H547">_xlfn.IFS(B547="Serviço",SUMIFS(H548:$H$3085,C548:$C$3085,$C547),B547="Insumo",F547*G547,B547="Etapa","")</f>
        <v>0.48950999999999995</v>
      </c>
      <c r="I547" s="178"/>
    </row>
    <row r="548" spans="1:9" hidden="1" outlineLevel="2" x14ac:dyDescent="0.25">
      <c r="A548" s="175">
        <f t="shared" si="16"/>
        <v>9</v>
      </c>
      <c r="B548" s="175" t="s">
        <v>327</v>
      </c>
      <c r="C548" s="175" t="str">
        <f t="shared" si="17"/>
        <v>Montagem e Desmontagem de Fôrma de Lajes</v>
      </c>
      <c r="D548" s="175" t="s">
        <v>450</v>
      </c>
      <c r="E548" s="176" t="str">
        <f>_xlfn.XLOOKUP(D548,Insumos!$B$1:$B$764,Insumos!$C$1:$C$764)</f>
        <v>L</v>
      </c>
      <c r="F548" s="179">
        <v>1.2999999999999999E-2</v>
      </c>
      <c r="G548" s="177">
        <f>IF(B548="insumo",_xlfn.XLOOKUP($D548,Insumos!$B$1:$B$764,Insumos!$D$1:$D$764),"")</f>
        <v>15.55</v>
      </c>
      <c r="H548" s="177" cm="1">
        <f t="array" ref="H548">_xlfn.IFS(B548="Serviço",SUMIFS(H549:$H$3085,C549:$C$3085,$C548),B548="Insumo",F548*G548,B548="Etapa","")</f>
        <v>0.20215</v>
      </c>
      <c r="I548" s="178"/>
    </row>
    <row r="549" spans="1:9" ht="16.5" customHeight="1" outlineLevel="1" collapsed="1" x14ac:dyDescent="0.25">
      <c r="A549" s="175">
        <f t="shared" si="16"/>
        <v>1</v>
      </c>
      <c r="B549" s="175" t="s">
        <v>109</v>
      </c>
      <c r="C549" s="175" t="str">
        <f t="shared" si="17"/>
        <v>Montagem e Desmontagem de Fôrma de Escadas</v>
      </c>
      <c r="D549" s="175" t="s">
        <v>2343</v>
      </c>
      <c r="E549" s="176" t="s">
        <v>13</v>
      </c>
      <c r="F549" s="175"/>
      <c r="G549" s="177" t="str">
        <f>IF(B549="insumo",_xlfn.XLOOKUP($D549,Insumos!$B$1:$B$764,Insumos!$D$1:$D$764),"")</f>
        <v/>
      </c>
      <c r="H549" s="177" cm="1">
        <f t="array" ref="H549">_xlfn.IFS(B549="Serviço",SUMIFS(H550:$H$3085,C550:$C$3085,$C549),B549="Insumo",F549*G549,B549="Etapa","")</f>
        <v>0.98718000000000006</v>
      </c>
      <c r="I549" s="178" t="s">
        <v>195</v>
      </c>
    </row>
    <row r="550" spans="1:9" hidden="1" outlineLevel="2" x14ac:dyDescent="0.25">
      <c r="A550" s="175">
        <f t="shared" si="16"/>
        <v>3</v>
      </c>
      <c r="B550" s="175" t="s">
        <v>327</v>
      </c>
      <c r="C550" s="175" t="str">
        <f t="shared" si="17"/>
        <v>Montagem e Desmontagem de Fôrma de Escadas</v>
      </c>
      <c r="D550" s="175" t="s">
        <v>1150</v>
      </c>
      <c r="E550" s="176" t="str">
        <f>_xlfn.XLOOKUP(D550,Insumos!$B$1:$B$764,Insumos!$C$1:$C$764)</f>
        <v>KG</v>
      </c>
      <c r="F550" s="179">
        <v>2.1000000000000001E-2</v>
      </c>
      <c r="G550" s="177">
        <f>IF(B550="insumo",_xlfn.XLOOKUP($D550,Insumos!$B$1:$B$764,Insumos!$D$1:$D$764),"")</f>
        <v>17.63</v>
      </c>
      <c r="H550" s="177" cm="1">
        <f t="array" ref="H550">_xlfn.IFS(B550="Serviço",SUMIFS(H551:$H$3085,C551:$C$3085,$C550),B550="Insumo",F550*G550,B550="Etapa","")</f>
        <v>0.37023</v>
      </c>
      <c r="I550" s="178"/>
    </row>
    <row r="551" spans="1:9" hidden="1" outlineLevel="2" x14ac:dyDescent="0.25">
      <c r="A551" s="175">
        <f t="shared" si="16"/>
        <v>9</v>
      </c>
      <c r="B551" s="175" t="s">
        <v>327</v>
      </c>
      <c r="C551" s="175" t="str">
        <f t="shared" si="17"/>
        <v>Montagem e Desmontagem de Fôrma de Escadas</v>
      </c>
      <c r="D551" s="175" t="s">
        <v>450</v>
      </c>
      <c r="E551" s="176" t="str">
        <f>_xlfn.XLOOKUP(D551,Insumos!$B$1:$B$764,Insumos!$C$1:$C$764)</f>
        <v>L</v>
      </c>
      <c r="F551" s="179">
        <v>4.0000000000000001E-3</v>
      </c>
      <c r="G551" s="177">
        <f>IF(B551="insumo",_xlfn.XLOOKUP($D551,Insumos!$B$1:$B$764,Insumos!$D$1:$D$764),"")</f>
        <v>15.55</v>
      </c>
      <c r="H551" s="177" cm="1">
        <f t="array" ref="H551">_xlfn.IFS(B551="Serviço",SUMIFS(H552:$H$3085,C552:$C$3085,$C551),B551="Insumo",F551*G551,B551="Etapa","")</f>
        <v>6.2200000000000005E-2</v>
      </c>
      <c r="I551" s="178"/>
    </row>
    <row r="552" spans="1:9" hidden="1" outlineLevel="2" x14ac:dyDescent="0.25">
      <c r="A552" s="175">
        <f t="shared" si="16"/>
        <v>3</v>
      </c>
      <c r="B552" s="175" t="s">
        <v>327</v>
      </c>
      <c r="C552" s="175" t="str">
        <f t="shared" si="17"/>
        <v>Montagem e Desmontagem de Fôrma de Escadas</v>
      </c>
      <c r="D552" s="175" t="s">
        <v>2351</v>
      </c>
      <c r="E552" s="176" t="str">
        <f>_xlfn.XLOOKUP(D552,Insumos!$B$1:$B$764,Insumos!$C$1:$C$764)</f>
        <v>KG</v>
      </c>
      <c r="F552" s="179">
        <v>3.5000000000000003E-2</v>
      </c>
      <c r="G552" s="177">
        <f>IF(B552="insumo",_xlfn.XLOOKUP($D552,Insumos!$B$1:$B$764,Insumos!$D$1:$D$764),"")</f>
        <v>15.85</v>
      </c>
      <c r="H552" s="177" cm="1">
        <f t="array" ref="H552">_xlfn.IFS(B552="Serviço",SUMIFS(H553:$H$3085,C553:$C$3085,$C552),B552="Insumo",F552*G552,B552="Etapa","")</f>
        <v>0.55475000000000008</v>
      </c>
      <c r="I552" s="178"/>
    </row>
    <row r="553" spans="1:9" outlineLevel="1" x14ac:dyDescent="0.25">
      <c r="A553" s="175">
        <f t="shared" si="16"/>
        <v>1</v>
      </c>
      <c r="B553" s="175" t="s">
        <v>109</v>
      </c>
      <c r="C553" s="175" t="str">
        <f t="shared" si="17"/>
        <v>Concreto armado no piso do térreo</v>
      </c>
      <c r="D553" s="175" t="s">
        <v>2358</v>
      </c>
      <c r="E553" s="176" t="s">
        <v>390</v>
      </c>
      <c r="F553" s="175"/>
      <c r="G553" s="177"/>
      <c r="H553" s="177" cm="1">
        <f t="array" ref="H553">_xlfn.IFS(B553="Serviço",SUMIFS(H554:$H$3085,C554:$C$3085,$C553),B553="Insumo",F553*G553,B553="Etapa","")</f>
        <v>122.20233361379312</v>
      </c>
      <c r="I553" s="178" t="s">
        <v>195</v>
      </c>
    </row>
    <row r="554" spans="1:9" outlineLevel="2" x14ac:dyDescent="0.25">
      <c r="A554" s="175">
        <f t="shared" si="16"/>
        <v>2</v>
      </c>
      <c r="B554" s="175" t="s">
        <v>327</v>
      </c>
      <c r="C554" s="175" t="str">
        <f t="shared" si="17"/>
        <v>Concreto armado no piso do térreo</v>
      </c>
      <c r="D554" s="175" t="s">
        <v>509</v>
      </c>
      <c r="E554" s="176" t="str">
        <f>_xlfn.XLOOKUP(D554,Insumos!$B$1:$B$764,Insumos!$C$1:$C$764)</f>
        <v>M2</v>
      </c>
      <c r="F554" s="179">
        <v>1.1000000000000001</v>
      </c>
      <c r="G554" s="177">
        <f>IF(B554="insumo",_xlfn.XLOOKUP($D554,Insumos!$B$1:$B$764,Insumos!$D$1:$D$764),"")</f>
        <v>2.3025000000000002</v>
      </c>
      <c r="H554" s="177" cm="1">
        <f t="array" ref="H554">_xlfn.IFS(B554="Serviço",SUMIFS(H555:$H$3085,C555:$C$3085,$C554),B554="Insumo",F554*G554,B554="Etapa","")</f>
        <v>2.5327500000000005</v>
      </c>
      <c r="I554" s="178"/>
    </row>
    <row r="555" spans="1:9" outlineLevel="2" x14ac:dyDescent="0.25">
      <c r="A555" s="175">
        <f t="shared" si="16"/>
        <v>36</v>
      </c>
      <c r="B555" s="175" t="s">
        <v>327</v>
      </c>
      <c r="C555" s="175" t="str">
        <f t="shared" si="17"/>
        <v>Concreto armado no piso do térreo</v>
      </c>
      <c r="D555" s="175" t="s">
        <v>349</v>
      </c>
      <c r="E555" s="176" t="str">
        <f>_xlfn.XLOOKUP(D555,Insumos!$B$1:$B$764,Insumos!$C$1:$C$764)</f>
        <v>KG</v>
      </c>
      <c r="F555" s="179">
        <v>0.02</v>
      </c>
      <c r="G555" s="177">
        <f>IF(B555="insumo",_xlfn.XLOOKUP($D555,Insumos!$B$1:$B$764,Insumos!$D$1:$D$764),"")</f>
        <v>18.13</v>
      </c>
      <c r="H555" s="177" cm="1">
        <f t="array" ref="H555">_xlfn.IFS(B555="Serviço",SUMIFS(H556:$H$3085,C556:$C$3085,$C555),B555="Insumo",F555*G555,B555="Etapa","")</f>
        <v>0.36259999999999998</v>
      </c>
      <c r="I555" s="178"/>
    </row>
    <row r="556" spans="1:9" outlineLevel="2" x14ac:dyDescent="0.25">
      <c r="A556" s="175">
        <f t="shared" si="16"/>
        <v>1</v>
      </c>
      <c r="B556" s="175" t="s">
        <v>327</v>
      </c>
      <c r="C556" s="175" t="str">
        <f t="shared" si="17"/>
        <v>Concreto armado no piso do térreo</v>
      </c>
      <c r="D556" s="175" t="s">
        <v>2360</v>
      </c>
      <c r="E556" s="176" t="str">
        <f>_xlfn.XLOOKUP(D556,Insumos!$B$1:$B$764,Insumos!$C$1:$C$764)</f>
        <v>pc</v>
      </c>
      <c r="F556" s="179">
        <f>(546*0.5)/113.5</f>
        <v>2.4052863436123348</v>
      </c>
      <c r="G556" s="177">
        <f>IF(B556="insumo",_xlfn.XLOOKUP($D556,Insumos!$B$1:$B$764,Insumos!$D$1:$D$764),"")</f>
        <v>3.82</v>
      </c>
      <c r="H556" s="177" cm="1">
        <f t="array" ref="H556">_xlfn.IFS(B556="Serviço",SUMIFS(H557:$H$3085,C557:$C$3085,$C556),B556="Insumo",F556*G556,B556="Etapa","")</f>
        <v>9.1881938325991186</v>
      </c>
      <c r="I556" s="178" t="s">
        <v>2449</v>
      </c>
    </row>
    <row r="557" spans="1:9" outlineLevel="2" x14ac:dyDescent="0.25">
      <c r="A557" s="175">
        <f t="shared" si="16"/>
        <v>2</v>
      </c>
      <c r="B557" s="175" t="s">
        <v>327</v>
      </c>
      <c r="C557" s="175" t="str">
        <f t="shared" si="17"/>
        <v>Concreto armado no piso do térreo</v>
      </c>
      <c r="D557" s="175" t="s">
        <v>2453</v>
      </c>
      <c r="E557" s="176" t="str">
        <f>_xlfn.XLOOKUP(D557,Insumos!$B$1:$B$764,Insumos!$C$1:$C$764)</f>
        <v>KG</v>
      </c>
      <c r="F557" s="179">
        <v>5.0039845810509238</v>
      </c>
      <c r="G557" s="177">
        <f>IF(B557="insumo",_xlfn.XLOOKUP($D557,Insumos!$B$1:$B$764,Insumos!$D$1:$D$764),"")</f>
        <v>8.5370370370370363</v>
      </c>
      <c r="H557" s="177" cm="1">
        <f t="array" ref="H557">_xlfn.IFS(B557="Serviço",SUMIFS(H558:$H$3085,C558:$C$3085,$C557),B557="Insumo",F557*G557,B557="Etapa","")</f>
        <v>42.719201701193995</v>
      </c>
      <c r="I557" s="178"/>
    </row>
    <row r="558" spans="1:9" outlineLevel="2" x14ac:dyDescent="0.25">
      <c r="A558" s="175">
        <f t="shared" si="16"/>
        <v>1</v>
      </c>
      <c r="B558" s="175" t="s">
        <v>327</v>
      </c>
      <c r="C558" s="175" t="str">
        <f t="shared" si="17"/>
        <v>Concreto armado no piso do térreo</v>
      </c>
      <c r="D558" s="175" t="s">
        <v>2362</v>
      </c>
      <c r="E558" s="176" t="str">
        <f>_xlfn.XLOOKUP(D558,Insumos!$B$1:$B$764,Insumos!$C$1:$C$764)</f>
        <v>un</v>
      </c>
      <c r="F558" s="179">
        <v>3.4E-5</v>
      </c>
      <c r="G558" s="177">
        <f>IF(B558="insumo",_xlfn.XLOOKUP($D558,Insumos!$B$1:$B$764,Insumos!$D$1:$D$764),"")</f>
        <v>21.12</v>
      </c>
      <c r="H558" s="177" cm="1">
        <f t="array" ref="H558">_xlfn.IFS(B558="Serviço",SUMIFS(H559:$H$3085,C559:$C$3085,$C558),B558="Insumo",F558*G558,B558="Etapa","")</f>
        <v>7.1808000000000006E-4</v>
      </c>
      <c r="I558" s="178"/>
    </row>
    <row r="559" spans="1:9" outlineLevel="2" x14ac:dyDescent="0.25">
      <c r="A559" s="175">
        <f t="shared" si="16"/>
        <v>6</v>
      </c>
      <c r="B559" s="175" t="s">
        <v>327</v>
      </c>
      <c r="C559" s="175" t="str">
        <f t="shared" si="17"/>
        <v>Concreto armado no piso do térreo</v>
      </c>
      <c r="D559" s="175" t="s">
        <v>459</v>
      </c>
      <c r="E559" s="176" t="str">
        <f>_xlfn.XLOOKUP(D559,Insumos!$B$1:$B$764,Insumos!$C$1:$C$764)</f>
        <v>M3</v>
      </c>
      <c r="F559" s="179">
        <v>0.11</v>
      </c>
      <c r="G559" s="177">
        <f>IF(B559="insumo",_xlfn.XLOOKUP($D559,Insumos!$B$1:$B$764,Insumos!$D$1:$D$764),"")</f>
        <v>510</v>
      </c>
      <c r="H559" s="177" cm="1">
        <f t="array" ref="H559">_xlfn.IFS(B559="Serviço",SUMIFS(H560:$H$3085,C560:$C$3085,$C559),B559="Insumo",F559*G559,B559="Etapa","")</f>
        <v>56.1</v>
      </c>
      <c r="I559" s="178"/>
    </row>
    <row r="560" spans="1:9" outlineLevel="2" x14ac:dyDescent="0.25">
      <c r="A560" s="175">
        <f t="shared" si="16"/>
        <v>1</v>
      </c>
      <c r="B560" s="175" t="s">
        <v>327</v>
      </c>
      <c r="C560" s="175" t="str">
        <f t="shared" si="17"/>
        <v>Concreto armado no piso do térreo</v>
      </c>
      <c r="D560" s="175" t="s">
        <v>2363</v>
      </c>
      <c r="E560" s="176" t="str">
        <f>_xlfn.XLOOKUP(D560,Insumos!$B$1:$B$764,Insumos!$C$1:$C$764)</f>
        <v>UN</v>
      </c>
      <c r="F560" s="179">
        <v>0.33329999999999999</v>
      </c>
      <c r="G560" s="177">
        <f>IF(B560="insumo",_xlfn.XLOOKUP($D560,Insumos!$B$1:$B$764,Insumos!$D$1:$D$764),"")</f>
        <v>33.9</v>
      </c>
      <c r="H560" s="177" cm="1">
        <f t="array" ref="H560">_xlfn.IFS(B560="Serviço",SUMIFS(H561:$H$3085,C561:$C$3085,$C560),B560="Insumo",F560*G560,B560="Etapa","")</f>
        <v>11.298869999999999</v>
      </c>
      <c r="I560" s="178"/>
    </row>
    <row r="561" spans="1:9" outlineLevel="1" collapsed="1" x14ac:dyDescent="0.25">
      <c r="A561" s="175">
        <f t="shared" si="16"/>
        <v>1</v>
      </c>
      <c r="B561" s="175" t="s">
        <v>109</v>
      </c>
      <c r="C561" s="175" t="str">
        <f t="shared" si="17"/>
        <v>Armação Aço CA-60, Diâmetro de 5,0mm para Supraestrutura, Corte e Dobra em Obra</v>
      </c>
      <c r="D561" s="175" t="s">
        <v>203</v>
      </c>
      <c r="E561" s="176" t="s">
        <v>428</v>
      </c>
      <c r="F561" s="175"/>
      <c r="G561" s="177" t="str">
        <f>IF(B561="insumo",_xlfn.XLOOKUP($D561,Insumos!$B$1:$B$764,Insumos!$D$1:$D$764),"")</f>
        <v/>
      </c>
      <c r="H561" s="177" cm="1">
        <f t="array" ref="H561">_xlfn.IFS(B561="Serviço",SUMIFS(H562:$H$3085,C562:$C$3085,$C561),B561="Insumo",F561*G561,B561="Etapa","")</f>
        <v>7.5500550000000004</v>
      </c>
      <c r="I561" s="178" t="s">
        <v>195</v>
      </c>
    </row>
    <row r="562" spans="1:9" hidden="1" outlineLevel="2" x14ac:dyDescent="0.25">
      <c r="A562" s="175">
        <f t="shared" si="16"/>
        <v>4</v>
      </c>
      <c r="B562" s="175" t="s">
        <v>327</v>
      </c>
      <c r="C562" s="175" t="str">
        <f t="shared" si="17"/>
        <v>Armação Aço CA-60, Diâmetro de 5,0mm para Supraestrutura, Corte e Dobra em Obra</v>
      </c>
      <c r="D562" s="175" t="s">
        <v>439</v>
      </c>
      <c r="E562" s="176" t="str">
        <f>_xlfn.XLOOKUP(D562,Insumos!$B$1:$B$764,Insumos!$C$1:$C$764)</f>
        <v>KG</v>
      </c>
      <c r="F562" s="179">
        <v>1.1000000000000001</v>
      </c>
      <c r="G562" s="177">
        <f>IF(B562="insumo",_xlfn.XLOOKUP($D562,Insumos!$B$1:$B$764,Insumos!$D$1:$D$764),"")</f>
        <v>6.54</v>
      </c>
      <c r="H562" s="177" cm="1">
        <f t="array" ref="H562">_xlfn.IFS(B562="Serviço",SUMIFS(H563:$H$3085,C563:$C$3085,$C562),B562="Insumo",F562*G562,B562="Etapa","")</f>
        <v>7.1940000000000008</v>
      </c>
      <c r="I562" s="178"/>
    </row>
    <row r="563" spans="1:9" hidden="1" outlineLevel="2" x14ac:dyDescent="0.25">
      <c r="A563" s="175">
        <f t="shared" si="16"/>
        <v>11</v>
      </c>
      <c r="B563" s="175" t="s">
        <v>327</v>
      </c>
      <c r="C563" s="175" t="str">
        <f t="shared" si="17"/>
        <v>Armação Aço CA-60, Diâmetro de 5,0mm para Supraestrutura, Corte e Dobra em Obra</v>
      </c>
      <c r="D563" s="175" t="s">
        <v>492</v>
      </c>
      <c r="E563" s="176" t="str">
        <f>_xlfn.XLOOKUP(D563,Insumos!$B$1:$B$764,Insumos!$C$1:$C$764)</f>
        <v>KG</v>
      </c>
      <c r="F563" s="179">
        <v>2.0500000000000001E-2</v>
      </c>
      <c r="G563" s="177">
        <f>IF(B563="insumo",_xlfn.XLOOKUP($D563,Insumos!$B$1:$B$764,Insumos!$D$1:$D$764),"")</f>
        <v>16.71</v>
      </c>
      <c r="H563" s="177" cm="1">
        <f t="array" ref="H563">_xlfn.IFS(B563="Serviço",SUMIFS(H564:$H$3085,C564:$C$3085,$C563),B563="Insumo",F563*G563,B563="Etapa","")</f>
        <v>0.34255500000000005</v>
      </c>
      <c r="I563" s="178"/>
    </row>
    <row r="564" spans="1:9" hidden="1" outlineLevel="2" x14ac:dyDescent="0.25">
      <c r="A564" s="175">
        <f t="shared" si="16"/>
        <v>35</v>
      </c>
      <c r="B564" s="175" t="s">
        <v>327</v>
      </c>
      <c r="C564" s="175" t="str">
        <f t="shared" si="17"/>
        <v>Armação Aço CA-60, Diâmetro de 5,0mm para Supraestrutura, Corte e Dobra em Obra</v>
      </c>
      <c r="D564" s="175" t="s">
        <v>431</v>
      </c>
      <c r="E564" s="176" t="str">
        <f>_xlfn.XLOOKUP(D564,Insumos!$B$1:$B$764,Insumos!$C$1:$C$764)</f>
        <v>UN</v>
      </c>
      <c r="F564" s="179">
        <v>0.05</v>
      </c>
      <c r="G564" s="177">
        <f>IF(B564="insumo",_xlfn.XLOOKUP($D564,Insumos!$B$1:$B$764,Insumos!$D$1:$D$764),"")</f>
        <v>0.27</v>
      </c>
      <c r="H564" s="177" cm="1">
        <f t="array" ref="H564">_xlfn.IFS(B564="Serviço",SUMIFS(H565:$H$3085,C565:$C$3085,$C564),B564="Insumo",F564*G564,B564="Etapa","")</f>
        <v>1.3500000000000002E-2</v>
      </c>
      <c r="I564" s="178"/>
    </row>
    <row r="565" spans="1:9" outlineLevel="1" collapsed="1" x14ac:dyDescent="0.25">
      <c r="A565" s="175">
        <f t="shared" si="16"/>
        <v>1</v>
      </c>
      <c r="B565" s="175" t="s">
        <v>109</v>
      </c>
      <c r="C565" s="175" t="str">
        <f t="shared" si="17"/>
        <v>Armação Aço CA-50, Diâmetro de 6,3mm para Supraestrutura, Corte e Dobra em Obra</v>
      </c>
      <c r="D565" s="175" t="s">
        <v>493</v>
      </c>
      <c r="E565" s="176" t="s">
        <v>428</v>
      </c>
      <c r="F565" s="175"/>
      <c r="G565" s="177" t="str">
        <f>IF(B565="insumo",_xlfn.XLOOKUP($D565,Insumos!$B$1:$B$764,Insumos!$D$1:$D$764),"")</f>
        <v/>
      </c>
      <c r="H565" s="177" cm="1">
        <f t="array" ref="H565">_xlfn.IFS(B565="Serviço",SUMIFS(H566:$H$3085,C566:$C$3085,$C565),B565="Insumo",F565*G565,B565="Etapa","")</f>
        <v>7.0000550000000006</v>
      </c>
      <c r="I565" s="178" t="s">
        <v>195</v>
      </c>
    </row>
    <row r="566" spans="1:9" hidden="1" outlineLevel="2" x14ac:dyDescent="0.25">
      <c r="A566" s="175">
        <f t="shared" si="16"/>
        <v>4</v>
      </c>
      <c r="B566" s="175" t="s">
        <v>327</v>
      </c>
      <c r="C566" s="175" t="str">
        <f t="shared" si="17"/>
        <v>Armação Aço CA-50, Diâmetro de 6,3mm para Supraestrutura, Corte e Dobra em Obra</v>
      </c>
      <c r="D566" s="175" t="s">
        <v>429</v>
      </c>
      <c r="E566" s="176" t="str">
        <f>_xlfn.XLOOKUP(D566,Insumos!$B$1:$B$764,Insumos!$C$1:$C$764)</f>
        <v>KG</v>
      </c>
      <c r="F566" s="179">
        <v>1.1000000000000001</v>
      </c>
      <c r="G566" s="177">
        <f>IF(B566="insumo",_xlfn.XLOOKUP($D566,Insumos!$B$1:$B$764,Insumos!$D$1:$D$764),"")</f>
        <v>6.04</v>
      </c>
      <c r="H566" s="177" cm="1">
        <f t="array" ref="H566">_xlfn.IFS(B566="Serviço",SUMIFS(H567:$H$3085,C567:$C$3085,$C566),B566="Insumo",F566*G566,B566="Etapa","")</f>
        <v>6.644000000000001</v>
      </c>
      <c r="I566" s="178"/>
    </row>
    <row r="567" spans="1:9" hidden="1" outlineLevel="2" x14ac:dyDescent="0.25">
      <c r="A567" s="175">
        <f t="shared" si="16"/>
        <v>11</v>
      </c>
      <c r="B567" s="175" t="s">
        <v>327</v>
      </c>
      <c r="C567" s="175" t="str">
        <f t="shared" si="17"/>
        <v>Armação Aço CA-50, Diâmetro de 6,3mm para Supraestrutura, Corte e Dobra em Obra</v>
      </c>
      <c r="D567" s="175" t="s">
        <v>492</v>
      </c>
      <c r="E567" s="176" t="str">
        <f>_xlfn.XLOOKUP(D567,Insumos!$B$1:$B$764,Insumos!$C$1:$C$764)</f>
        <v>KG</v>
      </c>
      <c r="F567" s="179">
        <v>2.0500000000000001E-2</v>
      </c>
      <c r="G567" s="177">
        <f>IF(B567="insumo",_xlfn.XLOOKUP($D567,Insumos!$B$1:$B$764,Insumos!$D$1:$D$764),"")</f>
        <v>16.71</v>
      </c>
      <c r="H567" s="177" cm="1">
        <f t="array" ref="H567">_xlfn.IFS(B567="Serviço",SUMIFS(H568:$H$3085,C568:$C$3085,$C567),B567="Insumo",F567*G567,B567="Etapa","")</f>
        <v>0.34255500000000005</v>
      </c>
      <c r="I567" s="178"/>
    </row>
    <row r="568" spans="1:9" hidden="1" outlineLevel="2" x14ac:dyDescent="0.25">
      <c r="A568" s="175">
        <f t="shared" si="16"/>
        <v>35</v>
      </c>
      <c r="B568" s="175" t="s">
        <v>327</v>
      </c>
      <c r="C568" s="175" t="str">
        <f t="shared" si="17"/>
        <v>Armação Aço CA-50, Diâmetro de 6,3mm para Supraestrutura, Corte e Dobra em Obra</v>
      </c>
      <c r="D568" s="175" t="s">
        <v>431</v>
      </c>
      <c r="E568" s="176" t="str">
        <f>_xlfn.XLOOKUP(D568,Insumos!$B$1:$B$764,Insumos!$C$1:$C$764)</f>
        <v>UN</v>
      </c>
      <c r="F568" s="179">
        <v>0.05</v>
      </c>
      <c r="G568" s="177">
        <f>IF(B568="insumo",_xlfn.XLOOKUP($D568,Insumos!$B$1:$B$764,Insumos!$D$1:$D$764),"")</f>
        <v>0.27</v>
      </c>
      <c r="H568" s="177" cm="1">
        <f t="array" ref="H568">_xlfn.IFS(B568="Serviço",SUMIFS(H569:$H$3085,C569:$C$3085,$C568),B568="Insumo",F568*G568,B568="Etapa","")</f>
        <v>1.3500000000000002E-2</v>
      </c>
      <c r="I568" s="178"/>
    </row>
    <row r="569" spans="1:9" outlineLevel="1" collapsed="1" x14ac:dyDescent="0.25">
      <c r="A569" s="175">
        <f t="shared" si="16"/>
        <v>1</v>
      </c>
      <c r="B569" s="175" t="s">
        <v>109</v>
      </c>
      <c r="C569" s="175" t="str">
        <f t="shared" si="17"/>
        <v>Armação Aço CA-50, Diâmetro de 8,0mm para Supraestrutura, Corte e Dobra em Obra</v>
      </c>
      <c r="D569" s="175" t="s">
        <v>204</v>
      </c>
      <c r="E569" s="176" t="s">
        <v>428</v>
      </c>
      <c r="F569" s="175"/>
      <c r="G569" s="177" t="str">
        <f>IF(B569="insumo",_xlfn.XLOOKUP($D569,Insumos!$B$1:$B$764,Insumos!$D$1:$D$764),"")</f>
        <v/>
      </c>
      <c r="H569" s="177" cm="1">
        <f t="array" ref="H569">_xlfn.IFS(B569="Serviço",SUMIFS(H570:$H$3085,C570:$C$3085,$C569),B569="Insumo",F569*G569,B569="Etapa","")</f>
        <v>7.0000550000000006</v>
      </c>
      <c r="I569" s="178" t="s">
        <v>195</v>
      </c>
    </row>
    <row r="570" spans="1:9" hidden="1" outlineLevel="2" x14ac:dyDescent="0.25">
      <c r="A570" s="175">
        <f t="shared" si="16"/>
        <v>5</v>
      </c>
      <c r="B570" s="175" t="s">
        <v>327</v>
      </c>
      <c r="C570" s="175" t="str">
        <f t="shared" si="17"/>
        <v>Armação Aço CA-50, Diâmetro de 8,0mm para Supraestrutura, Corte e Dobra em Obra</v>
      </c>
      <c r="D570" s="175" t="s">
        <v>433</v>
      </c>
      <c r="E570" s="176" t="str">
        <f>_xlfn.XLOOKUP(D570,Insumos!$B$1:$B$764,Insumos!$C$1:$C$764)</f>
        <v>KG</v>
      </c>
      <c r="F570" s="179">
        <v>1.1000000000000001</v>
      </c>
      <c r="G570" s="177">
        <f>IF(B570="insumo",_xlfn.XLOOKUP($D570,Insumos!$B$1:$B$764,Insumos!$D$1:$D$764),"")</f>
        <v>6.04</v>
      </c>
      <c r="H570" s="177" cm="1">
        <f t="array" ref="H570">_xlfn.IFS(B570="Serviço",SUMIFS(H571:$H$3085,C571:$C$3085,$C570),B570="Insumo",F570*G570,B570="Etapa","")</f>
        <v>6.644000000000001</v>
      </c>
      <c r="I570" s="178"/>
    </row>
    <row r="571" spans="1:9" hidden="1" outlineLevel="2" x14ac:dyDescent="0.25">
      <c r="A571" s="175">
        <f t="shared" si="16"/>
        <v>11</v>
      </c>
      <c r="B571" s="175" t="s">
        <v>327</v>
      </c>
      <c r="C571" s="175" t="str">
        <f t="shared" si="17"/>
        <v>Armação Aço CA-50, Diâmetro de 8,0mm para Supraestrutura, Corte e Dobra em Obra</v>
      </c>
      <c r="D571" s="175" t="s">
        <v>492</v>
      </c>
      <c r="E571" s="176" t="str">
        <f>_xlfn.XLOOKUP(D571,Insumos!$B$1:$B$764,Insumos!$C$1:$C$764)</f>
        <v>KG</v>
      </c>
      <c r="F571" s="179">
        <v>2.0500000000000001E-2</v>
      </c>
      <c r="G571" s="177">
        <f>IF(B571="insumo",_xlfn.XLOOKUP($D571,Insumos!$B$1:$B$764,Insumos!$D$1:$D$764),"")</f>
        <v>16.71</v>
      </c>
      <c r="H571" s="177" cm="1">
        <f t="array" ref="H571">_xlfn.IFS(B571="Serviço",SUMIFS(H572:$H$3085,C572:$C$3085,$C571),B571="Insumo",F571*G571,B571="Etapa","")</f>
        <v>0.34255500000000005</v>
      </c>
      <c r="I571" s="178"/>
    </row>
    <row r="572" spans="1:9" hidden="1" outlineLevel="2" x14ac:dyDescent="0.25">
      <c r="A572" s="175">
        <f t="shared" si="16"/>
        <v>35</v>
      </c>
      <c r="B572" s="175" t="s">
        <v>327</v>
      </c>
      <c r="C572" s="175" t="str">
        <f t="shared" si="17"/>
        <v>Armação Aço CA-50, Diâmetro de 8,0mm para Supraestrutura, Corte e Dobra em Obra</v>
      </c>
      <c r="D572" s="175" t="s">
        <v>431</v>
      </c>
      <c r="E572" s="176" t="str">
        <f>_xlfn.XLOOKUP(D572,Insumos!$B$1:$B$764,Insumos!$C$1:$C$764)</f>
        <v>UN</v>
      </c>
      <c r="F572" s="179">
        <v>0.05</v>
      </c>
      <c r="G572" s="177">
        <f>IF(B572="insumo",_xlfn.XLOOKUP($D572,Insumos!$B$1:$B$764,Insumos!$D$1:$D$764),"")</f>
        <v>0.27</v>
      </c>
      <c r="H572" s="177" cm="1">
        <f t="array" ref="H572">_xlfn.IFS(B572="Serviço",SUMIFS(H573:$H$3085,C573:$C$3085,$C572),B572="Insumo",F572*G572,B572="Etapa","")</f>
        <v>1.3500000000000002E-2</v>
      </c>
      <c r="I572" s="178"/>
    </row>
    <row r="573" spans="1:9" outlineLevel="1" collapsed="1" x14ac:dyDescent="0.25">
      <c r="A573" s="175">
        <f t="shared" si="16"/>
        <v>1</v>
      </c>
      <c r="B573" s="175" t="s">
        <v>109</v>
      </c>
      <c r="C573" s="175" t="str">
        <f t="shared" si="17"/>
        <v>Armação Aço CA-50, Diâmetro de 10,0mm para Supraestrutura, Corte e Dobra em Obra</v>
      </c>
      <c r="D573" s="175" t="s">
        <v>205</v>
      </c>
      <c r="E573" s="176" t="s">
        <v>428</v>
      </c>
      <c r="F573" s="175"/>
      <c r="G573" s="177" t="str">
        <f>IF(B573="insumo",_xlfn.XLOOKUP($D573,Insumos!$B$1:$B$764,Insumos!$D$1:$D$764),"")</f>
        <v/>
      </c>
      <c r="H573" s="177" cm="1">
        <f t="array" ref="H573">_xlfn.IFS(B573="Serviço",SUMIFS(H574:$H$3085,C574:$C$3085,$C573),B573="Insumo",F573*G573,B573="Etapa","")</f>
        <v>6.6920549999999999</v>
      </c>
      <c r="I573" s="178" t="s">
        <v>195</v>
      </c>
    </row>
    <row r="574" spans="1:9" hidden="1" outlineLevel="2" x14ac:dyDescent="0.25">
      <c r="A574" s="175">
        <f t="shared" si="16"/>
        <v>4</v>
      </c>
      <c r="B574" s="175" t="s">
        <v>327</v>
      </c>
      <c r="C574" s="175" t="str">
        <f t="shared" si="17"/>
        <v>Armação Aço CA-50, Diâmetro de 10,0mm para Supraestrutura, Corte e Dobra em Obra</v>
      </c>
      <c r="D574" s="175" t="s">
        <v>435</v>
      </c>
      <c r="E574" s="176" t="str">
        <f>_xlfn.XLOOKUP(D574,Insumos!$B$1:$B$764,Insumos!$C$1:$C$764)</f>
        <v>KG</v>
      </c>
      <c r="F574" s="179">
        <v>1.1000000000000001</v>
      </c>
      <c r="G574" s="177">
        <f>IF(B574="insumo",_xlfn.XLOOKUP($D574,Insumos!$B$1:$B$764,Insumos!$D$1:$D$764),"")</f>
        <v>5.76</v>
      </c>
      <c r="H574" s="177" cm="1">
        <f t="array" ref="H574">_xlfn.IFS(B574="Serviço",SUMIFS(H575:$H$3085,C575:$C$3085,$C574),B574="Insumo",F574*G574,B574="Etapa","")</f>
        <v>6.3360000000000003</v>
      </c>
      <c r="I574" s="178"/>
    </row>
    <row r="575" spans="1:9" hidden="1" outlineLevel="2" x14ac:dyDescent="0.25">
      <c r="A575" s="175">
        <f t="shared" si="16"/>
        <v>11</v>
      </c>
      <c r="B575" s="175" t="s">
        <v>327</v>
      </c>
      <c r="C575" s="175" t="str">
        <f t="shared" si="17"/>
        <v>Armação Aço CA-50, Diâmetro de 10,0mm para Supraestrutura, Corte e Dobra em Obra</v>
      </c>
      <c r="D575" s="175" t="s">
        <v>492</v>
      </c>
      <c r="E575" s="176" t="str">
        <f>_xlfn.XLOOKUP(D575,Insumos!$B$1:$B$764,Insumos!$C$1:$C$764)</f>
        <v>KG</v>
      </c>
      <c r="F575" s="179">
        <v>2.0500000000000001E-2</v>
      </c>
      <c r="G575" s="177">
        <f>IF(B575="insumo",_xlfn.XLOOKUP($D575,Insumos!$B$1:$B$764,Insumos!$D$1:$D$764),"")</f>
        <v>16.71</v>
      </c>
      <c r="H575" s="177" cm="1">
        <f t="array" ref="H575">_xlfn.IFS(B575="Serviço",SUMIFS(H576:$H$3085,C576:$C$3085,$C575),B575="Insumo",F575*G575,B575="Etapa","")</f>
        <v>0.34255500000000005</v>
      </c>
      <c r="I575" s="178"/>
    </row>
    <row r="576" spans="1:9" hidden="1" outlineLevel="2" x14ac:dyDescent="0.25">
      <c r="A576" s="175">
        <f t="shared" si="16"/>
        <v>35</v>
      </c>
      <c r="B576" s="175" t="s">
        <v>327</v>
      </c>
      <c r="C576" s="175" t="str">
        <f t="shared" si="17"/>
        <v>Armação Aço CA-50, Diâmetro de 10,0mm para Supraestrutura, Corte e Dobra em Obra</v>
      </c>
      <c r="D576" s="175" t="s">
        <v>431</v>
      </c>
      <c r="E576" s="176" t="str">
        <f>_xlfn.XLOOKUP(D576,Insumos!$B$1:$B$764,Insumos!$C$1:$C$764)</f>
        <v>UN</v>
      </c>
      <c r="F576" s="179">
        <v>0.05</v>
      </c>
      <c r="G576" s="177">
        <f>IF(B576="insumo",_xlfn.XLOOKUP($D576,Insumos!$B$1:$B$764,Insumos!$D$1:$D$764),"")</f>
        <v>0.27</v>
      </c>
      <c r="H576" s="177" cm="1">
        <f t="array" ref="H576">_xlfn.IFS(B576="Serviço",SUMIFS(H577:$H$3085,C577:$C$3085,$C576),B576="Insumo",F576*G576,B576="Etapa","")</f>
        <v>1.3500000000000002E-2</v>
      </c>
      <c r="I576" s="178"/>
    </row>
    <row r="577" spans="1:9" outlineLevel="1" collapsed="1" x14ac:dyDescent="0.25">
      <c r="A577" s="175">
        <f t="shared" si="16"/>
        <v>1</v>
      </c>
      <c r="B577" s="175" t="s">
        <v>109</v>
      </c>
      <c r="C577" s="175" t="str">
        <f t="shared" si="17"/>
        <v>Armação Aço CA-50, Diâmetro de 12,5mm para Supraestrutura, Corte e Dobra em Obra</v>
      </c>
      <c r="D577" s="175" t="s">
        <v>206</v>
      </c>
      <c r="E577" s="176" t="s">
        <v>428</v>
      </c>
      <c r="F577" s="175"/>
      <c r="G577" s="177" t="str">
        <f>IF(B577="insumo",_xlfn.XLOOKUP($D577,Insumos!$B$1:$B$764,Insumos!$D$1:$D$764),"")</f>
        <v/>
      </c>
      <c r="H577" s="177" cm="1">
        <f t="array" ref="H577">_xlfn.IFS(B577="Serviço",SUMIFS(H578:$H$3085,C578:$C$3085,$C577),B577="Insumo",F577*G577,B577="Etapa","")</f>
        <v>6.5050549999999996</v>
      </c>
      <c r="I577" s="178" t="s">
        <v>195</v>
      </c>
    </row>
    <row r="578" spans="1:9" hidden="1" outlineLevel="2" x14ac:dyDescent="0.25">
      <c r="A578" s="175">
        <f t="shared" ref="A578:A641" si="18">COUNTIFS($D$2:$D$3085,D578,$B$2:$B$3085,B578)</f>
        <v>4</v>
      </c>
      <c r="B578" s="175" t="s">
        <v>327</v>
      </c>
      <c r="C578" s="175" t="str">
        <f t="shared" si="17"/>
        <v>Armação Aço CA-50, Diâmetro de 12,5mm para Supraestrutura, Corte e Dobra em Obra</v>
      </c>
      <c r="D578" s="175" t="s">
        <v>453</v>
      </c>
      <c r="E578" s="176" t="str">
        <f>_xlfn.XLOOKUP(D578,Insumos!$B$1:$B$764,Insumos!$C$1:$C$764)</f>
        <v>KG</v>
      </c>
      <c r="F578" s="179">
        <v>1.1000000000000001</v>
      </c>
      <c r="G578" s="177">
        <f>IF(B578="insumo",_xlfn.XLOOKUP($D578,Insumos!$B$1:$B$764,Insumos!$D$1:$D$764),"")</f>
        <v>5.59</v>
      </c>
      <c r="H578" s="177" cm="1">
        <f t="array" ref="H578">_xlfn.IFS(B578="Serviço",SUMIFS(H579:$H$3085,C579:$C$3085,$C578),B578="Insumo",F578*G578,B578="Etapa","")</f>
        <v>6.149</v>
      </c>
      <c r="I578" s="178"/>
    </row>
    <row r="579" spans="1:9" hidden="1" outlineLevel="2" x14ac:dyDescent="0.25">
      <c r="A579" s="175">
        <f t="shared" si="18"/>
        <v>11</v>
      </c>
      <c r="B579" s="175" t="s">
        <v>327</v>
      </c>
      <c r="C579" s="175" t="str">
        <f t="shared" si="17"/>
        <v>Armação Aço CA-50, Diâmetro de 12,5mm para Supraestrutura, Corte e Dobra em Obra</v>
      </c>
      <c r="D579" s="175" t="s">
        <v>492</v>
      </c>
      <c r="E579" s="176" t="str">
        <f>_xlfn.XLOOKUP(D579,Insumos!$B$1:$B$764,Insumos!$C$1:$C$764)</f>
        <v>KG</v>
      </c>
      <c r="F579" s="179">
        <v>2.0500000000000001E-2</v>
      </c>
      <c r="G579" s="177">
        <f>IF(B579="insumo",_xlfn.XLOOKUP($D579,Insumos!$B$1:$B$764,Insumos!$D$1:$D$764),"")</f>
        <v>16.71</v>
      </c>
      <c r="H579" s="177" cm="1">
        <f t="array" ref="H579">_xlfn.IFS(B579="Serviço",SUMIFS(H580:$H$3085,C580:$C$3085,$C579),B579="Insumo",F579*G579,B579="Etapa","")</f>
        <v>0.34255500000000005</v>
      </c>
      <c r="I579" s="178"/>
    </row>
    <row r="580" spans="1:9" hidden="1" outlineLevel="2" x14ac:dyDescent="0.25">
      <c r="A580" s="175">
        <f t="shared" si="18"/>
        <v>35</v>
      </c>
      <c r="B580" s="175" t="s">
        <v>327</v>
      </c>
      <c r="C580" s="175" t="str">
        <f t="shared" si="17"/>
        <v>Armação Aço CA-50, Diâmetro de 12,5mm para Supraestrutura, Corte e Dobra em Obra</v>
      </c>
      <c r="D580" s="175" t="s">
        <v>431</v>
      </c>
      <c r="E580" s="176" t="str">
        <f>_xlfn.XLOOKUP(D580,Insumos!$B$1:$B$764,Insumos!$C$1:$C$764)</f>
        <v>UN</v>
      </c>
      <c r="F580" s="179">
        <v>0.05</v>
      </c>
      <c r="G580" s="177">
        <f>IF(B580="insumo",_xlfn.XLOOKUP($D580,Insumos!$B$1:$B$764,Insumos!$D$1:$D$764),"")</f>
        <v>0.27</v>
      </c>
      <c r="H580" s="177" cm="1">
        <f t="array" ref="H580">_xlfn.IFS(B580="Serviço",SUMIFS(H581:$H$3085,C581:$C$3085,$C580),B580="Insumo",F580*G580,B580="Etapa","")</f>
        <v>1.3500000000000002E-2</v>
      </c>
      <c r="I580" s="178"/>
    </row>
    <row r="581" spans="1:9" outlineLevel="1" collapsed="1" x14ac:dyDescent="0.25">
      <c r="A581" s="175">
        <f t="shared" si="18"/>
        <v>1</v>
      </c>
      <c r="B581" s="175" t="s">
        <v>109</v>
      </c>
      <c r="C581" s="175" t="str">
        <f t="shared" si="17"/>
        <v>Armação Aço CA-50, Diâmetro de 16,0mm para Supraestrutura, Corte e Dobra em Obra</v>
      </c>
      <c r="D581" s="175" t="s">
        <v>207</v>
      </c>
      <c r="E581" s="176" t="s">
        <v>428</v>
      </c>
      <c r="F581" s="175"/>
      <c r="G581" s="177" t="str">
        <f>IF(B581="insumo",_xlfn.XLOOKUP($D581,Insumos!$B$1:$B$764,Insumos!$D$1:$D$764),"")</f>
        <v/>
      </c>
      <c r="H581" s="177" cm="1">
        <f t="array" ref="H581">_xlfn.IFS(B581="Serviço",SUMIFS(H582:$H$3085,C582:$C$3085,$C581),B581="Insumo",F581*G581,B581="Etapa","")</f>
        <v>6.5050549999999996</v>
      </c>
      <c r="I581" s="178" t="s">
        <v>195</v>
      </c>
    </row>
    <row r="582" spans="1:9" hidden="1" outlineLevel="2" x14ac:dyDescent="0.25">
      <c r="A582" s="175">
        <f t="shared" si="18"/>
        <v>4</v>
      </c>
      <c r="B582" s="175" t="s">
        <v>327</v>
      </c>
      <c r="C582" s="175" t="str">
        <f t="shared" ref="C582:C645" si="19">IF(B582="serviço",D582,C581)</f>
        <v>Armação Aço CA-50, Diâmetro de 16,0mm para Supraestrutura, Corte e Dobra em Obra</v>
      </c>
      <c r="D582" s="175" t="s">
        <v>436</v>
      </c>
      <c r="E582" s="176" t="str">
        <f>_xlfn.XLOOKUP(D582,Insumos!$B$1:$B$764,Insumos!$C$1:$C$764)</f>
        <v>KG</v>
      </c>
      <c r="F582" s="179">
        <v>1.1000000000000001</v>
      </c>
      <c r="G582" s="177">
        <f>IF(B582="insumo",_xlfn.XLOOKUP($D582,Insumos!$B$1:$B$764,Insumos!$D$1:$D$764),"")</f>
        <v>5.59</v>
      </c>
      <c r="H582" s="177" cm="1">
        <f t="array" ref="H582">_xlfn.IFS(B582="Serviço",SUMIFS(H583:$H$3085,C583:$C$3085,$C582),B582="Insumo",F582*G582,B582="Etapa","")</f>
        <v>6.149</v>
      </c>
      <c r="I582" s="178"/>
    </row>
    <row r="583" spans="1:9" hidden="1" outlineLevel="2" x14ac:dyDescent="0.25">
      <c r="A583" s="175">
        <f t="shared" si="18"/>
        <v>11</v>
      </c>
      <c r="B583" s="175" t="s">
        <v>327</v>
      </c>
      <c r="C583" s="175" t="str">
        <f t="shared" si="19"/>
        <v>Armação Aço CA-50, Diâmetro de 16,0mm para Supraestrutura, Corte e Dobra em Obra</v>
      </c>
      <c r="D583" s="175" t="s">
        <v>492</v>
      </c>
      <c r="E583" s="176" t="str">
        <f>_xlfn.XLOOKUP(D583,Insumos!$B$1:$B$764,Insumos!$C$1:$C$764)</f>
        <v>KG</v>
      </c>
      <c r="F583" s="179">
        <v>2.0500000000000001E-2</v>
      </c>
      <c r="G583" s="177">
        <f>IF(B583="insumo",_xlfn.XLOOKUP($D583,Insumos!$B$1:$B$764,Insumos!$D$1:$D$764),"")</f>
        <v>16.71</v>
      </c>
      <c r="H583" s="177" cm="1">
        <f t="array" ref="H583">_xlfn.IFS(B583="Serviço",SUMIFS(H584:$H$3085,C584:$C$3085,$C583),B583="Insumo",F583*G583,B583="Etapa","")</f>
        <v>0.34255500000000005</v>
      </c>
      <c r="I583" s="178"/>
    </row>
    <row r="584" spans="1:9" hidden="1" outlineLevel="2" x14ac:dyDescent="0.25">
      <c r="A584" s="175">
        <f t="shared" si="18"/>
        <v>35</v>
      </c>
      <c r="B584" s="175" t="s">
        <v>327</v>
      </c>
      <c r="C584" s="175" t="str">
        <f t="shared" si="19"/>
        <v>Armação Aço CA-50, Diâmetro de 16,0mm para Supraestrutura, Corte e Dobra em Obra</v>
      </c>
      <c r="D584" s="175" t="s">
        <v>431</v>
      </c>
      <c r="E584" s="176" t="str">
        <f>_xlfn.XLOOKUP(D584,Insumos!$B$1:$B$764,Insumos!$C$1:$C$764)</f>
        <v>UN</v>
      </c>
      <c r="F584" s="179">
        <v>0.05</v>
      </c>
      <c r="G584" s="177">
        <f>IF(B584="insumo",_xlfn.XLOOKUP($D584,Insumos!$B$1:$B$764,Insumos!$D$1:$D$764),"")</f>
        <v>0.27</v>
      </c>
      <c r="H584" s="177" cm="1">
        <f t="array" ref="H584">_xlfn.IFS(B584="Serviço",SUMIFS(H585:$H$3085,C585:$C$3085,$C584),B584="Insumo",F584*G584,B584="Etapa","")</f>
        <v>1.3500000000000002E-2</v>
      </c>
      <c r="I584" s="178"/>
    </row>
    <row r="585" spans="1:9" outlineLevel="1" collapsed="1" x14ac:dyDescent="0.25">
      <c r="A585" s="175">
        <f t="shared" si="18"/>
        <v>1</v>
      </c>
      <c r="B585" s="175" t="s">
        <v>109</v>
      </c>
      <c r="C585" s="175" t="str">
        <f t="shared" si="19"/>
        <v>Armação Aço CA-50, Diâmetro de 20,0mm para Supraestrutura, Corte e Dobra em Obra</v>
      </c>
      <c r="D585" s="175" t="s">
        <v>208</v>
      </c>
      <c r="E585" s="176" t="s">
        <v>428</v>
      </c>
      <c r="F585" s="175"/>
      <c r="G585" s="177" t="str">
        <f>IF(B585="insumo",_xlfn.XLOOKUP($D585,Insumos!$B$1:$B$764,Insumos!$D$1:$D$764),"")</f>
        <v/>
      </c>
      <c r="H585" s="177" cm="1">
        <f t="array" ref="H585">_xlfn.IFS(B585="Serviço",SUMIFS(H586:$H$3085,C586:$C$3085,$C585),B585="Insumo",F585*G585,B585="Etapa","")</f>
        <v>6.5050549999999996</v>
      </c>
      <c r="I585" s="178" t="s">
        <v>195</v>
      </c>
    </row>
    <row r="586" spans="1:9" hidden="1" outlineLevel="2" x14ac:dyDescent="0.25">
      <c r="A586" s="175">
        <f t="shared" si="18"/>
        <v>4</v>
      </c>
      <c r="B586" s="175" t="s">
        <v>327</v>
      </c>
      <c r="C586" s="175" t="str">
        <f t="shared" si="19"/>
        <v>Armação Aço CA-50, Diâmetro de 20,0mm para Supraestrutura, Corte e Dobra em Obra</v>
      </c>
      <c r="D586" s="175" t="s">
        <v>437</v>
      </c>
      <c r="E586" s="176" t="str">
        <f>_xlfn.XLOOKUP(D586,Insumos!$B$1:$B$764,Insumos!$C$1:$C$764)</f>
        <v>KG</v>
      </c>
      <c r="F586" s="179">
        <v>1.1000000000000001</v>
      </c>
      <c r="G586" s="177">
        <f>IF(B586="insumo",_xlfn.XLOOKUP($D586,Insumos!$B$1:$B$764,Insumos!$D$1:$D$764),"")</f>
        <v>5.59</v>
      </c>
      <c r="H586" s="177" cm="1">
        <f t="array" ref="H586">_xlfn.IFS(B586="Serviço",SUMIFS(H587:$H$3085,C587:$C$3085,$C586),B586="Insumo",F586*G586,B586="Etapa","")</f>
        <v>6.149</v>
      </c>
      <c r="I586" s="178"/>
    </row>
    <row r="587" spans="1:9" hidden="1" outlineLevel="2" x14ac:dyDescent="0.25">
      <c r="A587" s="175">
        <f t="shared" si="18"/>
        <v>11</v>
      </c>
      <c r="B587" s="175" t="s">
        <v>327</v>
      </c>
      <c r="C587" s="175" t="str">
        <f t="shared" si="19"/>
        <v>Armação Aço CA-50, Diâmetro de 20,0mm para Supraestrutura, Corte e Dobra em Obra</v>
      </c>
      <c r="D587" s="175" t="s">
        <v>492</v>
      </c>
      <c r="E587" s="176" t="str">
        <f>_xlfn.XLOOKUP(D587,Insumos!$B$1:$B$764,Insumos!$C$1:$C$764)</f>
        <v>KG</v>
      </c>
      <c r="F587" s="179">
        <v>2.0500000000000001E-2</v>
      </c>
      <c r="G587" s="177">
        <f>IF(B587="insumo",_xlfn.XLOOKUP($D587,Insumos!$B$1:$B$764,Insumos!$D$1:$D$764),"")</f>
        <v>16.71</v>
      </c>
      <c r="H587" s="177" cm="1">
        <f t="array" ref="H587">_xlfn.IFS(B587="Serviço",SUMIFS(H588:$H$3085,C588:$C$3085,$C587),B587="Insumo",F587*G587,B587="Etapa","")</f>
        <v>0.34255500000000005</v>
      </c>
      <c r="I587" s="178"/>
    </row>
    <row r="588" spans="1:9" hidden="1" outlineLevel="2" x14ac:dyDescent="0.25">
      <c r="A588" s="175">
        <f t="shared" si="18"/>
        <v>35</v>
      </c>
      <c r="B588" s="175" t="s">
        <v>327</v>
      </c>
      <c r="C588" s="175" t="str">
        <f t="shared" si="19"/>
        <v>Armação Aço CA-50, Diâmetro de 20,0mm para Supraestrutura, Corte e Dobra em Obra</v>
      </c>
      <c r="D588" s="175" t="s">
        <v>431</v>
      </c>
      <c r="E588" s="176" t="str">
        <f>_xlfn.XLOOKUP(D588,Insumos!$B$1:$B$764,Insumos!$C$1:$C$764)</f>
        <v>UN</v>
      </c>
      <c r="F588" s="179">
        <v>0.05</v>
      </c>
      <c r="G588" s="177">
        <f>IF(B588="insumo",_xlfn.XLOOKUP($D588,Insumos!$B$1:$B$764,Insumos!$D$1:$D$764),"")</f>
        <v>0.27</v>
      </c>
      <c r="H588" s="177" cm="1">
        <f t="array" ref="H588">_xlfn.IFS(B588="Serviço",SUMIFS(H589:$H$3085,C589:$C$3085,$C588),B588="Insumo",F588*G588,B588="Etapa","")</f>
        <v>1.3500000000000002E-2</v>
      </c>
      <c r="I588" s="178"/>
    </row>
    <row r="589" spans="1:9" outlineLevel="1" collapsed="1" x14ac:dyDescent="0.25">
      <c r="A589" s="175">
        <f t="shared" si="18"/>
        <v>1</v>
      </c>
      <c r="B589" s="175" t="s">
        <v>109</v>
      </c>
      <c r="C589" s="175" t="str">
        <f t="shared" si="19"/>
        <v>Armação Aço CA-50, Diâmetro de 25,0mm para Supraestrutura, Corte e Dobra em Obra</v>
      </c>
      <c r="D589" s="175" t="s">
        <v>494</v>
      </c>
      <c r="E589" s="176" t="s">
        <v>428</v>
      </c>
      <c r="F589" s="175"/>
      <c r="G589" s="177" t="str">
        <f>IF(B589="insumo",_xlfn.XLOOKUP($D589,Insumos!$B$1:$B$764,Insumos!$D$1:$D$764),"")</f>
        <v/>
      </c>
      <c r="H589" s="177" cm="1">
        <f t="array" ref="H589">_xlfn.IFS(B589="Serviço",SUMIFS(H590:$H$3085,C590:$C$3085,$C589),B589="Insumo",F589*G589,B589="Etapa","")</f>
        <v>6.7690549999999998</v>
      </c>
      <c r="I589" s="178" t="s">
        <v>195</v>
      </c>
    </row>
    <row r="590" spans="1:9" hidden="1" outlineLevel="2" x14ac:dyDescent="0.25">
      <c r="A590" s="175">
        <f t="shared" si="18"/>
        <v>3</v>
      </c>
      <c r="B590" s="175" t="s">
        <v>327</v>
      </c>
      <c r="C590" s="175" t="str">
        <f t="shared" si="19"/>
        <v>Armação Aço CA-50, Diâmetro de 25,0mm para Supraestrutura, Corte e Dobra em Obra</v>
      </c>
      <c r="D590" s="175" t="s">
        <v>454</v>
      </c>
      <c r="E590" s="176" t="str">
        <f>_xlfn.XLOOKUP(D590,Insumos!$B$1:$B$764,Insumos!$C$1:$C$764)</f>
        <v>KG</v>
      </c>
      <c r="F590" s="179">
        <v>1.1000000000000001</v>
      </c>
      <c r="G590" s="177">
        <f>IF(B590="insumo",_xlfn.XLOOKUP($D590,Insumos!$B$1:$B$764,Insumos!$D$1:$D$764),"")</f>
        <v>5.83</v>
      </c>
      <c r="H590" s="177" cm="1">
        <f t="array" ref="H590">_xlfn.IFS(B590="Serviço",SUMIFS(H591:$H$3085,C591:$C$3085,$C590),B590="Insumo",F590*G590,B590="Etapa","")</f>
        <v>6.4130000000000003</v>
      </c>
      <c r="I590" s="178"/>
    </row>
    <row r="591" spans="1:9" hidden="1" outlineLevel="2" x14ac:dyDescent="0.25">
      <c r="A591" s="175">
        <f t="shared" si="18"/>
        <v>11</v>
      </c>
      <c r="B591" s="175" t="s">
        <v>327</v>
      </c>
      <c r="C591" s="175" t="str">
        <f t="shared" si="19"/>
        <v>Armação Aço CA-50, Diâmetro de 25,0mm para Supraestrutura, Corte e Dobra em Obra</v>
      </c>
      <c r="D591" s="175" t="s">
        <v>492</v>
      </c>
      <c r="E591" s="176" t="str">
        <f>_xlfn.XLOOKUP(D591,Insumos!$B$1:$B$764,Insumos!$C$1:$C$764)</f>
        <v>KG</v>
      </c>
      <c r="F591" s="179">
        <v>2.0500000000000001E-2</v>
      </c>
      <c r="G591" s="177">
        <f>IF(B591="insumo",_xlfn.XLOOKUP($D591,Insumos!$B$1:$B$764,Insumos!$D$1:$D$764),"")</f>
        <v>16.71</v>
      </c>
      <c r="H591" s="177" cm="1">
        <f t="array" ref="H591">_xlfn.IFS(B591="Serviço",SUMIFS(H592:$H$3085,C592:$C$3085,$C591),B591="Insumo",F591*G591,B591="Etapa","")</f>
        <v>0.34255500000000005</v>
      </c>
      <c r="I591" s="178"/>
    </row>
    <row r="592" spans="1:9" hidden="1" outlineLevel="2" x14ac:dyDescent="0.25">
      <c r="A592" s="175">
        <f t="shared" si="18"/>
        <v>35</v>
      </c>
      <c r="B592" s="175" t="s">
        <v>327</v>
      </c>
      <c r="C592" s="175" t="str">
        <f t="shared" si="19"/>
        <v>Armação Aço CA-50, Diâmetro de 25,0mm para Supraestrutura, Corte e Dobra em Obra</v>
      </c>
      <c r="D592" s="175" t="s">
        <v>431</v>
      </c>
      <c r="E592" s="176" t="str">
        <f>_xlfn.XLOOKUP(D592,Insumos!$B$1:$B$764,Insumos!$C$1:$C$764)</f>
        <v>UN</v>
      </c>
      <c r="F592" s="179">
        <v>0.05</v>
      </c>
      <c r="G592" s="177">
        <f>IF(B592="insumo",_xlfn.XLOOKUP($D592,Insumos!$B$1:$B$764,Insumos!$D$1:$D$764),"")</f>
        <v>0.27</v>
      </c>
      <c r="H592" s="177" cm="1">
        <f t="array" ref="H592">_xlfn.IFS(B592="Serviço",SUMIFS(H593:$H$3085,C593:$C$3085,$C592),B592="Insumo",F592*G592,B592="Etapa","")</f>
        <v>1.3500000000000002E-2</v>
      </c>
      <c r="I592" s="178"/>
    </row>
    <row r="593" spans="1:9" outlineLevel="1" collapsed="1" x14ac:dyDescent="0.25">
      <c r="A593" s="175">
        <f t="shared" si="18"/>
        <v>1</v>
      </c>
      <c r="B593" s="175" t="s">
        <v>109</v>
      </c>
      <c r="C593" s="175" t="str">
        <f t="shared" si="19"/>
        <v>Armação tela Q113 para Suprastrutura (corte e dobra em Obra)</v>
      </c>
      <c r="D593" s="175" t="s">
        <v>2452</v>
      </c>
      <c r="E593" s="176" t="s">
        <v>428</v>
      </c>
      <c r="F593" s="175"/>
      <c r="G593" s="177" t="str">
        <f>IF(B593="insumo",_xlfn.XLOOKUP($D593,Insumos!$B$1:$B$764,Insumos!$D$1:$D$764),"")</f>
        <v/>
      </c>
      <c r="H593" s="177" cm="1">
        <f t="array" ref="H593">_xlfn.IFS(B593="Serviço",SUMIFS(H594:$H$3085,C594:$C$3085,$C593),B593="Insumo",F593*G593,B593="Etapa","")</f>
        <v>9.7467957407407422</v>
      </c>
      <c r="I593" s="178" t="s">
        <v>195</v>
      </c>
    </row>
    <row r="594" spans="1:9" hidden="1" outlineLevel="2" x14ac:dyDescent="0.25">
      <c r="A594" s="175">
        <f t="shared" si="18"/>
        <v>2</v>
      </c>
      <c r="B594" s="175" t="s">
        <v>327</v>
      </c>
      <c r="C594" s="175" t="str">
        <f t="shared" si="19"/>
        <v>Armação tela Q113 para Suprastrutura (corte e dobra em Obra)</v>
      </c>
      <c r="D594" s="175" t="s">
        <v>2453</v>
      </c>
      <c r="E594" s="176" t="str">
        <f>_xlfn.XLOOKUP(D594,Insumos!$B$1:$B$764,Insumos!$C$1:$C$764)</f>
        <v>KG</v>
      </c>
      <c r="F594" s="179">
        <v>1.1000000000000001</v>
      </c>
      <c r="G594" s="177">
        <f>IF(B594="insumo",_xlfn.XLOOKUP($D594,Insumos!$B$1:$B$764,Insumos!$D$1:$D$764),"")</f>
        <v>8.5370370370370363</v>
      </c>
      <c r="H594" s="177" cm="1">
        <f t="array" ref="H594">_xlfn.IFS(B594="Serviço",SUMIFS(H595:$H$3085,C595:$C$3085,$C594),B594="Insumo",F594*G594,B594="Etapa","")</f>
        <v>9.3907407407407408</v>
      </c>
      <c r="I594" s="178"/>
    </row>
    <row r="595" spans="1:9" hidden="1" outlineLevel="2" x14ac:dyDescent="0.25">
      <c r="A595" s="175">
        <f t="shared" si="18"/>
        <v>11</v>
      </c>
      <c r="B595" s="175" t="s">
        <v>327</v>
      </c>
      <c r="C595" s="175" t="str">
        <f t="shared" si="19"/>
        <v>Armação tela Q113 para Suprastrutura (corte e dobra em Obra)</v>
      </c>
      <c r="D595" s="175" t="s">
        <v>492</v>
      </c>
      <c r="E595" s="176" t="str">
        <f>_xlfn.XLOOKUP(D595,Insumos!$B$1:$B$764,Insumos!$C$1:$C$764)</f>
        <v>KG</v>
      </c>
      <c r="F595" s="179">
        <v>2.0500000000000001E-2</v>
      </c>
      <c r="G595" s="177">
        <f>IF(B595="insumo",_xlfn.XLOOKUP($D595,Insumos!$B$1:$B$764,Insumos!$D$1:$D$764),"")</f>
        <v>16.71</v>
      </c>
      <c r="H595" s="177" cm="1">
        <f t="array" ref="H595">_xlfn.IFS(B595="Serviço",SUMIFS(H596:$H$3085,C596:$C$3085,$C595),B595="Insumo",F595*G595,B595="Etapa","")</f>
        <v>0.34255500000000005</v>
      </c>
      <c r="I595" s="178"/>
    </row>
    <row r="596" spans="1:9" hidden="1" outlineLevel="2" x14ac:dyDescent="0.25">
      <c r="A596" s="175">
        <f t="shared" si="18"/>
        <v>35</v>
      </c>
      <c r="B596" s="175" t="s">
        <v>327</v>
      </c>
      <c r="C596" s="175" t="str">
        <f t="shared" si="19"/>
        <v>Armação tela Q113 para Suprastrutura (corte e dobra em Obra)</v>
      </c>
      <c r="D596" s="175" t="s">
        <v>431</v>
      </c>
      <c r="E596" s="176" t="str">
        <f>_xlfn.XLOOKUP(D596,Insumos!$B$1:$B$764,Insumos!$C$1:$C$764)</f>
        <v>UN</v>
      </c>
      <c r="F596" s="179">
        <v>0.05</v>
      </c>
      <c r="G596" s="177">
        <f>IF(B596="insumo",_xlfn.XLOOKUP($D596,Insumos!$B$1:$B$764,Insumos!$D$1:$D$764),"")</f>
        <v>0.27</v>
      </c>
      <c r="H596" s="177" cm="1">
        <f t="array" ref="H596">_xlfn.IFS(B596="Serviço",SUMIFS(H597:$H$3085,C597:$C$3085,$C596),B596="Insumo",F596*G596,B596="Etapa","")</f>
        <v>1.3500000000000002E-2</v>
      </c>
      <c r="I596" s="178"/>
    </row>
    <row r="597" spans="1:9" outlineLevel="1" collapsed="1" x14ac:dyDescent="0.25">
      <c r="A597" s="175">
        <f t="shared" si="18"/>
        <v>1</v>
      </c>
      <c r="B597" s="175" t="s">
        <v>109</v>
      </c>
      <c r="C597" s="175" t="str">
        <f t="shared" si="19"/>
        <v>Armação tela Q138 para Suprastrutura (corte e dobra em Obra)</v>
      </c>
      <c r="D597" s="175" t="s">
        <v>495</v>
      </c>
      <c r="E597" s="176" t="s">
        <v>428</v>
      </c>
      <c r="F597" s="175"/>
      <c r="G597" s="177" t="str">
        <f>IF(B597="insumo",_xlfn.XLOOKUP($D597,Insumos!$B$1:$B$764,Insumos!$D$1:$D$764),"")</f>
        <v/>
      </c>
      <c r="H597" s="177" cm="1">
        <f t="array" ref="H597">_xlfn.IFS(B597="Serviço",SUMIFS(H598:$H$3085,C598:$C$3085,$C597),B597="Insumo",F597*G597,B597="Etapa","")</f>
        <v>10.415238673469389</v>
      </c>
      <c r="I597" s="178" t="s">
        <v>195</v>
      </c>
    </row>
    <row r="598" spans="1:9" hidden="1" outlineLevel="2" x14ac:dyDescent="0.25">
      <c r="A598" s="175">
        <f t="shared" si="18"/>
        <v>1</v>
      </c>
      <c r="B598" s="175" t="s">
        <v>327</v>
      </c>
      <c r="C598" s="175" t="str">
        <f t="shared" si="19"/>
        <v>Armação tela Q138 para Suprastrutura (corte e dobra em Obra)</v>
      </c>
      <c r="D598" s="175" t="s">
        <v>496</v>
      </c>
      <c r="E598" s="176" t="str">
        <f>_xlfn.XLOOKUP(D598,Insumos!$B$1:$B$764,Insumos!$C$1:$C$764)</f>
        <v>KG</v>
      </c>
      <c r="F598" s="179">
        <v>1.1000000000000001</v>
      </c>
      <c r="G598" s="177">
        <f>IF(B598="insumo",_xlfn.XLOOKUP($D598,Insumos!$B$1:$B$764,Insumos!$D$1:$D$764),"")</f>
        <v>9.1447124304267149</v>
      </c>
      <c r="H598" s="177" cm="1">
        <f t="array" ref="H598">_xlfn.IFS(B598="Serviço",SUMIFS(H599:$H$3085,C599:$C$3085,$C598),B598="Insumo",F598*G598,B598="Etapa","")</f>
        <v>10.059183673469388</v>
      </c>
      <c r="I598" s="178"/>
    </row>
    <row r="599" spans="1:9" hidden="1" outlineLevel="2" x14ac:dyDescent="0.25">
      <c r="A599" s="175">
        <f t="shared" si="18"/>
        <v>11</v>
      </c>
      <c r="B599" s="175" t="s">
        <v>327</v>
      </c>
      <c r="C599" s="175" t="str">
        <f t="shared" si="19"/>
        <v>Armação tela Q138 para Suprastrutura (corte e dobra em Obra)</v>
      </c>
      <c r="D599" s="175" t="s">
        <v>492</v>
      </c>
      <c r="E599" s="176" t="str">
        <f>_xlfn.XLOOKUP(D599,Insumos!$B$1:$B$764,Insumos!$C$1:$C$764)</f>
        <v>KG</v>
      </c>
      <c r="F599" s="179">
        <v>2.0500000000000001E-2</v>
      </c>
      <c r="G599" s="177">
        <f>IF(B599="insumo",_xlfn.XLOOKUP($D599,Insumos!$B$1:$B$764,Insumos!$D$1:$D$764),"")</f>
        <v>16.71</v>
      </c>
      <c r="H599" s="177" cm="1">
        <f t="array" ref="H599">_xlfn.IFS(B599="Serviço",SUMIFS(H600:$H$3085,C600:$C$3085,$C599),B599="Insumo",F599*G599,B599="Etapa","")</f>
        <v>0.34255500000000005</v>
      </c>
      <c r="I599" s="178"/>
    </row>
    <row r="600" spans="1:9" hidden="1" outlineLevel="2" x14ac:dyDescent="0.25">
      <c r="A600" s="175">
        <f t="shared" si="18"/>
        <v>35</v>
      </c>
      <c r="B600" s="175" t="s">
        <v>327</v>
      </c>
      <c r="C600" s="175" t="str">
        <f t="shared" si="19"/>
        <v>Armação tela Q138 para Suprastrutura (corte e dobra em Obra)</v>
      </c>
      <c r="D600" s="175" t="s">
        <v>431</v>
      </c>
      <c r="E600" s="176" t="str">
        <f>_xlfn.XLOOKUP(D600,Insumos!$B$1:$B$764,Insumos!$C$1:$C$764)</f>
        <v>UN</v>
      </c>
      <c r="F600" s="179">
        <v>0.05</v>
      </c>
      <c r="G600" s="177">
        <f>IF(B600="insumo",_xlfn.XLOOKUP($D600,Insumos!$B$1:$B$764,Insumos!$D$1:$D$764),"")</f>
        <v>0.27</v>
      </c>
      <c r="H600" s="177" cm="1">
        <f t="array" ref="H600">_xlfn.IFS(B600="Serviço",SUMIFS(H601:$H$3085,C601:$C$3085,$C600),B600="Insumo",F600*G600,B600="Etapa","")</f>
        <v>1.3500000000000002E-2</v>
      </c>
      <c r="I600" s="178"/>
    </row>
    <row r="601" spans="1:9" outlineLevel="1" collapsed="1" x14ac:dyDescent="0.25">
      <c r="A601" s="175">
        <f t="shared" si="18"/>
        <v>1</v>
      </c>
      <c r="B601" s="175" t="s">
        <v>109</v>
      </c>
      <c r="C601" s="175" t="str">
        <f t="shared" si="19"/>
        <v>Armação tela Q92 para ContraPiso Armado (corte e dobra em Obra)</v>
      </c>
      <c r="D601" s="175" t="s">
        <v>497</v>
      </c>
      <c r="E601" s="176" t="s">
        <v>428</v>
      </c>
      <c r="F601" s="175"/>
      <c r="G601" s="177" t="str">
        <f>IF(B601="insumo",_xlfn.XLOOKUP($D601,Insumos!$B$1:$B$764,Insumos!$D$1:$D$764),"")</f>
        <v/>
      </c>
      <c r="H601" s="177" cm="1">
        <f t="array" ref="H601">_xlfn.IFS(B601="Serviço",SUMIFS(H602:$H$3085,C602:$C$3085,$C601),B601="Insumo",F601*G601,B601="Etapa","")</f>
        <v>5.7240549999999999</v>
      </c>
      <c r="I601" s="178" t="s">
        <v>195</v>
      </c>
    </row>
    <row r="602" spans="1:9" hidden="1" outlineLevel="2" x14ac:dyDescent="0.25">
      <c r="A602" s="175">
        <f t="shared" si="18"/>
        <v>1</v>
      </c>
      <c r="B602" s="175" t="s">
        <v>327</v>
      </c>
      <c r="C602" s="175" t="str">
        <f t="shared" si="19"/>
        <v>Armação tela Q92 para ContraPiso Armado (corte e dobra em Obra)</v>
      </c>
      <c r="D602" s="175" t="s">
        <v>498</v>
      </c>
      <c r="E602" s="176" t="str">
        <f>_xlfn.XLOOKUP(D602,Insumos!$B$1:$B$764,Insumos!$C$1:$C$764)</f>
        <v>KG</v>
      </c>
      <c r="F602" s="179">
        <v>1.1000000000000001</v>
      </c>
      <c r="G602" s="177">
        <f>IF(B602="insumo",_xlfn.XLOOKUP($D602,Insumos!$B$1:$B$764,Insumos!$D$1:$D$764),"")</f>
        <v>4.88</v>
      </c>
      <c r="H602" s="177" cm="1">
        <f t="array" ref="H602">_xlfn.IFS(B602="Serviço",SUMIFS(H603:$H$3085,C603:$C$3085,$C602),B602="Insumo",F602*G602,B602="Etapa","")</f>
        <v>5.3680000000000003</v>
      </c>
      <c r="I602" s="178"/>
    </row>
    <row r="603" spans="1:9" hidden="1" outlineLevel="2" x14ac:dyDescent="0.25">
      <c r="A603" s="175">
        <f t="shared" si="18"/>
        <v>11</v>
      </c>
      <c r="B603" s="175" t="s">
        <v>327</v>
      </c>
      <c r="C603" s="175" t="str">
        <f t="shared" si="19"/>
        <v>Armação tela Q92 para ContraPiso Armado (corte e dobra em Obra)</v>
      </c>
      <c r="D603" s="175" t="s">
        <v>492</v>
      </c>
      <c r="E603" s="176" t="str">
        <f>_xlfn.XLOOKUP(D603,Insumos!$B$1:$B$764,Insumos!$C$1:$C$764)</f>
        <v>KG</v>
      </c>
      <c r="F603" s="179">
        <v>2.0500000000000001E-2</v>
      </c>
      <c r="G603" s="177">
        <f>IF(B603="insumo",_xlfn.XLOOKUP($D603,Insumos!$B$1:$B$764,Insumos!$D$1:$D$764),"")</f>
        <v>16.71</v>
      </c>
      <c r="H603" s="177" cm="1">
        <f t="array" ref="H603">_xlfn.IFS(B603="Serviço",SUMIFS(H604:$H$3085,C604:$C$3085,$C603),B603="Insumo",F603*G603,B603="Etapa","")</f>
        <v>0.34255500000000005</v>
      </c>
      <c r="I603" s="178"/>
    </row>
    <row r="604" spans="1:9" hidden="1" outlineLevel="2" x14ac:dyDescent="0.25">
      <c r="A604" s="175">
        <f t="shared" si="18"/>
        <v>35</v>
      </c>
      <c r="B604" s="175" t="s">
        <v>327</v>
      </c>
      <c r="C604" s="175" t="str">
        <f t="shared" si="19"/>
        <v>Armação tela Q92 para ContraPiso Armado (corte e dobra em Obra)</v>
      </c>
      <c r="D604" s="175" t="s">
        <v>431</v>
      </c>
      <c r="E604" s="176" t="str">
        <f>_xlfn.XLOOKUP(D604,Insumos!$B$1:$B$764,Insumos!$C$1:$C$764)</f>
        <v>UN</v>
      </c>
      <c r="F604" s="179">
        <v>0.05</v>
      </c>
      <c r="G604" s="177">
        <f>IF(B604="insumo",_xlfn.XLOOKUP($D604,Insumos!$B$1:$B$764,Insumos!$D$1:$D$764),"")</f>
        <v>0.27</v>
      </c>
      <c r="H604" s="177" cm="1">
        <f t="array" ref="H604">_xlfn.IFS(B604="Serviço",SUMIFS(H605:$H$3085,C605:$C$3085,$C604),B604="Insumo",F604*G604,B604="Etapa","")</f>
        <v>1.3500000000000002E-2</v>
      </c>
      <c r="I604" s="178"/>
    </row>
    <row r="605" spans="1:9" outlineLevel="1" collapsed="1" x14ac:dyDescent="0.25">
      <c r="A605" s="175">
        <f t="shared" si="18"/>
        <v>1</v>
      </c>
      <c r="B605" s="175" t="s">
        <v>109</v>
      </c>
      <c r="C605" s="175" t="str">
        <f t="shared" si="19"/>
        <v>Concreto Usinado FCK = 20MPa Bombeavel Para Supraestrutura</v>
      </c>
      <c r="D605" s="175" t="s">
        <v>499</v>
      </c>
      <c r="E605" s="176" t="s">
        <v>390</v>
      </c>
      <c r="F605" s="175"/>
      <c r="G605" s="177" t="str">
        <f>IF(B605="insumo",_xlfn.XLOOKUP($D605,Insumos!$B$1:$B$764,Insumos!$D$1:$D$764),"")</f>
        <v/>
      </c>
      <c r="H605" s="177" cm="1">
        <f t="array" ref="H605">_xlfn.IFS(B605="Serviço",SUMIFS(H606:$H$3085,C606:$C$3085,$C605),B605="Insumo",F605*G605,B605="Etapa","")</f>
        <v>557.26</v>
      </c>
      <c r="I605" s="178" t="s">
        <v>195</v>
      </c>
    </row>
    <row r="606" spans="1:9" hidden="1" outlineLevel="2" x14ac:dyDescent="0.25">
      <c r="A606" s="175">
        <f t="shared" si="18"/>
        <v>9</v>
      </c>
      <c r="B606" s="175" t="s">
        <v>327</v>
      </c>
      <c r="C606" s="175" t="str">
        <f t="shared" si="19"/>
        <v>Concreto Usinado FCK = 20MPa Bombeavel Para Supraestrutura</v>
      </c>
      <c r="D606" s="175" t="s">
        <v>339</v>
      </c>
      <c r="E606" s="176" t="str">
        <f>_xlfn.XLOOKUP(D606,Insumos!$B$1:$B$764,Insumos!$C$1:$C$764)</f>
        <v>M3</v>
      </c>
      <c r="F606" s="179">
        <v>1.05</v>
      </c>
      <c r="G606" s="177">
        <f>IF(B606="insumo",_xlfn.XLOOKUP($D606,Insumos!$B$1:$B$764,Insumos!$D$1:$D$764),"")</f>
        <v>490</v>
      </c>
      <c r="H606" s="177" cm="1">
        <f t="array" ref="H606">_xlfn.IFS(B606="Serviço",SUMIFS(H607:$H$3085,C607:$C$3085,$C606),B606="Insumo",F606*G606,B606="Etapa","")</f>
        <v>514.5</v>
      </c>
      <c r="I606" s="178"/>
    </row>
    <row r="607" spans="1:9" hidden="1" outlineLevel="2" x14ac:dyDescent="0.25">
      <c r="A607" s="175">
        <f t="shared" si="18"/>
        <v>22</v>
      </c>
      <c r="B607" s="175" t="s">
        <v>327</v>
      </c>
      <c r="C607" s="175" t="str">
        <f t="shared" si="19"/>
        <v>Concreto Usinado FCK = 20MPa Bombeavel Para Supraestrutura</v>
      </c>
      <c r="D607" s="175" t="s">
        <v>395</v>
      </c>
      <c r="E607" s="176" t="str">
        <f>_xlfn.XLOOKUP(D607,Insumos!$B$1:$B$764,Insumos!$C$1:$C$764)</f>
        <v>M3</v>
      </c>
      <c r="F607" s="179">
        <v>1.05</v>
      </c>
      <c r="G607" s="177">
        <f>IF(B607="insumo",_xlfn.XLOOKUP($D607,Insumos!$B$1:$B$764,Insumos!$D$1:$D$764),"")</f>
        <v>40</v>
      </c>
      <c r="H607" s="177" cm="1">
        <f t="array" ref="H607">_xlfn.IFS(B607="Serviço",SUMIFS(H608:$H$3085,C608:$C$3085,$C607),B607="Insumo",F607*G607,B607="Etapa","")</f>
        <v>42</v>
      </c>
      <c r="I607" s="178"/>
    </row>
    <row r="608" spans="1:9" hidden="1" outlineLevel="2" x14ac:dyDescent="0.25">
      <c r="A608" s="175">
        <f t="shared" si="18"/>
        <v>39</v>
      </c>
      <c r="B608" s="175" t="s">
        <v>327</v>
      </c>
      <c r="C608" s="175" t="str">
        <f t="shared" si="19"/>
        <v>Concreto Usinado FCK = 20MPa Bombeavel Para Supraestrutura</v>
      </c>
      <c r="D608" s="175" t="s">
        <v>396</v>
      </c>
      <c r="E608" s="176" t="str">
        <f>_xlfn.XLOOKUP(D608,Insumos!$B$1:$B$764,Insumos!$C$1:$C$764)</f>
        <v>KG</v>
      </c>
      <c r="F608" s="179">
        <v>1</v>
      </c>
      <c r="G608" s="177">
        <f>IF(B608="insumo",_xlfn.XLOOKUP($D608,Insumos!$B$1:$B$764,Insumos!$D$1:$D$764),"")</f>
        <v>0.76</v>
      </c>
      <c r="H608" s="177" cm="1">
        <f t="array" ref="H608">_xlfn.IFS(B608="Serviço",SUMIFS(H609:$H$3085,C609:$C$3085,$C608),B608="Insumo",F608*G608,B608="Etapa","")</f>
        <v>0.76</v>
      </c>
      <c r="I608" s="178"/>
    </row>
    <row r="609" spans="1:9" outlineLevel="1" collapsed="1" x14ac:dyDescent="0.25">
      <c r="A609" s="175">
        <f t="shared" si="18"/>
        <v>1</v>
      </c>
      <c r="B609" s="175" t="s">
        <v>109</v>
      </c>
      <c r="C609" s="175" t="str">
        <f t="shared" si="19"/>
        <v>Concreto Usinado FCK = 30MPa Bombeavel Para Supraestrutura</v>
      </c>
      <c r="D609" s="175" t="s">
        <v>500</v>
      </c>
      <c r="E609" s="176" t="s">
        <v>390</v>
      </c>
      <c r="F609" s="175"/>
      <c r="G609" s="177" t="str">
        <f>IF(B609="insumo",_xlfn.XLOOKUP($D609,Insumos!$B$1:$B$764,Insumos!$D$1:$D$764),"")</f>
        <v/>
      </c>
      <c r="H609" s="177" cm="1">
        <f t="array" ref="H609">_xlfn.IFS(B609="Serviço",SUMIFS(H610:$H$3085,C610:$C$3085,$C609),B609="Insumo",F609*G609,B609="Etapa","")</f>
        <v>578.26</v>
      </c>
      <c r="I609" s="178" t="s">
        <v>195</v>
      </c>
    </row>
    <row r="610" spans="1:9" hidden="1" outlineLevel="2" x14ac:dyDescent="0.25">
      <c r="A610" s="175">
        <f t="shared" si="18"/>
        <v>4</v>
      </c>
      <c r="B610" s="175" t="s">
        <v>327</v>
      </c>
      <c r="C610" s="175" t="str">
        <f t="shared" si="19"/>
        <v>Concreto Usinado FCK = 30MPa Bombeavel Para Supraestrutura</v>
      </c>
      <c r="D610" s="175" t="s">
        <v>457</v>
      </c>
      <c r="E610" s="176" t="str">
        <f>_xlfn.XLOOKUP(D610,Insumos!$B$1:$B$764,Insumos!$C$1:$C$764)</f>
        <v>M3</v>
      </c>
      <c r="F610" s="179">
        <v>1.05</v>
      </c>
      <c r="G610" s="177">
        <f>IF(B610="insumo",_xlfn.XLOOKUP($D610,Insumos!$B$1:$B$764,Insumos!$D$1:$D$764),"")</f>
        <v>510</v>
      </c>
      <c r="H610" s="177" cm="1">
        <f t="array" ref="H610">_xlfn.IFS(B610="Serviço",SUMIFS(H611:$H$3085,C611:$C$3085,$C610),B610="Insumo",F610*G610,B610="Etapa","")</f>
        <v>535.5</v>
      </c>
      <c r="I610" s="178"/>
    </row>
    <row r="611" spans="1:9" hidden="1" outlineLevel="2" x14ac:dyDescent="0.25">
      <c r="A611" s="175">
        <f t="shared" si="18"/>
        <v>22</v>
      </c>
      <c r="B611" s="175" t="s">
        <v>327</v>
      </c>
      <c r="C611" s="175" t="str">
        <f t="shared" si="19"/>
        <v>Concreto Usinado FCK = 30MPa Bombeavel Para Supraestrutura</v>
      </c>
      <c r="D611" s="175" t="s">
        <v>395</v>
      </c>
      <c r="E611" s="176" t="str">
        <f>_xlfn.XLOOKUP(D611,Insumos!$B$1:$B$764,Insumos!$C$1:$C$764)</f>
        <v>M3</v>
      </c>
      <c r="F611" s="179">
        <v>1.05</v>
      </c>
      <c r="G611" s="177">
        <f>IF(B611="insumo",_xlfn.XLOOKUP($D611,Insumos!$B$1:$B$764,Insumos!$D$1:$D$764),"")</f>
        <v>40</v>
      </c>
      <c r="H611" s="177" cm="1">
        <f t="array" ref="H611">_xlfn.IFS(B611="Serviço",SUMIFS(H612:$H$3085,C612:$C$3085,$C611),B611="Insumo",F611*G611,B611="Etapa","")</f>
        <v>42</v>
      </c>
      <c r="I611" s="178"/>
    </row>
    <row r="612" spans="1:9" hidden="1" outlineLevel="2" x14ac:dyDescent="0.25">
      <c r="A612" s="175">
        <f t="shared" si="18"/>
        <v>39</v>
      </c>
      <c r="B612" s="175" t="s">
        <v>327</v>
      </c>
      <c r="C612" s="175" t="str">
        <f t="shared" si="19"/>
        <v>Concreto Usinado FCK = 30MPa Bombeavel Para Supraestrutura</v>
      </c>
      <c r="D612" s="175" t="s">
        <v>396</v>
      </c>
      <c r="E612" s="176" t="str">
        <f>_xlfn.XLOOKUP(D612,Insumos!$B$1:$B$764,Insumos!$C$1:$C$764)</f>
        <v>KG</v>
      </c>
      <c r="F612" s="179">
        <v>1</v>
      </c>
      <c r="G612" s="177">
        <f>IF(B612="insumo",_xlfn.XLOOKUP($D612,Insumos!$B$1:$B$764,Insumos!$D$1:$D$764),"")</f>
        <v>0.76</v>
      </c>
      <c r="H612" s="177" cm="1">
        <f t="array" ref="H612">_xlfn.IFS(B612="Serviço",SUMIFS(H613:$H$3085,C613:$C$3085,$C612),B612="Insumo",F612*G612,B612="Etapa","")</f>
        <v>0.76</v>
      </c>
      <c r="I612" s="178"/>
    </row>
    <row r="613" spans="1:9" outlineLevel="1" collapsed="1" x14ac:dyDescent="0.25">
      <c r="A613" s="175">
        <f t="shared" si="18"/>
        <v>1</v>
      </c>
      <c r="B613" s="175" t="s">
        <v>109</v>
      </c>
      <c r="C613" s="175" t="str">
        <f t="shared" si="19"/>
        <v>Concreto Usinado FCK = 35MPa Bombeavel Para Supraestrutura</v>
      </c>
      <c r="D613" s="175" t="s">
        <v>2352</v>
      </c>
      <c r="E613" s="176" t="s">
        <v>390</v>
      </c>
      <c r="F613" s="175"/>
      <c r="G613" s="177" t="str">
        <f>IF(B613="insumo",_xlfn.XLOOKUP($D613,Insumos!$B$1:$B$764,Insumos!$D$1:$D$764),"")</f>
        <v/>
      </c>
      <c r="H613" s="177" cm="1">
        <f t="array" ref="H613">_xlfn.IFS(B613="Serviço",SUMIFS(H614:$H$3085,C614:$C$3085,$C613),B613="Insumo",F613*G613,B613="Etapa","")</f>
        <v>578.26</v>
      </c>
      <c r="I613" s="178" t="s">
        <v>195</v>
      </c>
    </row>
    <row r="614" spans="1:9" hidden="1" outlineLevel="2" x14ac:dyDescent="0.25">
      <c r="A614" s="175">
        <f t="shared" si="18"/>
        <v>6</v>
      </c>
      <c r="B614" s="175" t="s">
        <v>327</v>
      </c>
      <c r="C614" s="175" t="str">
        <f t="shared" si="19"/>
        <v>Concreto Usinado FCK = 35MPa Bombeavel Para Supraestrutura</v>
      </c>
      <c r="D614" s="175" t="s">
        <v>459</v>
      </c>
      <c r="E614" s="176" t="str">
        <f>_xlfn.XLOOKUP(D614,Insumos!$B$1:$B$764,Insumos!$C$1:$C$764)</f>
        <v>M3</v>
      </c>
      <c r="F614" s="179">
        <v>1.05</v>
      </c>
      <c r="G614" s="177">
        <f>IF(B614="insumo",_xlfn.XLOOKUP($D614,Insumos!$B$1:$B$764,Insumos!$D$1:$D$764),"")</f>
        <v>510</v>
      </c>
      <c r="H614" s="177" cm="1">
        <f t="array" ref="H614">_xlfn.IFS(B614="Serviço",SUMIFS(H615:$H$3085,C615:$C$3085,$C614),B614="Insumo",F614*G614,B614="Etapa","")</f>
        <v>535.5</v>
      </c>
      <c r="I614" s="178"/>
    </row>
    <row r="615" spans="1:9" hidden="1" outlineLevel="2" x14ac:dyDescent="0.25">
      <c r="A615" s="175">
        <f t="shared" si="18"/>
        <v>22</v>
      </c>
      <c r="B615" s="175" t="s">
        <v>327</v>
      </c>
      <c r="C615" s="175" t="str">
        <f t="shared" si="19"/>
        <v>Concreto Usinado FCK = 35MPa Bombeavel Para Supraestrutura</v>
      </c>
      <c r="D615" s="175" t="s">
        <v>395</v>
      </c>
      <c r="E615" s="176" t="str">
        <f>_xlfn.XLOOKUP(D615,Insumos!$B$1:$B$764,Insumos!$C$1:$C$764)</f>
        <v>M3</v>
      </c>
      <c r="F615" s="179">
        <v>1.05</v>
      </c>
      <c r="G615" s="177">
        <f>IF(B615="insumo",_xlfn.XLOOKUP($D615,Insumos!$B$1:$B$764,Insumos!$D$1:$D$764),"")</f>
        <v>40</v>
      </c>
      <c r="H615" s="177" cm="1">
        <f t="array" ref="H615">_xlfn.IFS(B615="Serviço",SUMIFS(H616:$H$3085,C616:$C$3085,$C615),B615="Insumo",F615*G615,B615="Etapa","")</f>
        <v>42</v>
      </c>
      <c r="I615" s="178"/>
    </row>
    <row r="616" spans="1:9" hidden="1" outlineLevel="2" x14ac:dyDescent="0.25">
      <c r="A616" s="175">
        <f t="shared" si="18"/>
        <v>39</v>
      </c>
      <c r="B616" s="175" t="s">
        <v>327</v>
      </c>
      <c r="C616" s="175" t="str">
        <f t="shared" si="19"/>
        <v>Concreto Usinado FCK = 35MPa Bombeavel Para Supraestrutura</v>
      </c>
      <c r="D616" s="175" t="s">
        <v>396</v>
      </c>
      <c r="E616" s="176" t="str">
        <f>_xlfn.XLOOKUP(D616,Insumos!$B$1:$B$764,Insumos!$C$1:$C$764)</f>
        <v>KG</v>
      </c>
      <c r="F616" s="179">
        <v>1</v>
      </c>
      <c r="G616" s="177">
        <f>IF(B616="insumo",_xlfn.XLOOKUP($D616,Insumos!$B$1:$B$764,Insumos!$D$1:$D$764),"")</f>
        <v>0.76</v>
      </c>
      <c r="H616" s="177" cm="1">
        <f t="array" ref="H616">_xlfn.IFS(B616="Serviço",SUMIFS(H617:$H$3085,C617:$C$3085,$C616),B616="Insumo",F616*G616,B616="Etapa","")</f>
        <v>0.76</v>
      </c>
      <c r="I616" s="178"/>
    </row>
    <row r="617" spans="1:9" outlineLevel="1" collapsed="1" x14ac:dyDescent="0.25">
      <c r="A617" s="175">
        <f t="shared" si="18"/>
        <v>1</v>
      </c>
      <c r="B617" s="175" t="s">
        <v>109</v>
      </c>
      <c r="C617" s="175" t="str">
        <f t="shared" si="19"/>
        <v>Concreto Usinado FCK = 40MPa Bombeavel Para Supraestrutura</v>
      </c>
      <c r="D617" s="175" t="s">
        <v>501</v>
      </c>
      <c r="E617" s="176" t="s">
        <v>390</v>
      </c>
      <c r="F617" s="175"/>
      <c r="G617" s="177" t="str">
        <f>IF(B617="insumo",_xlfn.XLOOKUP($D617,Insumos!$B$1:$B$764,Insumos!$D$1:$D$764),"")</f>
        <v/>
      </c>
      <c r="H617" s="177" cm="1">
        <f t="array" ref="H617">_xlfn.IFS(B617="Serviço",SUMIFS(H618:$H$3085,C618:$C$3085,$C617),B617="Insumo",F617*G617,B617="Etapa","")</f>
        <v>651.76</v>
      </c>
      <c r="I617" s="178" t="s">
        <v>195</v>
      </c>
    </row>
    <row r="618" spans="1:9" hidden="1" outlineLevel="2" x14ac:dyDescent="0.25">
      <c r="A618" s="175">
        <f t="shared" si="18"/>
        <v>2</v>
      </c>
      <c r="B618" s="175" t="s">
        <v>327</v>
      </c>
      <c r="C618" s="175" t="str">
        <f t="shared" si="19"/>
        <v>Concreto Usinado FCK = 40MPa Bombeavel Para Supraestrutura</v>
      </c>
      <c r="D618" s="175" t="s">
        <v>502</v>
      </c>
      <c r="E618" s="176" t="str">
        <f>_xlfn.XLOOKUP(D618,Insumos!$B$1:$B$764,Insumos!$C$1:$C$764)</f>
        <v>M3</v>
      </c>
      <c r="F618" s="179">
        <v>1.05</v>
      </c>
      <c r="G618" s="177">
        <f>IF(B618="insumo",_xlfn.XLOOKUP($D618,Insumos!$B$1:$B$764,Insumos!$D$1:$D$764),"")</f>
        <v>580</v>
      </c>
      <c r="H618" s="177" cm="1">
        <f t="array" ref="H618">_xlfn.IFS(B618="Serviço",SUMIFS(H619:$H$3085,C619:$C$3085,$C618),B618="Insumo",F618*G618,B618="Etapa","")</f>
        <v>609</v>
      </c>
      <c r="I618" s="178"/>
    </row>
    <row r="619" spans="1:9" hidden="1" outlineLevel="2" x14ac:dyDescent="0.25">
      <c r="A619" s="175">
        <f t="shared" si="18"/>
        <v>22</v>
      </c>
      <c r="B619" s="175" t="s">
        <v>327</v>
      </c>
      <c r="C619" s="175" t="str">
        <f t="shared" si="19"/>
        <v>Concreto Usinado FCK = 40MPa Bombeavel Para Supraestrutura</v>
      </c>
      <c r="D619" s="175" t="s">
        <v>395</v>
      </c>
      <c r="E619" s="176" t="str">
        <f>_xlfn.XLOOKUP(D619,Insumos!$B$1:$B$764,Insumos!$C$1:$C$764)</f>
        <v>M3</v>
      </c>
      <c r="F619" s="179">
        <v>1.05</v>
      </c>
      <c r="G619" s="177">
        <f>IF(B619="insumo",_xlfn.XLOOKUP($D619,Insumos!$B$1:$B$764,Insumos!$D$1:$D$764),"")</f>
        <v>40</v>
      </c>
      <c r="H619" s="177" cm="1">
        <f t="array" ref="H619">_xlfn.IFS(B619="Serviço",SUMIFS(H620:$H$3085,C620:$C$3085,$C619),B619="Insumo",F619*G619,B619="Etapa","")</f>
        <v>42</v>
      </c>
      <c r="I619" s="178"/>
    </row>
    <row r="620" spans="1:9" hidden="1" outlineLevel="2" x14ac:dyDescent="0.25">
      <c r="A620" s="175">
        <f t="shared" si="18"/>
        <v>39</v>
      </c>
      <c r="B620" s="175" t="s">
        <v>327</v>
      </c>
      <c r="C620" s="175" t="str">
        <f t="shared" si="19"/>
        <v>Concreto Usinado FCK = 40MPa Bombeavel Para Supraestrutura</v>
      </c>
      <c r="D620" s="175" t="s">
        <v>396</v>
      </c>
      <c r="E620" s="176" t="str">
        <f>_xlfn.XLOOKUP(D620,Insumos!$B$1:$B$764,Insumos!$C$1:$C$764)</f>
        <v>KG</v>
      </c>
      <c r="F620" s="179">
        <v>1</v>
      </c>
      <c r="G620" s="177">
        <f>IF(B620="insumo",_xlfn.XLOOKUP($D620,Insumos!$B$1:$B$764,Insumos!$D$1:$D$764),"")</f>
        <v>0.76</v>
      </c>
      <c r="H620" s="177" cm="1">
        <f t="array" ref="H620">_xlfn.IFS(B620="Serviço",SUMIFS(H621:$H$3085,C621:$C$3085,$C620),B620="Insumo",F620*G620,B620="Etapa","")</f>
        <v>0.76</v>
      </c>
      <c r="I620" s="178"/>
    </row>
    <row r="621" spans="1:9" outlineLevel="1" collapsed="1" x14ac:dyDescent="0.25">
      <c r="A621" s="175">
        <f t="shared" si="18"/>
        <v>1</v>
      </c>
      <c r="B621" s="175" t="s">
        <v>109</v>
      </c>
      <c r="C621" s="175" t="str">
        <f t="shared" si="19"/>
        <v>Concreto Usinado FCK = 50MPa Bombeavel Para Supraestrutura</v>
      </c>
      <c r="D621" s="175" t="s">
        <v>503</v>
      </c>
      <c r="E621" s="176" t="s">
        <v>390</v>
      </c>
      <c r="F621" s="175"/>
      <c r="G621" s="177" t="str">
        <f>IF(B621="insumo",_xlfn.XLOOKUP($D621,Insumos!$B$1:$B$764,Insumos!$D$1:$D$764),"")</f>
        <v/>
      </c>
      <c r="H621" s="177" cm="1">
        <f t="array" ref="H621">_xlfn.IFS(B621="Serviço",SUMIFS(H622:$H$3085,C622:$C$3085,$C621),B621="Insumo",F621*G621,B621="Etapa","")</f>
        <v>683.26</v>
      </c>
      <c r="I621" s="178" t="s">
        <v>195</v>
      </c>
    </row>
    <row r="622" spans="1:9" hidden="1" outlineLevel="2" x14ac:dyDescent="0.25">
      <c r="A622" s="175">
        <f t="shared" si="18"/>
        <v>3</v>
      </c>
      <c r="B622" s="175" t="s">
        <v>327</v>
      </c>
      <c r="C622" s="175" t="str">
        <f t="shared" si="19"/>
        <v>Concreto Usinado FCK = 50MPa Bombeavel Para Supraestrutura</v>
      </c>
      <c r="D622" s="175" t="s">
        <v>462</v>
      </c>
      <c r="E622" s="176" t="str">
        <f>_xlfn.XLOOKUP(D622,Insumos!$B$1:$B$764,Insumos!$C$1:$C$764)</f>
        <v>M3</v>
      </c>
      <c r="F622" s="179">
        <v>1.05</v>
      </c>
      <c r="G622" s="177">
        <f>IF(B622="insumo",_xlfn.XLOOKUP($D622,Insumos!$B$1:$B$764,Insumos!$D$1:$D$764),"")</f>
        <v>610</v>
      </c>
      <c r="H622" s="177" cm="1">
        <f t="array" ref="H622">_xlfn.IFS(B622="Serviço",SUMIFS(H623:$H$3085,C623:$C$3085,$C622),B622="Insumo",F622*G622,B622="Etapa","")</f>
        <v>640.5</v>
      </c>
      <c r="I622" s="178"/>
    </row>
    <row r="623" spans="1:9" hidden="1" outlineLevel="2" x14ac:dyDescent="0.25">
      <c r="A623" s="175">
        <f t="shared" si="18"/>
        <v>22</v>
      </c>
      <c r="B623" s="175" t="s">
        <v>327</v>
      </c>
      <c r="C623" s="175" t="str">
        <f t="shared" si="19"/>
        <v>Concreto Usinado FCK = 50MPa Bombeavel Para Supraestrutura</v>
      </c>
      <c r="D623" s="175" t="s">
        <v>395</v>
      </c>
      <c r="E623" s="176" t="str">
        <f>_xlfn.XLOOKUP(D623,Insumos!$B$1:$B$764,Insumos!$C$1:$C$764)</f>
        <v>M3</v>
      </c>
      <c r="F623" s="179">
        <v>1.05</v>
      </c>
      <c r="G623" s="177">
        <f>IF(B623="insumo",_xlfn.XLOOKUP($D623,Insumos!$B$1:$B$764,Insumos!$D$1:$D$764),"")</f>
        <v>40</v>
      </c>
      <c r="H623" s="177" cm="1">
        <f t="array" ref="H623">_xlfn.IFS(B623="Serviço",SUMIFS(H624:$H$3085,C624:$C$3085,$C623),B623="Insumo",F623*G623,B623="Etapa","")</f>
        <v>42</v>
      </c>
      <c r="I623" s="178"/>
    </row>
    <row r="624" spans="1:9" hidden="1" outlineLevel="2" x14ac:dyDescent="0.25">
      <c r="A624" s="175">
        <f t="shared" si="18"/>
        <v>39</v>
      </c>
      <c r="B624" s="175" t="s">
        <v>327</v>
      </c>
      <c r="C624" s="175" t="str">
        <f t="shared" si="19"/>
        <v>Concreto Usinado FCK = 50MPa Bombeavel Para Supraestrutura</v>
      </c>
      <c r="D624" s="175" t="s">
        <v>396</v>
      </c>
      <c r="E624" s="176" t="str">
        <f>_xlfn.XLOOKUP(D624,Insumos!$B$1:$B$764,Insumos!$C$1:$C$764)</f>
        <v>KG</v>
      </c>
      <c r="F624" s="179">
        <v>1</v>
      </c>
      <c r="G624" s="177">
        <f>IF(B624="insumo",_xlfn.XLOOKUP($D624,Insumos!$B$1:$B$764,Insumos!$D$1:$D$764),"")</f>
        <v>0.76</v>
      </c>
      <c r="H624" s="177" cm="1">
        <f t="array" ref="H624">_xlfn.IFS(B624="Serviço",SUMIFS(H625:$H$3085,C625:$C$3085,$C624),B624="Insumo",F624*G624,B624="Etapa","")</f>
        <v>0.76</v>
      </c>
      <c r="I624" s="178"/>
    </row>
    <row r="625" spans="1:9" outlineLevel="1" collapsed="1" x14ac:dyDescent="0.25">
      <c r="A625" s="175">
        <f t="shared" si="18"/>
        <v>1</v>
      </c>
      <c r="B625" s="175" t="s">
        <v>109</v>
      </c>
      <c r="C625" s="175" t="str">
        <f t="shared" si="19"/>
        <v>Concreto Usinado FCK = 50MPa  Bombeavel para Laje de Fundação</v>
      </c>
      <c r="D625" s="175" t="s">
        <v>504</v>
      </c>
      <c r="E625" s="176" t="s">
        <v>390</v>
      </c>
      <c r="F625" s="175"/>
      <c r="G625" s="177" t="str">
        <f>IF(B625="insumo",_xlfn.XLOOKUP($D625,Insumos!$B$1:$B$764,Insumos!$D$1:$D$764),"")</f>
        <v/>
      </c>
      <c r="H625" s="177" cm="1">
        <f t="array" ref="H625">_xlfn.IFS(B625="Serviço",SUMIFS(H626:$H$3085,C626:$C$3085,$C625),B625="Insumo",F625*G625,B625="Etapa","")</f>
        <v>683.26</v>
      </c>
      <c r="I625" s="178" t="s">
        <v>195</v>
      </c>
    </row>
    <row r="626" spans="1:9" hidden="1" outlineLevel="2" x14ac:dyDescent="0.25">
      <c r="A626" s="175">
        <f t="shared" si="18"/>
        <v>3</v>
      </c>
      <c r="B626" s="175" t="s">
        <v>327</v>
      </c>
      <c r="C626" s="175" t="str">
        <f t="shared" si="19"/>
        <v>Concreto Usinado FCK = 50MPa  Bombeavel para Laje de Fundação</v>
      </c>
      <c r="D626" s="175" t="s">
        <v>462</v>
      </c>
      <c r="E626" s="176" t="str">
        <f>_xlfn.XLOOKUP(D626,Insumos!$B$1:$B$764,Insumos!$C$1:$C$764)</f>
        <v>M3</v>
      </c>
      <c r="F626" s="179">
        <v>1.05</v>
      </c>
      <c r="G626" s="177">
        <f>IF(B626="insumo",_xlfn.XLOOKUP($D626,Insumos!$B$1:$B$764,Insumos!$D$1:$D$764),"")</f>
        <v>610</v>
      </c>
      <c r="H626" s="177" cm="1">
        <f t="array" ref="H626">_xlfn.IFS(B626="Serviço",SUMIFS(H627:$H$3085,C627:$C$3085,$C626),B626="Insumo",F626*G626,B626="Etapa","")</f>
        <v>640.5</v>
      </c>
      <c r="I626" s="178"/>
    </row>
    <row r="627" spans="1:9" hidden="1" outlineLevel="2" x14ac:dyDescent="0.25">
      <c r="A627" s="175">
        <f t="shared" si="18"/>
        <v>22</v>
      </c>
      <c r="B627" s="175" t="s">
        <v>327</v>
      </c>
      <c r="C627" s="175" t="str">
        <f t="shared" si="19"/>
        <v>Concreto Usinado FCK = 50MPa  Bombeavel para Laje de Fundação</v>
      </c>
      <c r="D627" s="175" t="s">
        <v>395</v>
      </c>
      <c r="E627" s="176" t="str">
        <f>_xlfn.XLOOKUP(D627,Insumos!$B$1:$B$764,Insumos!$C$1:$C$764)</f>
        <v>M3</v>
      </c>
      <c r="F627" s="179">
        <v>1.05</v>
      </c>
      <c r="G627" s="177">
        <f>IF(B627="insumo",_xlfn.XLOOKUP($D627,Insumos!$B$1:$B$764,Insumos!$D$1:$D$764),"")</f>
        <v>40</v>
      </c>
      <c r="H627" s="177" cm="1">
        <f t="array" ref="H627">_xlfn.IFS(B627="Serviço",SUMIFS(H628:$H$3085,C628:$C$3085,$C627),B627="Insumo",F627*G627,B627="Etapa","")</f>
        <v>42</v>
      </c>
      <c r="I627" s="178"/>
    </row>
    <row r="628" spans="1:9" hidden="1" outlineLevel="2" x14ac:dyDescent="0.25">
      <c r="A628" s="175">
        <f t="shared" si="18"/>
        <v>39</v>
      </c>
      <c r="B628" s="175" t="s">
        <v>327</v>
      </c>
      <c r="C628" s="175" t="str">
        <f t="shared" si="19"/>
        <v>Concreto Usinado FCK = 50MPa  Bombeavel para Laje de Fundação</v>
      </c>
      <c r="D628" s="175" t="s">
        <v>396</v>
      </c>
      <c r="E628" s="176" t="str">
        <f>_xlfn.XLOOKUP(D628,Insumos!$B$1:$B$764,Insumos!$C$1:$C$764)</f>
        <v>KG</v>
      </c>
      <c r="F628" s="179">
        <v>1</v>
      </c>
      <c r="G628" s="177">
        <f>IF(B628="insumo",_xlfn.XLOOKUP($D628,Insumos!$B$1:$B$764,Insumos!$D$1:$D$764),"")</f>
        <v>0.76</v>
      </c>
      <c r="H628" s="177" cm="1">
        <f t="array" ref="H628">_xlfn.IFS(B628="Serviço",SUMIFS(H629:$H$3085,C629:$C$3085,$C628),B628="Insumo",F628*G628,B628="Etapa","")</f>
        <v>0.76</v>
      </c>
      <c r="I628" s="178"/>
    </row>
    <row r="629" spans="1:9" outlineLevel="1" collapsed="1" x14ac:dyDescent="0.25">
      <c r="A629" s="175">
        <f t="shared" si="18"/>
        <v>1</v>
      </c>
      <c r="B629" s="175" t="s">
        <v>109</v>
      </c>
      <c r="C629" s="175" t="str">
        <f t="shared" si="19"/>
        <v>Laje pré-moldada unidirecional enchimento em cerâmica, vigota convencional,</v>
      </c>
      <c r="D629" s="175" t="s">
        <v>505</v>
      </c>
      <c r="E629" s="176" t="s">
        <v>13</v>
      </c>
      <c r="F629" s="175"/>
      <c r="G629" s="177" t="str">
        <f>IF(B629="insumo",_xlfn.XLOOKUP($D629,Insumos!$B$1:$B$764,Insumos!$D$1:$D$764),"")</f>
        <v/>
      </c>
      <c r="H629" s="177" cm="1">
        <f t="array" ref="H629">_xlfn.IFS(B629="Serviço",SUMIFS(H630:$H$3085,C630:$C$3085,$C629),B629="Insumo",F629*G629,B629="Etapa","")</f>
        <v>169.40260000000001</v>
      </c>
      <c r="I629" s="178" t="s">
        <v>195</v>
      </c>
    </row>
    <row r="630" spans="1:9" hidden="1" outlineLevel="2" x14ac:dyDescent="0.25">
      <c r="A630" s="175">
        <f t="shared" si="18"/>
        <v>1</v>
      </c>
      <c r="B630" s="175" t="s">
        <v>327</v>
      </c>
      <c r="C630" s="175" t="str">
        <f t="shared" si="19"/>
        <v>Laje pré-moldada unidirecional enchimento em cerâmica, vigota convencional,</v>
      </c>
      <c r="D630" s="175" t="s">
        <v>506</v>
      </c>
      <c r="E630" s="176" t="str">
        <f>_xlfn.XLOOKUP(D630,Insumos!$B$1:$B$764,Insumos!$C$1:$C$764)</f>
        <v>M2</v>
      </c>
      <c r="F630" s="179">
        <v>1</v>
      </c>
      <c r="G630" s="177">
        <f>IF(B630="insumo",_xlfn.XLOOKUP($D630,Insumos!$B$1:$B$764,Insumos!$D$1:$D$764),"")</f>
        <v>59.4</v>
      </c>
      <c r="H630" s="177" cm="1">
        <f t="array" ref="H630">_xlfn.IFS(B630="Serviço",SUMIFS(H631:$H$3085,C631:$C$3085,$C630),B630="Insumo",F630*G630,B630="Etapa","")</f>
        <v>59.4</v>
      </c>
      <c r="I630" s="178"/>
    </row>
    <row r="631" spans="1:9" hidden="1" outlineLevel="2" x14ac:dyDescent="0.25">
      <c r="A631" s="175">
        <f t="shared" si="18"/>
        <v>3</v>
      </c>
      <c r="B631" s="175" t="s">
        <v>327</v>
      </c>
      <c r="C631" s="175" t="str">
        <f t="shared" si="19"/>
        <v>Laje pré-moldada unidirecional enchimento em cerâmica, vigota convencional,</v>
      </c>
      <c r="D631" s="175" t="s">
        <v>480</v>
      </c>
      <c r="E631" s="176" t="str">
        <f>_xlfn.XLOOKUP(D631,Insumos!$B$1:$B$764,Insumos!$C$1:$C$764)</f>
        <v>M</v>
      </c>
      <c r="F631" s="179">
        <v>1.87</v>
      </c>
      <c r="G631" s="177">
        <f>IF(B631="insumo",_xlfn.XLOOKUP($D631,Insumos!$B$1:$B$764,Insumos!$D$1:$D$764),"")</f>
        <v>42.46</v>
      </c>
      <c r="H631" s="177" cm="1">
        <f t="array" ref="H631">_xlfn.IFS(B631="Serviço",SUMIFS(H632:$H$3085,C632:$C$3085,$C631),B631="Insumo",F631*G631,B631="Etapa","")</f>
        <v>79.400200000000012</v>
      </c>
      <c r="I631" s="178"/>
    </row>
    <row r="632" spans="1:9" hidden="1" outlineLevel="2" x14ac:dyDescent="0.25">
      <c r="A632" s="175">
        <f t="shared" si="18"/>
        <v>1</v>
      </c>
      <c r="B632" s="175" t="s">
        <v>327</v>
      </c>
      <c r="C632" s="175" t="str">
        <f t="shared" si="19"/>
        <v>Laje pré-moldada unidirecional enchimento em cerâmica, vigota convencional,</v>
      </c>
      <c r="D632" s="175" t="s">
        <v>507</v>
      </c>
      <c r="E632" s="176" t="str">
        <f>_xlfn.XLOOKUP(D632,Insumos!$B$1:$B$764,Insumos!$C$1:$C$764)</f>
        <v>KG</v>
      </c>
      <c r="F632" s="179">
        <v>0.04</v>
      </c>
      <c r="G632" s="177">
        <f>IF(B632="insumo",_xlfn.XLOOKUP($D632,Insumos!$B$1:$B$764,Insumos!$D$1:$D$764),"")</f>
        <v>15.06</v>
      </c>
      <c r="H632" s="177" cm="1">
        <f t="array" ref="H632">_xlfn.IFS(B632="Serviço",SUMIFS(H633:$H$3085,C633:$C$3085,$C632),B632="Insumo",F632*G632,B632="Etapa","")</f>
        <v>0.60240000000000005</v>
      </c>
      <c r="I632" s="178"/>
    </row>
    <row r="633" spans="1:9" hidden="1" outlineLevel="2" x14ac:dyDescent="0.25">
      <c r="A633" s="175">
        <f t="shared" si="18"/>
        <v>1</v>
      </c>
      <c r="B633" s="175" t="s">
        <v>327</v>
      </c>
      <c r="C633" s="175" t="str">
        <f t="shared" si="19"/>
        <v>Laje pré-moldada unidirecional enchimento em cerâmica, vigota convencional,</v>
      </c>
      <c r="D633" s="175" t="s">
        <v>508</v>
      </c>
      <c r="E633" s="176" t="str">
        <f>_xlfn.XLOOKUP(D633,Insumos!$B$1:$B$764,Insumos!$C$1:$C$764)</f>
        <v>M2</v>
      </c>
      <c r="F633" s="179">
        <v>1</v>
      </c>
      <c r="G633" s="177">
        <f>IF(B633="insumo",_xlfn.XLOOKUP($D633,Insumos!$B$1:$B$764,Insumos!$D$1:$D$764),"")</f>
        <v>30</v>
      </c>
      <c r="H633" s="177" cm="1">
        <f t="array" ref="H633">_xlfn.IFS(B633="Serviço",SUMIFS(H634:$H$3085,C634:$C$3085,$C633),B633="Insumo",F633*G633,B633="Etapa","")</f>
        <v>30</v>
      </c>
      <c r="I633" s="178"/>
    </row>
    <row r="634" spans="1:9" outlineLevel="1" collapsed="1" x14ac:dyDescent="0.25">
      <c r="A634" s="175">
        <f t="shared" si="18"/>
        <v>1</v>
      </c>
      <c r="B634" s="175" t="s">
        <v>109</v>
      </c>
      <c r="C634" s="175" t="str">
        <f t="shared" si="19"/>
        <v>Lona Plastica para Contrapiso Armado</v>
      </c>
      <c r="D634" s="175" t="s">
        <v>209</v>
      </c>
      <c r="E634" s="176" t="s">
        <v>13</v>
      </c>
      <c r="F634" s="175"/>
      <c r="G634" s="177" t="str">
        <f>IF(B634="insumo",_xlfn.XLOOKUP($D634,Insumos!$B$1:$B$764,Insumos!$D$1:$D$764),"")</f>
        <v/>
      </c>
      <c r="H634" s="177" cm="1">
        <f t="array" ref="H634">_xlfn.IFS(B634="Serviço",SUMIFS(H635:$H$3085,C635:$C$3085,$C634),B634="Insumo",F634*G634,B634="Etapa","")</f>
        <v>2.7630000000000003</v>
      </c>
      <c r="I634" s="178" t="s">
        <v>195</v>
      </c>
    </row>
    <row r="635" spans="1:9" hidden="1" outlineLevel="2" x14ac:dyDescent="0.25">
      <c r="A635" s="175">
        <f t="shared" si="18"/>
        <v>2</v>
      </c>
      <c r="B635" s="175" t="s">
        <v>327</v>
      </c>
      <c r="C635" s="175" t="str">
        <f t="shared" si="19"/>
        <v>Lona Plastica para Contrapiso Armado</v>
      </c>
      <c r="D635" s="175" t="s">
        <v>509</v>
      </c>
      <c r="E635" s="176" t="str">
        <f>_xlfn.XLOOKUP(D635,Insumos!$B$1:$B$764,Insumos!$C$1:$C$764)</f>
        <v>M2</v>
      </c>
      <c r="F635" s="179">
        <v>1.2</v>
      </c>
      <c r="G635" s="177">
        <f>IF(B635="insumo",_xlfn.XLOOKUP($D635,Insumos!$B$1:$B$764,Insumos!$D$1:$D$764),"")</f>
        <v>2.3025000000000002</v>
      </c>
      <c r="H635" s="177" cm="1">
        <f t="array" ref="H635">_xlfn.IFS(B635="Serviço",SUMIFS(H636:$H$3085,C636:$C$3085,$C635),B635="Insumo",F635*G635,B635="Etapa","")</f>
        <v>2.7630000000000003</v>
      </c>
      <c r="I635" s="178"/>
    </row>
    <row r="636" spans="1:9" outlineLevel="1" collapsed="1" x14ac:dyDescent="0.25">
      <c r="A636" s="175">
        <f t="shared" si="18"/>
        <v>1</v>
      </c>
      <c r="B636" s="175" t="s">
        <v>109</v>
      </c>
      <c r="C636" s="175" t="str">
        <f t="shared" si="19"/>
        <v xml:space="preserve">Protenção de cordoalhas para laje protendida Nervurada Tec- Serviço </v>
      </c>
      <c r="D636" s="175" t="s">
        <v>510</v>
      </c>
      <c r="E636" s="176" t="s">
        <v>13</v>
      </c>
      <c r="F636" s="175"/>
      <c r="G636" s="177" t="str">
        <f>IF(B636="insumo",_xlfn.XLOOKUP($D636,Insumos!$B$1:$B$764,Insumos!$D$1:$D$764),"")</f>
        <v/>
      </c>
      <c r="H636" s="177" cm="1">
        <f t="array" ref="H636">_xlfn.IFS(B636="Serviço",SUMIFS(H637:$H$3085,C637:$C$3085,$C636),B636="Insumo",F636*G636,B636="Etapa","")</f>
        <v>11.499840000000001</v>
      </c>
      <c r="I636" s="178" t="s">
        <v>195</v>
      </c>
    </row>
    <row r="637" spans="1:9" hidden="1" outlineLevel="2" x14ac:dyDescent="0.25">
      <c r="A637" s="175">
        <f t="shared" si="18"/>
        <v>1</v>
      </c>
      <c r="B637" s="175" t="s">
        <v>327</v>
      </c>
      <c r="C637" s="175" t="str">
        <f t="shared" si="19"/>
        <v xml:space="preserve">Protenção de cordoalhas para laje protendida Nervurada Tec- Serviço </v>
      </c>
      <c r="D637" s="175" t="s">
        <v>511</v>
      </c>
      <c r="E637" s="176" t="str">
        <f>_xlfn.XLOOKUP(D637,Insumos!$B$1:$B$764,Insumos!$C$1:$C$764)</f>
        <v>KG</v>
      </c>
      <c r="F637" s="179">
        <v>1.9359999999999999</v>
      </c>
      <c r="G637" s="177">
        <f>IF(B637="insumo",_xlfn.XLOOKUP($D637,Insumos!$B$1:$B$764,Insumos!$D$1:$D$764),"")</f>
        <v>4.4400000000000004</v>
      </c>
      <c r="H637" s="177" cm="1">
        <f t="array" ref="H637">_xlfn.IFS(B637="Serviço",SUMIFS(H638:$H$3085,C638:$C$3085,$C637),B637="Insumo",F637*G637,B637="Etapa","")</f>
        <v>8.5958400000000008</v>
      </c>
      <c r="I637" s="178"/>
    </row>
    <row r="638" spans="1:9" hidden="1" outlineLevel="2" x14ac:dyDescent="0.25">
      <c r="A638" s="175">
        <f t="shared" si="18"/>
        <v>1</v>
      </c>
      <c r="B638" s="175" t="s">
        <v>327</v>
      </c>
      <c r="C638" s="175" t="str">
        <f t="shared" si="19"/>
        <v xml:space="preserve">Protenção de cordoalhas para laje protendida Nervurada Tec- Serviço </v>
      </c>
      <c r="D638" s="175" t="s">
        <v>512</v>
      </c>
      <c r="E638" s="176" t="str">
        <f>_xlfn.XLOOKUP(D638,Insumos!$B$1:$B$764,Insumos!$C$1:$C$764)</f>
        <v>KG</v>
      </c>
      <c r="F638" s="179">
        <v>1.9359999999999999</v>
      </c>
      <c r="G638" s="177">
        <f>IF(B638="insumo",_xlfn.XLOOKUP($D638,Insumos!$B$1:$B$764,Insumos!$D$1:$D$764),"")</f>
        <v>0.4</v>
      </c>
      <c r="H638" s="177" cm="1">
        <f t="array" ref="H638">_xlfn.IFS(B638="Serviço",SUMIFS(H639:$H$3085,C639:$C$3085,$C638),B638="Insumo",F638*G638,B638="Etapa","")</f>
        <v>0.77439999999999998</v>
      </c>
      <c r="I638" s="178"/>
    </row>
    <row r="639" spans="1:9" hidden="1" outlineLevel="2" x14ac:dyDescent="0.25">
      <c r="A639" s="175">
        <f t="shared" si="18"/>
        <v>1</v>
      </c>
      <c r="B639" s="175" t="s">
        <v>327</v>
      </c>
      <c r="C639" s="175" t="str">
        <f t="shared" si="19"/>
        <v xml:space="preserve">Protenção de cordoalhas para laje protendida Nervurada Tec- Serviço </v>
      </c>
      <c r="D639" s="175" t="s">
        <v>513</v>
      </c>
      <c r="E639" s="176" t="str">
        <f>_xlfn.XLOOKUP(D639,Insumos!$B$1:$B$764,Insumos!$C$1:$C$764)</f>
        <v>KG</v>
      </c>
      <c r="F639" s="179">
        <v>1.9359999999999999</v>
      </c>
      <c r="G639" s="177">
        <f>IF(B639="insumo",_xlfn.XLOOKUP($D639,Insumos!$B$1:$B$764,Insumos!$D$1:$D$764),"")</f>
        <v>0.4</v>
      </c>
      <c r="H639" s="177" cm="1">
        <f t="array" ref="H639">_xlfn.IFS(B639="Serviço",SUMIFS(H640:$H$3085,C640:$C$3085,$C639),B639="Insumo",F639*G639,B639="Etapa","")</f>
        <v>0.77439999999999998</v>
      </c>
      <c r="I639" s="178"/>
    </row>
    <row r="640" spans="1:9" hidden="1" outlineLevel="2" x14ac:dyDescent="0.25">
      <c r="A640" s="175">
        <f t="shared" si="18"/>
        <v>1</v>
      </c>
      <c r="B640" s="175" t="s">
        <v>327</v>
      </c>
      <c r="C640" s="175" t="str">
        <f t="shared" si="19"/>
        <v xml:space="preserve">Protenção de cordoalhas para laje protendida Nervurada Tec- Serviço </v>
      </c>
      <c r="D640" s="175" t="s">
        <v>514</v>
      </c>
      <c r="E640" s="176" t="str">
        <f>_xlfn.XLOOKUP(D640,Insumos!$B$1:$B$764,Insumos!$C$1:$C$764)</f>
        <v>KG</v>
      </c>
      <c r="F640" s="179">
        <v>1.9359999999999999</v>
      </c>
      <c r="G640" s="177">
        <f>IF(B640="insumo",_xlfn.XLOOKUP($D640,Insumos!$B$1:$B$764,Insumos!$D$1:$D$764),"")</f>
        <v>0.2</v>
      </c>
      <c r="H640" s="177" cm="1">
        <f t="array" ref="H640">_xlfn.IFS(B640="Serviço",SUMIFS(H641:$H$3085,C641:$C$3085,$C640),B640="Insumo",F640*G640,B640="Etapa","")</f>
        <v>0.38719999999999999</v>
      </c>
      <c r="I640" s="178"/>
    </row>
    <row r="641" spans="1:9" hidden="1" outlineLevel="2" x14ac:dyDescent="0.25">
      <c r="A641" s="175">
        <f t="shared" si="18"/>
        <v>1</v>
      </c>
      <c r="B641" s="175" t="s">
        <v>327</v>
      </c>
      <c r="C641" s="175" t="str">
        <f t="shared" si="19"/>
        <v xml:space="preserve">Protenção de cordoalhas para laje protendida Nervurada Tec- Serviço </v>
      </c>
      <c r="D641" s="175" t="s">
        <v>515</v>
      </c>
      <c r="E641" s="176" t="str">
        <f>_xlfn.XLOOKUP(D641,Insumos!$B$1:$B$764,Insumos!$C$1:$C$764)</f>
        <v>UN</v>
      </c>
      <c r="F641" s="179">
        <v>1.9359999999999999</v>
      </c>
      <c r="G641" s="177">
        <f>IF(B641="insumo",_xlfn.XLOOKUP($D641,Insumos!$B$1:$B$764,Insumos!$D$1:$D$764),"")</f>
        <v>0.5</v>
      </c>
      <c r="H641" s="177" cm="1">
        <f t="array" ref="H641">_xlfn.IFS(B641="Serviço",SUMIFS(H642:$H$3085,C642:$C$3085,$C641),B641="Insumo",F641*G641,B641="Etapa","")</f>
        <v>0.96799999999999997</v>
      </c>
      <c r="I641" s="178"/>
    </row>
    <row r="642" spans="1:9" outlineLevel="1" collapsed="1" x14ac:dyDescent="0.25">
      <c r="A642" s="175">
        <f t="shared" ref="A642:A705" si="20">COUNTIFS($D$2:$D$3085,D642,$B$2:$B$3085,B642)</f>
        <v>1</v>
      </c>
      <c r="B642" s="175" t="s">
        <v>109</v>
      </c>
      <c r="C642" s="175" t="str">
        <f t="shared" si="19"/>
        <v>Protenção de cordoalhas para laje protendida Nervurada Tec - Materiais e acessórios</v>
      </c>
      <c r="D642" s="175" t="s">
        <v>516</v>
      </c>
      <c r="E642" s="176" t="s">
        <v>13</v>
      </c>
      <c r="F642" s="175"/>
      <c r="G642" s="177" t="str">
        <f>IF(B642="insumo",_xlfn.XLOOKUP($D642,Insumos!$B$1:$B$764,Insumos!$D$1:$D$764),"")</f>
        <v/>
      </c>
      <c r="H642" s="177" cm="1">
        <f t="array" ref="H642">_xlfn.IFS(B642="Serviço",SUMIFS(H643:$H$3085,C643:$C$3085,$C642),B642="Insumo",F642*G642,B642="Etapa","")</f>
        <v>11.478750000000002</v>
      </c>
      <c r="I642" s="178" t="s">
        <v>195</v>
      </c>
    </row>
    <row r="643" spans="1:9" hidden="1" outlineLevel="2" x14ac:dyDescent="0.25">
      <c r="A643" s="175">
        <f t="shared" si="20"/>
        <v>3</v>
      </c>
      <c r="B643" s="175" t="s">
        <v>327</v>
      </c>
      <c r="C643" s="175" t="str">
        <f t="shared" si="19"/>
        <v>Protenção de cordoalhas para laje protendida Nervurada Tec - Materiais e acessórios</v>
      </c>
      <c r="D643" s="175" t="s">
        <v>517</v>
      </c>
      <c r="E643" s="176" t="str">
        <f>_xlfn.XLOOKUP(D643,Insumos!$B$1:$B$764,Insumos!$C$1:$C$764)</f>
        <v>UN</v>
      </c>
      <c r="F643" s="179">
        <v>0.253</v>
      </c>
      <c r="G643" s="177">
        <f>IF(B643="insumo",_xlfn.XLOOKUP($D643,Insumos!$B$1:$B$764,Insumos!$D$1:$D$764),"")</f>
        <v>12.5</v>
      </c>
      <c r="H643" s="177" cm="1">
        <f t="array" ref="H643">_xlfn.IFS(B643="Serviço",SUMIFS(H644:$H$3085,C644:$C$3085,$C643),B643="Insumo",F643*G643,B643="Etapa","")</f>
        <v>3.1625000000000001</v>
      </c>
      <c r="I643" s="178">
        <f>F664/F643</f>
        <v>3.9525691699604741</v>
      </c>
    </row>
    <row r="644" spans="1:9" hidden="1" outlineLevel="2" x14ac:dyDescent="0.25">
      <c r="A644" s="175">
        <f t="shared" si="20"/>
        <v>3</v>
      </c>
      <c r="B644" s="175" t="s">
        <v>327</v>
      </c>
      <c r="C644" s="175" t="str">
        <f t="shared" si="19"/>
        <v>Protenção de cordoalhas para laje protendida Nervurada Tec - Materiais e acessórios</v>
      </c>
      <c r="D644" s="175" t="s">
        <v>518</v>
      </c>
      <c r="E644" s="176" t="str">
        <f>_xlfn.XLOOKUP(D644,Insumos!$B$1:$B$764,Insumos!$C$1:$C$764)</f>
        <v>PAR</v>
      </c>
      <c r="F644" s="179">
        <v>0.25</v>
      </c>
      <c r="G644" s="177">
        <f>IF(B644="insumo",_xlfn.XLOOKUP($D644,Insumos!$B$1:$B$764,Insumos!$D$1:$D$764),"")</f>
        <v>9.1300000000000008</v>
      </c>
      <c r="H644" s="177" cm="1">
        <f t="array" ref="H644">_xlfn.IFS(B644="Serviço",SUMIFS(H645:$H$3085,C645:$C$3085,$C644),B644="Insumo",F644*G644,B644="Etapa","")</f>
        <v>2.2825000000000002</v>
      </c>
      <c r="I644" s="178"/>
    </row>
    <row r="645" spans="1:9" hidden="1" outlineLevel="2" x14ac:dyDescent="0.25">
      <c r="A645" s="175">
        <f t="shared" si="20"/>
        <v>3</v>
      </c>
      <c r="B645" s="175" t="s">
        <v>327</v>
      </c>
      <c r="C645" s="175" t="str">
        <f t="shared" si="19"/>
        <v>Protenção de cordoalhas para laje protendida Nervurada Tec - Materiais e acessórios</v>
      </c>
      <c r="D645" s="175" t="s">
        <v>519</v>
      </c>
      <c r="E645" s="176" t="str">
        <f>_xlfn.XLOOKUP(D645,Insumos!$B$1:$B$764,Insumos!$C$1:$C$764)</f>
        <v>UN</v>
      </c>
      <c r="F645" s="179">
        <v>1.4999999999999999E-2</v>
      </c>
      <c r="G645" s="177">
        <f>IF(B645="insumo",_xlfn.XLOOKUP($D645,Insumos!$B$1:$B$764,Insumos!$D$1:$D$764),"")</f>
        <v>2.85</v>
      </c>
      <c r="H645" s="177" cm="1">
        <f t="array" ref="H645">_xlfn.IFS(B645="Serviço",SUMIFS(H646:$H$3085,C646:$C$3085,$C645),B645="Insumo",F645*G645,B645="Etapa","")</f>
        <v>4.2749999999999996E-2</v>
      </c>
      <c r="I645" s="178"/>
    </row>
    <row r="646" spans="1:9" hidden="1" outlineLevel="2" x14ac:dyDescent="0.25">
      <c r="A646" s="175">
        <f t="shared" si="20"/>
        <v>3</v>
      </c>
      <c r="B646" s="175" t="s">
        <v>327</v>
      </c>
      <c r="C646" s="175" t="str">
        <f t="shared" ref="C646:C709" si="21">IF(B646="serviço",D646,C645)</f>
        <v>Protenção de cordoalhas para laje protendida Nervurada Tec - Materiais e acessórios</v>
      </c>
      <c r="D646" s="175" t="s">
        <v>520</v>
      </c>
      <c r="E646" s="176" t="str">
        <f>_xlfn.XLOOKUP(D646,Insumos!$B$1:$B$764,Insumos!$C$1:$C$764)</f>
        <v>UN</v>
      </c>
      <c r="F646" s="179">
        <v>1.4999999999999999E-2</v>
      </c>
      <c r="G646" s="177">
        <f>IF(B646="insumo",_xlfn.XLOOKUP($D646,Insumos!$B$1:$B$764,Insumos!$D$1:$D$764),"")</f>
        <v>1.42</v>
      </c>
      <c r="H646" s="177" cm="1">
        <f t="array" ref="H646">_xlfn.IFS(B646="Serviço",SUMIFS(H647:$H$3085,C647:$C$3085,$C646),B646="Insumo",F646*G646,B646="Etapa","")</f>
        <v>2.1299999999999999E-2</v>
      </c>
      <c r="I646" s="178"/>
    </row>
    <row r="647" spans="1:9" hidden="1" outlineLevel="2" x14ac:dyDescent="0.25">
      <c r="A647" s="175">
        <f t="shared" si="20"/>
        <v>3</v>
      </c>
      <c r="B647" s="175" t="s">
        <v>327</v>
      </c>
      <c r="C647" s="175" t="str">
        <f t="shared" si="21"/>
        <v>Protenção de cordoalhas para laje protendida Nervurada Tec - Materiais e acessórios</v>
      </c>
      <c r="D647" s="175" t="s">
        <v>521</v>
      </c>
      <c r="E647" s="176" t="str">
        <f>_xlfn.XLOOKUP(D647,Insumos!$B$1:$B$764,Insumos!$C$1:$C$764)</f>
        <v>UN</v>
      </c>
      <c r="F647" s="179">
        <v>1.4999999999999999E-2</v>
      </c>
      <c r="G647" s="177">
        <f>IF(B647="insumo",_xlfn.XLOOKUP($D647,Insumos!$B$1:$B$764,Insumos!$D$1:$D$764),"")</f>
        <v>5.68</v>
      </c>
      <c r="H647" s="177" cm="1">
        <f t="array" ref="H647">_xlfn.IFS(B647="Serviço",SUMIFS(H648:$H$3085,C648:$C$3085,$C647),B647="Insumo",F647*G647,B647="Etapa","")</f>
        <v>8.5199999999999998E-2</v>
      </c>
      <c r="I647" s="178"/>
    </row>
    <row r="648" spans="1:9" hidden="1" outlineLevel="2" x14ac:dyDescent="0.25">
      <c r="A648" s="175">
        <f t="shared" si="20"/>
        <v>3</v>
      </c>
      <c r="B648" s="175" t="s">
        <v>327</v>
      </c>
      <c r="C648" s="175" t="str">
        <f t="shared" si="21"/>
        <v>Protenção de cordoalhas para laje protendida Nervurada Tec - Materiais e acessórios</v>
      </c>
      <c r="D648" s="175" t="s">
        <v>522</v>
      </c>
      <c r="E648" s="176" t="str">
        <f>_xlfn.XLOOKUP(D648,Insumos!$B$1:$B$764,Insumos!$C$1:$C$764)</f>
        <v>PAR</v>
      </c>
      <c r="F648" s="179">
        <v>1.4999999999999999E-2</v>
      </c>
      <c r="G648" s="177">
        <f>IF(B648="insumo",_xlfn.XLOOKUP($D648,Insumos!$B$1:$B$764,Insumos!$D$1:$D$764),"")</f>
        <v>2.2999999999999998</v>
      </c>
      <c r="H648" s="177" cm="1">
        <f t="array" ref="H648">_xlfn.IFS(B648="Serviço",SUMIFS(H649:$H$3085,C649:$C$3085,$C648),B648="Insumo",F648*G648,B648="Etapa","")</f>
        <v>3.4499999999999996E-2</v>
      </c>
      <c r="I648" s="178"/>
    </row>
    <row r="649" spans="1:9" hidden="1" outlineLevel="2" x14ac:dyDescent="0.25">
      <c r="A649" s="175">
        <f t="shared" si="20"/>
        <v>3</v>
      </c>
      <c r="B649" s="175" t="s">
        <v>327</v>
      </c>
      <c r="C649" s="175" t="str">
        <f t="shared" si="21"/>
        <v>Protenção de cordoalhas para laje protendida Nervurada Tec - Materiais e acessórios</v>
      </c>
      <c r="D649" s="175" t="s">
        <v>523</v>
      </c>
      <c r="E649" s="176" t="str">
        <f>_xlfn.XLOOKUP(D649,Insumos!$B$1:$B$764,Insumos!$C$1:$C$764)</f>
        <v>PAR</v>
      </c>
      <c r="F649" s="179">
        <v>1.3</v>
      </c>
      <c r="G649" s="177">
        <f>IF(B649="insumo",_xlfn.XLOOKUP($D649,Insumos!$B$1:$B$764,Insumos!$D$1:$D$764),"")</f>
        <v>3.4</v>
      </c>
      <c r="H649" s="177" cm="1">
        <f t="array" ref="H649">_xlfn.IFS(B649="Serviço",SUMIFS(H650:$H$3085,C650:$C$3085,$C649),B649="Insumo",F649*G649,B649="Etapa","")</f>
        <v>4.42</v>
      </c>
      <c r="I649" s="178"/>
    </row>
    <row r="650" spans="1:9" hidden="1" outlineLevel="2" x14ac:dyDescent="0.25">
      <c r="A650" s="175">
        <f t="shared" si="20"/>
        <v>3</v>
      </c>
      <c r="B650" s="175" t="s">
        <v>327</v>
      </c>
      <c r="C650" s="175" t="str">
        <f t="shared" si="21"/>
        <v>Protenção de cordoalhas para laje protendida Nervurada Tec - Materiais e acessórios</v>
      </c>
      <c r="D650" s="175" t="s">
        <v>524</v>
      </c>
      <c r="E650" s="176" t="str">
        <f>_xlfn.XLOOKUP(D650,Insumos!$B$1:$B$764,Insumos!$C$1:$C$764)</f>
        <v>PAR</v>
      </c>
      <c r="F650" s="179">
        <v>1.3</v>
      </c>
      <c r="G650" s="177">
        <f>IF(B650="insumo",_xlfn.XLOOKUP($D650,Insumos!$B$1:$B$764,Insumos!$D$1:$D$764),"")</f>
        <v>1.1000000000000001</v>
      </c>
      <c r="H650" s="177" cm="1">
        <f t="array" ref="H650">_xlfn.IFS(B650="Serviço",SUMIFS(H651:$H$3085,C651:$C$3085,$C650),B650="Insumo",F650*G650,B650="Etapa","")</f>
        <v>1.4300000000000002</v>
      </c>
      <c r="I650" s="178"/>
    </row>
    <row r="651" spans="1:9" outlineLevel="1" collapsed="1" x14ac:dyDescent="0.25">
      <c r="A651" s="175">
        <f t="shared" si="20"/>
        <v>1</v>
      </c>
      <c r="B651" s="175" t="s">
        <v>109</v>
      </c>
      <c r="C651" s="175" t="str">
        <f t="shared" si="21"/>
        <v>Monocordoalha engraxada CP - 190 RB (12,7mm) - Materiais e acessórios</v>
      </c>
      <c r="D651" s="175" t="s">
        <v>2464</v>
      </c>
      <c r="E651" s="176" t="s">
        <v>2465</v>
      </c>
      <c r="F651" s="175"/>
      <c r="G651" s="177" t="str">
        <f>IF(B651="insumo",_xlfn.XLOOKUP($D651,Insumos!$B$1:$B$764,Insumos!$D$1:$D$764),"")</f>
        <v/>
      </c>
      <c r="H651" s="177" t="e" cm="1">
        <f t="array" ref="H651">_xlfn.IFS(B651="Serviço",SUMIFS(H652:$H$3085,C652:$C$3085,$C651),B651="Insumo",F651*G651,B651="Etapa","")</f>
        <v>#REF!</v>
      </c>
      <c r="I651" s="178" t="s">
        <v>195</v>
      </c>
    </row>
    <row r="652" spans="1:9" hidden="1" outlineLevel="2" x14ac:dyDescent="0.25">
      <c r="A652" s="175">
        <f t="shared" si="20"/>
        <v>3</v>
      </c>
      <c r="B652" s="175" t="s">
        <v>327</v>
      </c>
      <c r="C652" s="175" t="str">
        <f t="shared" si="21"/>
        <v>Monocordoalha engraxada CP - 190 RB (12,7mm) - Materiais e acessórios</v>
      </c>
      <c r="D652" s="175" t="s">
        <v>517</v>
      </c>
      <c r="E652" s="176" t="str">
        <f>_xlfn.XLOOKUP(D652,Insumos!$B$1:$B$764,Insumos!$C$1:$C$764)</f>
        <v>UN</v>
      </c>
      <c r="F652" s="179" t="e">
        <f>(#REF!/#REF!)/100</f>
        <v>#REF!</v>
      </c>
      <c r="G652" s="177">
        <f>IF(B652="insumo",_xlfn.XLOOKUP($D652,Insumos!$B$1:$B$764,Insumos!$D$1:$D$764),"")</f>
        <v>12.5</v>
      </c>
      <c r="H652" s="177" t="e" cm="1">
        <f t="array" ref="H652">_xlfn.IFS(B652="Serviço",SUMIFS(H653:$H$3085,C653:$C$3085,$C652),B652="Insumo",F652*G652,B652="Etapa","")</f>
        <v>#REF!</v>
      </c>
      <c r="I652" s="178"/>
    </row>
    <row r="653" spans="1:9" hidden="1" outlineLevel="2" x14ac:dyDescent="0.25">
      <c r="A653" s="175">
        <f t="shared" si="20"/>
        <v>3</v>
      </c>
      <c r="B653" s="175" t="s">
        <v>327</v>
      </c>
      <c r="C653" s="175" t="str">
        <f t="shared" si="21"/>
        <v>Monocordoalha engraxada CP - 190 RB (12,7mm) - Materiais e acessórios</v>
      </c>
      <c r="D653" s="175" t="s">
        <v>518</v>
      </c>
      <c r="E653" s="176" t="str">
        <f>_xlfn.XLOOKUP(D653,Insumos!$B$1:$B$764,Insumos!$C$1:$C$764)</f>
        <v>PAR</v>
      </c>
      <c r="F653" s="179">
        <f>F643*I$643</f>
        <v>1</v>
      </c>
      <c r="G653" s="177">
        <f>IF(B653="insumo",_xlfn.XLOOKUP($D653,Insumos!$B$1:$B$764,Insumos!$D$1:$D$764),"")</f>
        <v>9.1300000000000008</v>
      </c>
      <c r="H653" s="177" cm="1">
        <f t="array" ref="H653">_xlfn.IFS(B653="Serviço",SUMIFS(H654:$H$3085,C654:$C$3085,$C653),B653="Insumo",F653*G653,B653="Etapa","")</f>
        <v>9.1300000000000008</v>
      </c>
      <c r="I653" s="178"/>
    </row>
    <row r="654" spans="1:9" hidden="1" outlineLevel="2" x14ac:dyDescent="0.25">
      <c r="A654" s="175">
        <f t="shared" si="20"/>
        <v>3</v>
      </c>
      <c r="B654" s="175" t="s">
        <v>327</v>
      </c>
      <c r="C654" s="175" t="str">
        <f t="shared" si="21"/>
        <v>Monocordoalha engraxada CP - 190 RB (12,7mm) - Materiais e acessórios</v>
      </c>
      <c r="D654" s="175" t="s">
        <v>519</v>
      </c>
      <c r="E654" s="176" t="str">
        <f>_xlfn.XLOOKUP(D654,Insumos!$B$1:$B$764,Insumos!$C$1:$C$764)</f>
        <v>UN</v>
      </c>
      <c r="F654" s="179">
        <f>F635*I$643</f>
        <v>4.7430830039525684</v>
      </c>
      <c r="G654" s="177">
        <f>IF(B654="insumo",_xlfn.XLOOKUP($D654,Insumos!$B$1:$B$764,Insumos!$D$1:$D$764),"")</f>
        <v>2.85</v>
      </c>
      <c r="H654" s="177" cm="1">
        <f t="array" ref="H654">_xlfn.IFS(B654="Serviço",SUMIFS(H655:$H$3085,C655:$C$3085,$C654),B654="Insumo",F654*G654,B654="Etapa","")</f>
        <v>13.51778656126482</v>
      </c>
      <c r="I654" s="178"/>
    </row>
    <row r="655" spans="1:9" hidden="1" outlineLevel="2" x14ac:dyDescent="0.25">
      <c r="A655" s="175">
        <f t="shared" si="20"/>
        <v>3</v>
      </c>
      <c r="B655" s="175" t="s">
        <v>327</v>
      </c>
      <c r="C655" s="175" t="str">
        <f t="shared" si="21"/>
        <v>Monocordoalha engraxada CP - 190 RB (12,7mm) - Materiais e acessórios</v>
      </c>
      <c r="D655" s="175" t="s">
        <v>520</v>
      </c>
      <c r="E655" s="176" t="str">
        <f>_xlfn.XLOOKUP(D655,Insumos!$B$1:$B$764,Insumos!$C$1:$C$764)</f>
        <v>UN</v>
      </c>
      <c r="F655" s="179">
        <f>F635*I$643</f>
        <v>4.7430830039525684</v>
      </c>
      <c r="G655" s="177">
        <f>IF(B655="insumo",_xlfn.XLOOKUP($D655,Insumos!$B$1:$B$764,Insumos!$D$1:$D$764),"")</f>
        <v>1.42</v>
      </c>
      <c r="H655" s="177" cm="1">
        <f t="array" ref="H655">_xlfn.IFS(B655="Serviço",SUMIFS(H656:$H$3085,C656:$C$3085,$C655),B655="Insumo",F655*G655,B655="Etapa","")</f>
        <v>6.7351778656126466</v>
      </c>
      <c r="I655" s="178"/>
    </row>
    <row r="656" spans="1:9" hidden="1" outlineLevel="2" x14ac:dyDescent="0.25">
      <c r="A656" s="175">
        <f t="shared" si="20"/>
        <v>2</v>
      </c>
      <c r="B656" s="175" t="s">
        <v>327</v>
      </c>
      <c r="C656" s="175" t="str">
        <f t="shared" si="21"/>
        <v>Monocordoalha engraxada CP - 190 RB (12,7mm) - Materiais e acessórios</v>
      </c>
      <c r="D656" s="175" t="s">
        <v>2462</v>
      </c>
      <c r="E656" s="176" t="str">
        <f>_xlfn.XLOOKUP(D656,Insumos!$B$1:$B$764,Insumos!$C$1:$C$764)</f>
        <v>KG</v>
      </c>
      <c r="F656" s="179">
        <v>1.05</v>
      </c>
      <c r="G656" s="177">
        <f>IF(B656="insumo",_xlfn.XLOOKUP($D656,Insumos!$B$1:$B$764,Insumos!$D$1:$D$764),"")</f>
        <v>15.5</v>
      </c>
      <c r="H656" s="177" cm="1">
        <f t="array" ref="H656">_xlfn.IFS(B656="Serviço",SUMIFS(H657:$H$3085,C657:$C$3085,$C656),B656="Insumo",F656*G656,B656="Etapa","")</f>
        <v>16.275000000000002</v>
      </c>
      <c r="I656" s="178"/>
    </row>
    <row r="657" spans="1:9" hidden="1" outlineLevel="2" x14ac:dyDescent="0.25">
      <c r="A657" s="175">
        <f t="shared" si="20"/>
        <v>3</v>
      </c>
      <c r="B657" s="175" t="s">
        <v>327</v>
      </c>
      <c r="C657" s="175" t="str">
        <f t="shared" si="21"/>
        <v>Monocordoalha engraxada CP - 190 RB (12,7mm) - Materiais e acessórios</v>
      </c>
      <c r="D657" s="175" t="s">
        <v>521</v>
      </c>
      <c r="E657" s="176" t="str">
        <f>_xlfn.XLOOKUP(D657,Insumos!$B$1:$B$764,Insumos!$C$1:$C$764)</f>
        <v>UN</v>
      </c>
      <c r="F657" s="179">
        <f>F637*I$643</f>
        <v>7.6521739130434776</v>
      </c>
      <c r="G657" s="177">
        <f>IF(B657="insumo",_xlfn.XLOOKUP($D657,Insumos!$B$1:$B$764,Insumos!$D$1:$D$764),"")</f>
        <v>5.68</v>
      </c>
      <c r="H657" s="177" cm="1">
        <f t="array" ref="H657">_xlfn.IFS(B657="Serviço",SUMIFS(H658:$H$3085,C658:$C$3085,$C657),B657="Insumo",F657*G657,B657="Etapa","")</f>
        <v>43.46434782608695</v>
      </c>
      <c r="I657" s="178"/>
    </row>
    <row r="658" spans="1:9" hidden="1" outlineLevel="2" x14ac:dyDescent="0.25">
      <c r="A658" s="175">
        <f t="shared" si="20"/>
        <v>3</v>
      </c>
      <c r="B658" s="175" t="s">
        <v>327</v>
      </c>
      <c r="C658" s="175" t="str">
        <f t="shared" si="21"/>
        <v>Monocordoalha engraxada CP - 190 RB (12,7mm) - Materiais e acessórios</v>
      </c>
      <c r="D658" s="175" t="s">
        <v>522</v>
      </c>
      <c r="E658" s="176" t="str">
        <f>_xlfn.XLOOKUP(D658,Insumos!$B$1:$B$764,Insumos!$C$1:$C$764)</f>
        <v>PAR</v>
      </c>
      <c r="F658" s="179">
        <f>F638*I$643</f>
        <v>7.6521739130434776</v>
      </c>
      <c r="G658" s="177">
        <f>IF(B658="insumo",_xlfn.XLOOKUP($D658,Insumos!$B$1:$B$764,Insumos!$D$1:$D$764),"")</f>
        <v>2.2999999999999998</v>
      </c>
      <c r="H658" s="177" cm="1">
        <f t="array" ref="H658">_xlfn.IFS(B658="Serviço",SUMIFS(H659:$H$3085,C659:$C$3085,$C658),B658="Insumo",F658*G658,B658="Etapa","")</f>
        <v>17.599999999999998</v>
      </c>
      <c r="I658" s="178"/>
    </row>
    <row r="659" spans="1:9" hidden="1" outlineLevel="2" x14ac:dyDescent="0.25">
      <c r="A659" s="175">
        <f t="shared" si="20"/>
        <v>3</v>
      </c>
      <c r="B659" s="175" t="s">
        <v>327</v>
      </c>
      <c r="C659" s="175" t="str">
        <f t="shared" si="21"/>
        <v>Monocordoalha engraxada CP - 190 RB (12,7mm) - Materiais e acessórios</v>
      </c>
      <c r="D659" s="175" t="s">
        <v>523</v>
      </c>
      <c r="E659" s="176" t="str">
        <f>_xlfn.XLOOKUP(D659,Insumos!$B$1:$B$764,Insumos!$C$1:$C$764)</f>
        <v>PAR</v>
      </c>
      <c r="F659" s="179">
        <v>1.3</v>
      </c>
      <c r="G659" s="177">
        <f>IF(B659="insumo",_xlfn.XLOOKUP($D659,Insumos!$B$1:$B$764,Insumos!$D$1:$D$764),"")</f>
        <v>3.4</v>
      </c>
      <c r="H659" s="177" cm="1">
        <f t="array" ref="H659">_xlfn.IFS(B659="Serviço",SUMIFS(H660:$H$3085,C660:$C$3085,$C659),B659="Insumo",F659*G659,B659="Etapa","")</f>
        <v>4.42</v>
      </c>
      <c r="I659" s="178"/>
    </row>
    <row r="660" spans="1:9" hidden="1" outlineLevel="2" x14ac:dyDescent="0.25">
      <c r="A660" s="175">
        <f t="shared" si="20"/>
        <v>3</v>
      </c>
      <c r="B660" s="175" t="s">
        <v>327</v>
      </c>
      <c r="C660" s="175" t="str">
        <f t="shared" si="21"/>
        <v>Monocordoalha engraxada CP - 190 RB (12,7mm) - Materiais e acessórios</v>
      </c>
      <c r="D660" s="175" t="s">
        <v>524</v>
      </c>
      <c r="E660" s="176" t="str">
        <f>_xlfn.XLOOKUP(D660,Insumos!$B$1:$B$764,Insumos!$C$1:$C$764)</f>
        <v>PAR</v>
      </c>
      <c r="F660" s="179">
        <v>1.3</v>
      </c>
      <c r="G660" s="177">
        <f>IF(B660="insumo",_xlfn.XLOOKUP($D660,Insumos!$B$1:$B$764,Insumos!$D$1:$D$764),"")</f>
        <v>1.1000000000000001</v>
      </c>
      <c r="H660" s="177" cm="1">
        <f t="array" ref="H660">_xlfn.IFS(B660="Serviço",SUMIFS(H661:$H$3085,C661:$C$3085,$C660),B660="Insumo",F660*G660,B660="Etapa","")</f>
        <v>1.4300000000000002</v>
      </c>
      <c r="I660" s="178"/>
    </row>
    <row r="661" spans="1:9" outlineLevel="1" collapsed="1" x14ac:dyDescent="0.25">
      <c r="A661" s="175">
        <f t="shared" si="20"/>
        <v>1</v>
      </c>
      <c r="B661" s="175" t="s">
        <v>109</v>
      </c>
      <c r="C661" s="175" t="str">
        <f t="shared" si="21"/>
        <v>Monocordoalha engraxada CP - 190 RB (12,7mm)</v>
      </c>
      <c r="D661" s="175" t="s">
        <v>2462</v>
      </c>
      <c r="E661" s="176" t="s">
        <v>2465</v>
      </c>
      <c r="F661" s="175"/>
      <c r="G661" s="177" t="str">
        <f>IF(B661="insumo",_xlfn.XLOOKUP($D661,Insumos!$B$1:$B$764,Insumos!$D$1:$D$764),"")</f>
        <v/>
      </c>
      <c r="H661" s="177" cm="1">
        <f t="array" ref="H661">_xlfn.IFS(B661="Serviço",SUMIFS(H662:$H$3085,C662:$C$3085,$C661),B661="Insumo",F661*G661,B661="Etapa","")</f>
        <v>16.275000000000002</v>
      </c>
      <c r="I661" s="178" t="s">
        <v>195</v>
      </c>
    </row>
    <row r="662" spans="1:9" hidden="1" outlineLevel="2" x14ac:dyDescent="0.25">
      <c r="A662" s="175">
        <f t="shared" si="20"/>
        <v>2</v>
      </c>
      <c r="B662" s="175" t="s">
        <v>327</v>
      </c>
      <c r="C662" s="175" t="str">
        <f t="shared" si="21"/>
        <v>Monocordoalha engraxada CP - 190 RB (12,7mm)</v>
      </c>
      <c r="D662" s="175" t="s">
        <v>2462</v>
      </c>
      <c r="E662" s="176" t="str">
        <f>_xlfn.XLOOKUP(D662,Insumos!$B$1:$B$764,Insumos!$C$1:$C$764)</f>
        <v>KG</v>
      </c>
      <c r="F662" s="179">
        <v>1.05</v>
      </c>
      <c r="G662" s="177">
        <f>IF(B662="insumo",_xlfn.XLOOKUP($D662,Insumos!$B$1:$B$764,Insumos!$D$1:$D$764),"")</f>
        <v>15.5</v>
      </c>
      <c r="H662" s="177" cm="1">
        <f t="array" ref="H662">_xlfn.IFS(B662="Serviço",SUMIFS(H663:$H$3085,C663:$C$3085,$C662),B662="Insumo",F662*G662,B662="Etapa","")</f>
        <v>16.275000000000002</v>
      </c>
      <c r="I662" s="178"/>
    </row>
    <row r="663" spans="1:9" outlineLevel="1" collapsed="1" x14ac:dyDescent="0.25">
      <c r="A663" s="175">
        <f t="shared" si="20"/>
        <v>1</v>
      </c>
      <c r="B663" s="175" t="s">
        <v>109</v>
      </c>
      <c r="C663" s="175" t="str">
        <f t="shared" si="21"/>
        <v>Materiais e acessórios de monocordoalha</v>
      </c>
      <c r="D663" s="175" t="s">
        <v>2889</v>
      </c>
      <c r="E663" s="176" t="s">
        <v>2342</v>
      </c>
      <c r="F663" s="175"/>
      <c r="G663" s="177" t="str">
        <f>IF(B663="insumo",_xlfn.XLOOKUP($D663,Insumos!$B$1:$B$764,Insumos!$D$1:$D$764),"")</f>
        <v/>
      </c>
      <c r="H663" s="177" cm="1">
        <f t="array" ref="H663">_xlfn.IFS(B663="Serviço",SUMIFS(H664:$H$3085,C664:$C$3085,$C663),B663="Insumo",F663*G663,B663="Etapa","")</f>
        <v>57.725000000000001</v>
      </c>
      <c r="I663" s="178" t="s">
        <v>195</v>
      </c>
    </row>
    <row r="664" spans="1:9" hidden="1" outlineLevel="2" x14ac:dyDescent="0.25">
      <c r="A664" s="175">
        <f t="shared" si="20"/>
        <v>3</v>
      </c>
      <c r="B664" s="175" t="s">
        <v>327</v>
      </c>
      <c r="C664" s="175" t="str">
        <f t="shared" si="21"/>
        <v>Materiais e acessórios de monocordoalha</v>
      </c>
      <c r="D664" s="175" t="s">
        <v>517</v>
      </c>
      <c r="E664" s="176" t="str">
        <f>_xlfn.XLOOKUP(D664,Insumos!$B$1:$B$764,Insumos!$C$1:$C$764)</f>
        <v>UN</v>
      </c>
      <c r="F664" s="179">
        <v>1</v>
      </c>
      <c r="G664" s="177">
        <f>IF(B664="insumo",_xlfn.XLOOKUP($D664,Insumos!$B$1:$B$764,Insumos!$D$1:$D$764),"")</f>
        <v>12.5</v>
      </c>
      <c r="H664" s="177" cm="1">
        <f t="array" ref="H664">_xlfn.IFS(B664="Serviço",SUMIFS(H665:$H$3085,C665:$C$3085,$C664),B664="Insumo",F664*G664,B664="Etapa","")</f>
        <v>12.5</v>
      </c>
      <c r="I664" s="178"/>
    </row>
    <row r="665" spans="1:9" hidden="1" outlineLevel="2" x14ac:dyDescent="0.25">
      <c r="A665" s="175">
        <f t="shared" si="20"/>
        <v>3</v>
      </c>
      <c r="B665" s="175" t="s">
        <v>327</v>
      </c>
      <c r="C665" s="175" t="str">
        <f t="shared" si="21"/>
        <v>Materiais e acessórios de monocordoalha</v>
      </c>
      <c r="D665" s="175" t="s">
        <v>518</v>
      </c>
      <c r="E665" s="176" t="str">
        <f>_xlfn.XLOOKUP(D665,Insumos!$B$1:$B$764,Insumos!$C$1:$C$764)</f>
        <v>PAR</v>
      </c>
      <c r="F665" s="179">
        <v>1</v>
      </c>
      <c r="G665" s="177">
        <f>IF(B665="insumo",_xlfn.XLOOKUP($D665,Insumos!$B$1:$B$764,Insumos!$D$1:$D$764),"")</f>
        <v>9.1300000000000008</v>
      </c>
      <c r="H665" s="177" cm="1">
        <f t="array" ref="H665">_xlfn.IFS(B665="Serviço",SUMIFS(H666:$H$3085,C666:$C$3085,$C665),B665="Insumo",F665*G665,B665="Etapa","")</f>
        <v>9.1300000000000008</v>
      </c>
      <c r="I665" s="178"/>
    </row>
    <row r="666" spans="1:9" hidden="1" outlineLevel="2" x14ac:dyDescent="0.25">
      <c r="A666" s="175">
        <f t="shared" si="20"/>
        <v>3</v>
      </c>
      <c r="B666" s="175" t="s">
        <v>327</v>
      </c>
      <c r="C666" s="175" t="str">
        <f t="shared" si="21"/>
        <v>Materiais e acessórios de monocordoalha</v>
      </c>
      <c r="D666" s="175" t="s">
        <v>519</v>
      </c>
      <c r="E666" s="176" t="str">
        <f>_xlfn.XLOOKUP(D666,Insumos!$B$1:$B$764,Insumos!$C$1:$C$764)</f>
        <v>UN</v>
      </c>
      <c r="F666" s="179">
        <v>0.5</v>
      </c>
      <c r="G666" s="177">
        <f>IF(B666="insumo",_xlfn.XLOOKUP($D666,Insumos!$B$1:$B$764,Insumos!$D$1:$D$764),"")</f>
        <v>2.85</v>
      </c>
      <c r="H666" s="177" cm="1">
        <f t="array" ref="H666">_xlfn.IFS(B666="Serviço",SUMIFS(H667:$H$3085,C667:$C$3085,$C666),B666="Insumo",F666*G666,B666="Etapa","")</f>
        <v>1.425</v>
      </c>
      <c r="I666" s="178"/>
    </row>
    <row r="667" spans="1:9" hidden="1" outlineLevel="2" x14ac:dyDescent="0.25">
      <c r="A667" s="175">
        <f t="shared" si="20"/>
        <v>3</v>
      </c>
      <c r="B667" s="175" t="s">
        <v>327</v>
      </c>
      <c r="C667" s="175" t="str">
        <f t="shared" si="21"/>
        <v>Materiais e acessórios de monocordoalha</v>
      </c>
      <c r="D667" s="175" t="s">
        <v>520</v>
      </c>
      <c r="E667" s="176" t="str">
        <f>_xlfn.XLOOKUP(D667,Insumos!$B$1:$B$764,Insumos!$C$1:$C$764)</f>
        <v>UN</v>
      </c>
      <c r="F667" s="179">
        <v>0.5</v>
      </c>
      <c r="G667" s="177">
        <f>IF(B667="insumo",_xlfn.XLOOKUP($D667,Insumos!$B$1:$B$764,Insumos!$D$1:$D$764),"")</f>
        <v>1.42</v>
      </c>
      <c r="H667" s="177" cm="1">
        <f t="array" ref="H667">_xlfn.IFS(B667="Serviço",SUMIFS(H668:$H$3085,C668:$C$3085,$C667),B667="Insumo",F667*G667,B667="Etapa","")</f>
        <v>0.71</v>
      </c>
      <c r="I667" s="178"/>
    </row>
    <row r="668" spans="1:9" hidden="1" outlineLevel="2" x14ac:dyDescent="0.25">
      <c r="A668" s="175">
        <f t="shared" si="20"/>
        <v>3</v>
      </c>
      <c r="B668" s="175" t="s">
        <v>327</v>
      </c>
      <c r="C668" s="175" t="str">
        <f t="shared" si="21"/>
        <v>Materiais e acessórios de monocordoalha</v>
      </c>
      <c r="D668" s="175" t="s">
        <v>521</v>
      </c>
      <c r="E668" s="176" t="str">
        <f>_xlfn.XLOOKUP(D668,Insumos!$B$1:$B$764,Insumos!$C$1:$C$764)</f>
        <v>UN</v>
      </c>
      <c r="F668" s="179">
        <v>0.5</v>
      </c>
      <c r="G668" s="177">
        <f>IF(B668="insumo",_xlfn.XLOOKUP($D668,Insumos!$B$1:$B$764,Insumos!$D$1:$D$764),"")</f>
        <v>5.68</v>
      </c>
      <c r="H668" s="177" cm="1">
        <f t="array" ref="H668">_xlfn.IFS(B668="Serviço",SUMIFS(H669:$H$3085,C669:$C$3085,$C668),B668="Insumo",F668*G668,B668="Etapa","")</f>
        <v>2.84</v>
      </c>
      <c r="I668" s="178"/>
    </row>
    <row r="669" spans="1:9" hidden="1" outlineLevel="2" x14ac:dyDescent="0.25">
      <c r="A669" s="175">
        <f t="shared" si="20"/>
        <v>3</v>
      </c>
      <c r="B669" s="175" t="s">
        <v>327</v>
      </c>
      <c r="C669" s="175" t="str">
        <f t="shared" si="21"/>
        <v>Materiais e acessórios de monocordoalha</v>
      </c>
      <c r="D669" s="175" t="s">
        <v>522</v>
      </c>
      <c r="E669" s="176" t="str">
        <f>_xlfn.XLOOKUP(D669,Insumos!$B$1:$B$764,Insumos!$C$1:$C$764)</f>
        <v>PAR</v>
      </c>
      <c r="F669" s="179">
        <v>0.5</v>
      </c>
      <c r="G669" s="177">
        <f>IF(B669="insumo",_xlfn.XLOOKUP($D669,Insumos!$B$1:$B$764,Insumos!$D$1:$D$764),"")</f>
        <v>2.2999999999999998</v>
      </c>
      <c r="H669" s="177" cm="1">
        <f t="array" ref="H669">_xlfn.IFS(B669="Serviço",SUMIFS(H670:$H$3085,C670:$C$3085,$C669),B669="Insumo",F669*G669,B669="Etapa","")</f>
        <v>1.1499999999999999</v>
      </c>
      <c r="I669" s="178"/>
    </row>
    <row r="670" spans="1:9" hidden="1" outlineLevel="2" x14ac:dyDescent="0.25">
      <c r="A670" s="175">
        <f t="shared" si="20"/>
        <v>3</v>
      </c>
      <c r="B670" s="175" t="s">
        <v>327</v>
      </c>
      <c r="C670" s="175" t="str">
        <f t="shared" si="21"/>
        <v>Materiais e acessórios de monocordoalha</v>
      </c>
      <c r="D670" s="175" t="s">
        <v>523</v>
      </c>
      <c r="E670" s="176" t="str">
        <f>_xlfn.XLOOKUP(D670,Insumos!$B$1:$B$764,Insumos!$C$1:$C$764)</f>
        <v>PAR</v>
      </c>
      <c r="F670" s="179">
        <v>6.66</v>
      </c>
      <c r="G670" s="177">
        <f>IF(B670="insumo",_xlfn.XLOOKUP($D670,Insumos!$B$1:$B$764,Insumos!$D$1:$D$764),"")</f>
        <v>3.4</v>
      </c>
      <c r="H670" s="177" cm="1">
        <f t="array" ref="H670">_xlfn.IFS(B670="Serviço",SUMIFS(H671:$H$3085,C671:$C$3085,$C670),B670="Insumo",F670*G670,B670="Etapa","")</f>
        <v>22.643999999999998</v>
      </c>
      <c r="I670" s="178"/>
    </row>
    <row r="671" spans="1:9" hidden="1" outlineLevel="2" x14ac:dyDescent="0.25">
      <c r="A671" s="175">
        <f t="shared" si="20"/>
        <v>3</v>
      </c>
      <c r="B671" s="175" t="s">
        <v>327</v>
      </c>
      <c r="C671" s="175" t="str">
        <f t="shared" si="21"/>
        <v>Materiais e acessórios de monocordoalha</v>
      </c>
      <c r="D671" s="175" t="s">
        <v>524</v>
      </c>
      <c r="E671" s="176" t="str">
        <f>_xlfn.XLOOKUP(D671,Insumos!$B$1:$B$764,Insumos!$C$1:$C$764)</f>
        <v>PAR</v>
      </c>
      <c r="F671" s="179">
        <v>6.66</v>
      </c>
      <c r="G671" s="177">
        <f>IF(B671="insumo",_xlfn.XLOOKUP($D671,Insumos!$B$1:$B$764,Insumos!$D$1:$D$764),"")</f>
        <v>1.1000000000000001</v>
      </c>
      <c r="H671" s="177" cm="1">
        <f t="array" ref="H671">_xlfn.IFS(B671="Serviço",SUMIFS(H672:$H$3085,C672:$C$3085,$C671),B671="Insumo",F671*G671,B671="Etapa","")</f>
        <v>7.3260000000000005</v>
      </c>
      <c r="I671" s="178"/>
    </row>
    <row r="672" spans="1:9" outlineLevel="1" collapsed="1" x14ac:dyDescent="0.25">
      <c r="A672" s="175">
        <f t="shared" si="20"/>
        <v>1</v>
      </c>
      <c r="B672" s="175" t="s">
        <v>109</v>
      </c>
      <c r="C672" s="175" t="str">
        <f t="shared" si="21"/>
        <v>Locação de cubetas para laje nervurada</v>
      </c>
      <c r="D672" s="175" t="s">
        <v>525</v>
      </c>
      <c r="E672" s="176" t="s">
        <v>2342</v>
      </c>
      <c r="F672" s="175"/>
      <c r="G672" s="177" t="str">
        <f>IF(B672="insumo",_xlfn.XLOOKUP($D672,Insumos!$B$1:$B$764,Insumos!$D$1:$D$764),"")</f>
        <v/>
      </c>
      <c r="H672" s="177" cm="1">
        <f t="array" ref="H672">_xlfn.IFS(B672="Serviço",SUMIFS(H673:$H$3085,C673:$C$3085,$C672),B672="Insumo",F672*G672,B672="Etapa","")</f>
        <v>14.751791999999998</v>
      </c>
      <c r="I672" s="178" t="s">
        <v>195</v>
      </c>
    </row>
    <row r="673" spans="1:9" hidden="1" outlineLevel="2" x14ac:dyDescent="0.25">
      <c r="A673" s="175">
        <f t="shared" si="20"/>
        <v>1</v>
      </c>
      <c r="B673" s="175" t="s">
        <v>327</v>
      </c>
      <c r="C673" s="175" t="str">
        <f t="shared" si="21"/>
        <v>Locação de cubetas para laje nervurada</v>
      </c>
      <c r="D673" s="175" t="s">
        <v>526</v>
      </c>
      <c r="E673" s="176" t="str">
        <f>_xlfn.XLOOKUP(D673,Insumos!$B$1:$B$764,Insumos!$C$1:$C$764)</f>
        <v>UN/MÊS</v>
      </c>
      <c r="F673" s="179">
        <f>ROUNDUP(1/(0.6*0.6),2)</f>
        <v>2.78</v>
      </c>
      <c r="G673" s="177">
        <f>IF(B673="insumo",_xlfn.XLOOKUP($D673,Insumos!$B$1:$B$764,Insumos!$D$1:$D$764),"")</f>
        <v>5.3064</v>
      </c>
      <c r="H673" s="177" cm="1">
        <f t="array" ref="H673">_xlfn.IFS(B673="Serviço",SUMIFS(H674:$H$3085,C674:$C$3085,$C673),B673="Insumo",F673*G673,B673="Etapa","")</f>
        <v>14.751791999999998</v>
      </c>
      <c r="I673" s="178"/>
    </row>
    <row r="674" spans="1:9" outlineLevel="1" collapsed="1" x14ac:dyDescent="0.25">
      <c r="A674" s="175">
        <f t="shared" si="20"/>
        <v>1</v>
      </c>
      <c r="B674" s="175" t="s">
        <v>109</v>
      </c>
      <c r="C674" s="175" t="str">
        <f t="shared" si="21"/>
        <v>Manutenção de cubetas proprias</v>
      </c>
      <c r="D674" s="175" t="s">
        <v>527</v>
      </c>
      <c r="E674" s="176" t="s">
        <v>390</v>
      </c>
      <c r="F674" s="175"/>
      <c r="G674" s="177" t="str">
        <f>IF(B674="insumo",_xlfn.XLOOKUP($D674,Insumos!$B$1:$B$764,Insumos!$D$1:$D$764),"")</f>
        <v/>
      </c>
      <c r="H674" s="177" cm="1">
        <f t="array" ref="H674">_xlfn.IFS(B674="Serviço",SUMIFS(H675:$H$3085,C675:$C$3085,$C674),B674="Insumo",F674*G674,B674="Etapa","")</f>
        <v>39432.81</v>
      </c>
      <c r="I674" s="178" t="s">
        <v>195</v>
      </c>
    </row>
    <row r="675" spans="1:9" hidden="1" outlineLevel="2" x14ac:dyDescent="0.25">
      <c r="A675" s="175">
        <f t="shared" si="20"/>
        <v>1</v>
      </c>
      <c r="B675" s="175" t="s">
        <v>327</v>
      </c>
      <c r="C675" s="175" t="str">
        <f t="shared" si="21"/>
        <v>Manutenção de cubetas proprias</v>
      </c>
      <c r="D675" s="175" t="str">
        <f>D674</f>
        <v>Manutenção de cubetas proprias</v>
      </c>
      <c r="E675" s="176" t="str">
        <f>_xlfn.XLOOKUP(D675,Insumos!$B$1:$B$764,Insumos!$C$1:$C$764)</f>
        <v>VB</v>
      </c>
      <c r="F675" s="179">
        <v>1</v>
      </c>
      <c r="G675" s="177">
        <f>IF(B675="insumo",_xlfn.XLOOKUP($D675,Insumos!$B$1:$B$764,Insumos!$D$1:$D$764),"")</f>
        <v>39432.81</v>
      </c>
      <c r="H675" s="177" cm="1">
        <f t="array" ref="H675">_xlfn.IFS(B675="Serviço",SUMIFS(H676:$H$3085,C676:$C$3085,$C675),B675="Insumo",F675*G675,B675="Etapa","")</f>
        <v>39432.81</v>
      </c>
      <c r="I675" s="178"/>
    </row>
    <row r="676" spans="1:9" outlineLevel="1" collapsed="1" x14ac:dyDescent="0.25">
      <c r="A676" s="175">
        <f t="shared" si="20"/>
        <v>1</v>
      </c>
      <c r="B676" s="175" t="s">
        <v>109</v>
      </c>
      <c r="C676" s="175" t="str">
        <f t="shared" si="21"/>
        <v>Locação de escoramento metálico pe direito simples</v>
      </c>
      <c r="D676" s="175" t="s">
        <v>528</v>
      </c>
      <c r="E676" s="176" t="s">
        <v>13</v>
      </c>
      <c r="F676" s="179"/>
      <c r="G676" s="177" t="str">
        <f>IF(B676="insumo",_xlfn.XLOOKUP($D676,Insumos!$B$1:$B$764,Insumos!$D$1:$D$764),"")</f>
        <v/>
      </c>
      <c r="H676" s="177" cm="1">
        <f t="array" ref="H676">_xlfn.IFS(B676="Serviço",SUMIFS(H677:$H$3085,C677:$C$3085,$C676),B676="Insumo",F676*G676,B676="Etapa","")</f>
        <v>39</v>
      </c>
      <c r="I676" s="178"/>
    </row>
    <row r="677" spans="1:9" hidden="1" outlineLevel="2" x14ac:dyDescent="0.25">
      <c r="A677" s="175">
        <f t="shared" si="20"/>
        <v>1</v>
      </c>
      <c r="B677" s="175" t="s">
        <v>327</v>
      </c>
      <c r="C677" s="175" t="str">
        <f t="shared" si="21"/>
        <v>Locação de escoramento metálico pe direito simples</v>
      </c>
      <c r="D677" s="175" t="s">
        <v>529</v>
      </c>
      <c r="E677" s="176" t="str">
        <f>_xlfn.XLOOKUP(D677,Insumos!$B$1:$B$764,Insumos!$C$1:$C$764)</f>
        <v>UN</v>
      </c>
      <c r="F677" s="179">
        <v>1</v>
      </c>
      <c r="G677" s="177">
        <f>IF(B677="insumo",_xlfn.XLOOKUP($D677,Insumos!$B$1:$B$764,Insumos!$D$1:$D$764),"")</f>
        <v>39</v>
      </c>
      <c r="H677" s="177" cm="1">
        <f t="array" ref="H677">_xlfn.IFS(B677="Serviço",SUMIFS(H678:$H$3085,C678:$C$3085,$C677),B677="Insumo",F677*G677,B677="Etapa","")</f>
        <v>39</v>
      </c>
      <c r="I677" s="178"/>
    </row>
    <row r="678" spans="1:9" outlineLevel="1" collapsed="1" x14ac:dyDescent="0.25">
      <c r="A678" s="175">
        <f t="shared" si="20"/>
        <v>1</v>
      </c>
      <c r="B678" s="175" t="s">
        <v>109</v>
      </c>
      <c r="C678" s="175" t="str">
        <f t="shared" si="21"/>
        <v>Locação topográfica de lajes</v>
      </c>
      <c r="D678" s="175" t="s">
        <v>530</v>
      </c>
      <c r="E678" s="176" t="s">
        <v>531</v>
      </c>
      <c r="F678" s="175"/>
      <c r="G678" s="177" t="str">
        <f>IF(B678="insumo",_xlfn.XLOOKUP($D678,Insumos!$B$1:$B$764,Insumos!$D$1:$D$764),"")</f>
        <v/>
      </c>
      <c r="H678" s="177" cm="1">
        <f t="array" ref="H678">_xlfn.IFS(B678="Serviço",SUMIFS(H679:$H$3085,C679:$C$3085,$C678),B678="Insumo",F678*G678,B678="Etapa","")</f>
        <v>1300</v>
      </c>
      <c r="I678" s="178" t="s">
        <v>195</v>
      </c>
    </row>
    <row r="679" spans="1:9" hidden="1" outlineLevel="2" x14ac:dyDescent="0.25">
      <c r="A679" s="175">
        <f t="shared" si="20"/>
        <v>1</v>
      </c>
      <c r="B679" s="175" t="s">
        <v>327</v>
      </c>
      <c r="C679" s="175" t="str">
        <f t="shared" si="21"/>
        <v>Locação topográfica de lajes</v>
      </c>
      <c r="D679" s="175" t="s">
        <v>532</v>
      </c>
      <c r="E679" s="176" t="str">
        <f>_xlfn.XLOOKUP(D679,Insumos!$B$1:$B$764,Insumos!$C$1:$C$764)</f>
        <v>DIA</v>
      </c>
      <c r="F679" s="179">
        <v>1</v>
      </c>
      <c r="G679" s="177">
        <f>IF(B679="insumo",_xlfn.XLOOKUP($D679,Insumos!$B$1:$B$764,Insumos!$D$1:$D$764),"")</f>
        <v>1300</v>
      </c>
      <c r="H679" s="177" cm="1">
        <f t="array" ref="H679">_xlfn.IFS(B679="Serviço",SUMIFS(H680:$H$3085,C680:$C$3085,$C679),B679="Insumo",F679*G679,B679="Etapa","")</f>
        <v>1300</v>
      </c>
      <c r="I679" s="178"/>
    </row>
    <row r="680" spans="1:9" outlineLevel="1" collapsed="1" x14ac:dyDescent="0.25">
      <c r="A680" s="175">
        <f t="shared" si="20"/>
        <v>1</v>
      </c>
      <c r="B680" s="175" t="s">
        <v>109</v>
      </c>
      <c r="C680" s="175" t="str">
        <f t="shared" si="21"/>
        <v>Sistema de Ancoragem Provisória e definitiva</v>
      </c>
      <c r="D680" s="175" t="s">
        <v>533</v>
      </c>
      <c r="E680" s="176" t="s">
        <v>29</v>
      </c>
      <c r="F680" s="175"/>
      <c r="G680" s="177" t="str">
        <f>IF(B680="insumo",_xlfn.XLOOKUP($D680,Insumos!$B$1:$B$764,Insumos!$D$1:$D$764),"")</f>
        <v/>
      </c>
      <c r="H680" s="177" cm="1">
        <f t="array" ref="H680">_xlfn.IFS(B680="Serviço",SUMIFS(H681:$H$3085,C681:$C$3085,$C680),B680="Insumo",F680*G680,B680="Etapa","")</f>
        <v>15000</v>
      </c>
      <c r="I680" s="178" t="s">
        <v>195</v>
      </c>
    </row>
    <row r="681" spans="1:9" hidden="1" outlineLevel="2" x14ac:dyDescent="0.25">
      <c r="A681" s="175">
        <f t="shared" si="20"/>
        <v>1</v>
      </c>
      <c r="B681" s="175" t="s">
        <v>327</v>
      </c>
      <c r="C681" s="175" t="str">
        <f t="shared" si="21"/>
        <v>Sistema de Ancoragem Provisória e definitiva</v>
      </c>
      <c r="D681" s="175" t="s">
        <v>533</v>
      </c>
      <c r="E681" s="176" t="str">
        <f>_xlfn.XLOOKUP(D681,Insumos!$B$1:$B$764,Insumos!$C$1:$C$764)</f>
        <v>vb</v>
      </c>
      <c r="F681" s="179">
        <v>1</v>
      </c>
      <c r="G681" s="177">
        <f>IF(B681="insumo",_xlfn.XLOOKUP($D681,Insumos!$B$1:$B$764,Insumos!$D$1:$D$764),"")</f>
        <v>15000</v>
      </c>
      <c r="H681" s="177" cm="1">
        <f t="array" ref="H681">_xlfn.IFS(B681="Serviço",SUMIFS(H682:$H$3085,C682:$C$3085,$C681),B681="Insumo",F681*G681,B681="Etapa","")</f>
        <v>15000</v>
      </c>
      <c r="I681" s="178"/>
    </row>
    <row r="682" spans="1:9" outlineLevel="1" collapsed="1" x14ac:dyDescent="0.25">
      <c r="A682" s="175">
        <f t="shared" si="20"/>
        <v>1</v>
      </c>
      <c r="B682" s="175" t="s">
        <v>109</v>
      </c>
      <c r="C682" s="175" t="str">
        <f t="shared" si="21"/>
        <v>Serviço de Perfuração de vigas e lajes</v>
      </c>
      <c r="D682" s="175" t="s">
        <v>534</v>
      </c>
      <c r="E682" s="176" t="s">
        <v>29</v>
      </c>
      <c r="F682" s="179"/>
      <c r="G682" s="177" t="str">
        <f>IF(B682="insumo",_xlfn.XLOOKUP($D682,Insumos!$B$1:$B$764,Insumos!$D$1:$D$764),"")</f>
        <v/>
      </c>
      <c r="H682" s="177" cm="1">
        <f t="array" ref="H682">_xlfn.IFS(B682="Serviço",SUMIFS(H683:$H$3085,C683:$C$3085,$C682),B682="Insumo",F682*G682,B682="Etapa","")</f>
        <v>93981.530500000008</v>
      </c>
      <c r="I682" s="178"/>
    </row>
    <row r="683" spans="1:9" hidden="1" outlineLevel="2" x14ac:dyDescent="0.25">
      <c r="A683" s="175">
        <f t="shared" si="20"/>
        <v>1</v>
      </c>
      <c r="B683" s="175" t="s">
        <v>327</v>
      </c>
      <c r="C683" s="175" t="str">
        <f t="shared" si="21"/>
        <v>Serviço de Perfuração de vigas e lajes</v>
      </c>
      <c r="D683" s="175" t="s">
        <v>534</v>
      </c>
      <c r="E683" s="176" t="str">
        <f>_xlfn.XLOOKUP(D683,Insumos!$B$1:$B$764,Insumos!$C$1:$C$764)</f>
        <v>VB</v>
      </c>
      <c r="F683" s="179">
        <v>1</v>
      </c>
      <c r="G683" s="177">
        <f>IF(B683="insumo",_xlfn.XLOOKUP($D683,Insumos!$B$1:$B$764,Insumos!$D$1:$D$764),"")</f>
        <v>93981.530500000008</v>
      </c>
      <c r="H683" s="177" cm="1">
        <f t="array" ref="H683">_xlfn.IFS(B683="Serviço",SUMIFS(H684:$H$3085,C684:$C$3085,$C683),B683="Insumo",F683*G683,B683="Etapa","")</f>
        <v>93981.530500000008</v>
      </c>
      <c r="I683" s="178"/>
    </row>
    <row r="684" spans="1:9" outlineLevel="1" collapsed="1" x14ac:dyDescent="0.25">
      <c r="A684" s="175">
        <f t="shared" si="20"/>
        <v>1</v>
      </c>
      <c r="B684" s="175" t="s">
        <v>109</v>
      </c>
      <c r="C684" s="175" t="str">
        <f t="shared" si="21"/>
        <v>Escoramento de fôrmas para Lajes com escoras de Madeira incluindo travamento, 4 utilizações.</v>
      </c>
      <c r="D684" s="175" t="s">
        <v>210</v>
      </c>
      <c r="E684" s="176" t="s">
        <v>390</v>
      </c>
      <c r="F684" s="175"/>
      <c r="G684" s="177" t="str">
        <f>IF(B684="insumo",_xlfn.XLOOKUP($D684,Insumos!$B$1:$B$764,Insumos!$D$1:$D$764),"")</f>
        <v/>
      </c>
      <c r="H684" s="177" cm="1">
        <f t="array" ref="H684">_xlfn.IFS(B684="Serviço",SUMIFS(H685:$H$3085,C685:$C$3085,$C684),B684="Insumo",F684*G684,B684="Etapa","")</f>
        <v>11.49611955</v>
      </c>
      <c r="I684" s="178" t="s">
        <v>195</v>
      </c>
    </row>
    <row r="685" spans="1:9" hidden="1" outlineLevel="2" x14ac:dyDescent="0.25">
      <c r="A685" s="175">
        <f t="shared" si="20"/>
        <v>36</v>
      </c>
      <c r="B685" s="175" t="s">
        <v>327</v>
      </c>
      <c r="C685" s="175" t="str">
        <f t="shared" si="21"/>
        <v>Escoramento de fôrmas para Lajes com escoras de Madeira incluindo travamento, 4 utilizações.</v>
      </c>
      <c r="D685" s="175" t="s">
        <v>349</v>
      </c>
      <c r="E685" s="176" t="str">
        <f>_xlfn.XLOOKUP(D685,Insumos!$B$1:$B$764,Insumos!$C$1:$C$764)</f>
        <v>KG</v>
      </c>
      <c r="F685" s="179">
        <v>2.3535E-2</v>
      </c>
      <c r="G685" s="177">
        <f>IF(B685="insumo",_xlfn.XLOOKUP($D685,Insumos!$B$1:$B$764,Insumos!$D$1:$D$764),"")</f>
        <v>18.13</v>
      </c>
      <c r="H685" s="177" cm="1">
        <f t="array" ref="H685">_xlfn.IFS(B685="Serviço",SUMIFS(H686:$H$3085,C686:$C$3085,$C685),B685="Insumo",F685*G685,B685="Etapa","")</f>
        <v>0.42668954999999997</v>
      </c>
      <c r="I685" s="178"/>
    </row>
    <row r="686" spans="1:9" hidden="1" outlineLevel="2" x14ac:dyDescent="0.25">
      <c r="A686" s="175">
        <f t="shared" si="20"/>
        <v>3</v>
      </c>
      <c r="B686" s="175" t="s">
        <v>327</v>
      </c>
      <c r="C686" s="175" t="str">
        <f t="shared" si="21"/>
        <v>Escoramento de fôrmas para Lajes com escoras de Madeira incluindo travamento, 4 utilizações.</v>
      </c>
      <c r="D686" s="175" t="s">
        <v>480</v>
      </c>
      <c r="E686" s="176" t="str">
        <f>_xlfn.XLOOKUP(D686,Insumos!$B$1:$B$764,Insumos!$C$1:$C$764)</f>
        <v>M</v>
      </c>
      <c r="F686" s="179">
        <v>0.14299999999999999</v>
      </c>
      <c r="G686" s="177">
        <f>IF(B686="insumo",_xlfn.XLOOKUP($D686,Insumos!$B$1:$B$764,Insumos!$D$1:$D$764),"")</f>
        <v>42.46</v>
      </c>
      <c r="H686" s="177" cm="1">
        <f t="array" ref="H686">_xlfn.IFS(B686="Serviço",SUMIFS(H687:$H$3085,C687:$C$3085,$C686),B686="Insumo",F686*G686,B686="Etapa","")</f>
        <v>6.0717799999999995</v>
      </c>
      <c r="I686" s="178"/>
    </row>
    <row r="687" spans="1:9" hidden="1" outlineLevel="2" x14ac:dyDescent="0.25">
      <c r="A687" s="175">
        <f t="shared" si="20"/>
        <v>24</v>
      </c>
      <c r="B687" s="175" t="s">
        <v>327</v>
      </c>
      <c r="C687" s="175" t="str">
        <f t="shared" si="21"/>
        <v>Escoramento de fôrmas para Lajes com escoras de Madeira incluindo travamento, 4 utilizações.</v>
      </c>
      <c r="D687" s="175" t="s">
        <v>346</v>
      </c>
      <c r="E687" s="176" t="str">
        <f>_xlfn.XLOOKUP(D687,Insumos!$B$1:$B$764,Insumos!$C$1:$C$764)</f>
        <v>M</v>
      </c>
      <c r="F687" s="179">
        <v>0.71395000000000008</v>
      </c>
      <c r="G687" s="177">
        <f>IF(B687="insumo",_xlfn.XLOOKUP($D687,Insumos!$B$1:$B$764,Insumos!$D$1:$D$764),"")</f>
        <v>7</v>
      </c>
      <c r="H687" s="177" cm="1">
        <f t="array" ref="H687">_xlfn.IFS(B687="Serviço",SUMIFS(H688:$H$3085,C688:$C$3085,$C687),B687="Insumo",F687*G687,B687="Etapa","")</f>
        <v>4.9976500000000001</v>
      </c>
      <c r="I687" s="178"/>
    </row>
    <row r="688" spans="1:9" outlineLevel="1" collapsed="1" x14ac:dyDescent="0.25">
      <c r="A688" s="175">
        <f t="shared" si="20"/>
        <v>1</v>
      </c>
      <c r="B688" s="175" t="s">
        <v>109</v>
      </c>
      <c r="C688" s="175" t="str">
        <f t="shared" si="21"/>
        <v>Mão de obra para execução de supraestrutura de concreto armado</v>
      </c>
      <c r="D688" s="175" t="s">
        <v>116</v>
      </c>
      <c r="E688" s="176" t="s">
        <v>13</v>
      </c>
      <c r="F688" s="175"/>
      <c r="G688" s="177" t="str">
        <f>IF(B688="insumo",_xlfn.XLOOKUP($D688,Insumos!$B$1:$B$764,Insumos!$D$1:$D$764),"")</f>
        <v/>
      </c>
      <c r="H688" s="177" cm="1">
        <f t="array" ref="H688">_xlfn.IFS(B688="Serviço",SUMIFS(H689:$H$3085,C689:$C$3085,$C688),B688="Insumo",F688*G688,B688="Etapa","")</f>
        <v>240</v>
      </c>
      <c r="I688" s="178" t="s">
        <v>195</v>
      </c>
    </row>
    <row r="689" spans="1:9" hidden="1" outlineLevel="2" x14ac:dyDescent="0.25">
      <c r="A689" s="175">
        <f t="shared" si="20"/>
        <v>1</v>
      </c>
      <c r="B689" s="175" t="s">
        <v>327</v>
      </c>
      <c r="C689" s="175" t="str">
        <f t="shared" si="21"/>
        <v>Mão de obra para execução de supraestrutura de concreto armado</v>
      </c>
      <c r="D689" s="175" t="s">
        <v>116</v>
      </c>
      <c r="E689" s="176" t="str">
        <f>_xlfn.XLOOKUP(D689,Insumos!$B$1:$B$764,Insumos!$C$1:$C$764)</f>
        <v>m2</v>
      </c>
      <c r="F689" s="179">
        <v>1</v>
      </c>
      <c r="G689" s="177">
        <f>IF(B689="insumo",_xlfn.XLOOKUP($D689,Insumos!$B$1:$B$764,Insumos!$D$1:$D$764),"")</f>
        <v>240</v>
      </c>
      <c r="H689" s="177" cm="1">
        <f t="array" ref="H689">_xlfn.IFS(B689="Serviço",SUMIFS(H690:$H$3085,C690:$C$3085,$C689),B689="Insumo",F689*G689,B689="Etapa","")</f>
        <v>240</v>
      </c>
      <c r="I689" s="178"/>
    </row>
    <row r="690" spans="1:9" outlineLevel="1" collapsed="1" x14ac:dyDescent="0.25">
      <c r="A690" s="175">
        <f t="shared" si="20"/>
        <v>1</v>
      </c>
      <c r="B690" s="175" t="s">
        <v>109</v>
      </c>
      <c r="C690" s="175" t="str">
        <f t="shared" si="21"/>
        <v>Mão de Obra Polimento de piso</v>
      </c>
      <c r="D690" s="175" t="s">
        <v>180</v>
      </c>
      <c r="E690" s="176" t="s">
        <v>13</v>
      </c>
      <c r="F690" s="175"/>
      <c r="G690" s="177" t="str">
        <f>IF(B690="insumo",_xlfn.XLOOKUP($D690,Insumos!$B$1:$B$764,Insumos!$D$1:$D$764),"")</f>
        <v/>
      </c>
      <c r="H690" s="177" cm="1">
        <f t="array" ref="H690">_xlfn.IFS(B690="Serviço",SUMIFS(H691:$H$3085,C691:$C$3085,$C690),B690="Insumo",F690*G690,B690="Etapa","")</f>
        <v>25</v>
      </c>
      <c r="I690" s="178" t="s">
        <v>195</v>
      </c>
    </row>
    <row r="691" spans="1:9" hidden="1" outlineLevel="2" x14ac:dyDescent="0.25">
      <c r="A691" s="175">
        <f t="shared" si="20"/>
        <v>1</v>
      </c>
      <c r="B691" s="175" t="s">
        <v>327</v>
      </c>
      <c r="C691" s="175" t="str">
        <f t="shared" si="21"/>
        <v>Mão de Obra Polimento de piso</v>
      </c>
      <c r="D691" s="175" t="s">
        <v>180</v>
      </c>
      <c r="E691" s="176" t="str">
        <f>_xlfn.XLOOKUP(D691,Insumos!$B$1:$B$764,Insumos!$C$1:$C$764)</f>
        <v>m2</v>
      </c>
      <c r="F691" s="179">
        <v>1</v>
      </c>
      <c r="G691" s="177">
        <f>IF(B691="insumo",_xlfn.XLOOKUP($D691,Insumos!$B$1:$B$764,Insumos!$D$1:$D$764),"")</f>
        <v>25</v>
      </c>
      <c r="H691" s="177" cm="1">
        <f t="array" ref="H691">_xlfn.IFS(B691="Serviço",SUMIFS(H692:$H$3085,C692:$C$3085,$C691),B691="Insumo",F691*G691,B691="Etapa","")</f>
        <v>25</v>
      </c>
      <c r="I691" s="178"/>
    </row>
    <row r="692" spans="1:9" x14ac:dyDescent="0.25">
      <c r="A692" s="172">
        <f t="shared" si="20"/>
        <v>1</v>
      </c>
      <c r="B692" s="172" t="s">
        <v>107</v>
      </c>
      <c r="C692" s="172"/>
      <c r="D692" s="172" t="s">
        <v>165</v>
      </c>
      <c r="E692" s="173"/>
      <c r="F692" s="174"/>
      <c r="G692" s="180" t="str">
        <f>IF(B692="insumo",_xlfn.XLOOKUP($D692,Insumos!$B$1:$B$764,Insumos!$D$1:$D$764),"")</f>
        <v/>
      </c>
      <c r="H692" s="177" t="str" cm="1">
        <f t="array" ref="H692">_xlfn.IFS(B692="Serviço",SUMIFS(H693:$H$3085,C693:$C$3085,$C692),B692="Insumo",F692*G692,B692="Etapa","")</f>
        <v/>
      </c>
      <c r="I692" s="174"/>
    </row>
    <row r="693" spans="1:9" outlineLevel="1" collapsed="1" x14ac:dyDescent="0.25">
      <c r="A693" s="175">
        <f t="shared" si="20"/>
        <v>1</v>
      </c>
      <c r="B693" s="175" t="s">
        <v>109</v>
      </c>
      <c r="C693" s="175" t="str">
        <f t="shared" si="21"/>
        <v>Alvenaria de vedacao de blocos ceramicos furados na horizontal de 9x19x19cm (espessura 9cm) com argamassa industrializada de assentamento</v>
      </c>
      <c r="D693" s="175" t="s">
        <v>211</v>
      </c>
      <c r="E693" s="176" t="s">
        <v>13</v>
      </c>
      <c r="F693" s="175"/>
      <c r="G693" s="177" t="str">
        <f>IF(B693="insumo",_xlfn.XLOOKUP($D693,Insumos!$B$1:$B$764,Insumos!$D$1:$D$764),"")</f>
        <v/>
      </c>
      <c r="H693" s="177" cm="1">
        <f t="array" ref="H693">_xlfn.IFS(B693="Serviço",SUMIFS(H694:$H$3085,C694:$C$3085,$C693),B693="Insumo",F693*G693,B693="Etapa","")</f>
        <v>36.22</v>
      </c>
      <c r="I693" s="178" t="s">
        <v>195</v>
      </c>
    </row>
    <row r="694" spans="1:9" hidden="1" outlineLevel="2" x14ac:dyDescent="0.25">
      <c r="A694" s="175">
        <f t="shared" si="20"/>
        <v>2</v>
      </c>
      <c r="B694" s="175" t="s">
        <v>327</v>
      </c>
      <c r="C694" s="175" t="str">
        <f t="shared" si="21"/>
        <v>Alvenaria de vedacao de blocos ceramicos furados na horizontal de 9x19x19cm (espessura 9cm) com argamassa industrializada de assentamento</v>
      </c>
      <c r="D694" s="175" t="s">
        <v>535</v>
      </c>
      <c r="E694" s="176" t="str">
        <f>_xlfn.XLOOKUP(D694,Insumos!$B$1:$B$764,Insumos!$C$1:$C$764)</f>
        <v>UN</v>
      </c>
      <c r="F694" s="179">
        <f>ROUNDUP(1/(0.19*0.19),)</f>
        <v>28</v>
      </c>
      <c r="G694" s="177">
        <f>IF(B694="insumo",_xlfn.XLOOKUP($D694,Insumos!$B$1:$B$764,Insumos!$D$1:$D$764),"")</f>
        <v>0.99</v>
      </c>
      <c r="H694" s="177" cm="1">
        <f t="array" ref="H694">_xlfn.IFS(B694="Serviço",SUMIFS(H695:$H$3085,C695:$C$3085,$C694),B694="Insumo",F694*G694,B694="Etapa","")</f>
        <v>27.72</v>
      </c>
      <c r="I694" s="178"/>
    </row>
    <row r="695" spans="1:9" hidden="1" outlineLevel="2" x14ac:dyDescent="0.25">
      <c r="A695" s="175">
        <f t="shared" si="20"/>
        <v>23</v>
      </c>
      <c r="B695" s="175" t="s">
        <v>327</v>
      </c>
      <c r="C695" s="175" t="str">
        <f t="shared" si="21"/>
        <v>Alvenaria de vedacao de blocos ceramicos furados na horizontal de 9x19x19cm (espessura 9cm) com argamassa industrializada de assentamento</v>
      </c>
      <c r="D695" s="175" t="s">
        <v>536</v>
      </c>
      <c r="E695" s="176" t="str">
        <f>_xlfn.XLOOKUP(D695,Insumos!$B$1:$B$764,Insumos!$C$1:$C$764)</f>
        <v>M3</v>
      </c>
      <c r="F695" s="179">
        <v>0.02</v>
      </c>
      <c r="G695" s="177">
        <f>IF(B695="insumo",_xlfn.XLOOKUP($D695,Insumos!$B$1:$B$764,Insumos!$D$1:$D$764),"")</f>
        <v>425</v>
      </c>
      <c r="H695" s="177" cm="1">
        <f t="array" ref="H695">_xlfn.IFS(B695="Serviço",SUMIFS(H696:$H$3085,C696:$C$3085,$C695),B695="Insumo",F695*G695,B695="Etapa","")</f>
        <v>8.5</v>
      </c>
      <c r="I695" s="178"/>
    </row>
    <row r="696" spans="1:9" outlineLevel="1" collapsed="1" x14ac:dyDescent="0.25">
      <c r="A696" s="175">
        <f t="shared" si="20"/>
        <v>1</v>
      </c>
      <c r="B696" s="175" t="s">
        <v>109</v>
      </c>
      <c r="C696" s="175" t="str">
        <f t="shared" si="21"/>
        <v>Alvenaria de vedacao de blocos ceramicos furados na horizontal de 11,5x19x19cm (espessura 11,5cm) com argamassa de assentamento Dun Dun</v>
      </c>
      <c r="D696" s="175" t="s">
        <v>1838</v>
      </c>
      <c r="E696" s="176" t="s">
        <v>13</v>
      </c>
      <c r="F696" s="175"/>
      <c r="G696" s="177" t="str">
        <f>IF(B696="insumo",_xlfn.XLOOKUP($D696,Insumos!$B$1:$B$764,Insumos!$D$1:$D$764),"")</f>
        <v/>
      </c>
      <c r="H696" s="177" cm="1">
        <f t="array" ref="H696">_xlfn.IFS(B696="Serviço",SUMIFS(H697:$H$3085,C697:$C$3085,$C696),B696="Insumo",F696*G696,B696="Etapa","")</f>
        <v>57.659199999999998</v>
      </c>
      <c r="I696" s="178" t="s">
        <v>195</v>
      </c>
    </row>
    <row r="697" spans="1:9" hidden="1" outlineLevel="2" x14ac:dyDescent="0.25">
      <c r="A697" s="175">
        <f t="shared" si="20"/>
        <v>2</v>
      </c>
      <c r="B697" s="175" t="s">
        <v>327</v>
      </c>
      <c r="C697" s="175" t="str">
        <f t="shared" si="21"/>
        <v>Alvenaria de vedacao de blocos ceramicos furados na horizontal de 11,5x19x19cm (espessura 11,5cm) com argamassa de assentamento Dun Dun</v>
      </c>
      <c r="D697" s="175" t="s">
        <v>1736</v>
      </c>
      <c r="E697" s="176" t="s">
        <v>131</v>
      </c>
      <c r="F697" s="179">
        <f>ROUNDUP(1/(0.19*0.19),)</f>
        <v>28</v>
      </c>
      <c r="G697" s="177">
        <f>IF(B697="insumo",_xlfn.XLOOKUP($D697,Insumos!$B$1:$B$764,Insumos!$D$1:$D$764),"")</f>
        <v>1.24</v>
      </c>
      <c r="H697" s="177" cm="1">
        <f t="array" ref="H697">_xlfn.IFS(B697="Serviço",SUMIFS(H698:$H$3085,C698:$C$3085,$C697),B697="Insumo",F697*G697,B697="Etapa","")</f>
        <v>34.72</v>
      </c>
      <c r="I697" s="178"/>
    </row>
    <row r="698" spans="1:9" hidden="1" outlineLevel="2" x14ac:dyDescent="0.25">
      <c r="A698" s="175">
        <f t="shared" si="20"/>
        <v>1</v>
      </c>
      <c r="B698" s="175" t="s">
        <v>327</v>
      </c>
      <c r="C698" s="175" t="str">
        <f t="shared" si="21"/>
        <v>Alvenaria de vedacao de blocos ceramicos furados na horizontal de 11,5x19x19cm (espessura 11,5cm) com argamassa de assentamento Dun Dun</v>
      </c>
      <c r="D698" s="175" t="s">
        <v>1837</v>
      </c>
      <c r="E698" s="176" t="s">
        <v>428</v>
      </c>
      <c r="F698" s="179">
        <v>1.2</v>
      </c>
      <c r="G698" s="177">
        <f>IF(B698="insumo",_xlfn.XLOOKUP($D698,Insumos!$B$1:$B$764,Insumos!$D$1:$D$764),"")</f>
        <v>19.116</v>
      </c>
      <c r="H698" s="177" cm="1">
        <f t="array" ref="H698">_xlfn.IFS(B698="Serviço",SUMIFS(H699:$H$3085,C699:$C$3085,$C698),B698="Insumo",F698*G698,B698="Etapa","")</f>
        <v>22.9392</v>
      </c>
      <c r="I698" s="178"/>
    </row>
    <row r="699" spans="1:9" outlineLevel="1" collapsed="1" x14ac:dyDescent="0.25">
      <c r="A699" s="175">
        <f t="shared" si="20"/>
        <v>1</v>
      </c>
      <c r="B699" s="175" t="s">
        <v>109</v>
      </c>
      <c r="C699" s="175" t="str">
        <f t="shared" si="21"/>
        <v>Alvenaria de vedacao de blocos ceramicos furados na horizontal de 11.5x19x19cm (espessura 11.5cm) com argamassa industrializada de assentamento</v>
      </c>
      <c r="D699" s="175" t="s">
        <v>2385</v>
      </c>
      <c r="E699" s="176" t="s">
        <v>13</v>
      </c>
      <c r="F699" s="175"/>
      <c r="G699" s="177" t="str">
        <f>IF(B699="insumo",_xlfn.XLOOKUP($D699,Insumos!$B$1:$B$764,Insumos!$D$1:$D$764),"")</f>
        <v/>
      </c>
      <c r="H699" s="177" cm="1">
        <f t="array" ref="H699">_xlfn.IFS(B699="Serviço",SUMIFS(H700:$H$3085,C700:$C$3085,$C699),B699="Insumo",F699*G699,B699="Etapa","")</f>
        <v>43.22</v>
      </c>
      <c r="I699" s="178" t="s">
        <v>195</v>
      </c>
    </row>
    <row r="700" spans="1:9" hidden="1" outlineLevel="2" x14ac:dyDescent="0.25">
      <c r="A700" s="175">
        <f t="shared" si="20"/>
        <v>2</v>
      </c>
      <c r="B700" s="175" t="s">
        <v>327</v>
      </c>
      <c r="C700" s="175" t="str">
        <f t="shared" si="21"/>
        <v>Alvenaria de vedacao de blocos ceramicos furados na horizontal de 11.5x19x19cm (espessura 11.5cm) com argamassa industrializada de assentamento</v>
      </c>
      <c r="D700" s="175" t="s">
        <v>1736</v>
      </c>
      <c r="E700" s="176" t="s">
        <v>131</v>
      </c>
      <c r="F700" s="179">
        <f>ROUNDUP(1/(0.19*0.19),)</f>
        <v>28</v>
      </c>
      <c r="G700" s="177">
        <f>IF(B700="insumo",_xlfn.XLOOKUP($D700,Insumos!$B$1:$B$764,Insumos!$D$1:$D$764),"")</f>
        <v>1.24</v>
      </c>
      <c r="H700" s="177" cm="1">
        <f t="array" ref="H700">_xlfn.IFS(B700="Serviço",SUMIFS(H701:$H$3085,C701:$C$3085,$C700),B700="Insumo",F700*G700,B700="Etapa","")</f>
        <v>34.72</v>
      </c>
      <c r="I700" s="178"/>
    </row>
    <row r="701" spans="1:9" hidden="1" outlineLevel="2" x14ac:dyDescent="0.25">
      <c r="A701" s="175">
        <f t="shared" si="20"/>
        <v>23</v>
      </c>
      <c r="B701" s="175" t="s">
        <v>327</v>
      </c>
      <c r="C701" s="175" t="str">
        <f t="shared" si="21"/>
        <v>Alvenaria de vedacao de blocos ceramicos furados na horizontal de 11.5x19x19cm (espessura 11.5cm) com argamassa industrializada de assentamento</v>
      </c>
      <c r="D701" s="175" t="s">
        <v>536</v>
      </c>
      <c r="E701" s="176" t="s">
        <v>428</v>
      </c>
      <c r="F701" s="179">
        <v>0.02</v>
      </c>
      <c r="G701" s="177">
        <f>IF(B701="insumo",_xlfn.XLOOKUP($D701,Insumos!$B$1:$B$764,Insumos!$D$1:$D$764),"")</f>
        <v>425</v>
      </c>
      <c r="H701" s="177" cm="1">
        <f t="array" ref="H701">_xlfn.IFS(B701="Serviço",SUMIFS(H702:$H$3085,C702:$C$3085,$C701),B701="Insumo",F701*G701,B701="Etapa","")</f>
        <v>8.5</v>
      </c>
      <c r="I701" s="178"/>
    </row>
    <row r="702" spans="1:9" outlineLevel="1" collapsed="1" x14ac:dyDescent="0.25">
      <c r="A702" s="175">
        <f t="shared" si="20"/>
        <v>1</v>
      </c>
      <c r="B702" s="175" t="s">
        <v>109</v>
      </c>
      <c r="C702" s="175" t="str">
        <f t="shared" si="21"/>
        <v>Alvenaria de vedacao de blocos ceramicos furados na horizontal de 14x19x19cm (espessura 14cm) com argamassa industrializada de assentamento</v>
      </c>
      <c r="D702" s="175" t="s">
        <v>212</v>
      </c>
      <c r="E702" s="176" t="s">
        <v>13</v>
      </c>
      <c r="F702" s="175"/>
      <c r="G702" s="177" t="str">
        <f>IF(B702="insumo",_xlfn.XLOOKUP($D702,Insumos!$B$1:$B$764,Insumos!$D$1:$D$764),"")</f>
        <v/>
      </c>
      <c r="H702" s="177" cm="1">
        <f t="array" ref="H702">_xlfn.IFS(B702="Serviço",SUMIFS(H703:$H$3085,C703:$C$3085,$C702),B702="Insumo",F702*G702,B702="Etapa","")</f>
        <v>81.3</v>
      </c>
      <c r="I702" s="178" t="s">
        <v>195</v>
      </c>
    </row>
    <row r="703" spans="1:9" hidden="1" outlineLevel="2" x14ac:dyDescent="0.25">
      <c r="A703" s="175">
        <f t="shared" si="20"/>
        <v>1</v>
      </c>
      <c r="B703" s="175" t="s">
        <v>327</v>
      </c>
      <c r="C703" s="175" t="str">
        <f t="shared" si="21"/>
        <v>Alvenaria de vedacao de blocos ceramicos furados na horizontal de 14x19x19cm (espessura 14cm) com argamassa industrializada de assentamento</v>
      </c>
      <c r="D703" s="175" t="s">
        <v>1737</v>
      </c>
      <c r="E703" s="176" t="s">
        <v>131</v>
      </c>
      <c r="F703" s="179">
        <f>ROUNDUP(1/(0.19*0.19),)</f>
        <v>28</v>
      </c>
      <c r="G703" s="177">
        <f>IF(B703="insumo",_xlfn.XLOOKUP($D703,Insumos!$B$1:$B$764,Insumos!$D$1:$D$764),"")</f>
        <v>2.6</v>
      </c>
      <c r="H703" s="177" cm="1">
        <f t="array" ref="H703">_xlfn.IFS(B703="Serviço",SUMIFS(H704:$H$3085,C704:$C$3085,$C703),B703="Insumo",F703*G703,B703="Etapa","")</f>
        <v>72.8</v>
      </c>
      <c r="I703" s="178"/>
    </row>
    <row r="704" spans="1:9" hidden="1" outlineLevel="2" x14ac:dyDescent="0.25">
      <c r="A704" s="175">
        <f t="shared" si="20"/>
        <v>23</v>
      </c>
      <c r="B704" s="175" t="s">
        <v>327</v>
      </c>
      <c r="C704" s="175" t="str">
        <f t="shared" si="21"/>
        <v>Alvenaria de vedacao de blocos ceramicos furados na horizontal de 14x19x19cm (espessura 14cm) com argamassa industrializada de assentamento</v>
      </c>
      <c r="D704" s="175" t="s">
        <v>536</v>
      </c>
      <c r="E704" s="176" t="str">
        <f>_xlfn.XLOOKUP(D704,Insumos!$B$1:$B$764,Insumos!$C$1:$C$764)</f>
        <v>M3</v>
      </c>
      <c r="F704" s="179">
        <v>0.02</v>
      </c>
      <c r="G704" s="177">
        <f>IF(B704="insumo",_xlfn.XLOOKUP($D704,Insumos!$B$1:$B$764,Insumos!$D$1:$D$764),"")</f>
        <v>425</v>
      </c>
      <c r="H704" s="177" cm="1">
        <f t="array" ref="H704">_xlfn.IFS(B704="Serviço",SUMIFS(H705:$H$3085,C705:$C$3085,$C704),B704="Insumo",F704*G704,B704="Etapa","")</f>
        <v>8.5</v>
      </c>
      <c r="I704" s="178"/>
    </row>
    <row r="705" spans="1:9" outlineLevel="1" collapsed="1" x14ac:dyDescent="0.25">
      <c r="A705" s="175">
        <f t="shared" si="20"/>
        <v>1</v>
      </c>
      <c r="B705" s="175" t="s">
        <v>109</v>
      </c>
      <c r="C705" s="175" t="str">
        <f t="shared" si="21"/>
        <v>Alvenaria de vedacao de blocos ceramicos furados na horizontal de 14x19x39cm (espessura 9cm) com argamassa industrializada de assentamento</v>
      </c>
      <c r="D705" s="175" t="s">
        <v>537</v>
      </c>
      <c r="E705" s="176" t="s">
        <v>13</v>
      </c>
      <c r="F705" s="175"/>
      <c r="G705" s="177" t="str">
        <f>IF(B705="insumo",_xlfn.XLOOKUP($D705,Insumos!$B$1:$B$764,Insumos!$D$1:$D$764),"")</f>
        <v/>
      </c>
      <c r="H705" s="177" cm="1">
        <f t="array" ref="H705">_xlfn.IFS(B705="Serviço",SUMIFS(H706:$H$3085,C706:$C$3085,$C705),B705="Insumo",F705*G705,B705="Etapa","")</f>
        <v>28.099999999999998</v>
      </c>
      <c r="I705" s="178" t="s">
        <v>195</v>
      </c>
    </row>
    <row r="706" spans="1:9" hidden="1" outlineLevel="2" x14ac:dyDescent="0.25">
      <c r="A706" s="175">
        <f t="shared" ref="A706:A769" si="22">COUNTIFS($D$2:$D$3085,D706,$B$2:$B$3085,B706)</f>
        <v>1</v>
      </c>
      <c r="B706" s="175" t="s">
        <v>327</v>
      </c>
      <c r="C706" s="175" t="str">
        <f t="shared" si="21"/>
        <v>Alvenaria de vedacao de blocos ceramicos furados na horizontal de 14x19x39cm (espessura 9cm) com argamassa industrializada de assentamento</v>
      </c>
      <c r="D706" s="175" t="s">
        <v>538</v>
      </c>
      <c r="E706" s="176" t="str">
        <f>_xlfn.XLOOKUP(D706,Insumos!$B$1:$B$764,Insumos!$C$1:$C$764)</f>
        <v>UN</v>
      </c>
      <c r="F706" s="179">
        <f>ROUNDUP(1/(0.19*0.39),)</f>
        <v>14</v>
      </c>
      <c r="G706" s="177">
        <f>IF(B706="insumo",_xlfn.XLOOKUP($D706,Insumos!$B$1:$B$764,Insumos!$D$1:$D$764),"")</f>
        <v>1.4</v>
      </c>
      <c r="H706" s="177" cm="1">
        <f t="array" ref="H706">_xlfn.IFS(B706="Serviço",SUMIFS(H707:$H$3085,C707:$C$3085,$C706),B706="Insumo",F706*G706,B706="Etapa","")</f>
        <v>19.599999999999998</v>
      </c>
      <c r="I706" s="178"/>
    </row>
    <row r="707" spans="1:9" hidden="1" outlineLevel="2" x14ac:dyDescent="0.25">
      <c r="A707" s="175">
        <f t="shared" si="22"/>
        <v>23</v>
      </c>
      <c r="B707" s="175" t="s">
        <v>327</v>
      </c>
      <c r="C707" s="175" t="str">
        <f t="shared" si="21"/>
        <v>Alvenaria de vedacao de blocos ceramicos furados na horizontal de 14x19x39cm (espessura 9cm) com argamassa industrializada de assentamento</v>
      </c>
      <c r="D707" s="175" t="s">
        <v>536</v>
      </c>
      <c r="E707" s="176" t="str">
        <f>_xlfn.XLOOKUP(D707,Insumos!$B$1:$B$764,Insumos!$C$1:$C$764)</f>
        <v>M3</v>
      </c>
      <c r="F707" s="179">
        <v>0.02</v>
      </c>
      <c r="G707" s="177">
        <f>IF(B707="insumo",_xlfn.XLOOKUP($D707,Insumos!$B$1:$B$764,Insumos!$D$1:$D$764),"")</f>
        <v>425</v>
      </c>
      <c r="H707" s="177" cm="1">
        <f t="array" ref="H707">_xlfn.IFS(B707="Serviço",SUMIFS(H708:$H$3085,C708:$C$3085,$C707),B707="Insumo",F707*G707,B707="Etapa","")</f>
        <v>8.5</v>
      </c>
      <c r="I707" s="178"/>
    </row>
    <row r="708" spans="1:9" outlineLevel="1" collapsed="1" x14ac:dyDescent="0.25">
      <c r="A708" s="175">
        <f t="shared" si="22"/>
        <v>1</v>
      </c>
      <c r="B708" s="175" t="s">
        <v>109</v>
      </c>
      <c r="C708" s="175" t="str">
        <f t="shared" si="21"/>
        <v>Alvenaria de vedação de blocos de concreto de 09x19x39cm, com argamassa estabilizada</v>
      </c>
      <c r="D708" s="175" t="s">
        <v>539</v>
      </c>
      <c r="E708" s="176" t="s">
        <v>13</v>
      </c>
      <c r="F708" s="175"/>
      <c r="G708" s="177" t="str">
        <f>IF(B708="insumo",_xlfn.XLOOKUP($D708,Insumos!$B$1:$B$764,Insumos!$D$1:$D$764),"")</f>
        <v/>
      </c>
      <c r="H708" s="177" cm="1">
        <f t="array" ref="H708">_xlfn.IFS(B708="Serviço",SUMIFS(H709:$H$3085,C709:$C$3085,$C708),B708="Insumo",F708*G708,B708="Etapa","")</f>
        <v>46.300000000000004</v>
      </c>
      <c r="I708" s="178" t="s">
        <v>195</v>
      </c>
    </row>
    <row r="709" spans="1:9" hidden="1" outlineLevel="2" x14ac:dyDescent="0.25">
      <c r="A709" s="175">
        <f t="shared" si="22"/>
        <v>1</v>
      </c>
      <c r="B709" s="175" t="s">
        <v>327</v>
      </c>
      <c r="C709" s="175" t="str">
        <f t="shared" si="21"/>
        <v>Alvenaria de vedação de blocos de concreto de 09x19x39cm, com argamassa estabilizada</v>
      </c>
      <c r="D709" s="175" t="s">
        <v>540</v>
      </c>
      <c r="E709" s="176" t="str">
        <f>_xlfn.XLOOKUP(D709,Insumos!$B$1:$B$764,Insumos!$C$1:$C$764)</f>
        <v>UN</v>
      </c>
      <c r="F709" s="179">
        <f>ROUNDUP(1/(0.19*0.39),)</f>
        <v>14</v>
      </c>
      <c r="G709" s="177">
        <f>IF(B709="insumo",_xlfn.XLOOKUP($D709,Insumos!$B$1:$B$764,Insumos!$D$1:$D$764),"")</f>
        <v>2.7</v>
      </c>
      <c r="H709" s="177" cm="1">
        <f t="array" ref="H709">_xlfn.IFS(B709="Serviço",SUMIFS(H710:$H$3085,C710:$C$3085,$C709),B709="Insumo",F709*G709,B709="Etapa","")</f>
        <v>37.800000000000004</v>
      </c>
      <c r="I709" s="178"/>
    </row>
    <row r="710" spans="1:9" hidden="1" outlineLevel="2" x14ac:dyDescent="0.25">
      <c r="A710" s="175">
        <f t="shared" si="22"/>
        <v>23</v>
      </c>
      <c r="B710" s="175" t="s">
        <v>327</v>
      </c>
      <c r="C710" s="175" t="str">
        <f t="shared" ref="C710:C785" si="23">IF(B710="serviço",D710,C709)</f>
        <v>Alvenaria de vedação de blocos de concreto de 09x19x39cm, com argamassa estabilizada</v>
      </c>
      <c r="D710" s="175" t="s">
        <v>536</v>
      </c>
      <c r="E710" s="176" t="str">
        <f>_xlfn.XLOOKUP(D710,Insumos!$B$1:$B$764,Insumos!$C$1:$C$764)</f>
        <v>M3</v>
      </c>
      <c r="F710" s="179">
        <v>0.02</v>
      </c>
      <c r="G710" s="177">
        <f>IF(B710="insumo",_xlfn.XLOOKUP($D710,Insumos!$B$1:$B$764,Insumos!$D$1:$D$764),"")</f>
        <v>425</v>
      </c>
      <c r="H710" s="177" cm="1">
        <f t="array" ref="H710">_xlfn.IFS(B710="Serviço",SUMIFS(H711:$H$3085,C711:$C$3085,$C710),B710="Insumo",F710*G710,B710="Etapa","")</f>
        <v>8.5</v>
      </c>
      <c r="I710" s="178"/>
    </row>
    <row r="711" spans="1:9" outlineLevel="1" collapsed="1" x14ac:dyDescent="0.25">
      <c r="A711" s="175">
        <f t="shared" si="22"/>
        <v>1</v>
      </c>
      <c r="B711" s="175" t="s">
        <v>109</v>
      </c>
      <c r="C711" s="175" t="str">
        <f t="shared" si="23"/>
        <v>Alvenaria de vedação de blocos de concreto de 14x19x39cm, com argamassa estabilizada</v>
      </c>
      <c r="D711" s="175" t="s">
        <v>2824</v>
      </c>
      <c r="E711" s="176" t="s">
        <v>13</v>
      </c>
      <c r="F711" s="175"/>
      <c r="G711" s="177" t="str">
        <f>IF(B711="insumo",_xlfn.XLOOKUP($D711,Insumos!$B$1:$B$764,Insumos!$D$1:$D$764),"")</f>
        <v/>
      </c>
      <c r="H711" s="177" cm="1">
        <f t="array" ref="H711">_xlfn.IFS(B711="Serviço",SUMIFS(H712:$H$3085,C712:$C$3085,$C711),B711="Insumo",F711*G711,B711="Etapa","")</f>
        <v>49.1</v>
      </c>
      <c r="I711" s="178" t="s">
        <v>195</v>
      </c>
    </row>
    <row r="712" spans="1:9" hidden="1" outlineLevel="2" x14ac:dyDescent="0.25">
      <c r="A712" s="175">
        <f t="shared" si="22"/>
        <v>1</v>
      </c>
      <c r="B712" s="175" t="s">
        <v>327</v>
      </c>
      <c r="C712" s="175" t="str">
        <f t="shared" si="23"/>
        <v>Alvenaria de vedação de blocos de concreto de 14x19x39cm, com argamassa estabilizada</v>
      </c>
      <c r="D712" s="175" t="s">
        <v>2825</v>
      </c>
      <c r="E712" s="176" t="str">
        <f>_xlfn.XLOOKUP(D712,Insumos!$B$1:$B$764,Insumos!$C$1:$C$764)</f>
        <v>UN</v>
      </c>
      <c r="F712" s="179">
        <f>ROUNDUP(1/(0.19*0.39),)</f>
        <v>14</v>
      </c>
      <c r="G712" s="177">
        <f>IF(B712="insumo",_xlfn.XLOOKUP($D712,Insumos!$B$1:$B$764,Insumos!$D$1:$D$764),"")</f>
        <v>2.9</v>
      </c>
      <c r="H712" s="177" cm="1">
        <f t="array" ref="H712">_xlfn.IFS(B712="Serviço",SUMIFS(H713:$H$3085,C713:$C$3085,$C712),B712="Insumo",F712*G712,B712="Etapa","")</f>
        <v>40.6</v>
      </c>
      <c r="I712" s="178"/>
    </row>
    <row r="713" spans="1:9" hidden="1" outlineLevel="2" x14ac:dyDescent="0.25">
      <c r="A713" s="175">
        <f t="shared" si="22"/>
        <v>23</v>
      </c>
      <c r="B713" s="175" t="s">
        <v>327</v>
      </c>
      <c r="C713" s="175" t="str">
        <f t="shared" si="23"/>
        <v>Alvenaria de vedação de blocos de concreto de 14x19x39cm, com argamassa estabilizada</v>
      </c>
      <c r="D713" s="175" t="s">
        <v>536</v>
      </c>
      <c r="E713" s="176" t="str">
        <f>_xlfn.XLOOKUP(D713,Insumos!$B$1:$B$764,Insumos!$C$1:$C$764)</f>
        <v>M3</v>
      </c>
      <c r="F713" s="179">
        <v>0.02</v>
      </c>
      <c r="G713" s="177">
        <f>IF(B713="insumo",_xlfn.XLOOKUP($D713,Insumos!$B$1:$B$764,Insumos!$D$1:$D$764),"")</f>
        <v>425</v>
      </c>
      <c r="H713" s="177" cm="1">
        <f t="array" ref="H713">_xlfn.IFS(B713="Serviço",SUMIFS(H714:$H$3085,C714:$C$3085,$C713),B713="Insumo",F713*G713,B713="Etapa","")</f>
        <v>8.5</v>
      </c>
      <c r="I713" s="178"/>
    </row>
    <row r="714" spans="1:9" outlineLevel="1" collapsed="1" x14ac:dyDescent="0.25">
      <c r="A714" s="175">
        <f t="shared" si="22"/>
        <v>1</v>
      </c>
      <c r="B714" s="175" t="s">
        <v>109</v>
      </c>
      <c r="C714" s="175" t="str">
        <f t="shared" si="23"/>
        <v>Alvenaria de vedação de blocos de concreto de 19x19x39cm, com argamassa estabilizada</v>
      </c>
      <c r="D714" s="175" t="s">
        <v>2987</v>
      </c>
      <c r="E714" s="176" t="s">
        <v>13</v>
      </c>
      <c r="F714" s="175"/>
      <c r="G714" s="177" t="str">
        <f>IF(B714="insumo",_xlfn.XLOOKUP($D714,Insumos!$B$1:$B$764,Insumos!$D$1:$D$764),"")</f>
        <v/>
      </c>
      <c r="H714" s="177" cm="1">
        <f t="array" ref="H714">_xlfn.IFS(B714="Serviço",SUMIFS(H715:$H$3085,C715:$C$3085,$C714),B714="Insumo",F714*G714,B714="Etapa","")</f>
        <v>64.22</v>
      </c>
      <c r="I714" s="178" t="s">
        <v>195</v>
      </c>
    </row>
    <row r="715" spans="1:9" hidden="1" outlineLevel="2" x14ac:dyDescent="0.25">
      <c r="A715" s="175">
        <f t="shared" si="22"/>
        <v>1</v>
      </c>
      <c r="B715" s="175" t="s">
        <v>327</v>
      </c>
      <c r="C715" s="175" t="str">
        <f t="shared" si="23"/>
        <v>Alvenaria de vedação de blocos de concreto de 19x19x39cm, com argamassa estabilizada</v>
      </c>
      <c r="D715" s="175" t="s">
        <v>2988</v>
      </c>
      <c r="E715" s="176" t="str">
        <f>_xlfn.XLOOKUP(D715,Insumos!$B$1:$B$764,Insumos!$C$1:$C$764)</f>
        <v>UN</v>
      </c>
      <c r="F715" s="179">
        <f>ROUNDUP(1/(0.19*0.39),)</f>
        <v>14</v>
      </c>
      <c r="G715" s="177">
        <f>IF(B715="insumo",_xlfn.XLOOKUP($D715,Insumos!$B$1:$B$764,Insumos!$D$1:$D$764),"")</f>
        <v>3.98</v>
      </c>
      <c r="H715" s="177" cm="1">
        <f t="array" ref="H715">_xlfn.IFS(B715="Serviço",SUMIFS(H716:$H$3085,C716:$C$3085,$C715),B715="Insumo",F715*G715,B715="Etapa","")</f>
        <v>55.72</v>
      </c>
      <c r="I715" s="178"/>
    </row>
    <row r="716" spans="1:9" hidden="1" outlineLevel="2" x14ac:dyDescent="0.25">
      <c r="A716" s="175">
        <f t="shared" si="22"/>
        <v>23</v>
      </c>
      <c r="B716" s="175" t="s">
        <v>327</v>
      </c>
      <c r="C716" s="175" t="str">
        <f t="shared" si="23"/>
        <v>Alvenaria de vedação de blocos de concreto de 19x19x39cm, com argamassa estabilizada</v>
      </c>
      <c r="D716" s="175" t="s">
        <v>536</v>
      </c>
      <c r="E716" s="176" t="str">
        <f>_xlfn.XLOOKUP(D716,Insumos!$B$1:$B$764,Insumos!$C$1:$C$764)</f>
        <v>M3</v>
      </c>
      <c r="F716" s="179">
        <v>0.02</v>
      </c>
      <c r="G716" s="177">
        <f>IF(B716="insumo",_xlfn.XLOOKUP($D716,Insumos!$B$1:$B$764,Insumos!$D$1:$D$764),"")</f>
        <v>425</v>
      </c>
      <c r="H716" s="177" cm="1">
        <f t="array" ref="H716">_xlfn.IFS(B716="Serviço",SUMIFS(H729:$H$3085,C729:$C$3085,$C716),B716="Insumo",F716*G716,B716="Etapa","")</f>
        <v>8.5</v>
      </c>
      <c r="I716" s="178"/>
    </row>
    <row r="717" spans="1:9" outlineLevel="1" x14ac:dyDescent="0.25">
      <c r="A717" s="175">
        <f t="shared" si="22"/>
        <v>1</v>
      </c>
      <c r="B717" s="175" t="s">
        <v>109</v>
      </c>
      <c r="C717" s="175" t="str">
        <f>IF(B717="serviço",D717,C704)</f>
        <v>Alvenaria de vedação de Bloco concreto corta-fogo de 09x19x39cm, com argamassa estabilizada</v>
      </c>
      <c r="D717" s="175" t="s">
        <v>6958</v>
      </c>
      <c r="E717" s="176" t="s">
        <v>13</v>
      </c>
      <c r="F717" s="175"/>
      <c r="G717" s="177" t="str">
        <f>IF(B717="insumo",_xlfn.XLOOKUP($D717,Insumos!$B$1:$B$764,Insumos!$D$1:$D$764),"")</f>
        <v/>
      </c>
      <c r="H717" s="177" cm="1">
        <f t="array" ref="H717">_xlfn.IFS(B717="Serviço",SUMIFS(H718:$H$3085,C718:$C$3085,$C717),B717="Insumo",F717*G717,B717="Etapa","")</f>
        <v>71.5</v>
      </c>
      <c r="I717" s="178" t="s">
        <v>195</v>
      </c>
    </row>
    <row r="718" spans="1:9" outlineLevel="2" x14ac:dyDescent="0.25">
      <c r="A718" s="175">
        <f t="shared" si="22"/>
        <v>1</v>
      </c>
      <c r="B718" s="175" t="s">
        <v>327</v>
      </c>
      <c r="C718" s="175" t="str">
        <f t="shared" ref="C718:C728" si="24">IF(B718="serviço",D718,C717)</f>
        <v>Alvenaria de vedação de Bloco concreto corta-fogo de 09x19x39cm, com argamassa estabilizada</v>
      </c>
      <c r="D718" s="175" t="s">
        <v>6962</v>
      </c>
      <c r="E718" s="176" t="str">
        <f>_xlfn.XLOOKUP(D718,Insumos!$B$1:$B$764,Insumos!$C$1:$C$764)</f>
        <v>UN</v>
      </c>
      <c r="F718" s="179">
        <f>ROUNDUP(1/(0.19*0.39),)</f>
        <v>14</v>
      </c>
      <c r="G718" s="177">
        <f>IF(B718="insumo",_xlfn.XLOOKUP($D718,Insumos!$B$1:$B$764,Insumos!$D$1:$D$764),"")</f>
        <v>4.5</v>
      </c>
      <c r="H718" s="177" cm="1">
        <f t="array" ref="H718">_xlfn.IFS(B718="Serviço",SUMIFS(H719:$H$3085,C719:$C$3085,$C718),B718="Insumo",F718*G718,B718="Etapa","")</f>
        <v>63</v>
      </c>
      <c r="I718" s="178"/>
    </row>
    <row r="719" spans="1:9" outlineLevel="2" x14ac:dyDescent="0.25">
      <c r="A719" s="175">
        <f t="shared" si="22"/>
        <v>23</v>
      </c>
      <c r="B719" s="175" t="s">
        <v>327</v>
      </c>
      <c r="C719" s="175" t="str">
        <f t="shared" si="24"/>
        <v>Alvenaria de vedação de Bloco concreto corta-fogo de 09x19x39cm, com argamassa estabilizada</v>
      </c>
      <c r="D719" s="175" t="s">
        <v>536</v>
      </c>
      <c r="E719" s="176" t="str">
        <f>_xlfn.XLOOKUP(D719,Insumos!$B$1:$B$764,Insumos!$C$1:$C$764)</f>
        <v>M3</v>
      </c>
      <c r="F719" s="179">
        <v>0.02</v>
      </c>
      <c r="G719" s="177">
        <f>IF(B719="insumo",_xlfn.XLOOKUP($D719,Insumos!$B$1:$B$764,Insumos!$D$1:$D$764),"")</f>
        <v>425</v>
      </c>
      <c r="H719" s="177" cm="1">
        <f t="array" ref="H719">_xlfn.IFS(B719="Serviço",SUMIFS(H720:$H$3085,C720:$C$3085,$C719),B719="Insumo",F719*G719,B719="Etapa","")</f>
        <v>8.5</v>
      </c>
      <c r="I719" s="178"/>
    </row>
    <row r="720" spans="1:9" outlineLevel="1" x14ac:dyDescent="0.25">
      <c r="A720" s="175">
        <f t="shared" si="22"/>
        <v>1</v>
      </c>
      <c r="B720" s="175" t="s">
        <v>109</v>
      </c>
      <c r="C720" s="175" t="str">
        <f t="shared" si="24"/>
        <v>Alvenaria de vedação de Bloco concreto corta-fogo de 14x19x39cm, com argamassa estabilizada</v>
      </c>
      <c r="D720" s="175" t="s">
        <v>6959</v>
      </c>
      <c r="E720" s="176" t="s">
        <v>13</v>
      </c>
      <c r="F720" s="175"/>
      <c r="G720" s="177" t="str">
        <f>IF(B720="insumo",_xlfn.XLOOKUP($D720,Insumos!$B$1:$B$764,Insumos!$D$1:$D$764),"")</f>
        <v/>
      </c>
      <c r="H720" s="177" cm="1">
        <f t="array" ref="H720">_xlfn.IFS(B720="Serviço",SUMIFS(H721:$H$3085,C721:$C$3085,$C720),B720="Insumo",F720*G720,B720="Etapa","")</f>
        <v>99.5</v>
      </c>
      <c r="I720" s="178" t="s">
        <v>195</v>
      </c>
    </row>
    <row r="721" spans="1:9" outlineLevel="2" x14ac:dyDescent="0.25">
      <c r="A721" s="175">
        <f t="shared" si="22"/>
        <v>1</v>
      </c>
      <c r="B721" s="175" t="s">
        <v>327</v>
      </c>
      <c r="C721" s="175" t="str">
        <f t="shared" si="24"/>
        <v>Alvenaria de vedação de Bloco concreto corta-fogo de 14x19x39cm, com argamassa estabilizada</v>
      </c>
      <c r="D721" s="175" t="s">
        <v>6963</v>
      </c>
      <c r="E721" s="176" t="str">
        <f>_xlfn.XLOOKUP(D721,Insumos!$B$1:$B$764,Insumos!$C$1:$C$764)</f>
        <v>UN</v>
      </c>
      <c r="F721" s="179">
        <f>ROUNDUP(1/(0.19*0.39),)</f>
        <v>14</v>
      </c>
      <c r="G721" s="177">
        <f>IF(B721="insumo",_xlfn.XLOOKUP($D721,Insumos!$B$1:$B$764,Insumos!$D$1:$D$764),"")</f>
        <v>6.5</v>
      </c>
      <c r="H721" s="177" cm="1">
        <f t="array" ref="H721">_xlfn.IFS(B721="Serviço",SUMIFS(H722:$H$3085,C722:$C$3085,$C721),B721="Insumo",F721*G721,B721="Etapa","")</f>
        <v>91</v>
      </c>
      <c r="I721" s="178"/>
    </row>
    <row r="722" spans="1:9" outlineLevel="2" x14ac:dyDescent="0.25">
      <c r="A722" s="175">
        <f t="shared" si="22"/>
        <v>23</v>
      </c>
      <c r="B722" s="175" t="s">
        <v>327</v>
      </c>
      <c r="C722" s="175" t="str">
        <f t="shared" si="24"/>
        <v>Alvenaria de vedação de Bloco concreto corta-fogo de 14x19x39cm, com argamassa estabilizada</v>
      </c>
      <c r="D722" s="175" t="s">
        <v>536</v>
      </c>
      <c r="E722" s="176" t="str">
        <f>_xlfn.XLOOKUP(D722,Insumos!$B$1:$B$764,Insumos!$C$1:$C$764)</f>
        <v>M3</v>
      </c>
      <c r="F722" s="179">
        <v>0.02</v>
      </c>
      <c r="G722" s="177">
        <f>IF(B722="insumo",_xlfn.XLOOKUP($D722,Insumos!$B$1:$B$764,Insumos!$D$1:$D$764),"")</f>
        <v>425</v>
      </c>
      <c r="H722" s="177" cm="1">
        <f t="array" ref="H722">_xlfn.IFS(B722="Serviço",SUMIFS(H723:$H$3085,C723:$C$3085,$C722),B722="Insumo",F722*G722,B722="Etapa","")</f>
        <v>8.5</v>
      </c>
      <c r="I722" s="178"/>
    </row>
    <row r="723" spans="1:9" outlineLevel="1" x14ac:dyDescent="0.25">
      <c r="A723" s="175">
        <f t="shared" si="22"/>
        <v>1</v>
      </c>
      <c r="B723" s="175" t="s">
        <v>109</v>
      </c>
      <c r="C723" s="175" t="str">
        <f t="shared" si="24"/>
        <v>Alvenaria de vedação de Bloco concreto corta-fogo com densidade acustica reforçada de 14x19x39cm, com argamassa estabilizada</v>
      </c>
      <c r="D723" s="175" t="s">
        <v>6960</v>
      </c>
      <c r="E723" s="176" t="s">
        <v>13</v>
      </c>
      <c r="F723" s="175"/>
      <c r="G723" s="177" t="str">
        <f>IF(B723="insumo",_xlfn.XLOOKUP($D723,Insumos!$B$1:$B$764,Insumos!$D$1:$D$764),"")</f>
        <v/>
      </c>
      <c r="H723" s="177" cm="1">
        <f t="array" ref="H723">_xlfn.IFS(B723="Serviço",SUMIFS(H724:$H$3085,C724:$C$3085,$C723),B723="Insumo",F723*G723,B723="Etapa","")</f>
        <v>148.5</v>
      </c>
      <c r="I723" s="178" t="s">
        <v>195</v>
      </c>
    </row>
    <row r="724" spans="1:9" outlineLevel="2" x14ac:dyDescent="0.25">
      <c r="A724" s="175">
        <f t="shared" si="22"/>
        <v>1</v>
      </c>
      <c r="B724" s="175" t="s">
        <v>327</v>
      </c>
      <c r="C724" s="175" t="str">
        <f t="shared" si="24"/>
        <v>Alvenaria de vedação de Bloco concreto corta-fogo com densidade acustica reforçada de 14x19x39cm, com argamassa estabilizada</v>
      </c>
      <c r="D724" s="175" t="s">
        <v>6964</v>
      </c>
      <c r="E724" s="176" t="str">
        <f>_xlfn.XLOOKUP(D724,Insumos!$B$1:$B$764,Insumos!$C$1:$C$764)</f>
        <v>UN</v>
      </c>
      <c r="F724" s="179">
        <f>ROUNDUP(1/(0.19*0.39),)</f>
        <v>14</v>
      </c>
      <c r="G724" s="177">
        <f>IF(B724="insumo",_xlfn.XLOOKUP($D724,Insumos!$B$1:$B$764,Insumos!$D$1:$D$764),"")</f>
        <v>10</v>
      </c>
      <c r="H724" s="177" cm="1">
        <f t="array" ref="H724">_xlfn.IFS(B724="Serviço",SUMIFS(H725:$H$3085,C725:$C$3085,$C724),B724="Insumo",F724*G724,B724="Etapa","")</f>
        <v>140</v>
      </c>
      <c r="I724" s="178"/>
    </row>
    <row r="725" spans="1:9" outlineLevel="2" x14ac:dyDescent="0.25">
      <c r="A725" s="175">
        <f t="shared" si="22"/>
        <v>23</v>
      </c>
      <c r="B725" s="175" t="s">
        <v>327</v>
      </c>
      <c r="C725" s="175" t="str">
        <f t="shared" si="24"/>
        <v>Alvenaria de vedação de Bloco concreto corta-fogo com densidade acustica reforçada de 14x19x39cm, com argamassa estabilizada</v>
      </c>
      <c r="D725" s="175" t="s">
        <v>536</v>
      </c>
      <c r="E725" s="176" t="str">
        <f>_xlfn.XLOOKUP(D725,Insumos!$B$1:$B$764,Insumos!$C$1:$C$764)</f>
        <v>M3</v>
      </c>
      <c r="F725" s="179">
        <v>0.02</v>
      </c>
      <c r="G725" s="177">
        <f>IF(B725="insumo",_xlfn.XLOOKUP($D725,Insumos!$B$1:$B$764,Insumos!$D$1:$D$764),"")</f>
        <v>425</v>
      </c>
      <c r="H725" s="177" cm="1">
        <f t="array" ref="H725">_xlfn.IFS(B725="Serviço",SUMIFS(H726:$H$3085,C726:$C$3085,$C725),B725="Insumo",F725*G725,B725="Etapa","")</f>
        <v>8.5</v>
      </c>
      <c r="I725" s="178"/>
    </row>
    <row r="726" spans="1:9" outlineLevel="1" x14ac:dyDescent="0.25">
      <c r="A726" s="175">
        <f t="shared" si="22"/>
        <v>1</v>
      </c>
      <c r="B726" s="175" t="s">
        <v>109</v>
      </c>
      <c r="C726" s="175" t="str">
        <f t="shared" si="24"/>
        <v>Alvenaria de vedação de Bloco concreto corta-fogo de 19x19x39cm, com argamassa estabilizada</v>
      </c>
      <c r="D726" s="175" t="s">
        <v>6961</v>
      </c>
      <c r="E726" s="176" t="s">
        <v>13</v>
      </c>
      <c r="F726" s="175"/>
      <c r="G726" s="177" t="str">
        <f>IF(B726="insumo",_xlfn.XLOOKUP($D726,Insumos!$B$1:$B$764,Insumos!$D$1:$D$764),"")</f>
        <v/>
      </c>
      <c r="H726" s="177" cm="1">
        <f t="array" ref="H726">_xlfn.IFS(B726="Serviço",SUMIFS(H727:$H$3085,C727:$C$3085,$C726),B726="Insumo",F726*G726,B726="Etapa","")</f>
        <v>141.5</v>
      </c>
      <c r="I726" s="178" t="s">
        <v>195</v>
      </c>
    </row>
    <row r="727" spans="1:9" outlineLevel="2" x14ac:dyDescent="0.25">
      <c r="A727" s="175">
        <f t="shared" si="22"/>
        <v>1</v>
      </c>
      <c r="B727" s="175" t="s">
        <v>327</v>
      </c>
      <c r="C727" s="175" t="str">
        <f t="shared" si="24"/>
        <v>Alvenaria de vedação de Bloco concreto corta-fogo de 19x19x39cm, com argamassa estabilizada</v>
      </c>
      <c r="D727" s="175" t="s">
        <v>6965</v>
      </c>
      <c r="E727" s="176" t="str">
        <f>_xlfn.XLOOKUP(D727,Insumos!$B$1:$B$764,Insumos!$C$1:$C$764)</f>
        <v>UN</v>
      </c>
      <c r="F727" s="179">
        <f>ROUNDUP(1/(0.19*0.39),)</f>
        <v>14</v>
      </c>
      <c r="G727" s="177">
        <f>IF(B727="insumo",_xlfn.XLOOKUP($D727,Insumos!$B$1:$B$764,Insumos!$D$1:$D$764),"")</f>
        <v>9.5</v>
      </c>
      <c r="H727" s="177" cm="1">
        <f t="array" ref="H727">_xlfn.IFS(B727="Serviço",SUMIFS(H728:$H$3085,C728:$C$3085,$C727),B727="Insumo",F727*G727,B727="Etapa","")</f>
        <v>133</v>
      </c>
      <c r="I727" s="178"/>
    </row>
    <row r="728" spans="1:9" outlineLevel="2" x14ac:dyDescent="0.25">
      <c r="A728" s="175">
        <f t="shared" si="22"/>
        <v>23</v>
      </c>
      <c r="B728" s="175" t="s">
        <v>327</v>
      </c>
      <c r="C728" s="175" t="str">
        <f t="shared" si="24"/>
        <v>Alvenaria de vedação de Bloco concreto corta-fogo de 19x19x39cm, com argamassa estabilizada</v>
      </c>
      <c r="D728" s="175" t="s">
        <v>536</v>
      </c>
      <c r="E728" s="176" t="str">
        <f>_xlfn.XLOOKUP(D728,Insumos!$B$1:$B$764,Insumos!$C$1:$C$764)</f>
        <v>M3</v>
      </c>
      <c r="F728" s="179">
        <v>0.02</v>
      </c>
      <c r="G728" s="177">
        <f>IF(B728="insumo",_xlfn.XLOOKUP($D728,Insumos!$B$1:$B$764,Insumos!$D$1:$D$764),"")</f>
        <v>425</v>
      </c>
      <c r="H728" s="177" cm="1">
        <f t="array" ref="H728">_xlfn.IFS(B728="Serviço",SUMIFS(H729:$H$3085,C729:$C$3085,$C728),B728="Insumo",F728*G728,B728="Etapa","")</f>
        <v>8.5</v>
      </c>
      <c r="I728" s="178"/>
    </row>
    <row r="729" spans="1:9" outlineLevel="1" x14ac:dyDescent="0.25">
      <c r="A729" s="175">
        <f t="shared" si="22"/>
        <v>1</v>
      </c>
      <c r="B729" s="175" t="s">
        <v>109</v>
      </c>
      <c r="C729" s="175" t="str">
        <f>IF(B729="serviço",D729,C716)</f>
        <v>Alvenaria de vedação de Bloco cerâmico corta-fogo de 09x19x39cm, com argamassa estabilizada</v>
      </c>
      <c r="D729" s="175" t="s">
        <v>2997</v>
      </c>
      <c r="E729" s="176" t="s">
        <v>13</v>
      </c>
      <c r="F729" s="175"/>
      <c r="G729" s="177" t="str">
        <f>IF(B729="insumo",_xlfn.XLOOKUP($D729,Insumos!$B$1:$B$764,Insumos!$D$1:$D$764),"")</f>
        <v/>
      </c>
      <c r="H729" s="177" cm="1">
        <f t="array" ref="H729">_xlfn.IFS(B729="Serviço",SUMIFS(H730:$H$3085,C730:$C$3085,$C729),B729="Insumo",F729*G729,B729="Etapa","")</f>
        <v>75.7</v>
      </c>
      <c r="I729" s="178" t="s">
        <v>195</v>
      </c>
    </row>
    <row r="730" spans="1:9" outlineLevel="2" x14ac:dyDescent="0.25">
      <c r="A730" s="175">
        <f t="shared" si="22"/>
        <v>1</v>
      </c>
      <c r="B730" s="175" t="s">
        <v>327</v>
      </c>
      <c r="C730" s="175" t="str">
        <f t="shared" si="23"/>
        <v>Alvenaria de vedação de Bloco cerâmico corta-fogo de 09x19x39cm, com argamassa estabilizada</v>
      </c>
      <c r="D730" s="175" t="s">
        <v>3000</v>
      </c>
      <c r="E730" s="176" t="str">
        <f>_xlfn.XLOOKUP(D730,Insumos!$B$1:$B$764,Insumos!$C$1:$C$764)</f>
        <v>UN</v>
      </c>
      <c r="F730" s="179">
        <f>ROUNDUP(1/(0.19*0.39),)</f>
        <v>14</v>
      </c>
      <c r="G730" s="177">
        <f>IF(B730="insumo",_xlfn.XLOOKUP($D730,Insumos!$B$1:$B$764,Insumos!$D$1:$D$764),"")</f>
        <v>4.8</v>
      </c>
      <c r="H730" s="177" cm="1">
        <f t="array" ref="H730">_xlfn.IFS(B730="Serviço",SUMIFS(H731:$H$3085,C731:$C$3085,$C730),B730="Insumo",F730*G730,B730="Etapa","")</f>
        <v>67.2</v>
      </c>
      <c r="I730" s="178"/>
    </row>
    <row r="731" spans="1:9" outlineLevel="2" x14ac:dyDescent="0.25">
      <c r="A731" s="175">
        <f t="shared" si="22"/>
        <v>23</v>
      </c>
      <c r="B731" s="175" t="s">
        <v>327</v>
      </c>
      <c r="C731" s="175" t="str">
        <f t="shared" si="23"/>
        <v>Alvenaria de vedação de Bloco cerâmico corta-fogo de 09x19x39cm, com argamassa estabilizada</v>
      </c>
      <c r="D731" s="175" t="s">
        <v>536</v>
      </c>
      <c r="E731" s="176" t="str">
        <f>_xlfn.XLOOKUP(D731,Insumos!$B$1:$B$764,Insumos!$C$1:$C$764)</f>
        <v>M3</v>
      </c>
      <c r="F731" s="179">
        <v>0.02</v>
      </c>
      <c r="G731" s="177">
        <f>IF(B731="insumo",_xlfn.XLOOKUP($D731,Insumos!$B$1:$B$764,Insumos!$D$1:$D$764),"")</f>
        <v>425</v>
      </c>
      <c r="H731" s="177" cm="1">
        <f t="array" ref="H731">_xlfn.IFS(B731="Serviço",SUMIFS(H732:$H$3085,C732:$C$3085,$C731),B731="Insumo",F731*G731,B731="Etapa","")</f>
        <v>8.5</v>
      </c>
      <c r="I731" s="178"/>
    </row>
    <row r="732" spans="1:9" outlineLevel="1" collapsed="1" x14ac:dyDescent="0.25">
      <c r="A732" s="175">
        <f t="shared" si="22"/>
        <v>1</v>
      </c>
      <c r="B732" s="175" t="s">
        <v>109</v>
      </c>
      <c r="C732" s="175" t="str">
        <f t="shared" si="23"/>
        <v>Alvenaria de vedação de Bloco cerâmico corta-fogo de 14x19x39cm, com argamassa estabilizada</v>
      </c>
      <c r="D732" s="175" t="s">
        <v>2998</v>
      </c>
      <c r="E732" s="176" t="s">
        <v>13</v>
      </c>
      <c r="F732" s="175"/>
      <c r="G732" s="177" t="str">
        <f>IF(B732="insumo",_xlfn.XLOOKUP($D732,Insumos!$B$1:$B$764,Insumos!$D$1:$D$764),"")</f>
        <v/>
      </c>
      <c r="H732" s="177" cm="1">
        <f t="array" ref="H732">_xlfn.IFS(B732="Serviço",SUMIFS(H733:$H$3085,C733:$C$3085,$C732),B732="Insumo",F732*G732,B732="Etapa","")</f>
        <v>103.7</v>
      </c>
      <c r="I732" s="178" t="s">
        <v>195</v>
      </c>
    </row>
    <row r="733" spans="1:9" hidden="1" outlineLevel="2" x14ac:dyDescent="0.25">
      <c r="A733" s="175">
        <f t="shared" si="22"/>
        <v>1</v>
      </c>
      <c r="B733" s="175" t="s">
        <v>327</v>
      </c>
      <c r="C733" s="175" t="str">
        <f t="shared" si="23"/>
        <v>Alvenaria de vedação de Bloco cerâmico corta-fogo de 14x19x39cm, com argamassa estabilizada</v>
      </c>
      <c r="D733" s="175" t="s">
        <v>3001</v>
      </c>
      <c r="E733" s="176" t="str">
        <f>_xlfn.XLOOKUP(D733,Insumos!$B$1:$B$764,Insumos!$C$1:$C$764)</f>
        <v>UN</v>
      </c>
      <c r="F733" s="179">
        <f>ROUNDUP(1/(0.19*0.39),)</f>
        <v>14</v>
      </c>
      <c r="G733" s="177">
        <f>IF(B733="insumo",_xlfn.XLOOKUP($D733,Insumos!$B$1:$B$764,Insumos!$D$1:$D$764),"")</f>
        <v>6.8</v>
      </c>
      <c r="H733" s="177" cm="1">
        <f t="array" ref="H733">_xlfn.IFS(B733="Serviço",SUMIFS(H734:$H$3085,C734:$C$3085,$C733),B733="Insumo",F733*G733,B733="Etapa","")</f>
        <v>95.2</v>
      </c>
      <c r="I733" s="178"/>
    </row>
    <row r="734" spans="1:9" hidden="1" outlineLevel="2" x14ac:dyDescent="0.25">
      <c r="A734" s="175">
        <f t="shared" si="22"/>
        <v>23</v>
      </c>
      <c r="B734" s="175" t="s">
        <v>327</v>
      </c>
      <c r="C734" s="175" t="str">
        <f t="shared" si="23"/>
        <v>Alvenaria de vedação de Bloco cerâmico corta-fogo de 14x19x39cm, com argamassa estabilizada</v>
      </c>
      <c r="D734" s="175" t="s">
        <v>536</v>
      </c>
      <c r="E734" s="176" t="str">
        <f>_xlfn.XLOOKUP(D734,Insumos!$B$1:$B$764,Insumos!$C$1:$C$764)</f>
        <v>M3</v>
      </c>
      <c r="F734" s="179">
        <v>0.02</v>
      </c>
      <c r="G734" s="177">
        <f>IF(B734="insumo",_xlfn.XLOOKUP($D734,Insumos!$B$1:$B$764,Insumos!$D$1:$D$764),"")</f>
        <v>425</v>
      </c>
      <c r="H734" s="177" cm="1">
        <f t="array" ref="H734">_xlfn.IFS(B734="Serviço",SUMIFS(H735:$H$3085,C735:$C$3085,$C734),B734="Insumo",F734*G734,B734="Etapa","")</f>
        <v>8.5</v>
      </c>
      <c r="I734" s="178"/>
    </row>
    <row r="735" spans="1:9" outlineLevel="1" collapsed="1" x14ac:dyDescent="0.25">
      <c r="A735" s="175">
        <f t="shared" si="22"/>
        <v>1</v>
      </c>
      <c r="B735" s="175" t="s">
        <v>109</v>
      </c>
      <c r="C735" s="175" t="str">
        <f t="shared" si="23"/>
        <v>Alvenaria de vedação de Bloco cerâmico corta-fogo com densidade acustica reforçada de 14x19x39cm, com argamassa estabilizada</v>
      </c>
      <c r="D735" s="175" t="s">
        <v>3004</v>
      </c>
      <c r="E735" s="176" t="s">
        <v>13</v>
      </c>
      <c r="F735" s="175"/>
      <c r="G735" s="177" t="str">
        <f>IF(B735="insumo",_xlfn.XLOOKUP($D735,Insumos!$B$1:$B$764,Insumos!$D$1:$D$764),"")</f>
        <v/>
      </c>
      <c r="H735" s="177" cm="1">
        <f t="array" ref="H735">_xlfn.IFS(B735="Serviço",SUMIFS(H736:$H$3085,C736:$C$3085,$C735),B735="Insumo",F735*G735,B735="Etapa","")</f>
        <v>145.70000000000002</v>
      </c>
      <c r="I735" s="178" t="s">
        <v>195</v>
      </c>
    </row>
    <row r="736" spans="1:9" hidden="1" outlineLevel="2" x14ac:dyDescent="0.25">
      <c r="A736" s="175">
        <f t="shared" si="22"/>
        <v>1</v>
      </c>
      <c r="B736" s="175" t="s">
        <v>327</v>
      </c>
      <c r="C736" s="175" t="str">
        <f t="shared" si="23"/>
        <v>Alvenaria de vedação de Bloco cerâmico corta-fogo com densidade acustica reforçada de 14x19x39cm, com argamassa estabilizada</v>
      </c>
      <c r="D736" s="175" t="s">
        <v>3003</v>
      </c>
      <c r="E736" s="176" t="str">
        <f>_xlfn.XLOOKUP(D736,Insumos!$B$1:$B$764,Insumos!$C$1:$C$764)</f>
        <v>UN</v>
      </c>
      <c r="F736" s="179">
        <f>ROUNDUP(1/(0.19*0.39),)</f>
        <v>14</v>
      </c>
      <c r="G736" s="177">
        <f>IF(B736="insumo",_xlfn.XLOOKUP($D736,Insumos!$B$1:$B$764,Insumos!$D$1:$D$764),"")</f>
        <v>9.8000000000000007</v>
      </c>
      <c r="H736" s="177" cm="1">
        <f t="array" ref="H736">_xlfn.IFS(B736="Serviço",SUMIFS(H737:$H$3085,C737:$C$3085,$C736),B736="Insumo",F736*G736,B736="Etapa","")</f>
        <v>137.20000000000002</v>
      </c>
      <c r="I736" s="178"/>
    </row>
    <row r="737" spans="1:9" hidden="1" outlineLevel="2" x14ac:dyDescent="0.25">
      <c r="A737" s="175">
        <f t="shared" si="22"/>
        <v>23</v>
      </c>
      <c r="B737" s="175" t="s">
        <v>327</v>
      </c>
      <c r="C737" s="175" t="str">
        <f t="shared" si="23"/>
        <v>Alvenaria de vedação de Bloco cerâmico corta-fogo com densidade acustica reforçada de 14x19x39cm, com argamassa estabilizada</v>
      </c>
      <c r="D737" s="175" t="s">
        <v>536</v>
      </c>
      <c r="E737" s="176" t="str">
        <f>_xlfn.XLOOKUP(D737,Insumos!$B$1:$B$764,Insumos!$C$1:$C$764)</f>
        <v>M3</v>
      </c>
      <c r="F737" s="179">
        <v>0.02</v>
      </c>
      <c r="G737" s="177">
        <f>IF(B737="insumo",_xlfn.XLOOKUP($D737,Insumos!$B$1:$B$764,Insumos!$D$1:$D$764),"")</f>
        <v>425</v>
      </c>
      <c r="H737" s="177" cm="1">
        <f t="array" ref="H737">_xlfn.IFS(B737="Serviço",SUMIFS(H738:$H$3085,C738:$C$3085,$C737),B737="Insumo",F737*G737,B737="Etapa","")</f>
        <v>8.5</v>
      </c>
      <c r="I737" s="178"/>
    </row>
    <row r="738" spans="1:9" outlineLevel="1" x14ac:dyDescent="0.25">
      <c r="A738" s="175">
        <f t="shared" si="22"/>
        <v>1</v>
      </c>
      <c r="B738" s="175" t="s">
        <v>109</v>
      </c>
      <c r="C738" s="175" t="str">
        <f t="shared" si="23"/>
        <v>Alvenaria de vedação de Bloco cerâmico corta-fogo de 19x19x39cm, com argamassa estabilizada</v>
      </c>
      <c r="D738" s="175" t="s">
        <v>2999</v>
      </c>
      <c r="E738" s="176" t="s">
        <v>13</v>
      </c>
      <c r="F738" s="175"/>
      <c r="G738" s="177" t="str">
        <f>IF(B738="insumo",_xlfn.XLOOKUP($D738,Insumos!$B$1:$B$764,Insumos!$D$1:$D$764),"")</f>
        <v/>
      </c>
      <c r="H738" s="177" cm="1">
        <f t="array" ref="H738">_xlfn.IFS(B738="Serviço",SUMIFS(H739:$H$3085,C739:$C$3085,$C738),B738="Insumo",F738*G738,B738="Etapa","")</f>
        <v>127.5</v>
      </c>
      <c r="I738" s="178" t="s">
        <v>195</v>
      </c>
    </row>
    <row r="739" spans="1:9" outlineLevel="2" x14ac:dyDescent="0.25">
      <c r="A739" s="175">
        <f t="shared" si="22"/>
        <v>1</v>
      </c>
      <c r="B739" s="175" t="s">
        <v>327</v>
      </c>
      <c r="C739" s="175" t="str">
        <f t="shared" si="23"/>
        <v>Alvenaria de vedação de Bloco cerâmico corta-fogo de 19x19x39cm, com argamassa estabilizada</v>
      </c>
      <c r="D739" s="175" t="s">
        <v>3002</v>
      </c>
      <c r="E739" s="176" t="str">
        <f>_xlfn.XLOOKUP(D739,Insumos!$B$1:$B$764,Insumos!$C$1:$C$764)</f>
        <v>UN</v>
      </c>
      <c r="F739" s="179">
        <f>ROUNDUP(1/(0.19*0.39),)</f>
        <v>14</v>
      </c>
      <c r="G739" s="177">
        <f>IF(B739="insumo",_xlfn.XLOOKUP($D739,Insumos!$B$1:$B$764,Insumos!$D$1:$D$764),"")</f>
        <v>8.5</v>
      </c>
      <c r="H739" s="177" cm="1">
        <f t="array" ref="H739">_xlfn.IFS(B739="Serviço",SUMIFS(H740:$H$3085,C740:$C$3085,$C739),B739="Insumo",F739*G739,B739="Etapa","")</f>
        <v>119</v>
      </c>
      <c r="I739" s="178"/>
    </row>
    <row r="740" spans="1:9" outlineLevel="2" x14ac:dyDescent="0.25">
      <c r="A740" s="175">
        <f t="shared" si="22"/>
        <v>23</v>
      </c>
      <c r="B740" s="175" t="s">
        <v>327</v>
      </c>
      <c r="C740" s="175" t="str">
        <f t="shared" si="23"/>
        <v>Alvenaria de vedação de Bloco cerâmico corta-fogo de 19x19x39cm, com argamassa estabilizada</v>
      </c>
      <c r="D740" s="175" t="s">
        <v>536</v>
      </c>
      <c r="E740" s="176" t="str">
        <f>_xlfn.XLOOKUP(D740,Insumos!$B$1:$B$764,Insumos!$C$1:$C$764)</f>
        <v>M3</v>
      </c>
      <c r="F740" s="179">
        <v>0.02</v>
      </c>
      <c r="G740" s="177">
        <f>IF(B740="insumo",_xlfn.XLOOKUP($D740,Insumos!$B$1:$B$764,Insumos!$D$1:$D$764),"")</f>
        <v>425</v>
      </c>
      <c r="H740" s="177" cm="1">
        <f t="array" ref="H740">_xlfn.IFS(B740="Serviço",SUMIFS(H741:$H$3085,C741:$C$3085,$C740),B740="Insumo",F740*G740,B740="Etapa","")</f>
        <v>8.5</v>
      </c>
      <c r="I740" s="178"/>
    </row>
    <row r="741" spans="1:9" outlineLevel="1" collapsed="1" x14ac:dyDescent="0.25">
      <c r="A741" s="175">
        <f t="shared" si="22"/>
        <v>1</v>
      </c>
      <c r="B741" s="175" t="s">
        <v>109</v>
      </c>
      <c r="C741" s="175" t="str">
        <f t="shared" si="23"/>
        <v>Alvenaria de vedacao de blocos ceramicos maciço de 5,5 cm x 11,5 cm x 24 cm (espessura 5cm) com argamassa industrializada de assentamento</v>
      </c>
      <c r="D741" s="175" t="s">
        <v>541</v>
      </c>
      <c r="E741" s="176" t="s">
        <v>13</v>
      </c>
      <c r="F741" s="175"/>
      <c r="G741" s="177" t="str">
        <f>IF(B741="insumo",_xlfn.XLOOKUP($D741,Insumos!$B$1:$B$764,Insumos!$D$1:$D$764),"")</f>
        <v/>
      </c>
      <c r="H741" s="177" cm="1">
        <f t="array" ref="H741">_xlfn.IFS(B741="Serviço",SUMIFS(H742:$H$3085,C742:$C$3085,$C741),B741="Insumo",F741*G741,B741="Etapa","")</f>
        <v>47.35</v>
      </c>
      <c r="I741" s="178" t="s">
        <v>195</v>
      </c>
    </row>
    <row r="742" spans="1:9" hidden="1" outlineLevel="2" x14ac:dyDescent="0.25">
      <c r="A742" s="175">
        <f t="shared" si="22"/>
        <v>1</v>
      </c>
      <c r="B742" s="175" t="s">
        <v>327</v>
      </c>
      <c r="C742" s="175" t="str">
        <f t="shared" si="23"/>
        <v>Alvenaria de vedacao de blocos ceramicos maciço de 5,5 cm x 11,5 cm x 24 cm (espessura 5cm) com argamassa industrializada de assentamento</v>
      </c>
      <c r="D742" s="175" t="s">
        <v>542</v>
      </c>
      <c r="E742" s="176" t="str">
        <f>_xlfn.XLOOKUP(D742,Insumos!$B$1:$B$764,Insumos!$C$1:$C$764)</f>
        <v>UN</v>
      </c>
      <c r="F742" s="179">
        <f>ROUNDUP(1/(0.115*0.24),)</f>
        <v>37</v>
      </c>
      <c r="G742" s="177">
        <f>IF(B742="insumo",_xlfn.XLOOKUP($D742,Insumos!$B$1:$B$764,Insumos!$D$1:$D$764),"")</f>
        <v>1.05</v>
      </c>
      <c r="H742" s="177" cm="1">
        <f t="array" ref="H742">_xlfn.IFS(B742="Serviço",SUMIFS(H743:$H$3085,C743:$C$3085,$C742),B742="Insumo",F742*G742,B742="Etapa","")</f>
        <v>38.85</v>
      </c>
      <c r="I742" s="178"/>
    </row>
    <row r="743" spans="1:9" hidden="1" outlineLevel="2" x14ac:dyDescent="0.25">
      <c r="A743" s="175">
        <f t="shared" si="22"/>
        <v>23</v>
      </c>
      <c r="B743" s="175" t="s">
        <v>327</v>
      </c>
      <c r="C743" s="175" t="str">
        <f t="shared" si="23"/>
        <v>Alvenaria de vedacao de blocos ceramicos maciço de 5,5 cm x 11,5 cm x 24 cm (espessura 5cm) com argamassa industrializada de assentamento</v>
      </c>
      <c r="D743" s="175" t="s">
        <v>536</v>
      </c>
      <c r="E743" s="176" t="str">
        <f>_xlfn.XLOOKUP(D743,Insumos!$B$1:$B$764,Insumos!$C$1:$C$764)</f>
        <v>M3</v>
      </c>
      <c r="F743" s="179">
        <v>0.02</v>
      </c>
      <c r="G743" s="177">
        <f>IF(B743="insumo",_xlfn.XLOOKUP($D743,Insumos!$B$1:$B$764,Insumos!$D$1:$D$764),"")</f>
        <v>425</v>
      </c>
      <c r="H743" s="177" cm="1">
        <f t="array" ref="H743">_xlfn.IFS(B743="Serviço",SUMIFS(H744:$H$3085,C744:$C$3085,$C743),B743="Insumo",F743*G743,B743="Etapa","")</f>
        <v>8.5</v>
      </c>
      <c r="I743" s="178"/>
    </row>
    <row r="744" spans="1:9" outlineLevel="1" collapsed="1" x14ac:dyDescent="0.25">
      <c r="A744" s="175">
        <f t="shared" si="22"/>
        <v>1</v>
      </c>
      <c r="B744" s="175" t="s">
        <v>109</v>
      </c>
      <c r="C744" s="175" t="str">
        <f t="shared" si="23"/>
        <v>Alvenaria de vedacao de blocos ceramicos furados na horizontal de 9x19x29cm (espessura 9cm) com argamassa industrializada de assentamento</v>
      </c>
      <c r="D744" s="175" t="s">
        <v>543</v>
      </c>
      <c r="E744" s="176" t="s">
        <v>13</v>
      </c>
      <c r="F744" s="175"/>
      <c r="G744" s="177" t="str">
        <f>IF(B744="insumo",_xlfn.XLOOKUP($D744,Insumos!$B$1:$B$764,Insumos!$D$1:$D$764),"")</f>
        <v/>
      </c>
      <c r="H744" s="177" cm="1">
        <f t="array" ref="H744">_xlfn.IFS(B744="Serviço",SUMIFS(H745:$H$3085,C745:$C$3085,$C744),B744="Insumo",F744*G744,B744="Etapa","")</f>
        <v>30.919999999999998</v>
      </c>
      <c r="I744" s="178" t="s">
        <v>195</v>
      </c>
    </row>
    <row r="745" spans="1:9" hidden="1" outlineLevel="2" x14ac:dyDescent="0.25">
      <c r="A745" s="175">
        <f t="shared" si="22"/>
        <v>1</v>
      </c>
      <c r="B745" s="175" t="s">
        <v>327</v>
      </c>
      <c r="C745" s="175" t="str">
        <f t="shared" si="23"/>
        <v>Alvenaria de vedacao de blocos ceramicos furados na horizontal de 9x19x29cm (espessura 9cm) com argamassa industrializada de assentamento</v>
      </c>
      <c r="D745" s="175" t="s">
        <v>544</v>
      </c>
      <c r="E745" s="176" t="str">
        <f>_xlfn.XLOOKUP(D745,Insumos!$B$1:$B$764,Insumos!$C$1:$C$764)</f>
        <v>UN</v>
      </c>
      <c r="F745" s="179">
        <f>ROUNDUP(1/(0.19*0.29),)</f>
        <v>19</v>
      </c>
      <c r="G745" s="177">
        <f>IF(B745="insumo",_xlfn.XLOOKUP($D745,Insumos!$B$1:$B$764,Insumos!$D$1:$D$764),"")</f>
        <v>1.18</v>
      </c>
      <c r="H745" s="177" cm="1">
        <f t="array" ref="H745">_xlfn.IFS(B745="Serviço",SUMIFS(H746:$H$3085,C746:$C$3085,$C745),B745="Insumo",F745*G745,B745="Etapa","")</f>
        <v>22.419999999999998</v>
      </c>
      <c r="I745" s="178"/>
    </row>
    <row r="746" spans="1:9" hidden="1" outlineLevel="2" x14ac:dyDescent="0.25">
      <c r="A746" s="175">
        <f t="shared" si="22"/>
        <v>23</v>
      </c>
      <c r="B746" s="175" t="s">
        <v>327</v>
      </c>
      <c r="C746" s="175" t="str">
        <f t="shared" si="23"/>
        <v>Alvenaria de vedacao de blocos ceramicos furados na horizontal de 9x19x29cm (espessura 9cm) com argamassa industrializada de assentamento</v>
      </c>
      <c r="D746" s="175" t="s">
        <v>536</v>
      </c>
      <c r="E746" s="176" t="str">
        <f>_xlfn.XLOOKUP(D746,Insumos!$B$1:$B$764,Insumos!$C$1:$C$764)</f>
        <v>M3</v>
      </c>
      <c r="F746" s="179">
        <v>0.02</v>
      </c>
      <c r="G746" s="177">
        <f>IF(B746="insumo",_xlfn.XLOOKUP($D746,Insumos!$B$1:$B$764,Insumos!$D$1:$D$764),"")</f>
        <v>425</v>
      </c>
      <c r="H746" s="177" cm="1">
        <f t="array" ref="H746">_xlfn.IFS(B746="Serviço",SUMIFS(H747:$H$3085,C747:$C$3085,$C746),B746="Insumo",F746*G746,B746="Etapa","")</f>
        <v>8.5</v>
      </c>
      <c r="I746" s="178"/>
    </row>
    <row r="747" spans="1:9" outlineLevel="1" collapsed="1" x14ac:dyDescent="0.25">
      <c r="A747" s="175">
        <f t="shared" si="22"/>
        <v>1</v>
      </c>
      <c r="B747" s="175" t="s">
        <v>109</v>
      </c>
      <c r="C747" s="175" t="str">
        <f t="shared" si="23"/>
        <v>Alvenaria de vedacao de blocos ceramicos furados na horizontal de 11.5x19x29cm (espessura 11.5cm) com argamassa industrializada de assentamento</v>
      </c>
      <c r="D747" s="175" t="s">
        <v>545</v>
      </c>
      <c r="E747" s="176" t="s">
        <v>13</v>
      </c>
      <c r="F747" s="175"/>
      <c r="G747" s="177" t="str">
        <f>IF(B747="insumo",_xlfn.XLOOKUP($D747,Insumos!$B$1:$B$764,Insumos!$D$1:$D$764),"")</f>
        <v/>
      </c>
      <c r="H747" s="177" cm="1">
        <f t="array" ref="H747">_xlfn.IFS(B747="Serviço",SUMIFS(H748:$H$3085,C748:$C$3085,$C747),B747="Insumo",F747*G747,B747="Etapa","")</f>
        <v>37.57</v>
      </c>
      <c r="I747" s="178" t="s">
        <v>195</v>
      </c>
    </row>
    <row r="748" spans="1:9" hidden="1" outlineLevel="2" x14ac:dyDescent="0.25">
      <c r="A748" s="175">
        <f t="shared" si="22"/>
        <v>1</v>
      </c>
      <c r="B748" s="175" t="s">
        <v>327</v>
      </c>
      <c r="C748" s="175" t="str">
        <f t="shared" si="23"/>
        <v>Alvenaria de vedacao de blocos ceramicos furados na horizontal de 11.5x19x29cm (espessura 11.5cm) com argamassa industrializada de assentamento</v>
      </c>
      <c r="D748" s="175" t="s">
        <v>546</v>
      </c>
      <c r="E748" s="176" t="str">
        <f>_xlfn.XLOOKUP(D748,Insumos!$B$1:$B$764,Insumos!$C$1:$C$764)</f>
        <v>UN</v>
      </c>
      <c r="F748" s="179">
        <f>ROUNDUP(1/(0.19*0.29),)</f>
        <v>19</v>
      </c>
      <c r="G748" s="177">
        <f>IF(B748="insumo",_xlfn.XLOOKUP($D748,Insumos!$B$1:$B$764,Insumos!$D$1:$D$764),"")</f>
        <v>1.53</v>
      </c>
      <c r="H748" s="177" cm="1">
        <f t="array" ref="H748">_xlfn.IFS(B748="Serviço",SUMIFS(H749:$H$3085,C749:$C$3085,$C748),B748="Insumo",F748*G748,B748="Etapa","")</f>
        <v>29.07</v>
      </c>
      <c r="I748" s="178"/>
    </row>
    <row r="749" spans="1:9" hidden="1" outlineLevel="2" x14ac:dyDescent="0.25">
      <c r="A749" s="175">
        <f t="shared" si="22"/>
        <v>23</v>
      </c>
      <c r="B749" s="175" t="s">
        <v>327</v>
      </c>
      <c r="C749" s="175" t="str">
        <f t="shared" si="23"/>
        <v>Alvenaria de vedacao de blocos ceramicos furados na horizontal de 11.5x19x29cm (espessura 11.5cm) com argamassa industrializada de assentamento</v>
      </c>
      <c r="D749" s="175" t="s">
        <v>536</v>
      </c>
      <c r="E749" s="176" t="str">
        <f>_xlfn.XLOOKUP(D749,Insumos!$B$1:$B$764,Insumos!$C$1:$C$764)</f>
        <v>M3</v>
      </c>
      <c r="F749" s="179">
        <v>0.02</v>
      </c>
      <c r="G749" s="177">
        <f>IF(B749="insumo",_xlfn.XLOOKUP($D749,Insumos!$B$1:$B$764,Insumos!$D$1:$D$764),"")</f>
        <v>425</v>
      </c>
      <c r="H749" s="177" cm="1">
        <f t="array" ref="H749">_xlfn.IFS(B749="Serviço",SUMIFS(H750:$H$3085,C750:$C$3085,$C749),B749="Insumo",F749*G749,B749="Etapa","")</f>
        <v>8.5</v>
      </c>
      <c r="I749" s="178"/>
    </row>
    <row r="750" spans="1:9" outlineLevel="1" collapsed="1" x14ac:dyDescent="0.25">
      <c r="A750" s="175">
        <f t="shared" si="22"/>
        <v>1</v>
      </c>
      <c r="B750" s="175" t="s">
        <v>109</v>
      </c>
      <c r="C750" s="175" t="str">
        <f t="shared" si="23"/>
        <v>Alvenaria de vedacao de blocos ceramicos furados na horizontal de 19x19x19cm (espessura 19cm) com argamassa industrializada de assentamento</v>
      </c>
      <c r="D750" s="175" t="s">
        <v>2387</v>
      </c>
      <c r="E750" s="176" t="s">
        <v>13</v>
      </c>
      <c r="F750" s="175"/>
      <c r="G750" s="177" t="str">
        <f>IF(B750="insumo",_xlfn.XLOOKUP($D750,Insumos!$B$1:$B$764,Insumos!$D$1:$D$764),"")</f>
        <v/>
      </c>
      <c r="H750" s="177" cm="1">
        <f t="array" ref="H750">_xlfn.IFS(B750="Serviço",SUMIFS(H751:$H$3085,C751:$C$3085,$C750),B750="Insumo",F750*G750,B750="Etapa","")</f>
        <v>85.5</v>
      </c>
      <c r="I750" s="178" t="s">
        <v>195</v>
      </c>
    </row>
    <row r="751" spans="1:9" hidden="1" outlineLevel="2" x14ac:dyDescent="0.25">
      <c r="A751" s="175">
        <f t="shared" si="22"/>
        <v>1</v>
      </c>
      <c r="B751" s="175" t="s">
        <v>327</v>
      </c>
      <c r="C751" s="175" t="str">
        <f t="shared" si="23"/>
        <v>Alvenaria de vedacao de blocos ceramicos furados na horizontal de 19x19x19cm (espessura 19cm) com argamassa industrializada de assentamento</v>
      </c>
      <c r="D751" s="175" t="s">
        <v>2386</v>
      </c>
      <c r="E751" s="176" t="str">
        <f>_xlfn.XLOOKUP(D751,Insumos!$B$1:$B$764,Insumos!$C$1:$C$764)</f>
        <v>UN</v>
      </c>
      <c r="F751" s="179">
        <f>ROUNDUP(1/(0.19*0.19),)</f>
        <v>28</v>
      </c>
      <c r="G751" s="177">
        <f>IF(B751="insumo",_xlfn.XLOOKUP($D751,Insumos!$B$1:$B$764,Insumos!$D$1:$D$764),"")</f>
        <v>2.75</v>
      </c>
      <c r="H751" s="177" cm="1">
        <f t="array" ref="H751">_xlfn.IFS(B751="Serviço",SUMIFS(H752:$H$3085,C752:$C$3085,$C751),B751="Insumo",F751*G751,B751="Etapa","")</f>
        <v>77</v>
      </c>
      <c r="I751" s="178"/>
    </row>
    <row r="752" spans="1:9" hidden="1" outlineLevel="2" x14ac:dyDescent="0.25">
      <c r="A752" s="175">
        <f t="shared" si="22"/>
        <v>23</v>
      </c>
      <c r="B752" s="175" t="s">
        <v>327</v>
      </c>
      <c r="C752" s="175" t="str">
        <f t="shared" si="23"/>
        <v>Alvenaria de vedacao de blocos ceramicos furados na horizontal de 19x19x19cm (espessura 19cm) com argamassa industrializada de assentamento</v>
      </c>
      <c r="D752" s="175" t="s">
        <v>536</v>
      </c>
      <c r="E752" s="176" t="str">
        <f>_xlfn.XLOOKUP(D752,Insumos!$B$1:$B$764,Insumos!$C$1:$C$764)</f>
        <v>M3</v>
      </c>
      <c r="F752" s="179">
        <v>0.02</v>
      </c>
      <c r="G752" s="177">
        <f>IF(B752="insumo",_xlfn.XLOOKUP($D752,Insumos!$B$1:$B$764,Insumos!$D$1:$D$764),"")</f>
        <v>425</v>
      </c>
      <c r="H752" s="177" cm="1">
        <f t="array" ref="H752">_xlfn.IFS(B752="Serviço",SUMIFS(H753:$H$3085,C753:$C$3085,$C752),B752="Insumo",F752*G752,B752="Etapa","")</f>
        <v>8.5</v>
      </c>
      <c r="I752" s="178"/>
    </row>
    <row r="753" spans="1:9" outlineLevel="1" collapsed="1" x14ac:dyDescent="0.25">
      <c r="A753" s="175">
        <f t="shared" si="22"/>
        <v>1</v>
      </c>
      <c r="B753" s="175" t="s">
        <v>109</v>
      </c>
      <c r="C753" s="175" t="str">
        <f t="shared" si="23"/>
        <v>Alvenaria de vedacao de blocos ceramicos furados na horizontal de 19x19x29cm (espessura 19cm) com argamassa industrializada de assentamento</v>
      </c>
      <c r="D753" s="175" t="s">
        <v>2822</v>
      </c>
      <c r="E753" s="176" t="s">
        <v>13</v>
      </c>
      <c r="F753" s="175"/>
      <c r="G753" s="177" t="str">
        <f>IF(B753="insumo",_xlfn.XLOOKUP($D753,Insumos!$B$1:$B$764,Insumos!$D$1:$D$764),"")</f>
        <v/>
      </c>
      <c r="H753" s="177" cm="1">
        <f t="array" ref="H753">_xlfn.IFS(B753="Serviço",SUMIFS(H754:$H$3085,C754:$C$3085,$C753),B753="Insumo",F753*G753,B753="Etapa","")</f>
        <v>95.71</v>
      </c>
      <c r="I753" s="178" t="s">
        <v>195</v>
      </c>
    </row>
    <row r="754" spans="1:9" hidden="1" outlineLevel="2" x14ac:dyDescent="0.25">
      <c r="A754" s="175">
        <f t="shared" si="22"/>
        <v>1</v>
      </c>
      <c r="B754" s="175" t="s">
        <v>327</v>
      </c>
      <c r="C754" s="175" t="str">
        <f t="shared" si="23"/>
        <v>Alvenaria de vedacao de blocos ceramicos furados na horizontal de 19x19x29cm (espessura 19cm) com argamassa industrializada de assentamento</v>
      </c>
      <c r="D754" s="175" t="s">
        <v>2823</v>
      </c>
      <c r="E754" s="176" t="str">
        <f>_xlfn.XLOOKUP(D754,Insumos!$B$1:$B$764,Insumos!$C$1:$C$764)</f>
        <v>UN</v>
      </c>
      <c r="F754" s="179">
        <f>ROUNDUP(1/(0.19*0.29),)</f>
        <v>19</v>
      </c>
      <c r="G754" s="177">
        <f>IF(B754="insumo",_xlfn.XLOOKUP($D754,Insumos!$B$1:$B$764,Insumos!$D$1:$D$764),"")</f>
        <v>4.59</v>
      </c>
      <c r="H754" s="177" cm="1">
        <f t="array" ref="H754">_xlfn.IFS(B754="Serviço",SUMIFS(H755:$H$3085,C755:$C$3085,$C754),B754="Insumo",F754*G754,B754="Etapa","")</f>
        <v>87.21</v>
      </c>
      <c r="I754" s="178"/>
    </row>
    <row r="755" spans="1:9" hidden="1" outlineLevel="2" x14ac:dyDescent="0.25">
      <c r="A755" s="175">
        <f t="shared" si="22"/>
        <v>23</v>
      </c>
      <c r="B755" s="175" t="s">
        <v>327</v>
      </c>
      <c r="C755" s="175" t="str">
        <f t="shared" si="23"/>
        <v>Alvenaria de vedacao de blocos ceramicos furados na horizontal de 19x19x29cm (espessura 19cm) com argamassa industrializada de assentamento</v>
      </c>
      <c r="D755" s="175" t="s">
        <v>536</v>
      </c>
      <c r="E755" s="176" t="str">
        <f>_xlfn.XLOOKUP(D755,Insumos!$B$1:$B$764,Insumos!$C$1:$C$764)</f>
        <v>M3</v>
      </c>
      <c r="F755" s="179">
        <v>0.02</v>
      </c>
      <c r="G755" s="177">
        <f>IF(B755="insumo",_xlfn.XLOOKUP($D755,Insumos!$B$1:$B$764,Insumos!$D$1:$D$764),"")</f>
        <v>425</v>
      </c>
      <c r="H755" s="177" cm="1">
        <f t="array" ref="H755">_xlfn.IFS(B755="Serviço",SUMIFS(H756:$H$3085,C756:$C$3085,$C755),B755="Insumo",F755*G755,B755="Etapa","")</f>
        <v>8.5</v>
      </c>
      <c r="I755" s="178"/>
    </row>
    <row r="756" spans="1:9" outlineLevel="1" collapsed="1" x14ac:dyDescent="0.25">
      <c r="A756" s="175">
        <f t="shared" si="22"/>
        <v>1</v>
      </c>
      <c r="B756" s="175" t="s">
        <v>109</v>
      </c>
      <c r="C756" s="175" t="str">
        <f t="shared" si="23"/>
        <v>Alvenaria de vedacao de blocos ceramicos furados na horizontal de 14x19x29cm (espessura 14cm) com argamassa industrializada de assentamento</v>
      </c>
      <c r="D756" s="175" t="s">
        <v>547</v>
      </c>
      <c r="E756" s="176" t="s">
        <v>13</v>
      </c>
      <c r="F756" s="175"/>
      <c r="G756" s="177" t="str">
        <f>IF(B756="insumo",_xlfn.XLOOKUP($D756,Insumos!$B$1:$B$764,Insumos!$D$1:$D$764),"")</f>
        <v/>
      </c>
      <c r="H756" s="177" cm="1">
        <f t="array" ref="H756">_xlfn.IFS(B756="Serviço",SUMIFS(H757:$H$3085,C757:$C$3085,$C756),B756="Insumo",F756*G756,B756="Etapa","")</f>
        <v>59.61</v>
      </c>
      <c r="I756" s="178" t="s">
        <v>195</v>
      </c>
    </row>
    <row r="757" spans="1:9" hidden="1" outlineLevel="2" x14ac:dyDescent="0.25">
      <c r="A757" s="175">
        <f t="shared" si="22"/>
        <v>1</v>
      </c>
      <c r="B757" s="175" t="s">
        <v>327</v>
      </c>
      <c r="C757" s="175" t="str">
        <f t="shared" si="23"/>
        <v>Alvenaria de vedacao de blocos ceramicos furados na horizontal de 14x19x29cm (espessura 14cm) com argamassa industrializada de assentamento</v>
      </c>
      <c r="D757" s="175" t="s">
        <v>548</v>
      </c>
      <c r="E757" s="176" t="str">
        <f>_xlfn.XLOOKUP(D757,Insumos!$B$1:$B$764,Insumos!$C$1:$C$764)</f>
        <v>UN</v>
      </c>
      <c r="F757" s="179">
        <f>ROUNDUP(1/(0.19*0.29),)</f>
        <v>19</v>
      </c>
      <c r="G757" s="177">
        <f>IF(B757="insumo",_xlfn.XLOOKUP($D757,Insumos!$B$1:$B$764,Insumos!$D$1:$D$764),"")</f>
        <v>2.69</v>
      </c>
      <c r="H757" s="177" cm="1">
        <f t="array" ref="H757">_xlfn.IFS(B757="Serviço",SUMIFS(H758:$H$3085,C758:$C$3085,$C757),B757="Insumo",F757*G757,B757="Etapa","")</f>
        <v>51.11</v>
      </c>
      <c r="I757" s="178"/>
    </row>
    <row r="758" spans="1:9" hidden="1" outlineLevel="2" x14ac:dyDescent="0.25">
      <c r="A758" s="175">
        <f t="shared" si="22"/>
        <v>23</v>
      </c>
      <c r="B758" s="175" t="s">
        <v>327</v>
      </c>
      <c r="C758" s="175" t="str">
        <f t="shared" si="23"/>
        <v>Alvenaria de vedacao de blocos ceramicos furados na horizontal de 14x19x29cm (espessura 14cm) com argamassa industrializada de assentamento</v>
      </c>
      <c r="D758" s="175" t="s">
        <v>536</v>
      </c>
      <c r="E758" s="176" t="str">
        <f>_xlfn.XLOOKUP(D758,Insumos!$B$1:$B$764,Insumos!$C$1:$C$764)</f>
        <v>M3</v>
      </c>
      <c r="F758" s="179">
        <v>0.02</v>
      </c>
      <c r="G758" s="177">
        <f>IF(B758="insumo",_xlfn.XLOOKUP($D758,Insumos!$B$1:$B$764,Insumos!$D$1:$D$764),"")</f>
        <v>425</v>
      </c>
      <c r="H758" s="177" cm="1">
        <f t="array" ref="H758">_xlfn.IFS(B758="Serviço",SUMIFS(H759:$H$3085,C759:$C$3085,$C758),B758="Insumo",F758*G758,B758="Etapa","")</f>
        <v>8.5</v>
      </c>
      <c r="I758" s="178"/>
    </row>
    <row r="759" spans="1:9" outlineLevel="1" collapsed="1" x14ac:dyDescent="0.25">
      <c r="A759" s="175">
        <f t="shared" si="22"/>
        <v>1</v>
      </c>
      <c r="B759" s="175" t="s">
        <v>109</v>
      </c>
      <c r="C759" s="175" t="str">
        <f t="shared" si="23"/>
        <v>Alvenaria de vedacao de blocos ceramicos estrutural de 11.5x19x29cm (espessura 11.5cm) com argamassa industrializada de assentamento</v>
      </c>
      <c r="D759" s="175" t="s">
        <v>549</v>
      </c>
      <c r="E759" s="176" t="s">
        <v>13</v>
      </c>
      <c r="F759" s="175"/>
      <c r="G759" s="177" t="str">
        <f>IF(B759="insumo",_xlfn.XLOOKUP($D759,Insumos!$B$1:$B$764,Insumos!$D$1:$D$764),"")</f>
        <v/>
      </c>
      <c r="H759" s="177" cm="1">
        <f t="array" ref="H759">_xlfn.IFS(B759="Serviço",SUMIFS(H760:$H$3085,C760:$C$3085,$C759),B759="Insumo",F759*G759,B759="Etapa","")</f>
        <v>40.61</v>
      </c>
      <c r="I759" s="178" t="s">
        <v>195</v>
      </c>
    </row>
    <row r="760" spans="1:9" hidden="1" outlineLevel="2" x14ac:dyDescent="0.25">
      <c r="A760" s="175">
        <f t="shared" si="22"/>
        <v>1</v>
      </c>
      <c r="B760" s="175" t="s">
        <v>327</v>
      </c>
      <c r="C760" s="175" t="str">
        <f t="shared" si="23"/>
        <v>Alvenaria de vedacao de blocos ceramicos estrutural de 11.5x19x29cm (espessura 11.5cm) com argamassa industrializada de assentamento</v>
      </c>
      <c r="D760" s="175" t="s">
        <v>550</v>
      </c>
      <c r="E760" s="176" t="str">
        <f>_xlfn.XLOOKUP(D760,Insumos!$B$1:$B$764,Insumos!$C$1:$C$764)</f>
        <v>UN</v>
      </c>
      <c r="F760" s="179">
        <f>ROUNDUP(1/(0.19*0.29),)</f>
        <v>19</v>
      </c>
      <c r="G760" s="177">
        <f>IF(B760="insumo",_xlfn.XLOOKUP($D760,Insumos!$B$1:$B$764,Insumos!$D$1:$D$764),"")</f>
        <v>1.69</v>
      </c>
      <c r="H760" s="177" cm="1">
        <f t="array" ref="H760">_xlfn.IFS(B760="Serviço",SUMIFS(H761:$H$3085,C761:$C$3085,$C760),B760="Insumo",F760*G760,B760="Etapa","")</f>
        <v>32.11</v>
      </c>
      <c r="I760" s="178"/>
    </row>
    <row r="761" spans="1:9" hidden="1" outlineLevel="2" x14ac:dyDescent="0.25">
      <c r="A761" s="175">
        <f t="shared" si="22"/>
        <v>15</v>
      </c>
      <c r="B761" s="175" t="s">
        <v>327</v>
      </c>
      <c r="C761" s="175" t="str">
        <f t="shared" si="23"/>
        <v>Alvenaria de vedacao de blocos ceramicos estrutural de 11.5x19x29cm (espessura 11.5cm) com argamassa industrializada de assentamento</v>
      </c>
      <c r="D761" s="175" t="s">
        <v>551</v>
      </c>
      <c r="E761" s="176" t="str">
        <f>_xlfn.XLOOKUP(D761,Insumos!$B$1:$B$764,Insumos!$C$1:$C$764)</f>
        <v>M3</v>
      </c>
      <c r="F761" s="179">
        <v>0.02</v>
      </c>
      <c r="G761" s="177">
        <f>IF(B761="insumo",_xlfn.XLOOKUP($D761,Insumos!$B$1:$B$764,Insumos!$D$1:$D$764),"")</f>
        <v>425</v>
      </c>
      <c r="H761" s="177" cm="1">
        <f t="array" ref="H761">_xlfn.IFS(B761="Serviço",SUMIFS(H762:$H$3085,C762:$C$3085,$C761),B761="Insumo",F761*G761,B761="Etapa","")</f>
        <v>8.5</v>
      </c>
      <c r="I761" s="178"/>
    </row>
    <row r="762" spans="1:9" outlineLevel="1" collapsed="1" x14ac:dyDescent="0.25">
      <c r="A762" s="175">
        <f t="shared" si="22"/>
        <v>1</v>
      </c>
      <c r="B762" s="175" t="s">
        <v>109</v>
      </c>
      <c r="C762" s="175" t="str">
        <f t="shared" si="23"/>
        <v>Alvenaria de vedacao de blocos ceramicos estrutural de 14x19x29cm (espessura 14cm) com argamassa industrializada de assentamento</v>
      </c>
      <c r="D762" s="175" t="s">
        <v>552</v>
      </c>
      <c r="E762" s="176" t="s">
        <v>13</v>
      </c>
      <c r="F762" s="175"/>
      <c r="G762" s="177" t="str">
        <f>IF(B762="insumo",_xlfn.XLOOKUP($D762,Insumos!$B$1:$B$764,Insumos!$D$1:$D$764),"")</f>
        <v/>
      </c>
      <c r="H762" s="177" cm="1">
        <f t="array" ref="H762">_xlfn.IFS(B762="Serviço",SUMIFS(H763:$H$3085,C763:$C$3085,$C762),B762="Insumo",F762*G762,B762="Etapa","")</f>
        <v>60.94</v>
      </c>
      <c r="I762" s="178" t="s">
        <v>195</v>
      </c>
    </row>
    <row r="763" spans="1:9" hidden="1" outlineLevel="2" x14ac:dyDescent="0.25">
      <c r="A763" s="175">
        <f t="shared" si="22"/>
        <v>1</v>
      </c>
      <c r="B763" s="175" t="s">
        <v>327</v>
      </c>
      <c r="C763" s="175" t="str">
        <f t="shared" si="23"/>
        <v>Alvenaria de vedacao de blocos ceramicos estrutural de 14x19x29cm (espessura 14cm) com argamassa industrializada de assentamento</v>
      </c>
      <c r="D763" s="175" t="s">
        <v>553</v>
      </c>
      <c r="E763" s="176" t="str">
        <f>_xlfn.XLOOKUP(D763,Insumos!$B$1:$B$764,Insumos!$C$1:$C$764)</f>
        <v>UN</v>
      </c>
      <c r="F763" s="179">
        <f>ROUNDUP(1/(0.19*0.29),)</f>
        <v>19</v>
      </c>
      <c r="G763" s="177">
        <f>IF(B763="insumo",_xlfn.XLOOKUP($D763,Insumos!$B$1:$B$764,Insumos!$D$1:$D$764),"")</f>
        <v>2.76</v>
      </c>
      <c r="H763" s="177" cm="1">
        <f t="array" ref="H763">_xlfn.IFS(B763="Serviço",SUMIFS(H764:$H$3085,C764:$C$3085,$C763),B763="Insumo",F763*G763,B763="Etapa","")</f>
        <v>52.44</v>
      </c>
      <c r="I763" s="178"/>
    </row>
    <row r="764" spans="1:9" hidden="1" outlineLevel="2" x14ac:dyDescent="0.25">
      <c r="A764" s="175">
        <f t="shared" si="22"/>
        <v>15</v>
      </c>
      <c r="B764" s="175" t="s">
        <v>327</v>
      </c>
      <c r="C764" s="175" t="str">
        <f t="shared" si="23"/>
        <v>Alvenaria de vedacao de blocos ceramicos estrutural de 14x19x29cm (espessura 14cm) com argamassa industrializada de assentamento</v>
      </c>
      <c r="D764" s="175" t="s">
        <v>551</v>
      </c>
      <c r="E764" s="176" t="str">
        <f>_xlfn.XLOOKUP(D764,Insumos!$B$1:$B$764,Insumos!$C$1:$C$764)</f>
        <v>M3</v>
      </c>
      <c r="F764" s="179">
        <v>0.02</v>
      </c>
      <c r="G764" s="177">
        <f>IF(B764="insumo",_xlfn.XLOOKUP($D764,Insumos!$B$1:$B$764,Insumos!$D$1:$D$764),"")</f>
        <v>425</v>
      </c>
      <c r="H764" s="177" cm="1">
        <f t="array" ref="H764">_xlfn.IFS(B764="Serviço",SUMIFS(H765:$H$3085,C765:$C$3085,$C764),B764="Insumo",F764*G764,B764="Etapa","")</f>
        <v>8.5</v>
      </c>
      <c r="I764" s="178"/>
    </row>
    <row r="765" spans="1:9" outlineLevel="1" collapsed="1" x14ac:dyDescent="0.25">
      <c r="A765" s="175">
        <f t="shared" si="22"/>
        <v>1</v>
      </c>
      <c r="B765" s="175" t="s">
        <v>109</v>
      </c>
      <c r="C765" s="175" t="str">
        <f t="shared" si="23"/>
        <v>Alvenaria em Bloco De Concreto Celular 60x30x12,5cm Sical (espessura 12,5cm) com argamassa industrializada de assentamento</v>
      </c>
      <c r="D765" s="175" t="s">
        <v>554</v>
      </c>
      <c r="E765" s="176" t="s">
        <v>13</v>
      </c>
      <c r="F765" s="175"/>
      <c r="G765" s="177" t="str">
        <f>IF(B765="insumo",_xlfn.XLOOKUP($D765,Insumos!$B$1:$B$764,Insumos!$D$1:$D$764),"")</f>
        <v/>
      </c>
      <c r="H765" s="177" cm="1">
        <f t="array" ref="H765">_xlfn.IFS(B765="Serviço",SUMIFS(H766:$H$3085,C766:$C$3085,$C765),B765="Insumo",F765*G765,B765="Etapa","")</f>
        <v>115.96000000000001</v>
      </c>
      <c r="I765" s="178" t="s">
        <v>195</v>
      </c>
    </row>
    <row r="766" spans="1:9" hidden="1" outlineLevel="2" x14ac:dyDescent="0.25">
      <c r="A766" s="175">
        <f t="shared" si="22"/>
        <v>1</v>
      </c>
      <c r="B766" s="175" t="s">
        <v>327</v>
      </c>
      <c r="C766" s="175" t="str">
        <f t="shared" si="23"/>
        <v>Alvenaria em Bloco De Concreto Celular 60x30x12,5cm Sical (espessura 12,5cm) com argamassa industrializada de assentamento</v>
      </c>
      <c r="D766" s="175" t="s">
        <v>557</v>
      </c>
      <c r="E766" s="176" t="str">
        <f>_xlfn.XLOOKUP(D766,Insumos!$B$1:$B$764,Insumos!$C$1:$C$764)</f>
        <v>M3</v>
      </c>
      <c r="F766" s="179">
        <f>ROUNDUP(1/(0.3*0.6),)</f>
        <v>6</v>
      </c>
      <c r="G766" s="177">
        <f>IF(B766="insumo",_xlfn.XLOOKUP($D766,Insumos!$B$1:$B$764,Insumos!$D$1:$D$764),"")</f>
        <v>17.91</v>
      </c>
      <c r="H766" s="177" cm="1">
        <f t="array" ref="H766">_xlfn.IFS(B766="Serviço",SUMIFS(H767:$H$3085,C767:$C$3085,$C766),B766="Insumo",F766*G766,B766="Etapa","")</f>
        <v>107.46000000000001</v>
      </c>
      <c r="I766" s="178"/>
    </row>
    <row r="767" spans="1:9" hidden="1" outlineLevel="2" x14ac:dyDescent="0.25">
      <c r="A767" s="175">
        <f t="shared" si="22"/>
        <v>15</v>
      </c>
      <c r="B767" s="175" t="s">
        <v>327</v>
      </c>
      <c r="C767" s="175" t="str">
        <f t="shared" si="23"/>
        <v>Alvenaria em Bloco De Concreto Celular 60x30x12,5cm Sical (espessura 12,5cm) com argamassa industrializada de assentamento</v>
      </c>
      <c r="D767" s="175" t="s">
        <v>551</v>
      </c>
      <c r="E767" s="176" t="str">
        <f>_xlfn.XLOOKUP(D767,Insumos!$B$1:$B$764,Insumos!$C$1:$C$764)</f>
        <v>M3</v>
      </c>
      <c r="F767" s="179">
        <v>0.02</v>
      </c>
      <c r="G767" s="177">
        <f>IF(B767="insumo",_xlfn.XLOOKUP($D767,Insumos!$B$1:$B$764,Insumos!$D$1:$D$764),"")</f>
        <v>425</v>
      </c>
      <c r="H767" s="177" cm="1">
        <f t="array" ref="H767">_xlfn.IFS(B767="Serviço",SUMIFS(H768:$H$3085,C768:$C$3085,$C767),B767="Insumo",F767*G767,B767="Etapa","")</f>
        <v>8.5</v>
      </c>
      <c r="I767" s="178"/>
    </row>
    <row r="768" spans="1:9" outlineLevel="1" collapsed="1" x14ac:dyDescent="0.25">
      <c r="A768" s="175">
        <f t="shared" si="22"/>
        <v>1</v>
      </c>
      <c r="B768" s="175" t="s">
        <v>109</v>
      </c>
      <c r="C768" s="175" t="str">
        <f t="shared" si="23"/>
        <v>Alvenaria em Bloco De Concreto Celular 60x30x10cm Sical (espessura 10cm) com argamassa industrializada de assentamento</v>
      </c>
      <c r="D768" s="175" t="s">
        <v>1738</v>
      </c>
      <c r="E768" s="176" t="s">
        <v>13</v>
      </c>
      <c r="F768" s="175"/>
      <c r="G768" s="177" t="str">
        <f>IF(B768="insumo",_xlfn.XLOOKUP($D768,Insumos!$B$1:$B$764,Insumos!$D$1:$D$764),"")</f>
        <v/>
      </c>
      <c r="H768" s="177" cm="1">
        <f t="array" ref="H768">_xlfn.IFS(B768="Serviço",SUMIFS(H769:$H$3085,C769:$C$3085,$C768),B768="Insumo",F768*G768,B768="Etapa","")</f>
        <v>85.9</v>
      </c>
      <c r="I768" s="178" t="s">
        <v>195</v>
      </c>
    </row>
    <row r="769" spans="1:9" hidden="1" outlineLevel="2" x14ac:dyDescent="0.25">
      <c r="A769" s="175">
        <f t="shared" si="22"/>
        <v>1</v>
      </c>
      <c r="B769" s="175" t="s">
        <v>327</v>
      </c>
      <c r="C769" s="175" t="str">
        <f t="shared" si="23"/>
        <v>Alvenaria em Bloco De Concreto Celular 60x30x10cm Sical (espessura 10cm) com argamassa industrializada de assentamento</v>
      </c>
      <c r="D769" s="175" t="s">
        <v>1739</v>
      </c>
      <c r="E769" s="176" t="s">
        <v>390</v>
      </c>
      <c r="F769" s="179">
        <f>ROUNDUP(1/(0.3*0.6),)</f>
        <v>6</v>
      </c>
      <c r="G769" s="177">
        <f>IF(B769="insumo",_xlfn.XLOOKUP($D769,Insumos!$B$1:$B$764,Insumos!$D$1:$D$764),"")</f>
        <v>12.9</v>
      </c>
      <c r="H769" s="177" cm="1">
        <f t="array" ref="H769">_xlfn.IFS(B769="Serviço",SUMIFS(H770:$H$3085,C770:$C$3085,$C769),B769="Insumo",F769*G769,B769="Etapa","")</f>
        <v>77.400000000000006</v>
      </c>
      <c r="I769" s="178"/>
    </row>
    <row r="770" spans="1:9" hidden="1" outlineLevel="2" x14ac:dyDescent="0.25">
      <c r="A770" s="175">
        <f t="shared" ref="A770:A833" si="25">COUNTIFS($D$2:$D$3085,D770,$B$2:$B$3085,B770)</f>
        <v>15</v>
      </c>
      <c r="B770" s="175" t="s">
        <v>327</v>
      </c>
      <c r="C770" s="175" t="str">
        <f t="shared" si="23"/>
        <v>Alvenaria em Bloco De Concreto Celular 60x30x10cm Sical (espessura 10cm) com argamassa industrializada de assentamento</v>
      </c>
      <c r="D770" s="175" t="s">
        <v>551</v>
      </c>
      <c r="E770" s="176" t="s">
        <v>390</v>
      </c>
      <c r="F770" s="179">
        <v>0.02</v>
      </c>
      <c r="G770" s="177">
        <f>IF(B770="insumo",_xlfn.XLOOKUP($D770,Insumos!$B$1:$B$764,Insumos!$D$1:$D$764),"")</f>
        <v>425</v>
      </c>
      <c r="H770" s="177" cm="1">
        <f t="array" ref="H770">_xlfn.IFS(B770="Serviço",SUMIFS(H771:$H$3085,C771:$C$3085,$C770),B770="Insumo",F770*G770,B770="Etapa","")</f>
        <v>8.5</v>
      </c>
      <c r="I770" s="178"/>
    </row>
    <row r="771" spans="1:9" outlineLevel="1" collapsed="1" x14ac:dyDescent="0.25">
      <c r="A771" s="175">
        <f t="shared" si="25"/>
        <v>1</v>
      </c>
      <c r="B771" s="175" t="s">
        <v>109</v>
      </c>
      <c r="C771" s="175" t="str">
        <f t="shared" si="23"/>
        <v>Alvenaria em Bloco De Concreto Celular 60x30x7,5cm Sical (espessura 7,5cm) com argamassa industrializada de assentamento</v>
      </c>
      <c r="D771" s="175" t="s">
        <v>556</v>
      </c>
      <c r="E771" s="176" t="s">
        <v>13</v>
      </c>
      <c r="F771" s="175"/>
      <c r="G771" s="177" t="str">
        <f>IF(B771="insumo",_xlfn.XLOOKUP($D771,Insumos!$B$1:$B$764,Insumos!$D$1:$D$764),"")</f>
        <v/>
      </c>
      <c r="H771" s="177" cm="1">
        <f t="array" ref="H771">_xlfn.IFS(B771="Serviço",SUMIFS(H772:$H$3085,C772:$C$3085,$C771),B771="Insumo",F771*G771,B771="Etapa","")</f>
        <v>72.760000000000005</v>
      </c>
      <c r="I771" s="178" t="s">
        <v>195</v>
      </c>
    </row>
    <row r="772" spans="1:9" hidden="1" outlineLevel="2" x14ac:dyDescent="0.25">
      <c r="A772" s="175">
        <f t="shared" si="25"/>
        <v>1</v>
      </c>
      <c r="B772" s="175" t="s">
        <v>327</v>
      </c>
      <c r="C772" s="175" t="str">
        <f t="shared" si="23"/>
        <v>Alvenaria em Bloco De Concreto Celular 60x30x7,5cm Sical (espessura 7,5cm) com argamassa industrializada de assentamento</v>
      </c>
      <c r="D772" s="175" t="s">
        <v>555</v>
      </c>
      <c r="E772" s="176" t="str">
        <f>_xlfn.XLOOKUP(D772,Insumos!$B$1:$B$764,Insumos!$C$1:$C$764)</f>
        <v>M3</v>
      </c>
      <c r="F772" s="179">
        <f>ROUNDUP(1/(0.3*0.6),)</f>
        <v>6</v>
      </c>
      <c r="G772" s="177">
        <f>IF(B772="insumo",_xlfn.XLOOKUP($D772,Insumos!$B$1:$B$764,Insumos!$D$1:$D$764),"")</f>
        <v>10.71</v>
      </c>
      <c r="H772" s="177" cm="1">
        <f t="array" ref="H772">_xlfn.IFS(B772="Serviço",SUMIFS(H773:$H$3085,C773:$C$3085,$C772),B772="Insumo",F772*G772,B772="Etapa","")</f>
        <v>64.260000000000005</v>
      </c>
      <c r="I772" s="178"/>
    </row>
    <row r="773" spans="1:9" hidden="1" outlineLevel="2" x14ac:dyDescent="0.25">
      <c r="A773" s="175">
        <f t="shared" si="25"/>
        <v>15</v>
      </c>
      <c r="B773" s="175" t="s">
        <v>327</v>
      </c>
      <c r="C773" s="175" t="str">
        <f t="shared" si="23"/>
        <v>Alvenaria em Bloco De Concreto Celular 60x30x7,5cm Sical (espessura 7,5cm) com argamassa industrializada de assentamento</v>
      </c>
      <c r="D773" s="175" t="s">
        <v>551</v>
      </c>
      <c r="E773" s="176" t="str">
        <f>_xlfn.XLOOKUP(D773,Insumos!$B$1:$B$764,Insumos!$C$1:$C$764)</f>
        <v>M3</v>
      </c>
      <c r="F773" s="179">
        <v>0.02</v>
      </c>
      <c r="G773" s="177">
        <f>IF(B773="insumo",_xlfn.XLOOKUP($D773,Insumos!$B$1:$B$764,Insumos!$D$1:$D$764),"")</f>
        <v>425</v>
      </c>
      <c r="H773" s="177" cm="1">
        <f t="array" ref="H773">_xlfn.IFS(B773="Serviço",SUMIFS(H774:$H$3085,C774:$C$3085,$C773),B773="Insumo",F773*G773,B773="Etapa","")</f>
        <v>8.5</v>
      </c>
      <c r="I773" s="178"/>
    </row>
    <row r="774" spans="1:9" outlineLevel="1" collapsed="1" x14ac:dyDescent="0.25">
      <c r="A774" s="175">
        <f t="shared" si="25"/>
        <v>1</v>
      </c>
      <c r="B774" s="175" t="s">
        <v>109</v>
      </c>
      <c r="C774" s="175" t="str">
        <f t="shared" si="23"/>
        <v>Alvenaria Estrutural Bloco de concreto de 4,0 MPA, com argamassa estabilizada</v>
      </c>
      <c r="D774" s="175" t="s">
        <v>558</v>
      </c>
      <c r="E774" s="176" t="s">
        <v>13</v>
      </c>
      <c r="F774" s="175"/>
      <c r="G774" s="177" t="str">
        <f>IF(B774="insumo",_xlfn.XLOOKUP($D774,Insumos!$B$1:$B$764,Insumos!$D$1:$D$764),"")</f>
        <v/>
      </c>
      <c r="H774" s="177" cm="1">
        <f t="array" ref="H774">_xlfn.IFS(B774="Serviço",SUMIFS(H775:$H$3085,C775:$C$3085,$C774),B774="Insumo",F774*G774,B774="Etapa","")</f>
        <v>12.290469464289249</v>
      </c>
      <c r="I774" s="178" t="s">
        <v>195</v>
      </c>
    </row>
    <row r="775" spans="1:9" hidden="1" outlineLevel="2" x14ac:dyDescent="0.25">
      <c r="A775" s="175">
        <f t="shared" si="25"/>
        <v>1</v>
      </c>
      <c r="B775" s="175" t="s">
        <v>327</v>
      </c>
      <c r="C775" s="175" t="str">
        <f t="shared" si="23"/>
        <v>Alvenaria Estrutural Bloco de concreto de 4,0 MPA, com argamassa estabilizada</v>
      </c>
      <c r="D775" s="175" t="s">
        <v>559</v>
      </c>
      <c r="E775" s="176" t="str">
        <f>_xlfn.XLOOKUP(D775,Insumos!$B$1:$B$764,Insumos!$C$1:$C$764)</f>
        <v>UN</v>
      </c>
      <c r="F775" s="179">
        <v>3.8590172369436584E-2</v>
      </c>
      <c r="G775" s="177">
        <f>IF(B775="insumo",_xlfn.XLOOKUP($D775,Insumos!$B$1:$B$764,Insumos!$D$1:$D$764),"")</f>
        <v>4.0199999999999996</v>
      </c>
      <c r="H775" s="177" cm="1">
        <f t="array" ref="H775">_xlfn.IFS(B775="Serviço",SUMIFS(H776:$H$3085,C776:$C$3085,$C775),B775="Insumo",F775*G775,B775="Etapa","")</f>
        <v>0.15513249292513506</v>
      </c>
      <c r="I775" s="178"/>
    </row>
    <row r="776" spans="1:9" hidden="1" outlineLevel="2" x14ac:dyDescent="0.25">
      <c r="A776" s="175">
        <f t="shared" si="25"/>
        <v>1</v>
      </c>
      <c r="B776" s="175" t="s">
        <v>327</v>
      </c>
      <c r="C776" s="175" t="str">
        <f t="shared" si="23"/>
        <v>Alvenaria Estrutural Bloco de concreto de 4,0 MPA, com argamassa estabilizada</v>
      </c>
      <c r="D776" s="175" t="s">
        <v>560</v>
      </c>
      <c r="E776" s="176" t="str">
        <f>_xlfn.XLOOKUP(D776,Insumos!$B$1:$B$764,Insumos!$C$1:$C$764)</f>
        <v>UN</v>
      </c>
      <c r="F776" s="179">
        <v>1.6063159248777978</v>
      </c>
      <c r="G776" s="177">
        <f>IF(B776="insumo",_xlfn.XLOOKUP($D776,Insumos!$B$1:$B$764,Insumos!$D$1:$D$764),"")</f>
        <v>1.998</v>
      </c>
      <c r="H776" s="177" cm="1">
        <f t="array" ref="H776">_xlfn.IFS(B776="Serviço",SUMIFS(H777:$H$3085,C777:$C$3085,$C776),B776="Insumo",F776*G776,B776="Etapa","")</f>
        <v>3.2094192179058401</v>
      </c>
      <c r="I776" s="178"/>
    </row>
    <row r="777" spans="1:9" hidden="1" outlineLevel="2" x14ac:dyDescent="0.25">
      <c r="A777" s="175">
        <f t="shared" si="25"/>
        <v>1</v>
      </c>
      <c r="B777" s="175" t="s">
        <v>327</v>
      </c>
      <c r="C777" s="175" t="str">
        <f t="shared" si="23"/>
        <v>Alvenaria Estrutural Bloco de concreto de 4,0 MPA, com argamassa estabilizada</v>
      </c>
      <c r="D777" s="175" t="s">
        <v>561</v>
      </c>
      <c r="E777" s="176" t="str">
        <f>_xlfn.XLOOKUP(D777,Insumos!$B$1:$B$764,Insumos!$C$1:$C$764)</f>
        <v>UN</v>
      </c>
      <c r="F777" s="179">
        <v>9.0043735528685373E-2</v>
      </c>
      <c r="G777" s="177">
        <f>IF(B777="insumo",_xlfn.XLOOKUP($D777,Insumos!$B$1:$B$764,Insumos!$D$1:$D$764),"")</f>
        <v>1.3760000000000001</v>
      </c>
      <c r="H777" s="177" cm="1">
        <f t="array" ref="H777">_xlfn.IFS(B777="Serviço",SUMIFS(H778:$H$3085,C778:$C$3085,$C777),B777="Insumo",F777*G777,B777="Etapa","")</f>
        <v>0.12390018008747108</v>
      </c>
      <c r="I777" s="178"/>
    </row>
    <row r="778" spans="1:9" hidden="1" outlineLevel="2" x14ac:dyDescent="0.25">
      <c r="A778" s="175">
        <f t="shared" si="25"/>
        <v>1</v>
      </c>
      <c r="B778" s="175" t="s">
        <v>327</v>
      </c>
      <c r="C778" s="175" t="str">
        <f t="shared" si="23"/>
        <v>Alvenaria Estrutural Bloco de concreto de 4,0 MPA, com argamassa estabilizada</v>
      </c>
      <c r="D778" s="175" t="s">
        <v>562</v>
      </c>
      <c r="E778" s="176" t="str">
        <f>_xlfn.XLOOKUP(D778,Insumos!$B$1:$B$764,Insumos!$C$1:$C$764)</f>
        <v>UN</v>
      </c>
      <c r="F778" s="179">
        <v>3.8590172369436584E-2</v>
      </c>
      <c r="G778" s="177">
        <f>IF(B778="insumo",_xlfn.XLOOKUP($D778,Insumos!$B$1:$B$764,Insumos!$D$1:$D$764),"")</f>
        <v>3.9889743589743589</v>
      </c>
      <c r="H778" s="177" cm="1">
        <f t="array" ref="H778">_xlfn.IFS(B778="Serviço",SUMIFS(H779:$H$3085,C779:$C$3085,$C778),B778="Insumo",F778*G778,B778="Etapa","")</f>
        <v>0.15393520809008332</v>
      </c>
      <c r="I778" s="178"/>
    </row>
    <row r="779" spans="1:9" hidden="1" outlineLevel="2" x14ac:dyDescent="0.25">
      <c r="A779" s="175">
        <f t="shared" si="25"/>
        <v>1</v>
      </c>
      <c r="B779" s="175" t="s">
        <v>327</v>
      </c>
      <c r="C779" s="175" t="str">
        <f t="shared" si="23"/>
        <v>Alvenaria Estrutural Bloco de concreto de 4,0 MPA, com argamassa estabilizada</v>
      </c>
      <c r="D779" s="175" t="s">
        <v>563</v>
      </c>
      <c r="E779" s="176" t="str">
        <f>_xlfn.XLOOKUP(D779,Insumos!$B$1:$B$764,Insumos!$C$1:$C$764)</f>
        <v>UN</v>
      </c>
      <c r="F779" s="179">
        <v>3.5374324671983537E-2</v>
      </c>
      <c r="G779" s="177">
        <f>IF(B779="insumo",_xlfn.XLOOKUP($D779,Insumos!$B$1:$B$764,Insumos!$D$1:$D$764),"")</f>
        <v>4.1861538461538466</v>
      </c>
      <c r="H779" s="177" cm="1">
        <f t="array" ref="H779">_xlfn.IFS(B779="Serviço",SUMIFS(H780:$H$3085,C780:$C$3085,$C779),B779="Insumo",F779*G779,B779="Etapa","")</f>
        <v>0.1480823652807188</v>
      </c>
      <c r="I779" s="178"/>
    </row>
    <row r="780" spans="1:9" hidden="1" outlineLevel="2" x14ac:dyDescent="0.25">
      <c r="A780" s="175">
        <f t="shared" si="25"/>
        <v>15</v>
      </c>
      <c r="B780" s="175" t="s">
        <v>327</v>
      </c>
      <c r="C780" s="175" t="str">
        <f t="shared" si="23"/>
        <v>Alvenaria Estrutural Bloco de concreto de 4,0 MPA, com argamassa estabilizada</v>
      </c>
      <c r="D780" s="175" t="s">
        <v>551</v>
      </c>
      <c r="E780" s="176" t="str">
        <f>_xlfn.XLOOKUP(D780,Insumos!$B$1:$B$764,Insumos!$C$1:$C$764)</f>
        <v>M3</v>
      </c>
      <c r="F780" s="179">
        <v>0.02</v>
      </c>
      <c r="G780" s="177">
        <f>IF(B780="insumo",_xlfn.XLOOKUP($D780,Insumos!$B$1:$B$764,Insumos!$D$1:$D$764),"")</f>
        <v>425</v>
      </c>
      <c r="H780" s="177" cm="1">
        <f t="array" ref="H780">_xlfn.IFS(B780="Serviço",SUMIFS(H781:$H$3085,C781:$C$3085,$C780),B780="Insumo",F780*G780,B780="Etapa","")</f>
        <v>8.5</v>
      </c>
      <c r="I780" s="178"/>
    </row>
    <row r="781" spans="1:9" outlineLevel="1" collapsed="1" x14ac:dyDescent="0.25">
      <c r="A781" s="175">
        <f t="shared" si="25"/>
        <v>1</v>
      </c>
      <c r="B781" s="175" t="s">
        <v>109</v>
      </c>
      <c r="C781" s="175" t="str">
        <f t="shared" si="23"/>
        <v>Alvenaria Estrutural Bloco de concreto de 6,0 MPA, com argamassa estabilizada</v>
      </c>
      <c r="D781" s="175" t="s">
        <v>564</v>
      </c>
      <c r="E781" s="176" t="s">
        <v>13</v>
      </c>
      <c r="F781" s="175"/>
      <c r="G781" s="177" t="str">
        <f>IF(B781="insumo",_xlfn.XLOOKUP($D781,Insumos!$B$1:$B$764,Insumos!$D$1:$D$764),"")</f>
        <v/>
      </c>
      <c r="H781" s="177" cm="1">
        <f t="array" ref="H781">_xlfn.IFS(B781="Serviço",SUMIFS(H782:$H$3085,C782:$C$3085,$C781),B781="Insumo",F781*G781,B781="Etapa","")</f>
        <v>45.96608760180635</v>
      </c>
      <c r="I781" s="178" t="s">
        <v>195</v>
      </c>
    </row>
    <row r="782" spans="1:9" hidden="1" outlineLevel="2" x14ac:dyDescent="0.25">
      <c r="A782" s="175">
        <f t="shared" si="25"/>
        <v>1</v>
      </c>
      <c r="B782" s="175" t="s">
        <v>327</v>
      </c>
      <c r="C782" s="175" t="str">
        <f t="shared" si="23"/>
        <v>Alvenaria Estrutural Bloco de concreto de 6,0 MPA, com argamassa estabilizada</v>
      </c>
      <c r="D782" s="175" t="s">
        <v>565</v>
      </c>
      <c r="E782" s="176" t="str">
        <f>_xlfn.XLOOKUP(D782,Insumos!$B$1:$B$764,Insumos!$C$1:$C$764)</f>
        <v>UN</v>
      </c>
      <c r="F782" s="179">
        <v>0.15200739173199007</v>
      </c>
      <c r="G782" s="177">
        <f>IF(B782="insumo",_xlfn.XLOOKUP($D782,Insumos!$B$1:$B$764,Insumos!$D$1:$D$764),"")</f>
        <v>4.1890000000000001</v>
      </c>
      <c r="H782" s="177" cm="1">
        <f t="array" ref="H782">_xlfn.IFS(B782="Serviço",SUMIFS(H783:$H$3085,C783:$C$3085,$C782),B782="Insumo",F782*G782,B782="Etapa","")</f>
        <v>0.6367589639653064</v>
      </c>
      <c r="I782" s="178"/>
    </row>
    <row r="783" spans="1:9" hidden="1" outlineLevel="2" x14ac:dyDescent="0.25">
      <c r="A783" s="175">
        <f t="shared" si="25"/>
        <v>1</v>
      </c>
      <c r="B783" s="175" t="s">
        <v>327</v>
      </c>
      <c r="C783" s="175" t="str">
        <f t="shared" si="23"/>
        <v>Alvenaria Estrutural Bloco de concreto de 6,0 MPA, com argamassa estabilizada</v>
      </c>
      <c r="D783" s="175" t="s">
        <v>566</v>
      </c>
      <c r="E783" s="176" t="str">
        <f>_xlfn.XLOOKUP(D783,Insumos!$B$1:$B$764,Insumos!$C$1:$C$764)</f>
        <v>UN</v>
      </c>
      <c r="F783" s="179">
        <v>11.710530237548804</v>
      </c>
      <c r="G783" s="177">
        <f>IF(B783="insumo",_xlfn.XLOOKUP($D783,Insumos!$B$1:$B$764,Insumos!$D$1:$D$764),"")</f>
        <v>2.0979999999999999</v>
      </c>
      <c r="H783" s="177" cm="1">
        <f t="array" ref="H783">_xlfn.IFS(B783="Serviço",SUMIFS(H784:$H$3085,C784:$C$3085,$C783),B783="Insumo",F783*G783,B783="Etapa","")</f>
        <v>24.56869243837739</v>
      </c>
      <c r="I783" s="178"/>
    </row>
    <row r="784" spans="1:9" hidden="1" outlineLevel="2" x14ac:dyDescent="0.25">
      <c r="A784" s="175">
        <f t="shared" si="25"/>
        <v>1</v>
      </c>
      <c r="B784" s="175" t="s">
        <v>327</v>
      </c>
      <c r="C784" s="175" t="str">
        <f t="shared" si="23"/>
        <v>Alvenaria Estrutural Bloco de concreto de 6,0 MPA, com argamassa estabilizada</v>
      </c>
      <c r="D784" s="175" t="s">
        <v>567</v>
      </c>
      <c r="E784" s="176" t="str">
        <f>_xlfn.XLOOKUP(D784,Insumos!$B$1:$B$764,Insumos!$C$1:$C$764)</f>
        <v>UN</v>
      </c>
      <c r="F784" s="179">
        <v>0.75705642156716635</v>
      </c>
      <c r="G784" s="177">
        <f>IF(B784="insumo",_xlfn.XLOOKUP($D784,Insumos!$B$1:$B$764,Insumos!$D$1:$D$764),"")</f>
        <v>1.4359999999999999</v>
      </c>
      <c r="H784" s="177" cm="1">
        <f t="array" ref="H784">_xlfn.IFS(B784="Serviço",SUMIFS(H785:$H$3085,C785:$C$3085,$C784),B784="Insumo",F784*G784,B784="Etapa","")</f>
        <v>1.0871330213704509</v>
      </c>
      <c r="I784" s="178"/>
    </row>
    <row r="785" spans="1:9" hidden="1" outlineLevel="2" x14ac:dyDescent="0.25">
      <c r="A785" s="175">
        <f t="shared" si="25"/>
        <v>1</v>
      </c>
      <c r="B785" s="175" t="s">
        <v>327</v>
      </c>
      <c r="C785" s="175" t="str">
        <f t="shared" si="23"/>
        <v>Alvenaria Estrutural Bloco de concreto de 6,0 MPA, com argamassa estabilizada</v>
      </c>
      <c r="D785" s="175" t="s">
        <v>568</v>
      </c>
      <c r="E785" s="176" t="str">
        <f>_xlfn.XLOOKUP(D785,Insumos!$B$1:$B$764,Insumos!$C$1:$C$764)</f>
        <v>UN</v>
      </c>
      <c r="F785" s="179">
        <v>0.4142946558969926</v>
      </c>
      <c r="G785" s="177">
        <f>IF(B785="insumo",_xlfn.XLOOKUP($D785,Insumos!$B$1:$B$764,Insumos!$D$1:$D$764),"")</f>
        <v>3.9889743589743589</v>
      </c>
      <c r="H785" s="177" cm="1">
        <f t="array" ref="H785">_xlfn.IFS(B785="Serviço",SUMIFS(H786:$H$3085,C786:$C$3085,$C785),B785="Insumo",F785*G785,B785="Etapa","")</f>
        <v>1.6526107594332087</v>
      </c>
      <c r="I785" s="178"/>
    </row>
    <row r="786" spans="1:9" hidden="1" outlineLevel="2" x14ac:dyDescent="0.25">
      <c r="A786" s="175">
        <f t="shared" si="25"/>
        <v>1</v>
      </c>
      <c r="B786" s="175" t="s">
        <v>327</v>
      </c>
      <c r="C786" s="175" t="str">
        <f t="shared" ref="C786:C849" si="26">IF(B786="serviço",D786,C785)</f>
        <v>Alvenaria Estrutural Bloco de concreto de 6,0 MPA, com argamassa estabilizada</v>
      </c>
      <c r="D786" s="175" t="s">
        <v>569</v>
      </c>
      <c r="E786" s="176" t="str">
        <f>_xlfn.XLOOKUP(D786,Insumos!$B$1:$B$764,Insumos!$C$1:$C$764)</f>
        <v>UN</v>
      </c>
      <c r="F786" s="179">
        <v>0.63187386367023324</v>
      </c>
      <c r="G786" s="177">
        <f>IF(B786="insumo",_xlfn.XLOOKUP($D786,Insumos!$B$1:$B$764,Insumos!$D$1:$D$764),"")</f>
        <v>4.1861538461538466</v>
      </c>
      <c r="H786" s="177" cm="1">
        <f t="array" ref="H786">_xlfn.IFS(B786="Serviço",SUMIFS(H787:$H$3085,C787:$C$3085,$C786),B786="Insumo",F786*G786,B786="Etapa","")</f>
        <v>2.6451212046872383</v>
      </c>
      <c r="I786" s="178"/>
    </row>
    <row r="787" spans="1:9" hidden="1" outlineLevel="2" x14ac:dyDescent="0.25">
      <c r="A787" s="175">
        <f t="shared" si="25"/>
        <v>1</v>
      </c>
      <c r="B787" s="175" t="s">
        <v>327</v>
      </c>
      <c r="C787" s="175" t="str">
        <f t="shared" si="26"/>
        <v>Alvenaria Estrutural Bloco de concreto de 6,0 MPA, com argamassa estabilizada</v>
      </c>
      <c r="D787" s="175" t="s">
        <v>570</v>
      </c>
      <c r="E787" s="176" t="str">
        <f>_xlfn.XLOOKUP(D787,Insumos!$B$1:$B$764,Insumos!$C$1:$C$764)</f>
        <v>UN</v>
      </c>
      <c r="F787" s="179">
        <v>2.0804148907633153</v>
      </c>
      <c r="G787" s="177">
        <f>IF(B787="insumo",_xlfn.XLOOKUP($D787,Insumos!$B$1:$B$764,Insumos!$D$1:$D$764),"")</f>
        <v>3.3050000000000002</v>
      </c>
      <c r="H787" s="177" cm="1">
        <f t="array" ref="H787">_xlfn.IFS(B787="Serviço",SUMIFS(H788:$H$3085,C788:$C$3085,$C787),B787="Insumo",F787*G787,B787="Etapa","")</f>
        <v>6.8757712139727571</v>
      </c>
      <c r="I787" s="178"/>
    </row>
    <row r="788" spans="1:9" hidden="1" outlineLevel="2" x14ac:dyDescent="0.25">
      <c r="A788" s="175">
        <f t="shared" si="25"/>
        <v>15</v>
      </c>
      <c r="B788" s="175" t="s">
        <v>327</v>
      </c>
      <c r="C788" s="175" t="str">
        <f t="shared" si="26"/>
        <v>Alvenaria Estrutural Bloco de concreto de 6,0 MPA, com argamassa estabilizada</v>
      </c>
      <c r="D788" s="175" t="s">
        <v>551</v>
      </c>
      <c r="E788" s="176" t="str">
        <f>_xlfn.XLOOKUP(D788,Insumos!$B$1:$B$764,Insumos!$C$1:$C$764)</f>
        <v>M3</v>
      </c>
      <c r="F788" s="179">
        <v>0.02</v>
      </c>
      <c r="G788" s="177">
        <f>IF(B788="insumo",_xlfn.XLOOKUP($D788,Insumos!$B$1:$B$764,Insumos!$D$1:$D$764),"")</f>
        <v>425</v>
      </c>
      <c r="H788" s="177" cm="1">
        <f t="array" ref="H788">_xlfn.IFS(B788="Serviço",SUMIFS(H789:$H$3085,C789:$C$3085,$C788),B788="Insumo",F788*G788,B788="Etapa","")</f>
        <v>8.5</v>
      </c>
      <c r="I788" s="178"/>
    </row>
    <row r="789" spans="1:9" outlineLevel="1" collapsed="1" x14ac:dyDescent="0.25">
      <c r="A789" s="175">
        <f t="shared" si="25"/>
        <v>1</v>
      </c>
      <c r="B789" s="175" t="s">
        <v>109</v>
      </c>
      <c r="C789" s="175" t="str">
        <f t="shared" si="26"/>
        <v>Alvenaria Estrutural Bloco de concreto de 8,0 MPA, com argamassa estabilizada</v>
      </c>
      <c r="D789" s="175" t="s">
        <v>571</v>
      </c>
      <c r="E789" s="176" t="s">
        <v>13</v>
      </c>
      <c r="F789" s="175"/>
      <c r="G789" s="177" t="str">
        <f>IF(B789="insumo",_xlfn.XLOOKUP($D789,Insumos!$B$1:$B$764,Insumos!$D$1:$D$764),"")</f>
        <v/>
      </c>
      <c r="H789" s="177" cm="1">
        <f t="array" ref="H789">_xlfn.IFS(B789="Serviço",SUMIFS(H790:$H$3085,C790:$C$3085,$C789),B789="Insumo",F789*G789,B789="Etapa","")</f>
        <v>58.163310258023913</v>
      </c>
      <c r="I789" s="178" t="s">
        <v>195</v>
      </c>
    </row>
    <row r="790" spans="1:9" hidden="1" outlineLevel="2" x14ac:dyDescent="0.25">
      <c r="A790" s="175">
        <f t="shared" si="25"/>
        <v>1</v>
      </c>
      <c r="B790" s="175" t="s">
        <v>327</v>
      </c>
      <c r="C790" s="175" t="str">
        <f t="shared" si="26"/>
        <v>Alvenaria Estrutural Bloco de concreto de 8,0 MPA, com argamassa estabilizada</v>
      </c>
      <c r="D790" s="175" t="s">
        <v>572</v>
      </c>
      <c r="E790" s="176" t="str">
        <f>_xlfn.XLOOKUP(D790,Insumos!$B$1:$B$764,Insumos!$C$1:$C$764)</f>
        <v>UN</v>
      </c>
      <c r="F790" s="179">
        <v>12.146003775959723</v>
      </c>
      <c r="G790" s="177">
        <f>IF(B790="insumo",_xlfn.XLOOKUP($D790,Insumos!$B$1:$B$764,Insumos!$D$1:$D$764),"")</f>
        <v>3.22</v>
      </c>
      <c r="H790" s="177" cm="1">
        <f t="array" ref="H790">_xlfn.IFS(B790="Serviço",SUMIFS(H791:$H$3085,C791:$C$3085,$C790),B790="Insumo",F790*G790,B790="Etapa","")</f>
        <v>39.110132158590311</v>
      </c>
      <c r="I790" s="178"/>
    </row>
    <row r="791" spans="1:9" hidden="1" outlineLevel="2" x14ac:dyDescent="0.25">
      <c r="A791" s="175">
        <f t="shared" si="25"/>
        <v>1</v>
      </c>
      <c r="B791" s="175" t="s">
        <v>327</v>
      </c>
      <c r="C791" s="175" t="str">
        <f t="shared" si="26"/>
        <v>Alvenaria Estrutural Bloco de concreto de 8,0 MPA, com argamassa estabilizada</v>
      </c>
      <c r="D791" s="175" t="s">
        <v>573</v>
      </c>
      <c r="E791" s="176" t="str">
        <f>_xlfn.XLOOKUP(D791,Insumos!$B$1:$B$764,Insumos!$C$1:$C$764)</f>
        <v>UN</v>
      </c>
      <c r="F791" s="179">
        <v>2.5802391441157959</v>
      </c>
      <c r="G791" s="177">
        <f>IF(B791="insumo",_xlfn.XLOOKUP($D791,Insumos!$B$1:$B$764,Insumos!$D$1:$D$764),"")</f>
        <v>4.09</v>
      </c>
      <c r="H791" s="177" cm="1">
        <f t="array" ref="H791">_xlfn.IFS(B791="Serviço",SUMIFS(H792:$H$3085,C792:$C$3085,$C791),B791="Insumo",F791*G791,B791="Etapa","")</f>
        <v>10.553178099433605</v>
      </c>
      <c r="I791" s="178"/>
    </row>
    <row r="792" spans="1:9" hidden="1" outlineLevel="2" x14ac:dyDescent="0.25">
      <c r="A792" s="175">
        <f t="shared" si="25"/>
        <v>15</v>
      </c>
      <c r="B792" s="175" t="s">
        <v>327</v>
      </c>
      <c r="C792" s="175" t="str">
        <f t="shared" si="26"/>
        <v>Alvenaria Estrutural Bloco de concreto de 8,0 MPA, com argamassa estabilizada</v>
      </c>
      <c r="D792" s="175" t="s">
        <v>551</v>
      </c>
      <c r="E792" s="176" t="str">
        <f>_xlfn.XLOOKUP(D792,Insumos!$B$1:$B$764,Insumos!$C$1:$C$764)</f>
        <v>M3</v>
      </c>
      <c r="F792" s="179">
        <v>0.02</v>
      </c>
      <c r="G792" s="177">
        <f>IF(B792="insumo",_xlfn.XLOOKUP($D792,Insumos!$B$1:$B$764,Insumos!$D$1:$D$764),"")</f>
        <v>425</v>
      </c>
      <c r="H792" s="177" cm="1">
        <f t="array" ref="H792">_xlfn.IFS(B792="Serviço",SUMIFS(H793:$H$3085,C793:$C$3085,$C792),B792="Insumo",F792*G792,B792="Etapa","")</f>
        <v>8.5</v>
      </c>
      <c r="I792" s="178"/>
    </row>
    <row r="793" spans="1:9" outlineLevel="1" collapsed="1" x14ac:dyDescent="0.25">
      <c r="A793" s="175">
        <f t="shared" si="25"/>
        <v>1</v>
      </c>
      <c r="B793" s="175" t="s">
        <v>109</v>
      </c>
      <c r="C793" s="175" t="str">
        <f t="shared" si="26"/>
        <v>Grout 15 Mpa</v>
      </c>
      <c r="D793" s="175" t="s">
        <v>574</v>
      </c>
      <c r="E793" s="176" t="s">
        <v>390</v>
      </c>
      <c r="F793" s="175"/>
      <c r="G793" s="177" t="str">
        <f>IF(B793="insumo",_xlfn.XLOOKUP($D793,Insumos!$B$1:$B$764,Insumos!$D$1:$D$764),"")</f>
        <v/>
      </c>
      <c r="H793" s="177" cm="1">
        <f t="array" ref="H793">_xlfn.IFS(B793="Serviço",SUMIFS(H794:$H$3085,C794:$C$3085,$C793),B793="Insumo",F793*G793,B793="Etapa","")</f>
        <v>492.30300000000005</v>
      </c>
      <c r="I793" s="178" t="s">
        <v>195</v>
      </c>
    </row>
    <row r="794" spans="1:9" hidden="1" outlineLevel="2" x14ac:dyDescent="0.25">
      <c r="A794" s="175">
        <f t="shared" si="25"/>
        <v>1</v>
      </c>
      <c r="B794" s="175" t="s">
        <v>327</v>
      </c>
      <c r="C794" s="175" t="str">
        <f t="shared" si="26"/>
        <v>Grout 15 Mpa</v>
      </c>
      <c r="D794" s="175" t="s">
        <v>574</v>
      </c>
      <c r="E794" s="176" t="str">
        <f>_xlfn.XLOOKUP(D794,Insumos!$B$1:$B$764,Insumos!$C$1:$C$764)</f>
        <v>M3</v>
      </c>
      <c r="F794" s="179">
        <v>1.05</v>
      </c>
      <c r="G794" s="177">
        <f>IF(B794="insumo",_xlfn.XLOOKUP($D794,Insumos!$B$1:$B$764,Insumos!$D$1:$D$764),"")</f>
        <v>468.86</v>
      </c>
      <c r="H794" s="177" cm="1">
        <f t="array" ref="H794">_xlfn.IFS(B794="Serviço",SUMIFS(H795:$H$3085,C795:$C$3085,$C794),B794="Insumo",F794*G794,B794="Etapa","")</f>
        <v>492.30300000000005</v>
      </c>
      <c r="I794" s="178"/>
    </row>
    <row r="795" spans="1:9" outlineLevel="1" collapsed="1" x14ac:dyDescent="0.25">
      <c r="A795" s="175">
        <f t="shared" si="25"/>
        <v>1</v>
      </c>
      <c r="B795" s="175" t="s">
        <v>109</v>
      </c>
      <c r="C795" s="175" t="str">
        <f t="shared" si="26"/>
        <v>Grout 20 Mpa</v>
      </c>
      <c r="D795" s="175" t="s">
        <v>575</v>
      </c>
      <c r="E795" s="176" t="s">
        <v>390</v>
      </c>
      <c r="F795" s="175"/>
      <c r="G795" s="177" t="str">
        <f>IF(B795="insumo",_xlfn.XLOOKUP($D795,Insumos!$B$1:$B$764,Insumos!$D$1:$D$764),"")</f>
        <v/>
      </c>
      <c r="H795" s="177" cm="1">
        <f t="array" ref="H795">_xlfn.IFS(B795="Serviço",SUMIFS(H796:$H$3085,C796:$C$3085,$C795),B795="Insumo",F795*G795,B795="Etapa","")</f>
        <v>518.17500000000007</v>
      </c>
      <c r="I795" s="178" t="s">
        <v>195</v>
      </c>
    </row>
    <row r="796" spans="1:9" hidden="1" outlineLevel="2" x14ac:dyDescent="0.25">
      <c r="A796" s="175">
        <f t="shared" si="25"/>
        <v>1</v>
      </c>
      <c r="B796" s="175" t="s">
        <v>327</v>
      </c>
      <c r="C796" s="175" t="str">
        <f t="shared" si="26"/>
        <v>Grout 20 Mpa</v>
      </c>
      <c r="D796" s="175" t="s">
        <v>575</v>
      </c>
      <c r="E796" s="176" t="str">
        <f>_xlfn.XLOOKUP(D796,Insumos!$B$1:$B$764,Insumos!$C$1:$C$764)</f>
        <v>M3</v>
      </c>
      <c r="F796" s="179">
        <v>1.05</v>
      </c>
      <c r="G796" s="177">
        <f>IF(B796="insumo",_xlfn.XLOOKUP($D796,Insumos!$B$1:$B$764,Insumos!$D$1:$D$764),"")</f>
        <v>493.5</v>
      </c>
      <c r="H796" s="177" cm="1">
        <f t="array" ref="H796">_xlfn.IFS(B796="Serviço",SUMIFS(H797:$H$3085,C797:$C$3085,$C796),B796="Insumo",F796*G796,B796="Etapa","")</f>
        <v>518.17500000000007</v>
      </c>
      <c r="I796" s="178"/>
    </row>
    <row r="797" spans="1:9" outlineLevel="1" collapsed="1" x14ac:dyDescent="0.25">
      <c r="A797" s="175">
        <f t="shared" si="25"/>
        <v>1</v>
      </c>
      <c r="B797" s="175" t="s">
        <v>109</v>
      </c>
      <c r="C797" s="175" t="str">
        <f t="shared" si="26"/>
        <v>Cobogó em cerâmico vazado 20x20cm</v>
      </c>
      <c r="D797" s="175" t="s">
        <v>1177</v>
      </c>
      <c r="E797" s="176" t="s">
        <v>13</v>
      </c>
      <c r="F797" s="175"/>
      <c r="G797" s="177" t="str">
        <f>IF(B797="insumo",_xlfn.XLOOKUP($D797,Insumos!$B$1:$B$764,Insumos!$D$1:$D$764),"")</f>
        <v/>
      </c>
      <c r="H797" s="177" cm="1">
        <f t="array" ref="H797">_xlfn.IFS(B797="Serviço",SUMIFS(H798:$H$3085,C798:$C$3085,$C797),B797="Insumo",F797*G797,B797="Etapa","")</f>
        <v>309.52499999999998</v>
      </c>
      <c r="I797" s="178" t="s">
        <v>195</v>
      </c>
    </row>
    <row r="798" spans="1:9" hidden="1" outlineLevel="2" x14ac:dyDescent="0.25">
      <c r="A798" s="175">
        <f t="shared" si="25"/>
        <v>15</v>
      </c>
      <c r="B798" s="175" t="s">
        <v>327</v>
      </c>
      <c r="C798" s="175" t="str">
        <f t="shared" si="26"/>
        <v>Cobogó em cerâmico vazado 20x20cm</v>
      </c>
      <c r="D798" s="175" t="s">
        <v>551</v>
      </c>
      <c r="E798" s="176" t="str">
        <f>_xlfn.XLOOKUP(D798,Insumos!$B$1:$B$764,Insumos!$C$1:$C$764)</f>
        <v>M3</v>
      </c>
      <c r="F798" s="179">
        <v>2.3E-2</v>
      </c>
      <c r="G798" s="177">
        <f>IF(B798="insumo",_xlfn.XLOOKUP($D798,Insumos!$B$1:$B$764,Insumos!$D$1:$D$764),"")</f>
        <v>425</v>
      </c>
      <c r="H798" s="177" cm="1">
        <f t="array" ref="H798">_xlfn.IFS(B798="Serviço",SUMIFS(H799:$H$3085,C799:$C$3085,$C798),B798="Insumo",F798*G798,B798="Etapa","")</f>
        <v>9.7750000000000004</v>
      </c>
      <c r="I798" s="178"/>
    </row>
    <row r="799" spans="1:9" hidden="1" outlineLevel="2" x14ac:dyDescent="0.25">
      <c r="A799" s="175">
        <f t="shared" si="25"/>
        <v>1</v>
      </c>
      <c r="B799" s="175" t="s">
        <v>327</v>
      </c>
      <c r="C799" s="175" t="str">
        <f t="shared" si="26"/>
        <v>Cobogó em cerâmico vazado 20x20cm</v>
      </c>
      <c r="D799" s="175" t="s">
        <v>577</v>
      </c>
      <c r="E799" s="176" t="str">
        <f>_xlfn.XLOOKUP(D799,Insumos!$B$1:$B$764,Insumos!$C$1:$C$764)</f>
        <v>UN</v>
      </c>
      <c r="F799" s="179">
        <v>25</v>
      </c>
      <c r="G799" s="177">
        <f>IF(B799="insumo",_xlfn.XLOOKUP($D799,Insumos!$B$1:$B$764,Insumos!$D$1:$D$764),"")</f>
        <v>11.99</v>
      </c>
      <c r="H799" s="177" cm="1">
        <f t="array" ref="H799">_xlfn.IFS(B799="Serviço",SUMIFS(H800:$H$3085,C800:$C$3085,$C799),B799="Insumo",F799*G799,B799="Etapa","")</f>
        <v>299.75</v>
      </c>
      <c r="I799" s="178"/>
    </row>
    <row r="800" spans="1:9" outlineLevel="1" collapsed="1" x14ac:dyDescent="0.25">
      <c r="A800" s="175">
        <f t="shared" si="25"/>
        <v>1</v>
      </c>
      <c r="B800" s="175" t="s">
        <v>109</v>
      </c>
      <c r="C800" s="175" t="str">
        <f t="shared" si="26"/>
        <v>Cobogó em concreto vazado 20x20cm</v>
      </c>
      <c r="D800" s="175" t="s">
        <v>576</v>
      </c>
      <c r="E800" s="176" t="s">
        <v>13</v>
      </c>
      <c r="F800" s="175"/>
      <c r="G800" s="177" t="str">
        <f>IF(B800="insumo",_xlfn.XLOOKUP($D800,Insumos!$B$1:$B$764,Insumos!$D$1:$D$764),"")</f>
        <v/>
      </c>
      <c r="H800" s="177" cm="1">
        <f t="array" ref="H800">_xlfn.IFS(B800="Serviço",SUMIFS(H801:$H$3085,C801:$C$3085,$C800),B800="Insumo",F800*G800,B800="Etapa","")</f>
        <v>384.77499999999998</v>
      </c>
      <c r="I800" s="178" t="s">
        <v>195</v>
      </c>
    </row>
    <row r="801" spans="1:9" hidden="1" outlineLevel="2" x14ac:dyDescent="0.25">
      <c r="A801" s="175">
        <f t="shared" si="25"/>
        <v>15</v>
      </c>
      <c r="B801" s="175" t="s">
        <v>327</v>
      </c>
      <c r="C801" s="175" t="str">
        <f t="shared" si="26"/>
        <v>Cobogó em concreto vazado 20x20cm</v>
      </c>
      <c r="D801" s="175" t="s">
        <v>551</v>
      </c>
      <c r="E801" s="176" t="str">
        <f>_xlfn.XLOOKUP(D801,Insumos!$B$1:$B$764,Insumos!$C$1:$C$764)</f>
        <v>M3</v>
      </c>
      <c r="F801" s="179">
        <v>2.3E-2</v>
      </c>
      <c r="G801" s="177">
        <f>IF(B801="insumo",_xlfn.XLOOKUP($D801,Insumos!$B$1:$B$764,Insumos!$D$1:$D$764),"")</f>
        <v>425</v>
      </c>
      <c r="H801" s="177" cm="1">
        <f t="array" ref="H801">_xlfn.IFS(B801="Serviço",SUMIFS(H802:$H$3085,C802:$C$3085,$C801),B801="Insumo",F801*G801,B801="Etapa","")</f>
        <v>9.7750000000000004</v>
      </c>
      <c r="I801" s="178"/>
    </row>
    <row r="802" spans="1:9" hidden="1" outlineLevel="2" x14ac:dyDescent="0.25">
      <c r="A802" s="175">
        <f t="shared" si="25"/>
        <v>1</v>
      </c>
      <c r="B802" s="175" t="s">
        <v>327</v>
      </c>
      <c r="C802" s="175" t="str">
        <f t="shared" si="26"/>
        <v>Cobogó em concreto vazado 20x20cm</v>
      </c>
      <c r="D802" s="175" t="s">
        <v>1178</v>
      </c>
      <c r="E802" s="176" t="str">
        <f>_xlfn.XLOOKUP(D802,Insumos!$B$1:$B$764,Insumos!$C$1:$C$764)</f>
        <v>UN</v>
      </c>
      <c r="F802" s="179">
        <v>25</v>
      </c>
      <c r="G802" s="177">
        <f>IF(B802="insumo",_xlfn.XLOOKUP($D802,Insumos!$B$1:$B$764,Insumos!$D$1:$D$764),"")</f>
        <v>15</v>
      </c>
      <c r="H802" s="177" cm="1">
        <f t="array" ref="H802">_xlfn.IFS(B802="Serviço",SUMIFS(H803:$H$3085,C803:$C$3085,$C802),B802="Insumo",F802*G802,B802="Etapa","")</f>
        <v>375</v>
      </c>
      <c r="I802" s="178"/>
    </row>
    <row r="803" spans="1:9" outlineLevel="1" collapsed="1" x14ac:dyDescent="0.25">
      <c r="A803" s="175">
        <f t="shared" si="25"/>
        <v>1</v>
      </c>
      <c r="B803" s="175" t="s">
        <v>109</v>
      </c>
      <c r="C803" s="175" t="str">
        <f t="shared" si="26"/>
        <v>Tijolo refratário para churrasqueiras 5x11,5x23cm com argamassa</v>
      </c>
      <c r="D803" s="175" t="s">
        <v>578</v>
      </c>
      <c r="E803" s="176" t="s">
        <v>13</v>
      </c>
      <c r="F803" s="175"/>
      <c r="G803" s="177" t="str">
        <f>IF(B803="insumo",_xlfn.XLOOKUP($D803,Insumos!$B$1:$B$764,Insumos!$D$1:$D$764),"")</f>
        <v/>
      </c>
      <c r="H803" s="177" cm="1">
        <f t="array" ref="H803">_xlfn.IFS(B803="Serviço",SUMIFS(H804:$H$3085,C804:$C$3085,$C803),B803="Insumo",F803*G803,B803="Etapa","")</f>
        <v>266.02625</v>
      </c>
      <c r="I803" s="178" t="s">
        <v>195</v>
      </c>
    </row>
    <row r="804" spans="1:9" hidden="1" outlineLevel="2" x14ac:dyDescent="0.25">
      <c r="A804" s="175">
        <f t="shared" si="25"/>
        <v>1</v>
      </c>
      <c r="B804" s="175" t="s">
        <v>327</v>
      </c>
      <c r="C804" s="175" t="str">
        <f t="shared" si="26"/>
        <v>Tijolo refratário para churrasqueiras 5x11,5x23cm com argamassa</v>
      </c>
      <c r="D804" s="175" t="s">
        <v>579</v>
      </c>
      <c r="E804" s="176" t="str">
        <f>_xlfn.XLOOKUP(D804,Insumos!$B$1:$B$764,Insumos!$C$1:$C$764)</f>
        <v>UN</v>
      </c>
      <c r="F804" s="179">
        <v>38</v>
      </c>
      <c r="G804" s="177">
        <f>IF(B804="insumo",_xlfn.XLOOKUP($D804,Insumos!$B$1:$B$764,Insumos!$D$1:$D$764),"")</f>
        <v>7</v>
      </c>
      <c r="H804" s="177" cm="1">
        <f t="array" ref="H804">_xlfn.IFS(B804="Serviço",SUMIFS(H805:$H$3085,C805:$C$3085,$C804),B804="Insumo",F804*G804,B804="Etapa","")</f>
        <v>266</v>
      </c>
      <c r="I804" s="178"/>
    </row>
    <row r="805" spans="1:9" hidden="1" outlineLevel="2" x14ac:dyDescent="0.25">
      <c r="A805" s="175">
        <f t="shared" si="25"/>
        <v>2</v>
      </c>
      <c r="B805" s="175" t="s">
        <v>327</v>
      </c>
      <c r="C805" s="175" t="str">
        <f t="shared" si="26"/>
        <v>Tijolo refratário para churrasqueiras 5x11,5x23cm com argamassa</v>
      </c>
      <c r="D805" s="175" t="s">
        <v>580</v>
      </c>
      <c r="E805" s="176" t="str">
        <f>_xlfn.XLOOKUP(D805,Insumos!$B$1:$B$764,Insumos!$C$1:$C$764)</f>
        <v>M3</v>
      </c>
      <c r="F805" s="179">
        <v>1.4999999999999999E-2</v>
      </c>
      <c r="G805" s="177">
        <f>IF(B805="insumo",_xlfn.XLOOKUP($D805,Insumos!$B$1:$B$764,Insumos!$D$1:$D$764),"")</f>
        <v>1.75</v>
      </c>
      <c r="H805" s="177" cm="1">
        <f t="array" ref="H805">_xlfn.IFS(B805="Serviço",SUMIFS(H806:$H$3085,C806:$C$3085,$C805),B805="Insumo",F805*G805,B805="Etapa","")</f>
        <v>2.6249999999999999E-2</v>
      </c>
      <c r="I805" s="178"/>
    </row>
    <row r="806" spans="1:9" outlineLevel="1" collapsed="1" x14ac:dyDescent="0.25">
      <c r="A806" s="175">
        <f t="shared" si="25"/>
        <v>1</v>
      </c>
      <c r="B806" s="175" t="s">
        <v>109</v>
      </c>
      <c r="C806" s="175" t="str">
        <f t="shared" si="26"/>
        <v>Tijolo refratário para churrasqueiras 2,5x11,5x23cm com argamassa</v>
      </c>
      <c r="D806" s="175" t="s">
        <v>581</v>
      </c>
      <c r="E806" s="176" t="s">
        <v>13</v>
      </c>
      <c r="F806" s="175"/>
      <c r="G806" s="177" t="str">
        <f>IF(B806="insumo",_xlfn.XLOOKUP($D806,Insumos!$B$1:$B$764,Insumos!$D$1:$D$764),"")</f>
        <v/>
      </c>
      <c r="H806" s="177" cm="1">
        <f t="array" ref="H806">_xlfn.IFS(B806="Serviço",SUMIFS(H807:$H$3085,C807:$C$3085,$C806),B806="Insumo",F806*G806,B806="Etapa","")</f>
        <v>226.12625</v>
      </c>
      <c r="I806" s="178" t="s">
        <v>195</v>
      </c>
    </row>
    <row r="807" spans="1:9" hidden="1" outlineLevel="2" x14ac:dyDescent="0.25">
      <c r="A807" s="175">
        <f t="shared" si="25"/>
        <v>1</v>
      </c>
      <c r="B807" s="175" t="s">
        <v>327</v>
      </c>
      <c r="C807" s="175" t="str">
        <f t="shared" si="26"/>
        <v>Tijolo refratário para churrasqueiras 2,5x11,5x23cm com argamassa</v>
      </c>
      <c r="D807" s="175" t="s">
        <v>582</v>
      </c>
      <c r="E807" s="176" t="str">
        <f>_xlfn.XLOOKUP(D807,Insumos!$B$1:$B$764,Insumos!$C$1:$C$764)</f>
        <v>UN</v>
      </c>
      <c r="F807" s="179">
        <v>38</v>
      </c>
      <c r="G807" s="177">
        <f>IF(B807="insumo",_xlfn.XLOOKUP($D807,Insumos!$B$1:$B$764,Insumos!$D$1:$D$764),"")</f>
        <v>5.95</v>
      </c>
      <c r="H807" s="177" cm="1">
        <f t="array" ref="H807">_xlfn.IFS(B807="Serviço",SUMIFS(H808:$H$3085,C808:$C$3085,$C807),B807="Insumo",F807*G807,B807="Etapa","")</f>
        <v>226.1</v>
      </c>
      <c r="I807" s="178"/>
    </row>
    <row r="808" spans="1:9" hidden="1" outlineLevel="2" x14ac:dyDescent="0.25">
      <c r="A808" s="175">
        <f t="shared" si="25"/>
        <v>2</v>
      </c>
      <c r="B808" s="175" t="s">
        <v>327</v>
      </c>
      <c r="C808" s="175" t="str">
        <f t="shared" si="26"/>
        <v>Tijolo refratário para churrasqueiras 2,5x11,5x23cm com argamassa</v>
      </c>
      <c r="D808" s="175" t="s">
        <v>580</v>
      </c>
      <c r="E808" s="176" t="str">
        <f>_xlfn.XLOOKUP(D808,Insumos!$B$1:$B$764,Insumos!$C$1:$C$764)</f>
        <v>M3</v>
      </c>
      <c r="F808" s="179">
        <v>1.4999999999999999E-2</v>
      </c>
      <c r="G808" s="177">
        <f>IF(B808="insumo",_xlfn.XLOOKUP($D808,Insumos!$B$1:$B$764,Insumos!$D$1:$D$764),"")</f>
        <v>1.75</v>
      </c>
      <c r="H808" s="177" cm="1">
        <f t="array" ref="H808">_xlfn.IFS(B808="Serviço",SUMIFS(H809:$H$3085,C809:$C$3085,$C808),B808="Insumo",F808*G808,B808="Etapa","")</f>
        <v>2.6249999999999999E-2</v>
      </c>
      <c r="I808" s="178"/>
    </row>
    <row r="809" spans="1:9" outlineLevel="1" collapsed="1" x14ac:dyDescent="0.25">
      <c r="A809" s="175">
        <f t="shared" si="25"/>
        <v>1</v>
      </c>
      <c r="B809" s="175" t="s">
        <v>109</v>
      </c>
      <c r="C809" s="175" t="str">
        <f t="shared" si="26"/>
        <v>Encunhamento De Alvenaria De Vedação Com Argamassa Expansiva</v>
      </c>
      <c r="D809" s="175" t="s">
        <v>583</v>
      </c>
      <c r="E809" s="176" t="s">
        <v>25</v>
      </c>
      <c r="F809" s="175"/>
      <c r="G809" s="177" t="str">
        <f>IF(B809="insumo",_xlfn.XLOOKUP($D809,Insumos!$B$1:$B$764,Insumos!$D$1:$D$764),"")</f>
        <v/>
      </c>
      <c r="H809" s="177" cm="1">
        <f t="array" ref="H809">_xlfn.IFS(B809="Serviço",SUMIFS(H810:$H$3085,C810:$C$3085,$C809),B809="Insumo",F809*G809,B809="Etapa","")</f>
        <v>14.787500000000001</v>
      </c>
      <c r="I809" s="178" t="s">
        <v>195</v>
      </c>
    </row>
    <row r="810" spans="1:9" hidden="1" outlineLevel="2" x14ac:dyDescent="0.25">
      <c r="A810" s="175">
        <f t="shared" si="25"/>
        <v>15</v>
      </c>
      <c r="B810" s="175" t="s">
        <v>327</v>
      </c>
      <c r="C810" s="175" t="str">
        <f t="shared" si="26"/>
        <v>Encunhamento De Alvenaria De Vedação Com Argamassa Expansiva</v>
      </c>
      <c r="D810" s="175" t="s">
        <v>551</v>
      </c>
      <c r="E810" s="176" t="str">
        <f>_xlfn.XLOOKUP(D810,Insumos!$B$1:$B$764,Insumos!$C$1:$C$764)</f>
        <v>M3</v>
      </c>
      <c r="F810" s="179">
        <v>3.5000000000000001E-3</v>
      </c>
      <c r="G810" s="177">
        <f>IF(B810="insumo",_xlfn.XLOOKUP($D810,Insumos!$B$1:$B$764,Insumos!$D$1:$D$764),"")</f>
        <v>425</v>
      </c>
      <c r="H810" s="177" cm="1">
        <f t="array" ref="H810">_xlfn.IFS(B810="Serviço",SUMIFS(H811:$H$3085,C811:$C$3085,$C810),B810="Insumo",F810*G810,B810="Etapa","")</f>
        <v>1.4875</v>
      </c>
      <c r="I810" s="178"/>
    </row>
    <row r="811" spans="1:9" hidden="1" outlineLevel="2" x14ac:dyDescent="0.25">
      <c r="A811" s="175">
        <f t="shared" si="25"/>
        <v>3</v>
      </c>
      <c r="B811" s="175" t="s">
        <v>327</v>
      </c>
      <c r="C811" s="175" t="str">
        <f t="shared" si="26"/>
        <v>Encunhamento De Alvenaria De Vedação Com Argamassa Expansiva</v>
      </c>
      <c r="D811" s="175" t="s">
        <v>584</v>
      </c>
      <c r="E811" s="176" t="str">
        <f>_xlfn.XLOOKUP(D811,Insumos!$B$1:$B$764,Insumos!$C$1:$C$764)</f>
        <v>KG</v>
      </c>
      <c r="F811" s="179">
        <v>7.0000000000000007E-2</v>
      </c>
      <c r="G811" s="177">
        <f>IF(B811="insumo",_xlfn.XLOOKUP($D811,Insumos!$B$1:$B$764,Insumos!$D$1:$D$764),"")</f>
        <v>190</v>
      </c>
      <c r="H811" s="177" cm="1">
        <f t="array" ref="H811">_xlfn.IFS(B811="Serviço",SUMIFS(H812:$H$3085,C812:$C$3085,$C811),B811="Insumo",F811*G811,B811="Etapa","")</f>
        <v>13.3</v>
      </c>
      <c r="I811" s="178"/>
    </row>
    <row r="812" spans="1:9" outlineLevel="1" collapsed="1" x14ac:dyDescent="0.25">
      <c r="A812" s="175">
        <f t="shared" si="25"/>
        <v>1</v>
      </c>
      <c r="B812" s="175" t="s">
        <v>109</v>
      </c>
      <c r="C812" s="175" t="str">
        <f t="shared" si="26"/>
        <v>Encunhamento De Alvenaria De Vedação Com Argamassa para encunhmento</v>
      </c>
      <c r="D812" s="175" t="s">
        <v>1179</v>
      </c>
      <c r="E812" s="176" t="s">
        <v>25</v>
      </c>
      <c r="F812" s="175"/>
      <c r="G812" s="177" t="str">
        <f>IF(B812="insumo",_xlfn.XLOOKUP($D812,Insumos!$B$1:$B$764,Insumos!$D$1:$D$764),"")</f>
        <v/>
      </c>
      <c r="H812" s="177" cm="1">
        <f t="array" ref="H812">_xlfn.IFS(B812="Serviço",SUMIFS(H813:$H$3085,C813:$C$3085,$C812),B812="Insumo",F812*G812,B812="Etapa","")</f>
        <v>15.265566400000001</v>
      </c>
      <c r="I812" s="178" t="s">
        <v>195</v>
      </c>
    </row>
    <row r="813" spans="1:9" hidden="1" outlineLevel="2" x14ac:dyDescent="0.25">
      <c r="A813" s="175">
        <f t="shared" si="25"/>
        <v>1</v>
      </c>
      <c r="B813" s="175" t="s">
        <v>327</v>
      </c>
      <c r="C813" s="175" t="str">
        <f t="shared" si="26"/>
        <v>Encunhamento De Alvenaria De Vedação Com Argamassa para encunhmento</v>
      </c>
      <c r="D813" s="175" t="s">
        <v>1180</v>
      </c>
      <c r="E813" s="176" t="str">
        <f>_xlfn.XLOOKUP(D813,Insumos!$B$1:$B$764,Insumos!$C$1:$C$764)</f>
        <v>kg</v>
      </c>
      <c r="F813" s="179">
        <v>0.76719999999999999</v>
      </c>
      <c r="G813" s="177">
        <f>IF(B813="insumo",_xlfn.XLOOKUP($D813,Insumos!$B$1:$B$764,Insumos!$D$1:$D$764),"")</f>
        <v>2.5619999999999998</v>
      </c>
      <c r="H813" s="177" cm="1">
        <f t="array" ref="H813">_xlfn.IFS(B813="Serviço",SUMIFS(H814:$H$3085,C814:$C$3085,$C813),B813="Insumo",F813*G813,B813="Etapa","")</f>
        <v>1.9655663999999999</v>
      </c>
      <c r="I813" s="178"/>
    </row>
    <row r="814" spans="1:9" hidden="1" outlineLevel="2" x14ac:dyDescent="0.25">
      <c r="A814" s="175">
        <f t="shared" si="25"/>
        <v>3</v>
      </c>
      <c r="B814" s="175" t="s">
        <v>327</v>
      </c>
      <c r="C814" s="175" t="str">
        <f t="shared" si="26"/>
        <v>Encunhamento De Alvenaria De Vedação Com Argamassa para encunhmento</v>
      </c>
      <c r="D814" s="175" t="s">
        <v>584</v>
      </c>
      <c r="E814" s="176" t="str">
        <f>_xlfn.XLOOKUP(D814,Insumos!$B$1:$B$764,Insumos!$C$1:$C$764)</f>
        <v>KG</v>
      </c>
      <c r="F814" s="179">
        <v>7.0000000000000007E-2</v>
      </c>
      <c r="G814" s="177">
        <f>IF(B814="insumo",_xlfn.XLOOKUP($D814,Insumos!$B$1:$B$764,Insumos!$D$1:$D$764),"")</f>
        <v>190</v>
      </c>
      <c r="H814" s="177" cm="1">
        <f t="array" ref="H814">_xlfn.IFS(B814="Serviço",SUMIFS(H815:$H$3085,C815:$C$3085,$C814),B814="Insumo",F814*G814,B814="Etapa","")</f>
        <v>13.3</v>
      </c>
      <c r="I814" s="178"/>
    </row>
    <row r="815" spans="1:9" outlineLevel="1" x14ac:dyDescent="0.25">
      <c r="A815" s="175">
        <f t="shared" si="25"/>
        <v>1</v>
      </c>
      <c r="B815" s="175" t="s">
        <v>109</v>
      </c>
      <c r="C815" s="175" t="str">
        <f t="shared" si="26"/>
        <v>Tela soldada para ligacao alvenaria/estrutura</v>
      </c>
      <c r="D815" s="175" t="s">
        <v>585</v>
      </c>
      <c r="E815" s="176" t="s">
        <v>131</v>
      </c>
      <c r="F815" s="175"/>
      <c r="G815" s="177" t="str">
        <f>IF(B815="insumo",_xlfn.XLOOKUP($D815,Insumos!$B$1:$B$764,Insumos!$D$1:$D$764),"")</f>
        <v/>
      </c>
      <c r="H815" s="177" cm="1">
        <f t="array" ref="H815">_xlfn.IFS(B815="Serviço",SUMIFS(H816:$H$3085,C816:$C$3085,$C815),B815="Insumo",F815*G815,B815="Etapa","")</f>
        <v>4.1071999999999997</v>
      </c>
      <c r="I815" s="178" t="s">
        <v>195</v>
      </c>
    </row>
    <row r="816" spans="1:9" outlineLevel="2" x14ac:dyDescent="0.25">
      <c r="A816" s="175">
        <f t="shared" si="25"/>
        <v>2</v>
      </c>
      <c r="B816" s="175" t="s">
        <v>327</v>
      </c>
      <c r="C816" s="175" t="str">
        <f t="shared" si="26"/>
        <v>Tela soldada para ligacao alvenaria/estrutura</v>
      </c>
      <c r="D816" s="175" t="s">
        <v>586</v>
      </c>
      <c r="E816" s="176" t="str">
        <f>_xlfn.XLOOKUP(D816,Insumos!$B$1:$B$764,Insumos!$C$1:$C$764)</f>
        <v>UN</v>
      </c>
      <c r="F816" s="179">
        <v>2</v>
      </c>
      <c r="G816" s="177">
        <f>IF(B816="insumo",_xlfn.XLOOKUP($D816,Insumos!$B$1:$B$764,Insumos!$D$1:$D$764),"")</f>
        <v>0.43359999999999999</v>
      </c>
      <c r="H816" s="177" cm="1">
        <f t="array" ref="H816">_xlfn.IFS(B816="Serviço",SUMIFS(H817:$H$3085,C817:$C$3085,$C816),B816="Insumo",F816*G816,B816="Etapa","")</f>
        <v>0.86719999999999997</v>
      </c>
      <c r="I816" s="178"/>
    </row>
    <row r="817" spans="1:9" outlineLevel="2" x14ac:dyDescent="0.25">
      <c r="A817" s="175">
        <f t="shared" si="25"/>
        <v>2</v>
      </c>
      <c r="B817" s="175" t="s">
        <v>327</v>
      </c>
      <c r="C817" s="175" t="str">
        <f t="shared" si="26"/>
        <v>Tela soldada para ligacao alvenaria/estrutura</v>
      </c>
      <c r="D817" s="175" t="s">
        <v>587</v>
      </c>
      <c r="E817" s="176" t="str">
        <f>_xlfn.XLOOKUP(D817,Insumos!$B$1:$B$764,Insumos!$C$1:$C$764)</f>
        <v>UN</v>
      </c>
      <c r="F817" s="179">
        <v>1</v>
      </c>
      <c r="G817" s="177">
        <f>IF(B817="insumo",_xlfn.XLOOKUP($D817,Insumos!$B$1:$B$764,Insumos!$D$1:$D$764),"")</f>
        <v>2.5</v>
      </c>
      <c r="H817" s="177" cm="1">
        <f t="array" ref="H817">_xlfn.IFS(B817="Serviço",SUMIFS(H818:$H$3085,C818:$C$3085,$C817),B817="Insumo",F817*G817,B817="Etapa","")</f>
        <v>2.5</v>
      </c>
      <c r="I817" s="178"/>
    </row>
    <row r="818" spans="1:9" outlineLevel="2" x14ac:dyDescent="0.25">
      <c r="A818" s="175">
        <f t="shared" si="25"/>
        <v>2</v>
      </c>
      <c r="B818" s="175" t="s">
        <v>327</v>
      </c>
      <c r="C818" s="175" t="str">
        <f t="shared" si="26"/>
        <v>Tela soldada para ligacao alvenaria/estrutura</v>
      </c>
      <c r="D818" s="175" t="s">
        <v>588</v>
      </c>
      <c r="E818" s="176" t="str">
        <f>_xlfn.XLOOKUP(D818,Insumos!$B$1:$B$764,Insumos!$C$1:$C$764)</f>
        <v>UN</v>
      </c>
      <c r="F818" s="179">
        <v>2</v>
      </c>
      <c r="G818" s="177">
        <f>IF(B818="insumo",_xlfn.XLOOKUP($D818,Insumos!$B$1:$B$764,Insumos!$D$1:$D$764),"")</f>
        <v>0.37</v>
      </c>
      <c r="H818" s="177" cm="1">
        <f t="array" ref="H818">_xlfn.IFS(B818="Serviço",SUMIFS(H819:$H$3085,C819:$C$3085,$C818),B818="Insumo",F818*G818,B818="Etapa","")</f>
        <v>0.74</v>
      </c>
      <c r="I818" s="178"/>
    </row>
    <row r="819" spans="1:9" outlineLevel="1" collapsed="1" x14ac:dyDescent="0.25">
      <c r="A819" s="175">
        <f t="shared" si="25"/>
        <v>1</v>
      </c>
      <c r="B819" s="175" t="s">
        <v>109</v>
      </c>
      <c r="C819" s="175" t="str">
        <f t="shared" si="26"/>
        <v>Verga/contraverga de concreto, moldada in loco</v>
      </c>
      <c r="D819" s="175" t="s">
        <v>167</v>
      </c>
      <c r="E819" s="176" t="s">
        <v>131</v>
      </c>
      <c r="F819" s="175"/>
      <c r="G819" s="177" t="str">
        <f>IF(B819="insumo",_xlfn.XLOOKUP($D819,Insumos!$B$1:$B$764,Insumos!$D$1:$D$764),"")</f>
        <v/>
      </c>
      <c r="H819" s="177" cm="1">
        <f t="array" ref="H819">_xlfn.IFS(B819="Serviço",SUMIFS(H820:$H$3085,C820:$C$3085,$C819),B819="Insumo",F819*G819,B819="Etapa","")</f>
        <v>80.381544640000001</v>
      </c>
      <c r="I819" s="178" t="s">
        <v>195</v>
      </c>
    </row>
    <row r="820" spans="1:9" hidden="1" outlineLevel="2" x14ac:dyDescent="0.25">
      <c r="A820" s="175">
        <f t="shared" si="25"/>
        <v>5</v>
      </c>
      <c r="B820" s="175" t="s">
        <v>327</v>
      </c>
      <c r="C820" s="175" t="str">
        <f t="shared" si="26"/>
        <v>Verga/contraverga de concreto, moldada in loco</v>
      </c>
      <c r="D820" s="175" t="s">
        <v>433</v>
      </c>
      <c r="E820" s="176" t="str">
        <f>_xlfn.XLOOKUP(D820,Insumos!$B$1:$B$764,Insumos!$C$1:$C$764)</f>
        <v>KG</v>
      </c>
      <c r="F820" s="179">
        <v>0.87690000000000001</v>
      </c>
      <c r="G820" s="177">
        <f>IF(B820="insumo",_xlfn.XLOOKUP($D820,Insumos!$B$1:$B$764,Insumos!$D$1:$D$764),"")</f>
        <v>6.04</v>
      </c>
      <c r="H820" s="177" cm="1">
        <f t="array" ref="H820">_xlfn.IFS(B820="Serviço",SUMIFS(H821:$H$3085,C821:$C$3085,$C820),B820="Insumo",F820*G820,B820="Etapa","")</f>
        <v>5.2964760000000002</v>
      </c>
      <c r="I820" s="178"/>
    </row>
    <row r="821" spans="1:9" hidden="1" outlineLevel="2" x14ac:dyDescent="0.25">
      <c r="A821" s="175">
        <f t="shared" si="25"/>
        <v>36</v>
      </c>
      <c r="B821" s="175" t="s">
        <v>327</v>
      </c>
      <c r="C821" s="175" t="str">
        <f t="shared" si="26"/>
        <v>Verga/contraverga de concreto, moldada in loco</v>
      </c>
      <c r="D821" s="175" t="s">
        <v>349</v>
      </c>
      <c r="E821" s="176" t="str">
        <f>_xlfn.XLOOKUP(D821,Insumos!$B$1:$B$764,Insumos!$C$1:$C$764)</f>
        <v>KG</v>
      </c>
      <c r="F821" s="179">
        <v>9.7280000000000005E-3</v>
      </c>
      <c r="G821" s="177">
        <f>IF(B821="insumo",_xlfn.XLOOKUP($D821,Insumos!$B$1:$B$764,Insumos!$D$1:$D$764),"")</f>
        <v>18.13</v>
      </c>
      <c r="H821" s="177" cm="1">
        <f t="array" ref="H821">_xlfn.IFS(B821="Serviço",SUMIFS(H822:$H$3085,C822:$C$3085,$C821),B821="Insumo",F821*G821,B821="Etapa","")</f>
        <v>0.17636863999999999</v>
      </c>
      <c r="I821" s="178"/>
    </row>
    <row r="822" spans="1:9" hidden="1" outlineLevel="2" x14ac:dyDescent="0.25">
      <c r="A822" s="175">
        <f t="shared" si="25"/>
        <v>1</v>
      </c>
      <c r="B822" s="175" t="s">
        <v>327</v>
      </c>
      <c r="C822" s="175" t="str">
        <f t="shared" si="26"/>
        <v>Verga/contraverga de concreto, moldada in loco</v>
      </c>
      <c r="D822" s="175" t="s">
        <v>589</v>
      </c>
      <c r="E822" s="176" t="str">
        <f>_xlfn.XLOOKUP(D822,Insumos!$B$1:$B$764,Insumos!$C$1:$C$764)</f>
        <v>M2</v>
      </c>
      <c r="F822" s="179">
        <v>6</v>
      </c>
      <c r="G822" s="177">
        <f>IF(B822="insumo",_xlfn.XLOOKUP($D822,Insumos!$B$1:$B$764,Insumos!$D$1:$D$764),"")</f>
        <v>0.43</v>
      </c>
      <c r="H822" s="177" cm="1">
        <f t="array" ref="H822">_xlfn.IFS(B822="Serviço",SUMIFS(H823:$H$3085,C823:$C$3085,$C822),B822="Insumo",F822*G822,B822="Etapa","")</f>
        <v>2.58</v>
      </c>
      <c r="I822" s="178"/>
    </row>
    <row r="823" spans="1:9" hidden="1" outlineLevel="2" x14ac:dyDescent="0.25">
      <c r="A823" s="175">
        <f t="shared" si="25"/>
        <v>4</v>
      </c>
      <c r="B823" s="175" t="s">
        <v>327</v>
      </c>
      <c r="C823" s="175" t="str">
        <f t="shared" si="26"/>
        <v>Verga/contraverga de concreto, moldada in loco</v>
      </c>
      <c r="D823" s="175" t="s">
        <v>457</v>
      </c>
      <c r="E823" s="176" t="str">
        <f>_xlfn.XLOOKUP(D823,Insumos!$B$1:$B$764,Insumos!$C$1:$C$764)</f>
        <v>M3</v>
      </c>
      <c r="F823" s="179">
        <v>3.2000000000000001E-2</v>
      </c>
      <c r="G823" s="177">
        <f>IF(B823="insumo",_xlfn.XLOOKUP($D823,Insumos!$B$1:$B$764,Insumos!$D$1:$D$764),"")</f>
        <v>510</v>
      </c>
      <c r="H823" s="177" cm="1">
        <f t="array" ref="H823">_xlfn.IFS(B823="Serviço",SUMIFS(H824:$H$3085,C824:$C$3085,$C823),B823="Insumo",F823*G823,B823="Etapa","")</f>
        <v>16.32</v>
      </c>
      <c r="I823" s="178"/>
    </row>
    <row r="824" spans="1:9" hidden="1" outlineLevel="2" x14ac:dyDescent="0.25">
      <c r="A824" s="175">
        <f t="shared" si="25"/>
        <v>9</v>
      </c>
      <c r="B824" s="175" t="s">
        <v>327</v>
      </c>
      <c r="C824" s="175" t="str">
        <f t="shared" si="26"/>
        <v>Verga/contraverga de concreto, moldada in loco</v>
      </c>
      <c r="D824" s="175" t="s">
        <v>450</v>
      </c>
      <c r="E824" s="176" t="str">
        <f>_xlfn.XLOOKUP(D824,Insumos!$B$1:$B$764,Insumos!$C$1:$C$764)</f>
        <v>L</v>
      </c>
      <c r="F824" s="179">
        <v>8.9999999999999993E-3</v>
      </c>
      <c r="G824" s="177">
        <f>IF(B824="insumo",_xlfn.XLOOKUP($D824,Insumos!$B$1:$B$764,Insumos!$D$1:$D$764),"")</f>
        <v>15.55</v>
      </c>
      <c r="H824" s="177" cm="1">
        <f t="array" ref="H824">_xlfn.IFS(B824="Serviço",SUMIFS(H825:$H$3085,C825:$C$3085,$C824),B824="Insumo",F824*G824,B824="Etapa","")</f>
        <v>0.13994999999999999</v>
      </c>
      <c r="I824" s="182"/>
    </row>
    <row r="825" spans="1:9" hidden="1" outlineLevel="2" x14ac:dyDescent="0.25">
      <c r="A825" s="175">
        <f t="shared" si="25"/>
        <v>8</v>
      </c>
      <c r="B825" s="175" t="s">
        <v>327</v>
      </c>
      <c r="C825" s="175" t="str">
        <f t="shared" si="26"/>
        <v>Verga/contraverga de concreto, moldada in loco</v>
      </c>
      <c r="D825" s="175" t="s">
        <v>368</v>
      </c>
      <c r="E825" s="176" t="str">
        <f>_xlfn.XLOOKUP(D825,Insumos!$B$1:$B$764,Insumos!$C$1:$C$764)</f>
        <v>M3</v>
      </c>
      <c r="F825" s="179">
        <v>1.5225000000000001E-2</v>
      </c>
      <c r="G825" s="177">
        <f>IF(B825="insumo",_xlfn.XLOOKUP($D825,Insumos!$B$1:$B$764,Insumos!$D$1:$D$764),"")</f>
        <v>1100</v>
      </c>
      <c r="H825" s="177" cm="1">
        <f t="array" ref="H825">_xlfn.IFS(B825="Serviço",SUMIFS(H826:$H$3085,C826:$C$3085,$C825),B825="Insumo",F825*G825,B825="Etapa","")</f>
        <v>16.747500000000002</v>
      </c>
      <c r="I825" s="178"/>
    </row>
    <row r="826" spans="1:9" hidden="1" outlineLevel="2" x14ac:dyDescent="0.25">
      <c r="A826" s="175">
        <f t="shared" si="25"/>
        <v>18</v>
      </c>
      <c r="B826" s="175" t="s">
        <v>327</v>
      </c>
      <c r="C826" s="175" t="str">
        <f t="shared" si="26"/>
        <v>Verga/contraverga de concreto, moldada in loco</v>
      </c>
      <c r="D826" s="175" t="s">
        <v>373</v>
      </c>
      <c r="E826" s="176" t="str">
        <f>_xlfn.XLOOKUP(D826,Insumos!$B$1:$B$764,Insumos!$C$1:$C$764)</f>
        <v>M3</v>
      </c>
      <c r="F826" s="179">
        <v>1.8749999999999999E-3</v>
      </c>
      <c r="G826" s="177">
        <f>IF(B826="insumo",_xlfn.XLOOKUP($D826,Insumos!$B$1:$B$764,Insumos!$D$1:$D$764),"")</f>
        <v>1350</v>
      </c>
      <c r="H826" s="177" cm="1">
        <f t="array" ref="H826">_xlfn.IFS(B826="Serviço",SUMIFS(H827:$H$3085,C827:$C$3085,$C826),B826="Insumo",F826*G826,B826="Etapa","")</f>
        <v>2.53125</v>
      </c>
      <c r="I826" s="178"/>
    </row>
    <row r="827" spans="1:9" hidden="1" outlineLevel="2" x14ac:dyDescent="0.25">
      <c r="A827" s="175">
        <f t="shared" si="25"/>
        <v>5</v>
      </c>
      <c r="B827" s="175" t="s">
        <v>327</v>
      </c>
      <c r="C827" s="175" t="str">
        <f t="shared" si="26"/>
        <v>Verga/contraverga de concreto, moldada in loco</v>
      </c>
      <c r="D827" s="175" t="s">
        <v>451</v>
      </c>
      <c r="E827" s="176" t="str">
        <f>_xlfn.XLOOKUP(D827,Insumos!$B$1:$B$764,Insumos!$C$1:$C$764)</f>
        <v>M</v>
      </c>
      <c r="F827" s="179">
        <v>0.86175223739990581</v>
      </c>
      <c r="G827" s="177">
        <f>IF(B827="insumo",_xlfn.XLOOKUP($D827,Insumos!$B$1:$B$764,Insumos!$D$1:$D$764),"")</f>
        <v>42.46</v>
      </c>
      <c r="H827" s="177" cm="1">
        <f t="array" ref="H827">_xlfn.IFS(B827="Serviço",SUMIFS(H828:$H$3085,C828:$C$3085,$C827),B827="Insumo",F827*G827,B827="Etapa","")</f>
        <v>36.590000000000003</v>
      </c>
      <c r="I827" s="178"/>
    </row>
    <row r="828" spans="1:9" outlineLevel="1" collapsed="1" x14ac:dyDescent="0.25">
      <c r="A828" s="175">
        <f t="shared" si="25"/>
        <v>1</v>
      </c>
      <c r="B828" s="175" t="s">
        <v>109</v>
      </c>
      <c r="C828" s="175" t="str">
        <f t="shared" si="26"/>
        <v>Estrutura e fechamento em drywall Parede Drywall montande 48</v>
      </c>
      <c r="D828" s="175" t="s">
        <v>590</v>
      </c>
      <c r="E828" s="176" t="s">
        <v>13</v>
      </c>
      <c r="F828" s="175"/>
      <c r="G828" s="177" t="s">
        <v>124</v>
      </c>
      <c r="H828" s="177" cm="1">
        <f t="array" ref="H828">_xlfn.IFS(B828="Serviço",SUMIFS(H829:$H$3085,C829:$C$3085,$C828),B828="Insumo",F828*G828,B828="Etapa","")</f>
        <v>377.8363900815155</v>
      </c>
      <c r="I828" s="178" t="s">
        <v>195</v>
      </c>
    </row>
    <row r="829" spans="1:9" hidden="1" outlineLevel="2" x14ac:dyDescent="0.25">
      <c r="A829" s="175">
        <f t="shared" si="25"/>
        <v>2</v>
      </c>
      <c r="B829" s="175" t="s">
        <v>327</v>
      </c>
      <c r="C829" s="175" t="str">
        <f t="shared" si="26"/>
        <v>Estrutura e fechamento em drywall Parede Drywall montande 48</v>
      </c>
      <c r="D829" s="175" t="s">
        <v>591</v>
      </c>
      <c r="E829" s="176" t="s">
        <v>13</v>
      </c>
      <c r="F829" s="179">
        <v>1</v>
      </c>
      <c r="G829" s="177">
        <f>IF(B829="insumo",_xlfn.XLOOKUP($D829,Insumos!$B$1:$B$764,Insumos!$D$1:$D$764),"")</f>
        <v>377.8363900815155</v>
      </c>
      <c r="H829" s="177" cm="1">
        <f t="array" ref="H829">_xlfn.IFS(B829="Serviço",SUMIFS(H830:$H$3085,C830:$C$3085,$C829),B829="Insumo",F829*G829,B829="Etapa","")</f>
        <v>377.8363900815155</v>
      </c>
      <c r="I829" s="178"/>
    </row>
    <row r="830" spans="1:9" outlineLevel="1" collapsed="1" x14ac:dyDescent="0.25">
      <c r="A830" s="175">
        <f t="shared" si="25"/>
        <v>1</v>
      </c>
      <c r="B830" s="175" t="s">
        <v>109</v>
      </c>
      <c r="C830" s="175" t="str">
        <f t="shared" si="26"/>
        <v>Estrutura e fechamento em drywall Parede Drywall montande 90</v>
      </c>
      <c r="D830" s="175" t="s">
        <v>592</v>
      </c>
      <c r="E830" s="176" t="s">
        <v>13</v>
      </c>
      <c r="F830" s="175"/>
      <c r="G830" s="177" t="s">
        <v>124</v>
      </c>
      <c r="H830" s="177" cm="1">
        <f t="array" ref="H830">_xlfn.IFS(B830="Serviço",SUMIFS(H831:$H$3085,C831:$C$3085,$C830),B830="Insumo",F830*G830,B830="Etapa","")</f>
        <v>377.8363900815155</v>
      </c>
      <c r="I830" s="178" t="s">
        <v>195</v>
      </c>
    </row>
    <row r="831" spans="1:9" hidden="1" outlineLevel="2" x14ac:dyDescent="0.25">
      <c r="A831" s="175">
        <f t="shared" si="25"/>
        <v>2</v>
      </c>
      <c r="B831" s="175" t="s">
        <v>327</v>
      </c>
      <c r="C831" s="175" t="str">
        <f t="shared" si="26"/>
        <v>Estrutura e fechamento em drywall Parede Drywall montande 90</v>
      </c>
      <c r="D831" s="175" t="s">
        <v>591</v>
      </c>
      <c r="E831" s="176" t="s">
        <v>13</v>
      </c>
      <c r="F831" s="179">
        <v>1</v>
      </c>
      <c r="G831" s="177">
        <f>IF(B831="insumo",_xlfn.XLOOKUP($D831,Insumos!$B$1:$B$764,Insumos!$D$1:$D$764),"")</f>
        <v>377.8363900815155</v>
      </c>
      <c r="H831" s="177" cm="1">
        <f t="array" ref="H831">_xlfn.IFS(B831="Serviço",SUMIFS(H832:$H$3085,C832:$C$3085,$C831),B831="Insumo",F831*G831,B831="Etapa","")</f>
        <v>377.8363900815155</v>
      </c>
      <c r="I831" s="178"/>
    </row>
    <row r="832" spans="1:9" outlineLevel="1" collapsed="1" x14ac:dyDescent="0.25">
      <c r="A832" s="175">
        <f t="shared" si="25"/>
        <v>1</v>
      </c>
      <c r="B832" s="175" t="s">
        <v>109</v>
      </c>
      <c r="C832" s="175" t="str">
        <f t="shared" si="26"/>
        <v>Reforços Para Paredes em Drywall</v>
      </c>
      <c r="D832" s="175" t="s">
        <v>593</v>
      </c>
      <c r="E832" s="176" t="s">
        <v>13</v>
      </c>
      <c r="F832" s="175"/>
      <c r="G832" s="177" t="s">
        <v>124</v>
      </c>
      <c r="H832" s="177" cm="1">
        <f t="array" ref="H832">_xlfn.IFS(B832="Serviço",SUMIFS(H833:$H$3085,C833:$C$3085,$C832),B832="Insumo",F832*G832,B832="Etapa","")</f>
        <v>58.988734923708691</v>
      </c>
      <c r="I832" s="178" t="s">
        <v>195</v>
      </c>
    </row>
    <row r="833" spans="1:9" hidden="1" outlineLevel="2" x14ac:dyDescent="0.25">
      <c r="A833" s="175">
        <f t="shared" si="25"/>
        <v>1</v>
      </c>
      <c r="B833" s="175" t="s">
        <v>327</v>
      </c>
      <c r="C833" s="175" t="str">
        <f t="shared" si="26"/>
        <v>Reforços Para Paredes em Drywall</v>
      </c>
      <c r="D833" s="175" t="s">
        <v>593</v>
      </c>
      <c r="E833" s="176" t="s">
        <v>13</v>
      </c>
      <c r="F833" s="179">
        <v>1</v>
      </c>
      <c r="G833" s="177">
        <f>IF(B833="insumo",_xlfn.XLOOKUP($D833,Insumos!$B$1:$B$764,Insumos!$D$1:$D$764),"")</f>
        <v>58.988734923708691</v>
      </c>
      <c r="H833" s="177" cm="1">
        <f t="array" ref="H833">_xlfn.IFS(B833="Serviço",SUMIFS(H834:$H$3085,C834:$C$3085,$C833),B833="Insumo",F833*G833,B833="Etapa","")</f>
        <v>58.988734923708691</v>
      </c>
      <c r="I833" s="178"/>
    </row>
    <row r="834" spans="1:9" outlineLevel="1" collapsed="1" x14ac:dyDescent="0.25">
      <c r="A834" s="175">
        <f t="shared" ref="A834:A897" si="27">COUNTIFS($D$2:$D$3085,D834,$B$2:$B$3085,B834)</f>
        <v>1</v>
      </c>
      <c r="B834" s="175" t="s">
        <v>109</v>
      </c>
      <c r="C834" s="175" t="str">
        <f t="shared" si="26"/>
        <v>Fechamento de Shaft em Alvenaria convencional de 9x19x19cm</v>
      </c>
      <c r="D834" s="175" t="s">
        <v>1735</v>
      </c>
      <c r="E834" s="176" t="s">
        <v>13</v>
      </c>
      <c r="F834" s="175"/>
      <c r="G834" s="177" t="str">
        <f>IF(B834="insumo",_xlfn.XLOOKUP($D834,Insumos!$B$1:$B$764,Insumos!$D$1:$D$764),"")</f>
        <v/>
      </c>
      <c r="H834" s="177" cm="1">
        <f t="array" ref="H834">_xlfn.IFS(B834="Serviço",SUMIFS(H835:$H$3085,C835:$C$3085,$C834),B834="Insumo",F834*G834,B834="Etapa","")</f>
        <v>39.985453999999997</v>
      </c>
      <c r="I834" s="178" t="s">
        <v>195</v>
      </c>
    </row>
    <row r="835" spans="1:9" hidden="1" outlineLevel="2" x14ac:dyDescent="0.25">
      <c r="A835" s="175">
        <f t="shared" si="27"/>
        <v>2</v>
      </c>
      <c r="B835" s="175" t="s">
        <v>327</v>
      </c>
      <c r="C835" s="175" t="str">
        <f t="shared" si="26"/>
        <v>Fechamento de Shaft em Alvenaria convencional de 9x19x19cm</v>
      </c>
      <c r="D835" s="175" t="s">
        <v>535</v>
      </c>
      <c r="E835" s="176" t="str">
        <f>_xlfn.XLOOKUP(D835,Insumos!$B$1:$B$764,Insumos!$C$1:$C$764)</f>
        <v>UN</v>
      </c>
      <c r="F835" s="179">
        <f>ROUNDUP(1/(0.19*0.19),)</f>
        <v>28</v>
      </c>
      <c r="G835" s="177">
        <f>IF(B835="insumo",_xlfn.XLOOKUP($D835,Insumos!$B$1:$B$764,Insumos!$D$1:$D$764),"")</f>
        <v>0.99</v>
      </c>
      <c r="H835" s="177" cm="1">
        <f t="array" ref="H835">_xlfn.IFS(B835="Serviço",SUMIFS(H836:$H$3085,C836:$C$3085,$C835),B835="Insumo",F835*G835,B835="Etapa","")</f>
        <v>27.72</v>
      </c>
      <c r="I835" s="178"/>
    </row>
    <row r="836" spans="1:9" hidden="1" outlineLevel="2" x14ac:dyDescent="0.25">
      <c r="A836" s="175">
        <f t="shared" si="27"/>
        <v>23</v>
      </c>
      <c r="B836" s="175" t="s">
        <v>327</v>
      </c>
      <c r="C836" s="175" t="str">
        <f t="shared" si="26"/>
        <v>Fechamento de Shaft em Alvenaria convencional de 9x19x19cm</v>
      </c>
      <c r="D836" s="175" t="s">
        <v>536</v>
      </c>
      <c r="E836" s="176" t="str">
        <f>_xlfn.XLOOKUP(D836,Insumos!$B$1:$B$764,Insumos!$C$1:$C$764)</f>
        <v>M3</v>
      </c>
      <c r="F836" s="179">
        <v>0.02</v>
      </c>
      <c r="G836" s="177">
        <f>IF(B836="insumo",_xlfn.XLOOKUP($D836,Insumos!$B$1:$B$764,Insumos!$D$1:$D$764),"")</f>
        <v>425</v>
      </c>
      <c r="H836" s="177" cm="1">
        <f t="array" ref="H836">_xlfn.IFS(B836="Serviço",SUMIFS(H837:$H$3085,C837:$C$3085,$C836),B836="Insumo",F836*G836,B836="Etapa","")</f>
        <v>8.5</v>
      </c>
      <c r="I836" s="178"/>
    </row>
    <row r="837" spans="1:9" hidden="1" outlineLevel="2" x14ac:dyDescent="0.25">
      <c r="A837" s="175">
        <f t="shared" si="27"/>
        <v>28</v>
      </c>
      <c r="B837" s="175" t="s">
        <v>327</v>
      </c>
      <c r="C837" s="175" t="str">
        <f t="shared" si="26"/>
        <v>Fechamento de Shaft em Alvenaria convencional de 9x19x19cm</v>
      </c>
      <c r="D837" s="175" t="s">
        <v>600</v>
      </c>
      <c r="E837" s="176" t="str">
        <f>_xlfn.XLOOKUP(D837,Insumos!$B$1:$B$764,Insumos!$C$1:$C$764)</f>
        <v>KG</v>
      </c>
      <c r="F837" s="179">
        <v>1.0978000000000001</v>
      </c>
      <c r="G837" s="177">
        <f>IF(B837="insumo",_xlfn.XLOOKUP($D837,Insumos!$B$1:$B$764,Insumos!$D$1:$D$764),"")</f>
        <v>3.43</v>
      </c>
      <c r="H837" s="177" cm="1">
        <f t="array" ref="H837">_xlfn.IFS(B837="Serviço",SUMIFS(H838:$H$3085,C838:$C$3085,$C837),B837="Insumo",F837*G837,B837="Etapa","")</f>
        <v>3.7654540000000005</v>
      </c>
      <c r="I837" s="178"/>
    </row>
    <row r="838" spans="1:9" outlineLevel="1" x14ac:dyDescent="0.25">
      <c r="A838" s="175">
        <f t="shared" si="27"/>
        <v>1</v>
      </c>
      <c r="B838" s="175" t="s">
        <v>109</v>
      </c>
      <c r="C838" s="175" t="str">
        <f t="shared" si="26"/>
        <v>Parede Com Sistema Em Chapas De Gesso Para Drywall, Uso Interno, Montante 48mm, Com Uma Face Simples Standart (ST/48)</v>
      </c>
      <c r="D838" s="175" t="s">
        <v>2826</v>
      </c>
      <c r="E838" s="176" t="s">
        <v>13</v>
      </c>
      <c r="F838" s="175"/>
      <c r="G838" s="177" t="str">
        <f>IF(B838="insumo",_xlfn.XLOOKUP($D838,Insumos!$B$1:$B$764,Insumos!$D$1:$D$764),"")</f>
        <v/>
      </c>
      <c r="H838" s="177" cm="1">
        <f t="array" ref="H838">_xlfn.IFS(B838="Serviço",SUMIFS(H839:$H$3085,C839:$C$3085,$C838),B838="Insumo",F838*G838,B838="Etapa","")</f>
        <v>117.26077524999999</v>
      </c>
      <c r="I838" s="178" t="s">
        <v>195</v>
      </c>
    </row>
    <row r="839" spans="1:9" outlineLevel="2" x14ac:dyDescent="0.25">
      <c r="A839" s="175">
        <f t="shared" si="27"/>
        <v>24</v>
      </c>
      <c r="B839" s="175" t="s">
        <v>327</v>
      </c>
      <c r="C839" s="175" t="str">
        <f t="shared" si="26"/>
        <v>Parede Com Sistema Em Chapas De Gesso Para Drywall, Uso Interno, Montante 48mm, Com Uma Face Simples Standart (ST/48)</v>
      </c>
      <c r="D839" s="175" t="s">
        <v>595</v>
      </c>
      <c r="E839" s="176" t="str">
        <f>_xlfn.XLOOKUP(D839,Insumos!$B$1:$B$764,Insumos!$C$1:$C$764)</f>
        <v>M2</v>
      </c>
      <c r="F839" s="179">
        <v>1</v>
      </c>
      <c r="G839" s="177">
        <f>IF(B839="insumo",_xlfn.XLOOKUP($D839,Insumos!$B$1:$B$764,Insumos!$D$1:$D$764),"")</f>
        <v>70</v>
      </c>
      <c r="H839" s="177" cm="1">
        <f t="array" ref="H839">_xlfn.IFS(B839="Serviço",SUMIFS(H840:$H$3085,C840:$C$3085,$C839),B839="Insumo",F839*G839,B839="Etapa","")</f>
        <v>70</v>
      </c>
      <c r="I839" s="178"/>
    </row>
    <row r="840" spans="1:9" outlineLevel="2" x14ac:dyDescent="0.25">
      <c r="A840" s="175">
        <f t="shared" si="27"/>
        <v>14</v>
      </c>
      <c r="B840" s="175" t="s">
        <v>327</v>
      </c>
      <c r="C840" s="175" t="str">
        <f t="shared" si="26"/>
        <v>Parede Com Sistema Em Chapas De Gesso Para Drywall, Uso Interno, Montante 48mm, Com Uma Face Simples Standart (ST/48)</v>
      </c>
      <c r="D840" s="175" t="s">
        <v>596</v>
      </c>
      <c r="E840" s="176" t="str">
        <f>_xlfn.XLOOKUP(D840,Insumos!$B$1:$B$764,Insumos!$C$1:$C$764)</f>
        <v>M2</v>
      </c>
      <c r="F840" s="179">
        <v>1.0529999999999999</v>
      </c>
      <c r="G840" s="177">
        <f>IF(B840="insumo",_xlfn.XLOOKUP($D840,Insumos!$B$1:$B$764,Insumos!$D$1:$D$764),"")</f>
        <v>18.40625</v>
      </c>
      <c r="H840" s="177" cm="1">
        <f t="array" ref="H840">_xlfn.IFS(B840="Serviço",SUMIFS(H841:$H$3085,C841:$C$3085,$C840),B840="Insumo",F840*G840,B840="Etapa","")</f>
        <v>19.38178125</v>
      </c>
      <c r="I840" s="178"/>
    </row>
    <row r="841" spans="1:9" outlineLevel="2" x14ac:dyDescent="0.25">
      <c r="A841" s="175">
        <f t="shared" si="27"/>
        <v>30</v>
      </c>
      <c r="B841" s="175" t="s">
        <v>327</v>
      </c>
      <c r="C841" s="175" t="str">
        <f t="shared" si="26"/>
        <v>Parede Com Sistema Em Chapas De Gesso Para Drywall, Uso Interno, Montante 48mm, Com Uma Face Simples Standart (ST/48)</v>
      </c>
      <c r="D841" s="175" t="s">
        <v>597</v>
      </c>
      <c r="E841" s="176" t="str">
        <f>_xlfn.XLOOKUP(D841,Insumos!$B$1:$B$764,Insumos!$C$1:$C$764)</f>
        <v>UN</v>
      </c>
      <c r="F841" s="179">
        <v>2.48</v>
      </c>
      <c r="G841" s="177">
        <f>IF(B841="insumo",_xlfn.XLOOKUP($D841,Insumos!$B$1:$B$764,Insumos!$D$1:$D$764),"")</f>
        <v>0.504</v>
      </c>
      <c r="H841" s="177" cm="1">
        <f t="array" ref="H841">_xlfn.IFS(B841="Serviço",SUMIFS(H842:$H$3085,C842:$C$3085,$C841),B841="Insumo",F841*G841,B841="Etapa","")</f>
        <v>1.2499199999999999</v>
      </c>
      <c r="I841" s="178"/>
    </row>
    <row r="842" spans="1:9" outlineLevel="2" x14ac:dyDescent="0.25">
      <c r="A842" s="175">
        <f t="shared" si="27"/>
        <v>8</v>
      </c>
      <c r="B842" s="175" t="s">
        <v>327</v>
      </c>
      <c r="C842" s="175" t="str">
        <f t="shared" si="26"/>
        <v>Parede Com Sistema Em Chapas De Gesso Para Drywall, Uso Interno, Montante 48mm, Com Uma Face Simples Standart (ST/48)</v>
      </c>
      <c r="D842" s="175" t="s">
        <v>598</v>
      </c>
      <c r="E842" s="176" t="str">
        <f>_xlfn.XLOOKUP(D842,Insumos!$B$1:$B$764,Insumos!$C$1:$C$764)</f>
        <v>M</v>
      </c>
      <c r="F842" s="179">
        <v>0.76239999999999997</v>
      </c>
      <c r="G842" s="177">
        <f>IF(B842="insumo",_xlfn.XLOOKUP($D842,Insumos!$B$1:$B$764,Insumos!$D$1:$D$764),"")</f>
        <v>7.03</v>
      </c>
      <c r="H842" s="177" cm="1">
        <f t="array" ref="H842">_xlfn.IFS(B842="Serviço",SUMIFS(H843:$H$3085,C843:$C$3085,$C842),B842="Insumo",F842*G842,B842="Etapa","")</f>
        <v>5.3596719999999998</v>
      </c>
      <c r="I842" s="178"/>
    </row>
    <row r="843" spans="1:9" outlineLevel="2" x14ac:dyDescent="0.25">
      <c r="A843" s="175">
        <f t="shared" si="27"/>
        <v>8</v>
      </c>
      <c r="B843" s="175" t="s">
        <v>327</v>
      </c>
      <c r="C843" s="175" t="str">
        <f t="shared" si="26"/>
        <v>Parede Com Sistema Em Chapas De Gesso Para Drywall, Uso Interno, Montante 48mm, Com Uma Face Simples Standart (ST/48)</v>
      </c>
      <c r="D843" s="175" t="s">
        <v>599</v>
      </c>
      <c r="E843" s="176" t="str">
        <f>_xlfn.XLOOKUP(D843,Insumos!$B$1:$B$764,Insumos!$C$1:$C$764)</f>
        <v>M</v>
      </c>
      <c r="F843" s="179">
        <v>2.0005999999999999</v>
      </c>
      <c r="G843" s="177">
        <f>IF(B843="insumo",_xlfn.XLOOKUP($D843,Insumos!$B$1:$B$764,Insumos!$D$1:$D$764),"")</f>
        <v>7.98</v>
      </c>
      <c r="H843" s="177" cm="1">
        <f t="array" ref="H843">_xlfn.IFS(B843="Serviço",SUMIFS(H844:$H$3085,C844:$C$3085,$C843),B843="Insumo",F843*G843,B843="Etapa","")</f>
        <v>15.964788</v>
      </c>
      <c r="I843" s="178"/>
    </row>
    <row r="844" spans="1:9" outlineLevel="2" x14ac:dyDescent="0.25">
      <c r="A844" s="175">
        <f t="shared" si="27"/>
        <v>28</v>
      </c>
      <c r="B844" s="175" t="s">
        <v>327</v>
      </c>
      <c r="C844" s="175" t="str">
        <f t="shared" si="26"/>
        <v>Parede Com Sistema Em Chapas De Gesso Para Drywall, Uso Interno, Montante 48mm, Com Uma Face Simples Standart (ST/48)</v>
      </c>
      <c r="D844" s="175" t="s">
        <v>600</v>
      </c>
      <c r="E844" s="176" t="str">
        <f>_xlfn.XLOOKUP(D844,Insumos!$B$1:$B$764,Insumos!$C$1:$C$764)</f>
        <v>KG</v>
      </c>
      <c r="F844" s="179">
        <v>0.54890000000000005</v>
      </c>
      <c r="G844" s="177">
        <f>IF(B844="insumo",_xlfn.XLOOKUP($D844,Insumos!$B$1:$B$764,Insumos!$D$1:$D$764),"")</f>
        <v>3.43</v>
      </c>
      <c r="H844" s="177" cm="1">
        <f t="array" ref="H844">_xlfn.IFS(B844="Serviço",SUMIFS(H845:$H$3085,C845:$C$3085,$C844),B844="Insumo",F844*G844,B844="Etapa","")</f>
        <v>1.8827270000000003</v>
      </c>
      <c r="I844" s="178"/>
    </row>
    <row r="845" spans="1:9" outlineLevel="2" x14ac:dyDescent="0.25">
      <c r="A845" s="175">
        <f t="shared" si="27"/>
        <v>27</v>
      </c>
      <c r="B845" s="175" t="s">
        <v>327</v>
      </c>
      <c r="C845" s="175" t="str">
        <f t="shared" si="26"/>
        <v>Parede Com Sistema Em Chapas De Gesso Para Drywall, Uso Interno, Montante 48mm, Com Uma Face Simples Standart (ST/48)</v>
      </c>
      <c r="D845" s="175" t="s">
        <v>601</v>
      </c>
      <c r="E845" s="176" t="str">
        <f>_xlfn.XLOOKUP(D845,Insumos!$B$1:$B$764,Insumos!$C$1:$C$764)</f>
        <v>M</v>
      </c>
      <c r="F845" s="179">
        <v>1.2513000000000001</v>
      </c>
      <c r="G845" s="177">
        <f>IF(B845="insumo",_xlfn.XLOOKUP($D845,Insumos!$B$1:$B$764,Insumos!$D$1:$D$764),"")</f>
        <v>0.31</v>
      </c>
      <c r="H845" s="177" cm="1">
        <f t="array" ref="H845">_xlfn.IFS(B845="Serviço",SUMIFS(H846:$H$3085,C846:$C$3085,$C845),B845="Insumo",F845*G845,B845="Etapa","")</f>
        <v>0.387903</v>
      </c>
      <c r="I845" s="178"/>
    </row>
    <row r="846" spans="1:9" outlineLevel="2" x14ac:dyDescent="0.25">
      <c r="A846" s="175">
        <f t="shared" si="27"/>
        <v>27</v>
      </c>
      <c r="B846" s="175" t="s">
        <v>327</v>
      </c>
      <c r="C846" s="175" t="str">
        <f t="shared" si="26"/>
        <v>Parede Com Sistema Em Chapas De Gesso Para Drywall, Uso Interno, Montante 48mm, Com Uma Face Simples Standart (ST/48)</v>
      </c>
      <c r="D846" s="175" t="s">
        <v>602</v>
      </c>
      <c r="E846" s="176" t="str">
        <f>_xlfn.XLOOKUP(D846,Insumos!$B$1:$B$764,Insumos!$C$1:$C$764)</f>
        <v>M</v>
      </c>
      <c r="F846" s="179">
        <v>0.74070000000000003</v>
      </c>
      <c r="G846" s="177">
        <f>IF(B846="insumo",_xlfn.XLOOKUP($D846,Insumos!$B$1:$B$764,Insumos!$D$1:$D$764),"")</f>
        <v>2.74</v>
      </c>
      <c r="H846" s="177" cm="1">
        <f t="array" ref="H846">_xlfn.IFS(B846="Serviço",SUMIFS(H847:$H$3085,C847:$C$3085,$C846),B846="Insumo",F846*G846,B846="Etapa","")</f>
        <v>2.0295180000000004</v>
      </c>
      <c r="I846" s="178"/>
    </row>
    <row r="847" spans="1:9" outlineLevel="2" x14ac:dyDescent="0.25">
      <c r="A847" s="175">
        <f t="shared" si="27"/>
        <v>28</v>
      </c>
      <c r="B847" s="175" t="s">
        <v>327</v>
      </c>
      <c r="C847" s="175" t="str">
        <f t="shared" si="26"/>
        <v>Parede Com Sistema Em Chapas De Gesso Para Drywall, Uso Interno, Montante 48mm, Com Uma Face Simples Standart (ST/48)</v>
      </c>
      <c r="D847" s="175" t="s">
        <v>603</v>
      </c>
      <c r="E847" s="176" t="str">
        <f>_xlfn.XLOOKUP(D847,Insumos!$B$1:$B$764,Insumos!$C$1:$C$764)</f>
        <v>UN</v>
      </c>
      <c r="F847" s="179">
        <v>10.093400000000001</v>
      </c>
      <c r="G847" s="177">
        <f>IF(B847="insumo",_xlfn.XLOOKUP($D847,Insumos!$B$1:$B$764,Insumos!$D$1:$D$764),"")</f>
        <v>0.09</v>
      </c>
      <c r="H847" s="177" cm="1">
        <f t="array" ref="H847">_xlfn.IFS(B847="Serviço",SUMIFS(H848:$H$3085,C848:$C$3085,$C847),B847="Insumo",F847*G847,B847="Etapa","")</f>
        <v>0.90840600000000005</v>
      </c>
      <c r="I847" s="178"/>
    </row>
    <row r="848" spans="1:9" outlineLevel="2" x14ac:dyDescent="0.25">
      <c r="A848" s="175">
        <f t="shared" si="27"/>
        <v>28</v>
      </c>
      <c r="B848" s="175" t="s">
        <v>327</v>
      </c>
      <c r="C848" s="175" t="str">
        <f t="shared" si="26"/>
        <v>Parede Com Sistema Em Chapas De Gesso Para Drywall, Uso Interno, Montante 48mm, Com Uma Face Simples Standart (ST/48)</v>
      </c>
      <c r="D848" s="175" t="s">
        <v>604</v>
      </c>
      <c r="E848" s="176" t="str">
        <f>_xlfn.XLOOKUP(D848,Insumos!$B$1:$B$764,Insumos!$C$1:$C$764)</f>
        <v>UN</v>
      </c>
      <c r="F848" s="179">
        <v>0.4803</v>
      </c>
      <c r="G848" s="177">
        <f>IF(B848="insumo",_xlfn.XLOOKUP($D848,Insumos!$B$1:$B$764,Insumos!$D$1:$D$764),"")</f>
        <v>0.2</v>
      </c>
      <c r="H848" s="177" cm="1">
        <f t="array" ref="H848">_xlfn.IFS(B848="Serviço",SUMIFS(H849:$H$3085,C849:$C$3085,$C848),B848="Insumo",F848*G848,B848="Etapa","")</f>
        <v>9.6060000000000006E-2</v>
      </c>
      <c r="I848" s="178"/>
    </row>
    <row r="849" spans="1:9" outlineLevel="1" collapsed="1" x14ac:dyDescent="0.25">
      <c r="A849" s="175">
        <f t="shared" si="27"/>
        <v>1</v>
      </c>
      <c r="B849" s="175" t="s">
        <v>109</v>
      </c>
      <c r="C849" s="175" t="str">
        <f t="shared" si="26"/>
        <v>Parede Com Sistema Em Chapas De Gesso Para Drywall, Uso Interno, Montante 48mm, Com Uma Face Resistente a Umidade (RU/48)</v>
      </c>
      <c r="D849" s="175" t="s">
        <v>2827</v>
      </c>
      <c r="E849" s="176" t="s">
        <v>13</v>
      </c>
      <c r="F849" s="175"/>
      <c r="G849" s="177" t="str">
        <f>IF(B849="insumo",_xlfn.XLOOKUP($D849,Insumos!$B$1:$B$764,Insumos!$D$1:$D$764),"")</f>
        <v/>
      </c>
      <c r="H849" s="177" cm="1">
        <f t="array" ref="H849">_xlfn.IFS(B849="Serviço",SUMIFS(H850:$H$3085,C850:$C$3085,$C849),B849="Insumo",F849*G849,B849="Etapa","")</f>
        <v>128.620744</v>
      </c>
      <c r="I849" s="178" t="s">
        <v>195</v>
      </c>
    </row>
    <row r="850" spans="1:9" hidden="1" outlineLevel="2" x14ac:dyDescent="0.25">
      <c r="A850" s="175">
        <f t="shared" si="27"/>
        <v>24</v>
      </c>
      <c r="B850" s="175" t="s">
        <v>327</v>
      </c>
      <c r="C850" s="175" t="str">
        <f t="shared" ref="C850:C913" si="28">IF(B850="serviço",D850,C849)</f>
        <v>Parede Com Sistema Em Chapas De Gesso Para Drywall, Uso Interno, Montante 48mm, Com Uma Face Resistente a Umidade (RU/48)</v>
      </c>
      <c r="D850" s="175" t="s">
        <v>595</v>
      </c>
      <c r="E850" s="176" t="str">
        <f>_xlfn.XLOOKUP(D850,Insumos!$B$1:$B$764,Insumos!$C$1:$C$764)</f>
        <v>M2</v>
      </c>
      <c r="F850" s="179">
        <v>1</v>
      </c>
      <c r="G850" s="177">
        <f>IF(B850="insumo",_xlfn.XLOOKUP($D850,Insumos!$B$1:$B$764,Insumos!$D$1:$D$764),"")</f>
        <v>70</v>
      </c>
      <c r="H850" s="177" cm="1">
        <f t="array" ref="H850">_xlfn.IFS(B850="Serviço",SUMIFS(H851:$H$3085,C851:$C$3085,$C850),B850="Insumo",F850*G850,B850="Etapa","")</f>
        <v>70</v>
      </c>
      <c r="I850" s="178"/>
    </row>
    <row r="851" spans="1:9" hidden="1" outlineLevel="2" x14ac:dyDescent="0.25">
      <c r="A851" s="175">
        <f t="shared" si="27"/>
        <v>16</v>
      </c>
      <c r="B851" s="175" t="s">
        <v>327</v>
      </c>
      <c r="C851" s="175" t="str">
        <f t="shared" si="28"/>
        <v>Parede Com Sistema Em Chapas De Gesso Para Drywall, Uso Interno, Montante 48mm, Com Uma Face Resistente a Umidade (RU/48)</v>
      </c>
      <c r="D851" s="175" t="s">
        <v>612</v>
      </c>
      <c r="E851" s="176" t="str">
        <f>_xlfn.XLOOKUP(D851,Insumos!$B$1:$B$764,Insumos!$C$1:$C$764)</f>
        <v>M2</v>
      </c>
      <c r="F851" s="179">
        <v>1.0529999999999999</v>
      </c>
      <c r="G851" s="177">
        <f>IF(B851="insumo",_xlfn.XLOOKUP($D851,Insumos!$B$1:$B$764,Insumos!$D$1:$D$764),"")</f>
        <v>29.194444444444446</v>
      </c>
      <c r="H851" s="177" cm="1">
        <f t="array" ref="H851">_xlfn.IFS(B851="Serviço",SUMIFS(H852:$H$3085,C852:$C$3085,$C851),B851="Insumo",F851*G851,B851="Etapa","")</f>
        <v>30.74175</v>
      </c>
      <c r="I851" s="178"/>
    </row>
    <row r="852" spans="1:9" hidden="1" outlineLevel="2" x14ac:dyDescent="0.25">
      <c r="A852" s="175">
        <f t="shared" si="27"/>
        <v>30</v>
      </c>
      <c r="B852" s="175" t="s">
        <v>327</v>
      </c>
      <c r="C852" s="175" t="str">
        <f t="shared" si="28"/>
        <v>Parede Com Sistema Em Chapas De Gesso Para Drywall, Uso Interno, Montante 48mm, Com Uma Face Resistente a Umidade (RU/48)</v>
      </c>
      <c r="D852" s="175" t="s">
        <v>597</v>
      </c>
      <c r="E852" s="176" t="str">
        <f>_xlfn.XLOOKUP(D852,Insumos!$B$1:$B$764,Insumos!$C$1:$C$764)</f>
        <v>UN</v>
      </c>
      <c r="F852" s="179">
        <v>2.48</v>
      </c>
      <c r="G852" s="177">
        <f>IF(B852="insumo",_xlfn.XLOOKUP($D852,Insumos!$B$1:$B$764,Insumos!$D$1:$D$764),"")</f>
        <v>0.504</v>
      </c>
      <c r="H852" s="177" cm="1">
        <f t="array" ref="H852">_xlfn.IFS(B852="Serviço",SUMIFS(H853:$H$3085,C853:$C$3085,$C852),B852="Insumo",F852*G852,B852="Etapa","")</f>
        <v>1.2499199999999999</v>
      </c>
      <c r="I852" s="178"/>
    </row>
    <row r="853" spans="1:9" hidden="1" outlineLevel="2" x14ac:dyDescent="0.25">
      <c r="A853" s="175">
        <f t="shared" si="27"/>
        <v>8</v>
      </c>
      <c r="B853" s="175" t="s">
        <v>327</v>
      </c>
      <c r="C853" s="175" t="str">
        <f t="shared" si="28"/>
        <v>Parede Com Sistema Em Chapas De Gesso Para Drywall, Uso Interno, Montante 48mm, Com Uma Face Resistente a Umidade (RU/48)</v>
      </c>
      <c r="D853" s="175" t="s">
        <v>598</v>
      </c>
      <c r="E853" s="176" t="str">
        <f>_xlfn.XLOOKUP(D853,Insumos!$B$1:$B$764,Insumos!$C$1:$C$764)</f>
        <v>M</v>
      </c>
      <c r="F853" s="179">
        <v>0.76239999999999997</v>
      </c>
      <c r="G853" s="177">
        <f>IF(B853="insumo",_xlfn.XLOOKUP($D853,Insumos!$B$1:$B$764,Insumos!$D$1:$D$764),"")</f>
        <v>7.03</v>
      </c>
      <c r="H853" s="177" cm="1">
        <f t="array" ref="H853">_xlfn.IFS(B853="Serviço",SUMIFS(H854:$H$3085,C854:$C$3085,$C853),B853="Insumo",F853*G853,B853="Etapa","")</f>
        <v>5.3596719999999998</v>
      </c>
      <c r="I853" s="178"/>
    </row>
    <row r="854" spans="1:9" hidden="1" outlineLevel="2" x14ac:dyDescent="0.25">
      <c r="A854" s="175">
        <f t="shared" si="27"/>
        <v>8</v>
      </c>
      <c r="B854" s="175" t="s">
        <v>327</v>
      </c>
      <c r="C854" s="175" t="str">
        <f t="shared" si="28"/>
        <v>Parede Com Sistema Em Chapas De Gesso Para Drywall, Uso Interno, Montante 48mm, Com Uma Face Resistente a Umidade (RU/48)</v>
      </c>
      <c r="D854" s="175" t="s">
        <v>599</v>
      </c>
      <c r="E854" s="176" t="str">
        <f>_xlfn.XLOOKUP(D854,Insumos!$B$1:$B$764,Insumos!$C$1:$C$764)</f>
        <v>M</v>
      </c>
      <c r="F854" s="179">
        <v>2.0005999999999999</v>
      </c>
      <c r="G854" s="177">
        <f>IF(B854="insumo",_xlfn.XLOOKUP($D854,Insumos!$B$1:$B$764,Insumos!$D$1:$D$764),"")</f>
        <v>7.98</v>
      </c>
      <c r="H854" s="177" cm="1">
        <f t="array" ref="H854">_xlfn.IFS(B854="Serviço",SUMIFS(H855:$H$3085,C855:$C$3085,$C854),B854="Insumo",F854*G854,B854="Etapa","")</f>
        <v>15.964788</v>
      </c>
      <c r="I854" s="178"/>
    </row>
    <row r="855" spans="1:9" hidden="1" outlineLevel="2" x14ac:dyDescent="0.25">
      <c r="A855" s="175">
        <f t="shared" si="27"/>
        <v>28</v>
      </c>
      <c r="B855" s="175" t="s">
        <v>327</v>
      </c>
      <c r="C855" s="175" t="str">
        <f t="shared" si="28"/>
        <v>Parede Com Sistema Em Chapas De Gesso Para Drywall, Uso Interno, Montante 48mm, Com Uma Face Resistente a Umidade (RU/48)</v>
      </c>
      <c r="D855" s="175" t="s">
        <v>600</v>
      </c>
      <c r="E855" s="176" t="str">
        <f>_xlfn.XLOOKUP(D855,Insumos!$B$1:$B$764,Insumos!$C$1:$C$764)</f>
        <v>KG</v>
      </c>
      <c r="F855" s="179">
        <v>0.54890000000000005</v>
      </c>
      <c r="G855" s="177">
        <f>IF(B855="insumo",_xlfn.XLOOKUP($D855,Insumos!$B$1:$B$764,Insumos!$D$1:$D$764),"")</f>
        <v>3.43</v>
      </c>
      <c r="H855" s="177" cm="1">
        <f t="array" ref="H855">_xlfn.IFS(B855="Serviço",SUMIFS(H856:$H$3085,C856:$C$3085,$C855),B855="Insumo",F855*G855,B855="Etapa","")</f>
        <v>1.8827270000000003</v>
      </c>
      <c r="I855" s="178"/>
    </row>
    <row r="856" spans="1:9" hidden="1" outlineLevel="2" x14ac:dyDescent="0.25">
      <c r="A856" s="175">
        <f t="shared" si="27"/>
        <v>27</v>
      </c>
      <c r="B856" s="175" t="s">
        <v>327</v>
      </c>
      <c r="C856" s="175" t="str">
        <f t="shared" si="28"/>
        <v>Parede Com Sistema Em Chapas De Gesso Para Drywall, Uso Interno, Montante 48mm, Com Uma Face Resistente a Umidade (RU/48)</v>
      </c>
      <c r="D856" s="175" t="s">
        <v>601</v>
      </c>
      <c r="E856" s="176" t="str">
        <f>_xlfn.XLOOKUP(D856,Insumos!$B$1:$B$764,Insumos!$C$1:$C$764)</f>
        <v>M</v>
      </c>
      <c r="F856" s="179">
        <v>1.2513000000000001</v>
      </c>
      <c r="G856" s="177">
        <f>IF(B856="insumo",_xlfn.XLOOKUP($D856,Insumos!$B$1:$B$764,Insumos!$D$1:$D$764),"")</f>
        <v>0.31</v>
      </c>
      <c r="H856" s="177" cm="1">
        <f t="array" ref="H856">_xlfn.IFS(B856="Serviço",SUMIFS(H857:$H$3085,C857:$C$3085,$C856),B856="Insumo",F856*G856,B856="Etapa","")</f>
        <v>0.387903</v>
      </c>
      <c r="I856" s="178"/>
    </row>
    <row r="857" spans="1:9" hidden="1" outlineLevel="2" x14ac:dyDescent="0.25">
      <c r="A857" s="175">
        <f t="shared" si="27"/>
        <v>27</v>
      </c>
      <c r="B857" s="175" t="s">
        <v>327</v>
      </c>
      <c r="C857" s="175" t="str">
        <f t="shared" si="28"/>
        <v>Parede Com Sistema Em Chapas De Gesso Para Drywall, Uso Interno, Montante 48mm, Com Uma Face Resistente a Umidade (RU/48)</v>
      </c>
      <c r="D857" s="175" t="s">
        <v>602</v>
      </c>
      <c r="E857" s="176" t="str">
        <f>_xlfn.XLOOKUP(D857,Insumos!$B$1:$B$764,Insumos!$C$1:$C$764)</f>
        <v>M</v>
      </c>
      <c r="F857" s="179">
        <v>0.74070000000000003</v>
      </c>
      <c r="G857" s="177">
        <f>IF(B857="insumo",_xlfn.XLOOKUP($D857,Insumos!$B$1:$B$764,Insumos!$D$1:$D$764),"")</f>
        <v>2.74</v>
      </c>
      <c r="H857" s="177" cm="1">
        <f t="array" ref="H857">_xlfn.IFS(B857="Serviço",SUMIFS(H858:$H$3085,C858:$C$3085,$C857),B857="Insumo",F857*G857,B857="Etapa","")</f>
        <v>2.0295180000000004</v>
      </c>
      <c r="I857" s="178"/>
    </row>
    <row r="858" spans="1:9" hidden="1" outlineLevel="2" x14ac:dyDescent="0.25">
      <c r="A858" s="175">
        <f t="shared" si="27"/>
        <v>28</v>
      </c>
      <c r="B858" s="175" t="s">
        <v>327</v>
      </c>
      <c r="C858" s="175" t="str">
        <f t="shared" si="28"/>
        <v>Parede Com Sistema Em Chapas De Gesso Para Drywall, Uso Interno, Montante 48mm, Com Uma Face Resistente a Umidade (RU/48)</v>
      </c>
      <c r="D858" s="175" t="s">
        <v>603</v>
      </c>
      <c r="E858" s="176" t="str">
        <f>_xlfn.XLOOKUP(D858,Insumos!$B$1:$B$764,Insumos!$C$1:$C$764)</f>
        <v>UN</v>
      </c>
      <c r="F858" s="179">
        <v>10.093400000000001</v>
      </c>
      <c r="G858" s="177">
        <f>IF(B858="insumo",_xlfn.XLOOKUP($D858,Insumos!$B$1:$B$764,Insumos!$D$1:$D$764),"")</f>
        <v>0.09</v>
      </c>
      <c r="H858" s="177" cm="1">
        <f t="array" ref="H858">_xlfn.IFS(B858="Serviço",SUMIFS(H859:$H$3085,C859:$C$3085,$C858),B858="Insumo",F858*G858,B858="Etapa","")</f>
        <v>0.90840600000000005</v>
      </c>
      <c r="I858" s="178"/>
    </row>
    <row r="859" spans="1:9" hidden="1" outlineLevel="2" x14ac:dyDescent="0.25">
      <c r="A859" s="175">
        <f t="shared" si="27"/>
        <v>28</v>
      </c>
      <c r="B859" s="175" t="s">
        <v>327</v>
      </c>
      <c r="C859" s="175" t="str">
        <f t="shared" si="28"/>
        <v>Parede Com Sistema Em Chapas De Gesso Para Drywall, Uso Interno, Montante 48mm, Com Uma Face Resistente a Umidade (RU/48)</v>
      </c>
      <c r="D859" s="175" t="s">
        <v>604</v>
      </c>
      <c r="E859" s="176" t="str">
        <f>_xlfn.XLOOKUP(D859,Insumos!$B$1:$B$764,Insumos!$C$1:$C$764)</f>
        <v>UN</v>
      </c>
      <c r="F859" s="179">
        <v>0.4803</v>
      </c>
      <c r="G859" s="177">
        <f>IF(B859="insumo",_xlfn.XLOOKUP($D859,Insumos!$B$1:$B$764,Insumos!$D$1:$D$764),"")</f>
        <v>0.2</v>
      </c>
      <c r="H859" s="177" cm="1">
        <f t="array" ref="H859">_xlfn.IFS(B859="Serviço",SUMIFS(H860:$H$3085,C860:$C$3085,$C859),B859="Insumo",F859*G859,B859="Etapa","")</f>
        <v>9.6060000000000006E-2</v>
      </c>
      <c r="I859" s="178"/>
    </row>
    <row r="860" spans="1:9" outlineLevel="1" collapsed="1" x14ac:dyDescent="0.25">
      <c r="A860" s="175">
        <f t="shared" si="27"/>
        <v>1</v>
      </c>
      <c r="B860" s="175" t="s">
        <v>109</v>
      </c>
      <c r="C860" s="175" t="str">
        <f t="shared" si="28"/>
        <v>Parede Com Sistema Em Chapas De Gesso Para Drywall, Uso Interno, Montante 48mm, Com Duas Face Simples Standart(ST/48/ST)</v>
      </c>
      <c r="D860" s="175" t="s">
        <v>2828</v>
      </c>
      <c r="E860" s="176" t="s">
        <v>13</v>
      </c>
      <c r="F860" s="175"/>
      <c r="G860" s="177" t="str">
        <f>IF(B860="insumo",_xlfn.XLOOKUP($D860,Insumos!$B$1:$B$764,Insumos!$D$1:$D$764),"")</f>
        <v/>
      </c>
      <c r="H860" s="177" cm="1">
        <f t="array" ref="H860">_xlfn.IFS(B860="Serviço",SUMIFS(H861:$H$3085,C861:$C$3085,$C860),B860="Insumo",F860*G860,B860="Etapa","")</f>
        <v>164.41995750000001</v>
      </c>
      <c r="I860" s="178" t="s">
        <v>195</v>
      </c>
    </row>
    <row r="861" spans="1:9" hidden="1" outlineLevel="2" x14ac:dyDescent="0.25">
      <c r="A861" s="175">
        <f t="shared" si="27"/>
        <v>24</v>
      </c>
      <c r="B861" s="175" t="s">
        <v>327</v>
      </c>
      <c r="C861" s="175" t="str">
        <f t="shared" si="28"/>
        <v>Parede Com Sistema Em Chapas De Gesso Para Drywall, Uso Interno, Montante 48mm, Com Duas Face Simples Standart(ST/48/ST)</v>
      </c>
      <c r="D861" s="175" t="s">
        <v>595</v>
      </c>
      <c r="E861" s="176" t="str">
        <f>_xlfn.XLOOKUP(D861,Insumos!$B$1:$B$764,Insumos!$C$1:$C$764)</f>
        <v>M2</v>
      </c>
      <c r="F861" s="179">
        <v>1</v>
      </c>
      <c r="G861" s="177">
        <f>IF(B861="insumo",_xlfn.XLOOKUP($D861,Insumos!$B$1:$B$764,Insumos!$D$1:$D$764),"")</f>
        <v>70</v>
      </c>
      <c r="H861" s="177" cm="1">
        <f t="array" ref="H861">_xlfn.IFS(B861="Serviço",SUMIFS(H862:$H$3085,C862:$C$3085,$C861),B861="Insumo",F861*G861,B861="Etapa","")</f>
        <v>70</v>
      </c>
      <c r="I861" s="178"/>
    </row>
    <row r="862" spans="1:9" hidden="1" outlineLevel="2" x14ac:dyDescent="0.25">
      <c r="A862" s="175">
        <f t="shared" si="27"/>
        <v>14</v>
      </c>
      <c r="B862" s="175" t="s">
        <v>327</v>
      </c>
      <c r="C862" s="175" t="str">
        <f t="shared" si="28"/>
        <v>Parede Com Sistema Em Chapas De Gesso Para Drywall, Uso Interno, Montante 48mm, Com Duas Face Simples Standart(ST/48/ST)</v>
      </c>
      <c r="D862" s="175" t="s">
        <v>596</v>
      </c>
      <c r="E862" s="176" t="str">
        <f>_xlfn.XLOOKUP(D862,Insumos!$B$1:$B$764,Insumos!$C$1:$C$764)</f>
        <v>M2</v>
      </c>
      <c r="F862" s="179">
        <v>2.1059999999999999</v>
      </c>
      <c r="G862" s="177">
        <f>IF(B862="insumo",_xlfn.XLOOKUP($D862,Insumos!$B$1:$B$764,Insumos!$D$1:$D$764),"")</f>
        <v>18.40625</v>
      </c>
      <c r="H862" s="177" cm="1">
        <f t="array" ref="H862">_xlfn.IFS(B862="Serviço",SUMIFS(H863:$H$3085,C863:$C$3085,$C862),B862="Insumo",F862*G862,B862="Etapa","")</f>
        <v>38.763562499999999</v>
      </c>
      <c r="I862" s="178"/>
    </row>
    <row r="863" spans="1:9" hidden="1" outlineLevel="2" x14ac:dyDescent="0.25">
      <c r="A863" s="175">
        <f t="shared" si="27"/>
        <v>30</v>
      </c>
      <c r="B863" s="175" t="s">
        <v>327</v>
      </c>
      <c r="C863" s="175" t="str">
        <f t="shared" si="28"/>
        <v>Parede Com Sistema Em Chapas De Gesso Para Drywall, Uso Interno, Montante 48mm, Com Duas Face Simples Standart(ST/48/ST)</v>
      </c>
      <c r="D863" s="175" t="s">
        <v>597</v>
      </c>
      <c r="E863" s="176" t="str">
        <f>_xlfn.XLOOKUP(D863,Insumos!$B$1:$B$764,Insumos!$C$1:$C$764)</f>
        <v>UN</v>
      </c>
      <c r="F863" s="179">
        <v>4.95</v>
      </c>
      <c r="G863" s="177">
        <f>IF(B863="insumo",_xlfn.XLOOKUP($D863,Insumos!$B$1:$B$764,Insumos!$D$1:$D$764),"")</f>
        <v>0.504</v>
      </c>
      <c r="H863" s="177" cm="1">
        <f t="array" ref="H863">_xlfn.IFS(B863="Serviço",SUMIFS(H864:$H$3085,C864:$C$3085,$C863),B863="Insumo",F863*G863,B863="Etapa","")</f>
        <v>2.4948000000000001</v>
      </c>
      <c r="I863" s="178"/>
    </row>
    <row r="864" spans="1:9" hidden="1" outlineLevel="2" x14ac:dyDescent="0.25">
      <c r="A864" s="175">
        <f t="shared" si="27"/>
        <v>8</v>
      </c>
      <c r="B864" s="175" t="s">
        <v>327</v>
      </c>
      <c r="C864" s="175" t="str">
        <f t="shared" si="28"/>
        <v>Parede Com Sistema Em Chapas De Gesso Para Drywall, Uso Interno, Montante 48mm, Com Duas Face Simples Standart(ST/48/ST)</v>
      </c>
      <c r="D864" s="175" t="s">
        <v>598</v>
      </c>
      <c r="E864" s="176" t="str">
        <f>_xlfn.XLOOKUP(D864,Insumos!$B$1:$B$764,Insumos!$C$1:$C$764)</f>
        <v>M</v>
      </c>
      <c r="F864" s="179">
        <v>1.5247999999999999</v>
      </c>
      <c r="G864" s="177">
        <f>IF(B864="insumo",_xlfn.XLOOKUP($D864,Insumos!$B$1:$B$764,Insumos!$D$1:$D$764),"")</f>
        <v>7.03</v>
      </c>
      <c r="H864" s="177" cm="1">
        <f t="array" ref="H864">_xlfn.IFS(B864="Serviço",SUMIFS(H865:$H$3085,C865:$C$3085,$C864),B864="Insumo",F864*G864,B864="Etapa","")</f>
        <v>10.719344</v>
      </c>
      <c r="I864" s="178"/>
    </row>
    <row r="865" spans="1:9" hidden="1" outlineLevel="2" x14ac:dyDescent="0.25">
      <c r="A865" s="175">
        <f t="shared" si="27"/>
        <v>8</v>
      </c>
      <c r="B865" s="175" t="s">
        <v>327</v>
      </c>
      <c r="C865" s="175" t="str">
        <f t="shared" si="28"/>
        <v>Parede Com Sistema Em Chapas De Gesso Para Drywall, Uso Interno, Montante 48mm, Com Duas Face Simples Standart(ST/48/ST)</v>
      </c>
      <c r="D865" s="175" t="s">
        <v>599</v>
      </c>
      <c r="E865" s="176" t="str">
        <f>_xlfn.XLOOKUP(D865,Insumos!$B$1:$B$764,Insumos!$C$1:$C$764)</f>
        <v>M</v>
      </c>
      <c r="F865" s="179">
        <v>4.0011000000000001</v>
      </c>
      <c r="G865" s="177">
        <f>IF(B865="insumo",_xlfn.XLOOKUP($D865,Insumos!$B$1:$B$764,Insumos!$D$1:$D$764),"")</f>
        <v>7.98</v>
      </c>
      <c r="H865" s="177" cm="1">
        <f t="array" ref="H865">_xlfn.IFS(B865="Serviço",SUMIFS(H866:$H$3085,C866:$C$3085,$C865),B865="Insumo",F865*G865,B865="Etapa","")</f>
        <v>31.928778000000001</v>
      </c>
      <c r="I865" s="178"/>
    </row>
    <row r="866" spans="1:9" hidden="1" outlineLevel="2" x14ac:dyDescent="0.25">
      <c r="A866" s="175">
        <f t="shared" si="27"/>
        <v>28</v>
      </c>
      <c r="B866" s="175" t="s">
        <v>327</v>
      </c>
      <c r="C866" s="175" t="str">
        <f t="shared" si="28"/>
        <v>Parede Com Sistema Em Chapas De Gesso Para Drywall, Uso Interno, Montante 48mm, Com Duas Face Simples Standart(ST/48/ST)</v>
      </c>
      <c r="D866" s="175" t="s">
        <v>600</v>
      </c>
      <c r="E866" s="176" t="str">
        <f>_xlfn.XLOOKUP(D866,Insumos!$B$1:$B$764,Insumos!$C$1:$C$764)</f>
        <v>KG</v>
      </c>
      <c r="F866" s="179">
        <v>1.0978000000000001</v>
      </c>
      <c r="G866" s="177">
        <f>IF(B866="insumo",_xlfn.XLOOKUP($D866,Insumos!$B$1:$B$764,Insumos!$D$1:$D$764),"")</f>
        <v>3.43</v>
      </c>
      <c r="H866" s="177" cm="1">
        <f t="array" ref="H866">_xlfn.IFS(B866="Serviço",SUMIFS(H867:$H$3085,C867:$C$3085,$C866),B866="Insumo",F866*G866,B866="Etapa","")</f>
        <v>3.7654540000000005</v>
      </c>
      <c r="I866" s="178"/>
    </row>
    <row r="867" spans="1:9" hidden="1" outlineLevel="2" x14ac:dyDescent="0.25">
      <c r="A867" s="175">
        <f t="shared" si="27"/>
        <v>27</v>
      </c>
      <c r="B867" s="175" t="s">
        <v>327</v>
      </c>
      <c r="C867" s="175" t="str">
        <f t="shared" si="28"/>
        <v>Parede Com Sistema Em Chapas De Gesso Para Drywall, Uso Interno, Montante 48mm, Com Duas Face Simples Standart(ST/48/ST)</v>
      </c>
      <c r="D867" s="175" t="s">
        <v>601</v>
      </c>
      <c r="E867" s="176" t="str">
        <f>_xlfn.XLOOKUP(D867,Insumos!$B$1:$B$764,Insumos!$C$1:$C$764)</f>
        <v>M</v>
      </c>
      <c r="F867" s="179">
        <v>2.5026999999999999</v>
      </c>
      <c r="G867" s="177">
        <f>IF(B867="insumo",_xlfn.XLOOKUP($D867,Insumos!$B$1:$B$764,Insumos!$D$1:$D$764),"")</f>
        <v>0.31</v>
      </c>
      <c r="H867" s="177" cm="1">
        <f t="array" ref="H867">_xlfn.IFS(B867="Serviço",SUMIFS(H868:$H$3085,C868:$C$3085,$C867),B867="Insumo",F867*G867,B867="Etapa","")</f>
        <v>0.775837</v>
      </c>
      <c r="I867" s="178"/>
    </row>
    <row r="868" spans="1:9" hidden="1" outlineLevel="2" x14ac:dyDescent="0.25">
      <c r="A868" s="175">
        <f t="shared" si="27"/>
        <v>27</v>
      </c>
      <c r="B868" s="175" t="s">
        <v>327</v>
      </c>
      <c r="C868" s="175" t="str">
        <f t="shared" si="28"/>
        <v>Parede Com Sistema Em Chapas De Gesso Para Drywall, Uso Interno, Montante 48mm, Com Duas Face Simples Standart(ST/48/ST)</v>
      </c>
      <c r="D868" s="175" t="s">
        <v>602</v>
      </c>
      <c r="E868" s="176" t="str">
        <f>_xlfn.XLOOKUP(D868,Insumos!$B$1:$B$764,Insumos!$C$1:$C$764)</f>
        <v>M</v>
      </c>
      <c r="F868" s="179">
        <v>1.4815</v>
      </c>
      <c r="G868" s="177">
        <f>IF(B868="insumo",_xlfn.XLOOKUP($D868,Insumos!$B$1:$B$764,Insumos!$D$1:$D$764),"")</f>
        <v>2.74</v>
      </c>
      <c r="H868" s="177" cm="1">
        <f t="array" ref="H868">_xlfn.IFS(B868="Serviço",SUMIFS(H869:$H$3085,C869:$C$3085,$C868),B868="Insumo",F868*G868,B868="Etapa","")</f>
        <v>4.0593100000000009</v>
      </c>
      <c r="I868" s="178"/>
    </row>
    <row r="869" spans="1:9" hidden="1" outlineLevel="2" x14ac:dyDescent="0.25">
      <c r="A869" s="175">
        <f t="shared" si="27"/>
        <v>28</v>
      </c>
      <c r="B869" s="175" t="s">
        <v>327</v>
      </c>
      <c r="C869" s="175" t="str">
        <f t="shared" si="28"/>
        <v>Parede Com Sistema Em Chapas De Gesso Para Drywall, Uso Interno, Montante 48mm, Com Duas Face Simples Standart(ST/48/ST)</v>
      </c>
      <c r="D869" s="175" t="s">
        <v>603</v>
      </c>
      <c r="E869" s="176" t="str">
        <f>_xlfn.XLOOKUP(D869,Insumos!$B$1:$B$764,Insumos!$C$1:$C$764)</f>
        <v>UN</v>
      </c>
      <c r="F869" s="179">
        <v>20.186800000000002</v>
      </c>
      <c r="G869" s="177">
        <f>IF(B869="insumo",_xlfn.XLOOKUP($D869,Insumos!$B$1:$B$764,Insumos!$D$1:$D$764),"")</f>
        <v>0.09</v>
      </c>
      <c r="H869" s="177" cm="1">
        <f t="array" ref="H869">_xlfn.IFS(B869="Serviço",SUMIFS(H870:$H$3085,C870:$C$3085,$C869),B869="Insumo",F869*G869,B869="Etapa","")</f>
        <v>1.8168120000000001</v>
      </c>
      <c r="I869" s="178"/>
    </row>
    <row r="870" spans="1:9" hidden="1" outlineLevel="2" x14ac:dyDescent="0.25">
      <c r="A870" s="175">
        <f t="shared" si="27"/>
        <v>28</v>
      </c>
      <c r="B870" s="175" t="s">
        <v>327</v>
      </c>
      <c r="C870" s="175" t="str">
        <f t="shared" si="28"/>
        <v>Parede Com Sistema Em Chapas De Gesso Para Drywall, Uso Interno, Montante 48mm, Com Duas Face Simples Standart(ST/48/ST)</v>
      </c>
      <c r="D870" s="175" t="s">
        <v>604</v>
      </c>
      <c r="E870" s="176" t="str">
        <f>_xlfn.XLOOKUP(D870,Insumos!$B$1:$B$764,Insumos!$C$1:$C$764)</f>
        <v>UN</v>
      </c>
      <c r="F870" s="179">
        <v>0.4803</v>
      </c>
      <c r="G870" s="177">
        <f>IF(B870="insumo",_xlfn.XLOOKUP($D870,Insumos!$B$1:$B$764,Insumos!$D$1:$D$764),"")</f>
        <v>0.2</v>
      </c>
      <c r="H870" s="177" cm="1">
        <f t="array" ref="H870">_xlfn.IFS(B870="Serviço",SUMIFS(H871:$H$3085,C871:$C$3085,$C870),B870="Insumo",F870*G870,B870="Etapa","")</f>
        <v>9.6060000000000006E-2</v>
      </c>
      <c r="I870" s="178"/>
    </row>
    <row r="871" spans="1:9" outlineLevel="1" collapsed="1" x14ac:dyDescent="0.25">
      <c r="A871" s="175">
        <f t="shared" si="27"/>
        <v>1</v>
      </c>
      <c r="B871" s="175" t="s">
        <v>109</v>
      </c>
      <c r="C871" s="175" t="str">
        <f t="shared" si="28"/>
        <v>Parede Com Sistema Em Chapas De Gesso Para Drywall, Uso Interno, Montante 48mm, Com Duas Face Resistente a Umidade(RU/48/RU)</v>
      </c>
      <c r="D871" s="175" t="s">
        <v>2833</v>
      </c>
      <c r="E871" s="176" t="s">
        <v>13</v>
      </c>
      <c r="F871" s="175"/>
      <c r="G871" s="177" t="str">
        <f>IF(B871="insumo",_xlfn.XLOOKUP($D871,Insumos!$B$1:$B$764,Insumos!$D$1:$D$764),"")</f>
        <v/>
      </c>
      <c r="H871" s="177" cm="1">
        <f t="array" ref="H871">_xlfn.IFS(B871="Serviço",SUMIFS(H872:$H$3085,C872:$C$3085,$C871),B871="Insumo",F871*G871,B871="Etapa","")</f>
        <v>187.139895</v>
      </c>
      <c r="I871" s="178" t="s">
        <v>195</v>
      </c>
    </row>
    <row r="872" spans="1:9" hidden="1" outlineLevel="2" x14ac:dyDescent="0.25">
      <c r="A872" s="175">
        <f t="shared" si="27"/>
        <v>24</v>
      </c>
      <c r="B872" s="175" t="s">
        <v>327</v>
      </c>
      <c r="C872" s="175" t="str">
        <f t="shared" si="28"/>
        <v>Parede Com Sistema Em Chapas De Gesso Para Drywall, Uso Interno, Montante 48mm, Com Duas Face Resistente a Umidade(RU/48/RU)</v>
      </c>
      <c r="D872" s="175" t="s">
        <v>595</v>
      </c>
      <c r="E872" s="176" t="str">
        <f>_xlfn.XLOOKUP(D872,Insumos!$B$1:$B$764,Insumos!$C$1:$C$764)</f>
        <v>M2</v>
      </c>
      <c r="F872" s="179">
        <v>1</v>
      </c>
      <c r="G872" s="177">
        <f>IF(B872="insumo",_xlfn.XLOOKUP($D872,Insumos!$B$1:$B$764,Insumos!$D$1:$D$764),"")</f>
        <v>70</v>
      </c>
      <c r="H872" s="177" cm="1">
        <f t="array" ref="H872">_xlfn.IFS(B872="Serviço",SUMIFS(H873:$H$3085,C873:$C$3085,$C872),B872="Insumo",F872*G872,B872="Etapa","")</f>
        <v>70</v>
      </c>
      <c r="I872" s="178"/>
    </row>
    <row r="873" spans="1:9" hidden="1" outlineLevel="2" x14ac:dyDescent="0.25">
      <c r="A873" s="175">
        <f t="shared" si="27"/>
        <v>16</v>
      </c>
      <c r="B873" s="175" t="s">
        <v>327</v>
      </c>
      <c r="C873" s="175" t="str">
        <f t="shared" si="28"/>
        <v>Parede Com Sistema Em Chapas De Gesso Para Drywall, Uso Interno, Montante 48mm, Com Duas Face Resistente a Umidade(RU/48/RU)</v>
      </c>
      <c r="D873" s="175" t="s">
        <v>612</v>
      </c>
      <c r="E873" s="176" t="str">
        <f>_xlfn.XLOOKUP(D873,Insumos!$B$1:$B$764,Insumos!$C$1:$C$764)</f>
        <v>M2</v>
      </c>
      <c r="F873" s="179">
        <v>2.1059999999999999</v>
      </c>
      <c r="G873" s="177">
        <f>IF(B873="insumo",_xlfn.XLOOKUP($D873,Insumos!$B$1:$B$764,Insumos!$D$1:$D$764),"")</f>
        <v>29.194444444444446</v>
      </c>
      <c r="H873" s="177" cm="1">
        <f t="array" ref="H873">_xlfn.IFS(B873="Serviço",SUMIFS(H874:$H$3085,C874:$C$3085,$C873),B873="Insumo",F873*G873,B873="Etapa","")</f>
        <v>61.483499999999999</v>
      </c>
      <c r="I873" s="178"/>
    </row>
    <row r="874" spans="1:9" hidden="1" outlineLevel="2" x14ac:dyDescent="0.25">
      <c r="A874" s="175">
        <f t="shared" si="27"/>
        <v>30</v>
      </c>
      <c r="B874" s="175" t="s">
        <v>327</v>
      </c>
      <c r="C874" s="175" t="str">
        <f t="shared" si="28"/>
        <v>Parede Com Sistema Em Chapas De Gesso Para Drywall, Uso Interno, Montante 48mm, Com Duas Face Resistente a Umidade(RU/48/RU)</v>
      </c>
      <c r="D874" s="175" t="s">
        <v>597</v>
      </c>
      <c r="E874" s="176" t="str">
        <f>_xlfn.XLOOKUP(D874,Insumos!$B$1:$B$764,Insumos!$C$1:$C$764)</f>
        <v>UN</v>
      </c>
      <c r="F874" s="179">
        <v>4.95</v>
      </c>
      <c r="G874" s="177">
        <f>IF(B874="insumo",_xlfn.XLOOKUP($D874,Insumos!$B$1:$B$764,Insumos!$D$1:$D$764),"")</f>
        <v>0.504</v>
      </c>
      <c r="H874" s="177" cm="1">
        <f t="array" ref="H874">_xlfn.IFS(B874="Serviço",SUMIFS(H875:$H$3085,C875:$C$3085,$C874),B874="Insumo",F874*G874,B874="Etapa","")</f>
        <v>2.4948000000000001</v>
      </c>
      <c r="I874" s="178"/>
    </row>
    <row r="875" spans="1:9" hidden="1" outlineLevel="2" x14ac:dyDescent="0.25">
      <c r="A875" s="175">
        <f t="shared" si="27"/>
        <v>8</v>
      </c>
      <c r="B875" s="175" t="s">
        <v>327</v>
      </c>
      <c r="C875" s="175" t="str">
        <f t="shared" si="28"/>
        <v>Parede Com Sistema Em Chapas De Gesso Para Drywall, Uso Interno, Montante 48mm, Com Duas Face Resistente a Umidade(RU/48/RU)</v>
      </c>
      <c r="D875" s="175" t="s">
        <v>598</v>
      </c>
      <c r="E875" s="176" t="str">
        <f>_xlfn.XLOOKUP(D875,Insumos!$B$1:$B$764,Insumos!$C$1:$C$764)</f>
        <v>M</v>
      </c>
      <c r="F875" s="179">
        <v>1.5247999999999999</v>
      </c>
      <c r="G875" s="177">
        <f>IF(B875="insumo",_xlfn.XLOOKUP($D875,Insumos!$B$1:$B$764,Insumos!$D$1:$D$764),"")</f>
        <v>7.03</v>
      </c>
      <c r="H875" s="177" cm="1">
        <f t="array" ref="H875">_xlfn.IFS(B875="Serviço",SUMIFS(H876:$H$3085,C876:$C$3085,$C875),B875="Insumo",F875*G875,B875="Etapa","")</f>
        <v>10.719344</v>
      </c>
      <c r="I875" s="178"/>
    </row>
    <row r="876" spans="1:9" hidden="1" outlineLevel="2" x14ac:dyDescent="0.25">
      <c r="A876" s="175">
        <f t="shared" si="27"/>
        <v>8</v>
      </c>
      <c r="B876" s="175" t="s">
        <v>327</v>
      </c>
      <c r="C876" s="175" t="str">
        <f t="shared" si="28"/>
        <v>Parede Com Sistema Em Chapas De Gesso Para Drywall, Uso Interno, Montante 48mm, Com Duas Face Resistente a Umidade(RU/48/RU)</v>
      </c>
      <c r="D876" s="175" t="s">
        <v>599</v>
      </c>
      <c r="E876" s="176" t="str">
        <f>_xlfn.XLOOKUP(D876,Insumos!$B$1:$B$764,Insumos!$C$1:$C$764)</f>
        <v>M</v>
      </c>
      <c r="F876" s="179">
        <v>4.0011000000000001</v>
      </c>
      <c r="G876" s="177">
        <f>IF(B876="insumo",_xlfn.XLOOKUP($D876,Insumos!$B$1:$B$764,Insumos!$D$1:$D$764),"")</f>
        <v>7.98</v>
      </c>
      <c r="H876" s="177" cm="1">
        <f t="array" ref="H876">_xlfn.IFS(B876="Serviço",SUMIFS(H877:$H$3085,C877:$C$3085,$C876),B876="Insumo",F876*G876,B876="Etapa","")</f>
        <v>31.928778000000001</v>
      </c>
      <c r="I876" s="178"/>
    </row>
    <row r="877" spans="1:9" hidden="1" outlineLevel="2" x14ac:dyDescent="0.25">
      <c r="A877" s="175">
        <f t="shared" si="27"/>
        <v>28</v>
      </c>
      <c r="B877" s="175" t="s">
        <v>327</v>
      </c>
      <c r="C877" s="175" t="str">
        <f t="shared" si="28"/>
        <v>Parede Com Sistema Em Chapas De Gesso Para Drywall, Uso Interno, Montante 48mm, Com Duas Face Resistente a Umidade(RU/48/RU)</v>
      </c>
      <c r="D877" s="175" t="s">
        <v>600</v>
      </c>
      <c r="E877" s="176" t="str">
        <f>_xlfn.XLOOKUP(D877,Insumos!$B$1:$B$764,Insumos!$C$1:$C$764)</f>
        <v>KG</v>
      </c>
      <c r="F877" s="179">
        <v>1.0978000000000001</v>
      </c>
      <c r="G877" s="177">
        <f>IF(B877="insumo",_xlfn.XLOOKUP($D877,Insumos!$B$1:$B$764,Insumos!$D$1:$D$764),"")</f>
        <v>3.43</v>
      </c>
      <c r="H877" s="177" cm="1">
        <f t="array" ref="H877">_xlfn.IFS(B877="Serviço",SUMIFS(H878:$H$3085,C878:$C$3085,$C877),B877="Insumo",F877*G877,B877="Etapa","")</f>
        <v>3.7654540000000005</v>
      </c>
      <c r="I877" s="178"/>
    </row>
    <row r="878" spans="1:9" hidden="1" outlineLevel="2" x14ac:dyDescent="0.25">
      <c r="A878" s="175">
        <f t="shared" si="27"/>
        <v>27</v>
      </c>
      <c r="B878" s="175" t="s">
        <v>327</v>
      </c>
      <c r="C878" s="175" t="str">
        <f t="shared" si="28"/>
        <v>Parede Com Sistema Em Chapas De Gesso Para Drywall, Uso Interno, Montante 48mm, Com Duas Face Resistente a Umidade(RU/48/RU)</v>
      </c>
      <c r="D878" s="175" t="s">
        <v>601</v>
      </c>
      <c r="E878" s="176" t="str">
        <f>_xlfn.XLOOKUP(D878,Insumos!$B$1:$B$764,Insumos!$C$1:$C$764)</f>
        <v>M</v>
      </c>
      <c r="F878" s="179">
        <v>2.5026999999999999</v>
      </c>
      <c r="G878" s="177">
        <f>IF(B878="insumo",_xlfn.XLOOKUP($D878,Insumos!$B$1:$B$764,Insumos!$D$1:$D$764),"")</f>
        <v>0.31</v>
      </c>
      <c r="H878" s="177" cm="1">
        <f t="array" ref="H878">_xlfn.IFS(B878="Serviço",SUMIFS(H879:$H$3085,C879:$C$3085,$C878),B878="Insumo",F878*G878,B878="Etapa","")</f>
        <v>0.775837</v>
      </c>
      <c r="I878" s="178"/>
    </row>
    <row r="879" spans="1:9" hidden="1" outlineLevel="2" x14ac:dyDescent="0.25">
      <c r="A879" s="175">
        <f t="shared" si="27"/>
        <v>27</v>
      </c>
      <c r="B879" s="175" t="s">
        <v>327</v>
      </c>
      <c r="C879" s="175" t="str">
        <f t="shared" si="28"/>
        <v>Parede Com Sistema Em Chapas De Gesso Para Drywall, Uso Interno, Montante 48mm, Com Duas Face Resistente a Umidade(RU/48/RU)</v>
      </c>
      <c r="D879" s="175" t="s">
        <v>602</v>
      </c>
      <c r="E879" s="176" t="str">
        <f>_xlfn.XLOOKUP(D879,Insumos!$B$1:$B$764,Insumos!$C$1:$C$764)</f>
        <v>M</v>
      </c>
      <c r="F879" s="179">
        <v>1.4815</v>
      </c>
      <c r="G879" s="177">
        <f>IF(B879="insumo",_xlfn.XLOOKUP($D879,Insumos!$B$1:$B$764,Insumos!$D$1:$D$764),"")</f>
        <v>2.74</v>
      </c>
      <c r="H879" s="177" cm="1">
        <f t="array" ref="H879">_xlfn.IFS(B879="Serviço",SUMIFS(H880:$H$3085,C880:$C$3085,$C879),B879="Insumo",F879*G879,B879="Etapa","")</f>
        <v>4.0593100000000009</v>
      </c>
      <c r="I879" s="178"/>
    </row>
    <row r="880" spans="1:9" hidden="1" outlineLevel="2" x14ac:dyDescent="0.25">
      <c r="A880" s="175">
        <f t="shared" si="27"/>
        <v>28</v>
      </c>
      <c r="B880" s="175" t="s">
        <v>327</v>
      </c>
      <c r="C880" s="175" t="str">
        <f t="shared" si="28"/>
        <v>Parede Com Sistema Em Chapas De Gesso Para Drywall, Uso Interno, Montante 48mm, Com Duas Face Resistente a Umidade(RU/48/RU)</v>
      </c>
      <c r="D880" s="175" t="s">
        <v>603</v>
      </c>
      <c r="E880" s="176" t="str">
        <f>_xlfn.XLOOKUP(D880,Insumos!$B$1:$B$764,Insumos!$C$1:$C$764)</f>
        <v>UN</v>
      </c>
      <c r="F880" s="179">
        <v>20.186800000000002</v>
      </c>
      <c r="G880" s="177">
        <f>IF(B880="insumo",_xlfn.XLOOKUP($D880,Insumos!$B$1:$B$764,Insumos!$D$1:$D$764),"")</f>
        <v>0.09</v>
      </c>
      <c r="H880" s="177" cm="1">
        <f t="array" ref="H880">_xlfn.IFS(B880="Serviço",SUMIFS(H881:$H$3085,C881:$C$3085,$C880),B880="Insumo",F880*G880,B880="Etapa","")</f>
        <v>1.8168120000000001</v>
      </c>
      <c r="I880" s="178"/>
    </row>
    <row r="881" spans="1:9" hidden="1" outlineLevel="2" x14ac:dyDescent="0.25">
      <c r="A881" s="175">
        <f t="shared" si="27"/>
        <v>28</v>
      </c>
      <c r="B881" s="175" t="s">
        <v>327</v>
      </c>
      <c r="C881" s="175" t="str">
        <f t="shared" si="28"/>
        <v>Parede Com Sistema Em Chapas De Gesso Para Drywall, Uso Interno, Montante 48mm, Com Duas Face Resistente a Umidade(RU/48/RU)</v>
      </c>
      <c r="D881" s="175" t="s">
        <v>604</v>
      </c>
      <c r="E881" s="176" t="str">
        <f>_xlfn.XLOOKUP(D881,Insumos!$B$1:$B$764,Insumos!$C$1:$C$764)</f>
        <v>UN</v>
      </c>
      <c r="F881" s="179">
        <v>0.4803</v>
      </c>
      <c r="G881" s="177">
        <f>IF(B881="insumo",_xlfn.XLOOKUP($D881,Insumos!$B$1:$B$764,Insumos!$D$1:$D$764),"")</f>
        <v>0.2</v>
      </c>
      <c r="H881" s="177" cm="1">
        <f t="array" ref="H881">_xlfn.IFS(B881="Serviço",SUMIFS(H882:$H$3085,C882:$C$3085,$C881),B881="Insumo",F881*G881,B881="Etapa","")</f>
        <v>9.6060000000000006E-2</v>
      </c>
      <c r="I881" s="178"/>
    </row>
    <row r="882" spans="1:9" outlineLevel="1" collapsed="1" x14ac:dyDescent="0.25">
      <c r="A882" s="175">
        <f t="shared" si="27"/>
        <v>1</v>
      </c>
      <c r="B882" s="175" t="s">
        <v>109</v>
      </c>
      <c r="C882" s="175" t="str">
        <f t="shared" si="28"/>
        <v>Parede Com Sistema Em Chapas De Gesso Para Drywall, Uso Interno, Montante 48mm, Com Uma Face Simples Standart e Uma Face Resistente a Umidade (ST/48/RU)</v>
      </c>
      <c r="D882" s="175" t="s">
        <v>2832</v>
      </c>
      <c r="E882" s="176" t="s">
        <v>13</v>
      </c>
      <c r="F882" s="175"/>
      <c r="G882" s="177" t="str">
        <f>IF(B882="insumo",_xlfn.XLOOKUP($D882,Insumos!$B$1:$B$764,Insumos!$D$1:$D$764),"")</f>
        <v/>
      </c>
      <c r="H882" s="177" cm="1">
        <f t="array" ref="H882">_xlfn.IFS(B882="Serviço",SUMIFS(H883:$H$3085,C883:$C$3085,$C882),B882="Insumo",F882*G882,B882="Etapa","")</f>
        <v>189.89145958333333</v>
      </c>
      <c r="I882" s="178" t="s">
        <v>195</v>
      </c>
    </row>
    <row r="883" spans="1:9" hidden="1" outlineLevel="2" x14ac:dyDescent="0.25">
      <c r="A883" s="175">
        <f t="shared" si="27"/>
        <v>24</v>
      </c>
      <c r="B883" s="175" t="s">
        <v>327</v>
      </c>
      <c r="C883" s="175" t="str">
        <f t="shared" si="28"/>
        <v>Parede Com Sistema Em Chapas De Gesso Para Drywall, Uso Interno, Montante 48mm, Com Uma Face Simples Standart e Uma Face Resistente a Umidade (ST/48/RU)</v>
      </c>
      <c r="D883" s="175" t="s">
        <v>595</v>
      </c>
      <c r="E883" s="176" t="str">
        <f>_xlfn.XLOOKUP(D883,Insumos!$B$1:$B$764,Insumos!$C$1:$C$764)</f>
        <v>M2</v>
      </c>
      <c r="F883" s="179">
        <v>1</v>
      </c>
      <c r="G883" s="177">
        <f>IF(B883="insumo",_xlfn.XLOOKUP($D883,Insumos!$B$1:$B$764,Insumos!$D$1:$D$764),"")</f>
        <v>70</v>
      </c>
      <c r="H883" s="177" cm="1">
        <f t="array" ref="H883">_xlfn.IFS(B883="Serviço",SUMIFS(H884:$H$3085,C884:$C$3085,$C883),B883="Insumo",F883*G883,B883="Etapa","")</f>
        <v>70</v>
      </c>
      <c r="I883" s="178"/>
    </row>
    <row r="884" spans="1:9" hidden="1" outlineLevel="2" x14ac:dyDescent="0.25">
      <c r="A884" s="175">
        <f t="shared" si="27"/>
        <v>14</v>
      </c>
      <c r="B884" s="175" t="s">
        <v>327</v>
      </c>
      <c r="C884" s="175" t="str">
        <f t="shared" si="28"/>
        <v>Parede Com Sistema Em Chapas De Gesso Para Drywall, Uso Interno, Montante 48mm, Com Uma Face Simples Standart e Uma Face Resistente a Umidade (ST/48/RU)</v>
      </c>
      <c r="D884" s="175" t="s">
        <v>596</v>
      </c>
      <c r="E884" s="176" t="str">
        <f>_xlfn.XLOOKUP(D884,Insumos!$B$1:$B$764,Insumos!$C$1:$C$764)</f>
        <v>M2</v>
      </c>
      <c r="F884" s="179">
        <v>1.0529999999999999</v>
      </c>
      <c r="G884" s="177">
        <f>IF(B884="insumo",_xlfn.XLOOKUP($D884,Insumos!$B$1:$B$764,Insumos!$D$1:$D$764),"")</f>
        <v>18.40625</v>
      </c>
      <c r="H884" s="177" cm="1">
        <f t="array" ref="H884">_xlfn.IFS(B884="Serviço",SUMIFS(H885:$H$3085,C885:$C$3085,$C884),B884="Insumo",F884*G884,B884="Etapa","")</f>
        <v>19.38178125</v>
      </c>
      <c r="I884" s="178"/>
    </row>
    <row r="885" spans="1:9" hidden="1" outlineLevel="2" x14ac:dyDescent="0.25">
      <c r="A885" s="175">
        <f t="shared" si="27"/>
        <v>16</v>
      </c>
      <c r="B885" s="175" t="s">
        <v>327</v>
      </c>
      <c r="C885" s="175" t="str">
        <f t="shared" si="28"/>
        <v>Parede Com Sistema Em Chapas De Gesso Para Drywall, Uso Interno, Montante 48mm, Com Uma Face Simples Standart e Uma Face Resistente a Umidade (ST/48/RU)</v>
      </c>
      <c r="D885" s="175" t="s">
        <v>612</v>
      </c>
      <c r="E885" s="176" t="str">
        <f>_xlfn.XLOOKUP(D885,Insumos!$B$1:$B$764,Insumos!$C$1:$C$764)</f>
        <v>M2</v>
      </c>
      <c r="F885" s="179">
        <v>1.0529999999999999</v>
      </c>
      <c r="G885" s="177">
        <f>IF(B885="insumo",_xlfn.XLOOKUP($D885,Insumos!$B$1:$B$764,Insumos!$D$1:$D$764),"")</f>
        <v>29.194444444444446</v>
      </c>
      <c r="H885" s="177" cm="1">
        <f t="array" ref="H885">_xlfn.IFS(B885="Serviço",SUMIFS(H886:$H$3085,C886:$C$3085,$C885),B885="Insumo",F885*G885,B885="Etapa","")</f>
        <v>30.74175</v>
      </c>
      <c r="I885" s="178"/>
    </row>
    <row r="886" spans="1:9" hidden="1" outlineLevel="2" x14ac:dyDescent="0.25">
      <c r="A886" s="175">
        <f t="shared" si="27"/>
        <v>30</v>
      </c>
      <c r="B886" s="175" t="s">
        <v>327</v>
      </c>
      <c r="C886" s="175" t="str">
        <f t="shared" si="28"/>
        <v>Parede Com Sistema Em Chapas De Gesso Para Drywall, Uso Interno, Montante 48mm, Com Uma Face Simples Standart e Uma Face Resistente a Umidade (ST/48/RU)</v>
      </c>
      <c r="D886" s="175" t="s">
        <v>597</v>
      </c>
      <c r="E886" s="176" t="str">
        <f>_xlfn.XLOOKUP(D886,Insumos!$B$1:$B$764,Insumos!$C$1:$C$764)</f>
        <v>UN</v>
      </c>
      <c r="F886" s="179">
        <v>4.95</v>
      </c>
      <c r="G886" s="177">
        <f>IF(B886="insumo",_xlfn.XLOOKUP($D886,Insumos!$B$1:$B$764,Insumos!$D$1:$D$764),"")</f>
        <v>0.504</v>
      </c>
      <c r="H886" s="177" cm="1">
        <f t="array" ref="H886">_xlfn.IFS(B886="Serviço",SUMIFS(H887:$H$3085,C887:$C$3085,$C886),B886="Insumo",F886*G886,B886="Etapa","")</f>
        <v>2.4948000000000001</v>
      </c>
      <c r="I886" s="178"/>
    </row>
    <row r="887" spans="1:9" hidden="1" outlineLevel="2" x14ac:dyDescent="0.25">
      <c r="A887" s="175">
        <f t="shared" si="27"/>
        <v>8</v>
      </c>
      <c r="B887" s="175" t="s">
        <v>327</v>
      </c>
      <c r="C887" s="175" t="str">
        <f t="shared" si="28"/>
        <v>Parede Com Sistema Em Chapas De Gesso Para Drywall, Uso Interno, Montante 48mm, Com Uma Face Simples Standart e Uma Face Resistente a Umidade (ST/48/RU)</v>
      </c>
      <c r="D887" s="175" t="s">
        <v>598</v>
      </c>
      <c r="E887" s="176" t="str">
        <f>_xlfn.XLOOKUP(D887,Insumos!$B$1:$B$764,Insumos!$C$1:$C$764)</f>
        <v>M</v>
      </c>
      <c r="F887" s="179">
        <v>1.5247999999999999</v>
      </c>
      <c r="G887" s="177">
        <f>IF(B887="insumo",_xlfn.XLOOKUP($D887,Insumos!$B$1:$B$764,Insumos!$D$1:$D$764),"")</f>
        <v>7.03</v>
      </c>
      <c r="H887" s="177" cm="1">
        <f t="array" ref="H887">_xlfn.IFS(B887="Serviço",SUMIFS(H888:$H$3085,C888:$C$3085,$C887),B887="Insumo",F887*G887,B887="Etapa","")</f>
        <v>10.719344</v>
      </c>
      <c r="I887" s="178"/>
    </row>
    <row r="888" spans="1:9" hidden="1" outlineLevel="2" x14ac:dyDescent="0.25">
      <c r="A888" s="175">
        <f t="shared" si="27"/>
        <v>8</v>
      </c>
      <c r="B888" s="175" t="s">
        <v>327</v>
      </c>
      <c r="C888" s="175" t="str">
        <f t="shared" si="28"/>
        <v>Parede Com Sistema Em Chapas De Gesso Para Drywall, Uso Interno, Montante 48mm, Com Uma Face Simples Standart e Uma Face Resistente a Umidade (ST/48/RU)</v>
      </c>
      <c r="D888" s="175" t="s">
        <v>599</v>
      </c>
      <c r="E888" s="176" t="str">
        <f>_xlfn.XLOOKUP(D888,Insumos!$B$1:$B$764,Insumos!$C$1:$C$764)</f>
        <v>M</v>
      </c>
      <c r="F888" s="179">
        <v>4.0011000000000001</v>
      </c>
      <c r="G888" s="177">
        <f>IF(B888="insumo",_xlfn.XLOOKUP($D888,Insumos!$B$1:$B$764,Insumos!$D$1:$D$764),"")</f>
        <v>7.98</v>
      </c>
      <c r="H888" s="177" cm="1">
        <f t="array" ref="H888">_xlfn.IFS(B888="Serviço",SUMIFS(H889:$H$3085,C889:$C$3085,$C888),B888="Insumo",F888*G888,B888="Etapa","")</f>
        <v>31.928778000000001</v>
      </c>
      <c r="I888" s="178"/>
    </row>
    <row r="889" spans="1:9" hidden="1" outlineLevel="2" x14ac:dyDescent="0.25">
      <c r="A889" s="175">
        <f t="shared" si="27"/>
        <v>28</v>
      </c>
      <c r="B889" s="175" t="s">
        <v>327</v>
      </c>
      <c r="C889" s="175" t="str">
        <f t="shared" si="28"/>
        <v>Parede Com Sistema Em Chapas De Gesso Para Drywall, Uso Interno, Montante 48mm, Com Uma Face Simples Standart e Uma Face Resistente a Umidade (ST/48/RU)</v>
      </c>
      <c r="D889" s="175" t="s">
        <v>600</v>
      </c>
      <c r="E889" s="176" t="str">
        <f>_xlfn.XLOOKUP(D889,Insumos!$B$1:$B$764,Insumos!$C$1:$C$764)</f>
        <v>KG</v>
      </c>
      <c r="F889" s="179">
        <v>1.0978000000000001</v>
      </c>
      <c r="G889" s="177">
        <f>IF(B889="insumo",_xlfn.XLOOKUP($D889,Insumos!$B$1:$B$764,Insumos!$D$1:$D$764),"")</f>
        <v>3.43</v>
      </c>
      <c r="H889" s="177" cm="1">
        <f t="array" ref="H889">_xlfn.IFS(B889="Serviço",SUMIFS(H890:$H$3085,C890:$C$3085,$C889),B889="Insumo",F889*G889,B889="Etapa","")</f>
        <v>3.7654540000000005</v>
      </c>
      <c r="I889" s="178"/>
    </row>
    <row r="890" spans="1:9" hidden="1" outlineLevel="2" x14ac:dyDescent="0.25">
      <c r="A890" s="175">
        <f t="shared" si="27"/>
        <v>27</v>
      </c>
      <c r="B890" s="175" t="s">
        <v>327</v>
      </c>
      <c r="C890" s="175" t="str">
        <f t="shared" si="28"/>
        <v>Parede Com Sistema Em Chapas De Gesso Para Drywall, Uso Interno, Montante 48mm, Com Uma Face Simples Standart e Uma Face Resistente a Umidade (ST/48/RU)</v>
      </c>
      <c r="D890" s="175" t="s">
        <v>601</v>
      </c>
      <c r="E890" s="176" t="str">
        <f>_xlfn.XLOOKUP(D890,Insumos!$B$1:$B$764,Insumos!$C$1:$C$764)</f>
        <v>M</v>
      </c>
      <c r="F890" s="179">
        <v>2.5026999999999999</v>
      </c>
      <c r="G890" s="177">
        <f>IF(B890="insumo",_xlfn.XLOOKUP($D890,Insumos!$B$1:$B$764,Insumos!$D$1:$D$764),"")</f>
        <v>0.31</v>
      </c>
      <c r="H890" s="177" cm="1">
        <f t="array" ref="H890">_xlfn.IFS(B890="Serviço",SUMIFS(H891:$H$3085,C891:$C$3085,$C890),B890="Insumo",F890*G890,B890="Etapa","")</f>
        <v>0.775837</v>
      </c>
      <c r="I890" s="178"/>
    </row>
    <row r="891" spans="1:9" hidden="1" outlineLevel="2" x14ac:dyDescent="0.25">
      <c r="A891" s="175">
        <f t="shared" si="27"/>
        <v>27</v>
      </c>
      <c r="B891" s="175" t="s">
        <v>327</v>
      </c>
      <c r="C891" s="175" t="str">
        <f t="shared" si="28"/>
        <v>Parede Com Sistema Em Chapas De Gesso Para Drywall, Uso Interno, Montante 48mm, Com Uma Face Simples Standart e Uma Face Resistente a Umidade (ST/48/RU)</v>
      </c>
      <c r="D891" s="175" t="s">
        <v>602</v>
      </c>
      <c r="E891" s="176" t="str">
        <f>_xlfn.XLOOKUP(D891,Insumos!$B$1:$B$764,Insumos!$C$1:$C$764)</f>
        <v>M</v>
      </c>
      <c r="F891" s="179">
        <v>1.4815</v>
      </c>
      <c r="G891" s="177">
        <f>IF(B891="insumo",_xlfn.XLOOKUP($D891,Insumos!$B$1:$B$764,Insumos!$D$1:$D$764),"")</f>
        <v>2.74</v>
      </c>
      <c r="H891" s="177" cm="1">
        <f t="array" ref="H891">_xlfn.IFS(B891="Serviço",SUMIFS(H892:$H$3085,C892:$C$3085,$C891),B891="Insumo",F891*G891,B891="Etapa","")</f>
        <v>4.0593100000000009</v>
      </c>
      <c r="I891" s="178"/>
    </row>
    <row r="892" spans="1:9" hidden="1" outlineLevel="2" x14ac:dyDescent="0.25">
      <c r="A892" s="175">
        <f t="shared" si="27"/>
        <v>28</v>
      </c>
      <c r="B892" s="175" t="s">
        <v>327</v>
      </c>
      <c r="C892" s="175" t="str">
        <f t="shared" si="28"/>
        <v>Parede Com Sistema Em Chapas De Gesso Para Drywall, Uso Interno, Montante 48mm, Com Uma Face Simples Standart e Uma Face Resistente a Umidade (ST/48/RU)</v>
      </c>
      <c r="D892" s="175" t="s">
        <v>603</v>
      </c>
      <c r="E892" s="176" t="str">
        <f>_xlfn.XLOOKUP(D892,Insumos!$B$1:$B$764,Insumos!$C$1:$C$764)</f>
        <v>UN</v>
      </c>
      <c r="F892" s="179">
        <v>20.186800000000002</v>
      </c>
      <c r="G892" s="177">
        <f>IF(B892="insumo",_xlfn.XLOOKUP($D892,Insumos!$B$1:$B$764,Insumos!$D$1:$D$764),"")</f>
        <v>0.09</v>
      </c>
      <c r="H892" s="177" cm="1">
        <f t="array" ref="H892">_xlfn.IFS(B892="Serviço",SUMIFS(H893:$H$3085,C893:$C$3085,$C892),B892="Insumo",F892*G892,B892="Etapa","")</f>
        <v>1.8168120000000001</v>
      </c>
      <c r="I892" s="178"/>
    </row>
    <row r="893" spans="1:9" hidden="1" outlineLevel="2" x14ac:dyDescent="0.25">
      <c r="A893" s="175">
        <f t="shared" si="27"/>
        <v>28</v>
      </c>
      <c r="B893" s="175" t="s">
        <v>327</v>
      </c>
      <c r="C893" s="175" t="str">
        <f t="shared" si="28"/>
        <v>Parede Com Sistema Em Chapas De Gesso Para Drywall, Uso Interno, Montante 48mm, Com Uma Face Simples Standart e Uma Face Resistente a Umidade (ST/48/RU)</v>
      </c>
      <c r="D893" s="175" t="s">
        <v>604</v>
      </c>
      <c r="E893" s="176" t="str">
        <f>_xlfn.XLOOKUP(D893,Insumos!$B$1:$B$764,Insumos!$C$1:$C$764)</f>
        <v>UN</v>
      </c>
      <c r="F893" s="179">
        <v>0.4803</v>
      </c>
      <c r="G893" s="177">
        <f>IF(B893="insumo",_xlfn.XLOOKUP($D893,Insumos!$B$1:$B$764,Insumos!$D$1:$D$764),"")</f>
        <v>0.2</v>
      </c>
      <c r="H893" s="177" cm="1">
        <f t="array" ref="H893">_xlfn.IFS(B893="Serviço",SUMIFS(H894:$H$3085,C894:$C$3085,$C893),B893="Insumo",F893*G893,B893="Etapa","")</f>
        <v>9.6060000000000006E-2</v>
      </c>
      <c r="I893" s="178"/>
    </row>
    <row r="894" spans="1:9" hidden="1" outlineLevel="2" x14ac:dyDescent="0.25">
      <c r="A894" s="175">
        <f t="shared" si="27"/>
        <v>9</v>
      </c>
      <c r="B894" s="175" t="s">
        <v>327</v>
      </c>
      <c r="C894" s="175" t="str">
        <f t="shared" si="28"/>
        <v>Parede Com Sistema Em Chapas De Gesso Para Drywall, Uso Interno, Montante 48mm, Com Uma Face Simples Standart e Uma Face Resistente a Umidade (ST/48/RU)</v>
      </c>
      <c r="D894" s="175" t="s">
        <v>605</v>
      </c>
      <c r="E894" s="176" t="str">
        <f>_xlfn.XLOOKUP(D894,Insumos!$B$1:$B$764,Insumos!$C$1:$C$764)</f>
        <v>M2</v>
      </c>
      <c r="F894" s="179">
        <v>1.1000000000000001</v>
      </c>
      <c r="G894" s="177">
        <f>IF(B894="insumo",_xlfn.XLOOKUP($D894,Insumos!$B$1:$B$764,Insumos!$D$1:$D$764),"")</f>
        <v>12.828666666666667</v>
      </c>
      <c r="H894" s="177" cm="1">
        <f t="array" ref="H894">_xlfn.IFS(B894="Serviço",SUMIFS(H895:$H$3085,C895:$C$3085,$C894),B894="Insumo",F894*G894,B894="Etapa","")</f>
        <v>14.111533333333334</v>
      </c>
      <c r="I894" s="178"/>
    </row>
    <row r="895" spans="1:9" outlineLevel="1" collapsed="1" x14ac:dyDescent="0.25">
      <c r="A895" s="175">
        <f t="shared" si="27"/>
        <v>1</v>
      </c>
      <c r="B895" s="175" t="s">
        <v>109</v>
      </c>
      <c r="C895" s="175" t="str">
        <f t="shared" si="28"/>
        <v>Parede Com Sistema Em Chapas De Gesso Para Drywall, Uso Interno, Montante 48mm, Com Duas Face Simples Standart e isolamento com Lâ de Vidro (ST/48/ST)</v>
      </c>
      <c r="D895" s="175" t="s">
        <v>594</v>
      </c>
      <c r="E895" s="176" t="s">
        <v>13</v>
      </c>
      <c r="F895" s="175"/>
      <c r="G895" s="177" t="str">
        <f>IF(B895="insumo",_xlfn.XLOOKUP($D895,Insumos!$B$1:$B$764,Insumos!$D$1:$D$764),"")</f>
        <v/>
      </c>
      <c r="H895" s="177" cm="1">
        <f t="array" ref="H895">_xlfn.IFS(B895="Serviço",SUMIFS(H896:$H$3085,C896:$C$3085,$C895),B895="Insumo",F895*G895,B895="Etapa","")</f>
        <v>178.53149083333335</v>
      </c>
      <c r="I895" s="178" t="s">
        <v>195</v>
      </c>
    </row>
    <row r="896" spans="1:9" hidden="1" outlineLevel="2" x14ac:dyDescent="0.25">
      <c r="A896" s="175">
        <f t="shared" si="27"/>
        <v>24</v>
      </c>
      <c r="B896" s="175" t="s">
        <v>327</v>
      </c>
      <c r="C896" s="175" t="str">
        <f t="shared" si="28"/>
        <v>Parede Com Sistema Em Chapas De Gesso Para Drywall, Uso Interno, Montante 48mm, Com Duas Face Simples Standart e isolamento com Lâ de Vidro (ST/48/ST)</v>
      </c>
      <c r="D896" s="175" t="s">
        <v>595</v>
      </c>
      <c r="E896" s="176" t="str">
        <f>_xlfn.XLOOKUP(D896,Insumos!$B$1:$B$764,Insumos!$C$1:$C$764)</f>
        <v>M2</v>
      </c>
      <c r="F896" s="179">
        <v>1</v>
      </c>
      <c r="G896" s="177">
        <f>IF(B896="insumo",_xlfn.XLOOKUP($D896,Insumos!$B$1:$B$764,Insumos!$D$1:$D$764),"")</f>
        <v>70</v>
      </c>
      <c r="H896" s="177" cm="1">
        <f t="array" ref="H896">_xlfn.IFS(B896="Serviço",SUMIFS(H897:$H$3085,C897:$C$3085,$C896),B896="Insumo",F896*G896,B896="Etapa","")</f>
        <v>70</v>
      </c>
      <c r="I896" s="178"/>
    </row>
    <row r="897" spans="1:9" hidden="1" outlineLevel="2" x14ac:dyDescent="0.25">
      <c r="A897" s="175">
        <f t="shared" si="27"/>
        <v>14</v>
      </c>
      <c r="B897" s="175" t="s">
        <v>327</v>
      </c>
      <c r="C897" s="175" t="str">
        <f t="shared" si="28"/>
        <v>Parede Com Sistema Em Chapas De Gesso Para Drywall, Uso Interno, Montante 48mm, Com Duas Face Simples Standart e isolamento com Lâ de Vidro (ST/48/ST)</v>
      </c>
      <c r="D897" s="175" t="s">
        <v>596</v>
      </c>
      <c r="E897" s="176" t="str">
        <f>_xlfn.XLOOKUP(D897,Insumos!$B$1:$B$764,Insumos!$C$1:$C$764)</f>
        <v>M2</v>
      </c>
      <c r="F897" s="179">
        <v>2.1059999999999999</v>
      </c>
      <c r="G897" s="177">
        <f>IF(B897="insumo",_xlfn.XLOOKUP($D897,Insumos!$B$1:$B$764,Insumos!$D$1:$D$764),"")</f>
        <v>18.40625</v>
      </c>
      <c r="H897" s="177" cm="1">
        <f t="array" ref="H897">_xlfn.IFS(B897="Serviço",SUMIFS(H898:$H$3085,C898:$C$3085,$C897),B897="Insumo",F897*G897,B897="Etapa","")</f>
        <v>38.763562499999999</v>
      </c>
      <c r="I897" s="178"/>
    </row>
    <row r="898" spans="1:9" hidden="1" outlineLevel="2" x14ac:dyDescent="0.25">
      <c r="A898" s="175">
        <f t="shared" ref="A898:A961" si="29">COUNTIFS($D$2:$D$3085,D898,$B$2:$B$3085,B898)</f>
        <v>30</v>
      </c>
      <c r="B898" s="175" t="s">
        <v>327</v>
      </c>
      <c r="C898" s="175" t="str">
        <f t="shared" si="28"/>
        <v>Parede Com Sistema Em Chapas De Gesso Para Drywall, Uso Interno, Montante 48mm, Com Duas Face Simples Standart e isolamento com Lâ de Vidro (ST/48/ST)</v>
      </c>
      <c r="D898" s="175" t="s">
        <v>597</v>
      </c>
      <c r="E898" s="176" t="str">
        <f>_xlfn.XLOOKUP(D898,Insumos!$B$1:$B$764,Insumos!$C$1:$C$764)</f>
        <v>UN</v>
      </c>
      <c r="F898" s="179">
        <v>4.95</v>
      </c>
      <c r="G898" s="177">
        <f>IF(B898="insumo",_xlfn.XLOOKUP($D898,Insumos!$B$1:$B$764,Insumos!$D$1:$D$764),"")</f>
        <v>0.504</v>
      </c>
      <c r="H898" s="177" cm="1">
        <f t="array" ref="H898">_xlfn.IFS(B898="Serviço",SUMIFS(H899:$H$3085,C899:$C$3085,$C898),B898="Insumo",F898*G898,B898="Etapa","")</f>
        <v>2.4948000000000001</v>
      </c>
      <c r="I898" s="178"/>
    </row>
    <row r="899" spans="1:9" hidden="1" outlineLevel="2" x14ac:dyDescent="0.25">
      <c r="A899" s="175">
        <f t="shared" si="29"/>
        <v>8</v>
      </c>
      <c r="B899" s="175" t="s">
        <v>327</v>
      </c>
      <c r="C899" s="175" t="str">
        <f t="shared" si="28"/>
        <v>Parede Com Sistema Em Chapas De Gesso Para Drywall, Uso Interno, Montante 48mm, Com Duas Face Simples Standart e isolamento com Lâ de Vidro (ST/48/ST)</v>
      </c>
      <c r="D899" s="175" t="s">
        <v>598</v>
      </c>
      <c r="E899" s="176" t="str">
        <f>_xlfn.XLOOKUP(D899,Insumos!$B$1:$B$764,Insumos!$C$1:$C$764)</f>
        <v>M</v>
      </c>
      <c r="F899" s="179">
        <v>1.5247999999999999</v>
      </c>
      <c r="G899" s="177">
        <f>IF(B899="insumo",_xlfn.XLOOKUP($D899,Insumos!$B$1:$B$764,Insumos!$D$1:$D$764),"")</f>
        <v>7.03</v>
      </c>
      <c r="H899" s="177" cm="1">
        <f t="array" ref="H899">_xlfn.IFS(B899="Serviço",SUMIFS(H900:$H$3085,C900:$C$3085,$C899),B899="Insumo",F899*G899,B899="Etapa","")</f>
        <v>10.719344</v>
      </c>
      <c r="I899" s="178"/>
    </row>
    <row r="900" spans="1:9" hidden="1" outlineLevel="2" x14ac:dyDescent="0.25">
      <c r="A900" s="175">
        <f t="shared" si="29"/>
        <v>8</v>
      </c>
      <c r="B900" s="175" t="s">
        <v>327</v>
      </c>
      <c r="C900" s="175" t="str">
        <f t="shared" si="28"/>
        <v>Parede Com Sistema Em Chapas De Gesso Para Drywall, Uso Interno, Montante 48mm, Com Duas Face Simples Standart e isolamento com Lâ de Vidro (ST/48/ST)</v>
      </c>
      <c r="D900" s="175" t="s">
        <v>599</v>
      </c>
      <c r="E900" s="176" t="str">
        <f>_xlfn.XLOOKUP(D900,Insumos!$B$1:$B$764,Insumos!$C$1:$C$764)</f>
        <v>M</v>
      </c>
      <c r="F900" s="179">
        <v>4.0011000000000001</v>
      </c>
      <c r="G900" s="177">
        <f>IF(B900="insumo",_xlfn.XLOOKUP($D900,Insumos!$B$1:$B$764,Insumos!$D$1:$D$764),"")</f>
        <v>7.98</v>
      </c>
      <c r="H900" s="177" cm="1">
        <f t="array" ref="H900">_xlfn.IFS(B900="Serviço",SUMIFS(H901:$H$3085,C901:$C$3085,$C900),B900="Insumo",F900*G900,B900="Etapa","")</f>
        <v>31.928778000000001</v>
      </c>
      <c r="I900" s="178"/>
    </row>
    <row r="901" spans="1:9" hidden="1" outlineLevel="2" x14ac:dyDescent="0.25">
      <c r="A901" s="175">
        <f t="shared" si="29"/>
        <v>28</v>
      </c>
      <c r="B901" s="175" t="s">
        <v>327</v>
      </c>
      <c r="C901" s="175" t="str">
        <f t="shared" si="28"/>
        <v>Parede Com Sistema Em Chapas De Gesso Para Drywall, Uso Interno, Montante 48mm, Com Duas Face Simples Standart e isolamento com Lâ de Vidro (ST/48/ST)</v>
      </c>
      <c r="D901" s="175" t="s">
        <v>600</v>
      </c>
      <c r="E901" s="176" t="str">
        <f>_xlfn.XLOOKUP(D901,Insumos!$B$1:$B$764,Insumos!$C$1:$C$764)</f>
        <v>KG</v>
      </c>
      <c r="F901" s="179">
        <v>1.0978000000000001</v>
      </c>
      <c r="G901" s="177">
        <f>IF(B901="insumo",_xlfn.XLOOKUP($D901,Insumos!$B$1:$B$764,Insumos!$D$1:$D$764),"")</f>
        <v>3.43</v>
      </c>
      <c r="H901" s="177" cm="1">
        <f t="array" ref="H901">_xlfn.IFS(B901="Serviço",SUMIFS(H902:$H$3085,C902:$C$3085,$C901),B901="Insumo",F901*G901,B901="Etapa","")</f>
        <v>3.7654540000000005</v>
      </c>
      <c r="I901" s="178"/>
    </row>
    <row r="902" spans="1:9" hidden="1" outlineLevel="2" x14ac:dyDescent="0.25">
      <c r="A902" s="175">
        <f t="shared" si="29"/>
        <v>27</v>
      </c>
      <c r="B902" s="175" t="s">
        <v>327</v>
      </c>
      <c r="C902" s="175" t="str">
        <f t="shared" si="28"/>
        <v>Parede Com Sistema Em Chapas De Gesso Para Drywall, Uso Interno, Montante 48mm, Com Duas Face Simples Standart e isolamento com Lâ de Vidro (ST/48/ST)</v>
      </c>
      <c r="D902" s="175" t="s">
        <v>601</v>
      </c>
      <c r="E902" s="176" t="str">
        <f>_xlfn.XLOOKUP(D902,Insumos!$B$1:$B$764,Insumos!$C$1:$C$764)</f>
        <v>M</v>
      </c>
      <c r="F902" s="179">
        <v>2.5026999999999999</v>
      </c>
      <c r="G902" s="177">
        <f>IF(B902="insumo",_xlfn.XLOOKUP($D902,Insumos!$B$1:$B$764,Insumos!$D$1:$D$764),"")</f>
        <v>0.31</v>
      </c>
      <c r="H902" s="177" cm="1">
        <f t="array" ref="H902">_xlfn.IFS(B902="Serviço",SUMIFS(H903:$H$3085,C903:$C$3085,$C902),B902="Insumo",F902*G902,B902="Etapa","")</f>
        <v>0.775837</v>
      </c>
      <c r="I902" s="178"/>
    </row>
    <row r="903" spans="1:9" hidden="1" outlineLevel="2" x14ac:dyDescent="0.25">
      <c r="A903" s="175">
        <f t="shared" si="29"/>
        <v>27</v>
      </c>
      <c r="B903" s="175" t="s">
        <v>327</v>
      </c>
      <c r="C903" s="175" t="str">
        <f t="shared" si="28"/>
        <v>Parede Com Sistema Em Chapas De Gesso Para Drywall, Uso Interno, Montante 48mm, Com Duas Face Simples Standart e isolamento com Lâ de Vidro (ST/48/ST)</v>
      </c>
      <c r="D903" s="175" t="s">
        <v>602</v>
      </c>
      <c r="E903" s="176" t="str">
        <f>_xlfn.XLOOKUP(D903,Insumos!$B$1:$B$764,Insumos!$C$1:$C$764)</f>
        <v>M</v>
      </c>
      <c r="F903" s="179">
        <v>1.4815</v>
      </c>
      <c r="G903" s="177">
        <f>IF(B903="insumo",_xlfn.XLOOKUP($D903,Insumos!$B$1:$B$764,Insumos!$D$1:$D$764),"")</f>
        <v>2.74</v>
      </c>
      <c r="H903" s="177" cm="1">
        <f t="array" ref="H903">_xlfn.IFS(B903="Serviço",SUMIFS(H904:$H$3085,C904:$C$3085,$C903),B903="Insumo",F903*G903,B903="Etapa","")</f>
        <v>4.0593100000000009</v>
      </c>
      <c r="I903" s="178"/>
    </row>
    <row r="904" spans="1:9" hidden="1" outlineLevel="2" x14ac:dyDescent="0.25">
      <c r="A904" s="175">
        <f t="shared" si="29"/>
        <v>28</v>
      </c>
      <c r="B904" s="175" t="s">
        <v>327</v>
      </c>
      <c r="C904" s="175" t="str">
        <f t="shared" si="28"/>
        <v>Parede Com Sistema Em Chapas De Gesso Para Drywall, Uso Interno, Montante 48mm, Com Duas Face Simples Standart e isolamento com Lâ de Vidro (ST/48/ST)</v>
      </c>
      <c r="D904" s="175" t="s">
        <v>603</v>
      </c>
      <c r="E904" s="176" t="str">
        <f>_xlfn.XLOOKUP(D904,Insumos!$B$1:$B$764,Insumos!$C$1:$C$764)</f>
        <v>UN</v>
      </c>
      <c r="F904" s="179">
        <v>20.186800000000002</v>
      </c>
      <c r="G904" s="177">
        <f>IF(B904="insumo",_xlfn.XLOOKUP($D904,Insumos!$B$1:$B$764,Insumos!$D$1:$D$764),"")</f>
        <v>0.09</v>
      </c>
      <c r="H904" s="177" cm="1">
        <f t="array" ref="H904">_xlfn.IFS(B904="Serviço",SUMIFS(H905:$H$3085,C905:$C$3085,$C904),B904="Insumo",F904*G904,B904="Etapa","")</f>
        <v>1.8168120000000001</v>
      </c>
      <c r="I904" s="178"/>
    </row>
    <row r="905" spans="1:9" hidden="1" outlineLevel="2" x14ac:dyDescent="0.25">
      <c r="A905" s="175">
        <f t="shared" si="29"/>
        <v>28</v>
      </c>
      <c r="B905" s="175" t="s">
        <v>327</v>
      </c>
      <c r="C905" s="175" t="str">
        <f t="shared" si="28"/>
        <v>Parede Com Sistema Em Chapas De Gesso Para Drywall, Uso Interno, Montante 48mm, Com Duas Face Simples Standart e isolamento com Lâ de Vidro (ST/48/ST)</v>
      </c>
      <c r="D905" s="175" t="s">
        <v>604</v>
      </c>
      <c r="E905" s="176" t="str">
        <f>_xlfn.XLOOKUP(D905,Insumos!$B$1:$B$764,Insumos!$C$1:$C$764)</f>
        <v>UN</v>
      </c>
      <c r="F905" s="179">
        <v>0.4803</v>
      </c>
      <c r="G905" s="177">
        <f>IF(B905="insumo",_xlfn.XLOOKUP($D905,Insumos!$B$1:$B$764,Insumos!$D$1:$D$764),"")</f>
        <v>0.2</v>
      </c>
      <c r="H905" s="177" cm="1">
        <f t="array" ref="H905">_xlfn.IFS(B905="Serviço",SUMIFS(H906:$H$3085,C906:$C$3085,$C905),B905="Insumo",F905*G905,B905="Etapa","")</f>
        <v>9.6060000000000006E-2</v>
      </c>
      <c r="I905" s="178"/>
    </row>
    <row r="906" spans="1:9" hidden="1" outlineLevel="2" x14ac:dyDescent="0.25">
      <c r="A906" s="175">
        <f t="shared" si="29"/>
        <v>9</v>
      </c>
      <c r="B906" s="175" t="s">
        <v>327</v>
      </c>
      <c r="C906" s="175" t="str">
        <f t="shared" si="28"/>
        <v>Parede Com Sistema Em Chapas De Gesso Para Drywall, Uso Interno, Montante 48mm, Com Duas Face Simples Standart e isolamento com Lâ de Vidro (ST/48/ST)</v>
      </c>
      <c r="D906" s="175" t="s">
        <v>605</v>
      </c>
      <c r="E906" s="176" t="str">
        <f>_xlfn.XLOOKUP(D906,Insumos!$B$1:$B$764,Insumos!$C$1:$C$764)</f>
        <v>M2</v>
      </c>
      <c r="F906" s="179">
        <v>1.1000000000000001</v>
      </c>
      <c r="G906" s="177">
        <f>IF(B906="insumo",_xlfn.XLOOKUP($D906,Insumos!$B$1:$B$764,Insumos!$D$1:$D$764),"")</f>
        <v>12.828666666666667</v>
      </c>
      <c r="H906" s="177" cm="1">
        <f t="array" ref="H906">_xlfn.IFS(B906="Serviço",SUMIFS(H907:$H$3085,C907:$C$3085,$C906),B906="Insumo",F906*G906,B906="Etapa","")</f>
        <v>14.111533333333334</v>
      </c>
      <c r="I906" s="178"/>
    </row>
    <row r="907" spans="1:9" outlineLevel="1" collapsed="1" x14ac:dyDescent="0.25">
      <c r="A907" s="175">
        <f t="shared" si="29"/>
        <v>1</v>
      </c>
      <c r="B907" s="175" t="s">
        <v>109</v>
      </c>
      <c r="C907" s="175" t="str">
        <f t="shared" si="28"/>
        <v>Parede Com Sistema Em Chapas De Gesso Para Drywall, Uso Interno, Montante 70mm, Com Uma Face Simples Standart (ST/70)</v>
      </c>
      <c r="D907" s="175" t="s">
        <v>2836</v>
      </c>
      <c r="E907" s="176" t="s">
        <v>13</v>
      </c>
      <c r="F907" s="175"/>
      <c r="G907" s="177" t="str">
        <f>IF(B907="insumo",_xlfn.XLOOKUP($D907,Insumos!$B$1:$B$764,Insumos!$D$1:$D$764),"")</f>
        <v/>
      </c>
      <c r="H907" s="177" cm="1">
        <f t="array" ref="H907">_xlfn.IFS(B907="Serviço",SUMIFS(H908:$H$3085,C908:$C$3085,$C907),B907="Insumo",F907*G907,B907="Etapa","")</f>
        <v>117.26077524999999</v>
      </c>
      <c r="I907" s="178" t="s">
        <v>195</v>
      </c>
    </row>
    <row r="908" spans="1:9" hidden="1" outlineLevel="2" x14ac:dyDescent="0.25">
      <c r="A908" s="175">
        <f t="shared" si="29"/>
        <v>24</v>
      </c>
      <c r="B908" s="175" t="s">
        <v>327</v>
      </c>
      <c r="C908" s="175" t="str">
        <f t="shared" si="28"/>
        <v>Parede Com Sistema Em Chapas De Gesso Para Drywall, Uso Interno, Montante 70mm, Com Uma Face Simples Standart (ST/70)</v>
      </c>
      <c r="D908" s="175" t="s">
        <v>595</v>
      </c>
      <c r="E908" s="176" t="str">
        <f>_xlfn.XLOOKUP(D908,Insumos!$B$1:$B$764,Insumos!$C$1:$C$764)</f>
        <v>M2</v>
      </c>
      <c r="F908" s="179">
        <v>1</v>
      </c>
      <c r="G908" s="177">
        <f>IF(B908="insumo",_xlfn.XLOOKUP($D908,Insumos!$B$1:$B$764,Insumos!$D$1:$D$764),"")</f>
        <v>70</v>
      </c>
      <c r="H908" s="177" cm="1">
        <f t="array" ref="H908">_xlfn.IFS(B908="Serviço",SUMIFS(H909:$H$3085,C909:$C$3085,$C908),B908="Insumo",F908*G908,B908="Etapa","")</f>
        <v>70</v>
      </c>
      <c r="I908" s="178"/>
    </row>
    <row r="909" spans="1:9" hidden="1" outlineLevel="2" x14ac:dyDescent="0.25">
      <c r="A909" s="175">
        <f t="shared" si="29"/>
        <v>14</v>
      </c>
      <c r="B909" s="175" t="s">
        <v>327</v>
      </c>
      <c r="C909" s="175" t="str">
        <f t="shared" si="28"/>
        <v>Parede Com Sistema Em Chapas De Gesso Para Drywall, Uso Interno, Montante 70mm, Com Uma Face Simples Standart (ST/70)</v>
      </c>
      <c r="D909" s="175" t="s">
        <v>596</v>
      </c>
      <c r="E909" s="176" t="str">
        <f>_xlfn.XLOOKUP(D909,Insumos!$B$1:$B$764,Insumos!$C$1:$C$764)</f>
        <v>M2</v>
      </c>
      <c r="F909" s="179">
        <v>1.0529999999999999</v>
      </c>
      <c r="G909" s="177">
        <f>IF(B909="insumo",_xlfn.XLOOKUP($D909,Insumos!$B$1:$B$764,Insumos!$D$1:$D$764),"")</f>
        <v>18.40625</v>
      </c>
      <c r="H909" s="177" cm="1">
        <f t="array" ref="H909">_xlfn.IFS(B909="Serviço",SUMIFS(H910:$H$3085,C910:$C$3085,$C909),B909="Insumo",F909*G909,B909="Etapa","")</f>
        <v>19.38178125</v>
      </c>
      <c r="I909" s="178"/>
    </row>
    <row r="910" spans="1:9" hidden="1" outlineLevel="2" x14ac:dyDescent="0.25">
      <c r="A910" s="175">
        <f t="shared" si="29"/>
        <v>30</v>
      </c>
      <c r="B910" s="175" t="s">
        <v>327</v>
      </c>
      <c r="C910" s="175" t="str">
        <f t="shared" si="28"/>
        <v>Parede Com Sistema Em Chapas De Gesso Para Drywall, Uso Interno, Montante 70mm, Com Uma Face Simples Standart (ST/70)</v>
      </c>
      <c r="D910" s="175" t="s">
        <v>597</v>
      </c>
      <c r="E910" s="176" t="str">
        <f>_xlfn.XLOOKUP(D910,Insumos!$B$1:$B$764,Insumos!$C$1:$C$764)</f>
        <v>UN</v>
      </c>
      <c r="F910" s="179">
        <v>2.48</v>
      </c>
      <c r="G910" s="177">
        <f>IF(B910="insumo",_xlfn.XLOOKUP($D910,Insumos!$B$1:$B$764,Insumos!$D$1:$D$764),"")</f>
        <v>0.504</v>
      </c>
      <c r="H910" s="177" cm="1">
        <f t="array" ref="H910">_xlfn.IFS(B910="Serviço",SUMIFS(H911:$H$3085,C911:$C$3085,$C910),B910="Insumo",F910*G910,B910="Etapa","")</f>
        <v>1.2499199999999999</v>
      </c>
      <c r="I910" s="178"/>
    </row>
    <row r="911" spans="1:9" hidden="1" outlineLevel="2" x14ac:dyDescent="0.25">
      <c r="A911" s="175">
        <f t="shared" si="29"/>
        <v>11</v>
      </c>
      <c r="B911" s="175" t="s">
        <v>327</v>
      </c>
      <c r="C911" s="175" t="str">
        <f t="shared" si="28"/>
        <v>Parede Com Sistema Em Chapas De Gesso Para Drywall, Uso Interno, Montante 70mm, Com Uma Face Simples Standart (ST/70)</v>
      </c>
      <c r="D911" s="175" t="s">
        <v>609</v>
      </c>
      <c r="E911" s="176" t="str">
        <f>_xlfn.XLOOKUP(D911,Insumos!$B$1:$B$764,Insumos!$C$1:$C$764)</f>
        <v>M</v>
      </c>
      <c r="F911" s="179">
        <v>0.76239999999999997</v>
      </c>
      <c r="G911" s="177">
        <f>IF(B911="insumo",_xlfn.XLOOKUP($D911,Insumos!$B$1:$B$764,Insumos!$D$1:$D$764),"")</f>
        <v>7.03</v>
      </c>
      <c r="H911" s="177" cm="1">
        <f t="array" ref="H911">_xlfn.IFS(B911="Serviço",SUMIFS(H912:$H$3085,C912:$C$3085,$C911),B911="Insumo",F911*G911,B911="Etapa","")</f>
        <v>5.3596719999999998</v>
      </c>
      <c r="I911" s="178"/>
    </row>
    <row r="912" spans="1:9" hidden="1" outlineLevel="2" x14ac:dyDescent="0.25">
      <c r="A912" s="175">
        <f t="shared" si="29"/>
        <v>11</v>
      </c>
      <c r="B912" s="175" t="s">
        <v>327</v>
      </c>
      <c r="C912" s="175" t="str">
        <f t="shared" si="28"/>
        <v>Parede Com Sistema Em Chapas De Gesso Para Drywall, Uso Interno, Montante 70mm, Com Uma Face Simples Standart (ST/70)</v>
      </c>
      <c r="D912" s="175" t="s">
        <v>610</v>
      </c>
      <c r="E912" s="176" t="str">
        <f>_xlfn.XLOOKUP(D912,Insumos!$B$1:$B$764,Insumos!$C$1:$C$764)</f>
        <v>M</v>
      </c>
      <c r="F912" s="179">
        <v>2.0005999999999999</v>
      </c>
      <c r="G912" s="177">
        <f>IF(B912="insumo",_xlfn.XLOOKUP($D912,Insumos!$B$1:$B$764,Insumos!$D$1:$D$764),"")</f>
        <v>7.98</v>
      </c>
      <c r="H912" s="177" cm="1">
        <f t="array" ref="H912">_xlfn.IFS(B912="Serviço",SUMIFS(H913:$H$3085,C913:$C$3085,$C912),B912="Insumo",F912*G912,B912="Etapa","")</f>
        <v>15.964788</v>
      </c>
      <c r="I912" s="178"/>
    </row>
    <row r="913" spans="1:9" hidden="1" outlineLevel="2" x14ac:dyDescent="0.25">
      <c r="A913" s="175">
        <f t="shared" si="29"/>
        <v>28</v>
      </c>
      <c r="B913" s="175" t="s">
        <v>327</v>
      </c>
      <c r="C913" s="175" t="str">
        <f t="shared" si="28"/>
        <v>Parede Com Sistema Em Chapas De Gesso Para Drywall, Uso Interno, Montante 70mm, Com Uma Face Simples Standart (ST/70)</v>
      </c>
      <c r="D913" s="175" t="s">
        <v>600</v>
      </c>
      <c r="E913" s="176" t="str">
        <f>_xlfn.XLOOKUP(D913,Insumos!$B$1:$B$764,Insumos!$C$1:$C$764)</f>
        <v>KG</v>
      </c>
      <c r="F913" s="179">
        <v>0.54890000000000005</v>
      </c>
      <c r="G913" s="177">
        <f>IF(B913="insumo",_xlfn.XLOOKUP($D913,Insumos!$B$1:$B$764,Insumos!$D$1:$D$764),"")</f>
        <v>3.43</v>
      </c>
      <c r="H913" s="177" cm="1">
        <f t="array" ref="H913">_xlfn.IFS(B913="Serviço",SUMIFS(H914:$H$3085,C914:$C$3085,$C913),B913="Insumo",F913*G913,B913="Etapa","")</f>
        <v>1.8827270000000003</v>
      </c>
      <c r="I913" s="178"/>
    </row>
    <row r="914" spans="1:9" hidden="1" outlineLevel="2" x14ac:dyDescent="0.25">
      <c r="A914" s="175">
        <f t="shared" si="29"/>
        <v>27</v>
      </c>
      <c r="B914" s="175" t="s">
        <v>327</v>
      </c>
      <c r="C914" s="175" t="str">
        <f t="shared" ref="C914:C989" si="30">IF(B914="serviço",D914,C913)</f>
        <v>Parede Com Sistema Em Chapas De Gesso Para Drywall, Uso Interno, Montante 70mm, Com Uma Face Simples Standart (ST/70)</v>
      </c>
      <c r="D914" s="175" t="s">
        <v>601</v>
      </c>
      <c r="E914" s="176" t="str">
        <f>_xlfn.XLOOKUP(D914,Insumos!$B$1:$B$764,Insumos!$C$1:$C$764)</f>
        <v>M</v>
      </c>
      <c r="F914" s="179">
        <v>1.2513000000000001</v>
      </c>
      <c r="G914" s="177">
        <f>IF(B914="insumo",_xlfn.XLOOKUP($D914,Insumos!$B$1:$B$764,Insumos!$D$1:$D$764),"")</f>
        <v>0.31</v>
      </c>
      <c r="H914" s="177" cm="1">
        <f t="array" ref="H914">_xlfn.IFS(B914="Serviço",SUMIFS(H915:$H$3085,C915:$C$3085,$C914),B914="Insumo",F914*G914,B914="Etapa","")</f>
        <v>0.387903</v>
      </c>
      <c r="I914" s="178"/>
    </row>
    <row r="915" spans="1:9" hidden="1" outlineLevel="2" x14ac:dyDescent="0.25">
      <c r="A915" s="175">
        <f t="shared" si="29"/>
        <v>27</v>
      </c>
      <c r="B915" s="175" t="s">
        <v>327</v>
      </c>
      <c r="C915" s="175" t="str">
        <f t="shared" si="30"/>
        <v>Parede Com Sistema Em Chapas De Gesso Para Drywall, Uso Interno, Montante 70mm, Com Uma Face Simples Standart (ST/70)</v>
      </c>
      <c r="D915" s="175" t="s">
        <v>602</v>
      </c>
      <c r="E915" s="176" t="str">
        <f>_xlfn.XLOOKUP(D915,Insumos!$B$1:$B$764,Insumos!$C$1:$C$764)</f>
        <v>M</v>
      </c>
      <c r="F915" s="179">
        <v>0.74070000000000003</v>
      </c>
      <c r="G915" s="177">
        <f>IF(B915="insumo",_xlfn.XLOOKUP($D915,Insumos!$B$1:$B$764,Insumos!$D$1:$D$764),"")</f>
        <v>2.74</v>
      </c>
      <c r="H915" s="177" cm="1">
        <f t="array" ref="H915">_xlfn.IFS(B915="Serviço",SUMIFS(H916:$H$3085,C916:$C$3085,$C915),B915="Insumo",F915*G915,B915="Etapa","")</f>
        <v>2.0295180000000004</v>
      </c>
      <c r="I915" s="178"/>
    </row>
    <row r="916" spans="1:9" hidden="1" outlineLevel="2" x14ac:dyDescent="0.25">
      <c r="A916" s="175">
        <f t="shared" si="29"/>
        <v>28</v>
      </c>
      <c r="B916" s="175" t="s">
        <v>327</v>
      </c>
      <c r="C916" s="175" t="str">
        <f t="shared" si="30"/>
        <v>Parede Com Sistema Em Chapas De Gesso Para Drywall, Uso Interno, Montante 70mm, Com Uma Face Simples Standart (ST/70)</v>
      </c>
      <c r="D916" s="175" t="s">
        <v>603</v>
      </c>
      <c r="E916" s="176" t="str">
        <f>_xlfn.XLOOKUP(D916,Insumos!$B$1:$B$764,Insumos!$C$1:$C$764)</f>
        <v>UN</v>
      </c>
      <c r="F916" s="179">
        <v>10.093400000000001</v>
      </c>
      <c r="G916" s="177">
        <f>IF(B916="insumo",_xlfn.XLOOKUP($D916,Insumos!$B$1:$B$764,Insumos!$D$1:$D$764),"")</f>
        <v>0.09</v>
      </c>
      <c r="H916" s="177" cm="1">
        <f t="array" ref="H916">_xlfn.IFS(B916="Serviço",SUMIFS(H917:$H$3085,C917:$C$3085,$C916),B916="Insumo",F916*G916,B916="Etapa","")</f>
        <v>0.90840600000000005</v>
      </c>
      <c r="I916" s="178"/>
    </row>
    <row r="917" spans="1:9" hidden="1" outlineLevel="2" x14ac:dyDescent="0.25">
      <c r="A917" s="175">
        <f t="shared" si="29"/>
        <v>28</v>
      </c>
      <c r="B917" s="175" t="s">
        <v>327</v>
      </c>
      <c r="C917" s="175" t="str">
        <f t="shared" si="30"/>
        <v>Parede Com Sistema Em Chapas De Gesso Para Drywall, Uso Interno, Montante 70mm, Com Uma Face Simples Standart (ST/70)</v>
      </c>
      <c r="D917" s="175" t="s">
        <v>604</v>
      </c>
      <c r="E917" s="176" t="str">
        <f>_xlfn.XLOOKUP(D917,Insumos!$B$1:$B$764,Insumos!$C$1:$C$764)</f>
        <v>UN</v>
      </c>
      <c r="F917" s="179">
        <v>0.4803</v>
      </c>
      <c r="G917" s="177">
        <f>IF(B917="insumo",_xlfn.XLOOKUP($D917,Insumos!$B$1:$B$764,Insumos!$D$1:$D$764),"")</f>
        <v>0.2</v>
      </c>
      <c r="H917" s="177" cm="1">
        <f t="array" ref="H917">_xlfn.IFS(B917="Serviço",SUMIFS(H930:$H$3085,C930:$C$3085,$C917),B917="Insumo",F917*G917,B917="Etapa","")</f>
        <v>9.6060000000000006E-2</v>
      </c>
      <c r="I917" s="178"/>
    </row>
    <row r="918" spans="1:9" outlineLevel="1" x14ac:dyDescent="0.25">
      <c r="A918" s="175">
        <f t="shared" si="29"/>
        <v>1</v>
      </c>
      <c r="B918" s="175" t="s">
        <v>109</v>
      </c>
      <c r="C918" s="175" t="str">
        <f>IF(B918="serviço",D918,C906)</f>
        <v>Parede Com Sistema Em Chapas De Gesso Para Drywall, Uso Interno, Montante 70mm, Com Uma Face Resistente a Umidade(RU/70) - com tratamento de junta</v>
      </c>
      <c r="D918" s="175" t="s">
        <v>6976</v>
      </c>
      <c r="E918" s="176" t="s">
        <v>13</v>
      </c>
      <c r="F918" s="175"/>
      <c r="G918" s="177" t="str">
        <f>IF(B918="insumo",_xlfn.XLOOKUP($D918,Insumos!$B$1:$B$764,Insumos!$D$1:$D$764),"")</f>
        <v/>
      </c>
      <c r="H918" s="177" cm="1">
        <f t="array" ref="H918">_xlfn.IFS(B918="Serviço",SUMIFS(H919:$H$3085,C919:$C$3085,$C918),B918="Insumo",F918*G918,B918="Etapa","")</f>
        <v>131.370744</v>
      </c>
      <c r="I918" s="178" t="s">
        <v>195</v>
      </c>
    </row>
    <row r="919" spans="1:9" outlineLevel="2" x14ac:dyDescent="0.25">
      <c r="A919" s="175">
        <f t="shared" si="29"/>
        <v>24</v>
      </c>
      <c r="B919" s="175" t="s">
        <v>327</v>
      </c>
      <c r="C919" s="175" t="str">
        <f t="shared" ref="C919:C929" si="31">IF(B919="serviço",D919,C918)</f>
        <v>Parede Com Sistema Em Chapas De Gesso Para Drywall, Uso Interno, Montante 70mm, Com Uma Face Resistente a Umidade(RU/70) - com tratamento de junta</v>
      </c>
      <c r="D919" s="175" t="s">
        <v>595</v>
      </c>
      <c r="E919" s="176" t="str">
        <f>_xlfn.XLOOKUP(D919,Insumos!$B$1:$B$764,Insumos!$C$1:$C$764)</f>
        <v>M2</v>
      </c>
      <c r="F919" s="179">
        <v>1</v>
      </c>
      <c r="G919" s="177">
        <f>IF(B919="insumo",_xlfn.XLOOKUP($D919,Insumos!$B$1:$B$764,Insumos!$D$1:$D$764),"")</f>
        <v>70</v>
      </c>
      <c r="H919" s="177" cm="1">
        <f t="array" ref="H919">_xlfn.IFS(B919="Serviço",SUMIFS(H921:$H$3085,C921:$C$3085,$C919),B919="Insumo",F919*G919,B919="Etapa","")</f>
        <v>70</v>
      </c>
      <c r="I919" s="178"/>
    </row>
    <row r="920" spans="1:9" outlineLevel="2" x14ac:dyDescent="0.25">
      <c r="A920" s="175">
        <f t="shared" si="29"/>
        <v>1</v>
      </c>
      <c r="B920" s="175" t="s">
        <v>327</v>
      </c>
      <c r="C920" s="175" t="str">
        <f>IF(B920="serviço",D920,C918)</f>
        <v>Parede Com Sistema Em Chapas De Gesso Para Drywall, Uso Interno, Montante 70mm, Com Uma Face Resistente a Umidade(RU/70) - com tratamento de junta</v>
      </c>
      <c r="D920" s="175" t="s">
        <v>6977</v>
      </c>
      <c r="E920" s="176" t="str">
        <f>_xlfn.XLOOKUP(D920,Insumos!$B$1:$B$764,Insumos!$C$1:$C$764)</f>
        <v>KG</v>
      </c>
      <c r="F920" s="179">
        <v>0.5</v>
      </c>
      <c r="G920" s="177">
        <f>IF(B920="insumo",_xlfn.XLOOKUP($D920,Insumos!$B$1:$B$764,Insumos!$D$1:$D$764),"")</f>
        <v>5.5</v>
      </c>
      <c r="H920" s="177" cm="1">
        <f t="array" ref="H920">_xlfn.IFS(B920="Serviço",SUMIFS(H921:$H$3085,C921:$C$3085,$C920),B920="Insumo",F920*G920,B920="Etapa","")</f>
        <v>2.75</v>
      </c>
      <c r="I920" s="178" t="s">
        <v>6978</v>
      </c>
    </row>
    <row r="921" spans="1:9" outlineLevel="2" x14ac:dyDescent="0.25">
      <c r="A921" s="175">
        <f t="shared" si="29"/>
        <v>16</v>
      </c>
      <c r="B921" s="175" t="s">
        <v>327</v>
      </c>
      <c r="C921" s="175" t="str">
        <f>IF(B921="serviço",D921,C919)</f>
        <v>Parede Com Sistema Em Chapas De Gesso Para Drywall, Uso Interno, Montante 70mm, Com Uma Face Resistente a Umidade(RU/70) - com tratamento de junta</v>
      </c>
      <c r="D921" s="175" t="s">
        <v>612</v>
      </c>
      <c r="E921" s="176" t="str">
        <f>_xlfn.XLOOKUP(D921,Insumos!$B$1:$B$764,Insumos!$C$1:$C$764)</f>
        <v>M2</v>
      </c>
      <c r="F921" s="179">
        <v>1.0529999999999999</v>
      </c>
      <c r="G921" s="177">
        <f>IF(B921="insumo",_xlfn.XLOOKUP($D921,Insumos!$B$1:$B$764,Insumos!$D$1:$D$764),"")</f>
        <v>29.194444444444446</v>
      </c>
      <c r="H921" s="177" cm="1">
        <f t="array" ref="H921">_xlfn.IFS(B921="Serviço",SUMIFS(H922:$H$3085,C922:$C$3085,$C921),B921="Insumo",F921*G921,B921="Etapa","")</f>
        <v>30.74175</v>
      </c>
      <c r="I921" s="178"/>
    </row>
    <row r="922" spans="1:9" outlineLevel="2" x14ac:dyDescent="0.25">
      <c r="A922" s="175">
        <f t="shared" si="29"/>
        <v>30</v>
      </c>
      <c r="B922" s="175" t="s">
        <v>327</v>
      </c>
      <c r="C922" s="175" t="str">
        <f t="shared" si="31"/>
        <v>Parede Com Sistema Em Chapas De Gesso Para Drywall, Uso Interno, Montante 70mm, Com Uma Face Resistente a Umidade(RU/70) - com tratamento de junta</v>
      </c>
      <c r="D922" s="175" t="s">
        <v>597</v>
      </c>
      <c r="E922" s="176" t="str">
        <f>_xlfn.XLOOKUP(D922,Insumos!$B$1:$B$764,Insumos!$C$1:$C$764)</f>
        <v>UN</v>
      </c>
      <c r="F922" s="179">
        <v>2.48</v>
      </c>
      <c r="G922" s="177">
        <f>IF(B922="insumo",_xlfn.XLOOKUP($D922,Insumos!$B$1:$B$764,Insumos!$D$1:$D$764),"")</f>
        <v>0.504</v>
      </c>
      <c r="H922" s="177" cm="1">
        <f t="array" ref="H922">_xlfn.IFS(B922="Serviço",SUMIFS(H923:$H$3085,C923:$C$3085,$C922),B922="Insumo",F922*G922,B922="Etapa","")</f>
        <v>1.2499199999999999</v>
      </c>
      <c r="I922" s="178"/>
    </row>
    <row r="923" spans="1:9" outlineLevel="2" x14ac:dyDescent="0.25">
      <c r="A923" s="175">
        <f t="shared" si="29"/>
        <v>11</v>
      </c>
      <c r="B923" s="175" t="s">
        <v>327</v>
      </c>
      <c r="C923" s="175" t="str">
        <f t="shared" si="31"/>
        <v>Parede Com Sistema Em Chapas De Gesso Para Drywall, Uso Interno, Montante 70mm, Com Uma Face Resistente a Umidade(RU/70) - com tratamento de junta</v>
      </c>
      <c r="D923" s="175" t="s">
        <v>609</v>
      </c>
      <c r="E923" s="176" t="str">
        <f>_xlfn.XLOOKUP(D923,Insumos!$B$1:$B$764,Insumos!$C$1:$C$764)</f>
        <v>M</v>
      </c>
      <c r="F923" s="179">
        <v>0.76239999999999997</v>
      </c>
      <c r="G923" s="177">
        <f>IF(B923="insumo",_xlfn.XLOOKUP($D923,Insumos!$B$1:$B$764,Insumos!$D$1:$D$764),"")</f>
        <v>7.03</v>
      </c>
      <c r="H923" s="177" cm="1">
        <f t="array" ref="H923">_xlfn.IFS(B923="Serviço",SUMIFS(H924:$H$3085,C924:$C$3085,$C923),B923="Insumo",F923*G923,B923="Etapa","")</f>
        <v>5.3596719999999998</v>
      </c>
      <c r="I923" s="178"/>
    </row>
    <row r="924" spans="1:9" outlineLevel="2" x14ac:dyDescent="0.25">
      <c r="A924" s="175">
        <f t="shared" si="29"/>
        <v>11</v>
      </c>
      <c r="B924" s="175" t="s">
        <v>327</v>
      </c>
      <c r="C924" s="175" t="str">
        <f t="shared" si="31"/>
        <v>Parede Com Sistema Em Chapas De Gesso Para Drywall, Uso Interno, Montante 70mm, Com Uma Face Resistente a Umidade(RU/70) - com tratamento de junta</v>
      </c>
      <c r="D924" s="175" t="s">
        <v>610</v>
      </c>
      <c r="E924" s="176" t="str">
        <f>_xlfn.XLOOKUP(D924,Insumos!$B$1:$B$764,Insumos!$C$1:$C$764)</f>
        <v>M</v>
      </c>
      <c r="F924" s="179">
        <v>2.0005999999999999</v>
      </c>
      <c r="G924" s="177">
        <f>IF(B924="insumo",_xlfn.XLOOKUP($D924,Insumos!$B$1:$B$764,Insumos!$D$1:$D$764),"")</f>
        <v>7.98</v>
      </c>
      <c r="H924" s="177" cm="1">
        <f t="array" ref="H924">_xlfn.IFS(B924="Serviço",SUMIFS(H925:$H$3085,C925:$C$3085,$C924),B924="Insumo",F924*G924,B924="Etapa","")</f>
        <v>15.964788</v>
      </c>
      <c r="I924" s="178"/>
    </row>
    <row r="925" spans="1:9" outlineLevel="2" x14ac:dyDescent="0.25">
      <c r="A925" s="175">
        <f t="shared" si="29"/>
        <v>28</v>
      </c>
      <c r="B925" s="175" t="s">
        <v>327</v>
      </c>
      <c r="C925" s="175" t="str">
        <f t="shared" si="31"/>
        <v>Parede Com Sistema Em Chapas De Gesso Para Drywall, Uso Interno, Montante 70mm, Com Uma Face Resistente a Umidade(RU/70) - com tratamento de junta</v>
      </c>
      <c r="D925" s="175" t="s">
        <v>600</v>
      </c>
      <c r="E925" s="176" t="str">
        <f>_xlfn.XLOOKUP(D925,Insumos!$B$1:$B$764,Insumos!$C$1:$C$764)</f>
        <v>KG</v>
      </c>
      <c r="F925" s="179">
        <v>0.54890000000000005</v>
      </c>
      <c r="G925" s="177">
        <f>IF(B925="insumo",_xlfn.XLOOKUP($D925,Insumos!$B$1:$B$764,Insumos!$D$1:$D$764),"")</f>
        <v>3.43</v>
      </c>
      <c r="H925" s="177" cm="1">
        <f t="array" ref="H925">_xlfn.IFS(B925="Serviço",SUMIFS(H926:$H$3085,C926:$C$3085,$C925),B925="Insumo",F925*G925,B925="Etapa","")</f>
        <v>1.8827270000000003</v>
      </c>
      <c r="I925" s="178"/>
    </row>
    <row r="926" spans="1:9" outlineLevel="2" x14ac:dyDescent="0.25">
      <c r="A926" s="175">
        <f t="shared" si="29"/>
        <v>27</v>
      </c>
      <c r="B926" s="175" t="s">
        <v>327</v>
      </c>
      <c r="C926" s="175" t="str">
        <f t="shared" si="31"/>
        <v>Parede Com Sistema Em Chapas De Gesso Para Drywall, Uso Interno, Montante 70mm, Com Uma Face Resistente a Umidade(RU/70) - com tratamento de junta</v>
      </c>
      <c r="D926" s="175" t="s">
        <v>601</v>
      </c>
      <c r="E926" s="176" t="str">
        <f>_xlfn.XLOOKUP(D926,Insumos!$B$1:$B$764,Insumos!$C$1:$C$764)</f>
        <v>M</v>
      </c>
      <c r="F926" s="179">
        <v>1.2513000000000001</v>
      </c>
      <c r="G926" s="177">
        <f>IF(B926="insumo",_xlfn.XLOOKUP($D926,Insumos!$B$1:$B$764,Insumos!$D$1:$D$764),"")</f>
        <v>0.31</v>
      </c>
      <c r="H926" s="177" cm="1">
        <f t="array" ref="H926">_xlfn.IFS(B926="Serviço",SUMIFS(H927:$H$3085,C927:$C$3085,$C926),B926="Insumo",F926*G926,B926="Etapa","")</f>
        <v>0.387903</v>
      </c>
      <c r="I926" s="178"/>
    </row>
    <row r="927" spans="1:9" outlineLevel="2" x14ac:dyDescent="0.25">
      <c r="A927" s="175">
        <f t="shared" si="29"/>
        <v>27</v>
      </c>
      <c r="B927" s="175" t="s">
        <v>327</v>
      </c>
      <c r="C927" s="175" t="str">
        <f t="shared" si="31"/>
        <v>Parede Com Sistema Em Chapas De Gesso Para Drywall, Uso Interno, Montante 70mm, Com Uma Face Resistente a Umidade(RU/70) - com tratamento de junta</v>
      </c>
      <c r="D927" s="175" t="s">
        <v>602</v>
      </c>
      <c r="E927" s="176" t="str">
        <f>_xlfn.XLOOKUP(D927,Insumos!$B$1:$B$764,Insumos!$C$1:$C$764)</f>
        <v>M</v>
      </c>
      <c r="F927" s="179">
        <v>0.74070000000000003</v>
      </c>
      <c r="G927" s="177">
        <f>IF(B927="insumo",_xlfn.XLOOKUP($D927,Insumos!$B$1:$B$764,Insumos!$D$1:$D$764),"")</f>
        <v>2.74</v>
      </c>
      <c r="H927" s="177" cm="1">
        <f t="array" ref="H927">_xlfn.IFS(B927="Serviço",SUMIFS(H928:$H$3085,C928:$C$3085,$C927),B927="Insumo",F927*G927,B927="Etapa","")</f>
        <v>2.0295180000000004</v>
      </c>
      <c r="I927" s="178"/>
    </row>
    <row r="928" spans="1:9" outlineLevel="2" x14ac:dyDescent="0.25">
      <c r="A928" s="175">
        <f t="shared" si="29"/>
        <v>28</v>
      </c>
      <c r="B928" s="175" t="s">
        <v>327</v>
      </c>
      <c r="C928" s="175" t="str">
        <f t="shared" si="31"/>
        <v>Parede Com Sistema Em Chapas De Gesso Para Drywall, Uso Interno, Montante 70mm, Com Uma Face Resistente a Umidade(RU/70) - com tratamento de junta</v>
      </c>
      <c r="D928" s="175" t="s">
        <v>603</v>
      </c>
      <c r="E928" s="176" t="str">
        <f>_xlfn.XLOOKUP(D928,Insumos!$B$1:$B$764,Insumos!$C$1:$C$764)</f>
        <v>UN</v>
      </c>
      <c r="F928" s="179">
        <v>10.093400000000001</v>
      </c>
      <c r="G928" s="177">
        <f>IF(B928="insumo",_xlfn.XLOOKUP($D928,Insumos!$B$1:$B$764,Insumos!$D$1:$D$764),"")</f>
        <v>0.09</v>
      </c>
      <c r="H928" s="177" cm="1">
        <f t="array" ref="H928">_xlfn.IFS(B928="Serviço",SUMIFS(H929:$H$3085,C929:$C$3085,$C928),B928="Insumo",F928*G928,B928="Etapa","")</f>
        <v>0.90840600000000005</v>
      </c>
      <c r="I928" s="178"/>
    </row>
    <row r="929" spans="1:9" outlineLevel="2" x14ac:dyDescent="0.25">
      <c r="A929" s="175">
        <f t="shared" si="29"/>
        <v>28</v>
      </c>
      <c r="B929" s="175" t="s">
        <v>327</v>
      </c>
      <c r="C929" s="175" t="str">
        <f t="shared" si="31"/>
        <v>Parede Com Sistema Em Chapas De Gesso Para Drywall, Uso Interno, Montante 70mm, Com Uma Face Resistente a Umidade(RU/70) - com tratamento de junta</v>
      </c>
      <c r="D929" s="175" t="s">
        <v>604</v>
      </c>
      <c r="E929" s="176" t="str">
        <f>_xlfn.XLOOKUP(D929,Insumos!$B$1:$B$764,Insumos!$C$1:$C$764)</f>
        <v>UN</v>
      </c>
      <c r="F929" s="179">
        <v>0.4803</v>
      </c>
      <c r="G929" s="177">
        <f>IF(B929="insumo",_xlfn.XLOOKUP($D929,Insumos!$B$1:$B$764,Insumos!$D$1:$D$764),"")</f>
        <v>0.2</v>
      </c>
      <c r="H929" s="177" cm="1">
        <f t="array" ref="H929">_xlfn.IFS(B929="Serviço",SUMIFS(H930:$H$3085,C930:$C$3085,$C929),B929="Insumo",F929*G929,B929="Etapa","")</f>
        <v>9.6060000000000006E-2</v>
      </c>
      <c r="I929" s="178"/>
    </row>
    <row r="930" spans="1:9" outlineLevel="1" x14ac:dyDescent="0.25">
      <c r="A930" s="175">
        <f t="shared" si="29"/>
        <v>1</v>
      </c>
      <c r="B930" s="175" t="s">
        <v>109</v>
      </c>
      <c r="C930" s="175" t="str">
        <f>IF(B930="serviço",D930,C917)</f>
        <v>Parede Com Sistema Em Chapas De Gesso Para Drywall, Uso Interno, Montante 70mm, Com Uma Face Resistente a Umidade(RU/70)</v>
      </c>
      <c r="D930" s="175" t="s">
        <v>2837</v>
      </c>
      <c r="E930" s="176" t="s">
        <v>13</v>
      </c>
      <c r="F930" s="175"/>
      <c r="G930" s="177" t="str">
        <f>IF(B930="insumo",_xlfn.XLOOKUP($D930,Insumos!$B$1:$B$764,Insumos!$D$1:$D$764),"")</f>
        <v/>
      </c>
      <c r="H930" s="177" cm="1">
        <f t="array" ref="H930">_xlfn.IFS(B930="Serviço",SUMIFS(H931:$H$3085,C931:$C$3085,$C930),B930="Insumo",F930*G930,B930="Etapa","")</f>
        <v>128.620744</v>
      </c>
      <c r="I930" s="178" t="s">
        <v>195</v>
      </c>
    </row>
    <row r="931" spans="1:9" outlineLevel="2" x14ac:dyDescent="0.25">
      <c r="A931" s="175">
        <f t="shared" si="29"/>
        <v>24</v>
      </c>
      <c r="B931" s="175" t="s">
        <v>327</v>
      </c>
      <c r="C931" s="175" t="str">
        <f t="shared" si="30"/>
        <v>Parede Com Sistema Em Chapas De Gesso Para Drywall, Uso Interno, Montante 70mm, Com Uma Face Resistente a Umidade(RU/70)</v>
      </c>
      <c r="D931" s="175" t="s">
        <v>595</v>
      </c>
      <c r="E931" s="176" t="str">
        <f>_xlfn.XLOOKUP(D931,Insumos!$B$1:$B$764,Insumos!$C$1:$C$764)</f>
        <v>M2</v>
      </c>
      <c r="F931" s="179">
        <v>1</v>
      </c>
      <c r="G931" s="177">
        <f>IF(B931="insumo",_xlfn.XLOOKUP($D931,Insumos!$B$1:$B$764,Insumos!$D$1:$D$764),"")</f>
        <v>70</v>
      </c>
      <c r="H931" s="177" cm="1">
        <f t="array" ref="H931">_xlfn.IFS(B931="Serviço",SUMIFS(H932:$H$3085,C932:$C$3085,$C931),B931="Insumo",F931*G931,B931="Etapa","")</f>
        <v>70</v>
      </c>
      <c r="I931" s="178"/>
    </row>
    <row r="932" spans="1:9" outlineLevel="2" x14ac:dyDescent="0.25">
      <c r="A932" s="175">
        <f t="shared" si="29"/>
        <v>16</v>
      </c>
      <c r="B932" s="175" t="s">
        <v>327</v>
      </c>
      <c r="C932" s="175" t="str">
        <f t="shared" si="30"/>
        <v>Parede Com Sistema Em Chapas De Gesso Para Drywall, Uso Interno, Montante 70mm, Com Uma Face Resistente a Umidade(RU/70)</v>
      </c>
      <c r="D932" s="175" t="s">
        <v>612</v>
      </c>
      <c r="E932" s="176" t="str">
        <f>_xlfn.XLOOKUP(D932,Insumos!$B$1:$B$764,Insumos!$C$1:$C$764)</f>
        <v>M2</v>
      </c>
      <c r="F932" s="179">
        <v>1.0529999999999999</v>
      </c>
      <c r="G932" s="177">
        <f>IF(B932="insumo",_xlfn.XLOOKUP($D932,Insumos!$B$1:$B$764,Insumos!$D$1:$D$764),"")</f>
        <v>29.194444444444446</v>
      </c>
      <c r="H932" s="177" cm="1">
        <f t="array" ref="H932">_xlfn.IFS(B932="Serviço",SUMIFS(H933:$H$3085,C933:$C$3085,$C932),B932="Insumo",F932*G932,B932="Etapa","")</f>
        <v>30.74175</v>
      </c>
      <c r="I932" s="178"/>
    </row>
    <row r="933" spans="1:9" outlineLevel="2" x14ac:dyDescent="0.25">
      <c r="A933" s="175">
        <f t="shared" si="29"/>
        <v>30</v>
      </c>
      <c r="B933" s="175" t="s">
        <v>327</v>
      </c>
      <c r="C933" s="175" t="str">
        <f t="shared" si="30"/>
        <v>Parede Com Sistema Em Chapas De Gesso Para Drywall, Uso Interno, Montante 70mm, Com Uma Face Resistente a Umidade(RU/70)</v>
      </c>
      <c r="D933" s="175" t="s">
        <v>597</v>
      </c>
      <c r="E933" s="176" t="str">
        <f>_xlfn.XLOOKUP(D933,Insumos!$B$1:$B$764,Insumos!$C$1:$C$764)</f>
        <v>UN</v>
      </c>
      <c r="F933" s="179">
        <v>2.48</v>
      </c>
      <c r="G933" s="177">
        <f>IF(B933="insumo",_xlfn.XLOOKUP($D933,Insumos!$B$1:$B$764,Insumos!$D$1:$D$764),"")</f>
        <v>0.504</v>
      </c>
      <c r="H933" s="177" cm="1">
        <f t="array" ref="H933">_xlfn.IFS(B933="Serviço",SUMIFS(H934:$H$3085,C934:$C$3085,$C933),B933="Insumo",F933*G933,B933="Etapa","")</f>
        <v>1.2499199999999999</v>
      </c>
      <c r="I933" s="178"/>
    </row>
    <row r="934" spans="1:9" outlineLevel="2" x14ac:dyDescent="0.25">
      <c r="A934" s="175">
        <f t="shared" si="29"/>
        <v>11</v>
      </c>
      <c r="B934" s="175" t="s">
        <v>327</v>
      </c>
      <c r="C934" s="175" t="str">
        <f t="shared" si="30"/>
        <v>Parede Com Sistema Em Chapas De Gesso Para Drywall, Uso Interno, Montante 70mm, Com Uma Face Resistente a Umidade(RU/70)</v>
      </c>
      <c r="D934" s="175" t="s">
        <v>609</v>
      </c>
      <c r="E934" s="176" t="str">
        <f>_xlfn.XLOOKUP(D934,Insumos!$B$1:$B$764,Insumos!$C$1:$C$764)</f>
        <v>M</v>
      </c>
      <c r="F934" s="179">
        <v>0.76239999999999997</v>
      </c>
      <c r="G934" s="177">
        <f>IF(B934="insumo",_xlfn.XLOOKUP($D934,Insumos!$B$1:$B$764,Insumos!$D$1:$D$764),"")</f>
        <v>7.03</v>
      </c>
      <c r="H934" s="177" cm="1">
        <f t="array" ref="H934">_xlfn.IFS(B934="Serviço",SUMIFS(H935:$H$3085,C935:$C$3085,$C934),B934="Insumo",F934*G934,B934="Etapa","")</f>
        <v>5.3596719999999998</v>
      </c>
      <c r="I934" s="178"/>
    </row>
    <row r="935" spans="1:9" outlineLevel="2" x14ac:dyDescent="0.25">
      <c r="A935" s="175">
        <f t="shared" si="29"/>
        <v>11</v>
      </c>
      <c r="B935" s="175" t="s">
        <v>327</v>
      </c>
      <c r="C935" s="175" t="str">
        <f t="shared" si="30"/>
        <v>Parede Com Sistema Em Chapas De Gesso Para Drywall, Uso Interno, Montante 70mm, Com Uma Face Resistente a Umidade(RU/70)</v>
      </c>
      <c r="D935" s="175" t="s">
        <v>610</v>
      </c>
      <c r="E935" s="176" t="str">
        <f>_xlfn.XLOOKUP(D935,Insumos!$B$1:$B$764,Insumos!$C$1:$C$764)</f>
        <v>M</v>
      </c>
      <c r="F935" s="179">
        <v>2.0005999999999999</v>
      </c>
      <c r="G935" s="177">
        <f>IF(B935="insumo",_xlfn.XLOOKUP($D935,Insumos!$B$1:$B$764,Insumos!$D$1:$D$764),"")</f>
        <v>7.98</v>
      </c>
      <c r="H935" s="177" cm="1">
        <f t="array" ref="H935">_xlfn.IFS(B935="Serviço",SUMIFS(H936:$H$3085,C936:$C$3085,$C935),B935="Insumo",F935*G935,B935="Etapa","")</f>
        <v>15.964788</v>
      </c>
      <c r="I935" s="178"/>
    </row>
    <row r="936" spans="1:9" outlineLevel="2" x14ac:dyDescent="0.25">
      <c r="A936" s="175">
        <f t="shared" si="29"/>
        <v>28</v>
      </c>
      <c r="B936" s="175" t="s">
        <v>327</v>
      </c>
      <c r="C936" s="175" t="str">
        <f t="shared" si="30"/>
        <v>Parede Com Sistema Em Chapas De Gesso Para Drywall, Uso Interno, Montante 70mm, Com Uma Face Resistente a Umidade(RU/70)</v>
      </c>
      <c r="D936" s="175" t="s">
        <v>600</v>
      </c>
      <c r="E936" s="176" t="str">
        <f>_xlfn.XLOOKUP(D936,Insumos!$B$1:$B$764,Insumos!$C$1:$C$764)</f>
        <v>KG</v>
      </c>
      <c r="F936" s="179">
        <v>0.54890000000000005</v>
      </c>
      <c r="G936" s="177">
        <f>IF(B936="insumo",_xlfn.XLOOKUP($D936,Insumos!$B$1:$B$764,Insumos!$D$1:$D$764),"")</f>
        <v>3.43</v>
      </c>
      <c r="H936" s="177" cm="1">
        <f t="array" ref="H936">_xlfn.IFS(B936="Serviço",SUMIFS(H937:$H$3085,C937:$C$3085,$C936),B936="Insumo",F936*G936,B936="Etapa","")</f>
        <v>1.8827270000000003</v>
      </c>
      <c r="I936" s="178"/>
    </row>
    <row r="937" spans="1:9" outlineLevel="2" x14ac:dyDescent="0.25">
      <c r="A937" s="175">
        <f t="shared" si="29"/>
        <v>27</v>
      </c>
      <c r="B937" s="175" t="s">
        <v>327</v>
      </c>
      <c r="C937" s="175" t="str">
        <f t="shared" si="30"/>
        <v>Parede Com Sistema Em Chapas De Gesso Para Drywall, Uso Interno, Montante 70mm, Com Uma Face Resistente a Umidade(RU/70)</v>
      </c>
      <c r="D937" s="175" t="s">
        <v>601</v>
      </c>
      <c r="E937" s="176" t="str">
        <f>_xlfn.XLOOKUP(D937,Insumos!$B$1:$B$764,Insumos!$C$1:$C$764)</f>
        <v>M</v>
      </c>
      <c r="F937" s="179">
        <v>1.2513000000000001</v>
      </c>
      <c r="G937" s="177">
        <f>IF(B937="insumo",_xlfn.XLOOKUP($D937,Insumos!$B$1:$B$764,Insumos!$D$1:$D$764),"")</f>
        <v>0.31</v>
      </c>
      <c r="H937" s="177" cm="1">
        <f t="array" ref="H937">_xlfn.IFS(B937="Serviço",SUMIFS(H938:$H$3085,C938:$C$3085,$C937),B937="Insumo",F937*G937,B937="Etapa","")</f>
        <v>0.387903</v>
      </c>
      <c r="I937" s="178"/>
    </row>
    <row r="938" spans="1:9" outlineLevel="2" x14ac:dyDescent="0.25">
      <c r="A938" s="175">
        <f t="shared" si="29"/>
        <v>27</v>
      </c>
      <c r="B938" s="175" t="s">
        <v>327</v>
      </c>
      <c r="C938" s="175" t="str">
        <f t="shared" si="30"/>
        <v>Parede Com Sistema Em Chapas De Gesso Para Drywall, Uso Interno, Montante 70mm, Com Uma Face Resistente a Umidade(RU/70)</v>
      </c>
      <c r="D938" s="175" t="s">
        <v>602</v>
      </c>
      <c r="E938" s="176" t="str">
        <f>_xlfn.XLOOKUP(D938,Insumos!$B$1:$B$764,Insumos!$C$1:$C$764)</f>
        <v>M</v>
      </c>
      <c r="F938" s="179">
        <v>0.74070000000000003</v>
      </c>
      <c r="G938" s="177">
        <f>IF(B938="insumo",_xlfn.XLOOKUP($D938,Insumos!$B$1:$B$764,Insumos!$D$1:$D$764),"")</f>
        <v>2.74</v>
      </c>
      <c r="H938" s="177" cm="1">
        <f t="array" ref="H938">_xlfn.IFS(B938="Serviço",SUMIFS(H939:$H$3085,C939:$C$3085,$C938),B938="Insumo",F938*G938,B938="Etapa","")</f>
        <v>2.0295180000000004</v>
      </c>
      <c r="I938" s="178"/>
    </row>
    <row r="939" spans="1:9" outlineLevel="2" x14ac:dyDescent="0.25">
      <c r="A939" s="175">
        <f t="shared" si="29"/>
        <v>28</v>
      </c>
      <c r="B939" s="175" t="s">
        <v>327</v>
      </c>
      <c r="C939" s="175" t="str">
        <f t="shared" si="30"/>
        <v>Parede Com Sistema Em Chapas De Gesso Para Drywall, Uso Interno, Montante 70mm, Com Uma Face Resistente a Umidade(RU/70)</v>
      </c>
      <c r="D939" s="175" t="s">
        <v>603</v>
      </c>
      <c r="E939" s="176" t="str">
        <f>_xlfn.XLOOKUP(D939,Insumos!$B$1:$B$764,Insumos!$C$1:$C$764)</f>
        <v>UN</v>
      </c>
      <c r="F939" s="179">
        <v>10.093400000000001</v>
      </c>
      <c r="G939" s="177">
        <f>IF(B939="insumo",_xlfn.XLOOKUP($D939,Insumos!$B$1:$B$764,Insumos!$D$1:$D$764),"")</f>
        <v>0.09</v>
      </c>
      <c r="H939" s="177" cm="1">
        <f t="array" ref="H939">_xlfn.IFS(B939="Serviço",SUMIFS(H940:$H$3085,C940:$C$3085,$C939),B939="Insumo",F939*G939,B939="Etapa","")</f>
        <v>0.90840600000000005</v>
      </c>
      <c r="I939" s="178"/>
    </row>
    <row r="940" spans="1:9" outlineLevel="2" x14ac:dyDescent="0.25">
      <c r="A940" s="175">
        <f t="shared" si="29"/>
        <v>28</v>
      </c>
      <c r="B940" s="175" t="s">
        <v>327</v>
      </c>
      <c r="C940" s="175" t="str">
        <f t="shared" si="30"/>
        <v>Parede Com Sistema Em Chapas De Gesso Para Drywall, Uso Interno, Montante 70mm, Com Uma Face Resistente a Umidade(RU/70)</v>
      </c>
      <c r="D940" s="175" t="s">
        <v>604</v>
      </c>
      <c r="E940" s="176" t="str">
        <f>_xlfn.XLOOKUP(D940,Insumos!$B$1:$B$764,Insumos!$C$1:$C$764)</f>
        <v>UN</v>
      </c>
      <c r="F940" s="179">
        <v>0.4803</v>
      </c>
      <c r="G940" s="177">
        <f>IF(B940="insumo",_xlfn.XLOOKUP($D940,Insumos!$B$1:$B$764,Insumos!$D$1:$D$764),"")</f>
        <v>0.2</v>
      </c>
      <c r="H940" s="177" cm="1">
        <f t="array" ref="H940">_xlfn.IFS(B940="Serviço",SUMIFS(H941:$H$3085,C941:$C$3085,$C940),B940="Insumo",F940*G940,B940="Etapa","")</f>
        <v>9.6060000000000006E-2</v>
      </c>
      <c r="I940" s="178"/>
    </row>
    <row r="941" spans="1:9" outlineLevel="1" collapsed="1" x14ac:dyDescent="0.25">
      <c r="A941" s="175">
        <f t="shared" si="29"/>
        <v>1</v>
      </c>
      <c r="B941" s="175" t="s">
        <v>109</v>
      </c>
      <c r="C941" s="175" t="str">
        <f t="shared" si="30"/>
        <v>Parede Com Sistema Em Chapas De Gesso Para Drywall, Uso Interno, Montante 70mm, Com Duas Face Simples Standart (ST/70/ST)</v>
      </c>
      <c r="D941" s="175" t="s">
        <v>2834</v>
      </c>
      <c r="E941" s="176" t="s">
        <v>13</v>
      </c>
      <c r="F941" s="175"/>
      <c r="G941" s="177" t="str">
        <f>IF(B941="insumo",_xlfn.XLOOKUP($D941,Insumos!$B$1:$B$764,Insumos!$D$1:$D$764),"")</f>
        <v/>
      </c>
      <c r="H941" s="177" cm="1">
        <f t="array" ref="H941">_xlfn.IFS(B941="Serviço",SUMIFS(H942:$H$3085,C942:$C$3085,$C941),B941="Insumo",F941*G941,B941="Etapa","")</f>
        <v>164.41995750000001</v>
      </c>
      <c r="I941" s="178" t="s">
        <v>195</v>
      </c>
    </row>
    <row r="942" spans="1:9" hidden="1" outlineLevel="2" x14ac:dyDescent="0.25">
      <c r="A942" s="175">
        <f t="shared" si="29"/>
        <v>24</v>
      </c>
      <c r="B942" s="175" t="s">
        <v>327</v>
      </c>
      <c r="C942" s="175" t="str">
        <f t="shared" si="30"/>
        <v>Parede Com Sistema Em Chapas De Gesso Para Drywall, Uso Interno, Montante 70mm, Com Duas Face Simples Standart (ST/70/ST)</v>
      </c>
      <c r="D942" s="175" t="s">
        <v>595</v>
      </c>
      <c r="E942" s="176" t="str">
        <f>_xlfn.XLOOKUP(D942,Insumos!$B$1:$B$764,Insumos!$C$1:$C$764)</f>
        <v>M2</v>
      </c>
      <c r="F942" s="179">
        <v>1</v>
      </c>
      <c r="G942" s="177">
        <f>IF(B942="insumo",_xlfn.XLOOKUP($D942,Insumos!$B$1:$B$764,Insumos!$D$1:$D$764),"")</f>
        <v>70</v>
      </c>
      <c r="H942" s="177" cm="1">
        <f t="array" ref="H942">_xlfn.IFS(B942="Serviço",SUMIFS(H943:$H$3085,C943:$C$3085,$C942),B942="Insumo",F942*G942,B942="Etapa","")</f>
        <v>70</v>
      </c>
      <c r="I942" s="178"/>
    </row>
    <row r="943" spans="1:9" hidden="1" outlineLevel="2" x14ac:dyDescent="0.25">
      <c r="A943" s="175">
        <f t="shared" si="29"/>
        <v>14</v>
      </c>
      <c r="B943" s="175" t="s">
        <v>327</v>
      </c>
      <c r="C943" s="175" t="str">
        <f t="shared" si="30"/>
        <v>Parede Com Sistema Em Chapas De Gesso Para Drywall, Uso Interno, Montante 70mm, Com Duas Face Simples Standart (ST/70/ST)</v>
      </c>
      <c r="D943" s="175" t="s">
        <v>596</v>
      </c>
      <c r="E943" s="176" t="str">
        <f>_xlfn.XLOOKUP(D943,Insumos!$B$1:$B$764,Insumos!$C$1:$C$764)</f>
        <v>M2</v>
      </c>
      <c r="F943" s="179">
        <v>2.1059999999999999</v>
      </c>
      <c r="G943" s="177">
        <f>IF(B943="insumo",_xlfn.XLOOKUP($D943,Insumos!$B$1:$B$764,Insumos!$D$1:$D$764),"")</f>
        <v>18.40625</v>
      </c>
      <c r="H943" s="177" cm="1">
        <f t="array" ref="H943">_xlfn.IFS(B943="Serviço",SUMIFS(H944:$H$3085,C944:$C$3085,$C943),B943="Insumo",F943*G943,B943="Etapa","")</f>
        <v>38.763562499999999</v>
      </c>
      <c r="I943" s="178"/>
    </row>
    <row r="944" spans="1:9" hidden="1" outlineLevel="2" x14ac:dyDescent="0.25">
      <c r="A944" s="175">
        <f t="shared" si="29"/>
        <v>30</v>
      </c>
      <c r="B944" s="175" t="s">
        <v>327</v>
      </c>
      <c r="C944" s="175" t="str">
        <f t="shared" si="30"/>
        <v>Parede Com Sistema Em Chapas De Gesso Para Drywall, Uso Interno, Montante 70mm, Com Duas Face Simples Standart (ST/70/ST)</v>
      </c>
      <c r="D944" s="175" t="s">
        <v>597</v>
      </c>
      <c r="E944" s="176" t="str">
        <f>_xlfn.XLOOKUP(D944,Insumos!$B$1:$B$764,Insumos!$C$1:$C$764)</f>
        <v>UN</v>
      </c>
      <c r="F944" s="179">
        <v>4.95</v>
      </c>
      <c r="G944" s="177">
        <f>IF(B944="insumo",_xlfn.XLOOKUP($D944,Insumos!$B$1:$B$764,Insumos!$D$1:$D$764),"")</f>
        <v>0.504</v>
      </c>
      <c r="H944" s="177" cm="1">
        <f t="array" ref="H944">_xlfn.IFS(B944="Serviço",SUMIFS(H945:$H$3085,C945:$C$3085,$C944),B944="Insumo",F944*G944,B944="Etapa","")</f>
        <v>2.4948000000000001</v>
      </c>
      <c r="I944" s="178"/>
    </row>
    <row r="945" spans="1:9" hidden="1" outlineLevel="2" x14ac:dyDescent="0.25">
      <c r="A945" s="175">
        <f t="shared" si="29"/>
        <v>11</v>
      </c>
      <c r="B945" s="175" t="s">
        <v>327</v>
      </c>
      <c r="C945" s="175" t="str">
        <f t="shared" si="30"/>
        <v>Parede Com Sistema Em Chapas De Gesso Para Drywall, Uso Interno, Montante 70mm, Com Duas Face Simples Standart (ST/70/ST)</v>
      </c>
      <c r="D945" s="175" t="s">
        <v>609</v>
      </c>
      <c r="E945" s="176" t="str">
        <f>_xlfn.XLOOKUP(D945,Insumos!$B$1:$B$764,Insumos!$C$1:$C$764)</f>
        <v>M</v>
      </c>
      <c r="F945" s="179">
        <v>1.5247999999999999</v>
      </c>
      <c r="G945" s="177">
        <f>IF(B945="insumo",_xlfn.XLOOKUP($D945,Insumos!$B$1:$B$764,Insumos!$D$1:$D$764),"")</f>
        <v>7.03</v>
      </c>
      <c r="H945" s="177" cm="1">
        <f t="array" ref="H945">_xlfn.IFS(B945="Serviço",SUMIFS(H946:$H$3085,C946:$C$3085,$C945),B945="Insumo",F945*G945,B945="Etapa","")</f>
        <v>10.719344</v>
      </c>
      <c r="I945" s="178"/>
    </row>
    <row r="946" spans="1:9" hidden="1" outlineLevel="2" x14ac:dyDescent="0.25">
      <c r="A946" s="175">
        <f t="shared" si="29"/>
        <v>11</v>
      </c>
      <c r="B946" s="175" t="s">
        <v>327</v>
      </c>
      <c r="C946" s="175" t="str">
        <f t="shared" si="30"/>
        <v>Parede Com Sistema Em Chapas De Gesso Para Drywall, Uso Interno, Montante 70mm, Com Duas Face Simples Standart (ST/70/ST)</v>
      </c>
      <c r="D946" s="175" t="s">
        <v>610</v>
      </c>
      <c r="E946" s="176" t="str">
        <f>_xlfn.XLOOKUP(D946,Insumos!$B$1:$B$764,Insumos!$C$1:$C$764)</f>
        <v>M</v>
      </c>
      <c r="F946" s="179">
        <v>4.0011000000000001</v>
      </c>
      <c r="G946" s="177">
        <f>IF(B946="insumo",_xlfn.XLOOKUP($D946,Insumos!$B$1:$B$764,Insumos!$D$1:$D$764),"")</f>
        <v>7.98</v>
      </c>
      <c r="H946" s="177" cm="1">
        <f t="array" ref="H946">_xlfn.IFS(B946="Serviço",SUMIFS(H947:$H$3085,C947:$C$3085,$C946),B946="Insumo",F946*G946,B946="Etapa","")</f>
        <v>31.928778000000001</v>
      </c>
      <c r="I946" s="178"/>
    </row>
    <row r="947" spans="1:9" hidden="1" outlineLevel="2" x14ac:dyDescent="0.25">
      <c r="A947" s="175">
        <f t="shared" si="29"/>
        <v>28</v>
      </c>
      <c r="B947" s="175" t="s">
        <v>327</v>
      </c>
      <c r="C947" s="175" t="str">
        <f t="shared" si="30"/>
        <v>Parede Com Sistema Em Chapas De Gesso Para Drywall, Uso Interno, Montante 70mm, Com Duas Face Simples Standart (ST/70/ST)</v>
      </c>
      <c r="D947" s="175" t="s">
        <v>600</v>
      </c>
      <c r="E947" s="176" t="str">
        <f>_xlfn.XLOOKUP(D947,Insumos!$B$1:$B$764,Insumos!$C$1:$C$764)</f>
        <v>KG</v>
      </c>
      <c r="F947" s="179">
        <v>1.0978000000000001</v>
      </c>
      <c r="G947" s="177">
        <f>IF(B947="insumo",_xlfn.XLOOKUP($D947,Insumos!$B$1:$B$764,Insumos!$D$1:$D$764),"")</f>
        <v>3.43</v>
      </c>
      <c r="H947" s="177" cm="1">
        <f t="array" ref="H947">_xlfn.IFS(B947="Serviço",SUMIFS(H948:$H$3085,C948:$C$3085,$C947),B947="Insumo",F947*G947,B947="Etapa","")</f>
        <v>3.7654540000000005</v>
      </c>
      <c r="I947" s="178"/>
    </row>
    <row r="948" spans="1:9" hidden="1" outlineLevel="2" x14ac:dyDescent="0.25">
      <c r="A948" s="175">
        <f t="shared" si="29"/>
        <v>27</v>
      </c>
      <c r="B948" s="175" t="s">
        <v>327</v>
      </c>
      <c r="C948" s="175" t="str">
        <f t="shared" si="30"/>
        <v>Parede Com Sistema Em Chapas De Gesso Para Drywall, Uso Interno, Montante 70mm, Com Duas Face Simples Standart (ST/70/ST)</v>
      </c>
      <c r="D948" s="175" t="s">
        <v>601</v>
      </c>
      <c r="E948" s="176" t="str">
        <f>_xlfn.XLOOKUP(D948,Insumos!$B$1:$B$764,Insumos!$C$1:$C$764)</f>
        <v>M</v>
      </c>
      <c r="F948" s="179">
        <v>2.5026999999999999</v>
      </c>
      <c r="G948" s="177">
        <f>IF(B948="insumo",_xlfn.XLOOKUP($D948,Insumos!$B$1:$B$764,Insumos!$D$1:$D$764),"")</f>
        <v>0.31</v>
      </c>
      <c r="H948" s="177" cm="1">
        <f t="array" ref="H948">_xlfn.IFS(B948="Serviço",SUMIFS(H949:$H$3085,C949:$C$3085,$C948),B948="Insumo",F948*G948,B948="Etapa","")</f>
        <v>0.775837</v>
      </c>
      <c r="I948" s="178"/>
    </row>
    <row r="949" spans="1:9" hidden="1" outlineLevel="2" x14ac:dyDescent="0.25">
      <c r="A949" s="175">
        <f t="shared" si="29"/>
        <v>27</v>
      </c>
      <c r="B949" s="175" t="s">
        <v>327</v>
      </c>
      <c r="C949" s="175" t="str">
        <f t="shared" si="30"/>
        <v>Parede Com Sistema Em Chapas De Gesso Para Drywall, Uso Interno, Montante 70mm, Com Duas Face Simples Standart (ST/70/ST)</v>
      </c>
      <c r="D949" s="175" t="s">
        <v>602</v>
      </c>
      <c r="E949" s="176" t="str">
        <f>_xlfn.XLOOKUP(D949,Insumos!$B$1:$B$764,Insumos!$C$1:$C$764)</f>
        <v>M</v>
      </c>
      <c r="F949" s="179">
        <v>1.4815</v>
      </c>
      <c r="G949" s="177">
        <f>IF(B949="insumo",_xlfn.XLOOKUP($D949,Insumos!$B$1:$B$764,Insumos!$D$1:$D$764),"")</f>
        <v>2.74</v>
      </c>
      <c r="H949" s="177" cm="1">
        <f t="array" ref="H949">_xlfn.IFS(B949="Serviço",SUMIFS(H950:$H$3085,C950:$C$3085,$C949),B949="Insumo",F949*G949,B949="Etapa","")</f>
        <v>4.0593100000000009</v>
      </c>
      <c r="I949" s="178"/>
    </row>
    <row r="950" spans="1:9" hidden="1" outlineLevel="2" x14ac:dyDescent="0.25">
      <c r="A950" s="175">
        <f t="shared" si="29"/>
        <v>28</v>
      </c>
      <c r="B950" s="175" t="s">
        <v>327</v>
      </c>
      <c r="C950" s="175" t="str">
        <f t="shared" si="30"/>
        <v>Parede Com Sistema Em Chapas De Gesso Para Drywall, Uso Interno, Montante 70mm, Com Duas Face Simples Standart (ST/70/ST)</v>
      </c>
      <c r="D950" s="175" t="s">
        <v>603</v>
      </c>
      <c r="E950" s="176" t="str">
        <f>_xlfn.XLOOKUP(D950,Insumos!$B$1:$B$764,Insumos!$C$1:$C$764)</f>
        <v>UN</v>
      </c>
      <c r="F950" s="179">
        <v>20.186800000000002</v>
      </c>
      <c r="G950" s="177">
        <f>IF(B950="insumo",_xlfn.XLOOKUP($D950,Insumos!$B$1:$B$764,Insumos!$D$1:$D$764),"")</f>
        <v>0.09</v>
      </c>
      <c r="H950" s="177" cm="1">
        <f t="array" ref="H950">_xlfn.IFS(B950="Serviço",SUMIFS(H951:$H$3085,C951:$C$3085,$C950),B950="Insumo",F950*G950,B950="Etapa","")</f>
        <v>1.8168120000000001</v>
      </c>
      <c r="I950" s="178"/>
    </row>
    <row r="951" spans="1:9" hidden="1" outlineLevel="2" x14ac:dyDescent="0.25">
      <c r="A951" s="175">
        <f t="shared" si="29"/>
        <v>28</v>
      </c>
      <c r="B951" s="175" t="s">
        <v>327</v>
      </c>
      <c r="C951" s="175" t="str">
        <f t="shared" si="30"/>
        <v>Parede Com Sistema Em Chapas De Gesso Para Drywall, Uso Interno, Montante 70mm, Com Duas Face Simples Standart (ST/70/ST)</v>
      </c>
      <c r="D951" s="175" t="s">
        <v>604</v>
      </c>
      <c r="E951" s="176" t="str">
        <f>_xlfn.XLOOKUP(D951,Insumos!$B$1:$B$764,Insumos!$C$1:$C$764)</f>
        <v>UN</v>
      </c>
      <c r="F951" s="179">
        <v>0.4803</v>
      </c>
      <c r="G951" s="177">
        <f>IF(B951="insumo",_xlfn.XLOOKUP($D951,Insumos!$B$1:$B$764,Insumos!$D$1:$D$764),"")</f>
        <v>0.2</v>
      </c>
      <c r="H951" s="177" cm="1">
        <f t="array" ref="H951">_xlfn.IFS(B951="Serviço",SUMIFS(H952:$H$3085,C952:$C$3085,$C951),B951="Insumo",F951*G951,B951="Etapa","")</f>
        <v>9.6060000000000006E-2</v>
      </c>
      <c r="I951" s="178"/>
    </row>
    <row r="952" spans="1:9" outlineLevel="1" collapsed="1" x14ac:dyDescent="0.25">
      <c r="A952" s="175">
        <f t="shared" si="29"/>
        <v>1</v>
      </c>
      <c r="B952" s="175" t="s">
        <v>109</v>
      </c>
      <c r="C952" s="175" t="str">
        <f t="shared" si="30"/>
        <v>Parede Com Sistema Em Chapas De Gesso Para Drywall, Uso Interno, Montante 70mm, Com Duas Face Resistente a Umidade(RU/70/RU)</v>
      </c>
      <c r="D952" s="175" t="s">
        <v>2835</v>
      </c>
      <c r="E952" s="176" t="s">
        <v>13</v>
      </c>
      <c r="F952" s="175"/>
      <c r="G952" s="177" t="str">
        <f>IF(B952="insumo",_xlfn.XLOOKUP($D952,Insumos!$B$1:$B$764,Insumos!$D$1:$D$764),"")</f>
        <v/>
      </c>
      <c r="H952" s="177" cm="1">
        <f t="array" ref="H952">_xlfn.IFS(B952="Serviço",SUMIFS(H953:$H$3085,C953:$C$3085,$C952),B952="Insumo",F952*G952,B952="Etapa","")</f>
        <v>187.139895</v>
      </c>
      <c r="I952" s="178" t="s">
        <v>195</v>
      </c>
    </row>
    <row r="953" spans="1:9" hidden="1" outlineLevel="2" x14ac:dyDescent="0.25">
      <c r="A953" s="175">
        <f t="shared" si="29"/>
        <v>24</v>
      </c>
      <c r="B953" s="175" t="s">
        <v>327</v>
      </c>
      <c r="C953" s="175" t="str">
        <f t="shared" si="30"/>
        <v>Parede Com Sistema Em Chapas De Gesso Para Drywall, Uso Interno, Montante 70mm, Com Duas Face Resistente a Umidade(RU/70/RU)</v>
      </c>
      <c r="D953" s="175" t="s">
        <v>595</v>
      </c>
      <c r="E953" s="176" t="str">
        <f>_xlfn.XLOOKUP(D953,Insumos!$B$1:$B$764,Insumos!$C$1:$C$764)</f>
        <v>M2</v>
      </c>
      <c r="F953" s="179">
        <v>1</v>
      </c>
      <c r="G953" s="177">
        <f>IF(B953="insumo",_xlfn.XLOOKUP($D953,Insumos!$B$1:$B$764,Insumos!$D$1:$D$764),"")</f>
        <v>70</v>
      </c>
      <c r="H953" s="177" cm="1">
        <f t="array" ref="H953">_xlfn.IFS(B953="Serviço",SUMIFS(H954:$H$3085,C954:$C$3085,$C953),B953="Insumo",F953*G953,B953="Etapa","")</f>
        <v>70</v>
      </c>
      <c r="I953" s="178"/>
    </row>
    <row r="954" spans="1:9" hidden="1" outlineLevel="2" x14ac:dyDescent="0.25">
      <c r="A954" s="175">
        <f t="shared" si="29"/>
        <v>16</v>
      </c>
      <c r="B954" s="175" t="s">
        <v>327</v>
      </c>
      <c r="C954" s="175" t="str">
        <f t="shared" si="30"/>
        <v>Parede Com Sistema Em Chapas De Gesso Para Drywall, Uso Interno, Montante 70mm, Com Duas Face Resistente a Umidade(RU/70/RU)</v>
      </c>
      <c r="D954" s="175" t="s">
        <v>612</v>
      </c>
      <c r="E954" s="176" t="str">
        <f>_xlfn.XLOOKUP(D954,Insumos!$B$1:$B$764,Insumos!$C$1:$C$764)</f>
        <v>M2</v>
      </c>
      <c r="F954" s="179">
        <v>2.1059999999999999</v>
      </c>
      <c r="G954" s="177">
        <f>IF(B954="insumo",_xlfn.XLOOKUP($D954,Insumos!$B$1:$B$764,Insumos!$D$1:$D$764),"")</f>
        <v>29.194444444444446</v>
      </c>
      <c r="H954" s="177" cm="1">
        <f t="array" ref="H954">_xlfn.IFS(B954="Serviço",SUMIFS(H955:$H$3085,C955:$C$3085,$C954),B954="Insumo",F954*G954,B954="Etapa","")</f>
        <v>61.483499999999999</v>
      </c>
      <c r="I954" s="178"/>
    </row>
    <row r="955" spans="1:9" hidden="1" outlineLevel="2" x14ac:dyDescent="0.25">
      <c r="A955" s="175">
        <f t="shared" si="29"/>
        <v>30</v>
      </c>
      <c r="B955" s="175" t="s">
        <v>327</v>
      </c>
      <c r="C955" s="175" t="str">
        <f t="shared" si="30"/>
        <v>Parede Com Sistema Em Chapas De Gesso Para Drywall, Uso Interno, Montante 70mm, Com Duas Face Resistente a Umidade(RU/70/RU)</v>
      </c>
      <c r="D955" s="175" t="s">
        <v>597</v>
      </c>
      <c r="E955" s="176" t="str">
        <f>_xlfn.XLOOKUP(D955,Insumos!$B$1:$B$764,Insumos!$C$1:$C$764)</f>
        <v>UN</v>
      </c>
      <c r="F955" s="179">
        <v>4.95</v>
      </c>
      <c r="G955" s="177">
        <f>IF(B955="insumo",_xlfn.XLOOKUP($D955,Insumos!$B$1:$B$764,Insumos!$D$1:$D$764),"")</f>
        <v>0.504</v>
      </c>
      <c r="H955" s="177" cm="1">
        <f t="array" ref="H955">_xlfn.IFS(B955="Serviço",SUMIFS(H956:$H$3085,C956:$C$3085,$C955),B955="Insumo",F955*G955,B955="Etapa","")</f>
        <v>2.4948000000000001</v>
      </c>
      <c r="I955" s="178"/>
    </row>
    <row r="956" spans="1:9" hidden="1" outlineLevel="2" x14ac:dyDescent="0.25">
      <c r="A956" s="175">
        <f t="shared" si="29"/>
        <v>11</v>
      </c>
      <c r="B956" s="175" t="s">
        <v>327</v>
      </c>
      <c r="C956" s="175" t="str">
        <f t="shared" si="30"/>
        <v>Parede Com Sistema Em Chapas De Gesso Para Drywall, Uso Interno, Montante 70mm, Com Duas Face Resistente a Umidade(RU/70/RU)</v>
      </c>
      <c r="D956" s="175" t="s">
        <v>609</v>
      </c>
      <c r="E956" s="176" t="str">
        <f>_xlfn.XLOOKUP(D956,Insumos!$B$1:$B$764,Insumos!$C$1:$C$764)</f>
        <v>M</v>
      </c>
      <c r="F956" s="179">
        <v>1.5247999999999999</v>
      </c>
      <c r="G956" s="177">
        <f>IF(B956="insumo",_xlfn.XLOOKUP($D956,Insumos!$B$1:$B$764,Insumos!$D$1:$D$764),"")</f>
        <v>7.03</v>
      </c>
      <c r="H956" s="177" cm="1">
        <f t="array" ref="H956">_xlfn.IFS(B956="Serviço",SUMIFS(H957:$H$3085,C957:$C$3085,$C956),B956="Insumo",F956*G956,B956="Etapa","")</f>
        <v>10.719344</v>
      </c>
      <c r="I956" s="178"/>
    </row>
    <row r="957" spans="1:9" hidden="1" outlineLevel="2" x14ac:dyDescent="0.25">
      <c r="A957" s="175">
        <f t="shared" si="29"/>
        <v>11</v>
      </c>
      <c r="B957" s="175" t="s">
        <v>327</v>
      </c>
      <c r="C957" s="175" t="str">
        <f t="shared" si="30"/>
        <v>Parede Com Sistema Em Chapas De Gesso Para Drywall, Uso Interno, Montante 70mm, Com Duas Face Resistente a Umidade(RU/70/RU)</v>
      </c>
      <c r="D957" s="175" t="s">
        <v>610</v>
      </c>
      <c r="E957" s="176" t="str">
        <f>_xlfn.XLOOKUP(D957,Insumos!$B$1:$B$764,Insumos!$C$1:$C$764)</f>
        <v>M</v>
      </c>
      <c r="F957" s="179">
        <v>4.0011000000000001</v>
      </c>
      <c r="G957" s="177">
        <f>IF(B957="insumo",_xlfn.XLOOKUP($D957,Insumos!$B$1:$B$764,Insumos!$D$1:$D$764),"")</f>
        <v>7.98</v>
      </c>
      <c r="H957" s="177" cm="1">
        <f t="array" ref="H957">_xlfn.IFS(B957="Serviço",SUMIFS(H958:$H$3085,C958:$C$3085,$C957),B957="Insumo",F957*G957,B957="Etapa","")</f>
        <v>31.928778000000001</v>
      </c>
      <c r="I957" s="178"/>
    </row>
    <row r="958" spans="1:9" hidden="1" outlineLevel="2" x14ac:dyDescent="0.25">
      <c r="A958" s="175">
        <f t="shared" si="29"/>
        <v>28</v>
      </c>
      <c r="B958" s="175" t="s">
        <v>327</v>
      </c>
      <c r="C958" s="175" t="str">
        <f t="shared" si="30"/>
        <v>Parede Com Sistema Em Chapas De Gesso Para Drywall, Uso Interno, Montante 70mm, Com Duas Face Resistente a Umidade(RU/70/RU)</v>
      </c>
      <c r="D958" s="175" t="s">
        <v>600</v>
      </c>
      <c r="E958" s="176" t="str">
        <f>_xlfn.XLOOKUP(D958,Insumos!$B$1:$B$764,Insumos!$C$1:$C$764)</f>
        <v>KG</v>
      </c>
      <c r="F958" s="179">
        <v>1.0978000000000001</v>
      </c>
      <c r="G958" s="177">
        <f>IF(B958="insumo",_xlfn.XLOOKUP($D958,Insumos!$B$1:$B$764,Insumos!$D$1:$D$764),"")</f>
        <v>3.43</v>
      </c>
      <c r="H958" s="177" cm="1">
        <f t="array" ref="H958">_xlfn.IFS(B958="Serviço",SUMIFS(H959:$H$3085,C959:$C$3085,$C958),B958="Insumo",F958*G958,B958="Etapa","")</f>
        <v>3.7654540000000005</v>
      </c>
      <c r="I958" s="178"/>
    </row>
    <row r="959" spans="1:9" hidden="1" outlineLevel="2" x14ac:dyDescent="0.25">
      <c r="A959" s="175">
        <f t="shared" si="29"/>
        <v>27</v>
      </c>
      <c r="B959" s="175" t="s">
        <v>327</v>
      </c>
      <c r="C959" s="175" t="str">
        <f t="shared" si="30"/>
        <v>Parede Com Sistema Em Chapas De Gesso Para Drywall, Uso Interno, Montante 70mm, Com Duas Face Resistente a Umidade(RU/70/RU)</v>
      </c>
      <c r="D959" s="175" t="s">
        <v>601</v>
      </c>
      <c r="E959" s="176" t="str">
        <f>_xlfn.XLOOKUP(D959,Insumos!$B$1:$B$764,Insumos!$C$1:$C$764)</f>
        <v>M</v>
      </c>
      <c r="F959" s="179">
        <v>2.5026999999999999</v>
      </c>
      <c r="G959" s="177">
        <f>IF(B959="insumo",_xlfn.XLOOKUP($D959,Insumos!$B$1:$B$764,Insumos!$D$1:$D$764),"")</f>
        <v>0.31</v>
      </c>
      <c r="H959" s="177" cm="1">
        <f t="array" ref="H959">_xlfn.IFS(B959="Serviço",SUMIFS(H960:$H$3085,C960:$C$3085,$C959),B959="Insumo",F959*G959,B959="Etapa","")</f>
        <v>0.775837</v>
      </c>
      <c r="I959" s="178"/>
    </row>
    <row r="960" spans="1:9" hidden="1" outlineLevel="2" x14ac:dyDescent="0.25">
      <c r="A960" s="175">
        <f t="shared" si="29"/>
        <v>27</v>
      </c>
      <c r="B960" s="175" t="s">
        <v>327</v>
      </c>
      <c r="C960" s="175" t="str">
        <f t="shared" si="30"/>
        <v>Parede Com Sistema Em Chapas De Gesso Para Drywall, Uso Interno, Montante 70mm, Com Duas Face Resistente a Umidade(RU/70/RU)</v>
      </c>
      <c r="D960" s="175" t="s">
        <v>602</v>
      </c>
      <c r="E960" s="176" t="str">
        <f>_xlfn.XLOOKUP(D960,Insumos!$B$1:$B$764,Insumos!$C$1:$C$764)</f>
        <v>M</v>
      </c>
      <c r="F960" s="179">
        <v>1.4815</v>
      </c>
      <c r="G960" s="177">
        <f>IF(B960="insumo",_xlfn.XLOOKUP($D960,Insumos!$B$1:$B$764,Insumos!$D$1:$D$764),"")</f>
        <v>2.74</v>
      </c>
      <c r="H960" s="177" cm="1">
        <f t="array" ref="H960">_xlfn.IFS(B960="Serviço",SUMIFS(H961:$H$3085,C961:$C$3085,$C960),B960="Insumo",F960*G960,B960="Etapa","")</f>
        <v>4.0593100000000009</v>
      </c>
      <c r="I960" s="178"/>
    </row>
    <row r="961" spans="1:9" hidden="1" outlineLevel="2" x14ac:dyDescent="0.25">
      <c r="A961" s="175">
        <f t="shared" si="29"/>
        <v>28</v>
      </c>
      <c r="B961" s="175" t="s">
        <v>327</v>
      </c>
      <c r="C961" s="175" t="str">
        <f t="shared" si="30"/>
        <v>Parede Com Sistema Em Chapas De Gesso Para Drywall, Uso Interno, Montante 70mm, Com Duas Face Resistente a Umidade(RU/70/RU)</v>
      </c>
      <c r="D961" s="175" t="s">
        <v>603</v>
      </c>
      <c r="E961" s="176" t="str">
        <f>_xlfn.XLOOKUP(D961,Insumos!$B$1:$B$764,Insumos!$C$1:$C$764)</f>
        <v>UN</v>
      </c>
      <c r="F961" s="179">
        <v>20.186800000000002</v>
      </c>
      <c r="G961" s="177">
        <f>IF(B961="insumo",_xlfn.XLOOKUP($D961,Insumos!$B$1:$B$764,Insumos!$D$1:$D$764),"")</f>
        <v>0.09</v>
      </c>
      <c r="H961" s="177" cm="1">
        <f t="array" ref="H961">_xlfn.IFS(B961="Serviço",SUMIFS(H962:$H$3085,C962:$C$3085,$C961),B961="Insumo",F961*G961,B961="Etapa","")</f>
        <v>1.8168120000000001</v>
      </c>
      <c r="I961" s="178"/>
    </row>
    <row r="962" spans="1:9" hidden="1" outlineLevel="2" x14ac:dyDescent="0.25">
      <c r="A962" s="175">
        <f t="shared" ref="A962:A1025" si="32">COUNTIFS($D$2:$D$3085,D962,$B$2:$B$3085,B962)</f>
        <v>28</v>
      </c>
      <c r="B962" s="175" t="s">
        <v>327</v>
      </c>
      <c r="C962" s="175" t="str">
        <f t="shared" si="30"/>
        <v>Parede Com Sistema Em Chapas De Gesso Para Drywall, Uso Interno, Montante 70mm, Com Duas Face Resistente a Umidade(RU/70/RU)</v>
      </c>
      <c r="D962" s="175" t="s">
        <v>604</v>
      </c>
      <c r="E962" s="176" t="str">
        <f>_xlfn.XLOOKUP(D962,Insumos!$B$1:$B$764,Insumos!$C$1:$C$764)</f>
        <v>UN</v>
      </c>
      <c r="F962" s="179">
        <v>0.4803</v>
      </c>
      <c r="G962" s="177">
        <f>IF(B962="insumo",_xlfn.XLOOKUP($D962,Insumos!$B$1:$B$764,Insumos!$D$1:$D$764),"")</f>
        <v>0.2</v>
      </c>
      <c r="H962" s="177" cm="1">
        <f t="array" ref="H962">_xlfn.IFS(B962="Serviço",SUMIFS(H963:$H$3085,C963:$C$3085,$C962),B962="Insumo",F962*G962,B962="Etapa","")</f>
        <v>9.6060000000000006E-2</v>
      </c>
      <c r="I962" s="178"/>
    </row>
    <row r="963" spans="1:9" outlineLevel="1" collapsed="1" x14ac:dyDescent="0.25">
      <c r="A963" s="175">
        <f t="shared" si="32"/>
        <v>1</v>
      </c>
      <c r="B963" s="175" t="s">
        <v>109</v>
      </c>
      <c r="C963" s="175" t="str">
        <f t="shared" si="30"/>
        <v>Parede Com Sistema Em Chapas De Gesso Para Drywall, Uso Interno, Montante 70mm, Com Uma Face Standart e Uma Face Resistente a Umidade(RU/70/ST)</v>
      </c>
      <c r="D963" s="175" t="s">
        <v>2838</v>
      </c>
      <c r="E963" s="176" t="s">
        <v>13</v>
      </c>
      <c r="F963" s="175"/>
      <c r="G963" s="177" t="str">
        <f>IF(B963="insumo",_xlfn.XLOOKUP($D963,Insumos!$B$1:$B$764,Insumos!$D$1:$D$764),"")</f>
        <v/>
      </c>
      <c r="H963" s="177" cm="1">
        <f t="array" ref="H963">_xlfn.IFS(B963="Serviço",SUMIFS(H964:$H$3085,C964:$C$3085,$C963),B963="Insumo",F963*G963,B963="Etapa","")</f>
        <v>175.77992624999999</v>
      </c>
      <c r="I963" s="178" t="s">
        <v>195</v>
      </c>
    </row>
    <row r="964" spans="1:9" hidden="1" outlineLevel="2" x14ac:dyDescent="0.25">
      <c r="A964" s="175">
        <f t="shared" si="32"/>
        <v>24</v>
      </c>
      <c r="B964" s="175" t="s">
        <v>327</v>
      </c>
      <c r="C964" s="175" t="str">
        <f t="shared" si="30"/>
        <v>Parede Com Sistema Em Chapas De Gesso Para Drywall, Uso Interno, Montante 70mm, Com Uma Face Standart e Uma Face Resistente a Umidade(RU/70/ST)</v>
      </c>
      <c r="D964" s="175" t="s">
        <v>595</v>
      </c>
      <c r="E964" s="176" t="str">
        <f>_xlfn.XLOOKUP(D964,Insumos!$B$1:$B$764,Insumos!$C$1:$C$764)</f>
        <v>M2</v>
      </c>
      <c r="F964" s="179">
        <v>1</v>
      </c>
      <c r="G964" s="177">
        <f>IF(B964="insumo",_xlfn.XLOOKUP($D964,Insumos!$B$1:$B$764,Insumos!$D$1:$D$764),"")</f>
        <v>70</v>
      </c>
      <c r="H964" s="177" cm="1">
        <f t="array" ref="H964">_xlfn.IFS(B964="Serviço",SUMIFS(H965:$H$3085,C965:$C$3085,$C964),B964="Insumo",F964*G964,B964="Etapa","")</f>
        <v>70</v>
      </c>
      <c r="I964" s="178"/>
    </row>
    <row r="965" spans="1:9" hidden="1" outlineLevel="2" x14ac:dyDescent="0.25">
      <c r="A965" s="175">
        <f t="shared" si="32"/>
        <v>14</v>
      </c>
      <c r="B965" s="175" t="s">
        <v>327</v>
      </c>
      <c r="C965" s="175" t="str">
        <f t="shared" si="30"/>
        <v>Parede Com Sistema Em Chapas De Gesso Para Drywall, Uso Interno, Montante 70mm, Com Uma Face Standart e Uma Face Resistente a Umidade(RU/70/ST)</v>
      </c>
      <c r="D965" s="175" t="s">
        <v>596</v>
      </c>
      <c r="E965" s="176" t="str">
        <f>_xlfn.XLOOKUP(D965,Insumos!$B$1:$B$764,Insumos!$C$1:$C$764)</f>
        <v>M2</v>
      </c>
      <c r="F965" s="179">
        <v>1.0529999999999999</v>
      </c>
      <c r="G965" s="177">
        <f>IF(B965="insumo",_xlfn.XLOOKUP($D965,Insumos!$B$1:$B$764,Insumos!$D$1:$D$764),"")</f>
        <v>18.40625</v>
      </c>
      <c r="H965" s="177" cm="1">
        <f t="array" ref="H965">_xlfn.IFS(B965="Serviço",SUMIFS(H966:$H$3085,C966:$C$3085,$C965),B965="Insumo",F965*G965,B965="Etapa","")</f>
        <v>19.38178125</v>
      </c>
      <c r="I965" s="178"/>
    </row>
    <row r="966" spans="1:9" hidden="1" outlineLevel="2" x14ac:dyDescent="0.25">
      <c r="A966" s="175">
        <f t="shared" si="32"/>
        <v>16</v>
      </c>
      <c r="B966" s="175" t="s">
        <v>327</v>
      </c>
      <c r="C966" s="175" t="str">
        <f t="shared" si="30"/>
        <v>Parede Com Sistema Em Chapas De Gesso Para Drywall, Uso Interno, Montante 70mm, Com Uma Face Standart e Uma Face Resistente a Umidade(RU/70/ST)</v>
      </c>
      <c r="D966" s="175" t="s">
        <v>612</v>
      </c>
      <c r="E966" s="176" t="str">
        <f>_xlfn.XLOOKUP(D966,Insumos!$B$1:$B$764,Insumos!$C$1:$C$764)</f>
        <v>M2</v>
      </c>
      <c r="F966" s="179">
        <v>1.0529999999999999</v>
      </c>
      <c r="G966" s="177">
        <f>IF(B966="insumo",_xlfn.XLOOKUP($D966,Insumos!$B$1:$B$764,Insumos!$D$1:$D$764),"")</f>
        <v>29.194444444444446</v>
      </c>
      <c r="H966" s="177" cm="1">
        <f t="array" ref="H966">_xlfn.IFS(B966="Serviço",SUMIFS(H967:$H$3085,C967:$C$3085,$C966),B966="Insumo",F966*G966,B966="Etapa","")</f>
        <v>30.74175</v>
      </c>
      <c r="I966" s="178"/>
    </row>
    <row r="967" spans="1:9" hidden="1" outlineLevel="2" x14ac:dyDescent="0.25">
      <c r="A967" s="175">
        <f t="shared" si="32"/>
        <v>30</v>
      </c>
      <c r="B967" s="175" t="s">
        <v>327</v>
      </c>
      <c r="C967" s="175" t="str">
        <f t="shared" si="30"/>
        <v>Parede Com Sistema Em Chapas De Gesso Para Drywall, Uso Interno, Montante 70mm, Com Uma Face Standart e Uma Face Resistente a Umidade(RU/70/ST)</v>
      </c>
      <c r="D967" s="175" t="s">
        <v>597</v>
      </c>
      <c r="E967" s="176" t="str">
        <f>_xlfn.XLOOKUP(D967,Insumos!$B$1:$B$764,Insumos!$C$1:$C$764)</f>
        <v>UN</v>
      </c>
      <c r="F967" s="179">
        <v>4.95</v>
      </c>
      <c r="G967" s="177">
        <f>IF(B967="insumo",_xlfn.XLOOKUP($D967,Insumos!$B$1:$B$764,Insumos!$D$1:$D$764),"")</f>
        <v>0.504</v>
      </c>
      <c r="H967" s="177" cm="1">
        <f t="array" ref="H967">_xlfn.IFS(B967="Serviço",SUMIFS(H968:$H$3085,C968:$C$3085,$C967),B967="Insumo",F967*G967,B967="Etapa","")</f>
        <v>2.4948000000000001</v>
      </c>
      <c r="I967" s="178"/>
    </row>
    <row r="968" spans="1:9" hidden="1" outlineLevel="2" x14ac:dyDescent="0.25">
      <c r="A968" s="175">
        <f t="shared" si="32"/>
        <v>11</v>
      </c>
      <c r="B968" s="175" t="s">
        <v>327</v>
      </c>
      <c r="C968" s="175" t="str">
        <f t="shared" si="30"/>
        <v>Parede Com Sistema Em Chapas De Gesso Para Drywall, Uso Interno, Montante 70mm, Com Uma Face Standart e Uma Face Resistente a Umidade(RU/70/ST)</v>
      </c>
      <c r="D968" s="175" t="s">
        <v>609</v>
      </c>
      <c r="E968" s="176" t="str">
        <f>_xlfn.XLOOKUP(D968,Insumos!$B$1:$B$764,Insumos!$C$1:$C$764)</f>
        <v>M</v>
      </c>
      <c r="F968" s="179">
        <v>1.5247999999999999</v>
      </c>
      <c r="G968" s="177">
        <f>IF(B968="insumo",_xlfn.XLOOKUP($D968,Insumos!$B$1:$B$764,Insumos!$D$1:$D$764),"")</f>
        <v>7.03</v>
      </c>
      <c r="H968" s="177" cm="1">
        <f t="array" ref="H968">_xlfn.IFS(B968="Serviço",SUMIFS(H969:$H$3085,C969:$C$3085,$C968),B968="Insumo",F968*G968,B968="Etapa","")</f>
        <v>10.719344</v>
      </c>
      <c r="I968" s="178"/>
    </row>
    <row r="969" spans="1:9" hidden="1" outlineLevel="2" x14ac:dyDescent="0.25">
      <c r="A969" s="175">
        <f t="shared" si="32"/>
        <v>11</v>
      </c>
      <c r="B969" s="175" t="s">
        <v>327</v>
      </c>
      <c r="C969" s="175" t="str">
        <f t="shared" si="30"/>
        <v>Parede Com Sistema Em Chapas De Gesso Para Drywall, Uso Interno, Montante 70mm, Com Uma Face Standart e Uma Face Resistente a Umidade(RU/70/ST)</v>
      </c>
      <c r="D969" s="175" t="s">
        <v>610</v>
      </c>
      <c r="E969" s="176" t="str">
        <f>_xlfn.XLOOKUP(D969,Insumos!$B$1:$B$764,Insumos!$C$1:$C$764)</f>
        <v>M</v>
      </c>
      <c r="F969" s="179">
        <v>4.0011000000000001</v>
      </c>
      <c r="G969" s="177">
        <f>IF(B969="insumo",_xlfn.XLOOKUP($D969,Insumos!$B$1:$B$764,Insumos!$D$1:$D$764),"")</f>
        <v>7.98</v>
      </c>
      <c r="H969" s="177" cm="1">
        <f t="array" ref="H969">_xlfn.IFS(B969="Serviço",SUMIFS(H970:$H$3085,C970:$C$3085,$C969),B969="Insumo",F969*G969,B969="Etapa","")</f>
        <v>31.928778000000001</v>
      </c>
      <c r="I969" s="178"/>
    </row>
    <row r="970" spans="1:9" hidden="1" outlineLevel="2" x14ac:dyDescent="0.25">
      <c r="A970" s="175">
        <f t="shared" si="32"/>
        <v>28</v>
      </c>
      <c r="B970" s="175" t="s">
        <v>327</v>
      </c>
      <c r="C970" s="175" t="str">
        <f t="shared" si="30"/>
        <v>Parede Com Sistema Em Chapas De Gesso Para Drywall, Uso Interno, Montante 70mm, Com Uma Face Standart e Uma Face Resistente a Umidade(RU/70/ST)</v>
      </c>
      <c r="D970" s="175" t="s">
        <v>600</v>
      </c>
      <c r="E970" s="176" t="str">
        <f>_xlfn.XLOOKUP(D970,Insumos!$B$1:$B$764,Insumos!$C$1:$C$764)</f>
        <v>KG</v>
      </c>
      <c r="F970" s="179">
        <v>1.0978000000000001</v>
      </c>
      <c r="G970" s="177">
        <f>IF(B970="insumo",_xlfn.XLOOKUP($D970,Insumos!$B$1:$B$764,Insumos!$D$1:$D$764),"")</f>
        <v>3.43</v>
      </c>
      <c r="H970" s="177" cm="1">
        <f t="array" ref="H970">_xlfn.IFS(B970="Serviço",SUMIFS(H971:$H$3085,C971:$C$3085,$C970),B970="Insumo",F970*G970,B970="Etapa","")</f>
        <v>3.7654540000000005</v>
      </c>
      <c r="I970" s="178"/>
    </row>
    <row r="971" spans="1:9" hidden="1" outlineLevel="2" x14ac:dyDescent="0.25">
      <c r="A971" s="175">
        <f t="shared" si="32"/>
        <v>27</v>
      </c>
      <c r="B971" s="175" t="s">
        <v>327</v>
      </c>
      <c r="C971" s="175" t="str">
        <f t="shared" si="30"/>
        <v>Parede Com Sistema Em Chapas De Gesso Para Drywall, Uso Interno, Montante 70mm, Com Uma Face Standart e Uma Face Resistente a Umidade(RU/70/ST)</v>
      </c>
      <c r="D971" s="175" t="s">
        <v>601</v>
      </c>
      <c r="E971" s="176" t="str">
        <f>_xlfn.XLOOKUP(D971,Insumos!$B$1:$B$764,Insumos!$C$1:$C$764)</f>
        <v>M</v>
      </c>
      <c r="F971" s="179">
        <v>2.5026999999999999</v>
      </c>
      <c r="G971" s="177">
        <f>IF(B971="insumo",_xlfn.XLOOKUP($D971,Insumos!$B$1:$B$764,Insumos!$D$1:$D$764),"")</f>
        <v>0.31</v>
      </c>
      <c r="H971" s="177" cm="1">
        <f t="array" ref="H971">_xlfn.IFS(B971="Serviço",SUMIFS(H972:$H$3085,C972:$C$3085,$C971),B971="Insumo",F971*G971,B971="Etapa","")</f>
        <v>0.775837</v>
      </c>
      <c r="I971" s="178"/>
    </row>
    <row r="972" spans="1:9" hidden="1" outlineLevel="2" x14ac:dyDescent="0.25">
      <c r="A972" s="175">
        <f t="shared" si="32"/>
        <v>27</v>
      </c>
      <c r="B972" s="175" t="s">
        <v>327</v>
      </c>
      <c r="C972" s="175" t="str">
        <f t="shared" si="30"/>
        <v>Parede Com Sistema Em Chapas De Gesso Para Drywall, Uso Interno, Montante 70mm, Com Uma Face Standart e Uma Face Resistente a Umidade(RU/70/ST)</v>
      </c>
      <c r="D972" s="175" t="s">
        <v>602</v>
      </c>
      <c r="E972" s="176" t="str">
        <f>_xlfn.XLOOKUP(D972,Insumos!$B$1:$B$764,Insumos!$C$1:$C$764)</f>
        <v>M</v>
      </c>
      <c r="F972" s="179">
        <v>1.4815</v>
      </c>
      <c r="G972" s="177">
        <f>IF(B972="insumo",_xlfn.XLOOKUP($D972,Insumos!$B$1:$B$764,Insumos!$D$1:$D$764),"")</f>
        <v>2.74</v>
      </c>
      <c r="H972" s="177" cm="1">
        <f t="array" ref="H972">_xlfn.IFS(B972="Serviço",SUMIFS(H973:$H$3085,C973:$C$3085,$C972),B972="Insumo",F972*G972,B972="Etapa","")</f>
        <v>4.0593100000000009</v>
      </c>
      <c r="I972" s="178"/>
    </row>
    <row r="973" spans="1:9" hidden="1" outlineLevel="2" x14ac:dyDescent="0.25">
      <c r="A973" s="175">
        <f t="shared" si="32"/>
        <v>28</v>
      </c>
      <c r="B973" s="175" t="s">
        <v>327</v>
      </c>
      <c r="C973" s="175" t="str">
        <f t="shared" si="30"/>
        <v>Parede Com Sistema Em Chapas De Gesso Para Drywall, Uso Interno, Montante 70mm, Com Uma Face Standart e Uma Face Resistente a Umidade(RU/70/ST)</v>
      </c>
      <c r="D973" s="175" t="s">
        <v>603</v>
      </c>
      <c r="E973" s="176" t="str">
        <f>_xlfn.XLOOKUP(D973,Insumos!$B$1:$B$764,Insumos!$C$1:$C$764)</f>
        <v>UN</v>
      </c>
      <c r="F973" s="179">
        <v>20.186800000000002</v>
      </c>
      <c r="G973" s="177">
        <f>IF(B973="insumo",_xlfn.XLOOKUP($D973,Insumos!$B$1:$B$764,Insumos!$D$1:$D$764),"")</f>
        <v>0.09</v>
      </c>
      <c r="H973" s="177" cm="1">
        <f t="array" ref="H973">_xlfn.IFS(B973="Serviço",SUMIFS(H974:$H$3085,C974:$C$3085,$C973),B973="Insumo",F973*G973,B973="Etapa","")</f>
        <v>1.8168120000000001</v>
      </c>
      <c r="I973" s="178"/>
    </row>
    <row r="974" spans="1:9" hidden="1" outlineLevel="2" x14ac:dyDescent="0.25">
      <c r="A974" s="175">
        <f t="shared" si="32"/>
        <v>28</v>
      </c>
      <c r="B974" s="175" t="s">
        <v>327</v>
      </c>
      <c r="C974" s="175" t="str">
        <f t="shared" si="30"/>
        <v>Parede Com Sistema Em Chapas De Gesso Para Drywall, Uso Interno, Montante 70mm, Com Uma Face Standart e Uma Face Resistente a Umidade(RU/70/ST)</v>
      </c>
      <c r="D974" s="175" t="s">
        <v>604</v>
      </c>
      <c r="E974" s="176" t="str">
        <f>_xlfn.XLOOKUP(D974,Insumos!$B$1:$B$764,Insumos!$C$1:$C$764)</f>
        <v>UN</v>
      </c>
      <c r="F974" s="179">
        <v>0.4803</v>
      </c>
      <c r="G974" s="177">
        <f>IF(B974="insumo",_xlfn.XLOOKUP($D974,Insumos!$B$1:$B$764,Insumos!$D$1:$D$764),"")</f>
        <v>0.2</v>
      </c>
      <c r="H974" s="177" cm="1">
        <f t="array" ref="H974">_xlfn.IFS(B974="Serviço",SUMIFS(H975:$H$3085,C975:$C$3085,$C974),B974="Insumo",F974*G974,B974="Etapa","")</f>
        <v>9.6060000000000006E-2</v>
      </c>
      <c r="I974" s="178"/>
    </row>
    <row r="975" spans="1:9" outlineLevel="1" collapsed="1" x14ac:dyDescent="0.25">
      <c r="A975" s="175">
        <f t="shared" si="32"/>
        <v>1</v>
      </c>
      <c r="B975" s="175" t="s">
        <v>109</v>
      </c>
      <c r="C975" s="175" t="str">
        <f t="shared" si="30"/>
        <v>Parede Com Sistema Em Chapas De Gesso Para Drywall, Uso Interno, Montante 90mm, Com Uma Face Simples Standart (ST/90)</v>
      </c>
      <c r="D975" s="175" t="s">
        <v>2842</v>
      </c>
      <c r="E975" s="176" t="s">
        <v>13</v>
      </c>
      <c r="F975" s="175"/>
      <c r="G975" s="177" t="str">
        <f>IF(B975="insumo",_xlfn.XLOOKUP($D975,Insumos!$B$1:$B$764,Insumos!$D$1:$D$764),"")</f>
        <v/>
      </c>
      <c r="H975" s="177" cm="1">
        <f t="array" ref="H975">_xlfn.IFS(B975="Serviço",SUMIFS(H976:$H$3085,C976:$C$3085,$C975),B975="Insumo",F975*G975,B975="Etapa","")</f>
        <v>144.93548924999999</v>
      </c>
      <c r="I975" s="178" t="s">
        <v>195</v>
      </c>
    </row>
    <row r="976" spans="1:9" hidden="1" outlineLevel="2" x14ac:dyDescent="0.25">
      <c r="A976" s="175">
        <f t="shared" si="32"/>
        <v>24</v>
      </c>
      <c r="B976" s="175" t="s">
        <v>327</v>
      </c>
      <c r="C976" s="175" t="str">
        <f t="shared" si="30"/>
        <v>Parede Com Sistema Em Chapas De Gesso Para Drywall, Uso Interno, Montante 90mm, Com Uma Face Simples Standart (ST/90)</v>
      </c>
      <c r="D976" s="175" t="s">
        <v>595</v>
      </c>
      <c r="E976" s="176" t="str">
        <f>_xlfn.XLOOKUP(D976,Insumos!$B$1:$B$764,Insumos!$C$1:$C$764)</f>
        <v>M2</v>
      </c>
      <c r="F976" s="179">
        <v>1</v>
      </c>
      <c r="G976" s="177">
        <f>IF(B976="insumo",_xlfn.XLOOKUP($D976,Insumos!$B$1:$B$764,Insumos!$D$1:$D$764),"")</f>
        <v>70</v>
      </c>
      <c r="H976" s="177" cm="1">
        <f t="array" ref="H976">_xlfn.IFS(B976="Serviço",SUMIFS(H977:$H$3085,C977:$C$3085,$C976),B976="Insumo",F976*G976,B976="Etapa","")</f>
        <v>70</v>
      </c>
      <c r="I976" s="178"/>
    </row>
    <row r="977" spans="1:9" hidden="1" outlineLevel="2" x14ac:dyDescent="0.25">
      <c r="A977" s="175">
        <f t="shared" si="32"/>
        <v>14</v>
      </c>
      <c r="B977" s="175" t="s">
        <v>327</v>
      </c>
      <c r="C977" s="175" t="str">
        <f t="shared" si="30"/>
        <v>Parede Com Sistema Em Chapas De Gesso Para Drywall, Uso Interno, Montante 90mm, Com Uma Face Simples Standart (ST/90)</v>
      </c>
      <c r="D977" s="175" t="s">
        <v>596</v>
      </c>
      <c r="E977" s="176" t="str">
        <f>_xlfn.XLOOKUP(D977,Insumos!$B$1:$B$764,Insumos!$C$1:$C$764)</f>
        <v>M2</v>
      </c>
      <c r="F977" s="179">
        <v>1.0529999999999999</v>
      </c>
      <c r="G977" s="177">
        <f>IF(B977="insumo",_xlfn.XLOOKUP($D977,Insumos!$B$1:$B$764,Insumos!$D$1:$D$764),"")</f>
        <v>18.40625</v>
      </c>
      <c r="H977" s="177" cm="1">
        <f t="array" ref="H977">_xlfn.IFS(B977="Serviço",SUMIFS(H978:$H$3085,C978:$C$3085,$C977),B977="Insumo",F977*G977,B977="Etapa","")</f>
        <v>19.38178125</v>
      </c>
      <c r="I977" s="178"/>
    </row>
    <row r="978" spans="1:9" hidden="1" outlineLevel="2" x14ac:dyDescent="0.25">
      <c r="A978" s="175">
        <f t="shared" si="32"/>
        <v>30</v>
      </c>
      <c r="B978" s="175" t="s">
        <v>327</v>
      </c>
      <c r="C978" s="175" t="str">
        <f t="shared" si="30"/>
        <v>Parede Com Sistema Em Chapas De Gesso Para Drywall, Uso Interno, Montante 90mm, Com Uma Face Simples Standart (ST/90)</v>
      </c>
      <c r="D978" s="175" t="s">
        <v>597</v>
      </c>
      <c r="E978" s="176" t="str">
        <f>_xlfn.XLOOKUP(D978,Insumos!$B$1:$B$764,Insumos!$C$1:$C$764)</f>
        <v>UN</v>
      </c>
      <c r="F978" s="179">
        <v>2.48</v>
      </c>
      <c r="G978" s="177">
        <f>IF(B978="insumo",_xlfn.XLOOKUP($D978,Insumos!$B$1:$B$764,Insumos!$D$1:$D$764),"")</f>
        <v>0.504</v>
      </c>
      <c r="H978" s="177" cm="1">
        <f t="array" ref="H978">_xlfn.IFS(B978="Serviço",SUMIFS(H979:$H$3085,C979:$C$3085,$C978),B978="Insumo",F978*G978,B978="Etapa","")</f>
        <v>1.2499199999999999</v>
      </c>
      <c r="I978" s="178"/>
    </row>
    <row r="979" spans="1:9" hidden="1" outlineLevel="2" x14ac:dyDescent="0.25">
      <c r="A979" s="175">
        <f t="shared" si="32"/>
        <v>9</v>
      </c>
      <c r="B979" s="175" t="s">
        <v>327</v>
      </c>
      <c r="C979" s="175" t="str">
        <f t="shared" si="30"/>
        <v>Parede Com Sistema Em Chapas De Gesso Para Drywall, Uso Interno, Montante 90mm, Com Uma Face Simples Standart (ST/90)</v>
      </c>
      <c r="D979" s="175" t="s">
        <v>606</v>
      </c>
      <c r="E979" s="176" t="str">
        <f>_xlfn.XLOOKUP(D979,Insumos!$B$1:$B$764,Insumos!$C$1:$C$764)</f>
        <v>M</v>
      </c>
      <c r="F979" s="179">
        <v>0.76239999999999997</v>
      </c>
      <c r="G979" s="177">
        <f>IF(B979="insumo",_xlfn.XLOOKUP($D979,Insumos!$B$1:$B$764,Insumos!$D$1:$D$764),"")</f>
        <v>16.8</v>
      </c>
      <c r="H979" s="177" cm="1">
        <f t="array" ref="H979">_xlfn.IFS(B979="Serviço",SUMIFS(H980:$H$3085,C980:$C$3085,$C979),B979="Insumo",F979*G979,B979="Etapa","")</f>
        <v>12.80832</v>
      </c>
      <c r="I979" s="178"/>
    </row>
    <row r="980" spans="1:9" hidden="1" outlineLevel="2" x14ac:dyDescent="0.25">
      <c r="A980" s="175">
        <f t="shared" si="32"/>
        <v>9</v>
      </c>
      <c r="B980" s="175" t="s">
        <v>327</v>
      </c>
      <c r="C980" s="175" t="str">
        <f t="shared" si="30"/>
        <v>Parede Com Sistema Em Chapas De Gesso Para Drywall, Uso Interno, Montante 90mm, Com Uma Face Simples Standart (ST/90)</v>
      </c>
      <c r="D980" s="175" t="s">
        <v>607</v>
      </c>
      <c r="E980" s="176" t="str">
        <f>_xlfn.XLOOKUP(D980,Insumos!$B$1:$B$764,Insumos!$C$1:$C$764)</f>
        <v>M</v>
      </c>
      <c r="F980" s="179">
        <v>2.0005999999999999</v>
      </c>
      <c r="G980" s="177">
        <f>IF(B980="insumo",_xlfn.XLOOKUP($D980,Insumos!$B$1:$B$764,Insumos!$D$1:$D$764),"")</f>
        <v>18.09</v>
      </c>
      <c r="H980" s="177" cm="1">
        <f t="array" ref="H980">_xlfn.IFS(B980="Serviço",SUMIFS(H981:$H$3085,C981:$C$3085,$C980),B980="Insumo",F980*G980,B980="Etapa","")</f>
        <v>36.190854000000002</v>
      </c>
      <c r="I980" s="178"/>
    </row>
    <row r="981" spans="1:9" hidden="1" outlineLevel="2" x14ac:dyDescent="0.25">
      <c r="A981" s="175">
        <f t="shared" si="32"/>
        <v>28</v>
      </c>
      <c r="B981" s="175" t="s">
        <v>327</v>
      </c>
      <c r="C981" s="175" t="str">
        <f t="shared" si="30"/>
        <v>Parede Com Sistema Em Chapas De Gesso Para Drywall, Uso Interno, Montante 90mm, Com Uma Face Simples Standart (ST/90)</v>
      </c>
      <c r="D981" s="175" t="s">
        <v>600</v>
      </c>
      <c r="E981" s="176" t="str">
        <f>_xlfn.XLOOKUP(D981,Insumos!$B$1:$B$764,Insumos!$C$1:$C$764)</f>
        <v>KG</v>
      </c>
      <c r="F981" s="179">
        <v>0.54890000000000005</v>
      </c>
      <c r="G981" s="177">
        <f>IF(B981="insumo",_xlfn.XLOOKUP($D981,Insumos!$B$1:$B$764,Insumos!$D$1:$D$764),"")</f>
        <v>3.43</v>
      </c>
      <c r="H981" s="177" cm="1">
        <f t="array" ref="H981">_xlfn.IFS(B981="Serviço",SUMIFS(H982:$H$3085,C982:$C$3085,$C981),B981="Insumo",F981*G981,B981="Etapa","")</f>
        <v>1.8827270000000003</v>
      </c>
      <c r="I981" s="178"/>
    </row>
    <row r="982" spans="1:9" hidden="1" outlineLevel="2" x14ac:dyDescent="0.25">
      <c r="A982" s="175">
        <f t="shared" si="32"/>
        <v>27</v>
      </c>
      <c r="B982" s="175" t="s">
        <v>327</v>
      </c>
      <c r="C982" s="175" t="str">
        <f t="shared" si="30"/>
        <v>Parede Com Sistema Em Chapas De Gesso Para Drywall, Uso Interno, Montante 90mm, Com Uma Face Simples Standart (ST/90)</v>
      </c>
      <c r="D982" s="175" t="s">
        <v>601</v>
      </c>
      <c r="E982" s="176" t="str">
        <f>_xlfn.XLOOKUP(D982,Insumos!$B$1:$B$764,Insumos!$C$1:$C$764)</f>
        <v>M</v>
      </c>
      <c r="F982" s="179">
        <v>1.2513000000000001</v>
      </c>
      <c r="G982" s="177">
        <f>IF(B982="insumo",_xlfn.XLOOKUP($D982,Insumos!$B$1:$B$764,Insumos!$D$1:$D$764),"")</f>
        <v>0.31</v>
      </c>
      <c r="H982" s="177" cm="1">
        <f t="array" ref="H982">_xlfn.IFS(B982="Serviço",SUMIFS(H983:$H$3085,C983:$C$3085,$C982),B982="Insumo",F982*G982,B982="Etapa","")</f>
        <v>0.387903</v>
      </c>
      <c r="I982" s="178"/>
    </row>
    <row r="983" spans="1:9" hidden="1" outlineLevel="2" x14ac:dyDescent="0.25">
      <c r="A983" s="175">
        <f t="shared" si="32"/>
        <v>27</v>
      </c>
      <c r="B983" s="175" t="s">
        <v>327</v>
      </c>
      <c r="C983" s="175" t="str">
        <f t="shared" si="30"/>
        <v>Parede Com Sistema Em Chapas De Gesso Para Drywall, Uso Interno, Montante 90mm, Com Uma Face Simples Standart (ST/90)</v>
      </c>
      <c r="D983" s="175" t="s">
        <v>602</v>
      </c>
      <c r="E983" s="176" t="str">
        <f>_xlfn.XLOOKUP(D983,Insumos!$B$1:$B$764,Insumos!$C$1:$C$764)</f>
        <v>M</v>
      </c>
      <c r="F983" s="179">
        <v>0.74070000000000003</v>
      </c>
      <c r="G983" s="177">
        <f>IF(B983="insumo",_xlfn.XLOOKUP($D983,Insumos!$B$1:$B$764,Insumos!$D$1:$D$764),"")</f>
        <v>2.74</v>
      </c>
      <c r="H983" s="177" cm="1">
        <f t="array" ref="H983">_xlfn.IFS(B983="Serviço",SUMIFS(H984:$H$3085,C984:$C$3085,$C983),B983="Insumo",F983*G983,B983="Etapa","")</f>
        <v>2.0295180000000004</v>
      </c>
      <c r="I983" s="178"/>
    </row>
    <row r="984" spans="1:9" hidden="1" outlineLevel="2" x14ac:dyDescent="0.25">
      <c r="A984" s="175">
        <f t="shared" si="32"/>
        <v>28</v>
      </c>
      <c r="B984" s="175" t="s">
        <v>327</v>
      </c>
      <c r="C984" s="175" t="str">
        <f t="shared" si="30"/>
        <v>Parede Com Sistema Em Chapas De Gesso Para Drywall, Uso Interno, Montante 90mm, Com Uma Face Simples Standart (ST/90)</v>
      </c>
      <c r="D984" s="175" t="s">
        <v>603</v>
      </c>
      <c r="E984" s="176" t="str">
        <f>_xlfn.XLOOKUP(D984,Insumos!$B$1:$B$764,Insumos!$C$1:$C$764)</f>
        <v>UN</v>
      </c>
      <c r="F984" s="179">
        <v>10.093400000000001</v>
      </c>
      <c r="G984" s="177">
        <f>IF(B984="insumo",_xlfn.XLOOKUP($D984,Insumos!$B$1:$B$764,Insumos!$D$1:$D$764),"")</f>
        <v>0.09</v>
      </c>
      <c r="H984" s="177" cm="1">
        <f t="array" ref="H984">_xlfn.IFS(B984="Serviço",SUMIFS(H985:$H$3085,C985:$C$3085,$C984),B984="Insumo",F984*G984,B984="Etapa","")</f>
        <v>0.90840600000000005</v>
      </c>
      <c r="I984" s="178"/>
    </row>
    <row r="985" spans="1:9" hidden="1" outlineLevel="2" x14ac:dyDescent="0.25">
      <c r="A985" s="175">
        <f t="shared" si="32"/>
        <v>28</v>
      </c>
      <c r="B985" s="175" t="s">
        <v>327</v>
      </c>
      <c r="C985" s="175" t="str">
        <f t="shared" si="30"/>
        <v>Parede Com Sistema Em Chapas De Gesso Para Drywall, Uso Interno, Montante 90mm, Com Uma Face Simples Standart (ST/90)</v>
      </c>
      <c r="D985" s="175" t="s">
        <v>604</v>
      </c>
      <c r="E985" s="176" t="str">
        <f>_xlfn.XLOOKUP(D985,Insumos!$B$1:$B$764,Insumos!$C$1:$C$764)</f>
        <v>UN</v>
      </c>
      <c r="F985" s="179">
        <v>0.4803</v>
      </c>
      <c r="G985" s="177">
        <f>IF(B985="insumo",_xlfn.XLOOKUP($D985,Insumos!$B$1:$B$764,Insumos!$D$1:$D$764),"")</f>
        <v>0.2</v>
      </c>
      <c r="H985" s="177" cm="1">
        <f t="array" ref="H985">_xlfn.IFS(B985="Serviço",SUMIFS(H986:$H$3085,C986:$C$3085,$C985),B985="Insumo",F985*G985,B985="Etapa","")</f>
        <v>9.6060000000000006E-2</v>
      </c>
      <c r="I985" s="178"/>
    </row>
    <row r="986" spans="1:9" outlineLevel="1" collapsed="1" x14ac:dyDescent="0.25">
      <c r="A986" s="175">
        <f t="shared" si="32"/>
        <v>1</v>
      </c>
      <c r="B986" s="175" t="s">
        <v>109</v>
      </c>
      <c r="C986" s="175" t="str">
        <f t="shared" si="30"/>
        <v>Parede Com Sistema Em Chapas De Gesso Para Drywall, Uso Interno, Montante 90mm, Com Uma Face Simples Resistente à Umidade (RU/90)</v>
      </c>
      <c r="D986" s="175" t="s">
        <v>2843</v>
      </c>
      <c r="E986" s="176" t="s">
        <v>13</v>
      </c>
      <c r="F986" s="175"/>
      <c r="G986" s="177" t="str">
        <f>IF(B986="insumo",_xlfn.XLOOKUP($D986,Insumos!$B$1:$B$764,Insumos!$D$1:$D$764),"")</f>
        <v/>
      </c>
      <c r="H986" s="177" cm="1">
        <f t="array" ref="H986">_xlfn.IFS(B986="Serviço",SUMIFS(H987:$H$3085,C987:$C$3085,$C986),B986="Insumo",F986*G986,B986="Etapa","")</f>
        <v>156.29545799999997</v>
      </c>
      <c r="I986" s="178" t="s">
        <v>195</v>
      </c>
    </row>
    <row r="987" spans="1:9" hidden="1" outlineLevel="2" x14ac:dyDescent="0.25">
      <c r="A987" s="175">
        <f t="shared" si="32"/>
        <v>24</v>
      </c>
      <c r="B987" s="175" t="s">
        <v>327</v>
      </c>
      <c r="C987" s="175" t="str">
        <f t="shared" si="30"/>
        <v>Parede Com Sistema Em Chapas De Gesso Para Drywall, Uso Interno, Montante 90mm, Com Uma Face Simples Resistente à Umidade (RU/90)</v>
      </c>
      <c r="D987" s="175" t="s">
        <v>595</v>
      </c>
      <c r="E987" s="176" t="str">
        <f>_xlfn.XLOOKUP(D987,Insumos!$B$1:$B$764,Insumos!$C$1:$C$764)</f>
        <v>M2</v>
      </c>
      <c r="F987" s="179">
        <v>1</v>
      </c>
      <c r="G987" s="177">
        <f>IF(B987="insumo",_xlfn.XLOOKUP($D987,Insumos!$B$1:$B$764,Insumos!$D$1:$D$764),"")</f>
        <v>70</v>
      </c>
      <c r="H987" s="177" cm="1">
        <f t="array" ref="H987">_xlfn.IFS(B987="Serviço",SUMIFS(H988:$H$3085,C988:$C$3085,$C987),B987="Insumo",F987*G987,B987="Etapa","")</f>
        <v>70</v>
      </c>
      <c r="I987" s="178"/>
    </row>
    <row r="988" spans="1:9" hidden="1" outlineLevel="2" x14ac:dyDescent="0.25">
      <c r="A988" s="175">
        <f t="shared" si="32"/>
        <v>16</v>
      </c>
      <c r="B988" s="175" t="s">
        <v>327</v>
      </c>
      <c r="C988" s="175" t="str">
        <f t="shared" si="30"/>
        <v>Parede Com Sistema Em Chapas De Gesso Para Drywall, Uso Interno, Montante 90mm, Com Uma Face Simples Resistente à Umidade (RU/90)</v>
      </c>
      <c r="D988" s="175" t="s">
        <v>612</v>
      </c>
      <c r="E988" s="176" t="str">
        <f>_xlfn.XLOOKUP(D988,Insumos!$B$1:$B$764,Insumos!$C$1:$C$764)</f>
        <v>M2</v>
      </c>
      <c r="F988" s="179">
        <v>1.0529999999999999</v>
      </c>
      <c r="G988" s="177">
        <f>IF(B988="insumo",_xlfn.XLOOKUP($D988,Insumos!$B$1:$B$764,Insumos!$D$1:$D$764),"")</f>
        <v>29.194444444444446</v>
      </c>
      <c r="H988" s="177" cm="1">
        <f t="array" ref="H988">_xlfn.IFS(B988="Serviço",SUMIFS(H989:$H$3085,C989:$C$3085,$C988),B988="Insumo",F988*G988,B988="Etapa","")</f>
        <v>30.74175</v>
      </c>
      <c r="I988" s="178"/>
    </row>
    <row r="989" spans="1:9" hidden="1" outlineLevel="2" x14ac:dyDescent="0.25">
      <c r="A989" s="175">
        <f t="shared" si="32"/>
        <v>30</v>
      </c>
      <c r="B989" s="175" t="s">
        <v>327</v>
      </c>
      <c r="C989" s="175" t="str">
        <f t="shared" si="30"/>
        <v>Parede Com Sistema Em Chapas De Gesso Para Drywall, Uso Interno, Montante 90mm, Com Uma Face Simples Resistente à Umidade (RU/90)</v>
      </c>
      <c r="D989" s="175" t="s">
        <v>597</v>
      </c>
      <c r="E989" s="176" t="str">
        <f>_xlfn.XLOOKUP(D989,Insumos!$B$1:$B$764,Insumos!$C$1:$C$764)</f>
        <v>UN</v>
      </c>
      <c r="F989" s="179">
        <v>2.48</v>
      </c>
      <c r="G989" s="177">
        <f>IF(B989="insumo",_xlfn.XLOOKUP($D989,Insumos!$B$1:$B$764,Insumos!$D$1:$D$764),"")</f>
        <v>0.504</v>
      </c>
      <c r="H989" s="177" cm="1">
        <f t="array" ref="H989">_xlfn.IFS(B989="Serviço",SUMIFS(H990:$H$3085,C990:$C$3085,$C989),B989="Insumo",F989*G989,B989="Etapa","")</f>
        <v>1.2499199999999999</v>
      </c>
      <c r="I989" s="178"/>
    </row>
    <row r="990" spans="1:9" hidden="1" outlineLevel="2" x14ac:dyDescent="0.25">
      <c r="A990" s="175">
        <f t="shared" si="32"/>
        <v>9</v>
      </c>
      <c r="B990" s="175" t="s">
        <v>327</v>
      </c>
      <c r="C990" s="175" t="str">
        <f t="shared" ref="C990:C1053" si="33">IF(B990="serviço",D990,C989)</f>
        <v>Parede Com Sistema Em Chapas De Gesso Para Drywall, Uso Interno, Montante 90mm, Com Uma Face Simples Resistente à Umidade (RU/90)</v>
      </c>
      <c r="D990" s="175" t="s">
        <v>606</v>
      </c>
      <c r="E990" s="176" t="str">
        <f>_xlfn.XLOOKUP(D990,Insumos!$B$1:$B$764,Insumos!$C$1:$C$764)</f>
        <v>M</v>
      </c>
      <c r="F990" s="179">
        <v>0.76239999999999997</v>
      </c>
      <c r="G990" s="177">
        <f>IF(B990="insumo",_xlfn.XLOOKUP($D990,Insumos!$B$1:$B$764,Insumos!$D$1:$D$764),"")</f>
        <v>16.8</v>
      </c>
      <c r="H990" s="177" cm="1">
        <f t="array" ref="H990">_xlfn.IFS(B990="Serviço",SUMIFS(H991:$H$3085,C991:$C$3085,$C990),B990="Insumo",F990*G990,B990="Etapa","")</f>
        <v>12.80832</v>
      </c>
      <c r="I990" s="178"/>
    </row>
    <row r="991" spans="1:9" hidden="1" outlineLevel="2" x14ac:dyDescent="0.25">
      <c r="A991" s="175">
        <f t="shared" si="32"/>
        <v>9</v>
      </c>
      <c r="B991" s="175" t="s">
        <v>327</v>
      </c>
      <c r="C991" s="175" t="str">
        <f t="shared" si="33"/>
        <v>Parede Com Sistema Em Chapas De Gesso Para Drywall, Uso Interno, Montante 90mm, Com Uma Face Simples Resistente à Umidade (RU/90)</v>
      </c>
      <c r="D991" s="175" t="s">
        <v>607</v>
      </c>
      <c r="E991" s="176" t="str">
        <f>_xlfn.XLOOKUP(D991,Insumos!$B$1:$B$764,Insumos!$C$1:$C$764)</f>
        <v>M</v>
      </c>
      <c r="F991" s="179">
        <v>2.0005999999999999</v>
      </c>
      <c r="G991" s="177">
        <f>IF(B991="insumo",_xlfn.XLOOKUP($D991,Insumos!$B$1:$B$764,Insumos!$D$1:$D$764),"")</f>
        <v>18.09</v>
      </c>
      <c r="H991" s="177" cm="1">
        <f t="array" ref="H991">_xlfn.IFS(B991="Serviço",SUMIFS(H992:$H$3085,C992:$C$3085,$C991),B991="Insumo",F991*G991,B991="Etapa","")</f>
        <v>36.190854000000002</v>
      </c>
      <c r="I991" s="178"/>
    </row>
    <row r="992" spans="1:9" hidden="1" outlineLevel="2" x14ac:dyDescent="0.25">
      <c r="A992" s="175">
        <f t="shared" si="32"/>
        <v>28</v>
      </c>
      <c r="B992" s="175" t="s">
        <v>327</v>
      </c>
      <c r="C992" s="175" t="str">
        <f t="shared" si="33"/>
        <v>Parede Com Sistema Em Chapas De Gesso Para Drywall, Uso Interno, Montante 90mm, Com Uma Face Simples Resistente à Umidade (RU/90)</v>
      </c>
      <c r="D992" s="175" t="s">
        <v>600</v>
      </c>
      <c r="E992" s="176" t="str">
        <f>_xlfn.XLOOKUP(D992,Insumos!$B$1:$B$764,Insumos!$C$1:$C$764)</f>
        <v>KG</v>
      </c>
      <c r="F992" s="179">
        <v>0.54890000000000005</v>
      </c>
      <c r="G992" s="177">
        <f>IF(B992="insumo",_xlfn.XLOOKUP($D992,Insumos!$B$1:$B$764,Insumos!$D$1:$D$764),"")</f>
        <v>3.43</v>
      </c>
      <c r="H992" s="177" cm="1">
        <f t="array" ref="H992">_xlfn.IFS(B992="Serviço",SUMIFS(H993:$H$3085,C993:$C$3085,$C992),B992="Insumo",F992*G992,B992="Etapa","")</f>
        <v>1.8827270000000003</v>
      </c>
      <c r="I992" s="178"/>
    </row>
    <row r="993" spans="1:9" hidden="1" outlineLevel="2" x14ac:dyDescent="0.25">
      <c r="A993" s="175">
        <f t="shared" si="32"/>
        <v>27</v>
      </c>
      <c r="B993" s="175" t="s">
        <v>327</v>
      </c>
      <c r="C993" s="175" t="str">
        <f t="shared" si="33"/>
        <v>Parede Com Sistema Em Chapas De Gesso Para Drywall, Uso Interno, Montante 90mm, Com Uma Face Simples Resistente à Umidade (RU/90)</v>
      </c>
      <c r="D993" s="175" t="s">
        <v>601</v>
      </c>
      <c r="E993" s="176" t="str">
        <f>_xlfn.XLOOKUP(D993,Insumos!$B$1:$B$764,Insumos!$C$1:$C$764)</f>
        <v>M</v>
      </c>
      <c r="F993" s="179">
        <v>1.2513000000000001</v>
      </c>
      <c r="G993" s="177">
        <f>IF(B993="insumo",_xlfn.XLOOKUP($D993,Insumos!$B$1:$B$764,Insumos!$D$1:$D$764),"")</f>
        <v>0.31</v>
      </c>
      <c r="H993" s="177" cm="1">
        <f t="array" ref="H993">_xlfn.IFS(B993="Serviço",SUMIFS(H994:$H$3085,C994:$C$3085,$C993),B993="Insumo",F993*G993,B993="Etapa","")</f>
        <v>0.387903</v>
      </c>
      <c r="I993" s="178"/>
    </row>
    <row r="994" spans="1:9" hidden="1" outlineLevel="2" x14ac:dyDescent="0.25">
      <c r="A994" s="175">
        <f t="shared" si="32"/>
        <v>27</v>
      </c>
      <c r="B994" s="175" t="s">
        <v>327</v>
      </c>
      <c r="C994" s="175" t="str">
        <f t="shared" si="33"/>
        <v>Parede Com Sistema Em Chapas De Gesso Para Drywall, Uso Interno, Montante 90mm, Com Uma Face Simples Resistente à Umidade (RU/90)</v>
      </c>
      <c r="D994" s="175" t="s">
        <v>602</v>
      </c>
      <c r="E994" s="176" t="str">
        <f>_xlfn.XLOOKUP(D994,Insumos!$B$1:$B$764,Insumos!$C$1:$C$764)</f>
        <v>M</v>
      </c>
      <c r="F994" s="179">
        <v>0.74070000000000003</v>
      </c>
      <c r="G994" s="177">
        <f>IF(B994="insumo",_xlfn.XLOOKUP($D994,Insumos!$B$1:$B$764,Insumos!$D$1:$D$764),"")</f>
        <v>2.74</v>
      </c>
      <c r="H994" s="177" cm="1">
        <f t="array" ref="H994">_xlfn.IFS(B994="Serviço",SUMIFS(H995:$H$3085,C995:$C$3085,$C994),B994="Insumo",F994*G994,B994="Etapa","")</f>
        <v>2.0295180000000004</v>
      </c>
      <c r="I994" s="178"/>
    </row>
    <row r="995" spans="1:9" hidden="1" outlineLevel="2" x14ac:dyDescent="0.25">
      <c r="A995" s="175">
        <f t="shared" si="32"/>
        <v>28</v>
      </c>
      <c r="B995" s="175" t="s">
        <v>327</v>
      </c>
      <c r="C995" s="175" t="str">
        <f t="shared" si="33"/>
        <v>Parede Com Sistema Em Chapas De Gesso Para Drywall, Uso Interno, Montante 90mm, Com Uma Face Simples Resistente à Umidade (RU/90)</v>
      </c>
      <c r="D995" s="175" t="s">
        <v>603</v>
      </c>
      <c r="E995" s="176" t="str">
        <f>_xlfn.XLOOKUP(D995,Insumos!$B$1:$B$764,Insumos!$C$1:$C$764)</f>
        <v>UN</v>
      </c>
      <c r="F995" s="179">
        <v>10.093400000000001</v>
      </c>
      <c r="G995" s="177">
        <f>IF(B995="insumo",_xlfn.XLOOKUP($D995,Insumos!$B$1:$B$764,Insumos!$D$1:$D$764),"")</f>
        <v>0.09</v>
      </c>
      <c r="H995" s="177" cm="1">
        <f t="array" ref="H995">_xlfn.IFS(B995="Serviço",SUMIFS(H996:$H$3085,C996:$C$3085,$C995),B995="Insumo",F995*G995,B995="Etapa","")</f>
        <v>0.90840600000000005</v>
      </c>
      <c r="I995" s="178"/>
    </row>
    <row r="996" spans="1:9" hidden="1" outlineLevel="2" x14ac:dyDescent="0.25">
      <c r="A996" s="175">
        <f t="shared" si="32"/>
        <v>28</v>
      </c>
      <c r="B996" s="175" t="s">
        <v>327</v>
      </c>
      <c r="C996" s="175" t="str">
        <f t="shared" si="33"/>
        <v>Parede Com Sistema Em Chapas De Gesso Para Drywall, Uso Interno, Montante 90mm, Com Uma Face Simples Resistente à Umidade (RU/90)</v>
      </c>
      <c r="D996" s="175" t="s">
        <v>604</v>
      </c>
      <c r="E996" s="176" t="str">
        <f>_xlfn.XLOOKUP(D996,Insumos!$B$1:$B$764,Insumos!$C$1:$C$764)</f>
        <v>UN</v>
      </c>
      <c r="F996" s="179">
        <v>0.4803</v>
      </c>
      <c r="G996" s="177">
        <f>IF(B996="insumo",_xlfn.XLOOKUP($D996,Insumos!$B$1:$B$764,Insumos!$D$1:$D$764),"")</f>
        <v>0.2</v>
      </c>
      <c r="H996" s="177" cm="1">
        <f t="array" ref="H996">_xlfn.IFS(B996="Serviço",SUMIFS(H997:$H$3085,C997:$C$3085,$C996),B996="Insumo",F996*G996,B996="Etapa","")</f>
        <v>9.6060000000000006E-2</v>
      </c>
      <c r="I996" s="178"/>
    </row>
    <row r="997" spans="1:9" outlineLevel="1" collapsed="1" x14ac:dyDescent="0.25">
      <c r="A997" s="175">
        <f t="shared" si="32"/>
        <v>1</v>
      </c>
      <c r="B997" s="175" t="s">
        <v>109</v>
      </c>
      <c r="C997" s="175" t="str">
        <f t="shared" si="33"/>
        <v>Parede Com Sistema Em Chapas De Gesso Para Drywall, Uso Interno, Montante 90mm, Com Duas Face Simples Standart (ST/90/ST)</v>
      </c>
      <c r="D997" s="175" t="s">
        <v>2841</v>
      </c>
      <c r="E997" s="176" t="s">
        <v>13</v>
      </c>
      <c r="F997" s="175"/>
      <c r="G997" s="177" t="str">
        <f>IF(B997="insumo",_xlfn.XLOOKUP($D997,Insumos!$B$1:$B$764,Insumos!$D$1:$D$764),"")</f>
        <v/>
      </c>
      <c r="H997" s="177" cm="1">
        <f t="array" ref="H997">_xlfn.IFS(B997="Serviço",SUMIFS(H998:$H$3085,C998:$C$3085,$C997),B997="Insumo",F997*G997,B997="Etapa","")</f>
        <v>219.76837449999999</v>
      </c>
      <c r="I997" s="178" t="s">
        <v>195</v>
      </c>
    </row>
    <row r="998" spans="1:9" hidden="1" outlineLevel="2" x14ac:dyDescent="0.25">
      <c r="A998" s="175">
        <f t="shared" si="32"/>
        <v>24</v>
      </c>
      <c r="B998" s="175" t="s">
        <v>327</v>
      </c>
      <c r="C998" s="175" t="str">
        <f t="shared" si="33"/>
        <v>Parede Com Sistema Em Chapas De Gesso Para Drywall, Uso Interno, Montante 90mm, Com Duas Face Simples Standart (ST/90/ST)</v>
      </c>
      <c r="D998" s="175" t="s">
        <v>595</v>
      </c>
      <c r="E998" s="176" t="str">
        <f>_xlfn.XLOOKUP(D998,Insumos!$B$1:$B$764,Insumos!$C$1:$C$764)</f>
        <v>M2</v>
      </c>
      <c r="F998" s="179">
        <v>1</v>
      </c>
      <c r="G998" s="177">
        <f>IF(B998="insumo",_xlfn.XLOOKUP($D998,Insumos!$B$1:$B$764,Insumos!$D$1:$D$764),"")</f>
        <v>70</v>
      </c>
      <c r="H998" s="177" cm="1">
        <f t="array" ref="H998">_xlfn.IFS(B998="Serviço",SUMIFS(H999:$H$3085,C999:$C$3085,$C998),B998="Insumo",F998*G998,B998="Etapa","")</f>
        <v>70</v>
      </c>
      <c r="I998" s="178"/>
    </row>
    <row r="999" spans="1:9" hidden="1" outlineLevel="2" x14ac:dyDescent="0.25">
      <c r="A999" s="175">
        <f t="shared" si="32"/>
        <v>14</v>
      </c>
      <c r="B999" s="175" t="s">
        <v>327</v>
      </c>
      <c r="C999" s="175" t="str">
        <f t="shared" si="33"/>
        <v>Parede Com Sistema Em Chapas De Gesso Para Drywall, Uso Interno, Montante 90mm, Com Duas Face Simples Standart (ST/90/ST)</v>
      </c>
      <c r="D999" s="175" t="s">
        <v>596</v>
      </c>
      <c r="E999" s="176" t="str">
        <f>_xlfn.XLOOKUP(D999,Insumos!$B$1:$B$764,Insumos!$C$1:$C$764)</f>
        <v>M2</v>
      </c>
      <c r="F999" s="179">
        <v>2.1059999999999999</v>
      </c>
      <c r="G999" s="177">
        <f>IF(B999="insumo",_xlfn.XLOOKUP($D999,Insumos!$B$1:$B$764,Insumos!$D$1:$D$764),"")</f>
        <v>18.40625</v>
      </c>
      <c r="H999" s="177" cm="1">
        <f t="array" ref="H999">_xlfn.IFS(B999="Serviço",SUMIFS(H1000:$H$3085,C1000:$C$3085,$C999),B999="Insumo",F999*G999,B999="Etapa","")</f>
        <v>38.763562499999999</v>
      </c>
      <c r="I999" s="178"/>
    </row>
    <row r="1000" spans="1:9" hidden="1" outlineLevel="2" x14ac:dyDescent="0.25">
      <c r="A1000" s="175">
        <f t="shared" si="32"/>
        <v>30</v>
      </c>
      <c r="B1000" s="175" t="s">
        <v>327</v>
      </c>
      <c r="C1000" s="175" t="str">
        <f t="shared" si="33"/>
        <v>Parede Com Sistema Em Chapas De Gesso Para Drywall, Uso Interno, Montante 90mm, Com Duas Face Simples Standart (ST/90/ST)</v>
      </c>
      <c r="D1000" s="175" t="s">
        <v>597</v>
      </c>
      <c r="E1000" s="176" t="str">
        <f>_xlfn.XLOOKUP(D1000,Insumos!$B$1:$B$764,Insumos!$C$1:$C$764)</f>
        <v>UN</v>
      </c>
      <c r="F1000" s="179">
        <v>4.95</v>
      </c>
      <c r="G1000" s="177">
        <f>IF(B1000="insumo",_xlfn.XLOOKUP($D1000,Insumos!$B$1:$B$764,Insumos!$D$1:$D$764),"")</f>
        <v>0.504</v>
      </c>
      <c r="H1000" s="177" cm="1">
        <f t="array" ref="H1000">_xlfn.IFS(B1000="Serviço",SUMIFS(H1001:$H$3085,C1001:$C$3085,$C1000),B1000="Insumo",F1000*G1000,B1000="Etapa","")</f>
        <v>2.4948000000000001</v>
      </c>
      <c r="I1000" s="178"/>
    </row>
    <row r="1001" spans="1:9" hidden="1" outlineLevel="2" x14ac:dyDescent="0.25">
      <c r="A1001" s="175">
        <f t="shared" si="32"/>
        <v>9</v>
      </c>
      <c r="B1001" s="175" t="s">
        <v>327</v>
      </c>
      <c r="C1001" s="175" t="str">
        <f t="shared" si="33"/>
        <v>Parede Com Sistema Em Chapas De Gesso Para Drywall, Uso Interno, Montante 90mm, Com Duas Face Simples Standart (ST/90/ST)</v>
      </c>
      <c r="D1001" s="175" t="s">
        <v>606</v>
      </c>
      <c r="E1001" s="176" t="str">
        <f>_xlfn.XLOOKUP(D1001,Insumos!$B$1:$B$764,Insumos!$C$1:$C$764)</f>
        <v>M</v>
      </c>
      <c r="F1001" s="179">
        <v>1.5247999999999999</v>
      </c>
      <c r="G1001" s="177">
        <f>IF(B1001="insumo",_xlfn.XLOOKUP($D1001,Insumos!$B$1:$B$764,Insumos!$D$1:$D$764),"")</f>
        <v>16.8</v>
      </c>
      <c r="H1001" s="177" cm="1">
        <f t="array" ref="H1001">_xlfn.IFS(B1001="Serviço",SUMIFS(H1002:$H$3085,C1002:$C$3085,$C1001),B1001="Insumo",F1001*G1001,B1001="Etapa","")</f>
        <v>25.61664</v>
      </c>
      <c r="I1001" s="178"/>
    </row>
    <row r="1002" spans="1:9" hidden="1" outlineLevel="2" x14ac:dyDescent="0.25">
      <c r="A1002" s="175">
        <f t="shared" si="32"/>
        <v>9</v>
      </c>
      <c r="B1002" s="175" t="s">
        <v>327</v>
      </c>
      <c r="C1002" s="175" t="str">
        <f t="shared" si="33"/>
        <v>Parede Com Sistema Em Chapas De Gesso Para Drywall, Uso Interno, Montante 90mm, Com Duas Face Simples Standart (ST/90/ST)</v>
      </c>
      <c r="D1002" s="175" t="s">
        <v>607</v>
      </c>
      <c r="E1002" s="176" t="str">
        <f>_xlfn.XLOOKUP(D1002,Insumos!$B$1:$B$764,Insumos!$C$1:$C$764)</f>
        <v>M</v>
      </c>
      <c r="F1002" s="179">
        <v>4.0011000000000001</v>
      </c>
      <c r="G1002" s="177">
        <f>IF(B1002="insumo",_xlfn.XLOOKUP($D1002,Insumos!$B$1:$B$764,Insumos!$D$1:$D$764),"")</f>
        <v>18.09</v>
      </c>
      <c r="H1002" s="177" cm="1">
        <f t="array" ref="H1002">_xlfn.IFS(B1002="Serviço",SUMIFS(H1003:$H$3085,C1003:$C$3085,$C1002),B1002="Insumo",F1002*G1002,B1002="Etapa","")</f>
        <v>72.379898999999995</v>
      </c>
      <c r="I1002" s="178"/>
    </row>
    <row r="1003" spans="1:9" hidden="1" outlineLevel="2" x14ac:dyDescent="0.25">
      <c r="A1003" s="175">
        <f t="shared" si="32"/>
        <v>28</v>
      </c>
      <c r="B1003" s="175" t="s">
        <v>327</v>
      </c>
      <c r="C1003" s="175" t="str">
        <f t="shared" si="33"/>
        <v>Parede Com Sistema Em Chapas De Gesso Para Drywall, Uso Interno, Montante 90mm, Com Duas Face Simples Standart (ST/90/ST)</v>
      </c>
      <c r="D1003" s="175" t="s">
        <v>600</v>
      </c>
      <c r="E1003" s="176" t="str">
        <f>_xlfn.XLOOKUP(D1003,Insumos!$B$1:$B$764,Insumos!$C$1:$C$764)</f>
        <v>KG</v>
      </c>
      <c r="F1003" s="179">
        <v>1.0978000000000001</v>
      </c>
      <c r="G1003" s="177">
        <f>IF(B1003="insumo",_xlfn.XLOOKUP($D1003,Insumos!$B$1:$B$764,Insumos!$D$1:$D$764),"")</f>
        <v>3.43</v>
      </c>
      <c r="H1003" s="177" cm="1">
        <f t="array" ref="H1003">_xlfn.IFS(B1003="Serviço",SUMIFS(H1004:$H$3085,C1004:$C$3085,$C1003),B1003="Insumo",F1003*G1003,B1003="Etapa","")</f>
        <v>3.7654540000000005</v>
      </c>
      <c r="I1003" s="178"/>
    </row>
    <row r="1004" spans="1:9" hidden="1" outlineLevel="2" x14ac:dyDescent="0.25">
      <c r="A1004" s="175">
        <f t="shared" si="32"/>
        <v>27</v>
      </c>
      <c r="B1004" s="175" t="s">
        <v>327</v>
      </c>
      <c r="C1004" s="175" t="str">
        <f t="shared" si="33"/>
        <v>Parede Com Sistema Em Chapas De Gesso Para Drywall, Uso Interno, Montante 90mm, Com Duas Face Simples Standart (ST/90/ST)</v>
      </c>
      <c r="D1004" s="175" t="s">
        <v>601</v>
      </c>
      <c r="E1004" s="176" t="str">
        <f>_xlfn.XLOOKUP(D1004,Insumos!$B$1:$B$764,Insumos!$C$1:$C$764)</f>
        <v>M</v>
      </c>
      <c r="F1004" s="179">
        <v>2.5026999999999999</v>
      </c>
      <c r="G1004" s="177">
        <f>IF(B1004="insumo",_xlfn.XLOOKUP($D1004,Insumos!$B$1:$B$764,Insumos!$D$1:$D$764),"")</f>
        <v>0.31</v>
      </c>
      <c r="H1004" s="177" cm="1">
        <f t="array" ref="H1004">_xlfn.IFS(B1004="Serviço",SUMIFS(H1005:$H$3085,C1005:$C$3085,$C1004),B1004="Insumo",F1004*G1004,B1004="Etapa","")</f>
        <v>0.775837</v>
      </c>
      <c r="I1004" s="178"/>
    </row>
    <row r="1005" spans="1:9" hidden="1" outlineLevel="2" x14ac:dyDescent="0.25">
      <c r="A1005" s="175">
        <f t="shared" si="32"/>
        <v>27</v>
      </c>
      <c r="B1005" s="175" t="s">
        <v>327</v>
      </c>
      <c r="C1005" s="175" t="str">
        <f t="shared" si="33"/>
        <v>Parede Com Sistema Em Chapas De Gesso Para Drywall, Uso Interno, Montante 90mm, Com Duas Face Simples Standart (ST/90/ST)</v>
      </c>
      <c r="D1005" s="175" t="s">
        <v>602</v>
      </c>
      <c r="E1005" s="176" t="str">
        <f>_xlfn.XLOOKUP(D1005,Insumos!$B$1:$B$764,Insumos!$C$1:$C$764)</f>
        <v>M</v>
      </c>
      <c r="F1005" s="179">
        <v>1.4815</v>
      </c>
      <c r="G1005" s="177">
        <f>IF(B1005="insumo",_xlfn.XLOOKUP($D1005,Insumos!$B$1:$B$764,Insumos!$D$1:$D$764),"")</f>
        <v>2.74</v>
      </c>
      <c r="H1005" s="177" cm="1">
        <f t="array" ref="H1005">_xlfn.IFS(B1005="Serviço",SUMIFS(H1006:$H$3085,C1006:$C$3085,$C1005),B1005="Insumo",F1005*G1005,B1005="Etapa","")</f>
        <v>4.0593100000000009</v>
      </c>
      <c r="I1005" s="178"/>
    </row>
    <row r="1006" spans="1:9" hidden="1" outlineLevel="2" x14ac:dyDescent="0.25">
      <c r="A1006" s="175">
        <f t="shared" si="32"/>
        <v>28</v>
      </c>
      <c r="B1006" s="175" t="s">
        <v>327</v>
      </c>
      <c r="C1006" s="175" t="str">
        <f t="shared" si="33"/>
        <v>Parede Com Sistema Em Chapas De Gesso Para Drywall, Uso Interno, Montante 90mm, Com Duas Face Simples Standart (ST/90/ST)</v>
      </c>
      <c r="D1006" s="175" t="s">
        <v>603</v>
      </c>
      <c r="E1006" s="176" t="str">
        <f>_xlfn.XLOOKUP(D1006,Insumos!$B$1:$B$764,Insumos!$C$1:$C$764)</f>
        <v>UN</v>
      </c>
      <c r="F1006" s="179">
        <v>20.186800000000002</v>
      </c>
      <c r="G1006" s="177">
        <f>IF(B1006="insumo",_xlfn.XLOOKUP($D1006,Insumos!$B$1:$B$764,Insumos!$D$1:$D$764),"")</f>
        <v>0.09</v>
      </c>
      <c r="H1006" s="177" cm="1">
        <f t="array" ref="H1006">_xlfn.IFS(B1006="Serviço",SUMIFS(H1007:$H$3085,C1007:$C$3085,$C1006),B1006="Insumo",F1006*G1006,B1006="Etapa","")</f>
        <v>1.8168120000000001</v>
      </c>
      <c r="I1006" s="178"/>
    </row>
    <row r="1007" spans="1:9" hidden="1" outlineLevel="2" x14ac:dyDescent="0.25">
      <c r="A1007" s="175">
        <f t="shared" si="32"/>
        <v>28</v>
      </c>
      <c r="B1007" s="175" t="s">
        <v>327</v>
      </c>
      <c r="C1007" s="175" t="str">
        <f t="shared" si="33"/>
        <v>Parede Com Sistema Em Chapas De Gesso Para Drywall, Uso Interno, Montante 90mm, Com Duas Face Simples Standart (ST/90/ST)</v>
      </c>
      <c r="D1007" s="175" t="s">
        <v>604</v>
      </c>
      <c r="E1007" s="176" t="str">
        <f>_xlfn.XLOOKUP(D1007,Insumos!$B$1:$B$764,Insumos!$C$1:$C$764)</f>
        <v>UN</v>
      </c>
      <c r="F1007" s="179">
        <v>0.4803</v>
      </c>
      <c r="G1007" s="177">
        <f>IF(B1007="insumo",_xlfn.XLOOKUP($D1007,Insumos!$B$1:$B$764,Insumos!$D$1:$D$764),"")</f>
        <v>0.2</v>
      </c>
      <c r="H1007" s="177" cm="1">
        <f t="array" ref="H1007">_xlfn.IFS(B1007="Serviço",SUMIFS(H1008:$H$3085,C1008:$C$3085,$C1007),B1007="Insumo",F1007*G1007,B1007="Etapa","")</f>
        <v>9.6060000000000006E-2</v>
      </c>
      <c r="I1007" s="178"/>
    </row>
    <row r="1008" spans="1:9" outlineLevel="1" collapsed="1" x14ac:dyDescent="0.25">
      <c r="A1008" s="175">
        <f t="shared" si="32"/>
        <v>1</v>
      </c>
      <c r="B1008" s="175" t="s">
        <v>109</v>
      </c>
      <c r="C1008" s="175" t="str">
        <f t="shared" si="33"/>
        <v>Parede Com Sistema Em Chapas De Gesso Para Drywall, Uso Interno, Montante 90mm, Com Duas Face Simples Resistente à Umidade (RU/90/RU)</v>
      </c>
      <c r="D1008" s="175" t="s">
        <v>2840</v>
      </c>
      <c r="E1008" s="176" t="s">
        <v>13</v>
      </c>
      <c r="F1008" s="175"/>
      <c r="G1008" s="177" t="str">
        <f>IF(B1008="insumo",_xlfn.XLOOKUP($D1008,Insumos!$B$1:$B$764,Insumos!$D$1:$D$764),"")</f>
        <v/>
      </c>
      <c r="H1008" s="177" cm="1">
        <f t="array" ref="H1008">_xlfn.IFS(B1008="Serviço",SUMIFS(H1009:$H$3085,C1009:$C$3085,$C1008),B1008="Insumo",F1008*G1008,B1008="Etapa","")</f>
        <v>242.48831199999998</v>
      </c>
      <c r="I1008" s="178" t="s">
        <v>195</v>
      </c>
    </row>
    <row r="1009" spans="1:9" hidden="1" outlineLevel="2" x14ac:dyDescent="0.25">
      <c r="A1009" s="175">
        <f t="shared" si="32"/>
        <v>24</v>
      </c>
      <c r="B1009" s="175" t="s">
        <v>327</v>
      </c>
      <c r="C1009" s="175" t="str">
        <f t="shared" si="33"/>
        <v>Parede Com Sistema Em Chapas De Gesso Para Drywall, Uso Interno, Montante 90mm, Com Duas Face Simples Resistente à Umidade (RU/90/RU)</v>
      </c>
      <c r="D1009" s="175" t="s">
        <v>595</v>
      </c>
      <c r="E1009" s="176" t="str">
        <f>_xlfn.XLOOKUP(D1009,Insumos!$B$1:$B$764,Insumos!$C$1:$C$764)</f>
        <v>M2</v>
      </c>
      <c r="F1009" s="179">
        <v>1</v>
      </c>
      <c r="G1009" s="177">
        <f>IF(B1009="insumo",_xlfn.XLOOKUP($D1009,Insumos!$B$1:$B$764,Insumos!$D$1:$D$764),"")</f>
        <v>70</v>
      </c>
      <c r="H1009" s="177" cm="1">
        <f t="array" ref="H1009">_xlfn.IFS(B1009="Serviço",SUMIFS(H1010:$H$3085,C1010:$C$3085,$C1009),B1009="Insumo",F1009*G1009,B1009="Etapa","")</f>
        <v>70</v>
      </c>
      <c r="I1009" s="178"/>
    </row>
    <row r="1010" spans="1:9" hidden="1" outlineLevel="2" x14ac:dyDescent="0.25">
      <c r="A1010" s="175">
        <f t="shared" si="32"/>
        <v>16</v>
      </c>
      <c r="B1010" s="175" t="s">
        <v>327</v>
      </c>
      <c r="C1010" s="175" t="str">
        <f t="shared" si="33"/>
        <v>Parede Com Sistema Em Chapas De Gesso Para Drywall, Uso Interno, Montante 90mm, Com Duas Face Simples Resistente à Umidade (RU/90/RU)</v>
      </c>
      <c r="D1010" s="175" t="s">
        <v>612</v>
      </c>
      <c r="E1010" s="176" t="str">
        <f>_xlfn.XLOOKUP(D1010,Insumos!$B$1:$B$764,Insumos!$C$1:$C$764)</f>
        <v>M2</v>
      </c>
      <c r="F1010" s="179">
        <v>2.1059999999999999</v>
      </c>
      <c r="G1010" s="177">
        <f>IF(B1010="insumo",_xlfn.XLOOKUP($D1010,Insumos!$B$1:$B$764,Insumos!$D$1:$D$764),"")</f>
        <v>29.194444444444446</v>
      </c>
      <c r="H1010" s="177" cm="1">
        <f t="array" ref="H1010">_xlfn.IFS(B1010="Serviço",SUMIFS(H1011:$H$3085,C1011:$C$3085,$C1010),B1010="Insumo",F1010*G1010,B1010="Etapa","")</f>
        <v>61.483499999999999</v>
      </c>
      <c r="I1010" s="178"/>
    </row>
    <row r="1011" spans="1:9" hidden="1" outlineLevel="2" x14ac:dyDescent="0.25">
      <c r="A1011" s="175">
        <f t="shared" si="32"/>
        <v>30</v>
      </c>
      <c r="B1011" s="175" t="s">
        <v>327</v>
      </c>
      <c r="C1011" s="175" t="str">
        <f t="shared" si="33"/>
        <v>Parede Com Sistema Em Chapas De Gesso Para Drywall, Uso Interno, Montante 90mm, Com Duas Face Simples Resistente à Umidade (RU/90/RU)</v>
      </c>
      <c r="D1011" s="175" t="s">
        <v>597</v>
      </c>
      <c r="E1011" s="176" t="str">
        <f>_xlfn.XLOOKUP(D1011,Insumos!$B$1:$B$764,Insumos!$C$1:$C$764)</f>
        <v>UN</v>
      </c>
      <c r="F1011" s="179">
        <v>4.95</v>
      </c>
      <c r="G1011" s="177">
        <f>IF(B1011="insumo",_xlfn.XLOOKUP($D1011,Insumos!$B$1:$B$764,Insumos!$D$1:$D$764),"")</f>
        <v>0.504</v>
      </c>
      <c r="H1011" s="177" cm="1">
        <f t="array" ref="H1011">_xlfn.IFS(B1011="Serviço",SUMIFS(H1012:$H$3085,C1012:$C$3085,$C1011),B1011="Insumo",F1011*G1011,B1011="Etapa","")</f>
        <v>2.4948000000000001</v>
      </c>
      <c r="I1011" s="178"/>
    </row>
    <row r="1012" spans="1:9" hidden="1" outlineLevel="2" x14ac:dyDescent="0.25">
      <c r="A1012" s="175">
        <f t="shared" si="32"/>
        <v>9</v>
      </c>
      <c r="B1012" s="175" t="s">
        <v>327</v>
      </c>
      <c r="C1012" s="175" t="str">
        <f t="shared" si="33"/>
        <v>Parede Com Sistema Em Chapas De Gesso Para Drywall, Uso Interno, Montante 90mm, Com Duas Face Simples Resistente à Umidade (RU/90/RU)</v>
      </c>
      <c r="D1012" s="175" t="s">
        <v>606</v>
      </c>
      <c r="E1012" s="176" t="str">
        <f>_xlfn.XLOOKUP(D1012,Insumos!$B$1:$B$764,Insumos!$C$1:$C$764)</f>
        <v>M</v>
      </c>
      <c r="F1012" s="179">
        <v>1.5247999999999999</v>
      </c>
      <c r="G1012" s="177">
        <f>IF(B1012="insumo",_xlfn.XLOOKUP($D1012,Insumos!$B$1:$B$764,Insumos!$D$1:$D$764),"")</f>
        <v>16.8</v>
      </c>
      <c r="H1012" s="177" cm="1">
        <f t="array" ref="H1012">_xlfn.IFS(B1012="Serviço",SUMIFS(H1013:$H$3085,C1013:$C$3085,$C1012),B1012="Insumo",F1012*G1012,B1012="Etapa","")</f>
        <v>25.61664</v>
      </c>
      <c r="I1012" s="178"/>
    </row>
    <row r="1013" spans="1:9" hidden="1" outlineLevel="2" x14ac:dyDescent="0.25">
      <c r="A1013" s="175">
        <f t="shared" si="32"/>
        <v>9</v>
      </c>
      <c r="B1013" s="175" t="s">
        <v>327</v>
      </c>
      <c r="C1013" s="175" t="str">
        <f t="shared" si="33"/>
        <v>Parede Com Sistema Em Chapas De Gesso Para Drywall, Uso Interno, Montante 90mm, Com Duas Face Simples Resistente à Umidade (RU/90/RU)</v>
      </c>
      <c r="D1013" s="175" t="s">
        <v>607</v>
      </c>
      <c r="E1013" s="176" t="str">
        <f>_xlfn.XLOOKUP(D1013,Insumos!$B$1:$B$764,Insumos!$C$1:$C$764)</f>
        <v>M</v>
      </c>
      <c r="F1013" s="179">
        <v>4.0011000000000001</v>
      </c>
      <c r="G1013" s="177">
        <f>IF(B1013="insumo",_xlfn.XLOOKUP($D1013,Insumos!$B$1:$B$764,Insumos!$D$1:$D$764),"")</f>
        <v>18.09</v>
      </c>
      <c r="H1013" s="177" cm="1">
        <f t="array" ref="H1013">_xlfn.IFS(B1013="Serviço",SUMIFS(H1014:$H$3085,C1014:$C$3085,$C1013),B1013="Insumo",F1013*G1013,B1013="Etapa","")</f>
        <v>72.379898999999995</v>
      </c>
      <c r="I1013" s="178"/>
    </row>
    <row r="1014" spans="1:9" hidden="1" outlineLevel="2" x14ac:dyDescent="0.25">
      <c r="A1014" s="175">
        <f t="shared" si="32"/>
        <v>28</v>
      </c>
      <c r="B1014" s="175" t="s">
        <v>327</v>
      </c>
      <c r="C1014" s="175" t="str">
        <f t="shared" si="33"/>
        <v>Parede Com Sistema Em Chapas De Gesso Para Drywall, Uso Interno, Montante 90mm, Com Duas Face Simples Resistente à Umidade (RU/90/RU)</v>
      </c>
      <c r="D1014" s="175" t="s">
        <v>600</v>
      </c>
      <c r="E1014" s="176" t="str">
        <f>_xlfn.XLOOKUP(D1014,Insumos!$B$1:$B$764,Insumos!$C$1:$C$764)</f>
        <v>KG</v>
      </c>
      <c r="F1014" s="179">
        <v>1.0978000000000001</v>
      </c>
      <c r="G1014" s="177">
        <f>IF(B1014="insumo",_xlfn.XLOOKUP($D1014,Insumos!$B$1:$B$764,Insumos!$D$1:$D$764),"")</f>
        <v>3.43</v>
      </c>
      <c r="H1014" s="177" cm="1">
        <f t="array" ref="H1014">_xlfn.IFS(B1014="Serviço",SUMIFS(H1015:$H$3085,C1015:$C$3085,$C1014),B1014="Insumo",F1014*G1014,B1014="Etapa","")</f>
        <v>3.7654540000000005</v>
      </c>
      <c r="I1014" s="178"/>
    </row>
    <row r="1015" spans="1:9" hidden="1" outlineLevel="2" x14ac:dyDescent="0.25">
      <c r="A1015" s="175">
        <f t="shared" si="32"/>
        <v>27</v>
      </c>
      <c r="B1015" s="175" t="s">
        <v>327</v>
      </c>
      <c r="C1015" s="175" t="str">
        <f t="shared" si="33"/>
        <v>Parede Com Sistema Em Chapas De Gesso Para Drywall, Uso Interno, Montante 90mm, Com Duas Face Simples Resistente à Umidade (RU/90/RU)</v>
      </c>
      <c r="D1015" s="175" t="s">
        <v>601</v>
      </c>
      <c r="E1015" s="176" t="str">
        <f>_xlfn.XLOOKUP(D1015,Insumos!$B$1:$B$764,Insumos!$C$1:$C$764)</f>
        <v>M</v>
      </c>
      <c r="F1015" s="179">
        <v>2.5026999999999999</v>
      </c>
      <c r="G1015" s="177">
        <f>IF(B1015="insumo",_xlfn.XLOOKUP($D1015,Insumos!$B$1:$B$764,Insumos!$D$1:$D$764),"")</f>
        <v>0.31</v>
      </c>
      <c r="H1015" s="177" cm="1">
        <f t="array" ref="H1015">_xlfn.IFS(B1015="Serviço",SUMIFS(H1016:$H$3085,C1016:$C$3085,$C1015),B1015="Insumo",F1015*G1015,B1015="Etapa","")</f>
        <v>0.775837</v>
      </c>
      <c r="I1015" s="178"/>
    </row>
    <row r="1016" spans="1:9" hidden="1" outlineLevel="2" x14ac:dyDescent="0.25">
      <c r="A1016" s="175">
        <f t="shared" si="32"/>
        <v>27</v>
      </c>
      <c r="B1016" s="175" t="s">
        <v>327</v>
      </c>
      <c r="C1016" s="175" t="str">
        <f t="shared" si="33"/>
        <v>Parede Com Sistema Em Chapas De Gesso Para Drywall, Uso Interno, Montante 90mm, Com Duas Face Simples Resistente à Umidade (RU/90/RU)</v>
      </c>
      <c r="D1016" s="175" t="s">
        <v>602</v>
      </c>
      <c r="E1016" s="176" t="str">
        <f>_xlfn.XLOOKUP(D1016,Insumos!$B$1:$B$764,Insumos!$C$1:$C$764)</f>
        <v>M</v>
      </c>
      <c r="F1016" s="179">
        <v>1.4815</v>
      </c>
      <c r="G1016" s="177">
        <f>IF(B1016="insumo",_xlfn.XLOOKUP($D1016,Insumos!$B$1:$B$764,Insumos!$D$1:$D$764),"")</f>
        <v>2.74</v>
      </c>
      <c r="H1016" s="177" cm="1">
        <f t="array" ref="H1016">_xlfn.IFS(B1016="Serviço",SUMIFS(H1017:$H$3085,C1017:$C$3085,$C1016),B1016="Insumo",F1016*G1016,B1016="Etapa","")</f>
        <v>4.0593100000000009</v>
      </c>
      <c r="I1016" s="178"/>
    </row>
    <row r="1017" spans="1:9" hidden="1" outlineLevel="2" x14ac:dyDescent="0.25">
      <c r="A1017" s="175">
        <f t="shared" si="32"/>
        <v>28</v>
      </c>
      <c r="B1017" s="175" t="s">
        <v>327</v>
      </c>
      <c r="C1017" s="175" t="str">
        <f t="shared" si="33"/>
        <v>Parede Com Sistema Em Chapas De Gesso Para Drywall, Uso Interno, Montante 90mm, Com Duas Face Simples Resistente à Umidade (RU/90/RU)</v>
      </c>
      <c r="D1017" s="175" t="s">
        <v>603</v>
      </c>
      <c r="E1017" s="176" t="str">
        <f>_xlfn.XLOOKUP(D1017,Insumos!$B$1:$B$764,Insumos!$C$1:$C$764)</f>
        <v>UN</v>
      </c>
      <c r="F1017" s="179">
        <v>20.186800000000002</v>
      </c>
      <c r="G1017" s="177">
        <f>IF(B1017="insumo",_xlfn.XLOOKUP($D1017,Insumos!$B$1:$B$764,Insumos!$D$1:$D$764),"")</f>
        <v>0.09</v>
      </c>
      <c r="H1017" s="177" cm="1">
        <f t="array" ref="H1017">_xlfn.IFS(B1017="Serviço",SUMIFS(H1018:$H$3085,C1018:$C$3085,$C1017),B1017="Insumo",F1017*G1017,B1017="Etapa","")</f>
        <v>1.8168120000000001</v>
      </c>
      <c r="I1017" s="178"/>
    </row>
    <row r="1018" spans="1:9" hidden="1" outlineLevel="2" x14ac:dyDescent="0.25">
      <c r="A1018" s="175">
        <f t="shared" si="32"/>
        <v>28</v>
      </c>
      <c r="B1018" s="175" t="s">
        <v>327</v>
      </c>
      <c r="C1018" s="175" t="str">
        <f t="shared" si="33"/>
        <v>Parede Com Sistema Em Chapas De Gesso Para Drywall, Uso Interno, Montante 90mm, Com Duas Face Simples Resistente à Umidade (RU/90/RU)</v>
      </c>
      <c r="D1018" s="175" t="s">
        <v>604</v>
      </c>
      <c r="E1018" s="176" t="str">
        <f>_xlfn.XLOOKUP(D1018,Insumos!$B$1:$B$764,Insumos!$C$1:$C$764)</f>
        <v>UN</v>
      </c>
      <c r="F1018" s="179">
        <v>0.4803</v>
      </c>
      <c r="G1018" s="177">
        <f>IF(B1018="insumo",_xlfn.XLOOKUP($D1018,Insumos!$B$1:$B$764,Insumos!$D$1:$D$764),"")</f>
        <v>0.2</v>
      </c>
      <c r="H1018" s="177" cm="1">
        <f t="array" ref="H1018">_xlfn.IFS(B1018="Serviço",SUMIFS(H1019:$H$3085,C1019:$C$3085,$C1018),B1018="Insumo",F1018*G1018,B1018="Etapa","")</f>
        <v>9.6060000000000006E-2</v>
      </c>
      <c r="I1018" s="178"/>
    </row>
    <row r="1019" spans="1:9" outlineLevel="1" collapsed="1" x14ac:dyDescent="0.25">
      <c r="A1019" s="175">
        <f t="shared" si="32"/>
        <v>1</v>
      </c>
      <c r="B1019" s="175" t="s">
        <v>109</v>
      </c>
      <c r="C1019" s="175" t="str">
        <f t="shared" si="33"/>
        <v>Parede Com Sistema Em Chapas De Gesso Para Drywall, Uso Interno, Montante 90mm, Com Uma Face Standart e Uma Face Resistente a Umidade (ST/90/RU)</v>
      </c>
      <c r="D1019" s="175" t="s">
        <v>2844</v>
      </c>
      <c r="E1019" s="176" t="s">
        <v>13</v>
      </c>
      <c r="F1019" s="175"/>
      <c r="G1019" s="177" t="str">
        <f>IF(B1019="insumo",_xlfn.XLOOKUP($D1019,Insumos!$B$1:$B$764,Insumos!$D$1:$D$764),"")</f>
        <v/>
      </c>
      <c r="H1019" s="177" cm="1">
        <f t="array" ref="H1019">_xlfn.IFS(B1019="Serviço",SUMIFS(H1020:$H$3085,C1020:$C$3085,$C1019),B1019="Insumo",F1019*G1019,B1019="Etapa","")</f>
        <v>231.12834325</v>
      </c>
      <c r="I1019" s="178" t="s">
        <v>195</v>
      </c>
    </row>
    <row r="1020" spans="1:9" hidden="1" outlineLevel="2" x14ac:dyDescent="0.25">
      <c r="A1020" s="175">
        <f t="shared" si="32"/>
        <v>24</v>
      </c>
      <c r="B1020" s="175" t="s">
        <v>327</v>
      </c>
      <c r="C1020" s="175" t="str">
        <f t="shared" si="33"/>
        <v>Parede Com Sistema Em Chapas De Gesso Para Drywall, Uso Interno, Montante 90mm, Com Uma Face Standart e Uma Face Resistente a Umidade (ST/90/RU)</v>
      </c>
      <c r="D1020" s="175" t="s">
        <v>595</v>
      </c>
      <c r="E1020" s="176" t="str">
        <f>_xlfn.XLOOKUP(D1020,Insumos!$B$1:$B$764,Insumos!$C$1:$C$764)</f>
        <v>M2</v>
      </c>
      <c r="F1020" s="179">
        <v>1</v>
      </c>
      <c r="G1020" s="177">
        <f>IF(B1020="insumo",_xlfn.XLOOKUP($D1020,Insumos!$B$1:$B$764,Insumos!$D$1:$D$764),"")</f>
        <v>70</v>
      </c>
      <c r="H1020" s="177" cm="1">
        <f t="array" ref="H1020">_xlfn.IFS(B1020="Serviço",SUMIFS(H1021:$H$3085,C1021:$C$3085,$C1020),B1020="Insumo",F1020*G1020,B1020="Etapa","")</f>
        <v>70</v>
      </c>
      <c r="I1020" s="178"/>
    </row>
    <row r="1021" spans="1:9" hidden="1" outlineLevel="2" x14ac:dyDescent="0.25">
      <c r="A1021" s="175">
        <f t="shared" si="32"/>
        <v>16</v>
      </c>
      <c r="B1021" s="175" t="s">
        <v>327</v>
      </c>
      <c r="C1021" s="175" t="str">
        <f t="shared" si="33"/>
        <v>Parede Com Sistema Em Chapas De Gesso Para Drywall, Uso Interno, Montante 90mm, Com Uma Face Standart e Uma Face Resistente a Umidade (ST/90/RU)</v>
      </c>
      <c r="D1021" s="175" t="s">
        <v>612</v>
      </c>
      <c r="E1021" s="176" t="str">
        <f>_xlfn.XLOOKUP(D1021,Insumos!$B$1:$B$764,Insumos!$C$1:$C$764)</f>
        <v>M2</v>
      </c>
      <c r="F1021" s="179">
        <v>1.0529999999999999</v>
      </c>
      <c r="G1021" s="177">
        <f>IF(B1021="insumo",_xlfn.XLOOKUP($D1021,Insumos!$B$1:$B$764,Insumos!$D$1:$D$764),"")</f>
        <v>29.194444444444446</v>
      </c>
      <c r="H1021" s="177" cm="1">
        <f t="array" ref="H1021">_xlfn.IFS(B1021="Serviço",SUMIFS(H1022:$H$3085,C1022:$C$3085,$C1021),B1021="Insumo",F1021*G1021,B1021="Etapa","")</f>
        <v>30.74175</v>
      </c>
      <c r="I1021" s="178"/>
    </row>
    <row r="1022" spans="1:9" hidden="1" outlineLevel="2" x14ac:dyDescent="0.25">
      <c r="A1022" s="175">
        <f t="shared" si="32"/>
        <v>14</v>
      </c>
      <c r="B1022" s="175" t="s">
        <v>327</v>
      </c>
      <c r="C1022" s="175" t="str">
        <f t="shared" si="33"/>
        <v>Parede Com Sistema Em Chapas De Gesso Para Drywall, Uso Interno, Montante 90mm, Com Uma Face Standart e Uma Face Resistente a Umidade (ST/90/RU)</v>
      </c>
      <c r="D1022" s="175" t="s">
        <v>596</v>
      </c>
      <c r="E1022" s="176" t="str">
        <f>_xlfn.XLOOKUP(D1022,Insumos!$B$1:$B$764,Insumos!$C$1:$C$764)</f>
        <v>M2</v>
      </c>
      <c r="F1022" s="179">
        <v>1.0529999999999999</v>
      </c>
      <c r="G1022" s="177">
        <f>IF(B1022="insumo",_xlfn.XLOOKUP($D1022,Insumos!$B$1:$B$764,Insumos!$D$1:$D$764),"")</f>
        <v>18.40625</v>
      </c>
      <c r="H1022" s="177" cm="1">
        <f t="array" ref="H1022">_xlfn.IFS(B1022="Serviço",SUMIFS(H1023:$H$3085,C1023:$C$3085,$C1022),B1022="Insumo",F1022*G1022,B1022="Etapa","")</f>
        <v>19.38178125</v>
      </c>
      <c r="I1022" s="178"/>
    </row>
    <row r="1023" spans="1:9" hidden="1" outlineLevel="2" x14ac:dyDescent="0.25">
      <c r="A1023" s="175">
        <f t="shared" si="32"/>
        <v>30</v>
      </c>
      <c r="B1023" s="175" t="s">
        <v>327</v>
      </c>
      <c r="C1023" s="175" t="str">
        <f t="shared" si="33"/>
        <v>Parede Com Sistema Em Chapas De Gesso Para Drywall, Uso Interno, Montante 90mm, Com Uma Face Standart e Uma Face Resistente a Umidade (ST/90/RU)</v>
      </c>
      <c r="D1023" s="175" t="s">
        <v>597</v>
      </c>
      <c r="E1023" s="176" t="str">
        <f>_xlfn.XLOOKUP(D1023,Insumos!$B$1:$B$764,Insumos!$C$1:$C$764)</f>
        <v>UN</v>
      </c>
      <c r="F1023" s="179">
        <v>4.95</v>
      </c>
      <c r="G1023" s="177">
        <f>IF(B1023="insumo",_xlfn.XLOOKUP($D1023,Insumos!$B$1:$B$764,Insumos!$D$1:$D$764),"")</f>
        <v>0.504</v>
      </c>
      <c r="H1023" s="177" cm="1">
        <f t="array" ref="H1023">_xlfn.IFS(B1023="Serviço",SUMIFS(H1024:$H$3085,C1024:$C$3085,$C1023),B1023="Insumo",F1023*G1023,B1023="Etapa","")</f>
        <v>2.4948000000000001</v>
      </c>
      <c r="I1023" s="178"/>
    </row>
    <row r="1024" spans="1:9" hidden="1" outlineLevel="2" x14ac:dyDescent="0.25">
      <c r="A1024" s="175">
        <f t="shared" si="32"/>
        <v>9</v>
      </c>
      <c r="B1024" s="175" t="s">
        <v>327</v>
      </c>
      <c r="C1024" s="175" t="str">
        <f t="shared" si="33"/>
        <v>Parede Com Sistema Em Chapas De Gesso Para Drywall, Uso Interno, Montante 90mm, Com Uma Face Standart e Uma Face Resistente a Umidade (ST/90/RU)</v>
      </c>
      <c r="D1024" s="175" t="s">
        <v>606</v>
      </c>
      <c r="E1024" s="176" t="str">
        <f>_xlfn.XLOOKUP(D1024,Insumos!$B$1:$B$764,Insumos!$C$1:$C$764)</f>
        <v>M</v>
      </c>
      <c r="F1024" s="179">
        <v>1.5247999999999999</v>
      </c>
      <c r="G1024" s="177">
        <f>IF(B1024="insumo",_xlfn.XLOOKUP($D1024,Insumos!$B$1:$B$764,Insumos!$D$1:$D$764),"")</f>
        <v>16.8</v>
      </c>
      <c r="H1024" s="177" cm="1">
        <f t="array" ref="H1024">_xlfn.IFS(B1024="Serviço",SUMIFS(H1025:$H$3085,C1025:$C$3085,$C1024),B1024="Insumo",F1024*G1024,B1024="Etapa","")</f>
        <v>25.61664</v>
      </c>
      <c r="I1024" s="178"/>
    </row>
    <row r="1025" spans="1:9" hidden="1" outlineLevel="2" x14ac:dyDescent="0.25">
      <c r="A1025" s="175">
        <f t="shared" si="32"/>
        <v>9</v>
      </c>
      <c r="B1025" s="175" t="s">
        <v>327</v>
      </c>
      <c r="C1025" s="175" t="str">
        <f t="shared" si="33"/>
        <v>Parede Com Sistema Em Chapas De Gesso Para Drywall, Uso Interno, Montante 90mm, Com Uma Face Standart e Uma Face Resistente a Umidade (ST/90/RU)</v>
      </c>
      <c r="D1025" s="175" t="s">
        <v>607</v>
      </c>
      <c r="E1025" s="176" t="str">
        <f>_xlfn.XLOOKUP(D1025,Insumos!$B$1:$B$764,Insumos!$C$1:$C$764)</f>
        <v>M</v>
      </c>
      <c r="F1025" s="179">
        <v>4.0011000000000001</v>
      </c>
      <c r="G1025" s="177">
        <f>IF(B1025="insumo",_xlfn.XLOOKUP($D1025,Insumos!$B$1:$B$764,Insumos!$D$1:$D$764),"")</f>
        <v>18.09</v>
      </c>
      <c r="H1025" s="177" cm="1">
        <f t="array" ref="H1025">_xlfn.IFS(B1025="Serviço",SUMIFS(H1026:$H$3085,C1026:$C$3085,$C1025),B1025="Insumo",F1025*G1025,B1025="Etapa","")</f>
        <v>72.379898999999995</v>
      </c>
      <c r="I1025" s="178"/>
    </row>
    <row r="1026" spans="1:9" hidden="1" outlineLevel="2" x14ac:dyDescent="0.25">
      <c r="A1026" s="175">
        <f t="shared" ref="A1026:A1089" si="34">COUNTIFS($D$2:$D$3085,D1026,$B$2:$B$3085,B1026)</f>
        <v>28</v>
      </c>
      <c r="B1026" s="175" t="s">
        <v>327</v>
      </c>
      <c r="C1026" s="175" t="str">
        <f t="shared" si="33"/>
        <v>Parede Com Sistema Em Chapas De Gesso Para Drywall, Uso Interno, Montante 90mm, Com Uma Face Standart e Uma Face Resistente a Umidade (ST/90/RU)</v>
      </c>
      <c r="D1026" s="175" t="s">
        <v>600</v>
      </c>
      <c r="E1026" s="176" t="str">
        <f>_xlfn.XLOOKUP(D1026,Insumos!$B$1:$B$764,Insumos!$C$1:$C$764)</f>
        <v>KG</v>
      </c>
      <c r="F1026" s="179">
        <v>1.0978000000000001</v>
      </c>
      <c r="G1026" s="177">
        <f>IF(B1026="insumo",_xlfn.XLOOKUP($D1026,Insumos!$B$1:$B$764,Insumos!$D$1:$D$764),"")</f>
        <v>3.43</v>
      </c>
      <c r="H1026" s="177" cm="1">
        <f t="array" ref="H1026">_xlfn.IFS(B1026="Serviço",SUMIFS(H1027:$H$3085,C1027:$C$3085,$C1026),B1026="Insumo",F1026*G1026,B1026="Etapa","")</f>
        <v>3.7654540000000005</v>
      </c>
      <c r="I1026" s="178"/>
    </row>
    <row r="1027" spans="1:9" hidden="1" outlineLevel="2" x14ac:dyDescent="0.25">
      <c r="A1027" s="175">
        <f t="shared" si="34"/>
        <v>27</v>
      </c>
      <c r="B1027" s="175" t="s">
        <v>327</v>
      </c>
      <c r="C1027" s="175" t="str">
        <f t="shared" si="33"/>
        <v>Parede Com Sistema Em Chapas De Gesso Para Drywall, Uso Interno, Montante 90mm, Com Uma Face Standart e Uma Face Resistente a Umidade (ST/90/RU)</v>
      </c>
      <c r="D1027" s="175" t="s">
        <v>601</v>
      </c>
      <c r="E1027" s="176" t="str">
        <f>_xlfn.XLOOKUP(D1027,Insumos!$B$1:$B$764,Insumos!$C$1:$C$764)</f>
        <v>M</v>
      </c>
      <c r="F1027" s="179">
        <v>2.5026999999999999</v>
      </c>
      <c r="G1027" s="177">
        <f>IF(B1027="insumo",_xlfn.XLOOKUP($D1027,Insumos!$B$1:$B$764,Insumos!$D$1:$D$764),"")</f>
        <v>0.31</v>
      </c>
      <c r="H1027" s="177" cm="1">
        <f t="array" ref="H1027">_xlfn.IFS(B1027="Serviço",SUMIFS(H1028:$H$3085,C1028:$C$3085,$C1027),B1027="Insumo",F1027*G1027,B1027="Etapa","")</f>
        <v>0.775837</v>
      </c>
      <c r="I1027" s="178"/>
    </row>
    <row r="1028" spans="1:9" hidden="1" outlineLevel="2" x14ac:dyDescent="0.25">
      <c r="A1028" s="175">
        <f t="shared" si="34"/>
        <v>27</v>
      </c>
      <c r="B1028" s="175" t="s">
        <v>327</v>
      </c>
      <c r="C1028" s="175" t="str">
        <f t="shared" si="33"/>
        <v>Parede Com Sistema Em Chapas De Gesso Para Drywall, Uso Interno, Montante 90mm, Com Uma Face Standart e Uma Face Resistente a Umidade (ST/90/RU)</v>
      </c>
      <c r="D1028" s="175" t="s">
        <v>602</v>
      </c>
      <c r="E1028" s="176" t="str">
        <f>_xlfn.XLOOKUP(D1028,Insumos!$B$1:$B$764,Insumos!$C$1:$C$764)</f>
        <v>M</v>
      </c>
      <c r="F1028" s="179">
        <v>1.4815</v>
      </c>
      <c r="G1028" s="177">
        <f>IF(B1028="insumo",_xlfn.XLOOKUP($D1028,Insumos!$B$1:$B$764,Insumos!$D$1:$D$764),"")</f>
        <v>2.74</v>
      </c>
      <c r="H1028" s="177" cm="1">
        <f t="array" ref="H1028">_xlfn.IFS(B1028="Serviço",SUMIFS(H1029:$H$3085,C1029:$C$3085,$C1028),B1028="Insumo",F1028*G1028,B1028="Etapa","")</f>
        <v>4.0593100000000009</v>
      </c>
      <c r="I1028" s="178"/>
    </row>
    <row r="1029" spans="1:9" hidden="1" outlineLevel="2" x14ac:dyDescent="0.25">
      <c r="A1029" s="175">
        <f t="shared" si="34"/>
        <v>28</v>
      </c>
      <c r="B1029" s="175" t="s">
        <v>327</v>
      </c>
      <c r="C1029" s="175" t="str">
        <f t="shared" si="33"/>
        <v>Parede Com Sistema Em Chapas De Gesso Para Drywall, Uso Interno, Montante 90mm, Com Uma Face Standart e Uma Face Resistente a Umidade (ST/90/RU)</v>
      </c>
      <c r="D1029" s="175" t="s">
        <v>603</v>
      </c>
      <c r="E1029" s="176" t="str">
        <f>_xlfn.XLOOKUP(D1029,Insumos!$B$1:$B$764,Insumos!$C$1:$C$764)</f>
        <v>UN</v>
      </c>
      <c r="F1029" s="179">
        <v>20.186800000000002</v>
      </c>
      <c r="G1029" s="177">
        <f>IF(B1029="insumo",_xlfn.XLOOKUP($D1029,Insumos!$B$1:$B$764,Insumos!$D$1:$D$764),"")</f>
        <v>0.09</v>
      </c>
      <c r="H1029" s="177" cm="1">
        <f t="array" ref="H1029">_xlfn.IFS(B1029="Serviço",SUMIFS(H1030:$H$3085,C1030:$C$3085,$C1029),B1029="Insumo",F1029*G1029,B1029="Etapa","")</f>
        <v>1.8168120000000001</v>
      </c>
      <c r="I1029" s="178"/>
    </row>
    <row r="1030" spans="1:9" hidden="1" outlineLevel="2" x14ac:dyDescent="0.25">
      <c r="A1030" s="175">
        <f t="shared" si="34"/>
        <v>28</v>
      </c>
      <c r="B1030" s="175" t="s">
        <v>327</v>
      </c>
      <c r="C1030" s="175" t="str">
        <f t="shared" si="33"/>
        <v>Parede Com Sistema Em Chapas De Gesso Para Drywall, Uso Interno, Montante 90mm, Com Uma Face Standart e Uma Face Resistente a Umidade (ST/90/RU)</v>
      </c>
      <c r="D1030" s="175" t="s">
        <v>604</v>
      </c>
      <c r="E1030" s="176" t="str">
        <f>_xlfn.XLOOKUP(D1030,Insumos!$B$1:$B$764,Insumos!$C$1:$C$764)</f>
        <v>UN</v>
      </c>
      <c r="F1030" s="179">
        <v>0.4803</v>
      </c>
      <c r="G1030" s="177">
        <f>IF(B1030="insumo",_xlfn.XLOOKUP($D1030,Insumos!$B$1:$B$764,Insumos!$D$1:$D$764),"")</f>
        <v>0.2</v>
      </c>
      <c r="H1030" s="177" cm="1">
        <f t="array" ref="H1030">_xlfn.IFS(B1030="Serviço",SUMIFS(H1031:$H$3085,C1031:$C$3085,$C1030),B1030="Insumo",F1030*G1030,B1030="Etapa","")</f>
        <v>9.6060000000000006E-2</v>
      </c>
      <c r="I1030" s="178"/>
    </row>
    <row r="1031" spans="1:9" outlineLevel="1" collapsed="1" x14ac:dyDescent="0.25">
      <c r="A1031" s="175">
        <f t="shared" si="34"/>
        <v>1</v>
      </c>
      <c r="B1031" s="175" t="s">
        <v>109</v>
      </c>
      <c r="C1031" s="175" t="str">
        <f t="shared" si="33"/>
        <v>Parede Com Sistema Em Chapas De Gesso Para Drywall, Uso Interno, Montante 90mm, Com Duas Face Simples Standart e Duas Resiste a Umidade (2ST/90/2RU)</v>
      </c>
      <c r="D1031" s="175" t="s">
        <v>2389</v>
      </c>
      <c r="E1031" s="176" t="s">
        <v>13</v>
      </c>
      <c r="F1031" s="175"/>
      <c r="G1031" s="177" t="str">
        <f>IF(B1031="insumo",_xlfn.XLOOKUP($D1031,Insumos!$B$1:$B$764,Insumos!$D$1:$D$764),"")</f>
        <v/>
      </c>
      <c r="H1031" s="177" cm="1">
        <f t="array" ref="H1031">_xlfn.IFS(B1031="Serviço",SUMIFS(H1032:$H$3085,C1032:$C$3085,$C1031),B1031="Insumo",F1031*G1031,B1031="Etapa","")</f>
        <v>360.23877449999998</v>
      </c>
      <c r="I1031" s="178" t="s">
        <v>195</v>
      </c>
    </row>
    <row r="1032" spans="1:9" hidden="1" outlineLevel="2" x14ac:dyDescent="0.25">
      <c r="A1032" s="175">
        <f t="shared" si="34"/>
        <v>24</v>
      </c>
      <c r="B1032" s="175" t="s">
        <v>327</v>
      </c>
      <c r="C1032" s="175" t="str">
        <f t="shared" si="33"/>
        <v>Parede Com Sistema Em Chapas De Gesso Para Drywall, Uso Interno, Montante 90mm, Com Duas Face Simples Standart e Duas Resiste a Umidade (2ST/90/2RU)</v>
      </c>
      <c r="D1032" s="175" t="s">
        <v>595</v>
      </c>
      <c r="E1032" s="176" t="str">
        <f>_xlfn.XLOOKUP(D1032,Insumos!$B$1:$B$764,Insumos!$C$1:$C$764)</f>
        <v>M2</v>
      </c>
      <c r="F1032" s="179">
        <v>1</v>
      </c>
      <c r="G1032" s="177">
        <f>IF(B1032="insumo",_xlfn.XLOOKUP($D1032,Insumos!$B$1:$B$764,Insumos!$D$1:$D$764),"")</f>
        <v>70</v>
      </c>
      <c r="H1032" s="177" cm="1">
        <f t="array" ref="H1032">_xlfn.IFS(B1032="Serviço",SUMIFS(H1033:$H$3085,C1033:$C$3085,$C1032),B1032="Insumo",F1032*G1032,B1032="Etapa","")</f>
        <v>70</v>
      </c>
      <c r="I1032" s="178"/>
    </row>
    <row r="1033" spans="1:9" hidden="1" outlineLevel="2" x14ac:dyDescent="0.25">
      <c r="A1033" s="175">
        <f t="shared" si="34"/>
        <v>14</v>
      </c>
      <c r="B1033" s="175" t="s">
        <v>327</v>
      </c>
      <c r="C1033" s="175" t="str">
        <f t="shared" si="33"/>
        <v>Parede Com Sistema Em Chapas De Gesso Para Drywall, Uso Interno, Montante 90mm, Com Duas Face Simples Standart e Duas Resiste a Umidade (2ST/90/2RU)</v>
      </c>
      <c r="D1033" s="175" t="s">
        <v>596</v>
      </c>
      <c r="E1033" s="176" t="str">
        <f>_xlfn.XLOOKUP(D1033,Insumos!$B$1:$B$764,Insumos!$C$1:$C$764)</f>
        <v>M2</v>
      </c>
      <c r="F1033" s="179">
        <v>2.1059999999999999</v>
      </c>
      <c r="G1033" s="177">
        <f>IF(B1033="insumo",_xlfn.XLOOKUP($D1033,Insumos!$B$1:$B$764,Insumos!$D$1:$D$764),"")</f>
        <v>18.40625</v>
      </c>
      <c r="H1033" s="177" cm="1">
        <f t="array" ref="H1033">_xlfn.IFS(B1033="Serviço",SUMIFS(H1034:$H$3085,C1034:$C$3085,$C1033),B1033="Insumo",F1033*G1033,B1033="Etapa","")</f>
        <v>38.763562499999999</v>
      </c>
      <c r="I1033" s="178"/>
    </row>
    <row r="1034" spans="1:9" hidden="1" outlineLevel="2" x14ac:dyDescent="0.25">
      <c r="A1034" s="175">
        <f t="shared" si="34"/>
        <v>16</v>
      </c>
      <c r="B1034" s="175" t="s">
        <v>327</v>
      </c>
      <c r="C1034" s="175" t="str">
        <f t="shared" si="33"/>
        <v>Parede Com Sistema Em Chapas De Gesso Para Drywall, Uso Interno, Montante 90mm, Com Duas Face Simples Standart e Duas Resiste a Umidade (2ST/90/2RU)</v>
      </c>
      <c r="D1034" s="175" t="s">
        <v>612</v>
      </c>
      <c r="E1034" s="176" t="str">
        <f>_xlfn.XLOOKUP(D1034,Insumos!$B$1:$B$764,Insumos!$C$1:$C$764)</f>
        <v>M2</v>
      </c>
      <c r="F1034" s="179">
        <v>1.0529999999999999</v>
      </c>
      <c r="G1034" s="177">
        <f>IF(B1034="insumo",_xlfn.XLOOKUP($D1034,Insumos!$B$1:$B$764,Insumos!$D$1:$D$764),"")</f>
        <v>29.194444444444446</v>
      </c>
      <c r="H1034" s="177" cm="1">
        <f t="array" ref="H1034">_xlfn.IFS(B1034="Serviço",SUMIFS(H1035:$H$3085,C1035:$C$3085,$C1034),B1034="Insumo",F1034*G1034,B1034="Etapa","")</f>
        <v>30.74175</v>
      </c>
      <c r="I1034" s="178"/>
    </row>
    <row r="1035" spans="1:9" hidden="1" outlineLevel="2" x14ac:dyDescent="0.25">
      <c r="A1035" s="175">
        <f t="shared" si="34"/>
        <v>2</v>
      </c>
      <c r="B1035" s="175" t="s">
        <v>327</v>
      </c>
      <c r="C1035" s="175" t="str">
        <f t="shared" si="33"/>
        <v>Parede Com Sistema Em Chapas De Gesso Para Drywall, Uso Interno, Montante 90mm, Com Duas Face Simples Standart e Duas Resiste a Umidade (2ST/90/2RU)</v>
      </c>
      <c r="D1035" s="427" t="s">
        <v>2424</v>
      </c>
      <c r="E1035" s="428" t="s">
        <v>13</v>
      </c>
      <c r="F1035" s="429">
        <v>1.0529999999999999</v>
      </c>
      <c r="G1035" s="430">
        <v>69.400000000000006</v>
      </c>
      <c r="H1035" s="177" cm="1">
        <f t="array" ref="H1035">_xlfn.IFS(B1035="Serviço",SUMIFS(H1036:$H$3085,C1036:$C$3085,$C1035),B1035="Insumo",F1035*G1035,B1035="Etapa","")</f>
        <v>73.078199999999995</v>
      </c>
      <c r="I1035" s="431" t="s">
        <v>2425</v>
      </c>
    </row>
    <row r="1036" spans="1:9" hidden="1" outlineLevel="2" x14ac:dyDescent="0.25">
      <c r="A1036" s="175">
        <f t="shared" si="34"/>
        <v>30</v>
      </c>
      <c r="B1036" s="175" t="s">
        <v>327</v>
      </c>
      <c r="C1036" s="175" t="str">
        <f t="shared" si="33"/>
        <v>Parede Com Sistema Em Chapas De Gesso Para Drywall, Uso Interno, Montante 90mm, Com Duas Face Simples Standart e Duas Resiste a Umidade (2ST/90/2RU)</v>
      </c>
      <c r="D1036" s="175" t="s">
        <v>597</v>
      </c>
      <c r="E1036" s="176" t="str">
        <f>_xlfn.XLOOKUP(D1036,Insumos!$B$1:$B$764,Insumos!$C$1:$C$764)</f>
        <v>UN</v>
      </c>
      <c r="F1036" s="179">
        <v>4.95</v>
      </c>
      <c r="G1036" s="177">
        <f>IF(B1036="insumo",_xlfn.XLOOKUP($D1036,Insumos!$B$1:$B$764,Insumos!$D$1:$D$764),"")</f>
        <v>0.504</v>
      </c>
      <c r="H1036" s="177" cm="1">
        <f t="array" ref="H1036">_xlfn.IFS(B1036="Serviço",SUMIFS(H1037:$H$3085,C1037:$C$3085,$C1036),B1036="Insumo",F1036*G1036,B1036="Etapa","")</f>
        <v>2.4948000000000001</v>
      </c>
      <c r="I1036" s="178"/>
    </row>
    <row r="1037" spans="1:9" hidden="1" outlineLevel="2" x14ac:dyDescent="0.25">
      <c r="A1037" s="175">
        <f t="shared" si="34"/>
        <v>9</v>
      </c>
      <c r="B1037" s="175" t="s">
        <v>327</v>
      </c>
      <c r="C1037" s="175" t="str">
        <f t="shared" si="33"/>
        <v>Parede Com Sistema Em Chapas De Gesso Para Drywall, Uso Interno, Montante 90mm, Com Duas Face Simples Standart e Duas Resiste a Umidade (2ST/90/2RU)</v>
      </c>
      <c r="D1037" s="175" t="s">
        <v>606</v>
      </c>
      <c r="E1037" s="176" t="str">
        <f>_xlfn.XLOOKUP(D1037,Insumos!$B$1:$B$764,Insumos!$C$1:$C$764)</f>
        <v>M</v>
      </c>
      <c r="F1037" s="179">
        <v>1.5247999999999999</v>
      </c>
      <c r="G1037" s="177">
        <f>IF(B1037="insumo",_xlfn.XLOOKUP($D1037,Insumos!$B$1:$B$764,Insumos!$D$1:$D$764),"")</f>
        <v>16.8</v>
      </c>
      <c r="H1037" s="177" cm="1">
        <f t="array" ref="H1037">_xlfn.IFS(B1037="Serviço",SUMIFS(H1038:$H$3085,C1038:$C$3085,$C1037),B1037="Insumo",F1037*G1037,B1037="Etapa","")</f>
        <v>25.61664</v>
      </c>
      <c r="I1037" s="178"/>
    </row>
    <row r="1038" spans="1:9" hidden="1" outlineLevel="2" x14ac:dyDescent="0.25">
      <c r="A1038" s="175">
        <f t="shared" si="34"/>
        <v>9</v>
      </c>
      <c r="B1038" s="175" t="s">
        <v>327</v>
      </c>
      <c r="C1038" s="175" t="str">
        <f t="shared" si="33"/>
        <v>Parede Com Sistema Em Chapas De Gesso Para Drywall, Uso Interno, Montante 90mm, Com Duas Face Simples Standart e Duas Resiste a Umidade (2ST/90/2RU)</v>
      </c>
      <c r="D1038" s="175" t="s">
        <v>607</v>
      </c>
      <c r="E1038" s="176" t="str">
        <f>_xlfn.XLOOKUP(D1038,Insumos!$B$1:$B$764,Insumos!$C$1:$C$764)</f>
        <v>M</v>
      </c>
      <c r="F1038" s="179">
        <v>4.0011000000000001</v>
      </c>
      <c r="G1038" s="177">
        <f>IF(B1038="insumo",_xlfn.XLOOKUP($D1038,Insumos!$B$1:$B$764,Insumos!$D$1:$D$764),"")</f>
        <v>18.09</v>
      </c>
      <c r="H1038" s="177" cm="1">
        <f t="array" ref="H1038">_xlfn.IFS(B1038="Serviço",SUMIFS(H1039:$H$3085,C1039:$C$3085,$C1038),B1038="Insumo",F1038*G1038,B1038="Etapa","")</f>
        <v>72.379898999999995</v>
      </c>
      <c r="I1038" s="178"/>
    </row>
    <row r="1039" spans="1:9" hidden="1" outlineLevel="2" x14ac:dyDescent="0.25">
      <c r="A1039" s="175">
        <f t="shared" si="34"/>
        <v>2</v>
      </c>
      <c r="B1039" s="175" t="s">
        <v>327</v>
      </c>
      <c r="C1039" s="175" t="str">
        <f t="shared" si="33"/>
        <v>Parede Com Sistema Em Chapas De Gesso Para Drywall, Uso Interno, Montante 90mm, Com Duas Face Simples Standart e Duas Resiste a Umidade (2ST/90/2RU)</v>
      </c>
      <c r="D1039" s="427" t="s">
        <v>2428</v>
      </c>
      <c r="E1039" s="428" t="s">
        <v>13</v>
      </c>
      <c r="F1039" s="429">
        <v>1.0529999999999999</v>
      </c>
      <c r="G1039" s="430">
        <v>18.600000000000001</v>
      </c>
      <c r="H1039" s="177" cm="1">
        <f t="array" ref="H1039">_xlfn.IFS(B1039="Serviço",SUMIFS(H1040:$H$3085,C1040:$C$3085,$C1039),B1039="Insumo",F1039*G1039,B1039="Etapa","")</f>
        <v>19.585799999999999</v>
      </c>
      <c r="I1039" s="178"/>
    </row>
    <row r="1040" spans="1:9" hidden="1" outlineLevel="2" x14ac:dyDescent="0.25">
      <c r="A1040" s="175">
        <f t="shared" si="34"/>
        <v>2</v>
      </c>
      <c r="B1040" s="175" t="s">
        <v>327</v>
      </c>
      <c r="C1040" s="175" t="str">
        <f t="shared" si="33"/>
        <v>Parede Com Sistema Em Chapas De Gesso Para Drywall, Uso Interno, Montante 90mm, Com Duas Face Simples Standart e Duas Resiste a Umidade (2ST/90/2RU)</v>
      </c>
      <c r="D1040" s="427" t="s">
        <v>2427</v>
      </c>
      <c r="E1040" s="428" t="s">
        <v>13</v>
      </c>
      <c r="F1040" s="429">
        <v>1.0529999999999999</v>
      </c>
      <c r="G1040" s="430">
        <v>15.25</v>
      </c>
      <c r="H1040" s="177" cm="1">
        <f t="array" ref="H1040">_xlfn.IFS(B1040="Serviço",SUMIFS(H1041:$H$3085,C1041:$C$3085,$C1040),B1040="Insumo",F1040*G1040,B1040="Etapa","")</f>
        <v>16.058249999999997</v>
      </c>
      <c r="I1040" s="178"/>
    </row>
    <row r="1041" spans="1:9" hidden="1" outlineLevel="2" x14ac:dyDescent="0.25">
      <c r="A1041" s="175">
        <f t="shared" si="34"/>
        <v>2</v>
      </c>
      <c r="B1041" s="175" t="s">
        <v>327</v>
      </c>
      <c r="C1041" s="175" t="str">
        <f t="shared" si="33"/>
        <v>Parede Com Sistema Em Chapas De Gesso Para Drywall, Uso Interno, Montante 90mm, Com Duas Face Simples Standart e Duas Resiste a Umidade (2ST/90/2RU)</v>
      </c>
      <c r="D1041" s="427" t="s">
        <v>2426</v>
      </c>
      <c r="E1041" s="428" t="s">
        <v>428</v>
      </c>
      <c r="F1041" s="429">
        <f>4/25</f>
        <v>0.16</v>
      </c>
      <c r="G1041" s="430">
        <v>6.29</v>
      </c>
      <c r="H1041" s="177" cm="1">
        <f t="array" ref="H1041">_xlfn.IFS(B1041="Serviço",SUMIFS(H1042:$H$3085,C1042:$C$3085,$C1041),B1041="Insumo",F1041*G1041,B1041="Etapa","")</f>
        <v>1.0064</v>
      </c>
      <c r="I1041" s="178"/>
    </row>
    <row r="1042" spans="1:9" hidden="1" outlineLevel="2" x14ac:dyDescent="0.25">
      <c r="A1042" s="175">
        <f t="shared" si="34"/>
        <v>28</v>
      </c>
      <c r="B1042" s="175" t="s">
        <v>327</v>
      </c>
      <c r="C1042" s="175" t="str">
        <f t="shared" si="33"/>
        <v>Parede Com Sistema Em Chapas De Gesso Para Drywall, Uso Interno, Montante 90mm, Com Duas Face Simples Standart e Duas Resiste a Umidade (2ST/90/2RU)</v>
      </c>
      <c r="D1042" s="175" t="s">
        <v>600</v>
      </c>
      <c r="E1042" s="176" t="str">
        <f>_xlfn.XLOOKUP(D1042,Insumos!$B$1:$B$764,Insumos!$C$1:$C$764)</f>
        <v>KG</v>
      </c>
      <c r="F1042" s="179">
        <v>1.0978000000000001</v>
      </c>
      <c r="G1042" s="177">
        <f>IF(B1042="insumo",_xlfn.XLOOKUP($D1042,Insumos!$B$1:$B$764,Insumos!$D$1:$D$764),"")</f>
        <v>3.43</v>
      </c>
      <c r="H1042" s="177" cm="1">
        <f t="array" ref="H1042">_xlfn.IFS(B1042="Serviço",SUMIFS(H1043:$H$3085,C1043:$C$3085,$C1042),B1042="Insumo",F1042*G1042,B1042="Etapa","")</f>
        <v>3.7654540000000005</v>
      </c>
      <c r="I1042" s="178"/>
    </row>
    <row r="1043" spans="1:9" hidden="1" outlineLevel="2" x14ac:dyDescent="0.25">
      <c r="A1043" s="175">
        <f t="shared" si="34"/>
        <v>27</v>
      </c>
      <c r="B1043" s="175" t="s">
        <v>327</v>
      </c>
      <c r="C1043" s="175" t="str">
        <f t="shared" si="33"/>
        <v>Parede Com Sistema Em Chapas De Gesso Para Drywall, Uso Interno, Montante 90mm, Com Duas Face Simples Standart e Duas Resiste a Umidade (2ST/90/2RU)</v>
      </c>
      <c r="D1043" s="175" t="s">
        <v>601</v>
      </c>
      <c r="E1043" s="176" t="str">
        <f>_xlfn.XLOOKUP(D1043,Insumos!$B$1:$B$764,Insumos!$C$1:$C$764)</f>
        <v>M</v>
      </c>
      <c r="F1043" s="179">
        <v>2.5026999999999999</v>
      </c>
      <c r="G1043" s="177">
        <f>IF(B1043="insumo",_xlfn.XLOOKUP($D1043,Insumos!$B$1:$B$764,Insumos!$D$1:$D$764),"")</f>
        <v>0.31</v>
      </c>
      <c r="H1043" s="177" cm="1">
        <f t="array" ref="H1043">_xlfn.IFS(B1043="Serviço",SUMIFS(H1044:$H$3085,C1044:$C$3085,$C1043),B1043="Insumo",F1043*G1043,B1043="Etapa","")</f>
        <v>0.775837</v>
      </c>
      <c r="I1043" s="178"/>
    </row>
    <row r="1044" spans="1:9" hidden="1" outlineLevel="2" x14ac:dyDescent="0.25">
      <c r="A1044" s="175">
        <f t="shared" si="34"/>
        <v>27</v>
      </c>
      <c r="B1044" s="175" t="s">
        <v>327</v>
      </c>
      <c r="C1044" s="175" t="str">
        <f t="shared" si="33"/>
        <v>Parede Com Sistema Em Chapas De Gesso Para Drywall, Uso Interno, Montante 90mm, Com Duas Face Simples Standart e Duas Resiste a Umidade (2ST/90/2RU)</v>
      </c>
      <c r="D1044" s="175" t="s">
        <v>602</v>
      </c>
      <c r="E1044" s="176" t="str">
        <f>_xlfn.XLOOKUP(D1044,Insumos!$B$1:$B$764,Insumos!$C$1:$C$764)</f>
        <v>M</v>
      </c>
      <c r="F1044" s="179">
        <v>1.4815</v>
      </c>
      <c r="G1044" s="177">
        <f>IF(B1044="insumo",_xlfn.XLOOKUP($D1044,Insumos!$B$1:$B$764,Insumos!$D$1:$D$764),"")</f>
        <v>2.74</v>
      </c>
      <c r="H1044" s="177" cm="1">
        <f t="array" ref="H1044">_xlfn.IFS(B1044="Serviço",SUMIFS(H1045:$H$3085,C1045:$C$3085,$C1044),B1044="Insumo",F1044*G1044,B1044="Etapa","")</f>
        <v>4.0593100000000009</v>
      </c>
      <c r="I1044" s="178"/>
    </row>
    <row r="1045" spans="1:9" hidden="1" outlineLevel="2" x14ac:dyDescent="0.25">
      <c r="A1045" s="175">
        <f t="shared" si="34"/>
        <v>28</v>
      </c>
      <c r="B1045" s="175" t="s">
        <v>327</v>
      </c>
      <c r="C1045" s="175" t="str">
        <f t="shared" si="33"/>
        <v>Parede Com Sistema Em Chapas De Gesso Para Drywall, Uso Interno, Montante 90mm, Com Duas Face Simples Standart e Duas Resiste a Umidade (2ST/90/2RU)</v>
      </c>
      <c r="D1045" s="175" t="s">
        <v>603</v>
      </c>
      <c r="E1045" s="176" t="str">
        <f>_xlfn.XLOOKUP(D1045,Insumos!$B$1:$B$764,Insumos!$C$1:$C$764)</f>
        <v>UN</v>
      </c>
      <c r="F1045" s="179">
        <v>20.186800000000002</v>
      </c>
      <c r="G1045" s="177">
        <f>IF(B1045="insumo",_xlfn.XLOOKUP($D1045,Insumos!$B$1:$B$764,Insumos!$D$1:$D$764),"")</f>
        <v>0.09</v>
      </c>
      <c r="H1045" s="177" cm="1">
        <f t="array" ref="H1045">_xlfn.IFS(B1045="Serviço",SUMIFS(H1046:$H$3085,C1046:$C$3085,$C1045),B1045="Insumo",F1045*G1045,B1045="Etapa","")</f>
        <v>1.8168120000000001</v>
      </c>
      <c r="I1045" s="178"/>
    </row>
    <row r="1046" spans="1:9" hidden="1" outlineLevel="2" x14ac:dyDescent="0.25">
      <c r="A1046" s="175">
        <f t="shared" si="34"/>
        <v>28</v>
      </c>
      <c r="B1046" s="175" t="s">
        <v>327</v>
      </c>
      <c r="C1046" s="175" t="str">
        <f t="shared" si="33"/>
        <v>Parede Com Sistema Em Chapas De Gesso Para Drywall, Uso Interno, Montante 90mm, Com Duas Face Simples Standart e Duas Resiste a Umidade (2ST/90/2RU)</v>
      </c>
      <c r="D1046" s="175" t="s">
        <v>604</v>
      </c>
      <c r="E1046" s="176" t="str">
        <f>_xlfn.XLOOKUP(D1046,Insumos!$B$1:$B$764,Insumos!$C$1:$C$764)</f>
        <v>UN</v>
      </c>
      <c r="F1046" s="179">
        <v>0.4803</v>
      </c>
      <c r="G1046" s="177">
        <f>IF(B1046="insumo",_xlfn.XLOOKUP($D1046,Insumos!$B$1:$B$764,Insumos!$D$1:$D$764),"")</f>
        <v>0.2</v>
      </c>
      <c r="H1046" s="177" cm="1">
        <f t="array" ref="H1046">_xlfn.IFS(B1046="Serviço",SUMIFS(H1047:$H$3085,C1047:$C$3085,$C1046),B1046="Insumo",F1046*G1046,B1046="Etapa","")</f>
        <v>9.6060000000000006E-2</v>
      </c>
      <c r="I1046" s="178"/>
    </row>
    <row r="1047" spans="1:9" outlineLevel="1" collapsed="1" x14ac:dyDescent="0.25">
      <c r="A1047" s="175">
        <f t="shared" si="34"/>
        <v>1</v>
      </c>
      <c r="B1047" s="175" t="s">
        <v>109</v>
      </c>
      <c r="C1047" s="175" t="str">
        <f t="shared" si="33"/>
        <v>Parede Com Sistema Em Chapas De Gesso Para Drywall, Uso Interno, Montante 90mm, Com Uma Face Simples Standart e Uma Resiste a Umidade (ST/90/RU)</v>
      </c>
      <c r="D1047" s="175" t="s">
        <v>2388</v>
      </c>
      <c r="E1047" s="176" t="s">
        <v>13</v>
      </c>
      <c r="F1047" s="175"/>
      <c r="G1047" s="177" t="str">
        <f>IF(B1047="insumo",_xlfn.XLOOKUP($D1047,Insumos!$B$1:$B$764,Insumos!$D$1:$D$764),"")</f>
        <v/>
      </c>
      <c r="H1047" s="177" cm="1">
        <f t="array" ref="H1047">_xlfn.IFS(B1047="Serviço",SUMIFS(H1048:$H$3085,C1048:$C$3085,$C1047),B1047="Insumo",F1047*G1047,B1047="Etapa","")</f>
        <v>310.90074724999994</v>
      </c>
      <c r="I1047" s="178" t="s">
        <v>195</v>
      </c>
    </row>
    <row r="1048" spans="1:9" hidden="1" outlineLevel="2" x14ac:dyDescent="0.25">
      <c r="A1048" s="175">
        <f t="shared" si="34"/>
        <v>24</v>
      </c>
      <c r="B1048" s="175" t="s">
        <v>327</v>
      </c>
      <c r="C1048" s="175" t="str">
        <f t="shared" si="33"/>
        <v>Parede Com Sistema Em Chapas De Gesso Para Drywall, Uso Interno, Montante 90mm, Com Uma Face Simples Standart e Uma Resiste a Umidade (ST/90/RU)</v>
      </c>
      <c r="D1048" s="175" t="s">
        <v>595</v>
      </c>
      <c r="E1048" s="176" t="str">
        <f>_xlfn.XLOOKUP(D1048,Insumos!$B$1:$B$764,Insumos!$C$1:$C$764)</f>
        <v>M2</v>
      </c>
      <c r="F1048" s="179">
        <v>1</v>
      </c>
      <c r="G1048" s="177">
        <f>IF(B1048="insumo",_xlfn.XLOOKUP($D1048,Insumos!$B$1:$B$764,Insumos!$D$1:$D$764),"")</f>
        <v>70</v>
      </c>
      <c r="H1048" s="177" cm="1">
        <f t="array" ref="H1048">_xlfn.IFS(B1048="Serviço",SUMIFS(H1049:$H$3085,C1049:$C$3085,$C1048),B1048="Insumo",F1048*G1048,B1048="Etapa","")</f>
        <v>70</v>
      </c>
      <c r="I1048" s="178"/>
    </row>
    <row r="1049" spans="1:9" hidden="1" outlineLevel="2" x14ac:dyDescent="0.25">
      <c r="A1049" s="175">
        <f t="shared" si="34"/>
        <v>14</v>
      </c>
      <c r="B1049" s="175" t="s">
        <v>327</v>
      </c>
      <c r="C1049" s="175" t="str">
        <f t="shared" si="33"/>
        <v>Parede Com Sistema Em Chapas De Gesso Para Drywall, Uso Interno, Montante 90mm, Com Uma Face Simples Standart e Uma Resiste a Umidade (ST/90/RU)</v>
      </c>
      <c r="D1049" s="175" t="s">
        <v>596</v>
      </c>
      <c r="E1049" s="176" t="str">
        <f>_xlfn.XLOOKUP(D1049,Insumos!$B$1:$B$764,Insumos!$C$1:$C$764)</f>
        <v>M2</v>
      </c>
      <c r="F1049" s="179">
        <v>1.0529999999999999</v>
      </c>
      <c r="G1049" s="177">
        <f>IF(B1049="insumo",_xlfn.XLOOKUP($D1049,Insumos!$B$1:$B$764,Insumos!$D$1:$D$764),"")</f>
        <v>18.40625</v>
      </c>
      <c r="H1049" s="177" cm="1">
        <f t="array" ref="H1049">_xlfn.IFS(B1049="Serviço",SUMIFS(H1050:$H$3085,C1050:$C$3085,$C1049),B1049="Insumo",F1049*G1049,B1049="Etapa","")</f>
        <v>19.38178125</v>
      </c>
      <c r="I1049" s="178"/>
    </row>
    <row r="1050" spans="1:9" hidden="1" outlineLevel="2" x14ac:dyDescent="0.25">
      <c r="A1050" s="175">
        <f t="shared" si="34"/>
        <v>2</v>
      </c>
      <c r="B1050" s="175" t="s">
        <v>327</v>
      </c>
      <c r="C1050" s="175" t="str">
        <f t="shared" si="33"/>
        <v>Parede Com Sistema Em Chapas De Gesso Para Drywall, Uso Interno, Montante 90mm, Com Uma Face Simples Standart e Uma Resiste a Umidade (ST/90/RU)</v>
      </c>
      <c r="D1050" s="427" t="s">
        <v>2424</v>
      </c>
      <c r="E1050" s="428" t="s">
        <v>13</v>
      </c>
      <c r="F1050" s="429">
        <v>1.0529999999999999</v>
      </c>
      <c r="G1050" s="430">
        <v>69.400000000000006</v>
      </c>
      <c r="H1050" s="177" cm="1">
        <f t="array" ref="H1050">_xlfn.IFS(B1050="Serviço",SUMIFS(H1051:$H$3085,C1051:$C$3085,$C1050),B1050="Insumo",F1050*G1050,B1050="Etapa","")</f>
        <v>73.078199999999995</v>
      </c>
      <c r="I1050" s="431" t="s">
        <v>2425</v>
      </c>
    </row>
    <row r="1051" spans="1:9" hidden="1" outlineLevel="2" x14ac:dyDescent="0.25">
      <c r="A1051" s="175">
        <f t="shared" si="34"/>
        <v>30</v>
      </c>
      <c r="B1051" s="175" t="s">
        <v>327</v>
      </c>
      <c r="C1051" s="175" t="str">
        <f t="shared" si="33"/>
        <v>Parede Com Sistema Em Chapas De Gesso Para Drywall, Uso Interno, Montante 90mm, Com Uma Face Simples Standart e Uma Resiste a Umidade (ST/90/RU)</v>
      </c>
      <c r="D1051" s="175" t="s">
        <v>597</v>
      </c>
      <c r="E1051" s="176" t="str">
        <f>_xlfn.XLOOKUP(D1051,Insumos!$B$1:$B$764,Insumos!$C$1:$C$764)</f>
        <v>UN</v>
      </c>
      <c r="F1051" s="179">
        <v>5.92</v>
      </c>
      <c r="G1051" s="177">
        <f>IF(B1051="insumo",_xlfn.XLOOKUP($D1051,Insumos!$B$1:$B$764,Insumos!$D$1:$D$764),"")</f>
        <v>0.504</v>
      </c>
      <c r="H1051" s="177" cm="1">
        <f t="array" ref="H1051">_xlfn.IFS(B1051="Serviço",SUMIFS(H1052:$H$3085,C1052:$C$3085,$C1051),B1051="Insumo",F1051*G1051,B1051="Etapa","")</f>
        <v>2.9836800000000001</v>
      </c>
      <c r="I1051" s="178"/>
    </row>
    <row r="1052" spans="1:9" hidden="1" outlineLevel="2" x14ac:dyDescent="0.25">
      <c r="A1052" s="175">
        <f t="shared" si="34"/>
        <v>9</v>
      </c>
      <c r="B1052" s="175" t="s">
        <v>327</v>
      </c>
      <c r="C1052" s="175" t="str">
        <f t="shared" si="33"/>
        <v>Parede Com Sistema Em Chapas De Gesso Para Drywall, Uso Interno, Montante 90mm, Com Uma Face Simples Standart e Uma Resiste a Umidade (ST/90/RU)</v>
      </c>
      <c r="D1052" s="175" t="s">
        <v>606</v>
      </c>
      <c r="E1052" s="176" t="str">
        <f>_xlfn.XLOOKUP(D1052,Insumos!$B$1:$B$764,Insumos!$C$1:$C$764)</f>
        <v>M</v>
      </c>
      <c r="F1052" s="179">
        <v>1.5247999999999999</v>
      </c>
      <c r="G1052" s="177">
        <f>IF(B1052="insumo",_xlfn.XLOOKUP($D1052,Insumos!$B$1:$B$764,Insumos!$D$1:$D$764),"")</f>
        <v>16.8</v>
      </c>
      <c r="H1052" s="177" cm="1">
        <f t="array" ref="H1052">_xlfn.IFS(B1052="Serviço",SUMIFS(H1053:$H$3085,C1053:$C$3085,$C1052),B1052="Insumo",F1052*G1052,B1052="Etapa","")</f>
        <v>25.61664</v>
      </c>
      <c r="I1052" s="178"/>
    </row>
    <row r="1053" spans="1:9" hidden="1" outlineLevel="2" x14ac:dyDescent="0.25">
      <c r="A1053" s="175">
        <f t="shared" si="34"/>
        <v>9</v>
      </c>
      <c r="B1053" s="175" t="s">
        <v>327</v>
      </c>
      <c r="C1053" s="175" t="str">
        <f t="shared" si="33"/>
        <v>Parede Com Sistema Em Chapas De Gesso Para Drywall, Uso Interno, Montante 90mm, Com Uma Face Simples Standart e Uma Resiste a Umidade (ST/90/RU)</v>
      </c>
      <c r="D1053" s="175" t="s">
        <v>607</v>
      </c>
      <c r="E1053" s="176" t="str">
        <f>_xlfn.XLOOKUP(D1053,Insumos!$B$1:$B$764,Insumos!$C$1:$C$764)</f>
        <v>M</v>
      </c>
      <c r="F1053" s="179">
        <v>4.0011000000000001</v>
      </c>
      <c r="G1053" s="177">
        <f>IF(B1053="insumo",_xlfn.XLOOKUP($D1053,Insumos!$B$1:$B$764,Insumos!$D$1:$D$764),"")</f>
        <v>18.09</v>
      </c>
      <c r="H1053" s="177" cm="1">
        <f t="array" ref="H1053">_xlfn.IFS(B1053="Serviço",SUMIFS(H1054:$H$3085,C1054:$C$3085,$C1053),B1053="Insumo",F1053*G1053,B1053="Etapa","")</f>
        <v>72.379898999999995</v>
      </c>
      <c r="I1053" s="178"/>
    </row>
    <row r="1054" spans="1:9" hidden="1" outlineLevel="2" x14ac:dyDescent="0.25">
      <c r="A1054" s="175">
        <f t="shared" si="34"/>
        <v>2</v>
      </c>
      <c r="B1054" s="175" t="s">
        <v>327</v>
      </c>
      <c r="C1054" s="175" t="str">
        <f t="shared" ref="C1054:C1117" si="35">IF(B1054="serviço",D1054,C1053)</f>
        <v>Parede Com Sistema Em Chapas De Gesso Para Drywall, Uso Interno, Montante 90mm, Com Uma Face Simples Standart e Uma Resiste a Umidade (ST/90/RU)</v>
      </c>
      <c r="D1054" s="427" t="s">
        <v>2428</v>
      </c>
      <c r="E1054" s="428" t="s">
        <v>13</v>
      </c>
      <c r="F1054" s="429">
        <v>1.0529999999999999</v>
      </c>
      <c r="G1054" s="430">
        <v>18.600000000000001</v>
      </c>
      <c r="H1054" s="177" cm="1">
        <f t="array" ref="H1054">_xlfn.IFS(B1054="Serviço",SUMIFS(H1055:$H$3085,C1055:$C$3085,$C1054),B1054="Insumo",F1054*G1054,B1054="Etapa","")</f>
        <v>19.585799999999999</v>
      </c>
      <c r="I1054" s="178"/>
    </row>
    <row r="1055" spans="1:9" hidden="1" outlineLevel="2" x14ac:dyDescent="0.25">
      <c r="A1055" s="175">
        <f t="shared" si="34"/>
        <v>2</v>
      </c>
      <c r="B1055" s="175" t="s">
        <v>327</v>
      </c>
      <c r="C1055" s="175" t="str">
        <f t="shared" si="35"/>
        <v>Parede Com Sistema Em Chapas De Gesso Para Drywall, Uso Interno, Montante 90mm, Com Uma Face Simples Standart e Uma Resiste a Umidade (ST/90/RU)</v>
      </c>
      <c r="D1055" s="427" t="s">
        <v>2427</v>
      </c>
      <c r="E1055" s="428" t="s">
        <v>13</v>
      </c>
      <c r="F1055" s="429">
        <v>1.0529999999999999</v>
      </c>
      <c r="G1055" s="430">
        <v>15.25</v>
      </c>
      <c r="H1055" s="177" cm="1">
        <f t="array" ref="H1055">_xlfn.IFS(B1055="Serviço",SUMIFS(H1056:$H$3085,C1056:$C$3085,$C1055),B1055="Insumo",F1055*G1055,B1055="Etapa","")</f>
        <v>16.058249999999997</v>
      </c>
      <c r="I1055" s="178"/>
    </row>
    <row r="1056" spans="1:9" hidden="1" outlineLevel="2" x14ac:dyDescent="0.25">
      <c r="A1056" s="175">
        <f t="shared" si="34"/>
        <v>2</v>
      </c>
      <c r="B1056" s="175" t="s">
        <v>327</v>
      </c>
      <c r="C1056" s="175" t="str">
        <f t="shared" si="35"/>
        <v>Parede Com Sistema Em Chapas De Gesso Para Drywall, Uso Interno, Montante 90mm, Com Uma Face Simples Standart e Uma Resiste a Umidade (ST/90/RU)</v>
      </c>
      <c r="D1056" s="427" t="s">
        <v>2426</v>
      </c>
      <c r="E1056" s="428" t="s">
        <v>428</v>
      </c>
      <c r="F1056" s="429">
        <f>4/25</f>
        <v>0.16</v>
      </c>
      <c r="G1056" s="430">
        <v>6.29</v>
      </c>
      <c r="H1056" s="177" cm="1">
        <f t="array" ref="H1056">_xlfn.IFS(B1056="Serviço",SUMIFS(H1057:$H$3085,C1057:$C$3085,$C1056),B1056="Insumo",F1056*G1056,B1056="Etapa","")</f>
        <v>1.0064</v>
      </c>
      <c r="I1056" s="178"/>
    </row>
    <row r="1057" spans="1:9" hidden="1" outlineLevel="2" x14ac:dyDescent="0.25">
      <c r="A1057" s="175">
        <f t="shared" si="34"/>
        <v>28</v>
      </c>
      <c r="B1057" s="175" t="s">
        <v>327</v>
      </c>
      <c r="C1057" s="175" t="str">
        <f t="shared" si="35"/>
        <v>Parede Com Sistema Em Chapas De Gesso Para Drywall, Uso Interno, Montante 90mm, Com Uma Face Simples Standart e Uma Resiste a Umidade (ST/90/RU)</v>
      </c>
      <c r="D1057" s="175" t="s">
        <v>600</v>
      </c>
      <c r="E1057" s="176" t="str">
        <f>_xlfn.XLOOKUP(D1057,Insumos!$B$1:$B$764,Insumos!$C$1:$C$764)</f>
        <v>KG</v>
      </c>
      <c r="F1057" s="179">
        <v>1.0978000000000001</v>
      </c>
      <c r="G1057" s="177">
        <f>IF(B1057="insumo",_xlfn.XLOOKUP($D1057,Insumos!$B$1:$B$764,Insumos!$D$1:$D$764),"")</f>
        <v>3.43</v>
      </c>
      <c r="H1057" s="177" cm="1">
        <f t="array" ref="H1057">_xlfn.IFS(B1057="Serviço",SUMIFS(H1058:$H$3085,C1058:$C$3085,$C1057),B1057="Insumo",F1057*G1057,B1057="Etapa","")</f>
        <v>3.7654540000000005</v>
      </c>
      <c r="I1057" s="178"/>
    </row>
    <row r="1058" spans="1:9" hidden="1" outlineLevel="2" x14ac:dyDescent="0.25">
      <c r="A1058" s="175">
        <f t="shared" si="34"/>
        <v>27</v>
      </c>
      <c r="B1058" s="175" t="s">
        <v>327</v>
      </c>
      <c r="C1058" s="175" t="str">
        <f t="shared" si="35"/>
        <v>Parede Com Sistema Em Chapas De Gesso Para Drywall, Uso Interno, Montante 90mm, Com Uma Face Simples Standart e Uma Resiste a Umidade (ST/90/RU)</v>
      </c>
      <c r="D1058" s="175" t="s">
        <v>601</v>
      </c>
      <c r="E1058" s="176" t="str">
        <f>_xlfn.XLOOKUP(D1058,Insumos!$B$1:$B$764,Insumos!$C$1:$C$764)</f>
        <v>M</v>
      </c>
      <c r="F1058" s="179">
        <v>2.5026999999999999</v>
      </c>
      <c r="G1058" s="177">
        <f>IF(B1058="insumo",_xlfn.XLOOKUP($D1058,Insumos!$B$1:$B$764,Insumos!$D$1:$D$764),"")</f>
        <v>0.31</v>
      </c>
      <c r="H1058" s="177" cm="1">
        <f t="array" ref="H1058">_xlfn.IFS(B1058="Serviço",SUMIFS(H1059:$H$3085,C1059:$C$3085,$C1058),B1058="Insumo",F1058*G1058,B1058="Etapa","")</f>
        <v>0.775837</v>
      </c>
      <c r="I1058" s="178"/>
    </row>
    <row r="1059" spans="1:9" hidden="1" outlineLevel="2" x14ac:dyDescent="0.25">
      <c r="A1059" s="175">
        <f t="shared" si="34"/>
        <v>27</v>
      </c>
      <c r="B1059" s="175" t="s">
        <v>327</v>
      </c>
      <c r="C1059" s="175" t="str">
        <f t="shared" si="35"/>
        <v>Parede Com Sistema Em Chapas De Gesso Para Drywall, Uso Interno, Montante 90mm, Com Uma Face Simples Standart e Uma Resiste a Umidade (ST/90/RU)</v>
      </c>
      <c r="D1059" s="175" t="s">
        <v>602</v>
      </c>
      <c r="E1059" s="176" t="str">
        <f>_xlfn.XLOOKUP(D1059,Insumos!$B$1:$B$764,Insumos!$C$1:$C$764)</f>
        <v>M</v>
      </c>
      <c r="F1059" s="179">
        <v>1.5851</v>
      </c>
      <c r="G1059" s="177">
        <f>IF(B1059="insumo",_xlfn.XLOOKUP($D1059,Insumos!$B$1:$B$764,Insumos!$D$1:$D$764),"")</f>
        <v>2.74</v>
      </c>
      <c r="H1059" s="177" cm="1">
        <f t="array" ref="H1059">_xlfn.IFS(B1059="Serviço",SUMIFS(H1060:$H$3085,C1060:$C$3085,$C1059),B1059="Insumo",F1059*G1059,B1059="Etapa","")</f>
        <v>4.3431740000000003</v>
      </c>
      <c r="I1059" s="178"/>
    </row>
    <row r="1060" spans="1:9" hidden="1" outlineLevel="2" x14ac:dyDescent="0.25">
      <c r="A1060" s="175">
        <f t="shared" si="34"/>
        <v>28</v>
      </c>
      <c r="B1060" s="175" t="s">
        <v>327</v>
      </c>
      <c r="C1060" s="175" t="str">
        <f t="shared" si="35"/>
        <v>Parede Com Sistema Em Chapas De Gesso Para Drywall, Uso Interno, Montante 90mm, Com Uma Face Simples Standart e Uma Resiste a Umidade (ST/90/RU)</v>
      </c>
      <c r="D1060" s="175" t="s">
        <v>603</v>
      </c>
      <c r="E1060" s="176" t="str">
        <f>_xlfn.XLOOKUP(D1060,Insumos!$B$1:$B$764,Insumos!$C$1:$C$764)</f>
        <v>UN</v>
      </c>
      <c r="F1060" s="179">
        <v>20.186800000000002</v>
      </c>
      <c r="G1060" s="177">
        <f>IF(B1060="insumo",_xlfn.XLOOKUP($D1060,Insumos!$B$1:$B$764,Insumos!$D$1:$D$764),"")</f>
        <v>0.09</v>
      </c>
      <c r="H1060" s="177" cm="1">
        <f t="array" ref="H1060">_xlfn.IFS(B1060="Serviço",SUMIFS(H1061:$H$3085,C1061:$C$3085,$C1060),B1060="Insumo",F1060*G1060,B1060="Etapa","")</f>
        <v>1.8168120000000001</v>
      </c>
      <c r="I1060" s="178"/>
    </row>
    <row r="1061" spans="1:9" hidden="1" outlineLevel="2" x14ac:dyDescent="0.25">
      <c r="A1061" s="175">
        <f t="shared" si="34"/>
        <v>28</v>
      </c>
      <c r="B1061" s="175" t="s">
        <v>327</v>
      </c>
      <c r="C1061" s="175" t="str">
        <f t="shared" si="35"/>
        <v>Parede Com Sistema Em Chapas De Gesso Para Drywall, Uso Interno, Montante 90mm, Com Uma Face Simples Standart e Uma Resiste a Umidade (ST/90/RU)</v>
      </c>
      <c r="D1061" s="175" t="s">
        <v>604</v>
      </c>
      <c r="E1061" s="176" t="str">
        <f>_xlfn.XLOOKUP(D1061,Insumos!$B$1:$B$764,Insumos!$C$1:$C$764)</f>
        <v>UN</v>
      </c>
      <c r="F1061" s="179">
        <v>0.54410000000000003</v>
      </c>
      <c r="G1061" s="177">
        <f>IF(B1061="insumo",_xlfn.XLOOKUP($D1061,Insumos!$B$1:$B$764,Insumos!$D$1:$D$764),"")</f>
        <v>0.2</v>
      </c>
      <c r="H1061" s="177" cm="1">
        <f t="array" ref="H1061">_xlfn.IFS(B1061="Serviço",SUMIFS(H1062:$H$3085,C1062:$C$3085,$C1061),B1061="Insumo",F1061*G1061,B1061="Etapa","")</f>
        <v>0.10882000000000001</v>
      </c>
      <c r="I1061" s="178"/>
    </row>
    <row r="1062" spans="1:9" outlineLevel="1" collapsed="1" x14ac:dyDescent="0.25">
      <c r="A1062" s="175">
        <f t="shared" si="34"/>
        <v>1</v>
      </c>
      <c r="B1062" s="175" t="s">
        <v>109</v>
      </c>
      <c r="C1062" s="175" t="str">
        <f t="shared" si="35"/>
        <v>Perfil Steelframe, Montante 50mm - Um lado</v>
      </c>
      <c r="D1062" s="175" t="s">
        <v>2829</v>
      </c>
      <c r="E1062" s="176" t="s">
        <v>13</v>
      </c>
      <c r="F1062" s="175"/>
      <c r="G1062" s="177" t="str">
        <f>IF(B1062="insumo",_xlfn.XLOOKUP($D1062,Insumos!$B$1:$B$764,Insumos!$D$1:$D$764),"")</f>
        <v/>
      </c>
      <c r="H1062" s="177" cm="1">
        <f t="array" ref="H1062">_xlfn.IFS(B1062="Serviço",SUMIFS(H1063:$H$3085,C1063:$C$3085,$C1062),B1062="Insumo",F1062*G1062,B1062="Etapa","")</f>
        <v>23.578845999999999</v>
      </c>
      <c r="I1062" s="178" t="s">
        <v>195</v>
      </c>
    </row>
    <row r="1063" spans="1:9" hidden="1" outlineLevel="2" x14ac:dyDescent="0.25">
      <c r="A1063" s="175">
        <f t="shared" si="34"/>
        <v>30</v>
      </c>
      <c r="B1063" s="175" t="s">
        <v>327</v>
      </c>
      <c r="C1063" s="175" t="str">
        <f t="shared" si="35"/>
        <v>Perfil Steelframe, Montante 50mm - Um lado</v>
      </c>
      <c r="D1063" s="175" t="s">
        <v>597</v>
      </c>
      <c r="E1063" s="176" t="str">
        <f>_xlfn.XLOOKUP(D1063,Insumos!$B$1:$B$764,Insumos!$C$1:$C$764)</f>
        <v>UN</v>
      </c>
      <c r="F1063" s="179">
        <v>2.48</v>
      </c>
      <c r="G1063" s="177">
        <f>IF(B1063="insumo",_xlfn.XLOOKUP($D1063,Insumos!$B$1:$B$764,Insumos!$D$1:$D$764),"")</f>
        <v>0.504</v>
      </c>
      <c r="H1063" s="177" cm="1">
        <f t="array" ref="H1063">_xlfn.IFS(B1063="Serviço",SUMIFS(H1064:$H$3085,C1064:$C$3085,$C1063),B1063="Insumo",F1063*G1063,B1063="Etapa","")</f>
        <v>1.2499199999999999</v>
      </c>
      <c r="I1063" s="178"/>
    </row>
    <row r="1064" spans="1:9" hidden="1" outlineLevel="2" x14ac:dyDescent="0.25">
      <c r="A1064" s="175">
        <f t="shared" si="34"/>
        <v>8</v>
      </c>
      <c r="B1064" s="175" t="s">
        <v>327</v>
      </c>
      <c r="C1064" s="175" t="str">
        <f t="shared" si="35"/>
        <v>Perfil Steelframe, Montante 50mm - Um lado</v>
      </c>
      <c r="D1064" s="175" t="s">
        <v>598</v>
      </c>
      <c r="E1064" s="176" t="str">
        <f>_xlfn.XLOOKUP(D1064,Insumos!$B$1:$B$764,Insumos!$C$1:$C$764)</f>
        <v>M</v>
      </c>
      <c r="F1064" s="179">
        <v>0.76239999999999997</v>
      </c>
      <c r="G1064" s="177">
        <f>IF(B1064="insumo",_xlfn.XLOOKUP($D1064,Insumos!$B$1:$B$764,Insumos!$D$1:$D$764),"")</f>
        <v>7.03</v>
      </c>
      <c r="H1064" s="177" cm="1">
        <f t="array" ref="H1064">_xlfn.IFS(B1064="Serviço",SUMIFS(H1065:$H$3085,C1065:$C$3085,$C1064),B1064="Insumo",F1064*G1064,B1064="Etapa","")</f>
        <v>5.3596719999999998</v>
      </c>
      <c r="I1064" s="178"/>
    </row>
    <row r="1065" spans="1:9" hidden="1" outlineLevel="2" x14ac:dyDescent="0.25">
      <c r="A1065" s="175">
        <f t="shared" si="34"/>
        <v>8</v>
      </c>
      <c r="B1065" s="175" t="s">
        <v>327</v>
      </c>
      <c r="C1065" s="175" t="str">
        <f t="shared" si="35"/>
        <v>Perfil Steelframe, Montante 50mm - Um lado</v>
      </c>
      <c r="D1065" s="175" t="s">
        <v>599</v>
      </c>
      <c r="E1065" s="176" t="str">
        <f>_xlfn.XLOOKUP(D1065,Insumos!$B$1:$B$764,Insumos!$C$1:$C$764)</f>
        <v>M</v>
      </c>
      <c r="F1065" s="179">
        <v>2.0005999999999999</v>
      </c>
      <c r="G1065" s="177">
        <f>IF(B1065="insumo",_xlfn.XLOOKUP($D1065,Insumos!$B$1:$B$764,Insumos!$D$1:$D$764),"")</f>
        <v>7.98</v>
      </c>
      <c r="H1065" s="177" cm="1">
        <f t="array" ref="H1065">_xlfn.IFS(B1065="Serviço",SUMIFS(H1066:$H$3085,C1066:$C$3085,$C1065),B1065="Insumo",F1065*G1065,B1065="Etapa","")</f>
        <v>15.964788</v>
      </c>
      <c r="I1065" s="178"/>
    </row>
    <row r="1066" spans="1:9" hidden="1" outlineLevel="2" x14ac:dyDescent="0.25">
      <c r="A1066" s="175">
        <f t="shared" si="34"/>
        <v>28</v>
      </c>
      <c r="B1066" s="175" t="s">
        <v>327</v>
      </c>
      <c r="C1066" s="175" t="str">
        <f t="shared" si="35"/>
        <v>Perfil Steelframe, Montante 50mm - Um lado</v>
      </c>
      <c r="D1066" s="175" t="s">
        <v>603</v>
      </c>
      <c r="E1066" s="176" t="str">
        <f>_xlfn.XLOOKUP(D1066,Insumos!$B$1:$B$764,Insumos!$C$1:$C$764)</f>
        <v>UN</v>
      </c>
      <c r="F1066" s="179">
        <v>10.093400000000001</v>
      </c>
      <c r="G1066" s="177">
        <f>IF(B1066="insumo",_xlfn.XLOOKUP($D1066,Insumos!$B$1:$B$764,Insumos!$D$1:$D$764),"")</f>
        <v>0.09</v>
      </c>
      <c r="H1066" s="177" cm="1">
        <f t="array" ref="H1066">_xlfn.IFS(B1066="Serviço",SUMIFS(H1067:$H$3085,C1067:$C$3085,$C1066),B1066="Insumo",F1066*G1066,B1066="Etapa","")</f>
        <v>0.90840600000000005</v>
      </c>
      <c r="I1066" s="178"/>
    </row>
    <row r="1067" spans="1:9" hidden="1" outlineLevel="2" x14ac:dyDescent="0.25">
      <c r="A1067" s="175">
        <f t="shared" si="34"/>
        <v>28</v>
      </c>
      <c r="B1067" s="175" t="s">
        <v>327</v>
      </c>
      <c r="C1067" s="175" t="str">
        <f t="shared" si="35"/>
        <v>Perfil Steelframe, Montante 50mm - Um lado</v>
      </c>
      <c r="D1067" s="175" t="s">
        <v>604</v>
      </c>
      <c r="E1067" s="176" t="str">
        <f>_xlfn.XLOOKUP(D1067,Insumos!$B$1:$B$764,Insumos!$C$1:$C$764)</f>
        <v>UN</v>
      </c>
      <c r="F1067" s="179">
        <v>0.4803</v>
      </c>
      <c r="G1067" s="177">
        <f>IF(B1067="insumo",_xlfn.XLOOKUP($D1067,Insumos!$B$1:$B$764,Insumos!$D$1:$D$764),"")</f>
        <v>0.2</v>
      </c>
      <c r="H1067" s="177" cm="1">
        <f t="array" ref="H1067">_xlfn.IFS(B1067="Serviço",SUMIFS(H1068:$H$3085,C1068:$C$3085,$C1067),B1067="Insumo",F1067*G1067,B1067="Etapa","")</f>
        <v>9.6060000000000006E-2</v>
      </c>
      <c r="I1067" s="178"/>
    </row>
    <row r="1068" spans="1:9" outlineLevel="1" collapsed="1" x14ac:dyDescent="0.25">
      <c r="A1068" s="175">
        <f t="shared" si="34"/>
        <v>1</v>
      </c>
      <c r="B1068" s="175" t="s">
        <v>109</v>
      </c>
      <c r="C1068" s="175" t="str">
        <f t="shared" si="35"/>
        <v>Perfil Steelframe, Montante 70mm - Um lado</v>
      </c>
      <c r="D1068" s="175" t="s">
        <v>2830</v>
      </c>
      <c r="E1068" s="176" t="s">
        <v>13</v>
      </c>
      <c r="F1068" s="175"/>
      <c r="G1068" s="177" t="str">
        <f>IF(B1068="insumo",_xlfn.XLOOKUP($D1068,Insumos!$B$1:$B$764,Insumos!$D$1:$D$764),"")</f>
        <v/>
      </c>
      <c r="H1068" s="177" cm="1">
        <f t="array" ref="H1068">_xlfn.IFS(B1068="Serviço",SUMIFS(H1069:$H$3085,C1069:$C$3085,$C1068),B1068="Insumo",F1068*G1068,B1068="Etapa","")</f>
        <v>23.578845999999999</v>
      </c>
      <c r="I1068" s="178" t="s">
        <v>195</v>
      </c>
    </row>
    <row r="1069" spans="1:9" hidden="1" outlineLevel="2" x14ac:dyDescent="0.25">
      <c r="A1069" s="175">
        <f t="shared" si="34"/>
        <v>30</v>
      </c>
      <c r="B1069" s="175" t="s">
        <v>327</v>
      </c>
      <c r="C1069" s="175" t="str">
        <f t="shared" si="35"/>
        <v>Perfil Steelframe, Montante 70mm - Um lado</v>
      </c>
      <c r="D1069" s="175" t="s">
        <v>597</v>
      </c>
      <c r="E1069" s="176" t="str">
        <f>_xlfn.XLOOKUP(D1069,Insumos!$B$1:$B$764,Insumos!$C$1:$C$764)</f>
        <v>UN</v>
      </c>
      <c r="F1069" s="179">
        <v>2.48</v>
      </c>
      <c r="G1069" s="177">
        <f>IF(B1069="insumo",_xlfn.XLOOKUP($D1069,Insumos!$B$1:$B$764,Insumos!$D$1:$D$764),"")</f>
        <v>0.504</v>
      </c>
      <c r="H1069" s="177" cm="1">
        <f t="array" ref="H1069">_xlfn.IFS(B1069="Serviço",SUMIFS(H1070:$H$3085,C1070:$C$3085,$C1069),B1069="Insumo",F1069*G1069,B1069="Etapa","")</f>
        <v>1.2499199999999999</v>
      </c>
      <c r="I1069" s="178"/>
    </row>
    <row r="1070" spans="1:9" hidden="1" outlineLevel="2" x14ac:dyDescent="0.25">
      <c r="A1070" s="175">
        <f t="shared" si="34"/>
        <v>11</v>
      </c>
      <c r="B1070" s="175" t="s">
        <v>327</v>
      </c>
      <c r="C1070" s="175" t="str">
        <f t="shared" si="35"/>
        <v>Perfil Steelframe, Montante 70mm - Um lado</v>
      </c>
      <c r="D1070" s="175" t="s">
        <v>609</v>
      </c>
      <c r="E1070" s="176" t="str">
        <f>_xlfn.XLOOKUP(D1070,Insumos!$B$1:$B$764,Insumos!$C$1:$C$764)</f>
        <v>M</v>
      </c>
      <c r="F1070" s="179">
        <v>0.76239999999999997</v>
      </c>
      <c r="G1070" s="177">
        <f>IF(B1070="insumo",_xlfn.XLOOKUP($D1070,Insumos!$B$1:$B$764,Insumos!$D$1:$D$764),"")</f>
        <v>7.03</v>
      </c>
      <c r="H1070" s="177" cm="1">
        <f t="array" ref="H1070">_xlfn.IFS(B1070="Serviço",SUMIFS(H1071:$H$3085,C1071:$C$3085,$C1070),B1070="Insumo",F1070*G1070,B1070="Etapa","")</f>
        <v>5.3596719999999998</v>
      </c>
      <c r="I1070" s="178"/>
    </row>
    <row r="1071" spans="1:9" hidden="1" outlineLevel="2" x14ac:dyDescent="0.25">
      <c r="A1071" s="175">
        <f t="shared" si="34"/>
        <v>11</v>
      </c>
      <c r="B1071" s="175" t="s">
        <v>327</v>
      </c>
      <c r="C1071" s="175" t="str">
        <f t="shared" si="35"/>
        <v>Perfil Steelframe, Montante 70mm - Um lado</v>
      </c>
      <c r="D1071" s="175" t="s">
        <v>610</v>
      </c>
      <c r="E1071" s="176" t="str">
        <f>_xlfn.XLOOKUP(D1071,Insumos!$B$1:$B$764,Insumos!$C$1:$C$764)</f>
        <v>M</v>
      </c>
      <c r="F1071" s="179">
        <v>2.0005999999999999</v>
      </c>
      <c r="G1071" s="177">
        <f>IF(B1071="insumo",_xlfn.XLOOKUP($D1071,Insumos!$B$1:$B$764,Insumos!$D$1:$D$764),"")</f>
        <v>7.98</v>
      </c>
      <c r="H1071" s="177" cm="1">
        <f t="array" ref="H1071">_xlfn.IFS(B1071="Serviço",SUMIFS(H1072:$H$3085,C1072:$C$3085,$C1071),B1071="Insumo",F1071*G1071,B1071="Etapa","")</f>
        <v>15.964788</v>
      </c>
      <c r="I1071" s="178"/>
    </row>
    <row r="1072" spans="1:9" hidden="1" outlineLevel="2" x14ac:dyDescent="0.25">
      <c r="A1072" s="175">
        <f t="shared" si="34"/>
        <v>28</v>
      </c>
      <c r="B1072" s="175" t="s">
        <v>327</v>
      </c>
      <c r="C1072" s="175" t="str">
        <f t="shared" si="35"/>
        <v>Perfil Steelframe, Montante 70mm - Um lado</v>
      </c>
      <c r="D1072" s="175" t="s">
        <v>603</v>
      </c>
      <c r="E1072" s="176" t="str">
        <f>_xlfn.XLOOKUP(D1072,Insumos!$B$1:$B$764,Insumos!$C$1:$C$764)</f>
        <v>UN</v>
      </c>
      <c r="F1072" s="179">
        <v>10.093400000000001</v>
      </c>
      <c r="G1072" s="177">
        <f>IF(B1072="insumo",_xlfn.XLOOKUP($D1072,Insumos!$B$1:$B$764,Insumos!$D$1:$D$764),"")</f>
        <v>0.09</v>
      </c>
      <c r="H1072" s="177" cm="1">
        <f t="array" ref="H1072">_xlfn.IFS(B1072="Serviço",SUMIFS(H1073:$H$3085,C1073:$C$3085,$C1072),B1072="Insumo",F1072*G1072,B1072="Etapa","")</f>
        <v>0.90840600000000005</v>
      </c>
      <c r="I1072" s="178"/>
    </row>
    <row r="1073" spans="1:9" hidden="1" outlineLevel="2" x14ac:dyDescent="0.25">
      <c r="A1073" s="175">
        <f t="shared" si="34"/>
        <v>28</v>
      </c>
      <c r="B1073" s="175" t="s">
        <v>327</v>
      </c>
      <c r="C1073" s="175" t="str">
        <f t="shared" si="35"/>
        <v>Perfil Steelframe, Montante 70mm - Um lado</v>
      </c>
      <c r="D1073" s="175" t="s">
        <v>604</v>
      </c>
      <c r="E1073" s="176" t="str">
        <f>_xlfn.XLOOKUP(D1073,Insumos!$B$1:$B$764,Insumos!$C$1:$C$764)</f>
        <v>UN</v>
      </c>
      <c r="F1073" s="179">
        <v>0.4803</v>
      </c>
      <c r="G1073" s="177">
        <f>IF(B1073="insumo",_xlfn.XLOOKUP($D1073,Insumos!$B$1:$B$764,Insumos!$D$1:$D$764),"")</f>
        <v>0.2</v>
      </c>
      <c r="H1073" s="177" cm="1">
        <f t="array" ref="H1073">_xlfn.IFS(B1073="Serviço",SUMIFS(H1074:$H$3085,C1074:$C$3085,$C1073),B1073="Insumo",F1073*G1073,B1073="Etapa","")</f>
        <v>9.6060000000000006E-2</v>
      </c>
      <c r="I1073" s="178"/>
    </row>
    <row r="1074" spans="1:9" outlineLevel="1" collapsed="1" x14ac:dyDescent="0.25">
      <c r="A1074" s="175">
        <f t="shared" si="34"/>
        <v>1</v>
      </c>
      <c r="B1074" s="175" t="s">
        <v>109</v>
      </c>
      <c r="C1074" s="175" t="str">
        <f t="shared" si="35"/>
        <v>Perfil Steelframe, Montante 90mm - Um lado</v>
      </c>
      <c r="D1074" s="175" t="s">
        <v>2831</v>
      </c>
      <c r="E1074" s="176" t="s">
        <v>13</v>
      </c>
      <c r="F1074" s="175"/>
      <c r="G1074" s="177" t="str">
        <f>IF(B1074="insumo",_xlfn.XLOOKUP($D1074,Insumos!$B$1:$B$764,Insumos!$D$1:$D$764),"")</f>
        <v/>
      </c>
      <c r="H1074" s="177" cm="1">
        <f t="array" ref="H1074">_xlfn.IFS(B1074="Serviço",SUMIFS(H1075:$H$3085,C1075:$C$3085,$C1074),B1074="Insumo",F1074*G1074,B1074="Etapa","")</f>
        <v>51.25356</v>
      </c>
      <c r="I1074" s="178" t="s">
        <v>195</v>
      </c>
    </row>
    <row r="1075" spans="1:9" hidden="1" outlineLevel="2" x14ac:dyDescent="0.25">
      <c r="A1075" s="175">
        <f t="shared" si="34"/>
        <v>30</v>
      </c>
      <c r="B1075" s="175" t="s">
        <v>327</v>
      </c>
      <c r="C1075" s="175" t="str">
        <f t="shared" si="35"/>
        <v>Perfil Steelframe, Montante 90mm - Um lado</v>
      </c>
      <c r="D1075" s="175" t="s">
        <v>597</v>
      </c>
      <c r="E1075" s="176" t="str">
        <f>_xlfn.XLOOKUP(D1075,Insumos!$B$1:$B$764,Insumos!$C$1:$C$764)</f>
        <v>UN</v>
      </c>
      <c r="F1075" s="179">
        <v>2.48</v>
      </c>
      <c r="G1075" s="177">
        <f>IF(B1075="insumo",_xlfn.XLOOKUP($D1075,Insumos!$B$1:$B$764,Insumos!$D$1:$D$764),"")</f>
        <v>0.504</v>
      </c>
      <c r="H1075" s="177" cm="1">
        <f t="array" ref="H1075">_xlfn.IFS(B1075="Serviço",SUMIFS(H1076:$H$3085,C1076:$C$3085,$C1075),B1075="Insumo",F1075*G1075,B1075="Etapa","")</f>
        <v>1.2499199999999999</v>
      </c>
      <c r="I1075" s="178"/>
    </row>
    <row r="1076" spans="1:9" hidden="1" outlineLevel="2" x14ac:dyDescent="0.25">
      <c r="A1076" s="175">
        <f t="shared" si="34"/>
        <v>9</v>
      </c>
      <c r="B1076" s="175" t="s">
        <v>327</v>
      </c>
      <c r="C1076" s="175" t="str">
        <f t="shared" si="35"/>
        <v>Perfil Steelframe, Montante 90mm - Um lado</v>
      </c>
      <c r="D1076" s="175" t="s">
        <v>606</v>
      </c>
      <c r="E1076" s="176" t="str">
        <f>_xlfn.XLOOKUP(D1076,Insumos!$B$1:$B$764,Insumos!$C$1:$C$764)</f>
        <v>M</v>
      </c>
      <c r="F1076" s="179">
        <v>0.76239999999999997</v>
      </c>
      <c r="G1076" s="177">
        <f>IF(B1076="insumo",_xlfn.XLOOKUP($D1076,Insumos!$B$1:$B$764,Insumos!$D$1:$D$764),"")</f>
        <v>16.8</v>
      </c>
      <c r="H1076" s="177" cm="1">
        <f t="array" ref="H1076">_xlfn.IFS(B1076="Serviço",SUMIFS(H1077:$H$3085,C1077:$C$3085,$C1076),B1076="Insumo",F1076*G1076,B1076="Etapa","")</f>
        <v>12.80832</v>
      </c>
      <c r="I1076" s="178"/>
    </row>
    <row r="1077" spans="1:9" hidden="1" outlineLevel="2" x14ac:dyDescent="0.25">
      <c r="A1077" s="175">
        <f t="shared" si="34"/>
        <v>9</v>
      </c>
      <c r="B1077" s="175" t="s">
        <v>327</v>
      </c>
      <c r="C1077" s="175" t="str">
        <f t="shared" si="35"/>
        <v>Perfil Steelframe, Montante 90mm - Um lado</v>
      </c>
      <c r="D1077" s="175" t="s">
        <v>607</v>
      </c>
      <c r="E1077" s="176" t="str">
        <f>_xlfn.XLOOKUP(D1077,Insumos!$B$1:$B$764,Insumos!$C$1:$C$764)</f>
        <v>M</v>
      </c>
      <c r="F1077" s="179">
        <v>2.0005999999999999</v>
      </c>
      <c r="G1077" s="177">
        <f>IF(B1077="insumo",_xlfn.XLOOKUP($D1077,Insumos!$B$1:$B$764,Insumos!$D$1:$D$764),"")</f>
        <v>18.09</v>
      </c>
      <c r="H1077" s="177" cm="1">
        <f t="array" ref="H1077">_xlfn.IFS(B1077="Serviço",SUMIFS(H1078:$H$3085,C1078:$C$3085,$C1077),B1077="Insumo",F1077*G1077,B1077="Etapa","")</f>
        <v>36.190854000000002</v>
      </c>
      <c r="I1077" s="178"/>
    </row>
    <row r="1078" spans="1:9" hidden="1" outlineLevel="2" x14ac:dyDescent="0.25">
      <c r="A1078" s="175">
        <f t="shared" si="34"/>
        <v>28</v>
      </c>
      <c r="B1078" s="175" t="s">
        <v>327</v>
      </c>
      <c r="C1078" s="175" t="str">
        <f t="shared" si="35"/>
        <v>Perfil Steelframe, Montante 90mm - Um lado</v>
      </c>
      <c r="D1078" s="175" t="s">
        <v>603</v>
      </c>
      <c r="E1078" s="176" t="str">
        <f>_xlfn.XLOOKUP(D1078,Insumos!$B$1:$B$764,Insumos!$C$1:$C$764)</f>
        <v>UN</v>
      </c>
      <c r="F1078" s="179">
        <v>10.093400000000001</v>
      </c>
      <c r="G1078" s="177">
        <f>IF(B1078="insumo",_xlfn.XLOOKUP($D1078,Insumos!$B$1:$B$764,Insumos!$D$1:$D$764),"")</f>
        <v>0.09</v>
      </c>
      <c r="H1078" s="177" cm="1">
        <f t="array" ref="H1078">_xlfn.IFS(B1078="Serviço",SUMIFS(H1079:$H$3085,C1079:$C$3085,$C1078),B1078="Insumo",F1078*G1078,B1078="Etapa","")</f>
        <v>0.90840600000000005</v>
      </c>
      <c r="I1078" s="178"/>
    </row>
    <row r="1079" spans="1:9" hidden="1" outlineLevel="2" x14ac:dyDescent="0.25">
      <c r="A1079" s="175">
        <f t="shared" si="34"/>
        <v>28</v>
      </c>
      <c r="B1079" s="175" t="s">
        <v>327</v>
      </c>
      <c r="C1079" s="175" t="str">
        <f t="shared" si="35"/>
        <v>Perfil Steelframe, Montante 90mm - Um lado</v>
      </c>
      <c r="D1079" s="175" t="s">
        <v>604</v>
      </c>
      <c r="E1079" s="176" t="str">
        <f>_xlfn.XLOOKUP(D1079,Insumos!$B$1:$B$764,Insumos!$C$1:$C$764)</f>
        <v>UN</v>
      </c>
      <c r="F1079" s="179">
        <v>0.4803</v>
      </c>
      <c r="G1079" s="177">
        <f>IF(B1079="insumo",_xlfn.XLOOKUP($D1079,Insumos!$B$1:$B$764,Insumos!$D$1:$D$764),"")</f>
        <v>0.2</v>
      </c>
      <c r="H1079" s="177" cm="1">
        <f t="array" ref="H1079">_xlfn.IFS(B1079="Serviço",SUMIFS(H1080:$H$3085,C1080:$C$3085,$C1079),B1079="Insumo",F1079*G1079,B1079="Etapa","")</f>
        <v>9.6060000000000006E-2</v>
      </c>
      <c r="I1079" s="178"/>
    </row>
    <row r="1080" spans="1:9" outlineLevel="1" collapsed="1" x14ac:dyDescent="0.25">
      <c r="A1080" s="175">
        <f t="shared" si="34"/>
        <v>1</v>
      </c>
      <c r="B1080" s="175" t="s">
        <v>109</v>
      </c>
      <c r="C1080" s="175" t="str">
        <f t="shared" si="35"/>
        <v>Parede Com Sistema Em Chapas De Gesso Para Drywall, Uso Interno, Montante 70mm, Com Duas Face Simples Standart e isolamento com Lâ de Vidro (ST/70/ST)</v>
      </c>
      <c r="D1080" s="175" t="s">
        <v>608</v>
      </c>
      <c r="E1080" s="176" t="s">
        <v>13</v>
      </c>
      <c r="F1080" s="175"/>
      <c r="G1080" s="177" t="str">
        <f>IF(B1080="insumo",_xlfn.XLOOKUP($D1080,Insumos!$B$1:$B$764,Insumos!$D$1:$D$764),"")</f>
        <v/>
      </c>
      <c r="H1080" s="177" cm="1">
        <f t="array" ref="H1080">_xlfn.IFS(B1080="Serviço",SUMIFS(H1081:$H$3085,C1081:$C$3085,$C1080),B1080="Insumo",F1080*G1080,B1080="Etapa","")</f>
        <v>178.53149083333335</v>
      </c>
      <c r="I1080" s="178" t="s">
        <v>195</v>
      </c>
    </row>
    <row r="1081" spans="1:9" hidden="1" outlineLevel="2" x14ac:dyDescent="0.25">
      <c r="A1081" s="175">
        <f t="shared" si="34"/>
        <v>24</v>
      </c>
      <c r="B1081" s="175" t="s">
        <v>327</v>
      </c>
      <c r="C1081" s="175" t="str">
        <f t="shared" si="35"/>
        <v>Parede Com Sistema Em Chapas De Gesso Para Drywall, Uso Interno, Montante 70mm, Com Duas Face Simples Standart e isolamento com Lâ de Vidro (ST/70/ST)</v>
      </c>
      <c r="D1081" s="175" t="s">
        <v>595</v>
      </c>
      <c r="E1081" s="176" t="str">
        <f>_xlfn.XLOOKUP(D1081,Insumos!$B$1:$B$764,Insumos!$C$1:$C$764)</f>
        <v>M2</v>
      </c>
      <c r="F1081" s="179">
        <v>1</v>
      </c>
      <c r="G1081" s="177">
        <f>IF(B1081="insumo",_xlfn.XLOOKUP($D1081,Insumos!$B$1:$B$764,Insumos!$D$1:$D$764),"")</f>
        <v>70</v>
      </c>
      <c r="H1081" s="177" cm="1">
        <f t="array" ref="H1081">_xlfn.IFS(B1081="Serviço",SUMIFS(H1082:$H$3085,C1082:$C$3085,$C1081),B1081="Insumo",F1081*G1081,B1081="Etapa","")</f>
        <v>70</v>
      </c>
      <c r="I1081" s="178"/>
    </row>
    <row r="1082" spans="1:9" hidden="1" outlineLevel="2" x14ac:dyDescent="0.25">
      <c r="A1082" s="175">
        <f t="shared" si="34"/>
        <v>14</v>
      </c>
      <c r="B1082" s="175" t="s">
        <v>327</v>
      </c>
      <c r="C1082" s="175" t="str">
        <f t="shared" si="35"/>
        <v>Parede Com Sistema Em Chapas De Gesso Para Drywall, Uso Interno, Montante 70mm, Com Duas Face Simples Standart e isolamento com Lâ de Vidro (ST/70/ST)</v>
      </c>
      <c r="D1082" s="175" t="s">
        <v>596</v>
      </c>
      <c r="E1082" s="176" t="str">
        <f>_xlfn.XLOOKUP(D1082,Insumos!$B$1:$B$764,Insumos!$C$1:$C$764)</f>
        <v>M2</v>
      </c>
      <c r="F1082" s="179">
        <v>2.1059999999999999</v>
      </c>
      <c r="G1082" s="177">
        <f>IF(B1082="insumo",_xlfn.XLOOKUP($D1082,Insumos!$B$1:$B$764,Insumos!$D$1:$D$764),"")</f>
        <v>18.40625</v>
      </c>
      <c r="H1082" s="177" cm="1">
        <f t="array" ref="H1082">_xlfn.IFS(B1082="Serviço",SUMIFS(H1083:$H$3085,C1083:$C$3085,$C1082),B1082="Insumo",F1082*G1082,B1082="Etapa","")</f>
        <v>38.763562499999999</v>
      </c>
      <c r="I1082" s="178"/>
    </row>
    <row r="1083" spans="1:9" hidden="1" outlineLevel="2" x14ac:dyDescent="0.25">
      <c r="A1083" s="175">
        <f t="shared" si="34"/>
        <v>30</v>
      </c>
      <c r="B1083" s="175" t="s">
        <v>327</v>
      </c>
      <c r="C1083" s="175" t="str">
        <f t="shared" si="35"/>
        <v>Parede Com Sistema Em Chapas De Gesso Para Drywall, Uso Interno, Montante 70mm, Com Duas Face Simples Standart e isolamento com Lâ de Vidro (ST/70/ST)</v>
      </c>
      <c r="D1083" s="175" t="s">
        <v>597</v>
      </c>
      <c r="E1083" s="176" t="str">
        <f>_xlfn.XLOOKUP(D1083,Insumos!$B$1:$B$764,Insumos!$C$1:$C$764)</f>
        <v>UN</v>
      </c>
      <c r="F1083" s="179">
        <v>4.95</v>
      </c>
      <c r="G1083" s="177">
        <f>IF(B1083="insumo",_xlfn.XLOOKUP($D1083,Insumos!$B$1:$B$764,Insumos!$D$1:$D$764),"")</f>
        <v>0.504</v>
      </c>
      <c r="H1083" s="177" cm="1">
        <f t="array" ref="H1083">_xlfn.IFS(B1083="Serviço",SUMIFS(H1084:$H$3085,C1084:$C$3085,$C1083),B1083="Insumo",F1083*G1083,B1083="Etapa","")</f>
        <v>2.4948000000000001</v>
      </c>
      <c r="I1083" s="178"/>
    </row>
    <row r="1084" spans="1:9" hidden="1" outlineLevel="2" x14ac:dyDescent="0.25">
      <c r="A1084" s="175">
        <f t="shared" si="34"/>
        <v>11</v>
      </c>
      <c r="B1084" s="175" t="s">
        <v>327</v>
      </c>
      <c r="C1084" s="175" t="str">
        <f t="shared" si="35"/>
        <v>Parede Com Sistema Em Chapas De Gesso Para Drywall, Uso Interno, Montante 70mm, Com Duas Face Simples Standart e isolamento com Lâ de Vidro (ST/70/ST)</v>
      </c>
      <c r="D1084" s="175" t="s">
        <v>609</v>
      </c>
      <c r="E1084" s="176" t="str">
        <f>_xlfn.XLOOKUP(D1084,Insumos!$B$1:$B$764,Insumos!$C$1:$C$764)</f>
        <v>M</v>
      </c>
      <c r="F1084" s="179">
        <v>1.5247999999999999</v>
      </c>
      <c r="G1084" s="177">
        <f>IF(B1084="insumo",_xlfn.XLOOKUP($D1084,Insumos!$B$1:$B$764,Insumos!$D$1:$D$764),"")</f>
        <v>7.03</v>
      </c>
      <c r="H1084" s="177" cm="1">
        <f t="array" ref="H1084">_xlfn.IFS(B1084="Serviço",SUMIFS(H1085:$H$3085,C1085:$C$3085,$C1084),B1084="Insumo",F1084*G1084,B1084="Etapa","")</f>
        <v>10.719344</v>
      </c>
      <c r="I1084" s="178"/>
    </row>
    <row r="1085" spans="1:9" hidden="1" outlineLevel="2" x14ac:dyDescent="0.25">
      <c r="A1085" s="175">
        <f t="shared" si="34"/>
        <v>11</v>
      </c>
      <c r="B1085" s="175" t="s">
        <v>327</v>
      </c>
      <c r="C1085" s="175" t="str">
        <f t="shared" si="35"/>
        <v>Parede Com Sistema Em Chapas De Gesso Para Drywall, Uso Interno, Montante 70mm, Com Duas Face Simples Standart e isolamento com Lâ de Vidro (ST/70/ST)</v>
      </c>
      <c r="D1085" s="175" t="s">
        <v>610</v>
      </c>
      <c r="E1085" s="176" t="str">
        <f>_xlfn.XLOOKUP(D1085,Insumos!$B$1:$B$764,Insumos!$C$1:$C$764)</f>
        <v>M</v>
      </c>
      <c r="F1085" s="179">
        <v>4.0011000000000001</v>
      </c>
      <c r="G1085" s="177">
        <f>IF(B1085="insumo",_xlfn.XLOOKUP($D1085,Insumos!$B$1:$B$764,Insumos!$D$1:$D$764),"")</f>
        <v>7.98</v>
      </c>
      <c r="H1085" s="177" cm="1">
        <f t="array" ref="H1085">_xlfn.IFS(B1085="Serviço",SUMIFS(H1086:$H$3085,C1086:$C$3085,$C1085),B1085="Insumo",F1085*G1085,B1085="Etapa","")</f>
        <v>31.928778000000001</v>
      </c>
      <c r="I1085" s="178"/>
    </row>
    <row r="1086" spans="1:9" hidden="1" outlineLevel="2" x14ac:dyDescent="0.25">
      <c r="A1086" s="175">
        <f t="shared" si="34"/>
        <v>28</v>
      </c>
      <c r="B1086" s="175" t="s">
        <v>327</v>
      </c>
      <c r="C1086" s="175" t="str">
        <f t="shared" si="35"/>
        <v>Parede Com Sistema Em Chapas De Gesso Para Drywall, Uso Interno, Montante 70mm, Com Duas Face Simples Standart e isolamento com Lâ de Vidro (ST/70/ST)</v>
      </c>
      <c r="D1086" s="175" t="s">
        <v>600</v>
      </c>
      <c r="E1086" s="176" t="str">
        <f>_xlfn.XLOOKUP(D1086,Insumos!$B$1:$B$764,Insumos!$C$1:$C$764)</f>
        <v>KG</v>
      </c>
      <c r="F1086" s="179">
        <v>1.0978000000000001</v>
      </c>
      <c r="G1086" s="177">
        <f>IF(B1086="insumo",_xlfn.XLOOKUP($D1086,Insumos!$B$1:$B$764,Insumos!$D$1:$D$764),"")</f>
        <v>3.43</v>
      </c>
      <c r="H1086" s="177" cm="1">
        <f t="array" ref="H1086">_xlfn.IFS(B1086="Serviço",SUMIFS(H1087:$H$3085,C1087:$C$3085,$C1086),B1086="Insumo",F1086*G1086,B1086="Etapa","")</f>
        <v>3.7654540000000005</v>
      </c>
      <c r="I1086" s="178"/>
    </row>
    <row r="1087" spans="1:9" hidden="1" outlineLevel="2" x14ac:dyDescent="0.25">
      <c r="A1087" s="175">
        <f t="shared" si="34"/>
        <v>27</v>
      </c>
      <c r="B1087" s="175" t="s">
        <v>327</v>
      </c>
      <c r="C1087" s="175" t="str">
        <f t="shared" si="35"/>
        <v>Parede Com Sistema Em Chapas De Gesso Para Drywall, Uso Interno, Montante 70mm, Com Duas Face Simples Standart e isolamento com Lâ de Vidro (ST/70/ST)</v>
      </c>
      <c r="D1087" s="175" t="s">
        <v>601</v>
      </c>
      <c r="E1087" s="176" t="str">
        <f>_xlfn.XLOOKUP(D1087,Insumos!$B$1:$B$764,Insumos!$C$1:$C$764)</f>
        <v>M</v>
      </c>
      <c r="F1087" s="179">
        <v>2.5026999999999999</v>
      </c>
      <c r="G1087" s="177">
        <f>IF(B1087="insumo",_xlfn.XLOOKUP($D1087,Insumos!$B$1:$B$764,Insumos!$D$1:$D$764),"")</f>
        <v>0.31</v>
      </c>
      <c r="H1087" s="177" cm="1">
        <f t="array" ref="H1087">_xlfn.IFS(B1087="Serviço",SUMIFS(H1088:$H$3085,C1088:$C$3085,$C1087),B1087="Insumo",F1087*G1087,B1087="Etapa","")</f>
        <v>0.775837</v>
      </c>
      <c r="I1087" s="178"/>
    </row>
    <row r="1088" spans="1:9" hidden="1" outlineLevel="2" x14ac:dyDescent="0.25">
      <c r="A1088" s="175">
        <f t="shared" si="34"/>
        <v>27</v>
      </c>
      <c r="B1088" s="175" t="s">
        <v>327</v>
      </c>
      <c r="C1088" s="175" t="str">
        <f t="shared" si="35"/>
        <v>Parede Com Sistema Em Chapas De Gesso Para Drywall, Uso Interno, Montante 70mm, Com Duas Face Simples Standart e isolamento com Lâ de Vidro (ST/70/ST)</v>
      </c>
      <c r="D1088" s="175" t="s">
        <v>602</v>
      </c>
      <c r="E1088" s="176" t="str">
        <f>_xlfn.XLOOKUP(D1088,Insumos!$B$1:$B$764,Insumos!$C$1:$C$764)</f>
        <v>M</v>
      </c>
      <c r="F1088" s="179">
        <v>1.4815</v>
      </c>
      <c r="G1088" s="177">
        <f>IF(B1088="insumo",_xlfn.XLOOKUP($D1088,Insumos!$B$1:$B$764,Insumos!$D$1:$D$764),"")</f>
        <v>2.74</v>
      </c>
      <c r="H1088" s="177" cm="1">
        <f t="array" ref="H1088">_xlfn.IFS(B1088="Serviço",SUMIFS(H1089:$H$3085,C1089:$C$3085,$C1088),B1088="Insumo",F1088*G1088,B1088="Etapa","")</f>
        <v>4.0593100000000009</v>
      </c>
      <c r="I1088" s="178"/>
    </row>
    <row r="1089" spans="1:9" hidden="1" outlineLevel="2" x14ac:dyDescent="0.25">
      <c r="A1089" s="175">
        <f t="shared" si="34"/>
        <v>28</v>
      </c>
      <c r="B1089" s="175" t="s">
        <v>327</v>
      </c>
      <c r="C1089" s="175" t="str">
        <f t="shared" si="35"/>
        <v>Parede Com Sistema Em Chapas De Gesso Para Drywall, Uso Interno, Montante 70mm, Com Duas Face Simples Standart e isolamento com Lâ de Vidro (ST/70/ST)</v>
      </c>
      <c r="D1089" s="175" t="s">
        <v>603</v>
      </c>
      <c r="E1089" s="176" t="str">
        <f>_xlfn.XLOOKUP(D1089,Insumos!$B$1:$B$764,Insumos!$C$1:$C$764)</f>
        <v>UN</v>
      </c>
      <c r="F1089" s="179">
        <v>20.186800000000002</v>
      </c>
      <c r="G1089" s="177">
        <f>IF(B1089="insumo",_xlfn.XLOOKUP($D1089,Insumos!$B$1:$B$764,Insumos!$D$1:$D$764),"")</f>
        <v>0.09</v>
      </c>
      <c r="H1089" s="177" cm="1">
        <f t="array" ref="H1089">_xlfn.IFS(B1089="Serviço",SUMIFS(H1090:$H$3085,C1090:$C$3085,$C1089),B1089="Insumo",F1089*G1089,B1089="Etapa","")</f>
        <v>1.8168120000000001</v>
      </c>
      <c r="I1089" s="178"/>
    </row>
    <row r="1090" spans="1:9" hidden="1" outlineLevel="2" x14ac:dyDescent="0.25">
      <c r="A1090" s="175">
        <f t="shared" ref="A1090:A1153" si="36">COUNTIFS($D$2:$D$3085,D1090,$B$2:$B$3085,B1090)</f>
        <v>28</v>
      </c>
      <c r="B1090" s="175" t="s">
        <v>327</v>
      </c>
      <c r="C1090" s="175" t="str">
        <f t="shared" si="35"/>
        <v>Parede Com Sistema Em Chapas De Gesso Para Drywall, Uso Interno, Montante 70mm, Com Duas Face Simples Standart e isolamento com Lâ de Vidro (ST/70/ST)</v>
      </c>
      <c r="D1090" s="175" t="s">
        <v>604</v>
      </c>
      <c r="E1090" s="176" t="str">
        <f>_xlfn.XLOOKUP(D1090,Insumos!$B$1:$B$764,Insumos!$C$1:$C$764)</f>
        <v>UN</v>
      </c>
      <c r="F1090" s="179">
        <v>0.4803</v>
      </c>
      <c r="G1090" s="177">
        <f>IF(B1090="insumo",_xlfn.XLOOKUP($D1090,Insumos!$B$1:$B$764,Insumos!$D$1:$D$764),"")</f>
        <v>0.2</v>
      </c>
      <c r="H1090" s="177" cm="1">
        <f t="array" ref="H1090">_xlfn.IFS(B1090="Serviço",SUMIFS(H1091:$H$3085,C1091:$C$3085,$C1090),B1090="Insumo",F1090*G1090,B1090="Etapa","")</f>
        <v>9.6060000000000006E-2</v>
      </c>
      <c r="I1090" s="178"/>
    </row>
    <row r="1091" spans="1:9" hidden="1" outlineLevel="2" x14ac:dyDescent="0.25">
      <c r="A1091" s="175">
        <f t="shared" si="36"/>
        <v>9</v>
      </c>
      <c r="B1091" s="175" t="s">
        <v>327</v>
      </c>
      <c r="C1091" s="175" t="str">
        <f t="shared" si="35"/>
        <v>Parede Com Sistema Em Chapas De Gesso Para Drywall, Uso Interno, Montante 70mm, Com Duas Face Simples Standart e isolamento com Lâ de Vidro (ST/70/ST)</v>
      </c>
      <c r="D1091" s="175" t="s">
        <v>605</v>
      </c>
      <c r="E1091" s="176" t="str">
        <f>_xlfn.XLOOKUP(D1091,Insumos!$B$1:$B$764,Insumos!$C$1:$C$764)</f>
        <v>M2</v>
      </c>
      <c r="F1091" s="179">
        <v>1.1000000000000001</v>
      </c>
      <c r="G1091" s="177">
        <f>IF(B1091="insumo",_xlfn.XLOOKUP($D1091,Insumos!$B$1:$B$764,Insumos!$D$1:$D$764),"")</f>
        <v>12.828666666666667</v>
      </c>
      <c r="H1091" s="177" cm="1">
        <f t="array" ref="H1091">_xlfn.IFS(B1091="Serviço",SUMIFS(H1092:$H$3085,C1092:$C$3085,$C1091),B1091="Insumo",F1091*G1091,B1091="Etapa","")</f>
        <v>14.111533333333334</v>
      </c>
      <c r="I1091" s="178"/>
    </row>
    <row r="1092" spans="1:9" outlineLevel="1" collapsed="1" x14ac:dyDescent="0.25">
      <c r="A1092" s="175">
        <f t="shared" si="36"/>
        <v>1</v>
      </c>
      <c r="B1092" s="175" t="s">
        <v>109</v>
      </c>
      <c r="C1092" s="175" t="str">
        <f t="shared" si="35"/>
        <v>Fechamento de Shaft em Chapas De Gesso Para Drywall, Uso Interno, Montante 90mm, Com Duas Face Simples Resistente à Umidade e isolamento com Lâ de Vidro (RU/90/RU)</v>
      </c>
      <c r="D1092" s="175" t="s">
        <v>611</v>
      </c>
      <c r="E1092" s="176" t="s">
        <v>13</v>
      </c>
      <c r="F1092" s="175"/>
      <c r="G1092" s="177" t="str">
        <f>IF(B1092="insumo",_xlfn.XLOOKUP($D1092,Insumos!$B$1:$B$764,Insumos!$D$1:$D$764),"")</f>
        <v/>
      </c>
      <c r="H1092" s="177" cm="1">
        <f t="array" ref="H1092">_xlfn.IFS(B1092="Serviço",SUMIFS(H1093:$H$3085,C1093:$C$3085,$C1092),B1092="Insumo",F1092*G1092,B1092="Etapa","")</f>
        <v>256.59984533333329</v>
      </c>
      <c r="I1092" s="178" t="s">
        <v>195</v>
      </c>
    </row>
    <row r="1093" spans="1:9" hidden="1" outlineLevel="2" x14ac:dyDescent="0.25">
      <c r="A1093" s="175">
        <f t="shared" si="36"/>
        <v>24</v>
      </c>
      <c r="B1093" s="175" t="s">
        <v>327</v>
      </c>
      <c r="C1093" s="175" t="str">
        <f t="shared" si="35"/>
        <v>Fechamento de Shaft em Chapas De Gesso Para Drywall, Uso Interno, Montante 90mm, Com Duas Face Simples Resistente à Umidade e isolamento com Lâ de Vidro (RU/90/RU)</v>
      </c>
      <c r="D1093" s="175" t="s">
        <v>595</v>
      </c>
      <c r="E1093" s="176" t="str">
        <f>_xlfn.XLOOKUP(D1093,Insumos!$B$1:$B$764,Insumos!$C$1:$C$764)</f>
        <v>M2</v>
      </c>
      <c r="F1093" s="179">
        <v>1</v>
      </c>
      <c r="G1093" s="177">
        <f>IF(B1093="insumo",_xlfn.XLOOKUP($D1093,Insumos!$B$1:$B$764,Insumos!$D$1:$D$764),"")</f>
        <v>70</v>
      </c>
      <c r="H1093" s="177" cm="1">
        <f t="array" ref="H1093">_xlfn.IFS(B1093="Serviço",SUMIFS(H1094:$H$3085,C1094:$C$3085,$C1093),B1093="Insumo",F1093*G1093,B1093="Etapa","")</f>
        <v>70</v>
      </c>
      <c r="I1093" s="178"/>
    </row>
    <row r="1094" spans="1:9" hidden="1" outlineLevel="2" x14ac:dyDescent="0.25">
      <c r="A1094" s="175">
        <f t="shared" si="36"/>
        <v>16</v>
      </c>
      <c r="B1094" s="175" t="s">
        <v>327</v>
      </c>
      <c r="C1094" s="175" t="str">
        <f t="shared" si="35"/>
        <v>Fechamento de Shaft em Chapas De Gesso Para Drywall, Uso Interno, Montante 90mm, Com Duas Face Simples Resistente à Umidade e isolamento com Lâ de Vidro (RU/90/RU)</v>
      </c>
      <c r="D1094" s="175" t="s">
        <v>612</v>
      </c>
      <c r="E1094" s="176" t="str">
        <f>_xlfn.XLOOKUP(D1094,Insumos!$B$1:$B$764,Insumos!$C$1:$C$764)</f>
        <v>M2</v>
      </c>
      <c r="F1094" s="179">
        <v>2.1059999999999999</v>
      </c>
      <c r="G1094" s="177">
        <f>IF(B1094="insumo",_xlfn.XLOOKUP($D1094,Insumos!$B$1:$B$764,Insumos!$D$1:$D$764),"")</f>
        <v>29.194444444444446</v>
      </c>
      <c r="H1094" s="177" cm="1">
        <f t="array" ref="H1094">_xlfn.IFS(B1094="Serviço",SUMIFS(H1095:$H$3085,C1095:$C$3085,$C1094),B1094="Insumo",F1094*G1094,B1094="Etapa","")</f>
        <v>61.483499999999999</v>
      </c>
      <c r="I1094" s="178"/>
    </row>
    <row r="1095" spans="1:9" hidden="1" outlineLevel="2" x14ac:dyDescent="0.25">
      <c r="A1095" s="175">
        <f t="shared" si="36"/>
        <v>30</v>
      </c>
      <c r="B1095" s="175" t="s">
        <v>327</v>
      </c>
      <c r="C1095" s="175" t="str">
        <f t="shared" si="35"/>
        <v>Fechamento de Shaft em Chapas De Gesso Para Drywall, Uso Interno, Montante 90mm, Com Duas Face Simples Resistente à Umidade e isolamento com Lâ de Vidro (RU/90/RU)</v>
      </c>
      <c r="D1095" s="175" t="s">
        <v>597</v>
      </c>
      <c r="E1095" s="176" t="str">
        <f>_xlfn.XLOOKUP(D1095,Insumos!$B$1:$B$764,Insumos!$C$1:$C$764)</f>
        <v>UN</v>
      </c>
      <c r="F1095" s="179">
        <v>4.95</v>
      </c>
      <c r="G1095" s="177">
        <f>IF(B1095="insumo",_xlfn.XLOOKUP($D1095,Insumos!$B$1:$B$764,Insumos!$D$1:$D$764),"")</f>
        <v>0.504</v>
      </c>
      <c r="H1095" s="177" cm="1">
        <f t="array" ref="H1095">_xlfn.IFS(B1095="Serviço",SUMIFS(H1096:$H$3085,C1096:$C$3085,$C1095),B1095="Insumo",F1095*G1095,B1095="Etapa","")</f>
        <v>2.4948000000000001</v>
      </c>
      <c r="I1095" s="178"/>
    </row>
    <row r="1096" spans="1:9" hidden="1" outlineLevel="2" x14ac:dyDescent="0.25">
      <c r="A1096" s="175">
        <f t="shared" si="36"/>
        <v>9</v>
      </c>
      <c r="B1096" s="175" t="s">
        <v>327</v>
      </c>
      <c r="C1096" s="175" t="str">
        <f t="shared" si="35"/>
        <v>Fechamento de Shaft em Chapas De Gesso Para Drywall, Uso Interno, Montante 90mm, Com Duas Face Simples Resistente à Umidade e isolamento com Lâ de Vidro (RU/90/RU)</v>
      </c>
      <c r="D1096" s="175" t="s">
        <v>606</v>
      </c>
      <c r="E1096" s="176" t="str">
        <f>_xlfn.XLOOKUP(D1096,Insumos!$B$1:$B$764,Insumos!$C$1:$C$764)</f>
        <v>M</v>
      </c>
      <c r="F1096" s="179">
        <v>1.5247999999999999</v>
      </c>
      <c r="G1096" s="177">
        <f>IF(B1096="insumo",_xlfn.XLOOKUP($D1096,Insumos!$B$1:$B$764,Insumos!$D$1:$D$764),"")</f>
        <v>16.8</v>
      </c>
      <c r="H1096" s="177" cm="1">
        <f t="array" ref="H1096">_xlfn.IFS(B1096="Serviço",SUMIFS(H1097:$H$3085,C1097:$C$3085,$C1096),B1096="Insumo",F1096*G1096,B1096="Etapa","")</f>
        <v>25.61664</v>
      </c>
      <c r="I1096" s="178"/>
    </row>
    <row r="1097" spans="1:9" hidden="1" outlineLevel="2" x14ac:dyDescent="0.25">
      <c r="A1097" s="175">
        <f t="shared" si="36"/>
        <v>9</v>
      </c>
      <c r="B1097" s="175" t="s">
        <v>327</v>
      </c>
      <c r="C1097" s="175" t="str">
        <f t="shared" si="35"/>
        <v>Fechamento de Shaft em Chapas De Gesso Para Drywall, Uso Interno, Montante 90mm, Com Duas Face Simples Resistente à Umidade e isolamento com Lâ de Vidro (RU/90/RU)</v>
      </c>
      <c r="D1097" s="175" t="s">
        <v>607</v>
      </c>
      <c r="E1097" s="176" t="str">
        <f>_xlfn.XLOOKUP(D1097,Insumos!$B$1:$B$764,Insumos!$C$1:$C$764)</f>
        <v>M</v>
      </c>
      <c r="F1097" s="179">
        <v>4.0011000000000001</v>
      </c>
      <c r="G1097" s="177">
        <f>IF(B1097="insumo",_xlfn.XLOOKUP($D1097,Insumos!$B$1:$B$764,Insumos!$D$1:$D$764),"")</f>
        <v>18.09</v>
      </c>
      <c r="H1097" s="177" cm="1">
        <f t="array" ref="H1097">_xlfn.IFS(B1097="Serviço",SUMIFS(H1098:$H$3085,C1098:$C$3085,$C1097),B1097="Insumo",F1097*G1097,B1097="Etapa","")</f>
        <v>72.379898999999995</v>
      </c>
      <c r="I1097" s="178"/>
    </row>
    <row r="1098" spans="1:9" hidden="1" outlineLevel="2" x14ac:dyDescent="0.25">
      <c r="A1098" s="175">
        <f t="shared" si="36"/>
        <v>28</v>
      </c>
      <c r="B1098" s="175" t="s">
        <v>327</v>
      </c>
      <c r="C1098" s="175" t="str">
        <f t="shared" si="35"/>
        <v>Fechamento de Shaft em Chapas De Gesso Para Drywall, Uso Interno, Montante 90mm, Com Duas Face Simples Resistente à Umidade e isolamento com Lâ de Vidro (RU/90/RU)</v>
      </c>
      <c r="D1098" s="175" t="s">
        <v>600</v>
      </c>
      <c r="E1098" s="176" t="str">
        <f>_xlfn.XLOOKUP(D1098,Insumos!$B$1:$B$764,Insumos!$C$1:$C$764)</f>
        <v>KG</v>
      </c>
      <c r="F1098" s="179">
        <v>1.0978000000000001</v>
      </c>
      <c r="G1098" s="177">
        <f>IF(B1098="insumo",_xlfn.XLOOKUP($D1098,Insumos!$B$1:$B$764,Insumos!$D$1:$D$764),"")</f>
        <v>3.43</v>
      </c>
      <c r="H1098" s="177" cm="1">
        <f t="array" ref="H1098">_xlfn.IFS(B1098="Serviço",SUMIFS(H1099:$H$3085,C1099:$C$3085,$C1098),B1098="Insumo",F1098*G1098,B1098="Etapa","")</f>
        <v>3.7654540000000005</v>
      </c>
      <c r="I1098" s="178"/>
    </row>
    <row r="1099" spans="1:9" hidden="1" outlineLevel="2" x14ac:dyDescent="0.25">
      <c r="A1099" s="175">
        <f t="shared" si="36"/>
        <v>27</v>
      </c>
      <c r="B1099" s="175" t="s">
        <v>327</v>
      </c>
      <c r="C1099" s="175" t="str">
        <f t="shared" si="35"/>
        <v>Fechamento de Shaft em Chapas De Gesso Para Drywall, Uso Interno, Montante 90mm, Com Duas Face Simples Resistente à Umidade e isolamento com Lâ de Vidro (RU/90/RU)</v>
      </c>
      <c r="D1099" s="175" t="s">
        <v>601</v>
      </c>
      <c r="E1099" s="176" t="str">
        <f>_xlfn.XLOOKUP(D1099,Insumos!$B$1:$B$764,Insumos!$C$1:$C$764)</f>
        <v>M</v>
      </c>
      <c r="F1099" s="179">
        <v>2.5026999999999999</v>
      </c>
      <c r="G1099" s="177">
        <f>IF(B1099="insumo",_xlfn.XLOOKUP($D1099,Insumos!$B$1:$B$764,Insumos!$D$1:$D$764),"")</f>
        <v>0.31</v>
      </c>
      <c r="H1099" s="177" cm="1">
        <f t="array" ref="H1099">_xlfn.IFS(B1099="Serviço",SUMIFS(H1100:$H$3085,C1100:$C$3085,$C1099),B1099="Insumo",F1099*G1099,B1099="Etapa","")</f>
        <v>0.775837</v>
      </c>
      <c r="I1099" s="178"/>
    </row>
    <row r="1100" spans="1:9" hidden="1" outlineLevel="2" x14ac:dyDescent="0.25">
      <c r="A1100" s="175">
        <f t="shared" si="36"/>
        <v>27</v>
      </c>
      <c r="B1100" s="175" t="s">
        <v>327</v>
      </c>
      <c r="C1100" s="175" t="str">
        <f t="shared" si="35"/>
        <v>Fechamento de Shaft em Chapas De Gesso Para Drywall, Uso Interno, Montante 90mm, Com Duas Face Simples Resistente à Umidade e isolamento com Lâ de Vidro (RU/90/RU)</v>
      </c>
      <c r="D1100" s="175" t="s">
        <v>602</v>
      </c>
      <c r="E1100" s="176" t="str">
        <f>_xlfn.XLOOKUP(D1100,Insumos!$B$1:$B$764,Insumos!$C$1:$C$764)</f>
        <v>M</v>
      </c>
      <c r="F1100" s="179">
        <v>1.4815</v>
      </c>
      <c r="G1100" s="177">
        <f>IF(B1100="insumo",_xlfn.XLOOKUP($D1100,Insumos!$B$1:$B$764,Insumos!$D$1:$D$764),"")</f>
        <v>2.74</v>
      </c>
      <c r="H1100" s="177" cm="1">
        <f t="array" ref="H1100">_xlfn.IFS(B1100="Serviço",SUMIFS(H1101:$H$3085,C1101:$C$3085,$C1100),B1100="Insumo",F1100*G1100,B1100="Etapa","")</f>
        <v>4.0593100000000009</v>
      </c>
      <c r="I1100" s="178"/>
    </row>
    <row r="1101" spans="1:9" hidden="1" outlineLevel="2" x14ac:dyDescent="0.25">
      <c r="A1101" s="175">
        <f t="shared" si="36"/>
        <v>28</v>
      </c>
      <c r="B1101" s="175" t="s">
        <v>327</v>
      </c>
      <c r="C1101" s="175" t="str">
        <f t="shared" si="35"/>
        <v>Fechamento de Shaft em Chapas De Gesso Para Drywall, Uso Interno, Montante 90mm, Com Duas Face Simples Resistente à Umidade e isolamento com Lâ de Vidro (RU/90/RU)</v>
      </c>
      <c r="D1101" s="175" t="s">
        <v>603</v>
      </c>
      <c r="E1101" s="176" t="str">
        <f>_xlfn.XLOOKUP(D1101,Insumos!$B$1:$B$764,Insumos!$C$1:$C$764)</f>
        <v>UN</v>
      </c>
      <c r="F1101" s="179">
        <v>20.186800000000002</v>
      </c>
      <c r="G1101" s="177">
        <f>IF(B1101="insumo",_xlfn.XLOOKUP($D1101,Insumos!$B$1:$B$764,Insumos!$D$1:$D$764),"")</f>
        <v>0.09</v>
      </c>
      <c r="H1101" s="177" cm="1">
        <f t="array" ref="H1101">_xlfn.IFS(B1101="Serviço",SUMIFS(H1102:$H$3085,C1102:$C$3085,$C1101),B1101="Insumo",F1101*G1101,B1101="Etapa","")</f>
        <v>1.8168120000000001</v>
      </c>
      <c r="I1101" s="178"/>
    </row>
    <row r="1102" spans="1:9" hidden="1" outlineLevel="2" x14ac:dyDescent="0.25">
      <c r="A1102" s="175">
        <f t="shared" si="36"/>
        <v>28</v>
      </c>
      <c r="B1102" s="175" t="s">
        <v>327</v>
      </c>
      <c r="C1102" s="175" t="str">
        <f t="shared" si="35"/>
        <v>Fechamento de Shaft em Chapas De Gesso Para Drywall, Uso Interno, Montante 90mm, Com Duas Face Simples Resistente à Umidade e isolamento com Lâ de Vidro (RU/90/RU)</v>
      </c>
      <c r="D1102" s="175" t="s">
        <v>604</v>
      </c>
      <c r="E1102" s="176" t="str">
        <f>_xlfn.XLOOKUP(D1102,Insumos!$B$1:$B$764,Insumos!$C$1:$C$764)</f>
        <v>UN</v>
      </c>
      <c r="F1102" s="179">
        <v>0.4803</v>
      </c>
      <c r="G1102" s="177">
        <f>IF(B1102="insumo",_xlfn.XLOOKUP($D1102,Insumos!$B$1:$B$764,Insumos!$D$1:$D$764),"")</f>
        <v>0.2</v>
      </c>
      <c r="H1102" s="177" cm="1">
        <f t="array" ref="H1102">_xlfn.IFS(B1102="Serviço",SUMIFS(H1103:$H$3085,C1103:$C$3085,$C1102),B1102="Insumo",F1102*G1102,B1102="Etapa","")</f>
        <v>9.6060000000000006E-2</v>
      </c>
      <c r="I1102" s="178"/>
    </row>
    <row r="1103" spans="1:9" hidden="1" outlineLevel="2" x14ac:dyDescent="0.25">
      <c r="A1103" s="175">
        <f t="shared" si="36"/>
        <v>9</v>
      </c>
      <c r="B1103" s="175" t="s">
        <v>327</v>
      </c>
      <c r="C1103" s="175" t="str">
        <f t="shared" si="35"/>
        <v>Fechamento de Shaft em Chapas De Gesso Para Drywall, Uso Interno, Montante 90mm, Com Duas Face Simples Resistente à Umidade e isolamento com Lâ de Vidro (RU/90/RU)</v>
      </c>
      <c r="D1103" s="175" t="s">
        <v>605</v>
      </c>
      <c r="E1103" s="176" t="str">
        <f>_xlfn.XLOOKUP(D1103,Insumos!$B$1:$B$764,Insumos!$C$1:$C$764)</f>
        <v>M2</v>
      </c>
      <c r="F1103" s="179">
        <v>1.1000000000000001</v>
      </c>
      <c r="G1103" s="177">
        <f>IF(B1103="insumo",_xlfn.XLOOKUP($D1103,Insumos!$B$1:$B$764,Insumos!$D$1:$D$764),"")</f>
        <v>12.828666666666667</v>
      </c>
      <c r="H1103" s="177" cm="1">
        <f t="array" ref="H1103">_xlfn.IFS(B1103="Serviço",SUMIFS(H1104:$H$3085,C1104:$C$3085,$C1103),B1103="Insumo",F1103*G1103,B1103="Etapa","")</f>
        <v>14.111533333333334</v>
      </c>
      <c r="I1103" s="178"/>
    </row>
    <row r="1104" spans="1:9" outlineLevel="1" collapsed="1" x14ac:dyDescent="0.25">
      <c r="A1104" s="175">
        <f t="shared" si="36"/>
        <v>1</v>
      </c>
      <c r="B1104" s="175" t="s">
        <v>109</v>
      </c>
      <c r="C1104" s="175" t="str">
        <f t="shared" si="35"/>
        <v>Parede Com Sistema Em Chapas De Gesso Para Drywall, Uso Interno, Montante 70mm, Com Uma Face Simples Resistente à Umidade e isolamento com Lâ de Vidro (RU/70)</v>
      </c>
      <c r="D1104" s="175" t="s">
        <v>613</v>
      </c>
      <c r="E1104" s="176" t="s">
        <v>13</v>
      </c>
      <c r="F1104" s="175"/>
      <c r="G1104" s="177" t="str">
        <f>IF(B1104="insumo",_xlfn.XLOOKUP($D1104,Insumos!$B$1:$B$764,Insumos!$D$1:$D$764),"")</f>
        <v/>
      </c>
      <c r="H1104" s="177" cm="1">
        <f t="array" ref="H1104">_xlfn.IFS(B1104="Serviço",SUMIFS(H1105:$H$3085,C1105:$C$3085,$C1104),B1104="Insumo",F1104*G1104,B1104="Etapa","")</f>
        <v>142.73227733333334</v>
      </c>
      <c r="I1104" s="178" t="s">
        <v>195</v>
      </c>
    </row>
    <row r="1105" spans="1:9" hidden="1" outlineLevel="2" x14ac:dyDescent="0.25">
      <c r="A1105" s="175">
        <f t="shared" si="36"/>
        <v>24</v>
      </c>
      <c r="B1105" s="175" t="s">
        <v>327</v>
      </c>
      <c r="C1105" s="175" t="str">
        <f t="shared" si="35"/>
        <v>Parede Com Sistema Em Chapas De Gesso Para Drywall, Uso Interno, Montante 70mm, Com Uma Face Simples Resistente à Umidade e isolamento com Lâ de Vidro (RU/70)</v>
      </c>
      <c r="D1105" s="175" t="s">
        <v>595</v>
      </c>
      <c r="E1105" s="176" t="str">
        <f>_xlfn.XLOOKUP(D1105,Insumos!$B$1:$B$764,Insumos!$C$1:$C$764)</f>
        <v>M2</v>
      </c>
      <c r="F1105" s="179">
        <v>1</v>
      </c>
      <c r="G1105" s="177">
        <f>IF(B1105="insumo",_xlfn.XLOOKUP($D1105,Insumos!$B$1:$B$764,Insumos!$D$1:$D$764),"")</f>
        <v>70</v>
      </c>
      <c r="H1105" s="177" cm="1">
        <f t="array" ref="H1105">_xlfn.IFS(B1105="Serviço",SUMIFS(H1106:$H$3085,C1106:$C$3085,$C1105),B1105="Insumo",F1105*G1105,B1105="Etapa","")</f>
        <v>70</v>
      </c>
      <c r="I1105" s="178"/>
    </row>
    <row r="1106" spans="1:9" hidden="1" outlineLevel="2" x14ac:dyDescent="0.25">
      <c r="A1106" s="175">
        <f t="shared" si="36"/>
        <v>16</v>
      </c>
      <c r="B1106" s="175" t="s">
        <v>327</v>
      </c>
      <c r="C1106" s="175" t="str">
        <f t="shared" si="35"/>
        <v>Parede Com Sistema Em Chapas De Gesso Para Drywall, Uso Interno, Montante 70mm, Com Uma Face Simples Resistente à Umidade e isolamento com Lâ de Vidro (RU/70)</v>
      </c>
      <c r="D1106" s="175" t="s">
        <v>612</v>
      </c>
      <c r="E1106" s="176" t="str">
        <f>_xlfn.XLOOKUP(D1106,Insumos!$B$1:$B$764,Insumos!$C$1:$C$764)</f>
        <v>M2</v>
      </c>
      <c r="F1106" s="179">
        <v>1.0529999999999999</v>
      </c>
      <c r="G1106" s="177">
        <f>IF(B1106="insumo",_xlfn.XLOOKUP($D1106,Insumos!$B$1:$B$764,Insumos!$D$1:$D$764),"")</f>
        <v>29.194444444444446</v>
      </c>
      <c r="H1106" s="177" cm="1">
        <f t="array" ref="H1106">_xlfn.IFS(B1106="Serviço",SUMIFS(H1107:$H$3085,C1107:$C$3085,$C1106),B1106="Insumo",F1106*G1106,B1106="Etapa","")</f>
        <v>30.74175</v>
      </c>
      <c r="I1106" s="178"/>
    </row>
    <row r="1107" spans="1:9" hidden="1" outlineLevel="2" x14ac:dyDescent="0.25">
      <c r="A1107" s="175">
        <f t="shared" si="36"/>
        <v>30</v>
      </c>
      <c r="B1107" s="175" t="s">
        <v>327</v>
      </c>
      <c r="C1107" s="175" t="str">
        <f t="shared" si="35"/>
        <v>Parede Com Sistema Em Chapas De Gesso Para Drywall, Uso Interno, Montante 70mm, Com Uma Face Simples Resistente à Umidade e isolamento com Lâ de Vidro (RU/70)</v>
      </c>
      <c r="D1107" s="175" t="s">
        <v>597</v>
      </c>
      <c r="E1107" s="176" t="str">
        <f>_xlfn.XLOOKUP(D1107,Insumos!$B$1:$B$764,Insumos!$C$1:$C$764)</f>
        <v>UN</v>
      </c>
      <c r="F1107" s="179">
        <v>2.48</v>
      </c>
      <c r="G1107" s="177">
        <f>IF(B1107="insumo",_xlfn.XLOOKUP($D1107,Insumos!$B$1:$B$764,Insumos!$D$1:$D$764),"")</f>
        <v>0.504</v>
      </c>
      <c r="H1107" s="177" cm="1">
        <f t="array" ref="H1107">_xlfn.IFS(B1107="Serviço",SUMIFS(H1108:$H$3085,C1108:$C$3085,$C1107),B1107="Insumo",F1107*G1107,B1107="Etapa","")</f>
        <v>1.2499199999999999</v>
      </c>
      <c r="I1107" s="178"/>
    </row>
    <row r="1108" spans="1:9" hidden="1" outlineLevel="2" x14ac:dyDescent="0.25">
      <c r="A1108" s="175">
        <f t="shared" si="36"/>
        <v>11</v>
      </c>
      <c r="B1108" s="175" t="s">
        <v>327</v>
      </c>
      <c r="C1108" s="175" t="str">
        <f t="shared" si="35"/>
        <v>Parede Com Sistema Em Chapas De Gesso Para Drywall, Uso Interno, Montante 70mm, Com Uma Face Simples Resistente à Umidade e isolamento com Lâ de Vidro (RU/70)</v>
      </c>
      <c r="D1108" s="175" t="s">
        <v>609</v>
      </c>
      <c r="E1108" s="176" t="str">
        <f>_xlfn.XLOOKUP(D1108,Insumos!$B$1:$B$764,Insumos!$C$1:$C$764)</f>
        <v>M</v>
      </c>
      <c r="F1108" s="179">
        <v>0.76239999999999997</v>
      </c>
      <c r="G1108" s="177">
        <f>IF(B1108="insumo",_xlfn.XLOOKUP($D1108,Insumos!$B$1:$B$764,Insumos!$D$1:$D$764),"")</f>
        <v>7.03</v>
      </c>
      <c r="H1108" s="177" cm="1">
        <f t="array" ref="H1108">_xlfn.IFS(B1108="Serviço",SUMIFS(H1109:$H$3085,C1109:$C$3085,$C1108),B1108="Insumo",F1108*G1108,B1108="Etapa","")</f>
        <v>5.3596719999999998</v>
      </c>
      <c r="I1108" s="178"/>
    </row>
    <row r="1109" spans="1:9" hidden="1" outlineLevel="2" x14ac:dyDescent="0.25">
      <c r="A1109" s="175">
        <f t="shared" si="36"/>
        <v>11</v>
      </c>
      <c r="B1109" s="175" t="s">
        <v>327</v>
      </c>
      <c r="C1109" s="175" t="str">
        <f t="shared" si="35"/>
        <v>Parede Com Sistema Em Chapas De Gesso Para Drywall, Uso Interno, Montante 70mm, Com Uma Face Simples Resistente à Umidade e isolamento com Lâ de Vidro (RU/70)</v>
      </c>
      <c r="D1109" s="175" t="s">
        <v>610</v>
      </c>
      <c r="E1109" s="176" t="str">
        <f>_xlfn.XLOOKUP(D1109,Insumos!$B$1:$B$764,Insumos!$C$1:$C$764)</f>
        <v>M</v>
      </c>
      <c r="F1109" s="179">
        <v>2.0005999999999999</v>
      </c>
      <c r="G1109" s="177">
        <f>IF(B1109="insumo",_xlfn.XLOOKUP($D1109,Insumos!$B$1:$B$764,Insumos!$D$1:$D$764),"")</f>
        <v>7.98</v>
      </c>
      <c r="H1109" s="177" cm="1">
        <f t="array" ref="H1109">_xlfn.IFS(B1109="Serviço",SUMIFS(H1110:$H$3085,C1110:$C$3085,$C1109),B1109="Insumo",F1109*G1109,B1109="Etapa","")</f>
        <v>15.964788</v>
      </c>
      <c r="I1109" s="178"/>
    </row>
    <row r="1110" spans="1:9" hidden="1" outlineLevel="2" x14ac:dyDescent="0.25">
      <c r="A1110" s="175">
        <f t="shared" si="36"/>
        <v>28</v>
      </c>
      <c r="B1110" s="175" t="s">
        <v>327</v>
      </c>
      <c r="C1110" s="175" t="str">
        <f t="shared" si="35"/>
        <v>Parede Com Sistema Em Chapas De Gesso Para Drywall, Uso Interno, Montante 70mm, Com Uma Face Simples Resistente à Umidade e isolamento com Lâ de Vidro (RU/70)</v>
      </c>
      <c r="D1110" s="175" t="s">
        <v>600</v>
      </c>
      <c r="E1110" s="176" t="str">
        <f>_xlfn.XLOOKUP(D1110,Insumos!$B$1:$B$764,Insumos!$C$1:$C$764)</f>
        <v>KG</v>
      </c>
      <c r="F1110" s="179">
        <v>0.54890000000000005</v>
      </c>
      <c r="G1110" s="177">
        <f>IF(B1110="insumo",_xlfn.XLOOKUP($D1110,Insumos!$B$1:$B$764,Insumos!$D$1:$D$764),"")</f>
        <v>3.43</v>
      </c>
      <c r="H1110" s="177" cm="1">
        <f t="array" ref="H1110">_xlfn.IFS(B1110="Serviço",SUMIFS(H1111:$H$3085,C1111:$C$3085,$C1110),B1110="Insumo",F1110*G1110,B1110="Etapa","")</f>
        <v>1.8827270000000003</v>
      </c>
      <c r="I1110" s="178"/>
    </row>
    <row r="1111" spans="1:9" hidden="1" outlineLevel="2" x14ac:dyDescent="0.25">
      <c r="A1111" s="175">
        <f t="shared" si="36"/>
        <v>27</v>
      </c>
      <c r="B1111" s="175" t="s">
        <v>327</v>
      </c>
      <c r="C1111" s="175" t="str">
        <f t="shared" si="35"/>
        <v>Parede Com Sistema Em Chapas De Gesso Para Drywall, Uso Interno, Montante 70mm, Com Uma Face Simples Resistente à Umidade e isolamento com Lâ de Vidro (RU/70)</v>
      </c>
      <c r="D1111" s="175" t="s">
        <v>601</v>
      </c>
      <c r="E1111" s="176" t="str">
        <f>_xlfn.XLOOKUP(D1111,Insumos!$B$1:$B$764,Insumos!$C$1:$C$764)</f>
        <v>M</v>
      </c>
      <c r="F1111" s="179">
        <v>1.2513000000000001</v>
      </c>
      <c r="G1111" s="177">
        <f>IF(B1111="insumo",_xlfn.XLOOKUP($D1111,Insumos!$B$1:$B$764,Insumos!$D$1:$D$764),"")</f>
        <v>0.31</v>
      </c>
      <c r="H1111" s="177" cm="1">
        <f t="array" ref="H1111">_xlfn.IFS(B1111="Serviço",SUMIFS(H1112:$H$3085,C1112:$C$3085,$C1111),B1111="Insumo",F1111*G1111,B1111="Etapa","")</f>
        <v>0.387903</v>
      </c>
      <c r="I1111" s="178"/>
    </row>
    <row r="1112" spans="1:9" hidden="1" outlineLevel="2" x14ac:dyDescent="0.25">
      <c r="A1112" s="175">
        <f t="shared" si="36"/>
        <v>27</v>
      </c>
      <c r="B1112" s="175" t="s">
        <v>327</v>
      </c>
      <c r="C1112" s="175" t="str">
        <f t="shared" si="35"/>
        <v>Parede Com Sistema Em Chapas De Gesso Para Drywall, Uso Interno, Montante 70mm, Com Uma Face Simples Resistente à Umidade e isolamento com Lâ de Vidro (RU/70)</v>
      </c>
      <c r="D1112" s="175" t="s">
        <v>602</v>
      </c>
      <c r="E1112" s="176" t="str">
        <f>_xlfn.XLOOKUP(D1112,Insumos!$B$1:$B$764,Insumos!$C$1:$C$764)</f>
        <v>M</v>
      </c>
      <c r="F1112" s="179">
        <v>0.74070000000000003</v>
      </c>
      <c r="G1112" s="177">
        <f>IF(B1112="insumo",_xlfn.XLOOKUP($D1112,Insumos!$B$1:$B$764,Insumos!$D$1:$D$764),"")</f>
        <v>2.74</v>
      </c>
      <c r="H1112" s="177" cm="1">
        <f t="array" ref="H1112">_xlfn.IFS(B1112="Serviço",SUMIFS(H1113:$H$3085,C1113:$C$3085,$C1112),B1112="Insumo",F1112*G1112,B1112="Etapa","")</f>
        <v>2.0295180000000004</v>
      </c>
      <c r="I1112" s="178"/>
    </row>
    <row r="1113" spans="1:9" hidden="1" outlineLevel="2" x14ac:dyDescent="0.25">
      <c r="A1113" s="175">
        <f t="shared" si="36"/>
        <v>28</v>
      </c>
      <c r="B1113" s="175" t="s">
        <v>327</v>
      </c>
      <c r="C1113" s="175" t="str">
        <f t="shared" si="35"/>
        <v>Parede Com Sistema Em Chapas De Gesso Para Drywall, Uso Interno, Montante 70mm, Com Uma Face Simples Resistente à Umidade e isolamento com Lâ de Vidro (RU/70)</v>
      </c>
      <c r="D1113" s="175" t="s">
        <v>603</v>
      </c>
      <c r="E1113" s="176" t="str">
        <f>_xlfn.XLOOKUP(D1113,Insumos!$B$1:$B$764,Insumos!$C$1:$C$764)</f>
        <v>UN</v>
      </c>
      <c r="F1113" s="179">
        <v>10.093400000000001</v>
      </c>
      <c r="G1113" s="177">
        <f>IF(B1113="insumo",_xlfn.XLOOKUP($D1113,Insumos!$B$1:$B$764,Insumos!$D$1:$D$764),"")</f>
        <v>0.09</v>
      </c>
      <c r="H1113" s="177" cm="1">
        <f t="array" ref="H1113">_xlfn.IFS(B1113="Serviço",SUMIFS(H1114:$H$3085,C1114:$C$3085,$C1113),B1113="Insumo",F1113*G1113,B1113="Etapa","")</f>
        <v>0.90840600000000005</v>
      </c>
      <c r="I1113" s="178"/>
    </row>
    <row r="1114" spans="1:9" hidden="1" outlineLevel="2" x14ac:dyDescent="0.25">
      <c r="A1114" s="175">
        <f t="shared" si="36"/>
        <v>28</v>
      </c>
      <c r="B1114" s="175" t="s">
        <v>327</v>
      </c>
      <c r="C1114" s="175" t="str">
        <f t="shared" si="35"/>
        <v>Parede Com Sistema Em Chapas De Gesso Para Drywall, Uso Interno, Montante 70mm, Com Uma Face Simples Resistente à Umidade e isolamento com Lâ de Vidro (RU/70)</v>
      </c>
      <c r="D1114" s="175" t="s">
        <v>604</v>
      </c>
      <c r="E1114" s="176" t="str">
        <f>_xlfn.XLOOKUP(D1114,Insumos!$B$1:$B$764,Insumos!$C$1:$C$764)</f>
        <v>UN</v>
      </c>
      <c r="F1114" s="179">
        <v>0.4803</v>
      </c>
      <c r="G1114" s="177">
        <f>IF(B1114="insumo",_xlfn.XLOOKUP($D1114,Insumos!$B$1:$B$764,Insumos!$D$1:$D$764),"")</f>
        <v>0.2</v>
      </c>
      <c r="H1114" s="177" cm="1">
        <f t="array" ref="H1114">_xlfn.IFS(B1114="Serviço",SUMIFS(H1115:$H$3085,C1115:$C$3085,$C1114),B1114="Insumo",F1114*G1114,B1114="Etapa","")</f>
        <v>9.6060000000000006E-2</v>
      </c>
      <c r="I1114" s="178"/>
    </row>
    <row r="1115" spans="1:9" hidden="1" outlineLevel="2" x14ac:dyDescent="0.25">
      <c r="A1115" s="175">
        <f t="shared" si="36"/>
        <v>9</v>
      </c>
      <c r="B1115" s="175" t="s">
        <v>327</v>
      </c>
      <c r="C1115" s="175" t="str">
        <f t="shared" si="35"/>
        <v>Parede Com Sistema Em Chapas De Gesso Para Drywall, Uso Interno, Montante 70mm, Com Uma Face Simples Resistente à Umidade e isolamento com Lâ de Vidro (RU/70)</v>
      </c>
      <c r="D1115" s="175" t="s">
        <v>605</v>
      </c>
      <c r="E1115" s="176" t="str">
        <f>_xlfn.XLOOKUP(D1115,Insumos!$B$1:$B$764,Insumos!$C$1:$C$764)</f>
        <v>M2</v>
      </c>
      <c r="F1115" s="179">
        <v>1.1000000000000001</v>
      </c>
      <c r="G1115" s="177">
        <f>IF(B1115="insumo",_xlfn.XLOOKUP($D1115,Insumos!$B$1:$B$764,Insumos!$D$1:$D$764),"")</f>
        <v>12.828666666666667</v>
      </c>
      <c r="H1115" s="177" cm="1">
        <f t="array" ref="H1115">_xlfn.IFS(B1115="Serviço",SUMIFS(H1116:$H$3085,C1116:$C$3085,$C1115),B1115="Insumo",F1115*G1115,B1115="Etapa","")</f>
        <v>14.111533333333334</v>
      </c>
      <c r="I1115" s="178"/>
    </row>
    <row r="1116" spans="1:9" outlineLevel="1" collapsed="1" x14ac:dyDescent="0.25">
      <c r="A1116" s="175">
        <f t="shared" si="36"/>
        <v>1</v>
      </c>
      <c r="B1116" s="175" t="s">
        <v>109</v>
      </c>
      <c r="C1116" s="175" t="str">
        <f t="shared" si="35"/>
        <v>Enchimento de parede em Chapas De Gesso Para Drywall, Uso Interno, Montante 70mm, Com Uma Face Simples Resistente à Umidade e isolamento com Lâ de Vidro (RU/70)</v>
      </c>
      <c r="D1116" s="175" t="s">
        <v>614</v>
      </c>
      <c r="E1116" s="176" t="s">
        <v>13</v>
      </c>
      <c r="F1116" s="175"/>
      <c r="G1116" s="177" t="str">
        <f>IF(B1116="insumo",_xlfn.XLOOKUP($D1116,Insumos!$B$1:$B$764,Insumos!$D$1:$D$764),"")</f>
        <v/>
      </c>
      <c r="H1116" s="177" cm="1">
        <f t="array" ref="H1116">_xlfn.IFS(B1116="Serviço",SUMIFS(H1117:$H$3085,C1117:$C$3085,$C1116),B1116="Insumo",F1116*G1116,B1116="Etapa","")</f>
        <v>142.73227733333334</v>
      </c>
      <c r="I1116" s="178" t="s">
        <v>195</v>
      </c>
    </row>
    <row r="1117" spans="1:9" hidden="1" outlineLevel="2" x14ac:dyDescent="0.25">
      <c r="A1117" s="175">
        <f t="shared" si="36"/>
        <v>24</v>
      </c>
      <c r="B1117" s="175" t="s">
        <v>327</v>
      </c>
      <c r="C1117" s="175" t="str">
        <f t="shared" si="35"/>
        <v>Enchimento de parede em Chapas De Gesso Para Drywall, Uso Interno, Montante 70mm, Com Uma Face Simples Resistente à Umidade e isolamento com Lâ de Vidro (RU/70)</v>
      </c>
      <c r="D1117" s="175" t="s">
        <v>595</v>
      </c>
      <c r="E1117" s="176" t="str">
        <f>_xlfn.XLOOKUP(D1117,Insumos!$B$1:$B$764,Insumos!$C$1:$C$764)</f>
        <v>M2</v>
      </c>
      <c r="F1117" s="179">
        <v>1</v>
      </c>
      <c r="G1117" s="177">
        <f>IF(B1117="insumo",_xlfn.XLOOKUP($D1117,Insumos!$B$1:$B$764,Insumos!$D$1:$D$764),"")</f>
        <v>70</v>
      </c>
      <c r="H1117" s="177" cm="1">
        <f t="array" ref="H1117">_xlfn.IFS(B1117="Serviço",SUMIFS(H1118:$H$3085,C1118:$C$3085,$C1117),B1117="Insumo",F1117*G1117,B1117="Etapa","")</f>
        <v>70</v>
      </c>
      <c r="I1117" s="178"/>
    </row>
    <row r="1118" spans="1:9" hidden="1" outlineLevel="2" x14ac:dyDescent="0.25">
      <c r="A1118" s="175">
        <f t="shared" si="36"/>
        <v>16</v>
      </c>
      <c r="B1118" s="175" t="s">
        <v>327</v>
      </c>
      <c r="C1118" s="175" t="str">
        <f t="shared" ref="C1118:C1181" si="37">IF(B1118="serviço",D1118,C1117)</f>
        <v>Enchimento de parede em Chapas De Gesso Para Drywall, Uso Interno, Montante 70mm, Com Uma Face Simples Resistente à Umidade e isolamento com Lâ de Vidro (RU/70)</v>
      </c>
      <c r="D1118" s="175" t="s">
        <v>612</v>
      </c>
      <c r="E1118" s="176" t="str">
        <f>_xlfn.XLOOKUP(D1118,Insumos!$B$1:$B$764,Insumos!$C$1:$C$764)</f>
        <v>M2</v>
      </c>
      <c r="F1118" s="179">
        <v>1.0529999999999999</v>
      </c>
      <c r="G1118" s="177">
        <f>IF(B1118="insumo",_xlfn.XLOOKUP($D1118,Insumos!$B$1:$B$764,Insumos!$D$1:$D$764),"")</f>
        <v>29.194444444444446</v>
      </c>
      <c r="H1118" s="177" cm="1">
        <f t="array" ref="H1118">_xlfn.IFS(B1118="Serviço",SUMIFS(H1119:$H$3085,C1119:$C$3085,$C1118),B1118="Insumo",F1118*G1118,B1118="Etapa","")</f>
        <v>30.74175</v>
      </c>
      <c r="I1118" s="178"/>
    </row>
    <row r="1119" spans="1:9" hidden="1" outlineLevel="2" x14ac:dyDescent="0.25">
      <c r="A1119" s="175">
        <f t="shared" si="36"/>
        <v>30</v>
      </c>
      <c r="B1119" s="175" t="s">
        <v>327</v>
      </c>
      <c r="C1119" s="175" t="str">
        <f t="shared" si="37"/>
        <v>Enchimento de parede em Chapas De Gesso Para Drywall, Uso Interno, Montante 70mm, Com Uma Face Simples Resistente à Umidade e isolamento com Lâ de Vidro (RU/70)</v>
      </c>
      <c r="D1119" s="175" t="s">
        <v>597</v>
      </c>
      <c r="E1119" s="176" t="str">
        <f>_xlfn.XLOOKUP(D1119,Insumos!$B$1:$B$764,Insumos!$C$1:$C$764)</f>
        <v>UN</v>
      </c>
      <c r="F1119" s="179">
        <v>2.48</v>
      </c>
      <c r="G1119" s="177">
        <f>IF(B1119="insumo",_xlfn.XLOOKUP($D1119,Insumos!$B$1:$B$764,Insumos!$D$1:$D$764),"")</f>
        <v>0.504</v>
      </c>
      <c r="H1119" s="177" cm="1">
        <f t="array" ref="H1119">_xlfn.IFS(B1119="Serviço",SUMIFS(H1120:$H$3085,C1120:$C$3085,$C1119),B1119="Insumo",F1119*G1119,B1119="Etapa","")</f>
        <v>1.2499199999999999</v>
      </c>
      <c r="I1119" s="178"/>
    </row>
    <row r="1120" spans="1:9" hidden="1" outlineLevel="2" x14ac:dyDescent="0.25">
      <c r="A1120" s="175">
        <f t="shared" si="36"/>
        <v>11</v>
      </c>
      <c r="B1120" s="175" t="s">
        <v>327</v>
      </c>
      <c r="C1120" s="175" t="str">
        <f t="shared" si="37"/>
        <v>Enchimento de parede em Chapas De Gesso Para Drywall, Uso Interno, Montante 70mm, Com Uma Face Simples Resistente à Umidade e isolamento com Lâ de Vidro (RU/70)</v>
      </c>
      <c r="D1120" s="175" t="s">
        <v>609</v>
      </c>
      <c r="E1120" s="176" t="str">
        <f>_xlfn.XLOOKUP(D1120,Insumos!$B$1:$B$764,Insumos!$C$1:$C$764)</f>
        <v>M</v>
      </c>
      <c r="F1120" s="179">
        <v>0.76239999999999997</v>
      </c>
      <c r="G1120" s="177">
        <f>IF(B1120="insumo",_xlfn.XLOOKUP($D1120,Insumos!$B$1:$B$764,Insumos!$D$1:$D$764),"")</f>
        <v>7.03</v>
      </c>
      <c r="H1120" s="177" cm="1">
        <f t="array" ref="H1120">_xlfn.IFS(B1120="Serviço",SUMIFS(H1121:$H$3085,C1121:$C$3085,$C1120),B1120="Insumo",F1120*G1120,B1120="Etapa","")</f>
        <v>5.3596719999999998</v>
      </c>
      <c r="I1120" s="178"/>
    </row>
    <row r="1121" spans="1:9" hidden="1" outlineLevel="2" x14ac:dyDescent="0.25">
      <c r="A1121" s="175">
        <f t="shared" si="36"/>
        <v>11</v>
      </c>
      <c r="B1121" s="175" t="s">
        <v>327</v>
      </c>
      <c r="C1121" s="175" t="str">
        <f t="shared" si="37"/>
        <v>Enchimento de parede em Chapas De Gesso Para Drywall, Uso Interno, Montante 70mm, Com Uma Face Simples Resistente à Umidade e isolamento com Lâ de Vidro (RU/70)</v>
      </c>
      <c r="D1121" s="175" t="s">
        <v>610</v>
      </c>
      <c r="E1121" s="176" t="str">
        <f>_xlfn.XLOOKUP(D1121,Insumos!$B$1:$B$764,Insumos!$C$1:$C$764)</f>
        <v>M</v>
      </c>
      <c r="F1121" s="179">
        <v>2.0005999999999999</v>
      </c>
      <c r="G1121" s="177">
        <f>IF(B1121="insumo",_xlfn.XLOOKUP($D1121,Insumos!$B$1:$B$764,Insumos!$D$1:$D$764),"")</f>
        <v>7.98</v>
      </c>
      <c r="H1121" s="177" cm="1">
        <f t="array" ref="H1121">_xlfn.IFS(B1121="Serviço",SUMIFS(H1122:$H$3085,C1122:$C$3085,$C1121),B1121="Insumo",F1121*G1121,B1121="Etapa","")</f>
        <v>15.964788</v>
      </c>
      <c r="I1121" s="178"/>
    </row>
    <row r="1122" spans="1:9" hidden="1" outlineLevel="2" x14ac:dyDescent="0.25">
      <c r="A1122" s="175">
        <f t="shared" si="36"/>
        <v>28</v>
      </c>
      <c r="B1122" s="175" t="s">
        <v>327</v>
      </c>
      <c r="C1122" s="175" t="str">
        <f t="shared" si="37"/>
        <v>Enchimento de parede em Chapas De Gesso Para Drywall, Uso Interno, Montante 70mm, Com Uma Face Simples Resistente à Umidade e isolamento com Lâ de Vidro (RU/70)</v>
      </c>
      <c r="D1122" s="175" t="s">
        <v>600</v>
      </c>
      <c r="E1122" s="176" t="str">
        <f>_xlfn.XLOOKUP(D1122,Insumos!$B$1:$B$764,Insumos!$C$1:$C$764)</f>
        <v>KG</v>
      </c>
      <c r="F1122" s="179">
        <v>0.54890000000000005</v>
      </c>
      <c r="G1122" s="177">
        <f>IF(B1122="insumo",_xlfn.XLOOKUP($D1122,Insumos!$B$1:$B$764,Insumos!$D$1:$D$764),"")</f>
        <v>3.43</v>
      </c>
      <c r="H1122" s="177" cm="1">
        <f t="array" ref="H1122">_xlfn.IFS(B1122="Serviço",SUMIFS(H1123:$H$3085,C1123:$C$3085,$C1122),B1122="Insumo",F1122*G1122,B1122="Etapa","")</f>
        <v>1.8827270000000003</v>
      </c>
      <c r="I1122" s="178"/>
    </row>
    <row r="1123" spans="1:9" hidden="1" outlineLevel="2" x14ac:dyDescent="0.25">
      <c r="A1123" s="175">
        <f t="shared" si="36"/>
        <v>27</v>
      </c>
      <c r="B1123" s="175" t="s">
        <v>327</v>
      </c>
      <c r="C1123" s="175" t="str">
        <f t="shared" si="37"/>
        <v>Enchimento de parede em Chapas De Gesso Para Drywall, Uso Interno, Montante 70mm, Com Uma Face Simples Resistente à Umidade e isolamento com Lâ de Vidro (RU/70)</v>
      </c>
      <c r="D1123" s="175" t="s">
        <v>601</v>
      </c>
      <c r="E1123" s="176" t="str">
        <f>_xlfn.XLOOKUP(D1123,Insumos!$B$1:$B$764,Insumos!$C$1:$C$764)</f>
        <v>M</v>
      </c>
      <c r="F1123" s="179">
        <v>1.2513000000000001</v>
      </c>
      <c r="G1123" s="177">
        <f>IF(B1123="insumo",_xlfn.XLOOKUP($D1123,Insumos!$B$1:$B$764,Insumos!$D$1:$D$764),"")</f>
        <v>0.31</v>
      </c>
      <c r="H1123" s="177" cm="1">
        <f t="array" ref="H1123">_xlfn.IFS(B1123="Serviço",SUMIFS(H1124:$H$3085,C1124:$C$3085,$C1123),B1123="Insumo",F1123*G1123,B1123="Etapa","")</f>
        <v>0.387903</v>
      </c>
      <c r="I1123" s="178"/>
    </row>
    <row r="1124" spans="1:9" hidden="1" outlineLevel="2" x14ac:dyDescent="0.25">
      <c r="A1124" s="175">
        <f t="shared" si="36"/>
        <v>27</v>
      </c>
      <c r="B1124" s="175" t="s">
        <v>327</v>
      </c>
      <c r="C1124" s="175" t="str">
        <f t="shared" si="37"/>
        <v>Enchimento de parede em Chapas De Gesso Para Drywall, Uso Interno, Montante 70mm, Com Uma Face Simples Resistente à Umidade e isolamento com Lâ de Vidro (RU/70)</v>
      </c>
      <c r="D1124" s="175" t="s">
        <v>602</v>
      </c>
      <c r="E1124" s="176" t="str">
        <f>_xlfn.XLOOKUP(D1124,Insumos!$B$1:$B$764,Insumos!$C$1:$C$764)</f>
        <v>M</v>
      </c>
      <c r="F1124" s="179">
        <v>0.74070000000000003</v>
      </c>
      <c r="G1124" s="177">
        <f>IF(B1124="insumo",_xlfn.XLOOKUP($D1124,Insumos!$B$1:$B$764,Insumos!$D$1:$D$764),"")</f>
        <v>2.74</v>
      </c>
      <c r="H1124" s="177" cm="1">
        <f t="array" ref="H1124">_xlfn.IFS(B1124="Serviço",SUMIFS(H1125:$H$3085,C1125:$C$3085,$C1124),B1124="Insumo",F1124*G1124,B1124="Etapa","")</f>
        <v>2.0295180000000004</v>
      </c>
      <c r="I1124" s="178"/>
    </row>
    <row r="1125" spans="1:9" hidden="1" outlineLevel="2" x14ac:dyDescent="0.25">
      <c r="A1125" s="175">
        <f t="shared" si="36"/>
        <v>28</v>
      </c>
      <c r="B1125" s="175" t="s">
        <v>327</v>
      </c>
      <c r="C1125" s="175" t="str">
        <f t="shared" si="37"/>
        <v>Enchimento de parede em Chapas De Gesso Para Drywall, Uso Interno, Montante 70mm, Com Uma Face Simples Resistente à Umidade e isolamento com Lâ de Vidro (RU/70)</v>
      </c>
      <c r="D1125" s="175" t="s">
        <v>603</v>
      </c>
      <c r="E1125" s="176" t="str">
        <f>_xlfn.XLOOKUP(D1125,Insumos!$B$1:$B$764,Insumos!$C$1:$C$764)</f>
        <v>UN</v>
      </c>
      <c r="F1125" s="179">
        <v>10.093400000000001</v>
      </c>
      <c r="G1125" s="177">
        <f>IF(B1125="insumo",_xlfn.XLOOKUP($D1125,Insumos!$B$1:$B$764,Insumos!$D$1:$D$764),"")</f>
        <v>0.09</v>
      </c>
      <c r="H1125" s="177" cm="1">
        <f t="array" ref="H1125">_xlfn.IFS(B1125="Serviço",SUMIFS(H1126:$H$3085,C1126:$C$3085,$C1125),B1125="Insumo",F1125*G1125,B1125="Etapa","")</f>
        <v>0.90840600000000005</v>
      </c>
      <c r="I1125" s="178"/>
    </row>
    <row r="1126" spans="1:9" hidden="1" outlineLevel="2" x14ac:dyDescent="0.25">
      <c r="A1126" s="175">
        <f t="shared" si="36"/>
        <v>28</v>
      </c>
      <c r="B1126" s="175" t="s">
        <v>327</v>
      </c>
      <c r="C1126" s="175" t="str">
        <f t="shared" si="37"/>
        <v>Enchimento de parede em Chapas De Gesso Para Drywall, Uso Interno, Montante 70mm, Com Uma Face Simples Resistente à Umidade e isolamento com Lâ de Vidro (RU/70)</v>
      </c>
      <c r="D1126" s="175" t="s">
        <v>604</v>
      </c>
      <c r="E1126" s="176" t="str">
        <f>_xlfn.XLOOKUP(D1126,Insumos!$B$1:$B$764,Insumos!$C$1:$C$764)</f>
        <v>UN</v>
      </c>
      <c r="F1126" s="179">
        <v>0.4803</v>
      </c>
      <c r="G1126" s="177">
        <f>IF(B1126="insumo",_xlfn.XLOOKUP($D1126,Insumos!$B$1:$B$764,Insumos!$D$1:$D$764),"")</f>
        <v>0.2</v>
      </c>
      <c r="H1126" s="177" cm="1">
        <f t="array" ref="H1126">_xlfn.IFS(B1126="Serviço",SUMIFS(H1127:$H$3085,C1127:$C$3085,$C1126),B1126="Insumo",F1126*G1126,B1126="Etapa","")</f>
        <v>9.6060000000000006E-2</v>
      </c>
      <c r="I1126" s="178"/>
    </row>
    <row r="1127" spans="1:9" hidden="1" outlineLevel="2" x14ac:dyDescent="0.25">
      <c r="A1127" s="175">
        <f t="shared" si="36"/>
        <v>9</v>
      </c>
      <c r="B1127" s="175" t="s">
        <v>327</v>
      </c>
      <c r="C1127" s="175" t="str">
        <f t="shared" si="37"/>
        <v>Enchimento de parede em Chapas De Gesso Para Drywall, Uso Interno, Montante 70mm, Com Uma Face Simples Resistente à Umidade e isolamento com Lâ de Vidro (RU/70)</v>
      </c>
      <c r="D1127" s="175" t="s">
        <v>605</v>
      </c>
      <c r="E1127" s="176" t="str">
        <f>_xlfn.XLOOKUP(D1127,Insumos!$B$1:$B$764,Insumos!$C$1:$C$764)</f>
        <v>M2</v>
      </c>
      <c r="F1127" s="179">
        <v>1.1000000000000001</v>
      </c>
      <c r="G1127" s="177">
        <f>IF(B1127="insumo",_xlfn.XLOOKUP($D1127,Insumos!$B$1:$B$764,Insumos!$D$1:$D$764),"")</f>
        <v>12.828666666666667</v>
      </c>
      <c r="H1127" s="177" cm="1">
        <f t="array" ref="H1127">_xlfn.IFS(B1127="Serviço",SUMIFS(H1128:$H$3085,C1128:$C$3085,$C1127),B1127="Insumo",F1127*G1127,B1127="Etapa","")</f>
        <v>14.111533333333334</v>
      </c>
      <c r="I1127" s="178"/>
    </row>
    <row r="1128" spans="1:9" outlineLevel="1" collapsed="1" x14ac:dyDescent="0.25">
      <c r="A1128" s="175">
        <f t="shared" si="36"/>
        <v>1</v>
      </c>
      <c r="B1128" s="175" t="s">
        <v>109</v>
      </c>
      <c r="C1128" s="175" t="str">
        <f t="shared" si="37"/>
        <v>Enchimento de parede em Chapas De Gesso Para Drywall, Uso Interno, Montante 70mm, Com Uma Face Simples Standart e isolamento com Lâ de Vidro (ST/70)</v>
      </c>
      <c r="D1128" s="175" t="s">
        <v>2839</v>
      </c>
      <c r="E1128" s="176" t="s">
        <v>13</v>
      </c>
      <c r="F1128" s="175"/>
      <c r="G1128" s="177" t="str">
        <f>IF(B1128="insumo",_xlfn.XLOOKUP($D1128,Insumos!$B$1:$B$764,Insumos!$D$1:$D$764),"")</f>
        <v/>
      </c>
      <c r="H1128" s="177" cm="1">
        <f t="array" ref="H1128">_xlfn.IFS(B1128="Serviço",SUMIFS(H1129:$H$3085,C1129:$C$3085,$C1128),B1128="Insumo",F1128*G1128,B1128="Etapa","")</f>
        <v>131.37230858333334</v>
      </c>
      <c r="I1128" s="178" t="s">
        <v>195</v>
      </c>
    </row>
    <row r="1129" spans="1:9" hidden="1" outlineLevel="2" x14ac:dyDescent="0.25">
      <c r="A1129" s="175">
        <f t="shared" si="36"/>
        <v>24</v>
      </c>
      <c r="B1129" s="175" t="s">
        <v>327</v>
      </c>
      <c r="C1129" s="175" t="str">
        <f t="shared" si="37"/>
        <v>Enchimento de parede em Chapas De Gesso Para Drywall, Uso Interno, Montante 70mm, Com Uma Face Simples Standart e isolamento com Lâ de Vidro (ST/70)</v>
      </c>
      <c r="D1129" s="175" t="s">
        <v>595</v>
      </c>
      <c r="E1129" s="176" t="str">
        <f>_xlfn.XLOOKUP(D1129,Insumos!$B$1:$B$764,Insumos!$C$1:$C$764)</f>
        <v>M2</v>
      </c>
      <c r="F1129" s="179">
        <v>1</v>
      </c>
      <c r="G1129" s="177">
        <f>IF(B1129="insumo",_xlfn.XLOOKUP($D1129,Insumos!$B$1:$B$764,Insumos!$D$1:$D$764),"")</f>
        <v>70</v>
      </c>
      <c r="H1129" s="177" cm="1">
        <f t="array" ref="H1129">_xlfn.IFS(B1129="Serviço",SUMIFS(H1130:$H$3085,C1130:$C$3085,$C1129),B1129="Insumo",F1129*G1129,B1129="Etapa","")</f>
        <v>70</v>
      </c>
      <c r="I1129" s="178"/>
    </row>
    <row r="1130" spans="1:9" hidden="1" outlineLevel="2" x14ac:dyDescent="0.25">
      <c r="A1130" s="175">
        <f t="shared" si="36"/>
        <v>14</v>
      </c>
      <c r="B1130" s="175" t="s">
        <v>327</v>
      </c>
      <c r="C1130" s="175" t="str">
        <f t="shared" si="37"/>
        <v>Enchimento de parede em Chapas De Gesso Para Drywall, Uso Interno, Montante 70mm, Com Uma Face Simples Standart e isolamento com Lâ de Vidro (ST/70)</v>
      </c>
      <c r="D1130" s="175" t="s">
        <v>596</v>
      </c>
      <c r="E1130" s="176" t="str">
        <f>_xlfn.XLOOKUP(D1130,Insumos!$B$1:$B$764,Insumos!$C$1:$C$764)</f>
        <v>M2</v>
      </c>
      <c r="F1130" s="179">
        <v>1.0529999999999999</v>
      </c>
      <c r="G1130" s="177">
        <f>IF(B1130="insumo",_xlfn.XLOOKUP($D1130,Insumos!$B$1:$B$764,Insumos!$D$1:$D$764),"")</f>
        <v>18.40625</v>
      </c>
      <c r="H1130" s="177" cm="1">
        <f t="array" ref="H1130">_xlfn.IFS(B1130="Serviço",SUMIFS(H1131:$H$3085,C1131:$C$3085,$C1130),B1130="Insumo",F1130*G1130,B1130="Etapa","")</f>
        <v>19.38178125</v>
      </c>
      <c r="I1130" s="178"/>
    </row>
    <row r="1131" spans="1:9" hidden="1" outlineLevel="2" x14ac:dyDescent="0.25">
      <c r="A1131" s="175">
        <f t="shared" si="36"/>
        <v>30</v>
      </c>
      <c r="B1131" s="175" t="s">
        <v>327</v>
      </c>
      <c r="C1131" s="175" t="str">
        <f t="shared" si="37"/>
        <v>Enchimento de parede em Chapas De Gesso Para Drywall, Uso Interno, Montante 70mm, Com Uma Face Simples Standart e isolamento com Lâ de Vidro (ST/70)</v>
      </c>
      <c r="D1131" s="175" t="s">
        <v>597</v>
      </c>
      <c r="E1131" s="176" t="str">
        <f>_xlfn.XLOOKUP(D1131,Insumos!$B$1:$B$764,Insumos!$C$1:$C$764)</f>
        <v>UN</v>
      </c>
      <c r="F1131" s="179">
        <v>2.48</v>
      </c>
      <c r="G1131" s="177">
        <f>IF(B1131="insumo",_xlfn.XLOOKUP($D1131,Insumos!$B$1:$B$764,Insumos!$D$1:$D$764),"")</f>
        <v>0.504</v>
      </c>
      <c r="H1131" s="177" cm="1">
        <f t="array" ref="H1131">_xlfn.IFS(B1131="Serviço",SUMIFS(H1132:$H$3085,C1132:$C$3085,$C1131),B1131="Insumo",F1131*G1131,B1131="Etapa","")</f>
        <v>1.2499199999999999</v>
      </c>
      <c r="I1131" s="178"/>
    </row>
    <row r="1132" spans="1:9" hidden="1" outlineLevel="2" x14ac:dyDescent="0.25">
      <c r="A1132" s="175">
        <f t="shared" si="36"/>
        <v>11</v>
      </c>
      <c r="B1132" s="175" t="s">
        <v>327</v>
      </c>
      <c r="C1132" s="175" t="str">
        <f t="shared" si="37"/>
        <v>Enchimento de parede em Chapas De Gesso Para Drywall, Uso Interno, Montante 70mm, Com Uma Face Simples Standart e isolamento com Lâ de Vidro (ST/70)</v>
      </c>
      <c r="D1132" s="175" t="s">
        <v>609</v>
      </c>
      <c r="E1132" s="176" t="str">
        <f>_xlfn.XLOOKUP(D1132,Insumos!$B$1:$B$764,Insumos!$C$1:$C$764)</f>
        <v>M</v>
      </c>
      <c r="F1132" s="179">
        <v>0.76239999999999997</v>
      </c>
      <c r="G1132" s="177">
        <f>IF(B1132="insumo",_xlfn.XLOOKUP($D1132,Insumos!$B$1:$B$764,Insumos!$D$1:$D$764),"")</f>
        <v>7.03</v>
      </c>
      <c r="H1132" s="177" cm="1">
        <f t="array" ref="H1132">_xlfn.IFS(B1132="Serviço",SUMIFS(H1133:$H$3085,C1133:$C$3085,$C1132),B1132="Insumo",F1132*G1132,B1132="Etapa","")</f>
        <v>5.3596719999999998</v>
      </c>
      <c r="I1132" s="178"/>
    </row>
    <row r="1133" spans="1:9" hidden="1" outlineLevel="2" x14ac:dyDescent="0.25">
      <c r="A1133" s="175">
        <f t="shared" si="36"/>
        <v>11</v>
      </c>
      <c r="B1133" s="175" t="s">
        <v>327</v>
      </c>
      <c r="C1133" s="175" t="str">
        <f t="shared" si="37"/>
        <v>Enchimento de parede em Chapas De Gesso Para Drywall, Uso Interno, Montante 70mm, Com Uma Face Simples Standart e isolamento com Lâ de Vidro (ST/70)</v>
      </c>
      <c r="D1133" s="175" t="s">
        <v>610</v>
      </c>
      <c r="E1133" s="176" t="str">
        <f>_xlfn.XLOOKUP(D1133,Insumos!$B$1:$B$764,Insumos!$C$1:$C$764)</f>
        <v>M</v>
      </c>
      <c r="F1133" s="179">
        <v>2.0005999999999999</v>
      </c>
      <c r="G1133" s="177">
        <f>IF(B1133="insumo",_xlfn.XLOOKUP($D1133,Insumos!$B$1:$B$764,Insumos!$D$1:$D$764),"")</f>
        <v>7.98</v>
      </c>
      <c r="H1133" s="177" cm="1">
        <f t="array" ref="H1133">_xlfn.IFS(B1133="Serviço",SUMIFS(H1134:$H$3085,C1134:$C$3085,$C1133),B1133="Insumo",F1133*G1133,B1133="Etapa","")</f>
        <v>15.964788</v>
      </c>
      <c r="I1133" s="178"/>
    </row>
    <row r="1134" spans="1:9" hidden="1" outlineLevel="2" x14ac:dyDescent="0.25">
      <c r="A1134" s="175">
        <f t="shared" si="36"/>
        <v>28</v>
      </c>
      <c r="B1134" s="175" t="s">
        <v>327</v>
      </c>
      <c r="C1134" s="175" t="str">
        <f t="shared" si="37"/>
        <v>Enchimento de parede em Chapas De Gesso Para Drywall, Uso Interno, Montante 70mm, Com Uma Face Simples Standart e isolamento com Lâ de Vidro (ST/70)</v>
      </c>
      <c r="D1134" s="175" t="s">
        <v>600</v>
      </c>
      <c r="E1134" s="176" t="str">
        <f>_xlfn.XLOOKUP(D1134,Insumos!$B$1:$B$764,Insumos!$C$1:$C$764)</f>
        <v>KG</v>
      </c>
      <c r="F1134" s="179">
        <v>0.54890000000000005</v>
      </c>
      <c r="G1134" s="177">
        <f>IF(B1134="insumo",_xlfn.XLOOKUP($D1134,Insumos!$B$1:$B$764,Insumos!$D$1:$D$764),"")</f>
        <v>3.43</v>
      </c>
      <c r="H1134" s="177" cm="1">
        <f t="array" ref="H1134">_xlfn.IFS(B1134="Serviço",SUMIFS(H1135:$H$3085,C1135:$C$3085,$C1134),B1134="Insumo",F1134*G1134,B1134="Etapa","")</f>
        <v>1.8827270000000003</v>
      </c>
      <c r="I1134" s="178"/>
    </row>
    <row r="1135" spans="1:9" hidden="1" outlineLevel="2" x14ac:dyDescent="0.25">
      <c r="A1135" s="175">
        <f t="shared" si="36"/>
        <v>27</v>
      </c>
      <c r="B1135" s="175" t="s">
        <v>327</v>
      </c>
      <c r="C1135" s="175" t="str">
        <f t="shared" si="37"/>
        <v>Enchimento de parede em Chapas De Gesso Para Drywall, Uso Interno, Montante 70mm, Com Uma Face Simples Standart e isolamento com Lâ de Vidro (ST/70)</v>
      </c>
      <c r="D1135" s="175" t="s">
        <v>601</v>
      </c>
      <c r="E1135" s="176" t="str">
        <f>_xlfn.XLOOKUP(D1135,Insumos!$B$1:$B$764,Insumos!$C$1:$C$764)</f>
        <v>M</v>
      </c>
      <c r="F1135" s="179">
        <v>1.2513000000000001</v>
      </c>
      <c r="G1135" s="177">
        <f>IF(B1135="insumo",_xlfn.XLOOKUP($D1135,Insumos!$B$1:$B$764,Insumos!$D$1:$D$764),"")</f>
        <v>0.31</v>
      </c>
      <c r="H1135" s="177" cm="1">
        <f t="array" ref="H1135">_xlfn.IFS(B1135="Serviço",SUMIFS(H1136:$H$3085,C1136:$C$3085,$C1135),B1135="Insumo",F1135*G1135,B1135="Etapa","")</f>
        <v>0.387903</v>
      </c>
      <c r="I1135" s="178"/>
    </row>
    <row r="1136" spans="1:9" hidden="1" outlineLevel="2" x14ac:dyDescent="0.25">
      <c r="A1136" s="175">
        <f t="shared" si="36"/>
        <v>27</v>
      </c>
      <c r="B1136" s="175" t="s">
        <v>327</v>
      </c>
      <c r="C1136" s="175" t="str">
        <f t="shared" si="37"/>
        <v>Enchimento de parede em Chapas De Gesso Para Drywall, Uso Interno, Montante 70mm, Com Uma Face Simples Standart e isolamento com Lâ de Vidro (ST/70)</v>
      </c>
      <c r="D1136" s="175" t="s">
        <v>602</v>
      </c>
      <c r="E1136" s="176" t="str">
        <f>_xlfn.XLOOKUP(D1136,Insumos!$B$1:$B$764,Insumos!$C$1:$C$764)</f>
        <v>M</v>
      </c>
      <c r="F1136" s="179">
        <v>0.74070000000000003</v>
      </c>
      <c r="G1136" s="177">
        <f>IF(B1136="insumo",_xlfn.XLOOKUP($D1136,Insumos!$B$1:$B$764,Insumos!$D$1:$D$764),"")</f>
        <v>2.74</v>
      </c>
      <c r="H1136" s="177" cm="1">
        <f t="array" ref="H1136">_xlfn.IFS(B1136="Serviço",SUMIFS(H1137:$H$3085,C1137:$C$3085,$C1136),B1136="Insumo",F1136*G1136,B1136="Etapa","")</f>
        <v>2.0295180000000004</v>
      </c>
      <c r="I1136" s="178"/>
    </row>
    <row r="1137" spans="1:9" hidden="1" outlineLevel="2" x14ac:dyDescent="0.25">
      <c r="A1137" s="175">
        <f t="shared" si="36"/>
        <v>28</v>
      </c>
      <c r="B1137" s="175" t="s">
        <v>327</v>
      </c>
      <c r="C1137" s="175" t="str">
        <f t="shared" si="37"/>
        <v>Enchimento de parede em Chapas De Gesso Para Drywall, Uso Interno, Montante 70mm, Com Uma Face Simples Standart e isolamento com Lâ de Vidro (ST/70)</v>
      </c>
      <c r="D1137" s="175" t="s">
        <v>603</v>
      </c>
      <c r="E1137" s="176" t="str">
        <f>_xlfn.XLOOKUP(D1137,Insumos!$B$1:$B$764,Insumos!$C$1:$C$764)</f>
        <v>UN</v>
      </c>
      <c r="F1137" s="179">
        <v>10.093400000000001</v>
      </c>
      <c r="G1137" s="177">
        <f>IF(B1137="insumo",_xlfn.XLOOKUP($D1137,Insumos!$B$1:$B$764,Insumos!$D$1:$D$764),"")</f>
        <v>0.09</v>
      </c>
      <c r="H1137" s="177" cm="1">
        <f t="array" ref="H1137">_xlfn.IFS(B1137="Serviço",SUMIFS(H1138:$H$3085,C1138:$C$3085,$C1137),B1137="Insumo",F1137*G1137,B1137="Etapa","")</f>
        <v>0.90840600000000005</v>
      </c>
      <c r="I1137" s="178"/>
    </row>
    <row r="1138" spans="1:9" hidden="1" outlineLevel="2" x14ac:dyDescent="0.25">
      <c r="A1138" s="175">
        <f t="shared" si="36"/>
        <v>28</v>
      </c>
      <c r="B1138" s="175" t="s">
        <v>327</v>
      </c>
      <c r="C1138" s="175" t="str">
        <f t="shared" si="37"/>
        <v>Enchimento de parede em Chapas De Gesso Para Drywall, Uso Interno, Montante 70mm, Com Uma Face Simples Standart e isolamento com Lâ de Vidro (ST/70)</v>
      </c>
      <c r="D1138" s="175" t="s">
        <v>604</v>
      </c>
      <c r="E1138" s="176" t="str">
        <f>_xlfn.XLOOKUP(D1138,Insumos!$B$1:$B$764,Insumos!$C$1:$C$764)</f>
        <v>UN</v>
      </c>
      <c r="F1138" s="179">
        <v>0.4803</v>
      </c>
      <c r="G1138" s="177">
        <f>IF(B1138="insumo",_xlfn.XLOOKUP($D1138,Insumos!$B$1:$B$764,Insumos!$D$1:$D$764),"")</f>
        <v>0.2</v>
      </c>
      <c r="H1138" s="177" cm="1">
        <f t="array" ref="H1138">_xlfn.IFS(B1138="Serviço",SUMIFS(H1139:$H$3085,C1139:$C$3085,$C1138),B1138="Insumo",F1138*G1138,B1138="Etapa","")</f>
        <v>9.6060000000000006E-2</v>
      </c>
      <c r="I1138" s="178"/>
    </row>
    <row r="1139" spans="1:9" hidden="1" outlineLevel="2" x14ac:dyDescent="0.25">
      <c r="A1139" s="175">
        <f t="shared" si="36"/>
        <v>9</v>
      </c>
      <c r="B1139" s="175" t="s">
        <v>327</v>
      </c>
      <c r="C1139" s="175" t="str">
        <f t="shared" si="37"/>
        <v>Enchimento de parede em Chapas De Gesso Para Drywall, Uso Interno, Montante 70mm, Com Uma Face Simples Standart e isolamento com Lâ de Vidro (ST/70)</v>
      </c>
      <c r="D1139" s="175" t="s">
        <v>605</v>
      </c>
      <c r="E1139" s="176" t="str">
        <f>_xlfn.XLOOKUP(D1139,Insumos!$B$1:$B$764,Insumos!$C$1:$C$764)</f>
        <v>M2</v>
      </c>
      <c r="F1139" s="179">
        <v>1.1000000000000001</v>
      </c>
      <c r="G1139" s="177">
        <f>IF(B1139="insumo",_xlfn.XLOOKUP($D1139,Insumos!$B$1:$B$764,Insumos!$D$1:$D$764),"")</f>
        <v>12.828666666666667</v>
      </c>
      <c r="H1139" s="177" cm="1">
        <f t="array" ref="H1139">_xlfn.IFS(B1139="Serviço",SUMIFS(H1140:$H$3085,C1140:$C$3085,$C1139),B1139="Insumo",F1139*G1139,B1139="Etapa","")</f>
        <v>14.111533333333334</v>
      </c>
      <c r="I1139" s="178"/>
    </row>
    <row r="1140" spans="1:9" outlineLevel="1" collapsed="1" x14ac:dyDescent="0.25">
      <c r="A1140" s="175">
        <f t="shared" si="36"/>
        <v>1</v>
      </c>
      <c r="B1140" s="175" t="s">
        <v>109</v>
      </c>
      <c r="C1140" s="175" t="str">
        <f t="shared" si="37"/>
        <v>Isolamento de lã de vidro</v>
      </c>
      <c r="D1140" s="175" t="s">
        <v>1771</v>
      </c>
      <c r="E1140" s="176" t="s">
        <v>13</v>
      </c>
      <c r="F1140" s="175"/>
      <c r="G1140" s="177" t="str">
        <f>IF(B1140="insumo",_xlfn.XLOOKUP($D1140,Insumos!$B$1:$B$764,Insumos!$D$1:$D$764),"")</f>
        <v/>
      </c>
      <c r="H1140" s="177" cm="1">
        <f t="array" ref="H1140">_xlfn.IFS(B1140="Serviço",SUMIFS(H1141:$H$3085,C1141:$C$3085,$C1140),B1140="Insumo",F1140*G1140,B1140="Etapa","")</f>
        <v>14.111533333333334</v>
      </c>
      <c r="I1140" s="178" t="s">
        <v>195</v>
      </c>
    </row>
    <row r="1141" spans="1:9" hidden="1" outlineLevel="2" x14ac:dyDescent="0.25">
      <c r="A1141" s="175">
        <f t="shared" si="36"/>
        <v>9</v>
      </c>
      <c r="B1141" s="175" t="s">
        <v>327</v>
      </c>
      <c r="C1141" s="175" t="str">
        <f t="shared" si="37"/>
        <v>Isolamento de lã de vidro</v>
      </c>
      <c r="D1141" s="175" t="s">
        <v>605</v>
      </c>
      <c r="E1141" s="176" t="str">
        <f>_xlfn.XLOOKUP(D1141,Insumos!$B$1:$B$764,Insumos!$C$1:$C$764)</f>
        <v>M2</v>
      </c>
      <c r="F1141" s="179">
        <v>1.1000000000000001</v>
      </c>
      <c r="G1141" s="177">
        <f>IF(B1141="insumo",_xlfn.XLOOKUP($D1141,Insumos!$B$1:$B$764,Insumos!$D$1:$D$764),"")</f>
        <v>12.828666666666667</v>
      </c>
      <c r="H1141" s="177" cm="1">
        <f t="array" ref="H1141">_xlfn.IFS(B1141="Serviço",SUMIFS(H1142:$H$3085,C1142:$C$3085,$C1141),B1141="Insumo",F1141*G1141,B1141="Etapa","")</f>
        <v>14.111533333333334</v>
      </c>
      <c r="I1141" s="178"/>
    </row>
    <row r="1142" spans="1:9" outlineLevel="1" collapsed="1" x14ac:dyDescent="0.25">
      <c r="A1142" s="175">
        <f t="shared" si="36"/>
        <v>1</v>
      </c>
      <c r="B1142" s="175" t="s">
        <v>109</v>
      </c>
      <c r="C1142" s="175" t="str">
        <f t="shared" si="37"/>
        <v>Placa de Zinco Metálico</v>
      </c>
      <c r="D1142" s="175" t="s">
        <v>615</v>
      </c>
      <c r="E1142" s="176" t="s">
        <v>13</v>
      </c>
      <c r="F1142" s="175"/>
      <c r="G1142" s="177" t="str">
        <f>IF(B1142="insumo",_xlfn.XLOOKUP($D1142,Insumos!$B$1:$B$764,Insumos!$D$1:$D$764),"")</f>
        <v/>
      </c>
      <c r="H1142" s="177" cm="1">
        <f t="array" ref="H1142">_xlfn.IFS(B1142="Serviço",SUMIFS(H1143:$H$3085,C1143:$C$3085,$C1142),B1142="Insumo",F1142*G1142,B1142="Etapa","")</f>
        <v>142.12333333333333</v>
      </c>
      <c r="I1142" s="178" t="s">
        <v>195</v>
      </c>
    </row>
    <row r="1143" spans="1:9" hidden="1" outlineLevel="2" x14ac:dyDescent="0.25">
      <c r="A1143" s="175">
        <f t="shared" si="36"/>
        <v>1</v>
      </c>
      <c r="B1143" s="175" t="s">
        <v>327</v>
      </c>
      <c r="C1143" s="175" t="str">
        <f t="shared" si="37"/>
        <v>Placa de Zinco Metálico</v>
      </c>
      <c r="D1143" s="175" t="s">
        <v>616</v>
      </c>
      <c r="E1143" s="176" t="str">
        <f>_xlfn.XLOOKUP(D1143,Insumos!$B$1:$B$764,Insumos!$C$1:$C$764)</f>
        <v>M2</v>
      </c>
      <c r="F1143" s="179">
        <v>1.05</v>
      </c>
      <c r="G1143" s="177">
        <f>IF(B1143="insumo",_xlfn.XLOOKUP($D1143,Insumos!$B$1:$B$764,Insumos!$D$1:$D$764),"")</f>
        <v>135.35555555555555</v>
      </c>
      <c r="H1143" s="177" cm="1">
        <f t="array" ref="H1143">_xlfn.IFS(B1143="Serviço",SUMIFS(H1144:$H$3085,C1144:$C$3085,$C1143),B1143="Insumo",F1143*G1143,B1143="Etapa","")</f>
        <v>142.12333333333333</v>
      </c>
      <c r="I1143" s="178"/>
    </row>
    <row r="1144" spans="1:9" outlineLevel="1" collapsed="1" x14ac:dyDescent="0.25">
      <c r="A1144" s="175">
        <f t="shared" si="36"/>
        <v>1</v>
      </c>
      <c r="B1144" s="175" t="s">
        <v>109</v>
      </c>
      <c r="C1144" s="175" t="str">
        <f t="shared" si="37"/>
        <v>Parede drywall de 10,0 mm</v>
      </c>
      <c r="D1144" s="175" t="s">
        <v>2060</v>
      </c>
      <c r="E1144" s="176" t="s">
        <v>13</v>
      </c>
      <c r="F1144" s="175"/>
      <c r="G1144" s="177" t="str">
        <f>IF(B1144="insumo",_xlfn.XLOOKUP($D1144,Insumos!$B$1:$B$764,Insumos!$D$1:$D$764),"")</f>
        <v/>
      </c>
      <c r="H1144" s="177" cm="1">
        <f t="array" ref="H1144">_xlfn.IFS(B1144="Serviço",SUMIFS(H1145:$H$3085,C1145:$C$3085,$C1144),B1144="Insumo",F1144*G1144,B1144="Etapa","")</f>
        <v>32.013462500000003</v>
      </c>
      <c r="I1144" s="178" t="s">
        <v>195</v>
      </c>
    </row>
    <row r="1145" spans="1:9" hidden="1" outlineLevel="2" x14ac:dyDescent="0.25">
      <c r="A1145" s="175">
        <f t="shared" si="36"/>
        <v>1</v>
      </c>
      <c r="B1145" s="175" t="s">
        <v>327</v>
      </c>
      <c r="C1145" s="175" t="str">
        <f t="shared" si="37"/>
        <v>Parede drywall de 10,0 mm</v>
      </c>
      <c r="D1145" s="175" t="s">
        <v>2062</v>
      </c>
      <c r="E1145" s="176" t="str">
        <f>_xlfn.XLOOKUP(D1145,Insumos!$B$1:$B$764,Insumos!$C$1:$C$764)</f>
        <v>M2</v>
      </c>
      <c r="F1145" s="179">
        <v>1.0529999999999999</v>
      </c>
      <c r="G1145" s="177">
        <f>IF(B1145="insumo",_xlfn.XLOOKUP($D1145,Insumos!$B$1:$B$764,Insumos!$D$1:$D$764),"")</f>
        <v>23.35</v>
      </c>
      <c r="H1145" s="177" cm="1">
        <f t="array" ref="H1145">_xlfn.IFS(B1145="Serviço",SUMIFS(H1146:$H$3085,C1146:$C$3085,$C1145),B1145="Insumo",F1145*G1145,B1145="Etapa","")</f>
        <v>24.58755</v>
      </c>
      <c r="I1145" s="178"/>
    </row>
    <row r="1146" spans="1:9" hidden="1" outlineLevel="2" x14ac:dyDescent="0.25">
      <c r="A1146" s="175">
        <f t="shared" si="36"/>
        <v>30</v>
      </c>
      <c r="B1146" s="175" t="s">
        <v>327</v>
      </c>
      <c r="C1146" s="175" t="str">
        <f t="shared" si="37"/>
        <v>Parede drywall de 10,0 mm</v>
      </c>
      <c r="D1146" s="175" t="s">
        <v>597</v>
      </c>
      <c r="E1146" s="176" t="str">
        <f>_xlfn.XLOOKUP(D1146,Insumos!$B$1:$B$764,Insumos!$C$1:$C$764)</f>
        <v>UN</v>
      </c>
      <c r="F1146" s="179">
        <v>5.92</v>
      </c>
      <c r="G1146" s="177">
        <f>IF(B1146="insumo",_xlfn.XLOOKUP($D1146,Insumos!$B$1:$B$764,Insumos!$D$1:$D$764),"")</f>
        <v>0.504</v>
      </c>
      <c r="H1146" s="177" cm="1">
        <f t="array" ref="H1146">_xlfn.IFS(B1146="Serviço",SUMIFS(H1147:$H$3085,C1147:$C$3085,$C1146),B1146="Insumo",F1146*G1146,B1146="Etapa","")</f>
        <v>2.9836800000000001</v>
      </c>
      <c r="I1146" s="178"/>
    </row>
    <row r="1147" spans="1:9" hidden="1" outlineLevel="2" x14ac:dyDescent="0.25">
      <c r="A1147" s="175">
        <f t="shared" si="36"/>
        <v>28</v>
      </c>
      <c r="B1147" s="175" t="s">
        <v>327</v>
      </c>
      <c r="C1147" s="175" t="str">
        <f t="shared" si="37"/>
        <v>Parede drywall de 10,0 mm</v>
      </c>
      <c r="D1147" s="175" t="s">
        <v>600</v>
      </c>
      <c r="E1147" s="176" t="str">
        <f>_xlfn.XLOOKUP(D1147,Insumos!$B$1:$B$764,Insumos!$C$1:$C$764)</f>
        <v>KG</v>
      </c>
      <c r="F1147" s="179">
        <v>0.54890000000000005</v>
      </c>
      <c r="G1147" s="177">
        <f>IF(B1147="insumo",_xlfn.XLOOKUP($D1147,Insumos!$B$1:$B$764,Insumos!$D$1:$D$764),"")</f>
        <v>3.43</v>
      </c>
      <c r="H1147" s="177" cm="1">
        <f t="array" ref="H1147">_xlfn.IFS(B1147="Serviço",SUMIFS(H1148:$H$3085,C1148:$C$3085,$C1147),B1147="Insumo",F1147*G1147,B1147="Etapa","")</f>
        <v>1.8827270000000003</v>
      </c>
      <c r="I1147" s="178"/>
    </row>
    <row r="1148" spans="1:9" hidden="1" outlineLevel="2" x14ac:dyDescent="0.25">
      <c r="A1148" s="175">
        <f t="shared" si="36"/>
        <v>27</v>
      </c>
      <c r="B1148" s="175" t="s">
        <v>327</v>
      </c>
      <c r="C1148" s="175" t="str">
        <f t="shared" si="37"/>
        <v>Parede drywall de 10,0 mm</v>
      </c>
      <c r="D1148" s="175" t="s">
        <v>601</v>
      </c>
      <c r="E1148" s="176" t="str">
        <f>_xlfn.XLOOKUP(D1148,Insumos!$B$1:$B$764,Insumos!$C$1:$C$764)</f>
        <v>M</v>
      </c>
      <c r="F1148" s="179">
        <v>1.25135</v>
      </c>
      <c r="G1148" s="177">
        <f>IF(B1148="insumo",_xlfn.XLOOKUP($D1148,Insumos!$B$1:$B$764,Insumos!$D$1:$D$764),"")</f>
        <v>0.31</v>
      </c>
      <c r="H1148" s="177" cm="1">
        <f t="array" ref="H1148">_xlfn.IFS(B1148="Serviço",SUMIFS(H1149:$H$3085,C1149:$C$3085,$C1148),B1148="Insumo",F1148*G1148,B1148="Etapa","")</f>
        <v>0.3879185</v>
      </c>
      <c r="I1148" s="178"/>
    </row>
    <row r="1149" spans="1:9" hidden="1" outlineLevel="2" x14ac:dyDescent="0.25">
      <c r="A1149" s="175">
        <f t="shared" si="36"/>
        <v>27</v>
      </c>
      <c r="B1149" s="175" t="s">
        <v>327</v>
      </c>
      <c r="C1149" s="175" t="str">
        <f t="shared" si="37"/>
        <v>Parede drywall de 10,0 mm</v>
      </c>
      <c r="D1149" s="175" t="s">
        <v>602</v>
      </c>
      <c r="E1149" s="176" t="str">
        <f>_xlfn.XLOOKUP(D1149,Insumos!$B$1:$B$764,Insumos!$C$1:$C$764)</f>
        <v>M</v>
      </c>
      <c r="F1149" s="179">
        <v>0.79254999999999998</v>
      </c>
      <c r="G1149" s="177">
        <f>IF(B1149="insumo",_xlfn.XLOOKUP($D1149,Insumos!$B$1:$B$764,Insumos!$D$1:$D$764),"")</f>
        <v>2.74</v>
      </c>
      <c r="H1149" s="177" cm="1">
        <f t="array" ref="H1149">_xlfn.IFS(B1149="Serviço",SUMIFS(H1150:$H$3085,C1150:$C$3085,$C1149),B1149="Insumo",F1149*G1149,B1149="Etapa","")</f>
        <v>2.1715870000000002</v>
      </c>
      <c r="I1149" s="178"/>
    </row>
    <row r="1150" spans="1:9" outlineLevel="1" collapsed="1" x14ac:dyDescent="0.25">
      <c r="A1150" s="175">
        <f t="shared" si="36"/>
        <v>1</v>
      </c>
      <c r="B1150" s="175" t="s">
        <v>109</v>
      </c>
      <c r="C1150" s="175" t="str">
        <f t="shared" si="37"/>
        <v>Parede drywall de 12,5 mm</v>
      </c>
      <c r="D1150" s="175" t="s">
        <v>2061</v>
      </c>
      <c r="E1150" s="176" t="s">
        <v>13</v>
      </c>
      <c r="F1150" s="175"/>
      <c r="G1150" s="177" t="str">
        <f>IF(B1150="insumo",_xlfn.XLOOKUP($D1150,Insumos!$B$1:$B$764,Insumos!$D$1:$D$764),"")</f>
        <v/>
      </c>
      <c r="H1150" s="177" cm="1">
        <f t="array" ref="H1150">_xlfn.IFS(B1150="Serviço",SUMIFS(H1151:$H$3085,C1151:$C$3085,$C1150),B1150="Insumo",F1150*G1150,B1150="Etapa","")</f>
        <v>38.167662500000006</v>
      </c>
      <c r="I1150" s="178" t="s">
        <v>195</v>
      </c>
    </row>
    <row r="1151" spans="1:9" hidden="1" outlineLevel="2" x14ac:dyDescent="0.25">
      <c r="A1151" s="175">
        <f t="shared" si="36"/>
        <v>16</v>
      </c>
      <c r="B1151" s="175" t="s">
        <v>327</v>
      </c>
      <c r="C1151" s="175" t="str">
        <f t="shared" si="37"/>
        <v>Parede drywall de 12,5 mm</v>
      </c>
      <c r="D1151" s="175" t="s">
        <v>612</v>
      </c>
      <c r="E1151" s="176" t="str">
        <f>_xlfn.XLOOKUP(D1151,Insumos!$B$1:$B$764,Insumos!$C$1:$C$764)</f>
        <v>M2</v>
      </c>
      <c r="F1151" s="179">
        <v>1.0529999999999999</v>
      </c>
      <c r="G1151" s="177">
        <f>IF(B1151="insumo",_xlfn.XLOOKUP($D1151,Insumos!$B$1:$B$764,Insumos!$D$1:$D$764),"")</f>
        <v>29.194444444444446</v>
      </c>
      <c r="H1151" s="177" cm="1">
        <f t="array" ref="H1151">_xlfn.IFS(B1151="Serviço",SUMIFS(H1152:$H$3085,C1152:$C$3085,$C1151),B1151="Insumo",F1151*G1151,B1151="Etapa","")</f>
        <v>30.74175</v>
      </c>
      <c r="I1151" s="178"/>
    </row>
    <row r="1152" spans="1:9" hidden="1" outlineLevel="2" x14ac:dyDescent="0.25">
      <c r="A1152" s="175">
        <f t="shared" si="36"/>
        <v>30</v>
      </c>
      <c r="B1152" s="175" t="s">
        <v>327</v>
      </c>
      <c r="C1152" s="175" t="str">
        <f t="shared" si="37"/>
        <v>Parede drywall de 12,5 mm</v>
      </c>
      <c r="D1152" s="175" t="s">
        <v>597</v>
      </c>
      <c r="E1152" s="176" t="str">
        <f>_xlfn.XLOOKUP(D1152,Insumos!$B$1:$B$764,Insumos!$C$1:$C$764)</f>
        <v>UN</v>
      </c>
      <c r="F1152" s="179">
        <v>5.92</v>
      </c>
      <c r="G1152" s="177">
        <f>IF(B1152="insumo",_xlfn.XLOOKUP($D1152,Insumos!$B$1:$B$764,Insumos!$D$1:$D$764),"")</f>
        <v>0.504</v>
      </c>
      <c r="H1152" s="177" cm="1">
        <f t="array" ref="H1152">_xlfn.IFS(B1152="Serviço",SUMIFS(H1153:$H$3085,C1153:$C$3085,$C1152),B1152="Insumo",F1152*G1152,B1152="Etapa","")</f>
        <v>2.9836800000000001</v>
      </c>
      <c r="I1152" s="178"/>
    </row>
    <row r="1153" spans="1:9" hidden="1" outlineLevel="2" x14ac:dyDescent="0.25">
      <c r="A1153" s="175">
        <f t="shared" si="36"/>
        <v>28</v>
      </c>
      <c r="B1153" s="175" t="s">
        <v>327</v>
      </c>
      <c r="C1153" s="175" t="str">
        <f t="shared" si="37"/>
        <v>Parede drywall de 12,5 mm</v>
      </c>
      <c r="D1153" s="175" t="s">
        <v>600</v>
      </c>
      <c r="E1153" s="176" t="str">
        <f>_xlfn.XLOOKUP(D1153,Insumos!$B$1:$B$764,Insumos!$C$1:$C$764)</f>
        <v>KG</v>
      </c>
      <c r="F1153" s="179">
        <v>0.54890000000000005</v>
      </c>
      <c r="G1153" s="177">
        <f>IF(B1153="insumo",_xlfn.XLOOKUP($D1153,Insumos!$B$1:$B$764,Insumos!$D$1:$D$764),"")</f>
        <v>3.43</v>
      </c>
      <c r="H1153" s="177" cm="1">
        <f t="array" ref="H1153">_xlfn.IFS(B1153="Serviço",SUMIFS(H1154:$H$3085,C1154:$C$3085,$C1153),B1153="Insumo",F1153*G1153,B1153="Etapa","")</f>
        <v>1.8827270000000003</v>
      </c>
      <c r="I1153" s="178"/>
    </row>
    <row r="1154" spans="1:9" hidden="1" outlineLevel="2" x14ac:dyDescent="0.25">
      <c r="A1154" s="175">
        <f t="shared" ref="A1154:A1217" si="38">COUNTIFS($D$2:$D$3085,D1154,$B$2:$B$3085,B1154)</f>
        <v>27</v>
      </c>
      <c r="B1154" s="175" t="s">
        <v>327</v>
      </c>
      <c r="C1154" s="175" t="str">
        <f t="shared" si="37"/>
        <v>Parede drywall de 12,5 mm</v>
      </c>
      <c r="D1154" s="175" t="s">
        <v>601</v>
      </c>
      <c r="E1154" s="176" t="str">
        <f>_xlfn.XLOOKUP(D1154,Insumos!$B$1:$B$764,Insumos!$C$1:$C$764)</f>
        <v>M</v>
      </c>
      <c r="F1154" s="179">
        <v>1.25135</v>
      </c>
      <c r="G1154" s="177">
        <f>IF(B1154="insumo",_xlfn.XLOOKUP($D1154,Insumos!$B$1:$B$764,Insumos!$D$1:$D$764),"")</f>
        <v>0.31</v>
      </c>
      <c r="H1154" s="177" cm="1">
        <f t="array" ref="H1154">_xlfn.IFS(B1154="Serviço",SUMIFS(H1155:$H$3085,C1155:$C$3085,$C1154),B1154="Insumo",F1154*G1154,B1154="Etapa","")</f>
        <v>0.3879185</v>
      </c>
      <c r="I1154" s="178"/>
    </row>
    <row r="1155" spans="1:9" hidden="1" outlineLevel="2" x14ac:dyDescent="0.25">
      <c r="A1155" s="175">
        <f t="shared" si="38"/>
        <v>27</v>
      </c>
      <c r="B1155" s="175" t="s">
        <v>327</v>
      </c>
      <c r="C1155" s="175" t="str">
        <f t="shared" si="37"/>
        <v>Parede drywall de 12,5 mm</v>
      </c>
      <c r="D1155" s="175" t="s">
        <v>602</v>
      </c>
      <c r="E1155" s="176" t="str">
        <f>_xlfn.XLOOKUP(D1155,Insumos!$B$1:$B$764,Insumos!$C$1:$C$764)</f>
        <v>M</v>
      </c>
      <c r="F1155" s="179">
        <v>0.79254999999999998</v>
      </c>
      <c r="G1155" s="177">
        <f>IF(B1155="insumo",_xlfn.XLOOKUP($D1155,Insumos!$B$1:$B$764,Insumos!$D$1:$D$764),"")</f>
        <v>2.74</v>
      </c>
      <c r="H1155" s="177" cm="1">
        <f t="array" ref="H1155">_xlfn.IFS(B1155="Serviço",SUMIFS(H1156:$H$3085,C1156:$C$3085,$C1155),B1155="Insumo",F1155*G1155,B1155="Etapa","")</f>
        <v>2.1715870000000002</v>
      </c>
      <c r="I1155" s="178"/>
    </row>
    <row r="1156" spans="1:9" outlineLevel="1" collapsed="1" x14ac:dyDescent="0.25">
      <c r="A1156" s="175">
        <f t="shared" si="38"/>
        <v>1</v>
      </c>
      <c r="B1156" s="175" t="s">
        <v>109</v>
      </c>
      <c r="C1156" s="175" t="str">
        <f t="shared" si="37"/>
        <v>Mão de obra de Tela soldada para ligacao alvenaria/estrutura</v>
      </c>
      <c r="D1156" s="175" t="s">
        <v>2064</v>
      </c>
      <c r="E1156" s="176" t="s">
        <v>131</v>
      </c>
      <c r="F1156" s="175"/>
      <c r="G1156" s="177" t="str">
        <f>IF(B1156="insumo",_xlfn.XLOOKUP($D1156,Insumos!$B$1:$B$764,Insumos!$D$1:$D$764),"")</f>
        <v/>
      </c>
      <c r="H1156" s="177" cm="1">
        <f t="array" ref="H1156">_xlfn.IFS(B1156="Serviço",SUMIFS(H1157:$H$3085,C1157:$C$3085,$C1156),B1156="Insumo",F1156*G1156,B1156="Etapa","")</f>
        <v>10</v>
      </c>
      <c r="I1156" s="178" t="s">
        <v>195</v>
      </c>
    </row>
    <row r="1157" spans="1:9" hidden="1" outlineLevel="2" x14ac:dyDescent="0.25">
      <c r="A1157" s="175">
        <f t="shared" si="38"/>
        <v>1</v>
      </c>
      <c r="B1157" s="175" t="s">
        <v>327</v>
      </c>
      <c r="C1157" s="175" t="str">
        <f t="shared" si="37"/>
        <v>Mão de obra de Tela soldada para ligacao alvenaria/estrutura</v>
      </c>
      <c r="D1157" s="175" t="s">
        <v>2064</v>
      </c>
      <c r="E1157" s="176" t="str">
        <f>_xlfn.XLOOKUP(D1157,Insumos!$B$1:$B$764,Insumos!$C$1:$C$764)</f>
        <v>UN</v>
      </c>
      <c r="F1157" s="179">
        <v>1</v>
      </c>
      <c r="G1157" s="177">
        <f>IF(B1157="insumo",_xlfn.XLOOKUP($D1157,Insumos!$B$1:$B$764,Insumos!$D$1:$D$764),"")</f>
        <v>10</v>
      </c>
      <c r="H1157" s="177" cm="1">
        <f t="array" ref="H1157">_xlfn.IFS(B1157="Serviço",SUMIFS(H1158:$H$3085,C1158:$C$3085,$C1157),B1157="Insumo",F1157*G1157,B1157="Etapa","")</f>
        <v>10</v>
      </c>
      <c r="I1157" s="178"/>
    </row>
    <row r="1158" spans="1:9" outlineLevel="1" collapsed="1" x14ac:dyDescent="0.25">
      <c r="A1158" s="175">
        <f t="shared" si="38"/>
        <v>1</v>
      </c>
      <c r="B1158" s="175" t="s">
        <v>109</v>
      </c>
      <c r="C1158" s="175" t="str">
        <f t="shared" si="37"/>
        <v>Mão de obra para assentamento de blocos cerâmicos</v>
      </c>
      <c r="D1158" s="175" t="s">
        <v>168</v>
      </c>
      <c r="E1158" s="176" t="s">
        <v>13</v>
      </c>
      <c r="F1158" s="175"/>
      <c r="G1158" s="177" t="str">
        <f>IF(B1158="insumo",_xlfn.XLOOKUP($D1158,Insumos!$B$1:$B$764,Insumos!$D$1:$D$764),"")</f>
        <v/>
      </c>
      <c r="H1158" s="177" cm="1">
        <f t="array" ref="H1158">_xlfn.IFS(B1158="Serviço",SUMIFS(H1159:$H$3085,C1159:$C$3085,$C1158),B1158="Insumo",F1158*G1158,B1158="Etapa","")</f>
        <v>48</v>
      </c>
      <c r="I1158" s="178" t="s">
        <v>195</v>
      </c>
    </row>
    <row r="1159" spans="1:9" hidden="1" outlineLevel="2" x14ac:dyDescent="0.25">
      <c r="A1159" s="175">
        <f t="shared" si="38"/>
        <v>1</v>
      </c>
      <c r="B1159" s="175" t="s">
        <v>327</v>
      </c>
      <c r="C1159" s="175" t="str">
        <f t="shared" si="37"/>
        <v>Mão de obra para assentamento de blocos cerâmicos</v>
      </c>
      <c r="D1159" s="175" t="s">
        <v>168</v>
      </c>
      <c r="E1159" s="176" t="str">
        <f>_xlfn.XLOOKUP(D1159,Insumos!$B$1:$B$764,Insumos!$C$1:$C$764)</f>
        <v>M2</v>
      </c>
      <c r="F1159" s="179">
        <v>1</v>
      </c>
      <c r="G1159" s="177">
        <f>IF(B1159="insumo",_xlfn.XLOOKUP($D1159,Insumos!$B$1:$B$764,Insumos!$D$1:$D$764),"")</f>
        <v>48</v>
      </c>
      <c r="H1159" s="177" cm="1">
        <f t="array" ref="H1159">_xlfn.IFS(B1159="Serviço",SUMIFS(H1160:$H$3085,C1160:$C$3085,$C1159),B1159="Insumo",F1159*G1159,B1159="Etapa","")</f>
        <v>48</v>
      </c>
      <c r="I1159" s="178"/>
    </row>
    <row r="1160" spans="1:9" outlineLevel="1" collapsed="1" x14ac:dyDescent="0.25">
      <c r="A1160" s="175">
        <f t="shared" si="38"/>
        <v>1</v>
      </c>
      <c r="B1160" s="175" t="s">
        <v>109</v>
      </c>
      <c r="C1160" s="175" t="str">
        <f t="shared" si="37"/>
        <v xml:space="preserve">Mão de obra para assentamento de blocos de Refratário </v>
      </c>
      <c r="D1160" s="175" t="s">
        <v>213</v>
      </c>
      <c r="E1160" s="176" t="s">
        <v>13</v>
      </c>
      <c r="F1160" s="179"/>
      <c r="G1160" s="177" t="str">
        <f>IF(B1160="insumo",_xlfn.XLOOKUP($D1160,Insumos!$B$1:$B$764,Insumos!$D$1:$D$764),"")</f>
        <v/>
      </c>
      <c r="H1160" s="177" cm="1">
        <f t="array" ref="H1160">_xlfn.IFS(B1160="Serviço",SUMIFS(H1161:$H$3085,C1161:$C$3085,$C1160),B1160="Insumo",F1160*G1160,B1160="Etapa","")</f>
        <v>50</v>
      </c>
      <c r="I1160" s="178" t="s">
        <v>195</v>
      </c>
    </row>
    <row r="1161" spans="1:9" hidden="1" outlineLevel="2" x14ac:dyDescent="0.25">
      <c r="A1161" s="175">
        <f t="shared" si="38"/>
        <v>1</v>
      </c>
      <c r="B1161" s="175" t="s">
        <v>327</v>
      </c>
      <c r="C1161" s="175" t="str">
        <f t="shared" si="37"/>
        <v xml:space="preserve">Mão de obra para assentamento de blocos de Refratário </v>
      </c>
      <c r="D1161" s="175" t="s">
        <v>213</v>
      </c>
      <c r="E1161" s="176" t="str">
        <f>_xlfn.XLOOKUP(D1161,Insumos!$B$1:$B$764,Insumos!$C$1:$C$764)</f>
        <v>UN</v>
      </c>
      <c r="F1161" s="179">
        <v>1</v>
      </c>
      <c r="G1161" s="177">
        <f>IF(B1161="insumo",_xlfn.XLOOKUP($D1161,Insumos!$B$1:$B$764,Insumos!$D$1:$D$764),"")</f>
        <v>50</v>
      </c>
      <c r="H1161" s="177" cm="1">
        <f t="array" ref="H1161">_xlfn.IFS(B1161="Serviço",SUMIFS(H1162:$H$3085,C1162:$C$3085,$C1161),B1161="Insumo",F1161*G1161,B1161="Etapa","")</f>
        <v>50</v>
      </c>
      <c r="I1161" s="178"/>
    </row>
    <row r="1162" spans="1:9" outlineLevel="1" collapsed="1" x14ac:dyDescent="0.25">
      <c r="A1162" s="175">
        <f t="shared" si="38"/>
        <v>1</v>
      </c>
      <c r="B1162" s="175" t="s">
        <v>109</v>
      </c>
      <c r="C1162" s="175" t="str">
        <f t="shared" si="37"/>
        <v>Mão de obra para assentamento de blocos de silico calcarios</v>
      </c>
      <c r="D1162" s="175" t="s">
        <v>214</v>
      </c>
      <c r="E1162" s="176" t="s">
        <v>13</v>
      </c>
      <c r="F1162" s="179"/>
      <c r="G1162" s="177" t="str">
        <f>IF(B1162="insumo",_xlfn.XLOOKUP($D1162,Insumos!$B$1:$B$764,Insumos!$D$1:$D$764),"")</f>
        <v/>
      </c>
      <c r="H1162" s="177" cm="1">
        <f t="array" ref="H1162">_xlfn.IFS(B1162="Serviço",SUMIFS(H1163:$H$3085,C1163:$C$3085,$C1162),B1162="Insumo",F1162*G1162,B1162="Etapa","")</f>
        <v>48</v>
      </c>
      <c r="I1162" s="178" t="s">
        <v>195</v>
      </c>
    </row>
    <row r="1163" spans="1:9" hidden="1" outlineLevel="2" x14ac:dyDescent="0.25">
      <c r="A1163" s="175">
        <f t="shared" si="38"/>
        <v>1</v>
      </c>
      <c r="B1163" s="175" t="s">
        <v>327</v>
      </c>
      <c r="C1163" s="175" t="str">
        <f t="shared" si="37"/>
        <v>Mão de obra para assentamento de blocos de silico calcarios</v>
      </c>
      <c r="D1163" s="175" t="s">
        <v>214</v>
      </c>
      <c r="E1163" s="176" t="str">
        <f>_xlfn.XLOOKUP(D1163,Insumos!$B$1:$B$764,Insumos!$C$1:$C$764)</f>
        <v>UN</v>
      </c>
      <c r="F1163" s="179">
        <v>1</v>
      </c>
      <c r="G1163" s="177">
        <f>IF(B1163="insumo",_xlfn.XLOOKUP($D1163,Insumos!$B$1:$B$764,Insumos!$D$1:$D$764),"")</f>
        <v>48</v>
      </c>
      <c r="H1163" s="177" cm="1">
        <f t="array" ref="H1163">_xlfn.IFS(B1163="Serviço",SUMIFS(H1164:$H$3085,C1164:$C$3085,$C1163),B1163="Insumo",F1163*G1163,B1163="Etapa","")</f>
        <v>48</v>
      </c>
      <c r="I1163" s="178"/>
    </row>
    <row r="1164" spans="1:9" outlineLevel="1" collapsed="1" x14ac:dyDescent="0.25">
      <c r="A1164" s="175">
        <f t="shared" si="38"/>
        <v>1</v>
      </c>
      <c r="B1164" s="175" t="s">
        <v>109</v>
      </c>
      <c r="C1164" s="175" t="str">
        <f t="shared" si="37"/>
        <v>Mão de obra para assentamento de blocos concreto</v>
      </c>
      <c r="D1164" s="175" t="s">
        <v>617</v>
      </c>
      <c r="E1164" s="176" t="s">
        <v>13</v>
      </c>
      <c r="F1164" s="179"/>
      <c r="G1164" s="177" t="str">
        <f>IF(B1164="insumo",_xlfn.XLOOKUP($D1164,Insumos!$B$1:$B$764,Insumos!$D$1:$D$764),"")</f>
        <v/>
      </c>
      <c r="H1164" s="177" cm="1">
        <f t="array" ref="H1164">_xlfn.IFS(B1164="Serviço",SUMIFS(H1165:$H$3085,C1165:$C$3085,$C1164),B1164="Insumo",F1164*G1164,B1164="Etapa","")</f>
        <v>48</v>
      </c>
      <c r="I1164" s="178" t="s">
        <v>195</v>
      </c>
    </row>
    <row r="1165" spans="1:9" hidden="1" outlineLevel="2" x14ac:dyDescent="0.25">
      <c r="A1165" s="175">
        <f t="shared" si="38"/>
        <v>1</v>
      </c>
      <c r="B1165" s="175" t="s">
        <v>327</v>
      </c>
      <c r="C1165" s="175" t="str">
        <f t="shared" si="37"/>
        <v>Mão de obra para assentamento de blocos concreto</v>
      </c>
      <c r="D1165" s="175" t="s">
        <v>617</v>
      </c>
      <c r="E1165" s="176" t="str">
        <f>_xlfn.XLOOKUP(D1165,Insumos!$B$1:$B$764,Insumos!$C$1:$C$764)</f>
        <v>UN</v>
      </c>
      <c r="F1165" s="179">
        <v>1</v>
      </c>
      <c r="G1165" s="177">
        <f>IF(B1165="insumo",_xlfn.XLOOKUP($D1165,Insumos!$B$1:$B$764,Insumos!$D$1:$D$764),"")</f>
        <v>48</v>
      </c>
      <c r="H1165" s="177" cm="1">
        <f t="array" ref="H1165">_xlfn.IFS(B1165="Serviço",SUMIFS(H1166:$H$3085,C1166:$C$3085,$C1165),B1165="Insumo",F1165*G1165,B1165="Etapa","")</f>
        <v>48</v>
      </c>
      <c r="I1165" s="178"/>
    </row>
    <row r="1166" spans="1:9" outlineLevel="1" collapsed="1" x14ac:dyDescent="0.25">
      <c r="A1166" s="175">
        <f t="shared" si="38"/>
        <v>1</v>
      </c>
      <c r="B1166" s="175" t="s">
        <v>109</v>
      </c>
      <c r="C1166" s="175" t="str">
        <f t="shared" si="37"/>
        <v>Mão de obra para assentamento de blocos concreto Estrutural</v>
      </c>
      <c r="D1166" s="175" t="s">
        <v>618</v>
      </c>
      <c r="E1166" s="176" t="s">
        <v>13</v>
      </c>
      <c r="F1166" s="179"/>
      <c r="G1166" s="177" t="str">
        <f>IF(B1166="insumo",_xlfn.XLOOKUP($D1166,Insumos!$B$1:$B$764,Insumos!$D$1:$D$764),"")</f>
        <v/>
      </c>
      <c r="H1166" s="177" cm="1">
        <f t="array" ref="H1166">_xlfn.IFS(B1166="Serviço",SUMIFS(H1167:$H$3085,C1167:$C$3085,$C1166),B1166="Insumo",F1166*G1166,B1166="Etapa","")</f>
        <v>48</v>
      </c>
      <c r="I1166" s="178" t="s">
        <v>195</v>
      </c>
    </row>
    <row r="1167" spans="1:9" hidden="1" outlineLevel="2" x14ac:dyDescent="0.25">
      <c r="A1167" s="175">
        <f t="shared" si="38"/>
        <v>1</v>
      </c>
      <c r="B1167" s="175" t="s">
        <v>327</v>
      </c>
      <c r="C1167" s="175" t="str">
        <f t="shared" si="37"/>
        <v>Mão de obra para assentamento de blocos concreto Estrutural</v>
      </c>
      <c r="D1167" s="175" t="s">
        <v>618</v>
      </c>
      <c r="E1167" s="176" t="str">
        <f>_xlfn.XLOOKUP(D1167,Insumos!$B$1:$B$764,Insumos!$C$1:$C$764)</f>
        <v>UN</v>
      </c>
      <c r="F1167" s="179">
        <v>1</v>
      </c>
      <c r="G1167" s="177">
        <f>IF(B1167="insumo",_xlfn.XLOOKUP($D1167,Insumos!$B$1:$B$764,Insumos!$D$1:$D$764),"")</f>
        <v>48</v>
      </c>
      <c r="H1167" s="177" cm="1">
        <f t="array" ref="H1167">_xlfn.IFS(B1167="Serviço",SUMIFS(H1168:$H$3085,C1168:$C$3085,$C1167),B1167="Insumo",F1167*G1167,B1167="Etapa","")</f>
        <v>48</v>
      </c>
      <c r="I1167" s="178"/>
    </row>
    <row r="1168" spans="1:9" outlineLevel="1" collapsed="1" x14ac:dyDescent="0.25">
      <c r="A1168" s="175">
        <f t="shared" si="38"/>
        <v>1</v>
      </c>
      <c r="B1168" s="175" t="s">
        <v>109</v>
      </c>
      <c r="C1168" s="175" t="str">
        <f t="shared" si="37"/>
        <v>Mão de obra para mochetas</v>
      </c>
      <c r="D1168" s="175" t="s">
        <v>2038</v>
      </c>
      <c r="E1168" s="176" t="s">
        <v>13</v>
      </c>
      <c r="F1168" s="179"/>
      <c r="G1168" s="177" t="str">
        <f>IF(B1168="insumo",_xlfn.XLOOKUP($D1168,Insumos!$B$1:$B$764,Insumos!$D$1:$D$764),"")</f>
        <v/>
      </c>
      <c r="H1168" s="177" cm="1">
        <f t="array" ref="H1168">_xlfn.IFS(B1168="Serviço",SUMIFS(H1169:$H$3085,C1169:$C$3085,$C1168),B1168="Insumo",F1168*G1168,B1168="Etapa","")</f>
        <v>40</v>
      </c>
      <c r="I1168" s="178" t="s">
        <v>195</v>
      </c>
    </row>
    <row r="1169" spans="1:9" hidden="1" outlineLevel="2" x14ac:dyDescent="0.25">
      <c r="A1169" s="175">
        <f t="shared" si="38"/>
        <v>1</v>
      </c>
      <c r="B1169" s="175" t="s">
        <v>327</v>
      </c>
      <c r="C1169" s="175" t="str">
        <f t="shared" si="37"/>
        <v>Mão de obra para mochetas</v>
      </c>
      <c r="D1169" s="175" t="s">
        <v>2038</v>
      </c>
      <c r="E1169" s="176" t="str">
        <f>_xlfn.XLOOKUP(D1169,Insumos!$B$1:$B$764,Insumos!$C$1:$C$764)</f>
        <v>M2</v>
      </c>
      <c r="F1169" s="179">
        <v>1</v>
      </c>
      <c r="G1169" s="177">
        <f>IF(B1169="insumo",_xlfn.XLOOKUP($D1169,Insumos!$B$1:$B$764,Insumos!$D$1:$D$764),"")</f>
        <v>40</v>
      </c>
      <c r="H1169" s="177" cm="1">
        <f t="array" ref="H1169">_xlfn.IFS(B1169="Serviço",SUMIFS(H1170:$H$3085,C1170:$C$3085,$C1169),B1169="Insumo",F1169*G1169,B1169="Etapa","")</f>
        <v>40</v>
      </c>
      <c r="I1169" s="178"/>
    </row>
    <row r="1170" spans="1:9" x14ac:dyDescent="0.25">
      <c r="A1170" s="172">
        <f t="shared" si="38"/>
        <v>1</v>
      </c>
      <c r="B1170" s="172" t="s">
        <v>107</v>
      </c>
      <c r="C1170" s="172"/>
      <c r="D1170" s="172" t="s">
        <v>88</v>
      </c>
      <c r="E1170" s="173"/>
      <c r="F1170" s="174"/>
      <c r="G1170" s="180" t="str">
        <f>IF(B1170="insumo",_xlfn.XLOOKUP($D1170,Insumos!$B$1:$B$764,Insumos!$D$1:$D$764),"")</f>
        <v/>
      </c>
      <c r="H1170" s="177" t="str" cm="1">
        <f t="array" ref="H1170">_xlfn.IFS(B1170="Serviço",SUMIFS(H1171:$H$3085,C1171:$C$3085,$C1170),B1170="Insumo",F1170*G1170,B1170="Etapa","")</f>
        <v/>
      </c>
      <c r="I1170" s="174"/>
    </row>
    <row r="1171" spans="1:9" x14ac:dyDescent="0.25">
      <c r="A1171" s="172">
        <f t="shared" si="38"/>
        <v>1</v>
      </c>
      <c r="B1171" s="172" t="s">
        <v>107</v>
      </c>
      <c r="C1171" s="172"/>
      <c r="D1171" s="172" t="s">
        <v>87</v>
      </c>
      <c r="E1171" s="173"/>
      <c r="F1171" s="174"/>
      <c r="G1171" s="180" t="str">
        <f>IF(B1171="insumo",_xlfn.XLOOKUP($D1171,Insumos!$B$1:$B$764,Insumos!$D$1:$D$764),"")</f>
        <v/>
      </c>
      <c r="H1171" s="177" t="str" cm="1">
        <f t="array" ref="H1171">_xlfn.IFS(B1171="Serviço",SUMIFS(H1172:$H$3085,C1172:$C$3085,$C1171),B1171="Insumo",F1171*G1171,B1171="Etapa","")</f>
        <v/>
      </c>
      <c r="I1171" s="174"/>
    </row>
    <row r="1172" spans="1:9" x14ac:dyDescent="0.25">
      <c r="A1172" s="172">
        <f t="shared" si="38"/>
        <v>1</v>
      </c>
      <c r="B1172" s="172" t="s">
        <v>107</v>
      </c>
      <c r="C1172" s="172"/>
      <c r="D1172" s="172" t="s">
        <v>619</v>
      </c>
      <c r="E1172" s="173"/>
      <c r="F1172" s="174"/>
      <c r="G1172" s="180" t="str">
        <f>IF(B1172="insumo",_xlfn.XLOOKUP($D1172,Insumos!$B$1:$B$764,Insumos!$D$1:$D$764),"")</f>
        <v/>
      </c>
      <c r="H1172" s="177" t="str" cm="1">
        <f t="array" ref="H1172">_xlfn.IFS(B1172="Serviço",SUMIFS(H1173:$H$3085,C1173:$C$3085,$C1172),B1172="Insumo",F1172*G1172,B1172="Etapa","")</f>
        <v/>
      </c>
      <c r="I1172" s="174"/>
    </row>
    <row r="1173" spans="1:9" collapsed="1" x14ac:dyDescent="0.25">
      <c r="A1173" s="172">
        <f t="shared" si="38"/>
        <v>1</v>
      </c>
      <c r="B1173" s="172" t="s">
        <v>107</v>
      </c>
      <c r="C1173" s="172"/>
      <c r="D1173" s="172" t="s">
        <v>92</v>
      </c>
      <c r="E1173" s="173"/>
      <c r="F1173" s="174"/>
      <c r="G1173" s="180" t="str">
        <f>IF(B1173="insumo",_xlfn.XLOOKUP($D1173,Insumos!$B$1:$B$764,Insumos!$D$1:$D$764),"")</f>
        <v/>
      </c>
      <c r="H1173" s="177" t="str" cm="1">
        <f t="array" ref="H1173">_xlfn.IFS(B1173="Serviço",SUMIFS(H1174:$H$3085,C1174:$C$3085,$C1173),B1173="Insumo",F1173*G1173,B1173="Etapa","")</f>
        <v/>
      </c>
      <c r="I1173" s="174"/>
    </row>
    <row r="1174" spans="1:9" hidden="1" outlineLevel="1" collapsed="1" x14ac:dyDescent="0.25">
      <c r="A1174" s="175">
        <f t="shared" si="38"/>
        <v>1</v>
      </c>
      <c r="B1174" s="175" t="s">
        <v>109</v>
      </c>
      <c r="C1174" s="175" t="str">
        <f t="shared" si="37"/>
        <v>Churrasqueiras kit Gourmet Médio Inox 304</v>
      </c>
      <c r="D1174" s="175" t="s">
        <v>620</v>
      </c>
      <c r="E1174" s="176" t="s">
        <v>131</v>
      </c>
      <c r="F1174" s="175"/>
      <c r="G1174" s="177" t="str">
        <f>IF(B1174="insumo",_xlfn.XLOOKUP($D1174,Insumos!$B$1:$B$764,Insumos!$D$1:$D$764),"")</f>
        <v/>
      </c>
      <c r="H1174" s="177" cm="1">
        <f t="array" ref="H1174">_xlfn.IFS(B1174="Serviço",SUMIFS(H1175:$H$3085,C1175:$C$3085,$C1174),B1174="Insumo",F1174*G1174,B1174="Etapa","")</f>
        <v>3889</v>
      </c>
      <c r="I1174" s="178"/>
    </row>
    <row r="1175" spans="1:9" hidden="1" outlineLevel="2" x14ac:dyDescent="0.25">
      <c r="A1175" s="175">
        <f t="shared" si="38"/>
        <v>2</v>
      </c>
      <c r="B1175" s="175" t="s">
        <v>327</v>
      </c>
      <c r="C1175" s="175" t="str">
        <f t="shared" si="37"/>
        <v>Churrasqueiras kit Gourmet Médio Inox 304</v>
      </c>
      <c r="D1175" s="175" t="s">
        <v>621</v>
      </c>
      <c r="E1175" s="176" t="str">
        <f>_xlfn.XLOOKUP(D1175,Insumos!$B$1:$B$764,Insumos!$C$1:$C$764)</f>
        <v>UN</v>
      </c>
      <c r="F1175" s="179">
        <v>1</v>
      </c>
      <c r="G1175" s="177">
        <f>IF(B1175="insumo",_xlfn.XLOOKUP($D1175,Insumos!$B$1:$B$764,Insumos!$D$1:$D$764),"")</f>
        <v>400</v>
      </c>
      <c r="H1175" s="177" cm="1">
        <f t="array" ref="H1175">_xlfn.IFS(B1175="Serviço",SUMIFS(H1176:$H$3085,C1176:$C$3085,$C1175),B1175="Insumo",F1175*G1175,B1175="Etapa","")</f>
        <v>400</v>
      </c>
      <c r="I1175" s="178"/>
    </row>
    <row r="1176" spans="1:9" hidden="1" outlineLevel="2" x14ac:dyDescent="0.25">
      <c r="A1176" s="175">
        <f t="shared" si="38"/>
        <v>1</v>
      </c>
      <c r="B1176" s="175" t="s">
        <v>327</v>
      </c>
      <c r="C1176" s="175" t="str">
        <f t="shared" si="37"/>
        <v>Churrasqueiras kit Gourmet Médio Inox 304</v>
      </c>
      <c r="D1176" s="175" t="s">
        <v>620</v>
      </c>
      <c r="E1176" s="176" t="str">
        <f>_xlfn.XLOOKUP(D1176,Insumos!$B$1:$B$764,Insumos!$C$1:$C$764)</f>
        <v>UN</v>
      </c>
      <c r="F1176" s="179">
        <v>1</v>
      </c>
      <c r="G1176" s="177">
        <f>IF(B1176="insumo",_xlfn.XLOOKUP($D1176,Insumos!$B$1:$B$764,Insumos!$D$1:$D$764),"")</f>
        <v>3489</v>
      </c>
      <c r="H1176" s="177" cm="1">
        <f t="array" ref="H1176">_xlfn.IFS(B1176="Serviço",SUMIFS(H1177:$H$3085,C1177:$C$3085,$C1176),B1176="Insumo",F1176*G1176,B1176="Etapa","")</f>
        <v>3489</v>
      </c>
      <c r="I1176" s="178"/>
    </row>
    <row r="1177" spans="1:9" hidden="1" outlineLevel="1" collapsed="1" x14ac:dyDescent="0.25">
      <c r="A1177" s="175">
        <f t="shared" si="38"/>
        <v>1</v>
      </c>
      <c r="B1177" s="175" t="s">
        <v>109</v>
      </c>
      <c r="C1177" s="175" t="str">
        <f t="shared" si="37"/>
        <v>Churrasqueiras Pré-Moldadas</v>
      </c>
      <c r="D1177" s="175" t="s">
        <v>622</v>
      </c>
      <c r="E1177" s="176" t="s">
        <v>131</v>
      </c>
      <c r="F1177" s="175"/>
      <c r="G1177" s="177" t="str">
        <f>IF(B1177="insumo",_xlfn.XLOOKUP($D1177,Insumos!$B$1:$B$764,Insumos!$D$1:$D$764),"")</f>
        <v/>
      </c>
      <c r="H1177" s="177" cm="1">
        <f t="array" ref="H1177">_xlfn.IFS(B1177="Serviço",SUMIFS(H1178:$H$3085,C1178:$C$3085,$C1177),B1177="Insumo",F1177*G1177,B1177="Etapa","")</f>
        <v>1577</v>
      </c>
      <c r="I1177" s="178"/>
    </row>
    <row r="1178" spans="1:9" hidden="1" outlineLevel="2" x14ac:dyDescent="0.25">
      <c r="A1178" s="175">
        <f t="shared" si="38"/>
        <v>2</v>
      </c>
      <c r="B1178" s="175" t="s">
        <v>327</v>
      </c>
      <c r="C1178" s="175" t="str">
        <f t="shared" si="37"/>
        <v>Churrasqueiras Pré-Moldadas</v>
      </c>
      <c r="D1178" s="175" t="s">
        <v>621</v>
      </c>
      <c r="E1178" s="176" t="str">
        <f>_xlfn.XLOOKUP(D1178,Insumos!$B$1:$B$764,Insumos!$C$1:$C$764)</f>
        <v>UN</v>
      </c>
      <c r="F1178" s="179">
        <v>1</v>
      </c>
      <c r="G1178" s="177">
        <f>IF(B1178="insumo",_xlfn.XLOOKUP($D1178,Insumos!$B$1:$B$764,Insumos!$D$1:$D$764),"")</f>
        <v>400</v>
      </c>
      <c r="H1178" s="177" cm="1">
        <f t="array" ref="H1178">_xlfn.IFS(B1178="Serviço",SUMIFS(H1179:$H$3085,C1179:$C$3085,$C1178),B1178="Insumo",F1178*G1178,B1178="Etapa","")</f>
        <v>400</v>
      </c>
      <c r="I1178" s="178"/>
    </row>
    <row r="1179" spans="1:9" hidden="1" outlineLevel="2" x14ac:dyDescent="0.25">
      <c r="A1179" s="175">
        <f t="shared" si="38"/>
        <v>1</v>
      </c>
      <c r="B1179" s="175" t="s">
        <v>327</v>
      </c>
      <c r="C1179" s="175" t="str">
        <f t="shared" si="37"/>
        <v>Churrasqueiras Pré-Moldadas</v>
      </c>
      <c r="D1179" s="175" t="s">
        <v>622</v>
      </c>
      <c r="E1179" s="176" t="str">
        <f>_xlfn.XLOOKUP(D1179,Insumos!$B$1:$B$764,Insumos!$C$1:$C$764)</f>
        <v>UN</v>
      </c>
      <c r="F1179" s="179">
        <v>1</v>
      </c>
      <c r="G1179" s="177">
        <f>IF(B1179="insumo",_xlfn.XLOOKUP($D1179,Insumos!$B$1:$B$764,Insumos!$D$1:$D$764),"")</f>
        <v>1177</v>
      </c>
      <c r="H1179" s="177" cm="1">
        <f t="array" ref="H1179">_xlfn.IFS(B1179="Serviço",SUMIFS(H1180:$H$3085,C1180:$C$3085,$C1179),B1179="Insumo",F1179*G1179,B1179="Etapa","")</f>
        <v>1177</v>
      </c>
      <c r="I1179" s="178"/>
    </row>
    <row r="1180" spans="1:9" collapsed="1" x14ac:dyDescent="0.25">
      <c r="A1180" s="172">
        <f t="shared" si="38"/>
        <v>1</v>
      </c>
      <c r="B1180" s="172" t="s">
        <v>107</v>
      </c>
      <c r="C1180" s="172"/>
      <c r="D1180" s="172" t="s">
        <v>117</v>
      </c>
      <c r="E1180" s="173"/>
      <c r="F1180" s="174"/>
      <c r="G1180" s="180" t="str">
        <f>IF(B1180="insumo",_xlfn.XLOOKUP($D1180,Insumos!$B$1:$B$764,Insumos!$D$1:$D$764),"")</f>
        <v/>
      </c>
      <c r="H1180" s="177" t="str" cm="1">
        <f t="array" ref="H1180">_xlfn.IFS(B1180="Serviço",SUMIFS(H1181:$H$3085,C1181:$C$3085,$C1180),B1180="Insumo",F1180*G1180,B1180="Etapa","")</f>
        <v/>
      </c>
      <c r="I1180" s="174"/>
    </row>
    <row r="1181" spans="1:9" hidden="1" outlineLevel="1" collapsed="1" x14ac:dyDescent="0.25">
      <c r="A1181" s="175">
        <f t="shared" si="38"/>
        <v>1</v>
      </c>
      <c r="B1181" s="175" t="s">
        <v>109</v>
      </c>
      <c r="C1181" s="175" t="str">
        <f t="shared" si="37"/>
        <v xml:space="preserve">Regularização de superfície para impermeabilização </v>
      </c>
      <c r="D1181" s="175" t="s">
        <v>623</v>
      </c>
      <c r="E1181" s="176" t="s">
        <v>13</v>
      </c>
      <c r="F1181" s="175"/>
      <c r="G1181" s="177" t="str">
        <f>IF(B1181="insumo",_xlfn.XLOOKUP($D1181,Insumos!$B$1:$B$764,Insumos!$D$1:$D$764),"")</f>
        <v/>
      </c>
      <c r="H1181" s="177" cm="1">
        <f t="array" ref="H1181">_xlfn.IFS(B1181="Serviço",SUMIFS(H1182:$H$3085,C1182:$C$3085,$C1181),B1181="Insumo",F1181*G1181,B1181="Etapa","")</f>
        <v>7.0658999999999992</v>
      </c>
      <c r="I1181" s="178" t="s">
        <v>195</v>
      </c>
    </row>
    <row r="1182" spans="1:9" hidden="1" outlineLevel="2" x14ac:dyDescent="0.25">
      <c r="A1182" s="175">
        <f t="shared" si="38"/>
        <v>7</v>
      </c>
      <c r="B1182" s="175" t="s">
        <v>327</v>
      </c>
      <c r="C1182" s="175" t="str">
        <f t="shared" ref="C1182:C1245" si="39">IF(B1182="serviço",D1182,C1181)</f>
        <v xml:space="preserve">Regularização de superfície para impermeabilização </v>
      </c>
      <c r="D1182" s="175" t="s">
        <v>624</v>
      </c>
      <c r="E1182" s="176" t="str">
        <f>_xlfn.XLOOKUP(D1182,Insumos!$B$1:$B$764,Insumos!$C$1:$C$764)</f>
        <v>M3</v>
      </c>
      <c r="F1182" s="179">
        <v>1.55E-2</v>
      </c>
      <c r="G1182" s="177">
        <f>IF(B1182="insumo",_xlfn.XLOOKUP($D1182,Insumos!$B$1:$B$764,Insumos!$D$1:$D$764),"")</f>
        <v>145</v>
      </c>
      <c r="H1182" s="177" cm="1">
        <f t="array" ref="H1182">_xlfn.IFS(B1182="Serviço",SUMIFS(H1183:$H$3085,C1183:$C$3085,$C1182),B1182="Insumo",F1182*G1182,B1182="Etapa","")</f>
        <v>2.2475000000000001</v>
      </c>
      <c r="I1182" s="178"/>
    </row>
    <row r="1183" spans="1:9" hidden="1" outlineLevel="2" x14ac:dyDescent="0.25">
      <c r="A1183" s="175">
        <f t="shared" si="38"/>
        <v>39</v>
      </c>
      <c r="B1183" s="175" t="s">
        <v>327</v>
      </c>
      <c r="C1183" s="175" t="str">
        <f t="shared" si="39"/>
        <v xml:space="preserve">Regularização de superfície para impermeabilização </v>
      </c>
      <c r="D1183" s="175" t="s">
        <v>396</v>
      </c>
      <c r="E1183" s="176" t="str">
        <f>_xlfn.XLOOKUP(D1183,Insumos!$B$1:$B$764,Insumos!$C$1:$C$764)</f>
        <v>KG</v>
      </c>
      <c r="F1183" s="179">
        <v>6.34</v>
      </c>
      <c r="G1183" s="177">
        <f>IF(B1183="insumo",_xlfn.XLOOKUP($D1183,Insumos!$B$1:$B$764,Insumos!$D$1:$D$764),"")</f>
        <v>0.76</v>
      </c>
      <c r="H1183" s="177" cm="1">
        <f t="array" ref="H1183">_xlfn.IFS(B1183="Serviço",SUMIFS(H1184:$H$3085,C1184:$C$3085,$C1183),B1183="Insumo",F1183*G1183,B1183="Etapa","")</f>
        <v>4.8183999999999996</v>
      </c>
      <c r="I1183" s="178"/>
    </row>
    <row r="1184" spans="1:9" hidden="1" outlineLevel="1" collapsed="1" x14ac:dyDescent="0.25">
      <c r="A1184" s="175">
        <f t="shared" si="38"/>
        <v>1</v>
      </c>
      <c r="B1184" s="175" t="s">
        <v>109</v>
      </c>
      <c r="C1184" s="175" t="str">
        <f t="shared" si="39"/>
        <v>Proteção mecânica de superfície com argamassa de cimento e areia, traço 1:3 E=5cm</v>
      </c>
      <c r="D1184" s="175" t="s">
        <v>625</v>
      </c>
      <c r="E1184" s="176" t="s">
        <v>13</v>
      </c>
      <c r="F1184" s="175"/>
      <c r="G1184" s="177" t="str">
        <f>IF(B1184="insumo",_xlfn.XLOOKUP($D1184,Insumos!$B$1:$B$764,Insumos!$D$1:$D$764),"")</f>
        <v/>
      </c>
      <c r="H1184" s="177" cm="1">
        <f t="array" ref="H1184">_xlfn.IFS(B1184="Serviço",SUMIFS(H1185:$H$3085,C1185:$C$3085,$C1184),B1184="Insumo",F1184*G1184,B1184="Etapa","")</f>
        <v>49.358499999999999</v>
      </c>
      <c r="I1184" s="178" t="s">
        <v>195</v>
      </c>
    </row>
    <row r="1185" spans="1:9" hidden="1" outlineLevel="2" x14ac:dyDescent="0.25">
      <c r="A1185" s="175">
        <f t="shared" si="38"/>
        <v>34</v>
      </c>
      <c r="B1185" s="175" t="s">
        <v>327</v>
      </c>
      <c r="C1185" s="175" t="str">
        <f t="shared" si="39"/>
        <v>Proteção mecânica de superfície com argamassa de cimento e areia, traço 1:3 E=5cm</v>
      </c>
      <c r="D1185" s="175" t="s">
        <v>626</v>
      </c>
      <c r="E1185" s="176" t="str">
        <f>_xlfn.XLOOKUP(D1185,Insumos!$B$1:$B$764,Insumos!$C$1:$C$764)</f>
        <v>M3</v>
      </c>
      <c r="F1185" s="179">
        <v>6.25E-2</v>
      </c>
      <c r="G1185" s="177">
        <f>IF(B1185="insumo",_xlfn.XLOOKUP($D1185,Insumos!$B$1:$B$764,Insumos!$D$1:$D$764),"")</f>
        <v>550</v>
      </c>
      <c r="H1185" s="177" cm="1">
        <f t="array" ref="H1185">_xlfn.IFS(B1185="Serviço",SUMIFS(H1186:$H$3085,C1186:$C$3085,$C1185),B1185="Insumo",F1185*G1185,B1185="Etapa","")</f>
        <v>34.375</v>
      </c>
      <c r="I1185" s="178"/>
    </row>
    <row r="1186" spans="1:9" hidden="1" outlineLevel="2" x14ac:dyDescent="0.25">
      <c r="A1186" s="175">
        <f t="shared" si="38"/>
        <v>3</v>
      </c>
      <c r="B1186" s="175" t="s">
        <v>327</v>
      </c>
      <c r="C1186" s="175" t="str">
        <f t="shared" si="39"/>
        <v>Proteção mecânica de superfície com argamassa de cimento e areia, traço 1:3 E=5cm</v>
      </c>
      <c r="D1186" s="175" t="s">
        <v>627</v>
      </c>
      <c r="E1186" s="176" t="str">
        <f>_xlfn.XLOOKUP(D1186,Insumos!$B$1:$B$764,Insumos!$C$1:$C$764)</f>
        <v>M2</v>
      </c>
      <c r="F1186" s="179">
        <v>1.05</v>
      </c>
      <c r="G1186" s="177">
        <f>IF(B1186="insumo",_xlfn.XLOOKUP($D1186,Insumos!$B$1:$B$764,Insumos!$D$1:$D$764),"")</f>
        <v>14.27</v>
      </c>
      <c r="H1186" s="177" cm="1">
        <f t="array" ref="H1186">_xlfn.IFS(B1186="Serviço",SUMIFS(H1187:$H$3085,C1187:$C$3085,$C1186),B1186="Insumo",F1186*G1186,B1186="Etapa","")</f>
        <v>14.983499999999999</v>
      </c>
      <c r="I1186" s="178"/>
    </row>
    <row r="1187" spans="1:9" hidden="1" outlineLevel="1" collapsed="1" x14ac:dyDescent="0.25">
      <c r="A1187" s="175">
        <f t="shared" si="38"/>
        <v>1</v>
      </c>
      <c r="B1187" s="175" t="s">
        <v>109</v>
      </c>
      <c r="C1187" s="175" t="str">
        <f t="shared" si="39"/>
        <v>Aditivo Impermeabilizante para Concreto</v>
      </c>
      <c r="D1187" s="175" t="s">
        <v>2887</v>
      </c>
      <c r="E1187" s="176" t="s">
        <v>13</v>
      </c>
      <c r="F1187" s="175"/>
      <c r="G1187" s="177" t="str">
        <f>IF(B1187="insumo",_xlfn.XLOOKUP($D1187,Insumos!$B$1:$B$764,Insumos!$D$1:$D$764),"")</f>
        <v/>
      </c>
      <c r="H1187" s="177" cm="1">
        <f t="array" ref="H1187">_xlfn.IFS(B1187="Serviço",SUMIFS(H1188:$H$3085,C1188:$C$3085,$C1187),B1187="Insumo",F1187*G1187,B1187="Etapa","")</f>
        <v>6.0630555555555556</v>
      </c>
      <c r="I1187" s="178" t="s">
        <v>195</v>
      </c>
    </row>
    <row r="1188" spans="1:9" hidden="1" outlineLevel="2" x14ac:dyDescent="0.25">
      <c r="A1188" s="175">
        <f t="shared" si="38"/>
        <v>1</v>
      </c>
      <c r="B1188" s="175" t="s">
        <v>327</v>
      </c>
      <c r="C1188" s="175" t="str">
        <f t="shared" si="39"/>
        <v>Aditivo Impermeabilizante para Concreto</v>
      </c>
      <c r="D1188" s="175" t="s">
        <v>2886</v>
      </c>
      <c r="E1188" s="176" t="str">
        <f>_xlfn.XLOOKUP(D1188,Insumos!$B$1:$B$764,Insumos!$C$1:$C$764)</f>
        <v>L</v>
      </c>
      <c r="F1188" s="179">
        <v>0.65</v>
      </c>
      <c r="G1188" s="177">
        <f>IF(B1188="insumo",_xlfn.XLOOKUP($D1188,Insumos!$B$1:$B$764,Insumos!$D$1:$D$764),"")</f>
        <v>9.3277777777777775</v>
      </c>
      <c r="H1188" s="177" cm="1">
        <f t="array" ref="H1188">_xlfn.IFS(B1188="Serviço",SUMIFS(H1189:$H$3085,C1189:$C$3085,$C1188),B1188="Insumo",F1188*G1188,B1188="Etapa","")</f>
        <v>6.0630555555555556</v>
      </c>
      <c r="I1188" s="178" t="s">
        <v>2888</v>
      </c>
    </row>
    <row r="1189" spans="1:9" hidden="1" outlineLevel="1" collapsed="1" x14ac:dyDescent="0.25">
      <c r="A1189" s="175">
        <f t="shared" si="38"/>
        <v>1</v>
      </c>
      <c r="B1189" s="175" t="s">
        <v>109</v>
      </c>
      <c r="C1189" s="175" t="str">
        <f t="shared" si="39"/>
        <v>Impermeabilização de Baldrames com Tinta Asfáltica (Neutrol)</v>
      </c>
      <c r="D1189" s="175" t="s">
        <v>215</v>
      </c>
      <c r="E1189" s="176" t="s">
        <v>13</v>
      </c>
      <c r="F1189" s="175"/>
      <c r="G1189" s="177" t="str">
        <f>IF(B1189="insumo",_xlfn.XLOOKUP($D1189,Insumos!$B$1:$B$764,Insumos!$D$1:$D$764),"")</f>
        <v/>
      </c>
      <c r="H1189" s="177" cm="1">
        <f t="array" ref="H1189">_xlfn.IFS(B1189="Serviço",SUMIFS(H1190:$H$3085,C1190:$C$3085,$C1189),B1189="Insumo",F1189*G1189,B1189="Etapa","")</f>
        <v>12.636000000000001</v>
      </c>
      <c r="I1189" s="178" t="s">
        <v>195</v>
      </c>
    </row>
    <row r="1190" spans="1:9" hidden="1" outlineLevel="2" x14ac:dyDescent="0.25">
      <c r="A1190" s="175">
        <f t="shared" si="38"/>
        <v>2</v>
      </c>
      <c r="B1190" s="175" t="s">
        <v>327</v>
      </c>
      <c r="C1190" s="175" t="str">
        <f t="shared" si="39"/>
        <v>Impermeabilização de Baldrames com Tinta Asfáltica (Neutrol)</v>
      </c>
      <c r="D1190" s="175" t="s">
        <v>628</v>
      </c>
      <c r="E1190" s="176" t="str">
        <f>_xlfn.XLOOKUP(D1190,Insumos!$B$1:$B$764,Insumos!$C$1:$C$764)</f>
        <v>L</v>
      </c>
      <c r="F1190" s="179">
        <v>0.65</v>
      </c>
      <c r="G1190" s="177">
        <f>IF(B1190="insumo",_xlfn.XLOOKUP($D1190,Insumos!$B$1:$B$764,Insumos!$D$1:$D$764),"")</f>
        <v>19.440000000000001</v>
      </c>
      <c r="H1190" s="177" cm="1">
        <f t="array" ref="H1190">_xlfn.IFS(B1190="Serviço",SUMIFS(H1191:$H$3085,C1191:$C$3085,$C1190),B1190="Insumo",F1190*G1190,B1190="Etapa","")</f>
        <v>12.636000000000001</v>
      </c>
      <c r="I1190" s="178" t="s">
        <v>1960</v>
      </c>
    </row>
    <row r="1191" spans="1:9" hidden="1" outlineLevel="1" collapsed="1" x14ac:dyDescent="0.25">
      <c r="A1191" s="175">
        <f t="shared" si="38"/>
        <v>1</v>
      </c>
      <c r="B1191" s="175" t="s">
        <v>109</v>
      </c>
      <c r="C1191" s="175" t="str">
        <f t="shared" si="39"/>
        <v>Impermeabilização de Laje Sob Solo com Tinta Asfáltica (Neutrol) Com Adtivo</v>
      </c>
      <c r="D1191" s="175" t="s">
        <v>629</v>
      </c>
      <c r="E1191" s="176" t="s">
        <v>13</v>
      </c>
      <c r="F1191" s="175"/>
      <c r="G1191" s="177"/>
      <c r="H1191" s="177" cm="1">
        <f t="array" ref="H1191">_xlfn.IFS(B1191="Serviço",SUMIFS(H1192:$H$3085,C1192:$C$3085,$C1191),B1191="Insumo",F1191*G1191,B1191="Etapa","")</f>
        <v>82.493333333333339</v>
      </c>
      <c r="I1191" s="178" t="s">
        <v>195</v>
      </c>
    </row>
    <row r="1192" spans="1:9" hidden="1" outlineLevel="2" x14ac:dyDescent="0.25">
      <c r="A1192" s="175">
        <f t="shared" si="38"/>
        <v>2</v>
      </c>
      <c r="B1192" s="175" t="s">
        <v>327</v>
      </c>
      <c r="C1192" s="175" t="str">
        <f t="shared" si="39"/>
        <v>Impermeabilização de Laje Sob Solo com Tinta Asfáltica (Neutrol) Com Adtivo</v>
      </c>
      <c r="D1192" s="175" t="s">
        <v>628</v>
      </c>
      <c r="E1192" s="176" t="str">
        <f>_xlfn.XLOOKUP(D1192,Insumos!$B$1:$B$764,Insumos!$C$1:$C$764)</f>
        <v>L</v>
      </c>
      <c r="F1192" s="179">
        <v>1.5</v>
      </c>
      <c r="G1192" s="177">
        <f>IF(B1192="insumo",_xlfn.XLOOKUP($D1192,Insumos!$B$1:$B$764,Insumos!$D$1:$D$764),"")</f>
        <v>19.440000000000001</v>
      </c>
      <c r="H1192" s="177" cm="1">
        <f t="array" ref="H1192">_xlfn.IFS(B1192="Serviço",SUMIFS(H1193:$H$3085,C1193:$C$3085,$C1192),B1192="Insumo",F1192*G1192,B1192="Etapa","")</f>
        <v>29.160000000000004</v>
      </c>
      <c r="I1192" s="178"/>
    </row>
    <row r="1193" spans="1:9" hidden="1" outlineLevel="2" x14ac:dyDescent="0.25">
      <c r="A1193" s="175">
        <f t="shared" si="38"/>
        <v>2</v>
      </c>
      <c r="B1193" s="175" t="s">
        <v>327</v>
      </c>
      <c r="C1193" s="175" t="str">
        <f t="shared" si="39"/>
        <v>Impermeabilização de Laje Sob Solo com Tinta Asfáltica (Neutrol) Com Adtivo</v>
      </c>
      <c r="D1193" s="175" t="s">
        <v>630</v>
      </c>
      <c r="E1193" s="176" t="str">
        <f>_xlfn.XLOOKUP(D1193,Insumos!$B$1:$B$764,Insumos!$C$1:$C$764)</f>
        <v>L</v>
      </c>
      <c r="F1193" s="179">
        <v>0.8</v>
      </c>
      <c r="G1193" s="177">
        <f>IF(B1193="insumo",_xlfn.XLOOKUP($D1193,Insumos!$B$1:$B$764,Insumos!$D$1:$D$764),"")</f>
        <v>66.666666666666671</v>
      </c>
      <c r="H1193" s="177" cm="1">
        <f t="array" ref="H1193">_xlfn.IFS(B1193="Serviço",SUMIFS(H1194:$H$3085,C1194:$C$3085,$C1193),B1193="Insumo",F1193*G1193,B1193="Etapa","")</f>
        <v>53.333333333333343</v>
      </c>
      <c r="I1193" s="178"/>
    </row>
    <row r="1194" spans="1:9" hidden="1" outlineLevel="1" collapsed="1" x14ac:dyDescent="0.25">
      <c r="A1194" s="175">
        <f t="shared" si="38"/>
        <v>1</v>
      </c>
      <c r="B1194" s="175" t="s">
        <v>109</v>
      </c>
      <c r="C1194" s="175" t="str">
        <f t="shared" si="39"/>
        <v>Impermeabilização De Superfície Com Mebrana Impermeável, Uma Camada, Inclusive Aplicação De Primer Asfáltico</v>
      </c>
      <c r="D1194" s="175" t="s">
        <v>631</v>
      </c>
      <c r="E1194" s="176" t="s">
        <v>13</v>
      </c>
      <c r="F1194" s="175"/>
      <c r="G1194" s="177" t="str">
        <f>IF(B1194="insumo",_xlfn.XLOOKUP($D1194,Insumos!$B$1:$B$764,Insumos!$D$1:$D$764),"")</f>
        <v/>
      </c>
      <c r="H1194" s="177" cm="1">
        <f t="array" ref="H1194">_xlfn.IFS(B1194="Serviço",SUMIFS(H1195:$H$3085,C1195:$C$3085,$C1194),B1194="Insumo",F1194*G1194,B1194="Etapa","")</f>
        <v>26.941915384615385</v>
      </c>
      <c r="I1194" s="178" t="s">
        <v>195</v>
      </c>
    </row>
    <row r="1195" spans="1:9" hidden="1" outlineLevel="2" x14ac:dyDescent="0.25">
      <c r="A1195" s="175">
        <f t="shared" si="38"/>
        <v>5</v>
      </c>
      <c r="B1195" s="175" t="s">
        <v>327</v>
      </c>
      <c r="C1195" s="175" t="str">
        <f t="shared" si="39"/>
        <v>Impermeabilização De Superfície Com Mebrana Impermeável, Uma Camada, Inclusive Aplicação De Primer Asfáltico</v>
      </c>
      <c r="D1195" s="175" t="s">
        <v>632</v>
      </c>
      <c r="E1195" s="176" t="str">
        <f>_xlfn.XLOOKUP(D1195,Insumos!$B$1:$B$764,Insumos!$C$1:$C$764)</f>
        <v>L</v>
      </c>
      <c r="F1195" s="179">
        <v>0.61499999999999999</v>
      </c>
      <c r="G1195" s="177">
        <f>IF(B1195="insumo",_xlfn.XLOOKUP($D1195,Insumos!$B$1:$B$764,Insumos!$D$1:$D$764),"")</f>
        <v>23.52</v>
      </c>
      <c r="H1195" s="177" cm="1">
        <f t="array" ref="H1195">_xlfn.IFS(B1195="Serviço",SUMIFS(H1196:$H$3085,C1196:$C$3085,$C1195),B1195="Insumo",F1195*G1195,B1195="Etapa","")</f>
        <v>14.4648</v>
      </c>
      <c r="I1195" s="178"/>
    </row>
    <row r="1196" spans="1:9" hidden="1" outlineLevel="2" x14ac:dyDescent="0.25">
      <c r="A1196" s="175">
        <f t="shared" si="38"/>
        <v>1</v>
      </c>
      <c r="B1196" s="175" t="s">
        <v>327</v>
      </c>
      <c r="C1196" s="175" t="str">
        <f t="shared" si="39"/>
        <v>Impermeabilização De Superfície Com Mebrana Impermeável, Uma Camada, Inclusive Aplicação De Primer Asfáltico</v>
      </c>
      <c r="D1196" s="175" t="s">
        <v>633</v>
      </c>
      <c r="E1196" s="176" t="str">
        <f>_xlfn.XLOOKUP(D1196,Insumos!$B$1:$B$764,Insumos!$C$1:$C$764)</f>
        <v>M2</v>
      </c>
      <c r="F1196" s="179">
        <v>1.125</v>
      </c>
      <c r="G1196" s="177">
        <f>IF(B1196="insumo",_xlfn.XLOOKUP($D1196,Insumos!$B$1:$B$764,Insumos!$D$1:$D$764),"")</f>
        <v>11.090769230769231</v>
      </c>
      <c r="H1196" s="177" cm="1">
        <f t="array" ref="H1196">_xlfn.IFS(B1196="Serviço",SUMIFS(H1197:$H$3085,C1197:$C$3085,$C1196),B1196="Insumo",F1196*G1196,B1196="Etapa","")</f>
        <v>12.477115384615384</v>
      </c>
      <c r="I1196" s="178"/>
    </row>
    <row r="1197" spans="1:9" hidden="1" outlineLevel="1" collapsed="1" x14ac:dyDescent="0.25">
      <c r="A1197" s="175">
        <f t="shared" si="38"/>
        <v>1</v>
      </c>
      <c r="B1197" s="175" t="s">
        <v>109</v>
      </c>
      <c r="C1197" s="175" t="str">
        <f t="shared" si="39"/>
        <v>Impermeabilização De Superfície Com Manta Asfáltica, Uma Camada, Inclusive Aplicação De Primer Asfáltico</v>
      </c>
      <c r="D1197" s="175" t="s">
        <v>634</v>
      </c>
      <c r="E1197" s="176" t="s">
        <v>13</v>
      </c>
      <c r="F1197" s="175"/>
      <c r="G1197" s="177" t="str">
        <f>IF(B1197="insumo",_xlfn.XLOOKUP($D1197,Insumos!$B$1:$B$764,Insumos!$D$1:$D$764),"")</f>
        <v/>
      </c>
      <c r="H1197" s="177" cm="1">
        <f t="array" ref="H1197">_xlfn.IFS(B1197="Serviço",SUMIFS(H1198:$H$3085,C1198:$C$3085,$C1197),B1197="Insumo",F1197*G1197,B1197="Etapa","")</f>
        <v>93.237299999999991</v>
      </c>
      <c r="I1197" s="178" t="s">
        <v>195</v>
      </c>
    </row>
    <row r="1198" spans="1:9" hidden="1" outlineLevel="2" x14ac:dyDescent="0.25">
      <c r="A1198" s="175">
        <f t="shared" si="38"/>
        <v>5</v>
      </c>
      <c r="B1198" s="175" t="s">
        <v>327</v>
      </c>
      <c r="C1198" s="175" t="str">
        <f t="shared" si="39"/>
        <v>Impermeabilização De Superfície Com Manta Asfáltica, Uma Camada, Inclusive Aplicação De Primer Asfáltico</v>
      </c>
      <c r="D1198" s="175" t="s">
        <v>632</v>
      </c>
      <c r="E1198" s="176" t="str">
        <f>_xlfn.XLOOKUP(D1198,Insumos!$B$1:$B$764,Insumos!$C$1:$C$764)</f>
        <v>L</v>
      </c>
      <c r="F1198" s="179">
        <v>0.61499999999999999</v>
      </c>
      <c r="G1198" s="177">
        <f>IF(B1198="insumo",_xlfn.XLOOKUP($D1198,Insumos!$B$1:$B$764,Insumos!$D$1:$D$764),"")</f>
        <v>23.52</v>
      </c>
      <c r="H1198" s="177" cm="1">
        <f t="array" ref="H1198">_xlfn.IFS(B1198="Serviço",SUMIFS(H1199:$H$3085,C1199:$C$3085,$C1198),B1198="Insumo",F1198*G1198,B1198="Etapa","")</f>
        <v>14.4648</v>
      </c>
      <c r="I1198" s="178"/>
    </row>
    <row r="1199" spans="1:9" hidden="1" outlineLevel="2" x14ac:dyDescent="0.25">
      <c r="A1199" s="175">
        <f t="shared" si="38"/>
        <v>2</v>
      </c>
      <c r="B1199" s="175" t="s">
        <v>327</v>
      </c>
      <c r="C1199" s="175" t="str">
        <f t="shared" si="39"/>
        <v>Impermeabilização De Superfície Com Manta Asfáltica, Uma Camada, Inclusive Aplicação De Primer Asfáltico</v>
      </c>
      <c r="D1199" s="175" t="s">
        <v>635</v>
      </c>
      <c r="E1199" s="176" t="str">
        <f>_xlfn.XLOOKUP(D1199,Insumos!$B$1:$B$764,Insumos!$C$1:$C$764)</f>
        <v>M2</v>
      </c>
      <c r="F1199" s="179">
        <v>1.125</v>
      </c>
      <c r="G1199" s="177">
        <f>IF(B1199="insumo",_xlfn.XLOOKUP($D1199,Insumos!$B$1:$B$764,Insumos!$D$1:$D$764),"")</f>
        <v>70.02</v>
      </c>
      <c r="H1199" s="177" cm="1">
        <f t="array" ref="H1199">_xlfn.IFS(B1199="Serviço",SUMIFS(H1200:$H$3085,C1200:$C$3085,$C1199),B1199="Insumo",F1199*G1199,B1199="Etapa","")</f>
        <v>78.772499999999994</v>
      </c>
      <c r="I1199" s="178"/>
    </row>
    <row r="1200" spans="1:9" hidden="1" outlineLevel="1" collapsed="1" x14ac:dyDescent="0.25">
      <c r="A1200" s="175">
        <f t="shared" si="38"/>
        <v>1</v>
      </c>
      <c r="B1200" s="175" t="s">
        <v>109</v>
      </c>
      <c r="C1200" s="175" t="str">
        <f t="shared" si="39"/>
        <v>Impermeabilização De Superfície Com Manta Asfáltica, Duas Camada, Inclusive Aplicação De Primer Asfáltico</v>
      </c>
      <c r="D1200" s="175" t="s">
        <v>636</v>
      </c>
      <c r="E1200" s="176" t="s">
        <v>13</v>
      </c>
      <c r="F1200" s="175"/>
      <c r="G1200" s="177" t="str">
        <f>IF(B1200="insumo",_xlfn.XLOOKUP($D1200,Insumos!$B$1:$B$764,Insumos!$D$1:$D$764),"")</f>
        <v/>
      </c>
      <c r="H1200" s="177" cm="1">
        <f t="array" ref="H1200">_xlfn.IFS(B1200="Serviço",SUMIFS(H1201:$H$3085,C1201:$C$3085,$C1200),B1200="Insumo",F1200*G1200,B1200="Etapa","")</f>
        <v>157.38479999999998</v>
      </c>
      <c r="I1200" s="178" t="s">
        <v>195</v>
      </c>
    </row>
    <row r="1201" spans="1:9" hidden="1" outlineLevel="2" x14ac:dyDescent="0.25">
      <c r="A1201" s="175">
        <f t="shared" si="38"/>
        <v>5</v>
      </c>
      <c r="B1201" s="175" t="s">
        <v>327</v>
      </c>
      <c r="C1201" s="175" t="str">
        <f t="shared" si="39"/>
        <v>Impermeabilização De Superfície Com Manta Asfáltica, Duas Camada, Inclusive Aplicação De Primer Asfáltico</v>
      </c>
      <c r="D1201" s="175" t="s">
        <v>632</v>
      </c>
      <c r="E1201" s="176" t="str">
        <f>_xlfn.XLOOKUP(D1201,Insumos!$B$1:$B$764,Insumos!$C$1:$C$764)</f>
        <v>L</v>
      </c>
      <c r="F1201" s="179">
        <v>0.61499999999999999</v>
      </c>
      <c r="G1201" s="177">
        <f>IF(B1201="insumo",_xlfn.XLOOKUP($D1201,Insumos!$B$1:$B$764,Insumos!$D$1:$D$764),"")</f>
        <v>23.52</v>
      </c>
      <c r="H1201" s="177" cm="1">
        <f t="array" ref="H1201">_xlfn.IFS(B1201="Serviço",SUMIFS(H1202:$H$3085,C1202:$C$3085,$C1201),B1201="Insumo",F1201*G1201,B1201="Etapa","")</f>
        <v>14.4648</v>
      </c>
      <c r="I1201" s="178"/>
    </row>
    <row r="1202" spans="1:9" hidden="1" outlineLevel="2" x14ac:dyDescent="0.25">
      <c r="A1202" s="175">
        <f t="shared" si="38"/>
        <v>1</v>
      </c>
      <c r="B1202" s="175" t="s">
        <v>327</v>
      </c>
      <c r="C1202" s="175" t="str">
        <f t="shared" si="39"/>
        <v>Impermeabilização De Superfície Com Manta Asfáltica, Duas Camada, Inclusive Aplicação De Primer Asfáltico</v>
      </c>
      <c r="D1202" s="175" t="s">
        <v>637</v>
      </c>
      <c r="E1202" s="176" t="str">
        <f>_xlfn.XLOOKUP(D1202,Insumos!$B$1:$B$764,Insumos!$C$1:$C$764)</f>
        <v>M2</v>
      </c>
      <c r="F1202" s="179">
        <v>1.125</v>
      </c>
      <c r="G1202" s="177">
        <f>IF(B1202="insumo",_xlfn.XLOOKUP($D1202,Insumos!$B$1:$B$764,Insumos!$D$1:$D$764),"")</f>
        <v>57.02</v>
      </c>
      <c r="H1202" s="177" cm="1">
        <f t="array" ref="H1202">_xlfn.IFS(B1202="Serviço",SUMIFS(H1203:$H$3085,C1203:$C$3085,$C1202),B1202="Insumo",F1202*G1202,B1202="Etapa","")</f>
        <v>64.147500000000008</v>
      </c>
      <c r="I1202" s="178"/>
    </row>
    <row r="1203" spans="1:9" hidden="1" outlineLevel="2" x14ac:dyDescent="0.25">
      <c r="A1203" s="175">
        <f t="shared" si="38"/>
        <v>2</v>
      </c>
      <c r="B1203" s="175" t="s">
        <v>327</v>
      </c>
      <c r="C1203" s="175" t="str">
        <f t="shared" si="39"/>
        <v>Impermeabilização De Superfície Com Manta Asfáltica, Duas Camada, Inclusive Aplicação De Primer Asfáltico</v>
      </c>
      <c r="D1203" s="175" t="s">
        <v>635</v>
      </c>
      <c r="E1203" s="176" t="str">
        <f>_xlfn.XLOOKUP(D1203,Insumos!$B$1:$B$764,Insumos!$C$1:$C$764)</f>
        <v>M2</v>
      </c>
      <c r="F1203" s="179">
        <v>1.125</v>
      </c>
      <c r="G1203" s="177">
        <f>IF(B1203="insumo",_xlfn.XLOOKUP($D1203,Insumos!$B$1:$B$764,Insumos!$D$1:$D$764),"")</f>
        <v>70.02</v>
      </c>
      <c r="H1203" s="177" cm="1">
        <f t="array" ref="H1203">_xlfn.IFS(B1203="Serviço",SUMIFS(H1204:$H$3085,C1204:$C$3085,$C1203),B1203="Insumo",F1203*G1203,B1203="Etapa","")</f>
        <v>78.772499999999994</v>
      </c>
      <c r="I1203" s="178"/>
    </row>
    <row r="1204" spans="1:9" hidden="1" outlineLevel="1" collapsed="1" x14ac:dyDescent="0.25">
      <c r="A1204" s="175">
        <f t="shared" si="38"/>
        <v>1</v>
      </c>
      <c r="B1204" s="175" t="s">
        <v>109</v>
      </c>
      <c r="C1204" s="175" t="str">
        <f t="shared" si="39"/>
        <v>Impermeabilização com manta aluminio</v>
      </c>
      <c r="D1204" s="175" t="s">
        <v>2019</v>
      </c>
      <c r="E1204" s="176" t="s">
        <v>13</v>
      </c>
      <c r="F1204" s="175"/>
      <c r="G1204" s="177" t="str">
        <f>IF(B1204="insumo",_xlfn.XLOOKUP($D1204,Insumos!$B$1:$B$764,Insumos!$D$1:$D$764),"")</f>
        <v/>
      </c>
      <c r="H1204" s="177" cm="1">
        <f t="array" ref="H1204">_xlfn.IFS(B1204="Serviço",SUMIFS(H1205:$H$3085,C1205:$C$3085,$C1204),B1204="Insumo",F1204*G1204,B1204="Etapa","")</f>
        <v>57.203550000000007</v>
      </c>
      <c r="I1204" s="178" t="s">
        <v>195</v>
      </c>
    </row>
    <row r="1205" spans="1:9" hidden="1" outlineLevel="2" x14ac:dyDescent="0.25">
      <c r="A1205" s="175">
        <f t="shared" si="38"/>
        <v>5</v>
      </c>
      <c r="B1205" s="175" t="s">
        <v>327</v>
      </c>
      <c r="C1205" s="175" t="str">
        <f t="shared" si="39"/>
        <v>Impermeabilização com manta aluminio</v>
      </c>
      <c r="D1205" s="175" t="s">
        <v>632</v>
      </c>
      <c r="E1205" s="176" t="str">
        <f>_xlfn.XLOOKUP(D1205,Insumos!$B$1:$B$764,Insumos!$C$1:$C$764)</f>
        <v>L</v>
      </c>
      <c r="F1205" s="179">
        <v>0.61499999999999999</v>
      </c>
      <c r="G1205" s="177">
        <f>IF(B1205="insumo",_xlfn.XLOOKUP($D1205,Insumos!$B$1:$B$764,Insumos!$D$1:$D$764),"")</f>
        <v>23.52</v>
      </c>
      <c r="H1205" s="177" cm="1">
        <f t="array" ref="H1205">_xlfn.IFS(B1205="Serviço",SUMIFS(H1206:$H$3085,C1206:$C$3085,$C1205),B1205="Insumo",F1205*G1205,B1205="Etapa","")</f>
        <v>14.4648</v>
      </c>
      <c r="I1205" s="178"/>
    </row>
    <row r="1206" spans="1:9" hidden="1" outlineLevel="2" x14ac:dyDescent="0.25">
      <c r="A1206" s="175">
        <f t="shared" si="38"/>
        <v>2</v>
      </c>
      <c r="B1206" s="175" t="s">
        <v>327</v>
      </c>
      <c r="C1206" s="175" t="str">
        <f t="shared" si="39"/>
        <v>Impermeabilização com manta aluminio</v>
      </c>
      <c r="D1206" s="175" t="s">
        <v>639</v>
      </c>
      <c r="E1206" s="176" t="str">
        <f>_xlfn.XLOOKUP(D1206,Insumos!$B$1:$B$764,Insumos!$C$1:$C$764)</f>
        <v>M2</v>
      </c>
      <c r="F1206" s="179">
        <v>1.125</v>
      </c>
      <c r="G1206" s="177">
        <f>IF(B1206="insumo",_xlfn.XLOOKUP($D1206,Insumos!$B$1:$B$764,Insumos!$D$1:$D$764),"")</f>
        <v>37.99</v>
      </c>
      <c r="H1206" s="177" cm="1">
        <f t="array" ref="H1206">_xlfn.IFS(B1206="Serviço",SUMIFS(H1207:$H$3085,C1207:$C$3085,$C1206),B1206="Insumo",F1206*G1206,B1206="Etapa","")</f>
        <v>42.738750000000003</v>
      </c>
      <c r="I1206" s="178"/>
    </row>
    <row r="1207" spans="1:9" hidden="1" outlineLevel="1" collapsed="1" x14ac:dyDescent="0.25">
      <c r="A1207" s="175">
        <f t="shared" si="38"/>
        <v>1</v>
      </c>
      <c r="B1207" s="175" t="s">
        <v>109</v>
      </c>
      <c r="C1207" s="175" t="str">
        <f t="shared" si="39"/>
        <v>Impermeabilização com manta aluminio em telhados</v>
      </c>
      <c r="D1207" s="175" t="s">
        <v>638</v>
      </c>
      <c r="E1207" s="176" t="s">
        <v>13</v>
      </c>
      <c r="F1207" s="175"/>
      <c r="G1207" s="177" t="str">
        <f>IF(B1207="insumo",_xlfn.XLOOKUP($D1207,Insumos!$B$1:$B$764,Insumos!$D$1:$D$764),"")</f>
        <v/>
      </c>
      <c r="H1207" s="177" cm="1">
        <f t="array" ref="H1207">_xlfn.IFS(B1207="Serviço",SUMIFS(H1208:$H$3085,C1208:$C$3085,$C1207),B1207="Insumo",F1207*G1207,B1207="Etapa","")</f>
        <v>57.203550000000007</v>
      </c>
      <c r="I1207" s="178" t="s">
        <v>195</v>
      </c>
    </row>
    <row r="1208" spans="1:9" hidden="1" outlineLevel="2" x14ac:dyDescent="0.25">
      <c r="A1208" s="175">
        <f t="shared" si="38"/>
        <v>5</v>
      </c>
      <c r="B1208" s="175" t="s">
        <v>327</v>
      </c>
      <c r="C1208" s="175" t="str">
        <f t="shared" si="39"/>
        <v>Impermeabilização com manta aluminio em telhados</v>
      </c>
      <c r="D1208" s="175" t="s">
        <v>632</v>
      </c>
      <c r="E1208" s="176" t="str">
        <f>_xlfn.XLOOKUP(D1208,Insumos!$B$1:$B$764,Insumos!$C$1:$C$764)</f>
        <v>L</v>
      </c>
      <c r="F1208" s="179">
        <v>0.61499999999999999</v>
      </c>
      <c r="G1208" s="177">
        <f>IF(B1208="insumo",_xlfn.XLOOKUP($D1208,Insumos!$B$1:$B$764,Insumos!$D$1:$D$764),"")</f>
        <v>23.52</v>
      </c>
      <c r="H1208" s="177" cm="1">
        <f t="array" ref="H1208">_xlfn.IFS(B1208="Serviço",SUMIFS(H1209:$H$3085,C1209:$C$3085,$C1208),B1208="Insumo",F1208*G1208,B1208="Etapa","")</f>
        <v>14.4648</v>
      </c>
      <c r="I1208" s="178"/>
    </row>
    <row r="1209" spans="1:9" hidden="1" outlineLevel="2" x14ac:dyDescent="0.25">
      <c r="A1209" s="175">
        <f t="shared" si="38"/>
        <v>2</v>
      </c>
      <c r="B1209" s="175" t="s">
        <v>327</v>
      </c>
      <c r="C1209" s="175" t="str">
        <f t="shared" si="39"/>
        <v>Impermeabilização com manta aluminio em telhados</v>
      </c>
      <c r="D1209" s="175" t="s">
        <v>639</v>
      </c>
      <c r="E1209" s="176" t="str">
        <f>_xlfn.XLOOKUP(D1209,Insumos!$B$1:$B$764,Insumos!$C$1:$C$764)</f>
        <v>M2</v>
      </c>
      <c r="F1209" s="179">
        <v>1.125</v>
      </c>
      <c r="G1209" s="177">
        <f>IF(B1209="insumo",_xlfn.XLOOKUP($D1209,Insumos!$B$1:$B$764,Insumos!$D$1:$D$764),"")</f>
        <v>37.99</v>
      </c>
      <c r="H1209" s="177" cm="1">
        <f t="array" ref="H1209">_xlfn.IFS(B1209="Serviço",SUMIFS(H1210:$H$3085,C1210:$C$3085,$C1209),B1209="Insumo",F1209*G1209,B1209="Etapa","")</f>
        <v>42.738750000000003</v>
      </c>
      <c r="I1209" s="178"/>
    </row>
    <row r="1210" spans="1:9" hidden="1" outlineLevel="1" collapsed="1" x14ac:dyDescent="0.25">
      <c r="A1210" s="175">
        <f t="shared" si="38"/>
        <v>1</v>
      </c>
      <c r="B1210" s="175" t="s">
        <v>109</v>
      </c>
      <c r="C1210" s="175" t="str">
        <f t="shared" si="39"/>
        <v>Impermeabilização De Superfície Com Membrana de Polímero</v>
      </c>
      <c r="D1210" s="175" t="s">
        <v>640</v>
      </c>
      <c r="E1210" s="176" t="s">
        <v>13</v>
      </c>
      <c r="F1210" s="175"/>
      <c r="G1210" s="177" t="str">
        <f>IF(B1210="insumo",_xlfn.XLOOKUP($D1210,Insumos!$B$1:$B$764,Insumos!$D$1:$D$764),"")</f>
        <v/>
      </c>
      <c r="H1210" s="177" cm="1">
        <f t="array" ref="H1210">_xlfn.IFS(B1210="Serviço",SUMIFS(H1211:$H$3085,C1211:$C$3085,$C1210),B1210="Insumo",F1210*G1210,B1210="Etapa","")</f>
        <v>34.825000000000003</v>
      </c>
      <c r="I1210" s="178" t="s">
        <v>195</v>
      </c>
    </row>
    <row r="1211" spans="1:9" hidden="1" outlineLevel="2" x14ac:dyDescent="0.25">
      <c r="A1211" s="175">
        <f t="shared" si="38"/>
        <v>1</v>
      </c>
      <c r="B1211" s="175" t="s">
        <v>327</v>
      </c>
      <c r="C1211" s="175" t="str">
        <f t="shared" si="39"/>
        <v>Impermeabilização De Superfície Com Membrana de Polímero</v>
      </c>
      <c r="D1211" s="175" t="s">
        <v>641</v>
      </c>
      <c r="E1211" s="176" t="str">
        <f>_xlfn.XLOOKUP(D1211,Insumos!$B$1:$B$764,Insumos!$C$1:$C$764)</f>
        <v>KG</v>
      </c>
      <c r="F1211" s="179">
        <f>3*1.05</f>
        <v>3.1500000000000004</v>
      </c>
      <c r="G1211" s="177">
        <f>IF(B1211="insumo",_xlfn.XLOOKUP($D1211,Insumos!$B$1:$B$764,Insumos!$D$1:$D$764),"")</f>
        <v>11.055555555555555</v>
      </c>
      <c r="H1211" s="177" cm="1">
        <f t="array" ref="H1211">_xlfn.IFS(B1211="Serviço",SUMIFS(H1212:$H$3085,C1212:$C$3085,$C1211),B1211="Insumo",F1211*G1211,B1211="Etapa","")</f>
        <v>34.825000000000003</v>
      </c>
      <c r="I1211" s="178"/>
    </row>
    <row r="1212" spans="1:9" hidden="1" outlineLevel="1" collapsed="1" x14ac:dyDescent="0.25">
      <c r="A1212" s="175">
        <f t="shared" si="38"/>
        <v>1</v>
      </c>
      <c r="B1212" s="175" t="s">
        <v>109</v>
      </c>
      <c r="C1212" s="175" t="str">
        <f t="shared" si="39"/>
        <v>Impermeabilização De Superfície Com Argamassa Polimérica / Membrana Acrílica, 3 Demãos</v>
      </c>
      <c r="D1212" s="175" t="s">
        <v>642</v>
      </c>
      <c r="E1212" s="176" t="s">
        <v>13</v>
      </c>
      <c r="F1212" s="175"/>
      <c r="G1212" s="177" t="str">
        <f>IF(B1212="insumo",_xlfn.XLOOKUP($D1212,Insumos!$B$1:$B$764,Insumos!$D$1:$D$764),"")</f>
        <v/>
      </c>
      <c r="H1212" s="177" cm="1">
        <f t="array" ref="H1212">_xlfn.IFS(B1212="Serviço",SUMIFS(H1213:$H$3085,C1213:$C$3085,$C1212),B1212="Insumo",F1212*G1212,B1212="Etapa","")</f>
        <v>36.256</v>
      </c>
      <c r="I1212" s="178" t="s">
        <v>195</v>
      </c>
    </row>
    <row r="1213" spans="1:9" hidden="1" outlineLevel="2" x14ac:dyDescent="0.25">
      <c r="A1213" s="175">
        <f t="shared" si="38"/>
        <v>3</v>
      </c>
      <c r="B1213" s="175" t="s">
        <v>327</v>
      </c>
      <c r="C1213" s="175" t="str">
        <f t="shared" si="39"/>
        <v>Impermeabilização De Superfície Com Argamassa Polimérica / Membrana Acrílica, 3 Demãos</v>
      </c>
      <c r="D1213" s="175" t="s">
        <v>643</v>
      </c>
      <c r="E1213" s="176" t="str">
        <f>_xlfn.XLOOKUP(D1213,Insumos!$B$1:$B$764,Insumos!$C$1:$C$764)</f>
        <v>KG</v>
      </c>
      <c r="F1213" s="179">
        <v>3.2</v>
      </c>
      <c r="G1213" s="177">
        <f>IF(B1213="insumo",_xlfn.XLOOKUP($D1213,Insumos!$B$1:$B$764,Insumos!$D$1:$D$764),"")</f>
        <v>11.33</v>
      </c>
      <c r="H1213" s="177" cm="1">
        <f t="array" ref="H1213">_xlfn.IFS(B1213="Serviço",SUMIFS(H1214:$H$3085,C1214:$C$3085,$C1213),B1213="Insumo",F1213*G1213,B1213="Etapa","")</f>
        <v>36.256</v>
      </c>
      <c r="I1213" s="178"/>
    </row>
    <row r="1214" spans="1:9" hidden="1" outlineLevel="1" collapsed="1" x14ac:dyDescent="0.25">
      <c r="A1214" s="175">
        <f t="shared" si="38"/>
        <v>1</v>
      </c>
      <c r="B1214" s="175" t="s">
        <v>109</v>
      </c>
      <c r="C1214" s="175" t="str">
        <f t="shared" si="39"/>
        <v>Impermeabilização De Superfície Com Argamassa Polimérica / Membrana Acrílica, 3 Demãos Com Aditivos</v>
      </c>
      <c r="D1214" s="175" t="s">
        <v>644</v>
      </c>
      <c r="E1214" s="176" t="s">
        <v>13</v>
      </c>
      <c r="F1214" s="175"/>
      <c r="G1214" s="177" t="str">
        <f>IF(B1214="insumo",_xlfn.XLOOKUP($D1214,Insumos!$B$1:$B$764,Insumos!$D$1:$D$764),"")</f>
        <v/>
      </c>
      <c r="H1214" s="177" cm="1">
        <f t="array" ref="H1214">_xlfn.IFS(B1214="Serviço",SUMIFS(H1215:$H$3085,C1215:$C$3085,$C1214),B1214="Insumo",F1214*G1214,B1214="Etapa","")</f>
        <v>62.922666666666672</v>
      </c>
      <c r="I1214" s="178" t="s">
        <v>195</v>
      </c>
    </row>
    <row r="1215" spans="1:9" hidden="1" outlineLevel="2" x14ac:dyDescent="0.25">
      <c r="A1215" s="175">
        <f t="shared" si="38"/>
        <v>3</v>
      </c>
      <c r="B1215" s="175" t="s">
        <v>327</v>
      </c>
      <c r="C1215" s="175" t="str">
        <f t="shared" si="39"/>
        <v>Impermeabilização De Superfície Com Argamassa Polimérica / Membrana Acrílica, 3 Demãos Com Aditivos</v>
      </c>
      <c r="D1215" s="175" t="s">
        <v>643</v>
      </c>
      <c r="E1215" s="176" t="str">
        <f>_xlfn.XLOOKUP(D1215,Insumos!$B$1:$B$764,Insumos!$C$1:$C$764)</f>
        <v>KG</v>
      </c>
      <c r="F1215" s="179">
        <v>3.2</v>
      </c>
      <c r="G1215" s="177">
        <f>IF(B1215="insumo",_xlfn.XLOOKUP($D1215,Insumos!$B$1:$B$764,Insumos!$D$1:$D$764),"")</f>
        <v>11.33</v>
      </c>
      <c r="H1215" s="177" cm="1">
        <f t="array" ref="H1215">_xlfn.IFS(B1215="Serviço",SUMIFS(H1216:$H$3085,C1216:$C$3085,$C1215),B1215="Insumo",F1215*G1215,B1215="Etapa","")</f>
        <v>36.256</v>
      </c>
      <c r="I1215" s="178"/>
    </row>
    <row r="1216" spans="1:9" hidden="1" outlineLevel="2" x14ac:dyDescent="0.25">
      <c r="A1216" s="175">
        <f t="shared" si="38"/>
        <v>2</v>
      </c>
      <c r="B1216" s="175" t="s">
        <v>327</v>
      </c>
      <c r="C1216" s="175" t="str">
        <f t="shared" si="39"/>
        <v>Impermeabilização De Superfície Com Argamassa Polimérica / Membrana Acrílica, 3 Demãos Com Aditivos</v>
      </c>
      <c r="D1216" s="175" t="s">
        <v>630</v>
      </c>
      <c r="E1216" s="176" t="str">
        <f>_xlfn.XLOOKUP(D1216,Insumos!$B$1:$B$764,Insumos!$C$1:$C$764)</f>
        <v>L</v>
      </c>
      <c r="F1216" s="179">
        <v>0.4</v>
      </c>
      <c r="G1216" s="177">
        <f>IF(B1216="insumo",_xlfn.XLOOKUP($D1216,Insumos!$B$1:$B$764,Insumos!$D$1:$D$764),"")</f>
        <v>66.666666666666671</v>
      </c>
      <c r="H1216" s="177" cm="1">
        <f t="array" ref="H1216">_xlfn.IFS(B1216="Serviço",SUMIFS(H1217:$H$3085,C1217:$C$3085,$C1216),B1216="Insumo",F1216*G1216,B1216="Etapa","")</f>
        <v>26.666666666666671</v>
      </c>
      <c r="I1216" s="178"/>
    </row>
    <row r="1217" spans="1:9" hidden="1" outlineLevel="1" collapsed="1" x14ac:dyDescent="0.25">
      <c r="A1217" s="175">
        <f t="shared" si="38"/>
        <v>1</v>
      </c>
      <c r="B1217" s="175" t="s">
        <v>109</v>
      </c>
      <c r="C1217" s="175" t="str">
        <f t="shared" si="39"/>
        <v>Impermeabilização com manta liquida poliuretano, 3 demãos sem tela estruturante.</v>
      </c>
      <c r="D1217" s="175" t="s">
        <v>645</v>
      </c>
      <c r="E1217" s="176" t="s">
        <v>13</v>
      </c>
      <c r="F1217" s="175"/>
      <c r="G1217" s="177" t="str">
        <f>IF(B1217="insumo",_xlfn.XLOOKUP($D1217,Insumos!$B$1:$B$764,Insumos!$D$1:$D$764),"")</f>
        <v/>
      </c>
      <c r="H1217" s="177" cm="1">
        <f t="array" ref="H1217">_xlfn.IFS(B1217="Serviço",SUMIFS(H1218:$H$3085,C1218:$C$3085,$C1217),B1217="Insumo",F1217*G1217,B1217="Etapa","")</f>
        <v>35.133333333333333</v>
      </c>
      <c r="I1217" s="178" t="s">
        <v>195</v>
      </c>
    </row>
    <row r="1218" spans="1:9" hidden="1" outlineLevel="2" x14ac:dyDescent="0.25">
      <c r="A1218" s="175">
        <f t="shared" ref="A1218:A1281" si="40">COUNTIFS($D$2:$D$3085,D1218,$B$2:$B$3085,B1218)</f>
        <v>1</v>
      </c>
      <c r="B1218" s="175" t="s">
        <v>327</v>
      </c>
      <c r="C1218" s="175" t="str">
        <f t="shared" si="39"/>
        <v>Impermeabilização com manta liquida poliuretano, 3 demãos sem tela estruturante.</v>
      </c>
      <c r="D1218" s="175" t="s">
        <v>646</v>
      </c>
      <c r="E1218" s="176" t="str">
        <f>_xlfn.XLOOKUP(D1218,Insumos!$B$1:$B$764,Insumos!$C$1:$C$764)</f>
        <v>KG</v>
      </c>
      <c r="F1218" s="179">
        <v>1.2</v>
      </c>
      <c r="G1218" s="177">
        <f>IF(B1218="insumo",_xlfn.XLOOKUP($D1218,Insumos!$B$1:$B$764,Insumos!$D$1:$D$764),"")</f>
        <v>29.277777777777779</v>
      </c>
      <c r="H1218" s="177" cm="1">
        <f t="array" ref="H1218">_xlfn.IFS(B1218="Serviço",SUMIFS(H1219:$H$3085,C1219:$C$3085,$C1218),B1218="Insumo",F1218*G1218,B1218="Etapa","")</f>
        <v>35.133333333333333</v>
      </c>
      <c r="I1218" s="178"/>
    </row>
    <row r="1219" spans="1:9" hidden="1" outlineLevel="1" collapsed="1" x14ac:dyDescent="0.25">
      <c r="A1219" s="175">
        <f t="shared" si="40"/>
        <v>1</v>
      </c>
      <c r="B1219" s="175" t="s">
        <v>109</v>
      </c>
      <c r="C1219" s="175" t="str">
        <f t="shared" si="39"/>
        <v>Impermeabilização com manta liquida em peitoris</v>
      </c>
      <c r="D1219" s="175" t="s">
        <v>647</v>
      </c>
      <c r="E1219" s="176" t="s">
        <v>13</v>
      </c>
      <c r="F1219" s="175"/>
      <c r="G1219" s="177" t="str">
        <f>IF(B1219="insumo",_xlfn.XLOOKUP($D1219,Insumos!$B$1:$B$764,Insumos!$D$1:$D$764),"")</f>
        <v/>
      </c>
      <c r="H1219" s="177" cm="1">
        <f t="array" ref="H1219">_xlfn.IFS(B1219="Serviço",SUMIFS(H1220:$H$3085,C1220:$C$3085,$C1219),B1219="Insumo",F1219*G1219,B1219="Etapa","")</f>
        <v>40.17</v>
      </c>
      <c r="I1219" s="178" t="s">
        <v>195</v>
      </c>
    </row>
    <row r="1220" spans="1:9" hidden="1" outlineLevel="2" x14ac:dyDescent="0.25">
      <c r="A1220" s="175">
        <f t="shared" si="40"/>
        <v>1</v>
      </c>
      <c r="B1220" s="175" t="s">
        <v>327</v>
      </c>
      <c r="C1220" s="175" t="str">
        <f t="shared" si="39"/>
        <v>Impermeabilização com manta liquida em peitoris</v>
      </c>
      <c r="D1220" s="175" t="s">
        <v>648</v>
      </c>
      <c r="E1220" s="176" t="str">
        <f>_xlfn.XLOOKUP(D1220,Insumos!$B$1:$B$764,Insumos!$C$1:$C$764)</f>
        <v>KG</v>
      </c>
      <c r="F1220" s="179">
        <v>1.56</v>
      </c>
      <c r="G1220" s="177">
        <f>IF(B1220="insumo",_xlfn.XLOOKUP($D1220,Insumos!$B$1:$B$764,Insumos!$D$1:$D$764),"")</f>
        <v>25.75</v>
      </c>
      <c r="H1220" s="177" cm="1">
        <f t="array" ref="H1220">_xlfn.IFS(B1220="Serviço",SUMIFS(H1221:$H$3085,C1221:$C$3085,$C1220),B1220="Insumo",F1220*G1220,B1220="Etapa","")</f>
        <v>40.17</v>
      </c>
      <c r="I1220" s="178"/>
    </row>
    <row r="1221" spans="1:9" hidden="1" outlineLevel="1" collapsed="1" x14ac:dyDescent="0.25">
      <c r="A1221" s="175">
        <f t="shared" si="40"/>
        <v>1</v>
      </c>
      <c r="B1221" s="175" t="s">
        <v>109</v>
      </c>
      <c r="C1221" s="175" t="str">
        <f t="shared" si="39"/>
        <v>Tratamento de ralo com manta de poliéster</v>
      </c>
      <c r="D1221" s="175" t="s">
        <v>118</v>
      </c>
      <c r="E1221" s="176" t="s">
        <v>131</v>
      </c>
      <c r="F1221" s="175"/>
      <c r="G1221" s="177" t="str">
        <f>IF(B1221="insumo",_xlfn.XLOOKUP($D1221,Insumos!$B$1:$B$764,Insumos!$D$1:$D$764),"")</f>
        <v/>
      </c>
      <c r="H1221" s="177" cm="1">
        <f t="array" ref="H1221">_xlfn.IFS(B1221="Serviço",SUMIFS(H1222:$H$3085,C1222:$C$3085,$C1221),B1221="Insumo",F1221*G1221,B1221="Etapa","")</f>
        <v>8.760015000000001</v>
      </c>
      <c r="I1221" s="178" t="s">
        <v>195</v>
      </c>
    </row>
    <row r="1222" spans="1:9" hidden="1" outlineLevel="2" x14ac:dyDescent="0.25">
      <c r="A1222" s="175">
        <f t="shared" si="40"/>
        <v>3</v>
      </c>
      <c r="B1222" s="175" t="s">
        <v>327</v>
      </c>
      <c r="C1222" s="175" t="str">
        <f t="shared" si="39"/>
        <v>Tratamento de ralo com manta de poliéster</v>
      </c>
      <c r="D1222" s="175" t="s">
        <v>643</v>
      </c>
      <c r="E1222" s="176" t="str">
        <f>_xlfn.XLOOKUP(D1222,Insumos!$B$1:$B$764,Insumos!$C$1:$C$764)</f>
        <v>KG</v>
      </c>
      <c r="F1222" s="179">
        <v>0.73850000000000005</v>
      </c>
      <c r="G1222" s="177">
        <f>IF(B1222="insumo",_xlfn.XLOOKUP($D1222,Insumos!$B$1:$B$764,Insumos!$D$1:$D$764),"")</f>
        <v>11.33</v>
      </c>
      <c r="H1222" s="177" cm="1">
        <f t="array" ref="H1222">_xlfn.IFS(B1222="Serviço",SUMIFS(H1223:$H$3085,C1223:$C$3085,$C1222),B1222="Insumo",F1222*G1222,B1222="Etapa","")</f>
        <v>8.3672050000000002</v>
      </c>
      <c r="I1222" s="178"/>
    </row>
    <row r="1223" spans="1:9" hidden="1" outlineLevel="2" x14ac:dyDescent="0.25">
      <c r="A1223" s="175">
        <f t="shared" si="40"/>
        <v>1</v>
      </c>
      <c r="B1223" s="175" t="s">
        <v>327</v>
      </c>
      <c r="C1223" s="175" t="str">
        <f t="shared" si="39"/>
        <v>Tratamento de ralo com manta de poliéster</v>
      </c>
      <c r="D1223" s="175" t="s">
        <v>649</v>
      </c>
      <c r="E1223" s="176" t="str">
        <f>_xlfn.XLOOKUP(D1223,Insumos!$B$1:$B$764,Insumos!$C$1:$C$764)</f>
        <v>M2</v>
      </c>
      <c r="F1223" s="179">
        <v>0.35709999999999997</v>
      </c>
      <c r="G1223" s="177">
        <f>IF(B1223="insumo",_xlfn.XLOOKUP($D1223,Insumos!$B$1:$B$764,Insumos!$D$1:$D$764),"")</f>
        <v>1.1000000000000001</v>
      </c>
      <c r="H1223" s="177" cm="1">
        <f t="array" ref="H1223">_xlfn.IFS(B1223="Serviço",SUMIFS(H1224:$H$3085,C1224:$C$3085,$C1223),B1223="Insumo",F1223*G1223,B1223="Etapa","")</f>
        <v>0.39280999999999999</v>
      </c>
      <c r="I1223" s="178"/>
    </row>
    <row r="1224" spans="1:9" hidden="1" outlineLevel="1" collapsed="1" x14ac:dyDescent="0.25">
      <c r="A1224" s="175">
        <f t="shared" si="40"/>
        <v>1</v>
      </c>
      <c r="B1224" s="175" t="s">
        <v>109</v>
      </c>
      <c r="C1224" s="175" t="str">
        <f t="shared" si="39"/>
        <v>E3 - Membrana de polímero acrílico com cimento e fibras, estruturada com tela de poliéster nos pontos críticos (3,0 kg/m²)</v>
      </c>
      <c r="D1224" s="175" t="s">
        <v>3852</v>
      </c>
      <c r="E1224" s="176" t="s">
        <v>13</v>
      </c>
      <c r="F1224" s="175"/>
      <c r="G1224" s="177" t="str">
        <f>IF(B1224="insumo",_xlfn.XLOOKUP($D1224,Insumos!$B$1:$B$764,Insumos!$D$1:$D$764),"")</f>
        <v/>
      </c>
      <c r="H1224" s="177" cm="1">
        <f t="array" ref="H1224">_xlfn.IFS(B1224="Serviço",SUMIFS(H1225:$H$3085,C1225:$C$3085,$C1224),B1224="Insumo",F1224*G1224,B1224="Etapa","")</f>
        <v>66</v>
      </c>
      <c r="I1224" s="178" t="s">
        <v>195</v>
      </c>
    </row>
    <row r="1225" spans="1:9" hidden="1" outlineLevel="2" x14ac:dyDescent="0.25">
      <c r="A1225" s="175">
        <f t="shared" si="40"/>
        <v>2</v>
      </c>
      <c r="B1225" s="175" t="s">
        <v>327</v>
      </c>
      <c r="C1225" s="175" t="str">
        <f t="shared" si="39"/>
        <v>E3 - Membrana de polímero acrílico com cimento e fibras, estruturada com tela de poliéster nos pontos críticos (3,0 kg/m²)</v>
      </c>
      <c r="D1225" s="175" t="s">
        <v>3839</v>
      </c>
      <c r="E1225" s="176" t="str">
        <f>_xlfn.XLOOKUP(D1225,Insumos!$B$1:$B$764,Insumos!$C$1:$C$764)</f>
        <v>KG</v>
      </c>
      <c r="F1225" s="179">
        <v>3</v>
      </c>
      <c r="G1225" s="177">
        <f>IF(B1225="insumo",_xlfn.XLOOKUP($D1225,Insumos!$B$1:$B$764,Insumos!$D$1:$D$764),"")</f>
        <v>22</v>
      </c>
      <c r="H1225" s="177" cm="1">
        <f t="array" ref="H1225">_xlfn.IFS(B1225="Serviço",SUMIFS(H1226:$H$3085,C1226:$C$3085,$C1225),B1225="Insumo",F1225*G1225,B1225="Etapa","")</f>
        <v>66</v>
      </c>
      <c r="I1225" s="178"/>
    </row>
    <row r="1226" spans="1:9" hidden="1" outlineLevel="1" collapsed="1" x14ac:dyDescent="0.25">
      <c r="A1226" s="175">
        <f t="shared" si="40"/>
        <v>1</v>
      </c>
      <c r="B1226" s="175" t="s">
        <v>109</v>
      </c>
      <c r="C1226" s="175" t="str">
        <f t="shared" si="39"/>
        <v>I30EL - Membrana de polímero acrílico, sem cimento (3,0 kg/m²), com resistência à alcalinidade, estruturada com tela de poliéster nos pontos críticos – Ref.: Sika Baucryl, MC DF9, Icopor HP, Procryl Imper</v>
      </c>
      <c r="D1226" s="175" t="s">
        <v>3853</v>
      </c>
      <c r="E1226" s="176" t="s">
        <v>13</v>
      </c>
      <c r="F1226" s="175"/>
      <c r="G1226" s="177" t="str">
        <f>IF(B1226="insumo",_xlfn.XLOOKUP($D1226,Insumos!$B$1:$B$764,Insumos!$D$1:$D$764),"")</f>
        <v/>
      </c>
      <c r="H1226" s="177" cm="1">
        <f t="array" ref="H1226">_xlfn.IFS(B1226="Serviço",SUMIFS(H1227:$H$3085,C1227:$C$3085,$C1226),B1226="Insumo",F1226*G1226,B1226="Etapa","")</f>
        <v>75</v>
      </c>
      <c r="I1226" s="178" t="s">
        <v>195</v>
      </c>
    </row>
    <row r="1227" spans="1:9" hidden="1" outlineLevel="2" x14ac:dyDescent="0.25">
      <c r="A1227" s="175">
        <f t="shared" si="40"/>
        <v>1</v>
      </c>
      <c r="B1227" s="175" t="s">
        <v>327</v>
      </c>
      <c r="C1227" s="175" t="str">
        <f t="shared" si="39"/>
        <v>I30EL - Membrana de polímero acrílico, sem cimento (3,0 kg/m²), com resistência à alcalinidade, estruturada com tela de poliéster nos pontos críticos – Ref.: Sika Baucryl, MC DF9, Icopor HP, Procryl Imper</v>
      </c>
      <c r="D1227" s="175" t="s">
        <v>3840</v>
      </c>
      <c r="E1227" s="176" t="str">
        <f>_xlfn.XLOOKUP(D1227,Insumos!$B$1:$B$764,Insumos!$C$1:$C$764)</f>
        <v>KG</v>
      </c>
      <c r="F1227" s="179">
        <v>3</v>
      </c>
      <c r="G1227" s="177">
        <f>IF(B1227="insumo",_xlfn.XLOOKUP($D1227,Insumos!$B$1:$B$764,Insumos!$D$1:$D$764),"")</f>
        <v>25</v>
      </c>
      <c r="H1227" s="177" cm="1">
        <f t="array" ref="H1227">_xlfn.IFS(B1227="Serviço",SUMIFS(H1228:$H$3085,C1228:$C$3085,$C1227),B1227="Insumo",F1227*G1227,B1227="Etapa","")</f>
        <v>75</v>
      </c>
      <c r="I1227" s="178"/>
    </row>
    <row r="1228" spans="1:9" hidden="1" outlineLevel="1" collapsed="1" x14ac:dyDescent="0.25">
      <c r="A1228" s="175">
        <f t="shared" si="40"/>
        <v>1</v>
      </c>
      <c r="B1228" s="175" t="s">
        <v>109</v>
      </c>
      <c r="C1228" s="175" t="str">
        <f t="shared" si="39"/>
        <v>M44A - Manta asfáltica tipo IV, 4 mm A, com acabamento areia/areia aderida com asfalto oxidado (3,0 kg/m²) + banho de asfalto oxidado (2,0 kg/m²)</v>
      </c>
      <c r="D1228" s="175" t="s">
        <v>3854</v>
      </c>
      <c r="E1228" s="176" t="s">
        <v>13</v>
      </c>
      <c r="F1228" s="175"/>
      <c r="G1228" s="177" t="str">
        <f>IF(B1228="insumo",_xlfn.XLOOKUP($D1228,Insumos!$B$1:$B$764,Insumos!$D$1:$D$764),"")</f>
        <v/>
      </c>
      <c r="H1228" s="177" cm="1">
        <f t="array" ref="H1228">_xlfn.IFS(B1228="Serviço",SUMIFS(H1229:$H$3085,C1229:$C$3085,$C1228),B1228="Insumo",F1228*G1228,B1228="Etapa","")</f>
        <v>108</v>
      </c>
      <c r="I1228" s="178" t="s">
        <v>195</v>
      </c>
    </row>
    <row r="1229" spans="1:9" hidden="1" outlineLevel="2" x14ac:dyDescent="0.25">
      <c r="A1229" s="175">
        <f t="shared" si="40"/>
        <v>3</v>
      </c>
      <c r="B1229" s="175" t="s">
        <v>327</v>
      </c>
      <c r="C1229" s="175" t="str">
        <f t="shared" si="39"/>
        <v>M44A - Manta asfáltica tipo IV, 4 mm A, com acabamento areia/areia aderida com asfalto oxidado (3,0 kg/m²) + banho de asfalto oxidado (2,0 kg/m²)</v>
      </c>
      <c r="D1229" s="175" t="s">
        <v>3841</v>
      </c>
      <c r="E1229" s="176" t="str">
        <f>_xlfn.XLOOKUP(D1229,Insumos!$B$1:$B$764,Insumos!$C$1:$C$764)</f>
        <v>KG</v>
      </c>
      <c r="F1229" s="179">
        <v>3</v>
      </c>
      <c r="G1229" s="177">
        <f>IF(B1229="insumo",_xlfn.XLOOKUP($D1229,Insumos!$B$1:$B$764,Insumos!$D$1:$D$764),"")</f>
        <v>30</v>
      </c>
      <c r="H1229" s="177" cm="1">
        <f t="array" ref="H1229">_xlfn.IFS(B1229="Serviço",SUMIFS(H1230:$H$3085,C1230:$C$3085,$C1229),B1229="Insumo",F1229*G1229,B1229="Etapa","")</f>
        <v>90</v>
      </c>
      <c r="I1229" s="178"/>
    </row>
    <row r="1230" spans="1:9" hidden="1" outlineLevel="2" x14ac:dyDescent="0.25">
      <c r="A1230" s="175">
        <f t="shared" si="40"/>
        <v>4</v>
      </c>
      <c r="B1230" s="175" t="s">
        <v>327</v>
      </c>
      <c r="C1230" s="175" t="str">
        <f t="shared" si="39"/>
        <v>M44A - Manta asfáltica tipo IV, 4 mm A, com acabamento areia/areia aderida com asfalto oxidado (3,0 kg/m²) + banho de asfalto oxidado (2,0 kg/m²)</v>
      </c>
      <c r="D1230" s="175" t="s">
        <v>3842</v>
      </c>
      <c r="E1230" s="176" t="str">
        <f>_xlfn.XLOOKUP(D1230,Insumos!$B$1:$B$764,Insumos!$C$1:$C$764)</f>
        <v>KG</v>
      </c>
      <c r="F1230" s="179">
        <v>2</v>
      </c>
      <c r="G1230" s="177">
        <f>IF(B1230="insumo",_xlfn.XLOOKUP($D1230,Insumos!$B$1:$B$764,Insumos!$D$1:$D$764),"")</f>
        <v>9</v>
      </c>
      <c r="H1230" s="177" cm="1">
        <f t="array" ref="H1230">_xlfn.IFS(B1230="Serviço",SUMIFS(H1231:$H$3085,C1231:$C$3085,$C1230),B1230="Insumo",F1230*G1230,B1230="Etapa","")</f>
        <v>18</v>
      </c>
      <c r="I1230" s="178"/>
    </row>
    <row r="1231" spans="1:9" hidden="1" outlineLevel="1" collapsed="1" x14ac:dyDescent="0.25">
      <c r="A1231" s="175">
        <f t="shared" si="40"/>
        <v>1</v>
      </c>
      <c r="B1231" s="175" t="s">
        <v>109</v>
      </c>
      <c r="C1231" s="175" t="str">
        <f t="shared" si="39"/>
        <v>C3 - Argamassa polimérica rígida, estruturada com tela de poliéster nos pontos críticos (3,0 kg/m²)</v>
      </c>
      <c r="D1231" s="175" t="s">
        <v>3855</v>
      </c>
      <c r="E1231" s="176" t="s">
        <v>13</v>
      </c>
      <c r="F1231" s="175"/>
      <c r="G1231" s="177" t="str">
        <f>IF(B1231="insumo",_xlfn.XLOOKUP($D1231,Insumos!$B$1:$B$764,Insumos!$D$1:$D$764),"")</f>
        <v/>
      </c>
      <c r="H1231" s="177" cm="1">
        <f t="array" ref="H1231">_xlfn.IFS(B1231="Serviço",SUMIFS(H1232:$H$3085,C1232:$C$3085,$C1231),B1231="Insumo",F1231*G1231,B1231="Etapa","")</f>
        <v>29.666666666666668</v>
      </c>
      <c r="I1231" s="178" t="s">
        <v>195</v>
      </c>
    </row>
    <row r="1232" spans="1:9" hidden="1" outlineLevel="2" x14ac:dyDescent="0.25">
      <c r="A1232" s="175">
        <f t="shared" si="40"/>
        <v>2</v>
      </c>
      <c r="B1232" s="175" t="s">
        <v>327</v>
      </c>
      <c r="C1232" s="175" t="str">
        <f t="shared" si="39"/>
        <v>C3 - Argamassa polimérica rígida, estruturada com tela de poliéster nos pontos críticos (3,0 kg/m²)</v>
      </c>
      <c r="D1232" s="175" t="s">
        <v>3843</v>
      </c>
      <c r="E1232" s="176" t="str">
        <f>_xlfn.XLOOKUP(D1232,Insumos!$B$1:$B$764,Insumos!$C$1:$C$764)</f>
        <v>KG</v>
      </c>
      <c r="F1232" s="179">
        <v>3</v>
      </c>
      <c r="G1232" s="177">
        <f>IF(B1232="insumo",_xlfn.XLOOKUP($D1232,Insumos!$B$1:$B$764,Insumos!$D$1:$D$764),"")</f>
        <v>9.8888888888888893</v>
      </c>
      <c r="H1232" s="177" cm="1">
        <f t="array" ref="H1232">_xlfn.IFS(B1232="Serviço",SUMIFS(H1233:$H$3085,C1233:$C$3085,$C1232),B1232="Insumo",F1232*G1232,B1232="Etapa","")</f>
        <v>29.666666666666668</v>
      </c>
      <c r="I1232" s="178"/>
    </row>
    <row r="1233" spans="1:9" hidden="1" outlineLevel="1" collapsed="1" x14ac:dyDescent="0.25">
      <c r="A1233" s="175">
        <f t="shared" si="40"/>
        <v>1</v>
      </c>
      <c r="B1233" s="175" t="s">
        <v>109</v>
      </c>
      <c r="C1233" s="175" t="str">
        <f t="shared" si="39"/>
        <v>C3E3 - Argamassa polimérica rígida (3,0 kg/m²) + membrana de polímero acrílico com cimento e fibras, estruturada com tela de poliéster nos pontos críticos (3,0 kg/m²)</v>
      </c>
      <c r="D1233" s="175" t="s">
        <v>3856</v>
      </c>
      <c r="E1233" s="176" t="s">
        <v>13</v>
      </c>
      <c r="F1233" s="175"/>
      <c r="G1233" s="177" t="str">
        <f>IF(B1233="insumo",_xlfn.XLOOKUP($D1233,Insumos!$B$1:$B$764,Insumos!$D$1:$D$764),"")</f>
        <v/>
      </c>
      <c r="H1233" s="177" cm="1">
        <f t="array" ref="H1233">_xlfn.IFS(B1233="Serviço",SUMIFS(H1234:$H$3085,C1234:$C$3085,$C1233),B1233="Insumo",F1233*G1233,B1233="Etapa","")</f>
        <v>95.666666666666671</v>
      </c>
      <c r="I1233" s="178" t="s">
        <v>195</v>
      </c>
    </row>
    <row r="1234" spans="1:9" hidden="1" outlineLevel="2" x14ac:dyDescent="0.25">
      <c r="A1234" s="175">
        <f t="shared" si="40"/>
        <v>1</v>
      </c>
      <c r="B1234" s="175" t="s">
        <v>327</v>
      </c>
      <c r="C1234" s="175" t="str">
        <f t="shared" si="39"/>
        <v>C3E3 - Argamassa polimérica rígida (3,0 kg/m²) + membrana de polímero acrílico com cimento e fibras, estruturada com tela de poliéster nos pontos críticos (3,0 kg/m²)</v>
      </c>
      <c r="D1234" s="175" t="s">
        <v>3844</v>
      </c>
      <c r="E1234" s="176" t="str">
        <f>_xlfn.XLOOKUP(D1234,Insumos!$B$1:$B$764,Insumos!$C$1:$C$764)</f>
        <v>KG</v>
      </c>
      <c r="F1234" s="179">
        <v>3</v>
      </c>
      <c r="G1234" s="177">
        <f>IF(B1234="insumo",_xlfn.XLOOKUP($D1234,Insumos!$B$1:$B$764,Insumos!$D$1:$D$764),"")</f>
        <v>9.8888888888888893</v>
      </c>
      <c r="H1234" s="177" cm="1">
        <f t="array" ref="H1234">_xlfn.IFS(B1234="Serviço",SUMIFS(H1235:$H$3085,C1235:$C$3085,$C1234),B1234="Insumo",F1234*G1234,B1234="Etapa","")</f>
        <v>29.666666666666668</v>
      </c>
      <c r="I1234" s="178"/>
    </row>
    <row r="1235" spans="1:9" hidden="1" outlineLevel="2" x14ac:dyDescent="0.25">
      <c r="A1235" s="175">
        <f t="shared" si="40"/>
        <v>2</v>
      </c>
      <c r="B1235" s="175" t="s">
        <v>327</v>
      </c>
      <c r="C1235" s="175" t="str">
        <f t="shared" si="39"/>
        <v>C3E3 - Argamassa polimérica rígida (3,0 kg/m²) + membrana de polímero acrílico com cimento e fibras, estruturada com tela de poliéster nos pontos críticos (3,0 kg/m²)</v>
      </c>
      <c r="D1235" s="175" t="s">
        <v>3845</v>
      </c>
      <c r="E1235" s="176" t="str">
        <f>_xlfn.XLOOKUP(D1235,Insumos!$B$1:$B$764,Insumos!$C$1:$C$764)</f>
        <v>KG</v>
      </c>
      <c r="F1235" s="179">
        <v>3</v>
      </c>
      <c r="G1235" s="177">
        <f>IF(B1235="insumo",_xlfn.XLOOKUP($D1235,Insumos!$B$1:$B$764,Insumos!$D$1:$D$764),"")</f>
        <v>22</v>
      </c>
      <c r="H1235" s="177" cm="1">
        <f t="array" ref="H1235">_xlfn.IFS(B1235="Serviço",SUMIFS(H1236:$H$3085,C1236:$C$3085,$C1235),B1235="Insumo",F1235*G1235,B1235="Etapa","")</f>
        <v>66</v>
      </c>
      <c r="I1235" s="178"/>
    </row>
    <row r="1236" spans="1:9" hidden="1" outlineLevel="1" collapsed="1" x14ac:dyDescent="0.25">
      <c r="A1236" s="175">
        <f t="shared" si="40"/>
        <v>1</v>
      </c>
      <c r="B1236" s="175" t="s">
        <v>109</v>
      </c>
      <c r="C1236" s="175" t="str">
        <f t="shared" si="39"/>
        <v>C4 - Argamassa polimérica rígida, estruturada com tela de poliéster nos pontos críticos (4,0 kg/m²)</v>
      </c>
      <c r="D1236" s="175" t="s">
        <v>3857</v>
      </c>
      <c r="E1236" s="176" t="s">
        <v>13</v>
      </c>
      <c r="F1236" s="175"/>
      <c r="G1236" s="177" t="str">
        <f>IF(B1236="insumo",_xlfn.XLOOKUP($D1236,Insumos!$B$1:$B$764,Insumos!$D$1:$D$764),"")</f>
        <v/>
      </c>
      <c r="H1236" s="177" cm="1">
        <f t="array" ref="H1236">_xlfn.IFS(B1236="Serviço",SUMIFS(H1237:$H$3085,C1237:$C$3085,$C1236),B1236="Insumo",F1236*G1236,B1236="Etapa","")</f>
        <v>39.555555555555557</v>
      </c>
      <c r="I1236" s="178" t="s">
        <v>195</v>
      </c>
    </row>
    <row r="1237" spans="1:9" hidden="1" outlineLevel="2" x14ac:dyDescent="0.25">
      <c r="A1237" s="175">
        <f t="shared" si="40"/>
        <v>2</v>
      </c>
      <c r="B1237" s="175" t="s">
        <v>327</v>
      </c>
      <c r="C1237" s="175" t="str">
        <f t="shared" si="39"/>
        <v>C4 - Argamassa polimérica rígida, estruturada com tela de poliéster nos pontos críticos (4,0 kg/m²)</v>
      </c>
      <c r="D1237" s="175" t="s">
        <v>3843</v>
      </c>
      <c r="E1237" s="176" t="str">
        <f>_xlfn.XLOOKUP(D1237,Insumos!$B$1:$B$764,Insumos!$C$1:$C$764)</f>
        <v>KG</v>
      </c>
      <c r="F1237" s="179">
        <v>4</v>
      </c>
      <c r="G1237" s="177">
        <f>IF(B1237="insumo",_xlfn.XLOOKUP($D1237,Insumos!$B$1:$B$764,Insumos!$D$1:$D$764),"")</f>
        <v>9.8888888888888893</v>
      </c>
      <c r="H1237" s="177" cm="1">
        <f t="array" ref="H1237">_xlfn.IFS(B1237="Serviço",SUMIFS(H1238:$H$3085,C1238:$C$3085,$C1237),B1237="Insumo",F1237*G1237,B1237="Etapa","")</f>
        <v>39.555555555555557</v>
      </c>
      <c r="I1237" s="178"/>
    </row>
    <row r="1238" spans="1:9" hidden="1" outlineLevel="1" collapsed="1" x14ac:dyDescent="0.25">
      <c r="A1238" s="175">
        <f t="shared" si="40"/>
        <v>1</v>
      </c>
      <c r="B1238" s="175" t="s">
        <v>109</v>
      </c>
      <c r="C1238" s="175" t="str">
        <f t="shared" si="39"/>
        <v>C4RQ - Argamassa polimérica rígida, com alta resistência química, estruturada com tela de poliéster nos pontos críticos (4,0 kg/m²)</v>
      </c>
      <c r="D1238" s="175" t="s">
        <v>3858</v>
      </c>
      <c r="E1238" s="176" t="s">
        <v>13</v>
      </c>
      <c r="F1238" s="175"/>
      <c r="G1238" s="177" t="str">
        <f>IF(B1238="insumo",_xlfn.XLOOKUP($D1238,Insumos!$B$1:$B$764,Insumos!$D$1:$D$764),"")</f>
        <v/>
      </c>
      <c r="H1238" s="177" cm="1">
        <f t="array" ref="H1238">_xlfn.IFS(B1238="Serviço",SUMIFS(H1239:$H$3085,C1239:$C$3085,$C1238),B1238="Insumo",F1238*G1238,B1238="Etapa","")</f>
        <v>39.555555555555557</v>
      </c>
      <c r="I1238" s="178" t="s">
        <v>195</v>
      </c>
    </row>
    <row r="1239" spans="1:9" hidden="1" outlineLevel="2" x14ac:dyDescent="0.25">
      <c r="A1239" s="175">
        <f t="shared" si="40"/>
        <v>1</v>
      </c>
      <c r="B1239" s="175" t="s">
        <v>327</v>
      </c>
      <c r="C1239" s="175" t="str">
        <f t="shared" si="39"/>
        <v>C4RQ - Argamassa polimérica rígida, com alta resistência química, estruturada com tela de poliéster nos pontos críticos (4,0 kg/m²)</v>
      </c>
      <c r="D1239" s="175" t="s">
        <v>3846</v>
      </c>
      <c r="E1239" s="176" t="str">
        <f>_xlfn.XLOOKUP(D1239,Insumos!$B$1:$B$764,Insumos!$C$1:$C$764)</f>
        <v>KG</v>
      </c>
      <c r="F1239" s="179">
        <v>4</v>
      </c>
      <c r="G1239" s="177">
        <f>IF(B1239="insumo",_xlfn.XLOOKUP($D1239,Insumos!$B$1:$B$764,Insumos!$D$1:$D$764),"")</f>
        <v>9.8888888888888893</v>
      </c>
      <c r="H1239" s="177" cm="1">
        <f t="array" ref="H1239">_xlfn.IFS(B1239="Serviço",SUMIFS(H1240:$H$3085,C1240:$C$3085,$C1239),B1239="Insumo",F1239*G1239,B1239="Etapa","")</f>
        <v>39.555555555555557</v>
      </c>
      <c r="I1239" s="178"/>
    </row>
    <row r="1240" spans="1:9" hidden="1" outlineLevel="1" collapsed="1" x14ac:dyDescent="0.25">
      <c r="A1240" s="175">
        <f t="shared" si="40"/>
        <v>1</v>
      </c>
      <c r="B1240" s="175" t="s">
        <v>109</v>
      </c>
      <c r="C1240" s="175" t="str">
        <f t="shared" si="39"/>
        <v>I30 - Membrana acrílica, estruturada com tela de poliéster, nos pontos críticos (3,0 kg/m²)</v>
      </c>
      <c r="D1240" s="175" t="s">
        <v>3859</v>
      </c>
      <c r="E1240" s="176" t="s">
        <v>13</v>
      </c>
      <c r="F1240" s="175"/>
      <c r="G1240" s="177" t="str">
        <f>IF(B1240="insumo",_xlfn.XLOOKUP($D1240,Insumos!$B$1:$B$764,Insumos!$D$1:$D$764),"")</f>
        <v/>
      </c>
      <c r="H1240" s="177" cm="1">
        <f t="array" ref="H1240">_xlfn.IFS(B1240="Serviço",SUMIFS(H1241:$H$3085,C1241:$C$3085,$C1240),B1240="Insumo",F1240*G1240,B1240="Etapa","")</f>
        <v>72</v>
      </c>
      <c r="I1240" s="178" t="s">
        <v>195</v>
      </c>
    </row>
    <row r="1241" spans="1:9" hidden="1" outlineLevel="2" x14ac:dyDescent="0.25">
      <c r="A1241" s="175">
        <f t="shared" si="40"/>
        <v>1</v>
      </c>
      <c r="B1241" s="175" t="s">
        <v>327</v>
      </c>
      <c r="C1241" s="175" t="str">
        <f t="shared" si="39"/>
        <v>I30 - Membrana acrílica, estruturada com tela de poliéster, nos pontos críticos (3,0 kg/m²)</v>
      </c>
      <c r="D1241" s="175" t="s">
        <v>3847</v>
      </c>
      <c r="E1241" s="176" t="str">
        <f>_xlfn.XLOOKUP(D1241,Insumos!$B$1:$B$764,Insumos!$C$1:$C$764)</f>
        <v>KG</v>
      </c>
      <c r="F1241" s="179">
        <v>3</v>
      </c>
      <c r="G1241" s="177">
        <f>IF(B1241="insumo",_xlfn.XLOOKUP($D1241,Insumos!$B$1:$B$764,Insumos!$D$1:$D$764),"")</f>
        <v>24</v>
      </c>
      <c r="H1241" s="177" cm="1">
        <f t="array" ref="H1241">_xlfn.IFS(B1241="Serviço",SUMIFS(H1242:$H$3085,C1242:$C$3085,$C1241),B1241="Insumo",F1241*G1241,B1241="Etapa","")</f>
        <v>72</v>
      </c>
      <c r="I1241" s="178"/>
    </row>
    <row r="1242" spans="1:9" hidden="1" outlineLevel="1" collapsed="1" x14ac:dyDescent="0.25">
      <c r="A1242" s="175">
        <f t="shared" si="40"/>
        <v>1</v>
      </c>
      <c r="B1242" s="175" t="s">
        <v>109</v>
      </c>
      <c r="C1242" s="175" t="str">
        <f t="shared" si="39"/>
        <v>M44AE2 - Manta asfáltica tipo IV, 4 mm A, com acabamento areia/areia aderida com asfalto oxidado (3,0 kg/m²) + banho de asfalto oxidado (2,0 kg/m²) + membrana de polímero acrílico com cimento e fibras para combater eflorescência (2,0 kg/m²)</v>
      </c>
      <c r="D1242" s="175" t="s">
        <v>3860</v>
      </c>
      <c r="E1242" s="176" t="s">
        <v>13</v>
      </c>
      <c r="F1242" s="175"/>
      <c r="G1242" s="177" t="str">
        <f>IF(B1242="insumo",_xlfn.XLOOKUP($D1242,Insumos!$B$1:$B$764,Insumos!$D$1:$D$764),"")</f>
        <v/>
      </c>
      <c r="H1242" s="177" cm="1">
        <f t="array" ref="H1242">_xlfn.IFS(B1242="Serviço",SUMIFS(H1243:$H$3085,C1243:$C$3085,$C1242),B1242="Insumo",F1242*G1242,B1242="Etapa","")</f>
        <v>156</v>
      </c>
      <c r="I1242" s="178" t="s">
        <v>195</v>
      </c>
    </row>
    <row r="1243" spans="1:9" hidden="1" outlineLevel="2" x14ac:dyDescent="0.25">
      <c r="A1243" s="175">
        <f t="shared" si="40"/>
        <v>3</v>
      </c>
      <c r="B1243" s="175" t="s">
        <v>327</v>
      </c>
      <c r="C1243" s="175" t="str">
        <f t="shared" si="39"/>
        <v>M44AE2 - Manta asfáltica tipo IV, 4 mm A, com acabamento areia/areia aderida com asfalto oxidado (3,0 kg/m²) + banho de asfalto oxidado (2,0 kg/m²) + membrana de polímero acrílico com cimento e fibras para combater eflorescência (2,0 kg/m²)</v>
      </c>
      <c r="D1243" s="175" t="s">
        <v>3841</v>
      </c>
      <c r="E1243" s="176" t="str">
        <f>_xlfn.XLOOKUP(D1243,Insumos!$B$1:$B$764,Insumos!$C$1:$C$764)</f>
        <v>KG</v>
      </c>
      <c r="F1243" s="179">
        <v>3</v>
      </c>
      <c r="G1243" s="177">
        <f>IF(B1243="insumo",_xlfn.XLOOKUP($D1243,Insumos!$B$1:$B$764,Insumos!$D$1:$D$764),"")</f>
        <v>30</v>
      </c>
      <c r="H1243" s="177" cm="1">
        <f t="array" ref="H1243">_xlfn.IFS(B1243="Serviço",SUMIFS(H1244:$H$3085,C1244:$C$3085,$C1243),B1243="Insumo",F1243*G1243,B1243="Etapa","")</f>
        <v>90</v>
      </c>
      <c r="I1243" s="178"/>
    </row>
    <row r="1244" spans="1:9" hidden="1" outlineLevel="2" x14ac:dyDescent="0.25">
      <c r="A1244" s="175">
        <f t="shared" si="40"/>
        <v>4</v>
      </c>
      <c r="B1244" s="175" t="s">
        <v>327</v>
      </c>
      <c r="C1244" s="175" t="str">
        <f t="shared" si="39"/>
        <v>M44AE2 - Manta asfáltica tipo IV, 4 mm A, com acabamento areia/areia aderida com asfalto oxidado (3,0 kg/m²) + banho de asfalto oxidado (2,0 kg/m²) + membrana de polímero acrílico com cimento e fibras para combater eflorescência (2,0 kg/m²)</v>
      </c>
      <c r="D1244" s="175" t="s">
        <v>3842</v>
      </c>
      <c r="E1244" s="176" t="str">
        <f>_xlfn.XLOOKUP(D1244,Insumos!$B$1:$B$764,Insumos!$C$1:$C$764)</f>
        <v>KG</v>
      </c>
      <c r="F1244" s="179">
        <v>2</v>
      </c>
      <c r="G1244" s="177">
        <f>IF(B1244="insumo",_xlfn.XLOOKUP($D1244,Insumos!$B$1:$B$764,Insumos!$D$1:$D$764),"")</f>
        <v>9</v>
      </c>
      <c r="H1244" s="177" cm="1">
        <f t="array" ref="H1244">_xlfn.IFS(B1244="Serviço",SUMIFS(H1245:$H$3085,C1245:$C$3085,$C1244),B1244="Insumo",F1244*G1244,B1244="Etapa","")</f>
        <v>18</v>
      </c>
      <c r="I1244" s="178"/>
    </row>
    <row r="1245" spans="1:9" hidden="1" outlineLevel="2" x14ac:dyDescent="0.25">
      <c r="A1245" s="175">
        <f t="shared" si="40"/>
        <v>2</v>
      </c>
      <c r="B1245" s="175" t="s">
        <v>327</v>
      </c>
      <c r="C1245" s="175" t="str">
        <f t="shared" si="39"/>
        <v>M44AE2 - Manta asfáltica tipo IV, 4 mm A, com acabamento areia/areia aderida com asfalto oxidado (3,0 kg/m²) + banho de asfalto oxidado (2,0 kg/m²) + membrana de polímero acrílico com cimento e fibras para combater eflorescência (2,0 kg/m²)</v>
      </c>
      <c r="D1245" s="175" t="s">
        <v>3848</v>
      </c>
      <c r="E1245" s="176" t="str">
        <f>_xlfn.XLOOKUP(D1245,Insumos!$B$1:$B$764,Insumos!$C$1:$C$764)</f>
        <v>KG</v>
      </c>
      <c r="F1245" s="179">
        <v>2</v>
      </c>
      <c r="G1245" s="177">
        <f>IF(B1245="insumo",_xlfn.XLOOKUP($D1245,Insumos!$B$1:$B$764,Insumos!$D$1:$D$764),"")</f>
        <v>24</v>
      </c>
      <c r="H1245" s="177" cm="1">
        <f t="array" ref="H1245">_xlfn.IFS(B1245="Serviço",SUMIFS(H1246:$H$3085,C1246:$C$3085,$C1245),B1245="Insumo",F1245*G1245,B1245="Etapa","")</f>
        <v>48</v>
      </c>
      <c r="I1245" s="178"/>
    </row>
    <row r="1246" spans="1:9" hidden="1" outlineLevel="1" collapsed="1" x14ac:dyDescent="0.25">
      <c r="A1246" s="175">
        <f t="shared" si="40"/>
        <v>1</v>
      </c>
      <c r="B1246" s="175" t="s">
        <v>109</v>
      </c>
      <c r="C1246" s="175" t="str">
        <f t="shared" ref="C1246:C1311" si="41">IF(B1246="serviço",D1246,C1245)</f>
        <v>E2 - Membrana de polímero acrílico, com cimento e com fibras, estruturada com tela de poliéster nos pontos críticos (2,0 kg/m²)</v>
      </c>
      <c r="D1246" s="175" t="s">
        <v>3861</v>
      </c>
      <c r="E1246" s="176" t="s">
        <v>13</v>
      </c>
      <c r="F1246" s="175"/>
      <c r="G1246" s="177" t="str">
        <f>IF(B1246="insumo",_xlfn.XLOOKUP($D1246,Insumos!$B$1:$B$764,Insumos!$D$1:$D$764),"")</f>
        <v/>
      </c>
      <c r="H1246" s="177" cm="1">
        <f t="array" ref="H1246">_xlfn.IFS(B1246="Serviço",SUMIFS(H1247:$H$3085,C1247:$C$3085,$C1246),B1246="Insumo",F1246*G1246,B1246="Etapa","")</f>
        <v>48</v>
      </c>
      <c r="I1246" s="178" t="s">
        <v>195</v>
      </c>
    </row>
    <row r="1247" spans="1:9" hidden="1" outlineLevel="2" x14ac:dyDescent="0.25">
      <c r="A1247" s="175">
        <f t="shared" si="40"/>
        <v>1</v>
      </c>
      <c r="B1247" s="175" t="s">
        <v>327</v>
      </c>
      <c r="C1247" s="175" t="str">
        <f t="shared" si="41"/>
        <v>E2 - Membrana de polímero acrílico, com cimento e com fibras, estruturada com tela de poliéster nos pontos críticos (2,0 kg/m²)</v>
      </c>
      <c r="D1247" s="175" t="s">
        <v>3849</v>
      </c>
      <c r="E1247" s="176" t="str">
        <f>_xlfn.XLOOKUP(D1247,Insumos!$B$1:$B$764,Insumos!$C$1:$C$764)</f>
        <v>KG</v>
      </c>
      <c r="F1247" s="179">
        <v>2</v>
      </c>
      <c r="G1247" s="177">
        <f>IF(B1247="insumo",_xlfn.XLOOKUP($D1247,Insumos!$B$1:$B$764,Insumos!$D$1:$D$764),"")</f>
        <v>24</v>
      </c>
      <c r="H1247" s="177" cm="1">
        <f t="array" ref="H1247">_xlfn.IFS(B1247="Serviço",SUMIFS(H1248:$H$3085,C1248:$C$3085,$C1247),B1247="Insumo",F1247*G1247,B1247="Etapa","")</f>
        <v>48</v>
      </c>
      <c r="I1247" s="178"/>
    </row>
    <row r="1248" spans="1:9" hidden="1" outlineLevel="1" collapsed="1" x14ac:dyDescent="0.25">
      <c r="A1248" s="175">
        <f t="shared" si="40"/>
        <v>1</v>
      </c>
      <c r="B1248" s="175" t="s">
        <v>109</v>
      </c>
      <c r="C1248" s="175" t="str">
        <f t="shared" si="41"/>
        <v>M44AR05 - Manta asfáltica tipo IV, 4 mm A, com acabamento areia/areia aderida com asfalto oxidado (3,0 kg/m²) + banho de asfalto oxidado (2,0 kg/m²) + pintura de proteção antirraiz sobre a proteção mecânica (0,5 L/m²)</v>
      </c>
      <c r="D1248" s="175" t="s">
        <v>3862</v>
      </c>
      <c r="E1248" s="176" t="s">
        <v>13</v>
      </c>
      <c r="F1248" s="175"/>
      <c r="G1248" s="177" t="str">
        <f>IF(B1248="insumo",_xlfn.XLOOKUP($D1248,Insumos!$B$1:$B$764,Insumos!$D$1:$D$764),"")</f>
        <v/>
      </c>
      <c r="H1248" s="177" cm="1">
        <f t="array" ref="H1248">_xlfn.IFS(B1248="Serviço",SUMIFS(H1249:$H$3085,C1249:$C$3085,$C1248),B1248="Insumo",F1248*G1248,B1248="Etapa","")</f>
        <v>138</v>
      </c>
      <c r="I1248" s="178" t="s">
        <v>195</v>
      </c>
    </row>
    <row r="1249" spans="1:10" hidden="1" outlineLevel="2" x14ac:dyDescent="0.25">
      <c r="A1249" s="175">
        <f t="shared" si="40"/>
        <v>3</v>
      </c>
      <c r="B1249" s="175" t="s">
        <v>327</v>
      </c>
      <c r="C1249" s="175" t="str">
        <f t="shared" si="41"/>
        <v>M44AR05 - Manta asfáltica tipo IV, 4 mm A, com acabamento areia/areia aderida com asfalto oxidado (3,0 kg/m²) + banho de asfalto oxidado (2,0 kg/m²) + pintura de proteção antirraiz sobre a proteção mecânica (0,5 L/m²)</v>
      </c>
      <c r="D1249" s="175" t="s">
        <v>3841</v>
      </c>
      <c r="E1249" s="176" t="str">
        <f>_xlfn.XLOOKUP(D1249,Insumos!$B$1:$B$764,Insumos!$C$1:$C$764)</f>
        <v>KG</v>
      </c>
      <c r="F1249" s="179">
        <v>3</v>
      </c>
      <c r="G1249" s="177">
        <f>IF(B1249="insumo",_xlfn.XLOOKUP($D1249,Insumos!$B$1:$B$764,Insumos!$D$1:$D$764),"")</f>
        <v>30</v>
      </c>
      <c r="H1249" s="177" cm="1">
        <f t="array" ref="H1249">_xlfn.IFS(B1249="Serviço",SUMIFS(H1250:$H$3085,C1250:$C$3085,$C1249),B1249="Insumo",F1249*G1249,B1249="Etapa","")</f>
        <v>90</v>
      </c>
      <c r="I1249" s="178"/>
    </row>
    <row r="1250" spans="1:10" hidden="1" outlineLevel="2" x14ac:dyDescent="0.25">
      <c r="A1250" s="175">
        <f t="shared" si="40"/>
        <v>4</v>
      </c>
      <c r="B1250" s="175" t="s">
        <v>327</v>
      </c>
      <c r="C1250" s="175" t="str">
        <f t="shared" si="41"/>
        <v>M44AR05 - Manta asfáltica tipo IV, 4 mm A, com acabamento areia/areia aderida com asfalto oxidado (3,0 kg/m²) + banho de asfalto oxidado (2,0 kg/m²) + pintura de proteção antirraiz sobre a proteção mecânica (0,5 L/m²)</v>
      </c>
      <c r="D1250" s="175" t="s">
        <v>3842</v>
      </c>
      <c r="E1250" s="176" t="str">
        <f>_xlfn.XLOOKUP(D1250,Insumos!$B$1:$B$764,Insumos!$C$1:$C$764)</f>
        <v>KG</v>
      </c>
      <c r="F1250" s="179">
        <v>2</v>
      </c>
      <c r="G1250" s="177">
        <f>IF(B1250="insumo",_xlfn.XLOOKUP($D1250,Insumos!$B$1:$B$764,Insumos!$D$1:$D$764),"")</f>
        <v>9</v>
      </c>
      <c r="H1250" s="177" cm="1">
        <f t="array" ref="H1250">_xlfn.IFS(B1250="Serviço",SUMIFS(H1251:$H$3085,C1251:$C$3085,$C1250),B1250="Insumo",F1250*G1250,B1250="Etapa","")</f>
        <v>18</v>
      </c>
      <c r="I1250" s="178"/>
    </row>
    <row r="1251" spans="1:10" hidden="1" outlineLevel="2" x14ac:dyDescent="0.25">
      <c r="A1251" s="175">
        <f t="shared" si="40"/>
        <v>1</v>
      </c>
      <c r="B1251" s="175" t="s">
        <v>327</v>
      </c>
      <c r="C1251" s="175" t="str">
        <f t="shared" si="41"/>
        <v>M44AR05 - Manta asfáltica tipo IV, 4 mm A, com acabamento areia/areia aderida com asfalto oxidado (3,0 kg/m²) + banho de asfalto oxidado (2,0 kg/m²) + pintura de proteção antirraiz sobre a proteção mecânica (0,5 L/m²)</v>
      </c>
      <c r="D1251" s="175" t="s">
        <v>3850</v>
      </c>
      <c r="E1251" s="176" t="str">
        <f>_xlfn.XLOOKUP(D1251,Insumos!$B$1:$B$764,Insumos!$C$1:$C$764)</f>
        <v>L</v>
      </c>
      <c r="F1251" s="179">
        <v>0.5</v>
      </c>
      <c r="G1251" s="177">
        <f>IF(B1251="insumo",_xlfn.XLOOKUP($D1251,Insumos!$B$1:$B$764,Insumos!$D$1:$D$764),"")</f>
        <v>60</v>
      </c>
      <c r="H1251" s="177" cm="1">
        <f t="array" ref="H1251">_xlfn.IFS(B1251="Serviço",SUMIFS(H1252:$H$3085,C1252:$C$3085,$C1251),B1251="Insumo",F1251*G1251,B1251="Etapa","")</f>
        <v>30</v>
      </c>
      <c r="I1251" s="178"/>
    </row>
    <row r="1252" spans="1:10" hidden="1" outlineLevel="1" x14ac:dyDescent="0.25">
      <c r="A1252" s="175">
        <f t="shared" si="40"/>
        <v>1</v>
      </c>
      <c r="B1252" s="175" t="s">
        <v>109</v>
      </c>
      <c r="C1252" s="175" t="str">
        <f t="shared" si="41"/>
        <v>M44A + M44AE2 - Manta asfáltica tipo IV, 4 mm + manta asfáltica tipo IV, 4 mm + banho de asfalto oxidado + membrana de polímero acrílico com cimento e fibras para combater eflorescência</v>
      </c>
      <c r="D1252" s="175" t="s">
        <v>6928</v>
      </c>
      <c r="E1252" s="176" t="s">
        <v>13</v>
      </c>
      <c r="F1252" s="175"/>
      <c r="G1252" s="177" t="str">
        <f>IF(B1252="insumo",_xlfn.XLOOKUP($D1252,Insumos!$B$1:$B$764,Insumos!$D$1:$D$764),"")</f>
        <v/>
      </c>
      <c r="H1252" s="177" cm="1">
        <f t="array" ref="H1252">_xlfn.IFS(B1252="Serviço",SUMIFS(H1253:$H$3085,C1253:$C$3085,$C1252),B1252="Insumo",F1252*G1252,B1252="Etapa","")</f>
        <v>246</v>
      </c>
      <c r="I1252" s="178" t="s">
        <v>195</v>
      </c>
      <c r="J1252" s="175" t="s">
        <v>3863</v>
      </c>
    </row>
    <row r="1253" spans="1:10" hidden="1" outlineLevel="2" x14ac:dyDescent="0.25">
      <c r="A1253" s="175">
        <f t="shared" si="40"/>
        <v>1</v>
      </c>
      <c r="B1253" s="175" t="s">
        <v>327</v>
      </c>
      <c r="C1253" s="175" t="str">
        <f t="shared" si="41"/>
        <v>M44A + M44AE2 - Manta asfáltica tipo IV, 4 mm + manta asfáltica tipo IV, 4 mm + banho de asfalto oxidado + membrana de polímero acrílico com cimento e fibras para combater eflorescência</v>
      </c>
      <c r="D1253" s="175" t="s">
        <v>3851</v>
      </c>
      <c r="E1253" s="176" t="str">
        <f>_xlfn.XLOOKUP(D1253,Insumos!$B$1:$B$764,Insumos!$C$1:$C$764)</f>
        <v>KG</v>
      </c>
      <c r="F1253" s="179">
        <v>6</v>
      </c>
      <c r="G1253" s="177">
        <f>IF(B1253="insumo",_xlfn.XLOOKUP($D1253,Insumos!$B$1:$B$764,Insumos!$D$1:$D$764),"")</f>
        <v>30</v>
      </c>
      <c r="H1253" s="177" cm="1">
        <f t="array" ref="H1253">_xlfn.IFS(B1253="Serviço",SUMIFS(H1254:$H$3085,C1254:$C$3085,$C1253),B1253="Insumo",F1253*G1253,B1253="Etapa","")</f>
        <v>180</v>
      </c>
      <c r="I1253" s="178"/>
    </row>
    <row r="1254" spans="1:10" hidden="1" outlineLevel="2" x14ac:dyDescent="0.25">
      <c r="A1254" s="175">
        <f t="shared" si="40"/>
        <v>4</v>
      </c>
      <c r="B1254" s="175" t="s">
        <v>327</v>
      </c>
      <c r="C1254" s="175" t="str">
        <f t="shared" si="41"/>
        <v>M44A + M44AE2 - Manta asfáltica tipo IV, 4 mm + manta asfáltica tipo IV, 4 mm + banho de asfalto oxidado + membrana de polímero acrílico com cimento e fibras para combater eflorescência</v>
      </c>
      <c r="D1254" s="175" t="s">
        <v>3842</v>
      </c>
      <c r="E1254" s="176" t="str">
        <f>_xlfn.XLOOKUP(D1254,Insumos!$B$1:$B$764,Insumos!$C$1:$C$764)</f>
        <v>KG</v>
      </c>
      <c r="F1254" s="179">
        <v>2</v>
      </c>
      <c r="G1254" s="177">
        <f>IF(B1254="insumo",_xlfn.XLOOKUP($D1254,Insumos!$B$1:$B$764,Insumos!$D$1:$D$764),"")</f>
        <v>9</v>
      </c>
      <c r="H1254" s="177" cm="1">
        <f t="array" ref="H1254">_xlfn.IFS(B1254="Serviço",SUMIFS(H1255:$H$3085,C1255:$C$3085,$C1254),B1254="Insumo",F1254*G1254,B1254="Etapa","")</f>
        <v>18</v>
      </c>
      <c r="I1254" s="178"/>
    </row>
    <row r="1255" spans="1:10" hidden="1" outlineLevel="2" x14ac:dyDescent="0.25">
      <c r="A1255" s="175">
        <f t="shared" si="40"/>
        <v>2</v>
      </c>
      <c r="B1255" s="175" t="s">
        <v>327</v>
      </c>
      <c r="C1255" s="175" t="str">
        <f t="shared" si="41"/>
        <v>M44A + M44AE2 - Manta asfáltica tipo IV, 4 mm + manta asfáltica tipo IV, 4 mm + banho de asfalto oxidado + membrana de polímero acrílico com cimento e fibras para combater eflorescência</v>
      </c>
      <c r="D1255" s="175" t="s">
        <v>3848</v>
      </c>
      <c r="E1255" s="176" t="str">
        <f>_xlfn.XLOOKUP(D1255,Insumos!$B$1:$B$764,Insumos!$C$1:$C$764)</f>
        <v>KG</v>
      </c>
      <c r="F1255" s="179">
        <v>2</v>
      </c>
      <c r="G1255" s="177">
        <f>IF(B1255="insumo",_xlfn.XLOOKUP($D1255,Insumos!$B$1:$B$764,Insumos!$D$1:$D$764),"")</f>
        <v>24</v>
      </c>
      <c r="H1255" s="177" cm="1">
        <f t="array" ref="H1255">_xlfn.IFS(B1255="Serviço",SUMIFS(H1256:$H$3085,C1256:$C$3085,$C1255),B1255="Insumo",F1255*G1255,B1255="Etapa","")</f>
        <v>48</v>
      </c>
      <c r="I1255" s="178"/>
    </row>
    <row r="1256" spans="1:10" hidden="1" outlineLevel="1" collapsed="1" x14ac:dyDescent="0.25">
      <c r="A1256" s="175">
        <f t="shared" si="40"/>
        <v>1</v>
      </c>
      <c r="B1256" s="175" t="s">
        <v>109</v>
      </c>
      <c r="C1256" s="175" t="str">
        <f t="shared" si="41"/>
        <v xml:space="preserve">Mão de obra para regularização de superfície </v>
      </c>
      <c r="D1256" s="175" t="s">
        <v>119</v>
      </c>
      <c r="E1256" s="176" t="s">
        <v>13</v>
      </c>
      <c r="F1256" s="175"/>
      <c r="G1256" s="177" t="str">
        <f>IF(B1256="insumo",_xlfn.XLOOKUP($D1256,Insumos!$B$1:$B$764,Insumos!$D$1:$D$764),"")</f>
        <v/>
      </c>
      <c r="H1256" s="177" cm="1">
        <f t="array" ref="H1256">_xlfn.IFS(B1256="Serviço",SUMIFS(H1257:$H$3085,C1257:$C$3085,$C1256),B1256="Insumo",F1256*G1256,B1256="Etapa","")</f>
        <v>20</v>
      </c>
      <c r="I1256" s="178" t="s">
        <v>195</v>
      </c>
    </row>
    <row r="1257" spans="1:10" hidden="1" outlineLevel="2" x14ac:dyDescent="0.25">
      <c r="A1257" s="175">
        <f t="shared" si="40"/>
        <v>1</v>
      </c>
      <c r="B1257" s="175" t="s">
        <v>327</v>
      </c>
      <c r="C1257" s="175" t="str">
        <f t="shared" si="41"/>
        <v xml:space="preserve">Mão de obra para regularização de superfície </v>
      </c>
      <c r="D1257" s="175" t="s">
        <v>119</v>
      </c>
      <c r="E1257" s="176" t="str">
        <f>_xlfn.XLOOKUP(D1257,Insumos!$B$1:$B$764,Insumos!$C$1:$C$764)</f>
        <v>M2</v>
      </c>
      <c r="F1257" s="179">
        <v>1</v>
      </c>
      <c r="G1257" s="177">
        <f>IF(B1257="insumo",_xlfn.XLOOKUP($D1257,Insumos!$B$1:$B$764,Insumos!$D$1:$D$764),"")</f>
        <v>20</v>
      </c>
      <c r="H1257" s="177" cm="1">
        <f t="array" ref="H1257">_xlfn.IFS(B1257="Serviço",SUMIFS(H1258:$H$3085,C1258:$C$3085,$C1257),B1257="Insumo",F1257*G1257,B1257="Etapa","")</f>
        <v>20</v>
      </c>
      <c r="I1257" s="178"/>
    </row>
    <row r="1258" spans="1:10" hidden="1" outlineLevel="1" collapsed="1" x14ac:dyDescent="0.25">
      <c r="A1258" s="175">
        <f t="shared" si="40"/>
        <v>1</v>
      </c>
      <c r="B1258" s="175" t="s">
        <v>109</v>
      </c>
      <c r="C1258" s="175" t="str">
        <f t="shared" si="41"/>
        <v>Mão de obra para proteção mecânica</v>
      </c>
      <c r="D1258" s="175" t="s">
        <v>120</v>
      </c>
      <c r="E1258" s="176" t="s">
        <v>13</v>
      </c>
      <c r="F1258" s="179"/>
      <c r="G1258" s="177" t="str">
        <f>IF(B1258="insumo",_xlfn.XLOOKUP($D1258,Insumos!$B$1:$B$764,Insumos!$D$1:$D$764),"")</f>
        <v/>
      </c>
      <c r="H1258" s="177" cm="1">
        <f t="array" ref="H1258">_xlfn.IFS(B1258="Serviço",SUMIFS(H1259:$H$3085,C1259:$C$3085,$C1258),B1258="Insumo",F1258*G1258,B1258="Etapa","")</f>
        <v>35</v>
      </c>
      <c r="I1258" s="178" t="s">
        <v>195</v>
      </c>
    </row>
    <row r="1259" spans="1:10" hidden="1" outlineLevel="2" x14ac:dyDescent="0.25">
      <c r="A1259" s="175">
        <f t="shared" si="40"/>
        <v>1</v>
      </c>
      <c r="B1259" s="175" t="s">
        <v>327</v>
      </c>
      <c r="C1259" s="175" t="str">
        <f t="shared" si="41"/>
        <v>Mão de obra para proteção mecânica</v>
      </c>
      <c r="D1259" s="175" t="s">
        <v>120</v>
      </c>
      <c r="E1259" s="176" t="str">
        <f>_xlfn.XLOOKUP(D1259,Insumos!$B$1:$B$764,Insumos!$C$1:$C$764)</f>
        <v>UN</v>
      </c>
      <c r="F1259" s="179">
        <v>1</v>
      </c>
      <c r="G1259" s="177">
        <f>IF(B1259="insumo",_xlfn.XLOOKUP($D1259,Insumos!$B$1:$B$764,Insumos!$D$1:$D$764),"")</f>
        <v>35</v>
      </c>
      <c r="H1259" s="177" cm="1">
        <f t="array" ref="H1259">_xlfn.IFS(B1259="Serviço",SUMIFS(H1260:$H$3085,C1260:$C$3085,$C1259),B1259="Insumo",F1259*G1259,B1259="Etapa","")</f>
        <v>35</v>
      </c>
      <c r="I1259" s="178"/>
    </row>
    <row r="1260" spans="1:10" hidden="1" outlineLevel="1" collapsed="1" x14ac:dyDescent="0.25">
      <c r="A1260" s="175">
        <f t="shared" si="40"/>
        <v>1</v>
      </c>
      <c r="B1260" s="175" t="s">
        <v>109</v>
      </c>
      <c r="C1260" s="175" t="str">
        <f t="shared" si="41"/>
        <v>Mão de obra impermeabilização de superfície com manta líquida</v>
      </c>
      <c r="D1260" s="175" t="s">
        <v>650</v>
      </c>
      <c r="E1260" s="176" t="s">
        <v>13</v>
      </c>
      <c r="F1260" s="179"/>
      <c r="G1260" s="177" t="str">
        <f>IF(B1260="insumo",_xlfn.XLOOKUP($D1260,Insumos!$B$1:$B$764,Insumos!$D$1:$D$764),"")</f>
        <v/>
      </c>
      <c r="H1260" s="177" cm="1">
        <f t="array" ref="H1260">_xlfn.IFS(B1260="Serviço",SUMIFS(H1261:$H$3085,C1261:$C$3085,$C1260),B1260="Insumo",F1260*G1260,B1260="Etapa","")</f>
        <v>30</v>
      </c>
      <c r="I1260" s="178" t="s">
        <v>195</v>
      </c>
    </row>
    <row r="1261" spans="1:10" hidden="1" outlineLevel="2" x14ac:dyDescent="0.25">
      <c r="A1261" s="175">
        <f t="shared" si="40"/>
        <v>1</v>
      </c>
      <c r="B1261" s="175" t="s">
        <v>327</v>
      </c>
      <c r="C1261" s="175" t="str">
        <f t="shared" si="41"/>
        <v>Mão de obra impermeabilização de superfície com manta líquida</v>
      </c>
      <c r="D1261" s="175" t="s">
        <v>650</v>
      </c>
      <c r="E1261" s="176" t="str">
        <f>_xlfn.XLOOKUP(D1261,Insumos!$B$1:$B$764,Insumos!$C$1:$C$764)</f>
        <v>UN</v>
      </c>
      <c r="F1261" s="179">
        <v>1</v>
      </c>
      <c r="G1261" s="177">
        <f>IF(B1261="insumo",_xlfn.XLOOKUP($D1261,Insumos!$B$1:$B$764,Insumos!$D$1:$D$764),"")</f>
        <v>30</v>
      </c>
      <c r="H1261" s="177" cm="1">
        <f t="array" ref="H1261">_xlfn.IFS(B1261="Serviço",SUMIFS(H1262:$H$3085,C1262:$C$3085,$C1261),B1261="Insumo",F1261*G1261,B1261="Etapa","")</f>
        <v>30</v>
      </c>
      <c r="I1261" s="178"/>
    </row>
    <row r="1262" spans="1:10" hidden="1" outlineLevel="1" collapsed="1" x14ac:dyDescent="0.25">
      <c r="A1262" s="175">
        <f t="shared" si="40"/>
        <v>1</v>
      </c>
      <c r="B1262" s="175" t="s">
        <v>109</v>
      </c>
      <c r="C1262" s="175" t="str">
        <f t="shared" si="41"/>
        <v>Mão de obra impermeabilização de superfície com manta asfáltica</v>
      </c>
      <c r="D1262" s="175" t="s">
        <v>56</v>
      </c>
      <c r="E1262" s="176" t="s">
        <v>13</v>
      </c>
      <c r="F1262" s="179"/>
      <c r="G1262" s="177" t="str">
        <f>IF(B1262="insumo",_xlfn.XLOOKUP($D1262,Insumos!$B$1:$B$764,Insumos!$D$1:$D$764),"")</f>
        <v/>
      </c>
      <c r="H1262" s="177" cm="1">
        <f t="array" ref="H1262">_xlfn.IFS(B1262="Serviço",SUMIFS(H1263:$H$3085,C1263:$C$3085,$C1262),B1262="Insumo",F1262*G1262,B1262="Etapa","")</f>
        <v>45</v>
      </c>
      <c r="I1262" s="178" t="s">
        <v>195</v>
      </c>
    </row>
    <row r="1263" spans="1:10" hidden="1" outlineLevel="2" x14ac:dyDescent="0.25">
      <c r="A1263" s="175">
        <f t="shared" si="40"/>
        <v>1</v>
      </c>
      <c r="B1263" s="175" t="s">
        <v>327</v>
      </c>
      <c r="C1263" s="175" t="str">
        <f t="shared" si="41"/>
        <v>Mão de obra impermeabilização de superfície com manta asfáltica</v>
      </c>
      <c r="D1263" s="175" t="s">
        <v>56</v>
      </c>
      <c r="E1263" s="176" t="str">
        <f>_xlfn.XLOOKUP(D1263,Insumos!$B$1:$B$764,Insumos!$C$1:$C$764)</f>
        <v>UN</v>
      </c>
      <c r="F1263" s="179">
        <v>1</v>
      </c>
      <c r="G1263" s="177">
        <f>IF(B1263="insumo",_xlfn.XLOOKUP($D1263,Insumos!$B$1:$B$764,Insumos!$D$1:$D$764),"")</f>
        <v>45</v>
      </c>
      <c r="H1263" s="177" cm="1">
        <f t="array" ref="H1263">_xlfn.IFS(B1263="Serviço",SUMIFS(H1264:$H$3085,C1264:$C$3085,$C1263),B1263="Insumo",F1263*G1263,B1263="Etapa","")</f>
        <v>45</v>
      </c>
      <c r="I1263" s="178"/>
    </row>
    <row r="1264" spans="1:10" hidden="1" outlineLevel="1" collapsed="1" x14ac:dyDescent="0.25">
      <c r="A1264" s="175">
        <f t="shared" si="40"/>
        <v>1</v>
      </c>
      <c r="B1264" s="175" t="s">
        <v>109</v>
      </c>
      <c r="C1264" s="175" t="str">
        <f t="shared" si="41"/>
        <v>Mão de obra impermeabilização de argamassa polimérica</v>
      </c>
      <c r="D1264" s="175" t="s">
        <v>121</v>
      </c>
      <c r="E1264" s="176" t="s">
        <v>13</v>
      </c>
      <c r="F1264" s="179"/>
      <c r="G1264" s="177" t="str">
        <f>IF(B1264="insumo",_xlfn.XLOOKUP($D1264,Insumos!$B$1:$B$764,Insumos!$D$1:$D$764),"")</f>
        <v/>
      </c>
      <c r="H1264" s="177" cm="1">
        <f t="array" ref="H1264">_xlfn.IFS(B1264="Serviço",SUMIFS(H1265:$H$3085,C1265:$C$3085,$C1264),B1264="Insumo",F1264*G1264,B1264="Etapa","")</f>
        <v>30</v>
      </c>
      <c r="I1264" s="178" t="s">
        <v>195</v>
      </c>
    </row>
    <row r="1265" spans="1:9" hidden="1" outlineLevel="2" x14ac:dyDescent="0.25">
      <c r="A1265" s="175">
        <f t="shared" si="40"/>
        <v>2</v>
      </c>
      <c r="B1265" s="175" t="s">
        <v>327</v>
      </c>
      <c r="C1265" s="175" t="str">
        <f t="shared" si="41"/>
        <v>Mão de obra impermeabilização de argamassa polimérica</v>
      </c>
      <c r="D1265" s="175" t="s">
        <v>121</v>
      </c>
      <c r="E1265" s="176" t="str">
        <f>_xlfn.XLOOKUP(D1265,Insumos!$B$1:$B$764,Insumos!$C$1:$C$764)</f>
        <v>UN</v>
      </c>
      <c r="F1265" s="179">
        <v>1</v>
      </c>
      <c r="G1265" s="177">
        <f>IF(B1265="insumo",_xlfn.XLOOKUP($D1265,Insumos!$B$1:$B$764,Insumos!$D$1:$D$764),"")</f>
        <v>30</v>
      </c>
      <c r="H1265" s="177" cm="1">
        <f t="array" ref="H1265">_xlfn.IFS(B1265="Serviço",SUMIFS(H1266:$H$3085,C1266:$C$3085,$C1265),B1265="Insumo",F1265*G1265,B1265="Etapa","")</f>
        <v>30</v>
      </c>
      <c r="I1265" s="178"/>
    </row>
    <row r="1266" spans="1:9" hidden="1" outlineLevel="1" collapsed="1" x14ac:dyDescent="0.25">
      <c r="A1266" s="175">
        <f t="shared" si="40"/>
        <v>1</v>
      </c>
      <c r="B1266" s="175" t="s">
        <v>109</v>
      </c>
      <c r="C1266" s="175" t="str">
        <f t="shared" si="41"/>
        <v>Mão de obra impermeabilização com membrana de polimero</v>
      </c>
      <c r="D1266" s="175" t="s">
        <v>651</v>
      </c>
      <c r="E1266" s="176" t="s">
        <v>13</v>
      </c>
      <c r="F1266" s="179"/>
      <c r="G1266" s="177" t="str">
        <f>IF(B1266="insumo",_xlfn.XLOOKUP($D1266,Insumos!$B$1:$B$764,Insumos!$D$1:$D$764),"")</f>
        <v/>
      </c>
      <c r="H1266" s="177" cm="1">
        <f t="array" ref="H1266">_xlfn.IFS(B1266="Serviço",SUMIFS(H1267:$H$3085,C1267:$C$3085,$C1266),B1266="Insumo",F1266*G1266,B1266="Etapa","")</f>
        <v>30</v>
      </c>
      <c r="I1266" s="178" t="s">
        <v>195</v>
      </c>
    </row>
    <row r="1267" spans="1:9" hidden="1" outlineLevel="2" x14ac:dyDescent="0.25">
      <c r="A1267" s="175">
        <f t="shared" si="40"/>
        <v>2</v>
      </c>
      <c r="B1267" s="175" t="s">
        <v>327</v>
      </c>
      <c r="C1267" s="175" t="str">
        <f t="shared" si="41"/>
        <v>Mão de obra impermeabilização com membrana de polimero</v>
      </c>
      <c r="D1267" s="175" t="s">
        <v>121</v>
      </c>
      <c r="E1267" s="176" t="str">
        <f>_xlfn.XLOOKUP(D1267,Insumos!$B$1:$B$764,Insumos!$C$1:$C$764)</f>
        <v>UN</v>
      </c>
      <c r="F1267" s="179">
        <v>1</v>
      </c>
      <c r="G1267" s="177">
        <f>IF(B1267="insumo",_xlfn.XLOOKUP($D1267,Insumos!$B$1:$B$764,Insumos!$D$1:$D$764),"")</f>
        <v>30</v>
      </c>
      <c r="H1267" s="177" cm="1">
        <f t="array" ref="H1267">_xlfn.IFS(B1267="Serviço",SUMIFS(H1268:$H$3085,C1268:$C$3085,$C1267),B1267="Insumo",F1267*G1267,B1267="Etapa","")</f>
        <v>30</v>
      </c>
      <c r="I1267" s="178"/>
    </row>
    <row r="1268" spans="1:9" hidden="1" outlineLevel="1" collapsed="1" x14ac:dyDescent="0.25">
      <c r="A1268" s="175">
        <f t="shared" si="40"/>
        <v>1</v>
      </c>
      <c r="B1268" s="175" t="s">
        <v>109</v>
      </c>
      <c r="C1268" s="175" t="str">
        <f t="shared" si="41"/>
        <v>Mão de obra impermeabilização com emulsão Asfaltica</v>
      </c>
      <c r="D1268" s="175" t="s">
        <v>652</v>
      </c>
      <c r="E1268" s="176" t="s">
        <v>13</v>
      </c>
      <c r="F1268" s="175"/>
      <c r="G1268" s="177" t="str">
        <f>IF(B1268="insumo",_xlfn.XLOOKUP($D1268,Insumos!$B$1:$B$764,Insumos!$D$1:$D$764),"")</f>
        <v/>
      </c>
      <c r="H1268" s="177" cm="1">
        <f t="array" ref="H1268">_xlfn.IFS(B1268="Serviço",SUMIFS(H1269:$H$3085,C1269:$C$3085,$C1268),B1268="Insumo",F1268*G1268,B1268="Etapa","")</f>
        <v>28</v>
      </c>
      <c r="I1268" s="178" t="s">
        <v>195</v>
      </c>
    </row>
    <row r="1269" spans="1:9" hidden="1" outlineLevel="2" x14ac:dyDescent="0.25">
      <c r="A1269" s="175">
        <f t="shared" si="40"/>
        <v>1</v>
      </c>
      <c r="B1269" s="175" t="s">
        <v>327</v>
      </c>
      <c r="C1269" s="175" t="str">
        <f t="shared" si="41"/>
        <v>Mão de obra impermeabilização com emulsão Asfaltica</v>
      </c>
      <c r="D1269" s="175" t="s">
        <v>652</v>
      </c>
      <c r="E1269" s="176" t="str">
        <f>_xlfn.XLOOKUP(D1269,Insumos!$B$1:$B$764,Insumos!$C$1:$C$764)</f>
        <v>M2</v>
      </c>
      <c r="F1269" s="179">
        <v>1</v>
      </c>
      <c r="G1269" s="177">
        <f>IF(B1269="insumo",_xlfn.XLOOKUP($D1269,Insumos!$B$1:$B$764,Insumos!$D$1:$D$764),"")</f>
        <v>28</v>
      </c>
      <c r="H1269" s="177" cm="1">
        <f t="array" ref="H1269">_xlfn.IFS(B1269="Serviço",SUMIFS(H1270:$H$3085,C1270:$C$3085,$C1269),B1269="Insumo",F1269*G1269,B1269="Etapa","")</f>
        <v>28</v>
      </c>
      <c r="I1269" s="178"/>
    </row>
    <row r="1270" spans="1:9" hidden="1" outlineLevel="1" collapsed="1" x14ac:dyDescent="0.25">
      <c r="A1270" s="175">
        <f t="shared" si="40"/>
        <v>1</v>
      </c>
      <c r="B1270" s="175" t="s">
        <v>109</v>
      </c>
      <c r="C1270" s="175" t="str">
        <f t="shared" si="41"/>
        <v>Mão de obra impermeabilização com manta liquida em peitoris</v>
      </c>
      <c r="D1270" s="175" t="s">
        <v>653</v>
      </c>
      <c r="E1270" s="176" t="s">
        <v>13</v>
      </c>
      <c r="F1270" s="179"/>
      <c r="G1270" s="177" t="str">
        <f>IF(B1270="insumo",_xlfn.XLOOKUP($D1270,Insumos!$B$1:$B$764,Insumos!$D$1:$D$764),"")</f>
        <v/>
      </c>
      <c r="H1270" s="177" cm="1">
        <f t="array" ref="H1270">_xlfn.IFS(B1270="Serviço",SUMIFS(H1271:$H$3085,C1271:$C$3085,$C1270),B1270="Insumo",F1270*G1270,B1270="Etapa","")</f>
        <v>30</v>
      </c>
      <c r="I1270" s="178" t="s">
        <v>195</v>
      </c>
    </row>
    <row r="1271" spans="1:9" hidden="1" outlineLevel="2" x14ac:dyDescent="0.25">
      <c r="A1271" s="175">
        <f t="shared" si="40"/>
        <v>1</v>
      </c>
      <c r="B1271" s="175" t="s">
        <v>327</v>
      </c>
      <c r="C1271" s="175" t="str">
        <f t="shared" si="41"/>
        <v>Mão de obra impermeabilização com manta liquida em peitoris</v>
      </c>
      <c r="D1271" s="175" t="s">
        <v>653</v>
      </c>
      <c r="E1271" s="176" t="str">
        <f>_xlfn.XLOOKUP(D1271,Insumos!$B$1:$B$764,Insumos!$C$1:$C$764)</f>
        <v>UN</v>
      </c>
      <c r="F1271" s="179">
        <v>1</v>
      </c>
      <c r="G1271" s="177">
        <f>IF(B1271="insumo",_xlfn.XLOOKUP($D1271,Insumos!$B$1:$B$764,Insumos!$D$1:$D$764),"")</f>
        <v>30</v>
      </c>
      <c r="H1271" s="177" cm="1">
        <f t="array" ref="H1271">_xlfn.IFS(B1271="Serviço",SUMIFS(H1272:$H$3085,C1272:$C$3085,$C1271),B1271="Insumo",F1271*G1271,B1271="Etapa","")</f>
        <v>30</v>
      </c>
      <c r="I1271" s="178"/>
    </row>
    <row r="1272" spans="1:9" hidden="1" outlineLevel="1" collapsed="1" x14ac:dyDescent="0.25">
      <c r="A1272" s="175">
        <f t="shared" si="40"/>
        <v>1</v>
      </c>
      <c r="B1272" s="175" t="s">
        <v>109</v>
      </c>
      <c r="C1272" s="175" t="str">
        <f t="shared" si="41"/>
        <v>Mão de obra tratamento de ralo com manta de poliéster</v>
      </c>
      <c r="D1272" s="175" t="s">
        <v>122</v>
      </c>
      <c r="E1272" s="176" t="s">
        <v>13</v>
      </c>
      <c r="F1272" s="179"/>
      <c r="G1272" s="177" t="str">
        <f>IF(B1272="insumo",_xlfn.XLOOKUP($D1272,Insumos!$B$1:$B$764,Insumos!$D$1:$D$764),"")</f>
        <v/>
      </c>
      <c r="H1272" s="177" cm="1">
        <f t="array" ref="H1272">_xlfn.IFS(B1272="Serviço",SUMIFS(H1273:$H$3085,C1273:$C$3085,$C1272),B1272="Insumo",F1272*G1272,B1272="Etapa","")</f>
        <v>50</v>
      </c>
      <c r="I1272" s="178" t="s">
        <v>195</v>
      </c>
    </row>
    <row r="1273" spans="1:9" hidden="1" outlineLevel="2" x14ac:dyDescent="0.25">
      <c r="A1273" s="175">
        <f t="shared" si="40"/>
        <v>1</v>
      </c>
      <c r="B1273" s="175" t="s">
        <v>327</v>
      </c>
      <c r="C1273" s="175" t="str">
        <f t="shared" si="41"/>
        <v>Mão de obra tratamento de ralo com manta de poliéster</v>
      </c>
      <c r="D1273" s="175" t="s">
        <v>122</v>
      </c>
      <c r="E1273" s="176" t="str">
        <f>_xlfn.XLOOKUP(D1273,Insumos!$B$1:$B$764,Insumos!$C$1:$C$764)</f>
        <v>UN</v>
      </c>
      <c r="F1273" s="179">
        <v>1</v>
      </c>
      <c r="G1273" s="177">
        <f>IF(B1273="insumo",_xlfn.XLOOKUP($D1273,Insumos!$B$1:$B$764,Insumos!$D$1:$D$764),"")</f>
        <v>50</v>
      </c>
      <c r="H1273" s="177" cm="1">
        <f t="array" ref="H1273">_xlfn.IFS(B1273="Serviço",SUMIFS(H1274:$H$3085,C1274:$C$3085,$C1273),B1273="Insumo",F1273*G1273,B1273="Etapa","")</f>
        <v>50</v>
      </c>
      <c r="I1273" s="178"/>
    </row>
    <row r="1274" spans="1:9" x14ac:dyDescent="0.25">
      <c r="A1274" s="172">
        <f t="shared" si="40"/>
        <v>1</v>
      </c>
      <c r="B1274" s="172" t="s">
        <v>107</v>
      </c>
      <c r="C1274" s="172"/>
      <c r="D1274" s="172" t="s">
        <v>224</v>
      </c>
      <c r="E1274" s="173"/>
      <c r="F1274" s="174"/>
      <c r="G1274" s="180" t="str">
        <f>IF(B1274="insumo",_xlfn.XLOOKUP($D1274,Insumos!$B$1:$B$764,Insumos!$D$1:$D$764),"")</f>
        <v/>
      </c>
      <c r="H1274" s="177" t="str" cm="1">
        <f t="array" ref="H1274">_xlfn.IFS(B1274="Serviço",SUMIFS(H1275:$H$3085,C1275:$C$3085,$C1274),B1274="Insumo",F1274*G1274,B1274="Etapa","")</f>
        <v/>
      </c>
      <c r="I1274" s="174"/>
    </row>
    <row r="1275" spans="1:9" outlineLevel="1" collapsed="1" x14ac:dyDescent="0.25">
      <c r="A1275" s="175">
        <f t="shared" si="40"/>
        <v>1</v>
      </c>
      <c r="B1275" s="175" t="s">
        <v>109</v>
      </c>
      <c r="C1275" s="175" t="str">
        <f t="shared" si="41"/>
        <v>Chapisco aplicado em estruturas de concreto, de argamassa ACIII, com desempenadeira dentada</v>
      </c>
      <c r="D1275" s="175" t="s">
        <v>225</v>
      </c>
      <c r="E1275" s="176" t="s">
        <v>13</v>
      </c>
      <c r="F1275" s="175"/>
      <c r="G1275" s="177" t="str">
        <f>IF(B1275="insumo",_xlfn.XLOOKUP($D1275,Insumos!$B$1:$B$764,Insumos!$D$1:$D$764),"")</f>
        <v/>
      </c>
      <c r="H1275" s="177" cm="1">
        <f t="array" ref="H1275">_xlfn.IFS(B1275="Serviço",SUMIFS(H1276:$H$3085,C1276:$C$3085,$C1275),B1275="Insumo",F1275*G1275,B1275="Etapa","")</f>
        <v>12.75</v>
      </c>
      <c r="I1275" s="178" t="s">
        <v>195</v>
      </c>
    </row>
    <row r="1276" spans="1:9" hidden="1" outlineLevel="2" x14ac:dyDescent="0.25">
      <c r="A1276" s="175">
        <f t="shared" si="40"/>
        <v>118</v>
      </c>
      <c r="B1276" s="175" t="s">
        <v>327</v>
      </c>
      <c r="C1276" s="175" t="str">
        <f t="shared" si="41"/>
        <v>Chapisco aplicado em estruturas de concreto, de argamassa ACIII, com desempenadeira dentada</v>
      </c>
      <c r="D1276" s="175" t="s">
        <v>654</v>
      </c>
      <c r="E1276" s="176" t="str">
        <f>_xlfn.XLOOKUP(D1276,Insumos!$B$1:$B$764,Insumos!$C$1:$C$764)</f>
        <v>KG</v>
      </c>
      <c r="F1276" s="179">
        <v>5</v>
      </c>
      <c r="G1276" s="177">
        <f>IF(B1276="insumo",_xlfn.XLOOKUP($D1276,Insumos!$B$1:$B$764,Insumos!$D$1:$D$764),"")</f>
        <v>2.5499999999999998</v>
      </c>
      <c r="H1276" s="177" cm="1">
        <f t="array" ref="H1276">_xlfn.IFS(B1276="Serviço",SUMIFS(H1277:$H$3085,C1277:$C$3085,$C1276),B1276="Insumo",F1276*G1276,B1276="Etapa","")</f>
        <v>12.75</v>
      </c>
      <c r="I1276" s="178"/>
    </row>
    <row r="1277" spans="1:9" outlineLevel="1" collapsed="1" x14ac:dyDescent="0.25">
      <c r="A1277" s="175">
        <f t="shared" si="40"/>
        <v>1</v>
      </c>
      <c r="B1277" s="175" t="s">
        <v>109</v>
      </c>
      <c r="C1277" s="175" t="str">
        <f t="shared" si="41"/>
        <v>Chapisco aplicado em estruturas de concreto, com argamassa pré-fabricada adesiva de cimento colante, aplicação convencional</v>
      </c>
      <c r="D1277" s="175" t="s">
        <v>655</v>
      </c>
      <c r="E1277" s="176" t="s">
        <v>13</v>
      </c>
      <c r="F1277" s="175"/>
      <c r="G1277" s="177" t="str">
        <f>IF(B1277="insumo",_xlfn.XLOOKUP($D1277,Insumos!$B$1:$B$764,Insumos!$D$1:$D$764),"")</f>
        <v/>
      </c>
      <c r="H1277" s="177" cm="1">
        <f t="array" ref="H1277">_xlfn.IFS(B1277="Serviço",SUMIFS(H1278:$H$3085,C1278:$C$3085,$C1277),B1277="Insumo",F1277*G1277,B1277="Etapa","")</f>
        <v>19.535849999999996</v>
      </c>
      <c r="I1277" s="178" t="s">
        <v>195</v>
      </c>
    </row>
    <row r="1278" spans="1:9" hidden="1" outlineLevel="2" x14ac:dyDescent="0.25">
      <c r="A1278" s="175">
        <f t="shared" si="40"/>
        <v>118</v>
      </c>
      <c r="B1278" s="175" t="s">
        <v>327</v>
      </c>
      <c r="C1278" s="175" t="str">
        <f t="shared" si="41"/>
        <v>Chapisco aplicado em estruturas de concreto, com argamassa pré-fabricada adesiva de cimento colante, aplicação convencional</v>
      </c>
      <c r="D1278" s="175" t="s">
        <v>654</v>
      </c>
      <c r="E1278" s="176" t="str">
        <f>_xlfn.XLOOKUP(D1278,Insumos!$B$1:$B$764,Insumos!$C$1:$C$764)</f>
        <v>KG</v>
      </c>
      <c r="F1278" s="179">
        <v>6.34</v>
      </c>
      <c r="G1278" s="177">
        <f>IF(B1278="insumo",_xlfn.XLOOKUP($D1278,Insumos!$B$1:$B$764,Insumos!$D$1:$D$764),"")</f>
        <v>2.5499999999999998</v>
      </c>
      <c r="H1278" s="177" cm="1">
        <f t="array" ref="H1278">_xlfn.IFS(B1278="Serviço",SUMIFS(H1279:$H$3085,C1279:$C$3085,$C1278),B1278="Insumo",F1278*G1278,B1278="Etapa","")</f>
        <v>16.166999999999998</v>
      </c>
      <c r="I1278" s="178"/>
    </row>
    <row r="1279" spans="1:9" hidden="1" outlineLevel="2" x14ac:dyDescent="0.25">
      <c r="A1279" s="175">
        <f t="shared" si="40"/>
        <v>5</v>
      </c>
      <c r="B1279" s="175" t="s">
        <v>327</v>
      </c>
      <c r="C1279" s="175" t="str">
        <f t="shared" si="41"/>
        <v>Chapisco aplicado em estruturas de concreto, com argamassa pré-fabricada adesiva de cimento colante, aplicação convencional</v>
      </c>
      <c r="D1279" s="175" t="s">
        <v>656</v>
      </c>
      <c r="E1279" s="176" t="str">
        <f>_xlfn.XLOOKUP(D1279,Insumos!$B$1:$B$764,Insumos!$C$1:$C$764)</f>
        <v>KG</v>
      </c>
      <c r="F1279" s="179">
        <v>0.3</v>
      </c>
      <c r="G1279" s="177">
        <f>IF(B1279="insumo",_xlfn.XLOOKUP($D1279,Insumos!$B$1:$B$764,Insumos!$D$1:$D$764),"")</f>
        <v>11.2295</v>
      </c>
      <c r="H1279" s="177" cm="1">
        <f t="array" ref="H1279">_xlfn.IFS(B1279="Serviço",SUMIFS(H1280:$H$3085,C1280:$C$3085,$C1279),B1279="Insumo",F1279*G1279,B1279="Etapa","")</f>
        <v>3.3688499999999997</v>
      </c>
      <c r="I1279" s="178"/>
    </row>
    <row r="1280" spans="1:9" outlineLevel="1" collapsed="1" x14ac:dyDescent="0.25">
      <c r="A1280" s="175">
        <f t="shared" si="40"/>
        <v>1</v>
      </c>
      <c r="B1280" s="175" t="s">
        <v>109</v>
      </c>
      <c r="C1280" s="175" t="str">
        <f t="shared" si="41"/>
        <v>Chapisco aplicados em alvenaria, com argamassa usinada, aplicação convencional.</v>
      </c>
      <c r="D1280" s="175" t="s">
        <v>2467</v>
      </c>
      <c r="E1280" s="176" t="s">
        <v>13</v>
      </c>
      <c r="F1280" s="175"/>
      <c r="G1280" s="177" t="str">
        <f>IF(B1280="insumo",_xlfn.XLOOKUP($D1280,Insumos!$B$1:$B$764,Insumos!$D$1:$D$764),"")</f>
        <v/>
      </c>
      <c r="H1280" s="177" cm="1">
        <f t="array" ref="H1280">_xlfn.IFS(B1280="Serviço",SUMIFS(H1281:$H$3085,C1281:$C$3085,$C1280),B1280="Insumo",F1280*G1280,B1280="Etapa","")</f>
        <v>2.6597339999999998</v>
      </c>
      <c r="I1280" s="178" t="s">
        <v>195</v>
      </c>
    </row>
    <row r="1281" spans="1:9" ht="18" hidden="1" outlineLevel="2" x14ac:dyDescent="0.25">
      <c r="A1281" s="175">
        <f t="shared" si="40"/>
        <v>3</v>
      </c>
      <c r="B1281" s="175" t="s">
        <v>327</v>
      </c>
      <c r="C1281" s="175" t="str">
        <f t="shared" si="41"/>
        <v>Chapisco aplicados em alvenaria, com argamassa usinada, aplicação convencional.</v>
      </c>
      <c r="D1281" s="183" t="s">
        <v>658</v>
      </c>
      <c r="E1281" s="176" t="str">
        <f>_xlfn.XLOOKUP(D1281,Insumos!$B$1:$B$764,Insumos!$C$1:$C$764)</f>
        <v>M3</v>
      </c>
      <c r="F1281" s="179">
        <v>4.1999999999999997E-3</v>
      </c>
      <c r="G1281" s="177">
        <f>IF(B1281="insumo",_xlfn.XLOOKUP($D1281,Insumos!$B$1:$B$764,Insumos!$D$1:$D$764),"")</f>
        <v>633.27</v>
      </c>
      <c r="H1281" s="177" cm="1">
        <f t="array" ref="H1281">_xlfn.IFS(B1281="Serviço",SUMIFS(H1282:$H$3085,C1282:$C$3085,$C1281),B1281="Insumo",F1281*G1281,B1281="Etapa","")</f>
        <v>2.6597339999999998</v>
      </c>
      <c r="I1281" s="178"/>
    </row>
    <row r="1282" spans="1:9" outlineLevel="1" collapsed="1" x14ac:dyDescent="0.25">
      <c r="A1282" s="175">
        <f t="shared" ref="A1282:A1345" si="42">COUNTIFS($D$2:$D$3085,D1282,$B$2:$B$3085,B1282)</f>
        <v>1</v>
      </c>
      <c r="B1282" s="175" t="s">
        <v>109</v>
      </c>
      <c r="C1282" s="175" t="str">
        <f t="shared" si="41"/>
        <v>Chapisco aplicados em alvenaria, com argamassa estabilizada, aplicação convencional.</v>
      </c>
      <c r="D1282" s="175" t="s">
        <v>657</v>
      </c>
      <c r="E1282" s="176" t="s">
        <v>13</v>
      </c>
      <c r="F1282" s="175"/>
      <c r="G1282" s="177" t="str">
        <f>IF(B1282="insumo",_xlfn.XLOOKUP($D1282,Insumos!$B$1:$B$764,Insumos!$D$1:$D$764),"")</f>
        <v/>
      </c>
      <c r="H1282" s="177" cm="1">
        <f t="array" ref="H1282">_xlfn.IFS(B1282="Serviço",SUMIFS(H1283:$H$3085,C1283:$C$3085,$C1282),B1282="Insumo",F1282*G1282,B1282="Etapa","")</f>
        <v>2.016</v>
      </c>
      <c r="I1282" s="178" t="s">
        <v>195</v>
      </c>
    </row>
    <row r="1283" spans="1:9" hidden="1" outlineLevel="2" x14ac:dyDescent="0.25">
      <c r="A1283" s="175">
        <f t="shared" si="42"/>
        <v>2</v>
      </c>
      <c r="B1283" s="175" t="s">
        <v>327</v>
      </c>
      <c r="C1283" s="175" t="str">
        <f t="shared" si="41"/>
        <v>Chapisco aplicados em alvenaria, com argamassa estabilizada, aplicação convencional.</v>
      </c>
      <c r="D1283" s="175" t="s">
        <v>659</v>
      </c>
      <c r="E1283" s="176" t="str">
        <f>_xlfn.XLOOKUP(D1283,Insumos!$B$1:$B$764,Insumos!$C$1:$C$764)</f>
        <v>M3</v>
      </c>
      <c r="F1283" s="179">
        <v>4.1999999999999997E-3</v>
      </c>
      <c r="G1283" s="177">
        <f>IF(B1283="insumo",_xlfn.XLOOKUP($D1283,Insumos!$B$1:$B$764,Insumos!$D$1:$D$764),"")</f>
        <v>480</v>
      </c>
      <c r="H1283" s="177" cm="1">
        <f t="array" ref="H1283">_xlfn.IFS(B1283="Serviço",SUMIFS(H1284:$H$3085,C1284:$C$3085,$C1283),B1283="Insumo",F1283*G1283,B1283="Etapa","")</f>
        <v>2.016</v>
      </c>
      <c r="I1283" s="178"/>
    </row>
    <row r="1284" spans="1:9" outlineLevel="1" collapsed="1" x14ac:dyDescent="0.25">
      <c r="A1284" s="175">
        <f t="shared" si="42"/>
        <v>1</v>
      </c>
      <c r="B1284" s="175" t="s">
        <v>109</v>
      </c>
      <c r="C1284" s="175" t="str">
        <f t="shared" si="41"/>
        <v xml:space="preserve">Chapisco externo de argamassa estabilizada, aplicados em alvenaria, aplicação convencional em paredes externas </v>
      </c>
      <c r="D1284" s="175" t="s">
        <v>660</v>
      </c>
      <c r="E1284" s="176" t="s">
        <v>13</v>
      </c>
      <c r="F1284" s="175"/>
      <c r="G1284" s="177" t="str">
        <f>IF(B1284="insumo",_xlfn.XLOOKUP($D1284,Insumos!$B$1:$B$764,Insumos!$D$1:$D$764),"")</f>
        <v/>
      </c>
      <c r="H1284" s="177" cm="1">
        <f t="array" ref="H1284">_xlfn.IFS(B1284="Serviço",SUMIFS(H1285:$H$3085,C1285:$C$3085,$C1284),B1284="Insumo",F1284*G1284,B1284="Etapa","")</f>
        <v>2.016</v>
      </c>
      <c r="I1284" s="178" t="s">
        <v>195</v>
      </c>
    </row>
    <row r="1285" spans="1:9" hidden="1" outlineLevel="2" x14ac:dyDescent="0.25">
      <c r="A1285" s="175">
        <f t="shared" si="42"/>
        <v>2</v>
      </c>
      <c r="B1285" s="175" t="s">
        <v>327</v>
      </c>
      <c r="C1285" s="175" t="str">
        <f t="shared" si="41"/>
        <v xml:space="preserve">Chapisco externo de argamassa estabilizada, aplicados em alvenaria, aplicação convencional em paredes externas </v>
      </c>
      <c r="D1285" s="175" t="s">
        <v>659</v>
      </c>
      <c r="E1285" s="176" t="str">
        <f>_xlfn.XLOOKUP(D1285,Insumos!$B$1:$B$764,Insumos!$C$1:$C$764)</f>
        <v>M3</v>
      </c>
      <c r="F1285" s="179">
        <v>4.1999999999999997E-3</v>
      </c>
      <c r="G1285" s="177">
        <f>IF(B1285="insumo",_xlfn.XLOOKUP($D1285,Insumos!$B$1:$B$764,Insumos!$D$1:$D$764),"")</f>
        <v>480</v>
      </c>
      <c r="H1285" s="177" cm="1">
        <f t="array" ref="H1285">_xlfn.IFS(B1285="Serviço",SUMIFS(H1286:$H$3085,C1286:$C$3085,$C1285),B1285="Insumo",F1285*G1285,B1285="Etapa","")</f>
        <v>2.016</v>
      </c>
      <c r="I1285" s="178"/>
    </row>
    <row r="1286" spans="1:9" outlineLevel="1" collapsed="1" x14ac:dyDescent="0.25">
      <c r="A1286" s="175">
        <f t="shared" si="42"/>
        <v>1</v>
      </c>
      <c r="B1286" s="175" t="s">
        <v>109</v>
      </c>
      <c r="C1286" s="175" t="str">
        <f t="shared" si="41"/>
        <v>Chapisco convencional com adesivo sintético de alto desempenho aplicados em alvenaria, aplicação convencional.</v>
      </c>
      <c r="D1286" s="175" t="s">
        <v>226</v>
      </c>
      <c r="E1286" s="176" t="s">
        <v>13</v>
      </c>
      <c r="F1286" s="175"/>
      <c r="G1286" s="177" t="str">
        <f>IF(B1286="insumo",_xlfn.XLOOKUP($D1286,Insumos!$B$1:$B$764,Insumos!$D$1:$D$764),"")</f>
        <v/>
      </c>
      <c r="H1286" s="177" cm="1">
        <f t="array" ref="H1286">_xlfn.IFS(B1286="Serviço",SUMIFS(H1287:$H$3085,C1287:$C$3085,$C1286),B1286="Insumo",F1286*G1286,B1286="Etapa","")</f>
        <v>7.4998500000000003</v>
      </c>
      <c r="I1286" s="178" t="s">
        <v>195</v>
      </c>
    </row>
    <row r="1287" spans="1:9" hidden="1" outlineLevel="2" x14ac:dyDescent="0.25">
      <c r="A1287" s="175">
        <f t="shared" si="42"/>
        <v>1</v>
      </c>
      <c r="B1287" s="175" t="s">
        <v>327</v>
      </c>
      <c r="C1287" s="175" t="str">
        <f t="shared" si="41"/>
        <v>Chapisco convencional com adesivo sintético de alto desempenho aplicados em alvenaria, aplicação convencional.</v>
      </c>
      <c r="D1287" s="175" t="s">
        <v>661</v>
      </c>
      <c r="E1287" s="176" t="str">
        <f>_xlfn.XLOOKUP(D1287,Insumos!$B$1:$B$764,Insumos!$C$1:$C$764)</f>
        <v>KG</v>
      </c>
      <c r="F1287" s="179">
        <v>1.8</v>
      </c>
      <c r="G1287" s="177">
        <f>IF(B1287="insumo",_xlfn.XLOOKUP($D1287,Insumos!$B$1:$B$764,Insumos!$D$1:$D$764),"")</f>
        <v>2.2949999999999999</v>
      </c>
      <c r="H1287" s="177" cm="1">
        <f t="array" ref="H1287">_xlfn.IFS(B1287="Serviço",SUMIFS(H1288:$H$3085,C1288:$C$3085,$C1287),B1287="Insumo",F1287*G1287,B1287="Etapa","")</f>
        <v>4.1310000000000002</v>
      </c>
      <c r="I1287" s="178"/>
    </row>
    <row r="1288" spans="1:9" hidden="1" outlineLevel="2" x14ac:dyDescent="0.25">
      <c r="A1288" s="175">
        <f t="shared" si="42"/>
        <v>5</v>
      </c>
      <c r="B1288" s="175" t="s">
        <v>327</v>
      </c>
      <c r="C1288" s="175" t="str">
        <f t="shared" si="41"/>
        <v>Chapisco convencional com adesivo sintético de alto desempenho aplicados em alvenaria, aplicação convencional.</v>
      </c>
      <c r="D1288" s="175" t="s">
        <v>656</v>
      </c>
      <c r="E1288" s="176" t="str">
        <f>_xlfn.XLOOKUP(D1288,Insumos!$B$1:$B$764,Insumos!$C$1:$C$764)</f>
        <v>KG</v>
      </c>
      <c r="F1288" s="179">
        <v>0.3</v>
      </c>
      <c r="G1288" s="177">
        <f>IF(B1288="insumo",_xlfn.XLOOKUP($D1288,Insumos!$B$1:$B$764,Insumos!$D$1:$D$764),"")</f>
        <v>11.2295</v>
      </c>
      <c r="H1288" s="177" cm="1">
        <f t="array" ref="H1288">_xlfn.IFS(B1288="Serviço",SUMIFS(H1289:$H$3085,C1289:$C$3085,$C1288),B1288="Insumo",F1288*G1288,B1288="Etapa","")</f>
        <v>3.3688499999999997</v>
      </c>
      <c r="I1288" s="178"/>
    </row>
    <row r="1289" spans="1:9" outlineLevel="1" x14ac:dyDescent="0.25">
      <c r="A1289" s="175">
        <f t="shared" si="42"/>
        <v>1</v>
      </c>
      <c r="B1289" s="175" t="s">
        <v>109</v>
      </c>
      <c r="C1289" s="175" t="str">
        <f t="shared" si="41"/>
        <v>Aplicação manual de gesso sarrafeado em paredes, espessura de 0,5cm, com execução de taliscas</v>
      </c>
      <c r="D1289" s="175" t="s">
        <v>3122</v>
      </c>
      <c r="E1289" s="176" t="s">
        <v>13</v>
      </c>
      <c r="F1289" s="175"/>
      <c r="G1289" s="177" t="str">
        <f>IF(B1289="insumo",_xlfn.XLOOKUP($D1289,Insumos!$B$1:$B$764,Insumos!$D$1:$D$764),"")</f>
        <v/>
      </c>
      <c r="H1289" s="177" cm="1">
        <f t="array" ref="H1289">_xlfn.IFS(B1289="Serviço",SUMIFS(H1290:$H$3085,C1290:$C$3085,$C1289),B1289="Insumo",F1289*G1289,B1289="Etapa","")</f>
        <v>6.8295159999999999</v>
      </c>
      <c r="I1289" s="178" t="s">
        <v>195</v>
      </c>
    </row>
    <row r="1290" spans="1:9" outlineLevel="2" x14ac:dyDescent="0.25">
      <c r="A1290" s="175">
        <f t="shared" si="42"/>
        <v>3</v>
      </c>
      <c r="B1290" s="175" t="s">
        <v>327</v>
      </c>
      <c r="C1290" s="175" t="str">
        <f t="shared" si="41"/>
        <v>Aplicação manual de gesso sarrafeado em paredes, espessura de 0,5cm, com execução de taliscas</v>
      </c>
      <c r="D1290" s="175" t="s">
        <v>663</v>
      </c>
      <c r="E1290" s="176" t="str">
        <f>_xlfn.XLOOKUP(D1290,Insumos!$B$1:$B$764,Insumos!$C$1:$C$764)</f>
        <v>KG</v>
      </c>
      <c r="F1290" s="179">
        <f>F1292*0.5</f>
        <v>8.5368949999999995</v>
      </c>
      <c r="G1290" s="177">
        <f>IF(B1290="insumo",_xlfn.XLOOKUP($D1290,Insumos!$B$1:$B$764,Insumos!$D$1:$D$764),"")</f>
        <v>0.8</v>
      </c>
      <c r="H1290" s="177" cm="1">
        <f t="array" ref="H1290">_xlfn.IFS(B1290="Serviço",SUMIFS(H1291:$H$3085,C1291:$C$3085,$C1290),B1290="Insumo",F1290*G1290,B1290="Etapa","")</f>
        <v>6.8295159999999999</v>
      </c>
      <c r="I1290" s="178"/>
    </row>
    <row r="1291" spans="1:9" outlineLevel="1" x14ac:dyDescent="0.25">
      <c r="A1291" s="175">
        <f t="shared" si="42"/>
        <v>1</v>
      </c>
      <c r="B1291" s="175" t="s">
        <v>109</v>
      </c>
      <c r="C1291" s="175" t="str">
        <f t="shared" si="41"/>
        <v>Aplicação manual de gesso sarrafeado em paredes, espessura de 1,0cm, com execução de taliscas</v>
      </c>
      <c r="D1291" s="175" t="s">
        <v>3123</v>
      </c>
      <c r="E1291" s="176" t="s">
        <v>13</v>
      </c>
      <c r="F1291" s="175"/>
      <c r="G1291" s="177" t="str">
        <f>IF(B1291="insumo",_xlfn.XLOOKUP($D1291,Insumos!$B$1:$B$764,Insumos!$D$1:$D$764),"")</f>
        <v/>
      </c>
      <c r="H1291" s="177" cm="1">
        <f t="array" ref="H1291">_xlfn.IFS(B1291="Serviço",SUMIFS(H1292:$H$3085,C1292:$C$3085,$C1291),B1291="Insumo",F1291*G1291,B1291="Etapa","")</f>
        <v>13.659032</v>
      </c>
      <c r="I1291" s="178" t="s">
        <v>195</v>
      </c>
    </row>
    <row r="1292" spans="1:9" outlineLevel="2" x14ac:dyDescent="0.25">
      <c r="A1292" s="175">
        <f t="shared" si="42"/>
        <v>3</v>
      </c>
      <c r="B1292" s="175" t="s">
        <v>327</v>
      </c>
      <c r="C1292" s="175" t="str">
        <f t="shared" si="41"/>
        <v>Aplicação manual de gesso sarrafeado em paredes, espessura de 1,0cm, com execução de taliscas</v>
      </c>
      <c r="D1292" s="175" t="s">
        <v>663</v>
      </c>
      <c r="E1292" s="176" t="str">
        <f>_xlfn.XLOOKUP(D1292,Insumos!$B$1:$B$764,Insumos!$C$1:$C$764)</f>
        <v>KG</v>
      </c>
      <c r="F1292" s="179">
        <f>17.07379</f>
        <v>17.073789999999999</v>
      </c>
      <c r="G1292" s="177">
        <f>IF(B1292="insumo",_xlfn.XLOOKUP($D1292,Insumos!$B$1:$B$764,Insumos!$D$1:$D$764),"")</f>
        <v>0.8</v>
      </c>
      <c r="H1292" s="177" cm="1">
        <f t="array" ref="H1292">_xlfn.IFS(B1292="Serviço",SUMIFS(H1293:$H$3085,C1293:$C$3085,$C1292),B1292="Insumo",F1292*G1292,B1292="Etapa","")</f>
        <v>13.659032</v>
      </c>
      <c r="I1292" s="178"/>
    </row>
    <row r="1293" spans="1:9" outlineLevel="1" collapsed="1" x14ac:dyDescent="0.25">
      <c r="A1293" s="175">
        <f t="shared" si="42"/>
        <v>1</v>
      </c>
      <c r="B1293" s="175" t="s">
        <v>109</v>
      </c>
      <c r="C1293" s="175" t="str">
        <f t="shared" si="41"/>
        <v>Aplicação manual de gesso sarrafeado em paredes, espessura de 1,5cm, com execução de taliscas</v>
      </c>
      <c r="D1293" s="175" t="s">
        <v>662</v>
      </c>
      <c r="E1293" s="176" t="s">
        <v>13</v>
      </c>
      <c r="F1293" s="175"/>
      <c r="G1293" s="177" t="str">
        <f>IF(B1293="insumo",_xlfn.XLOOKUP($D1293,Insumos!$B$1:$B$764,Insumos!$D$1:$D$764),"")</f>
        <v/>
      </c>
      <c r="H1293" s="177" cm="1">
        <f t="array" ref="H1293">_xlfn.IFS(B1293="Serviço",SUMIFS(H1294:$H$3085,C1294:$C$3085,$C1293),B1293="Insumo",F1293*G1293,B1293="Etapa","")</f>
        <v>17.943999999999999</v>
      </c>
      <c r="I1293" s="178" t="s">
        <v>195</v>
      </c>
    </row>
    <row r="1294" spans="1:9" hidden="1" outlineLevel="2" x14ac:dyDescent="0.25">
      <c r="A1294" s="175">
        <f t="shared" si="42"/>
        <v>3</v>
      </c>
      <c r="B1294" s="175" t="s">
        <v>327</v>
      </c>
      <c r="C1294" s="175" t="str">
        <f t="shared" si="41"/>
        <v>Aplicação manual de gesso sarrafeado em paredes, espessura de 1,5cm, com execução de taliscas</v>
      </c>
      <c r="D1294" s="175" t="s">
        <v>663</v>
      </c>
      <c r="E1294" s="176" t="str">
        <f>_xlfn.XLOOKUP(D1294,Insumos!$B$1:$B$764,Insumos!$C$1:$C$764)</f>
        <v>KG</v>
      </c>
      <c r="F1294" s="179">
        <v>22.43</v>
      </c>
      <c r="G1294" s="177">
        <f>IF(B1294="insumo",_xlfn.XLOOKUP($D1294,Insumos!$B$1:$B$764,Insumos!$D$1:$D$764),"")</f>
        <v>0.8</v>
      </c>
      <c r="H1294" s="177" cm="1">
        <f t="array" ref="H1294">_xlfn.IFS(B1294="Serviço",SUMIFS(H1295:$H$3085,C1295:$C$3085,$C1294),B1294="Insumo",F1294*G1294,B1294="Etapa","")</f>
        <v>17.943999999999999</v>
      </c>
      <c r="I1294" s="178"/>
    </row>
    <row r="1295" spans="1:9" outlineLevel="1" collapsed="1" x14ac:dyDescent="0.25">
      <c r="A1295" s="175">
        <f t="shared" si="42"/>
        <v>1</v>
      </c>
      <c r="B1295" s="175" t="s">
        <v>109</v>
      </c>
      <c r="C1295" s="175" t="str">
        <f t="shared" si="41"/>
        <v>Chapisco interno de argamassa preparada em obra de cimento e areia - traço 1:4 - aplicação em paredes internas</v>
      </c>
      <c r="D1295" s="175" t="s">
        <v>1740</v>
      </c>
      <c r="E1295" s="176" t="s">
        <v>13</v>
      </c>
      <c r="F1295" s="175"/>
      <c r="G1295" s="177" t="str">
        <f>IF(B1295="insumo",_xlfn.XLOOKUP($D1295,Insumos!$B$1:$B$764,Insumos!$D$1:$D$764),"")</f>
        <v/>
      </c>
      <c r="H1295" s="177" cm="1">
        <f t="array" ref="H1295">_xlfn.IFS(B1295="Serviço",SUMIFS(H1296:$H$3085,C1296:$C$3085,$C1295),B1295="Insumo",F1295*G1295,B1295="Etapa","")</f>
        <v>3.28945</v>
      </c>
      <c r="I1295" s="178" t="s">
        <v>195</v>
      </c>
    </row>
    <row r="1296" spans="1:9" ht="18" hidden="1" outlineLevel="2" x14ac:dyDescent="0.25">
      <c r="A1296" s="175">
        <f t="shared" si="42"/>
        <v>2</v>
      </c>
      <c r="B1296" s="175" t="s">
        <v>327</v>
      </c>
      <c r="C1296" s="175" t="str">
        <f t="shared" si="41"/>
        <v>Chapisco interno de argamassa preparada em obra de cimento e areia - traço 1:4 - aplicação em paredes internas</v>
      </c>
      <c r="D1296" s="183" t="s">
        <v>1741</v>
      </c>
      <c r="E1296" s="176" t="s">
        <v>390</v>
      </c>
      <c r="F1296" s="179">
        <v>5.0000000000000001E-3</v>
      </c>
      <c r="G1296" s="177">
        <f>IF(B1296="insumo",_xlfn.XLOOKUP($D1296,Insumos!$B$1:$B$764,Insumos!$D$1:$D$764),"")</f>
        <v>657.89</v>
      </c>
      <c r="H1296" s="177" cm="1">
        <f t="array" ref="H1296">_xlfn.IFS(B1296="Serviço",SUMIFS(H1297:$H$3085,C1297:$C$3085,$C1296),B1296="Insumo",F1296*G1296,B1296="Etapa","")</f>
        <v>3.28945</v>
      </c>
      <c r="I1296" s="178"/>
    </row>
    <row r="1297" spans="1:9" outlineLevel="1" collapsed="1" x14ac:dyDescent="0.25">
      <c r="A1297" s="175">
        <f t="shared" si="42"/>
        <v>1</v>
      </c>
      <c r="B1297" s="175" t="s">
        <v>109</v>
      </c>
      <c r="C1297" s="175" t="str">
        <f t="shared" si="41"/>
        <v>Aplicação manual de massa para Drywall em paredes, com execução de taliscas</v>
      </c>
      <c r="D1297" s="175" t="s">
        <v>664</v>
      </c>
      <c r="E1297" s="176" t="s">
        <v>13</v>
      </c>
      <c r="F1297" s="175"/>
      <c r="G1297" s="177" t="str">
        <f>IF(B1297="insumo",_xlfn.XLOOKUP($D1297,Insumos!$B$1:$B$764,Insumos!$D$1:$D$764),"")</f>
        <v/>
      </c>
      <c r="H1297" s="177" cm="1">
        <f t="array" ref="H1297">_xlfn.IFS(B1297="Serviço",SUMIFS(H1298:$H$3085,C1298:$C$3085,$C1297),B1297="Insumo",F1297*G1297,B1297="Etapa","")</f>
        <v>5.20784</v>
      </c>
      <c r="I1297" s="178" t="s">
        <v>195</v>
      </c>
    </row>
    <row r="1298" spans="1:9" hidden="1" outlineLevel="2" x14ac:dyDescent="0.25">
      <c r="A1298" s="175">
        <f t="shared" si="42"/>
        <v>1</v>
      </c>
      <c r="B1298" s="175" t="s">
        <v>327</v>
      </c>
      <c r="C1298" s="175" t="str">
        <f t="shared" si="41"/>
        <v>Aplicação manual de massa para Drywall em paredes, com execução de taliscas</v>
      </c>
      <c r="D1298" s="175" t="s">
        <v>665</v>
      </c>
      <c r="E1298" s="176" t="str">
        <f>_xlfn.XLOOKUP(D1298,Insumos!$B$1:$B$764,Insumos!$C$1:$C$764)</f>
        <v>KG</v>
      </c>
      <c r="F1298" s="179">
        <v>0.88</v>
      </c>
      <c r="G1298" s="177">
        <f>IF(B1298="insumo",_xlfn.XLOOKUP($D1298,Insumos!$B$1:$B$764,Insumos!$D$1:$D$764),"")</f>
        <v>5.9180000000000001</v>
      </c>
      <c r="H1298" s="177" cm="1">
        <f t="array" ref="H1298">_xlfn.IFS(B1298="Serviço",SUMIFS(H1299:$H$3085,C1299:$C$3085,$C1298),B1298="Insumo",F1298*G1298,B1298="Etapa","")</f>
        <v>5.20784</v>
      </c>
      <c r="I1298" s="178"/>
    </row>
    <row r="1299" spans="1:9" outlineLevel="1" x14ac:dyDescent="0.25">
      <c r="A1299" s="175">
        <f t="shared" si="42"/>
        <v>1</v>
      </c>
      <c r="B1299" s="175" t="s">
        <v>109</v>
      </c>
      <c r="C1299" s="175" t="str">
        <f t="shared" si="41"/>
        <v>Massa unica para emboço interno em argamassa estabilizada, espessura de 2,5cm, com execução de taliscas</v>
      </c>
      <c r="D1299" s="175" t="s">
        <v>3124</v>
      </c>
      <c r="E1299" s="176" t="s">
        <v>13</v>
      </c>
      <c r="F1299" s="175"/>
      <c r="G1299" s="177" t="str">
        <f>IF(B1299="insumo",_xlfn.XLOOKUP($D1299,Insumos!$B$1:$B$764,Insumos!$D$1:$D$764),"")</f>
        <v/>
      </c>
      <c r="H1299" s="177" cm="1">
        <f t="array" ref="H1299">_xlfn.IFS(B1299="Serviço",SUMIFS(H1300:$H$3085,C1300:$C$3085,$C1299),B1299="Insumo",F1299*G1299,B1299="Etapa","")</f>
        <v>17.745837999999999</v>
      </c>
      <c r="I1299" s="178" t="s">
        <v>195</v>
      </c>
    </row>
    <row r="1300" spans="1:9" outlineLevel="2" x14ac:dyDescent="0.25">
      <c r="A1300" s="175">
        <f t="shared" si="42"/>
        <v>9</v>
      </c>
      <c r="B1300" s="175" t="s">
        <v>327</v>
      </c>
      <c r="C1300" s="175" t="str">
        <f t="shared" si="41"/>
        <v>Massa unica para emboço interno em argamassa estabilizada, espessura de 2,5cm, com execução de taliscas</v>
      </c>
      <c r="D1300" s="175" t="s">
        <v>666</v>
      </c>
      <c r="E1300" s="176" t="str">
        <f>_xlfn.XLOOKUP(D1300,Insumos!$B$1:$B$764,Insumos!$C$1:$C$764)</f>
        <v>M3</v>
      </c>
      <c r="F1300" s="179">
        <v>2.93E-2</v>
      </c>
      <c r="G1300" s="177">
        <f>IF(B1300="insumo",_xlfn.XLOOKUP($D1300,Insumos!$B$1:$B$764,Insumos!$D$1:$D$764),"")</f>
        <v>605.66</v>
      </c>
      <c r="H1300" s="177" cm="1">
        <f t="array" ref="H1300">_xlfn.IFS(B1300="Serviço",SUMIFS(H1301:$H$3085,C1301:$C$3085,$C1300),B1300="Insumo",F1300*G1300,B1300="Etapa","")</f>
        <v>17.745837999999999</v>
      </c>
      <c r="I1300" s="178"/>
    </row>
    <row r="1301" spans="1:9" outlineLevel="1" collapsed="1" x14ac:dyDescent="0.25">
      <c r="A1301" s="175">
        <f t="shared" si="42"/>
        <v>1</v>
      </c>
      <c r="B1301" s="175" t="s">
        <v>109</v>
      </c>
      <c r="C1301" s="175" t="str">
        <f t="shared" si="41"/>
        <v>Massa unica para reboco interno em argamassa estabilizada, espessura de 2,5cm, com execução de taliscas</v>
      </c>
      <c r="D1301" s="175" t="s">
        <v>227</v>
      </c>
      <c r="E1301" s="176" t="s">
        <v>13</v>
      </c>
      <c r="F1301" s="175"/>
      <c r="G1301" s="177" t="str">
        <f>IF(B1301="insumo",_xlfn.XLOOKUP($D1301,Insumos!$B$1:$B$764,Insumos!$D$1:$D$764),"")</f>
        <v/>
      </c>
      <c r="H1301" s="177" cm="1">
        <f t="array" ref="H1301">_xlfn.IFS(B1301="Serviço",SUMIFS(H1302:$H$3085,C1302:$C$3085,$C1301),B1301="Insumo",F1301*G1301,B1301="Etapa","")</f>
        <v>15.898575000000001</v>
      </c>
      <c r="I1301" s="178" t="s">
        <v>195</v>
      </c>
    </row>
    <row r="1302" spans="1:9" hidden="1" outlineLevel="2" x14ac:dyDescent="0.25">
      <c r="A1302" s="175">
        <f t="shared" si="42"/>
        <v>9</v>
      </c>
      <c r="B1302" s="175" t="s">
        <v>327</v>
      </c>
      <c r="C1302" s="175" t="str">
        <f t="shared" si="41"/>
        <v>Massa unica para reboco interno em argamassa estabilizada, espessura de 2,5cm, com execução de taliscas</v>
      </c>
      <c r="D1302" s="175" t="s">
        <v>666</v>
      </c>
      <c r="E1302" s="176" t="str">
        <f>_xlfn.XLOOKUP(D1302,Insumos!$B$1:$B$764,Insumos!$C$1:$C$764)</f>
        <v>M3</v>
      </c>
      <c r="F1302" s="179">
        <v>2.6250000000000002E-2</v>
      </c>
      <c r="G1302" s="177">
        <f>IF(B1302="insumo",_xlfn.XLOOKUP($D1302,Insumos!$B$1:$B$764,Insumos!$D$1:$D$764),"")</f>
        <v>605.66</v>
      </c>
      <c r="H1302" s="177" cm="1">
        <f t="array" ref="H1302">_xlfn.IFS(B1302="Serviço",SUMIFS(H1305:$H$3085,C1305:$C$3085,$C1302),B1302="Insumo",F1302*G1302,B1302="Etapa","")</f>
        <v>15.898575000000001</v>
      </c>
      <c r="I1302" s="178"/>
    </row>
    <row r="1303" spans="1:9" outlineLevel="1" x14ac:dyDescent="0.25">
      <c r="A1303" s="175">
        <f t="shared" si="42"/>
        <v>1</v>
      </c>
      <c r="B1303" s="175" t="s">
        <v>109</v>
      </c>
      <c r="C1303" s="175" t="str">
        <f>IF(B1303="serviço",D1303,C1300)</f>
        <v>Massa unica para reboco interno em argamassa estabilizada, espessura de 0,5cm, com execução desempenado fino</v>
      </c>
      <c r="D1303" s="175" t="s">
        <v>6929</v>
      </c>
      <c r="E1303" s="176" t="s">
        <v>13</v>
      </c>
      <c r="F1303" s="175"/>
      <c r="G1303" s="177" t="str">
        <f>IF(B1303="insumo",_xlfn.XLOOKUP($D1303,Insumos!$B$1:$B$764,Insumos!$D$1:$D$764),"")</f>
        <v/>
      </c>
      <c r="H1303" s="177" cm="1">
        <f t="array" ref="H1303">_xlfn.IFS(B1303="Serviço",SUMIFS(H1304:$H$3085,C1304:$C$3085,$C1303),B1303="Insumo",F1303*G1303,B1303="Etapa","")</f>
        <v>3.1797149999999994</v>
      </c>
      <c r="I1303" s="178" t="s">
        <v>195</v>
      </c>
    </row>
    <row r="1304" spans="1:9" outlineLevel="2" x14ac:dyDescent="0.25">
      <c r="A1304" s="175">
        <f t="shared" si="42"/>
        <v>9</v>
      </c>
      <c r="B1304" s="175" t="s">
        <v>327</v>
      </c>
      <c r="C1304" s="175" t="str">
        <f t="shared" ref="C1304" si="43">IF(B1304="serviço",D1304,C1303)</f>
        <v>Massa unica para reboco interno em argamassa estabilizada, espessura de 0,5cm, com execução desempenado fino</v>
      </c>
      <c r="D1304" s="175" t="s">
        <v>666</v>
      </c>
      <c r="E1304" s="176" t="str">
        <f>_xlfn.XLOOKUP(D1304,Insumos!$B$1:$B$764,Insumos!$C$1:$C$764)</f>
        <v>M3</v>
      </c>
      <c r="F1304" s="179">
        <f>0.02625*0.5/2.5</f>
        <v>5.2499999999999995E-3</v>
      </c>
      <c r="G1304" s="177">
        <f>IF(B1304="insumo",_xlfn.XLOOKUP($D1304,Insumos!$B$1:$B$764,Insumos!$D$1:$D$764),"")</f>
        <v>605.66</v>
      </c>
      <c r="H1304" s="177" cm="1">
        <f t="array" ref="H1304">_xlfn.IFS(B1304="Serviço",SUMIFS(H1305:$H$3085,C1305:$C$3085,$C1304),B1304="Insumo",F1304*G1304,B1304="Etapa","")</f>
        <v>3.1797149999999994</v>
      </c>
      <c r="I1304" s="178"/>
    </row>
    <row r="1305" spans="1:9" outlineLevel="1" x14ac:dyDescent="0.25">
      <c r="A1305" s="175">
        <f t="shared" si="42"/>
        <v>1</v>
      </c>
      <c r="B1305" s="175" t="s">
        <v>109</v>
      </c>
      <c r="C1305" s="175" t="str">
        <f>IF(B1305="serviço",D1305,C1302)</f>
        <v>Massa unica para reboco interno em argamassa estabilizada, espessura de 2,5cm, com execução desempenado fino</v>
      </c>
      <c r="D1305" s="175" t="s">
        <v>1742</v>
      </c>
      <c r="E1305" s="176" t="s">
        <v>13</v>
      </c>
      <c r="F1305" s="175"/>
      <c r="G1305" s="177" t="str">
        <f>IF(B1305="insumo",_xlfn.XLOOKUP($D1305,Insumos!$B$1:$B$764,Insumos!$D$1:$D$764),"")</f>
        <v/>
      </c>
      <c r="H1305" s="177" cm="1">
        <f t="array" ref="H1305">_xlfn.IFS(B1305="Serviço",SUMIFS(H1306:$H$3085,C1306:$C$3085,$C1305),B1305="Insumo",F1305*G1305,B1305="Etapa","")</f>
        <v>15.898575000000001</v>
      </c>
      <c r="I1305" s="178" t="s">
        <v>195</v>
      </c>
    </row>
    <row r="1306" spans="1:9" outlineLevel="2" x14ac:dyDescent="0.25">
      <c r="A1306" s="175">
        <f t="shared" si="42"/>
        <v>9</v>
      </c>
      <c r="B1306" s="175" t="s">
        <v>327</v>
      </c>
      <c r="C1306" s="175" t="str">
        <f t="shared" si="41"/>
        <v>Massa unica para reboco interno em argamassa estabilizada, espessura de 2,5cm, com execução desempenado fino</v>
      </c>
      <c r="D1306" s="175" t="s">
        <v>666</v>
      </c>
      <c r="E1306" s="176" t="str">
        <f>_xlfn.XLOOKUP(D1306,Insumos!$B$1:$B$764,Insumos!$C$1:$C$764)</f>
        <v>M3</v>
      </c>
      <c r="F1306" s="179">
        <v>2.6250000000000002E-2</v>
      </c>
      <c r="G1306" s="177">
        <f>IF(B1306="insumo",_xlfn.XLOOKUP($D1306,Insumos!$B$1:$B$764,Insumos!$D$1:$D$764),"")</f>
        <v>605.66</v>
      </c>
      <c r="H1306" s="177" cm="1">
        <f t="array" ref="H1306">_xlfn.IFS(B1306="Serviço",SUMIFS(H1307:$H$3085,C1307:$C$3085,$C1306),B1306="Insumo",F1306*G1306,B1306="Etapa","")</f>
        <v>15.898575000000001</v>
      </c>
      <c r="I1306" s="178"/>
    </row>
    <row r="1307" spans="1:9" outlineLevel="1" collapsed="1" x14ac:dyDescent="0.25">
      <c r="A1307" s="175">
        <f t="shared" si="42"/>
        <v>1</v>
      </c>
      <c r="B1307" s="175" t="s">
        <v>109</v>
      </c>
      <c r="C1307" s="175" t="str">
        <f t="shared" si="41"/>
        <v>Estucamento de estrutura de concreto em pilares e vigas</v>
      </c>
      <c r="D1307" s="175" t="s">
        <v>171</v>
      </c>
      <c r="E1307" s="176" t="s">
        <v>13</v>
      </c>
      <c r="F1307" s="175"/>
      <c r="G1307" s="177" t="str">
        <f>IF(B1307="insumo",_xlfn.XLOOKUP($D1307,Insumos!$B$1:$B$764,Insumos!$D$1:$D$764),"")</f>
        <v/>
      </c>
      <c r="H1307" s="177" cm="1">
        <f t="array" ref="H1307">_xlfn.IFS(B1307="Serviço",SUMIFS(H1308:$H$3085,C1308:$C$3085,$C1307),B1307="Insumo",F1307*G1307,B1307="Etapa","")</f>
        <v>5.1029166666666663</v>
      </c>
      <c r="I1307" s="178" t="s">
        <v>195</v>
      </c>
    </row>
    <row r="1308" spans="1:9" hidden="1" outlineLevel="2" x14ac:dyDescent="0.25">
      <c r="A1308" s="175">
        <f t="shared" si="42"/>
        <v>39</v>
      </c>
      <c r="B1308" s="175" t="s">
        <v>327</v>
      </c>
      <c r="C1308" s="175" t="str">
        <f t="shared" si="41"/>
        <v>Estucamento de estrutura de concreto em pilares e vigas</v>
      </c>
      <c r="D1308" s="175" t="s">
        <v>396</v>
      </c>
      <c r="E1308" s="176" t="str">
        <f>_xlfn.XLOOKUP(D1308,Insumos!$B$1:$B$764,Insumos!$C$1:$C$764)</f>
        <v>KG</v>
      </c>
      <c r="F1308" s="179">
        <v>0.6</v>
      </c>
      <c r="G1308" s="177">
        <f>IF(B1308="insumo",_xlfn.XLOOKUP($D1308,Insumos!$B$1:$B$764,Insumos!$D$1:$D$764),"")</f>
        <v>0.76</v>
      </c>
      <c r="H1308" s="177" cm="1">
        <f t="array" ref="H1308">_xlfn.IFS(B1308="Serviço",SUMIFS(H1309:$H$3085,C1309:$C$3085,$C1308),B1308="Insumo",F1308*G1308,B1308="Etapa","")</f>
        <v>0.45599999999999996</v>
      </c>
      <c r="I1308" s="178"/>
    </row>
    <row r="1309" spans="1:9" hidden="1" outlineLevel="2" x14ac:dyDescent="0.25">
      <c r="A1309" s="175">
        <f t="shared" si="42"/>
        <v>3</v>
      </c>
      <c r="B1309" s="175" t="s">
        <v>327</v>
      </c>
      <c r="C1309" s="175" t="str">
        <f t="shared" si="41"/>
        <v>Estucamento de estrutura de concreto em pilares e vigas</v>
      </c>
      <c r="D1309" s="175" t="s">
        <v>667</v>
      </c>
      <c r="E1309" s="176" t="str">
        <f>_xlfn.XLOOKUP(D1309,Insumos!$B$1:$B$764,Insumos!$C$1:$C$764)</f>
        <v>UN</v>
      </c>
      <c r="F1309" s="179">
        <v>0.05</v>
      </c>
      <c r="G1309" s="177">
        <f>IF(B1309="insumo",_xlfn.XLOOKUP($D1309,Insumos!$B$1:$B$764,Insumos!$D$1:$D$764),"")</f>
        <v>3.13</v>
      </c>
      <c r="H1309" s="177" cm="1">
        <f t="array" ref="H1309">_xlfn.IFS(B1309="Serviço",SUMIFS(H1310:$H$3085,C1310:$C$3085,$C1309),B1309="Insumo",F1309*G1309,B1309="Etapa","")</f>
        <v>0.1565</v>
      </c>
      <c r="I1309" s="178"/>
    </row>
    <row r="1310" spans="1:9" hidden="1" outlineLevel="2" x14ac:dyDescent="0.25">
      <c r="A1310" s="175">
        <f t="shared" si="42"/>
        <v>3</v>
      </c>
      <c r="B1310" s="175" t="s">
        <v>327</v>
      </c>
      <c r="C1310" s="175" t="str">
        <f t="shared" si="41"/>
        <v>Estucamento de estrutura de concreto em pilares e vigas</v>
      </c>
      <c r="D1310" s="175" t="s">
        <v>668</v>
      </c>
      <c r="E1310" s="176" t="str">
        <f>_xlfn.XLOOKUP(D1310,Insumos!$B$1:$B$764,Insumos!$C$1:$C$764)</f>
        <v>KG</v>
      </c>
      <c r="F1310" s="179">
        <v>0.3</v>
      </c>
      <c r="G1310" s="177">
        <f>IF(B1310="insumo",_xlfn.XLOOKUP($D1310,Insumos!$B$1:$B$764,Insumos!$D$1:$D$764),"")</f>
        <v>3.49</v>
      </c>
      <c r="H1310" s="177" cm="1">
        <f t="array" ref="H1310">_xlfn.IFS(B1310="Serviço",SUMIFS(H1311:$H$3085,C1311:$C$3085,$C1310),B1310="Insumo",F1310*G1310,B1310="Etapa","")</f>
        <v>1.0469999999999999</v>
      </c>
      <c r="I1310" s="178"/>
    </row>
    <row r="1311" spans="1:9" hidden="1" outlineLevel="2" x14ac:dyDescent="0.25">
      <c r="A1311" s="175">
        <f t="shared" si="42"/>
        <v>3</v>
      </c>
      <c r="B1311" s="175" t="s">
        <v>327</v>
      </c>
      <c r="C1311" s="175" t="str">
        <f t="shared" si="41"/>
        <v>Estucamento de estrutura de concreto em pilares e vigas</v>
      </c>
      <c r="D1311" s="175" t="s">
        <v>669</v>
      </c>
      <c r="E1311" s="176" t="str">
        <f>_xlfn.XLOOKUP(D1311,Insumos!$B$1:$B$764,Insumos!$C$1:$C$764)</f>
        <v>KG</v>
      </c>
      <c r="F1311" s="179">
        <v>0.15</v>
      </c>
      <c r="G1311" s="177">
        <f>IF(B1311="insumo",_xlfn.XLOOKUP($D1311,Insumos!$B$1:$B$764,Insumos!$D$1:$D$764),"")</f>
        <v>22.95611111111111</v>
      </c>
      <c r="H1311" s="177" cm="1">
        <f t="array" ref="H1311">_xlfn.IFS(B1311="Serviço",SUMIFS(H1312:$H$3085,C1312:$C$3085,$C1311),B1311="Insumo",F1311*G1311,B1311="Etapa","")</f>
        <v>3.4434166666666663</v>
      </c>
      <c r="I1311" s="178"/>
    </row>
    <row r="1312" spans="1:9" outlineLevel="1" collapsed="1" x14ac:dyDescent="0.25">
      <c r="A1312" s="175">
        <f t="shared" si="42"/>
        <v>1</v>
      </c>
      <c r="B1312" s="175" t="s">
        <v>109</v>
      </c>
      <c r="C1312" s="175" t="str">
        <f t="shared" ref="C1312:C1375" si="44">IF(B1312="serviço",D1312,C1311)</f>
        <v xml:space="preserve">Regularização de Parede 0,50 cm </v>
      </c>
      <c r="D1312" s="175" t="s">
        <v>670</v>
      </c>
      <c r="E1312" s="176" t="s">
        <v>13</v>
      </c>
      <c r="F1312" s="175"/>
      <c r="G1312" s="177" t="str">
        <f>IF(B1312="insumo",_xlfn.XLOOKUP($D1312,Insumos!$B$1:$B$764,Insumos!$D$1:$D$764),"")</f>
        <v/>
      </c>
      <c r="H1312" s="177" cm="1">
        <f t="array" ref="H1312">_xlfn.IFS(B1312="Serviço",SUMIFS(H1313:$H$3085,C1313:$C$3085,$C1312),B1312="Insumo",F1312*G1312,B1312="Etapa","")</f>
        <v>3.1560233333333336</v>
      </c>
      <c r="I1312" s="178" t="s">
        <v>195</v>
      </c>
    </row>
    <row r="1313" spans="1:9" hidden="1" outlineLevel="2" x14ac:dyDescent="0.25">
      <c r="A1313" s="175">
        <f t="shared" si="42"/>
        <v>34</v>
      </c>
      <c r="B1313" s="175" t="s">
        <v>327</v>
      </c>
      <c r="C1313" s="175" t="str">
        <f t="shared" si="44"/>
        <v xml:space="preserve">Regularização de Parede 0,50 cm </v>
      </c>
      <c r="D1313" s="175" t="s">
        <v>626</v>
      </c>
      <c r="E1313" s="176" t="str">
        <f>_xlfn.XLOOKUP(D1313,Insumos!$B$1:$B$764,Insumos!$C$1:$C$764)</f>
        <v>M3</v>
      </c>
      <c r="F1313" s="179">
        <v>5.5000000000000005E-3</v>
      </c>
      <c r="G1313" s="177">
        <f>IF(B1313="insumo",_xlfn.XLOOKUP($D1313,Insumos!$B$1:$B$764,Insumos!$D$1:$D$764),"")</f>
        <v>550</v>
      </c>
      <c r="H1313" s="177" cm="1">
        <f t="array" ref="H1313">_xlfn.IFS(B1313="Serviço",SUMIFS(H1314:$H$3085,C1314:$C$3085,$C1313),B1313="Insumo",F1313*G1313,B1313="Etapa","")</f>
        <v>3.0250000000000004</v>
      </c>
      <c r="I1313" s="178"/>
    </row>
    <row r="1314" spans="1:9" hidden="1" outlineLevel="2" x14ac:dyDescent="0.25">
      <c r="A1314" s="175">
        <f t="shared" si="42"/>
        <v>37</v>
      </c>
      <c r="B1314" s="175" t="s">
        <v>327</v>
      </c>
      <c r="C1314" s="175" t="str">
        <f t="shared" si="44"/>
        <v xml:space="preserve">Regularização de Parede 0,50 cm </v>
      </c>
      <c r="D1314" s="175" t="s">
        <v>671</v>
      </c>
      <c r="E1314" s="176" t="str">
        <f>_xlfn.XLOOKUP(D1314,Insumos!$B$1:$B$764,Insumos!$C$1:$C$764)</f>
        <v>L</v>
      </c>
      <c r="F1314" s="179">
        <v>3.5000000000000005E-3</v>
      </c>
      <c r="G1314" s="177">
        <f>IF(B1314="insumo",_xlfn.XLOOKUP($D1314,Insumos!$B$1:$B$764,Insumos!$D$1:$D$764),"")</f>
        <v>19.34</v>
      </c>
      <c r="H1314" s="177" cm="1">
        <f t="array" ref="H1314">_xlfn.IFS(B1314="Serviço",SUMIFS(H1315:$H$3085,C1315:$C$3085,$C1314),B1314="Insumo",F1314*G1314,B1314="Etapa","")</f>
        <v>6.7690000000000014E-2</v>
      </c>
      <c r="I1314" s="178"/>
    </row>
    <row r="1315" spans="1:9" hidden="1" outlineLevel="2" x14ac:dyDescent="0.25">
      <c r="A1315" s="175">
        <f t="shared" si="42"/>
        <v>39</v>
      </c>
      <c r="B1315" s="175" t="s">
        <v>327</v>
      </c>
      <c r="C1315" s="175" t="str">
        <f t="shared" si="44"/>
        <v xml:space="preserve">Regularização de Parede 0,50 cm </v>
      </c>
      <c r="D1315" s="175" t="s">
        <v>396</v>
      </c>
      <c r="E1315" s="176" t="str">
        <f>_xlfn.XLOOKUP(D1315,Insumos!$B$1:$B$764,Insumos!$C$1:$C$764)</f>
        <v>KG</v>
      </c>
      <c r="F1315" s="179">
        <v>8.3333333333333343E-2</v>
      </c>
      <c r="G1315" s="177">
        <f>IF(B1315="insumo",_xlfn.XLOOKUP($D1315,Insumos!$B$1:$B$764,Insumos!$D$1:$D$764),"")</f>
        <v>0.76</v>
      </c>
      <c r="H1315" s="177" cm="1">
        <f t="array" ref="H1315">_xlfn.IFS(B1315="Serviço",SUMIFS(H1316:$H$3085,C1316:$C$3085,$C1315),B1315="Insumo",F1315*G1315,B1315="Etapa","")</f>
        <v>6.3333333333333339E-2</v>
      </c>
      <c r="I1315" s="178"/>
    </row>
    <row r="1316" spans="1:9" outlineLevel="1" x14ac:dyDescent="0.25">
      <c r="A1316" s="175">
        <f t="shared" si="42"/>
        <v>1</v>
      </c>
      <c r="B1316" s="175" t="s">
        <v>109</v>
      </c>
      <c r="C1316" s="175" t="str">
        <f t="shared" si="44"/>
        <v>Revestimento de cerâmico retificado em Paredes, Placa 60,5 x 60,5cm com Junta de 2mm</v>
      </c>
      <c r="D1316" s="175" t="s">
        <v>672</v>
      </c>
      <c r="E1316" s="176" t="s">
        <v>13</v>
      </c>
      <c r="F1316" s="175"/>
      <c r="G1316" s="177" t="str">
        <f>IF(B1316="insumo",_xlfn.XLOOKUP($D1316,Insumos!$B$1:$B$764,Insumos!$D$1:$D$764),"")</f>
        <v/>
      </c>
      <c r="H1316" s="177" cm="1">
        <f t="array" ref="H1316">_xlfn.IFS(B1316="Serviço",SUMIFS(H1317:$H$3085,C1317:$C$3085,$C1316),B1316="Insumo",F1316*G1316,B1316="Etapa","")</f>
        <v>74.584500000000006</v>
      </c>
      <c r="I1316" s="178" t="s">
        <v>195</v>
      </c>
    </row>
    <row r="1317" spans="1:9" outlineLevel="2" x14ac:dyDescent="0.25">
      <c r="A1317" s="175">
        <f t="shared" si="42"/>
        <v>2</v>
      </c>
      <c r="B1317" s="175" t="s">
        <v>327</v>
      </c>
      <c r="C1317" s="175" t="str">
        <f t="shared" si="44"/>
        <v>Revestimento de cerâmico retificado em Paredes, Placa 60,5 x 60,5cm com Junta de 2mm</v>
      </c>
      <c r="D1317" s="485" t="s">
        <v>673</v>
      </c>
      <c r="E1317" s="176" t="str">
        <f>_xlfn.XLOOKUP(D1317,Insumos!$B$1:$B$764,Insumos!$C$1:$C$764)</f>
        <v>M2</v>
      </c>
      <c r="F1317" s="179">
        <v>1.1000000000000001</v>
      </c>
      <c r="G1317" s="177">
        <f>IF(B1317="insumo",_xlfn.XLOOKUP($D1317,Insumos!$B$1:$B$764,Insumos!$D$1:$D$764),"")</f>
        <v>47.23</v>
      </c>
      <c r="H1317" s="177" cm="1">
        <f t="array" ref="H1317">_xlfn.IFS(B1317="Serviço",SUMIFS(H1318:$H$3085,C1318:$C$3085,$C1317),B1317="Insumo",F1317*G1317,B1317="Etapa","")</f>
        <v>51.953000000000003</v>
      </c>
      <c r="I1317" s="178"/>
    </row>
    <row r="1318" spans="1:9" outlineLevel="2" x14ac:dyDescent="0.25">
      <c r="A1318" s="175">
        <f t="shared" si="42"/>
        <v>118</v>
      </c>
      <c r="B1318" s="175" t="s">
        <v>327</v>
      </c>
      <c r="C1318" s="175" t="str">
        <f t="shared" si="44"/>
        <v>Revestimento de cerâmico retificado em Paredes, Placa 60,5 x 60,5cm com Junta de 2mm</v>
      </c>
      <c r="D1318" s="175" t="s">
        <v>654</v>
      </c>
      <c r="E1318" s="176" t="str">
        <f>_xlfn.XLOOKUP(D1318,Insumos!$B$1:$B$764,Insumos!$C$1:$C$764)</f>
        <v>KG</v>
      </c>
      <c r="F1318" s="179">
        <v>8.8000000000000007</v>
      </c>
      <c r="G1318" s="177">
        <f>IF(B1318="insumo",_xlfn.XLOOKUP($D1318,Insumos!$B$1:$B$764,Insumos!$D$1:$D$764),"")</f>
        <v>2.5499999999999998</v>
      </c>
      <c r="H1318" s="177" cm="1">
        <f t="array" ref="H1318">_xlfn.IFS(B1318="Serviço",SUMIFS(H1319:$H$3085,C1319:$C$3085,$C1318),B1318="Insumo",F1318*G1318,B1318="Etapa","")</f>
        <v>22.44</v>
      </c>
      <c r="I1318" s="178"/>
    </row>
    <row r="1319" spans="1:9" outlineLevel="2" x14ac:dyDescent="0.25">
      <c r="A1319" s="175">
        <f t="shared" si="42"/>
        <v>78</v>
      </c>
      <c r="B1319" s="175" t="s">
        <v>327</v>
      </c>
      <c r="C1319" s="175" t="str">
        <f t="shared" si="44"/>
        <v>Revestimento de cerâmico retificado em Paredes, Placa 60,5 x 60,5cm com Junta de 2mm</v>
      </c>
      <c r="D1319" s="175" t="s">
        <v>674</v>
      </c>
      <c r="E1319" s="176" t="str">
        <f>_xlfn.XLOOKUP(D1319,Insumos!$B$1:$B$764,Insumos!$C$1:$C$764)</f>
        <v>UN</v>
      </c>
      <c r="F1319" s="179">
        <v>1</v>
      </c>
      <c r="G1319" s="177">
        <f>IF(B1319="insumo",_xlfn.XLOOKUP($D1319,Insumos!$B$1:$B$764,Insumos!$D$1:$D$764),"")</f>
        <v>0.08</v>
      </c>
      <c r="H1319" s="177" cm="1">
        <f t="array" ref="H1319">_xlfn.IFS(B1319="Serviço",SUMIFS(H1320:$H$3085,C1320:$C$3085,$C1319),B1319="Insumo",F1319*G1319,B1319="Etapa","")</f>
        <v>0.08</v>
      </c>
      <c r="I1319" s="178"/>
    </row>
    <row r="1320" spans="1:9" outlineLevel="2" x14ac:dyDescent="0.25">
      <c r="A1320" s="175">
        <f t="shared" si="42"/>
        <v>71</v>
      </c>
      <c r="B1320" s="175" t="s">
        <v>327</v>
      </c>
      <c r="C1320" s="175" t="str">
        <f t="shared" si="44"/>
        <v>Revestimento de cerâmico retificado em Paredes, Placa 60,5 x 60,5cm com Junta de 2mm</v>
      </c>
      <c r="D1320" s="175" t="s">
        <v>675</v>
      </c>
      <c r="E1320" s="176" t="str">
        <f>_xlfn.XLOOKUP(D1320,Insumos!$B$1:$B$764,Insumos!$C$1:$C$764)</f>
        <v>KG</v>
      </c>
      <c r="F1320" s="179">
        <v>0.01</v>
      </c>
      <c r="G1320" s="177">
        <f>IF(B1320="insumo",_xlfn.XLOOKUP($D1320,Insumos!$B$1:$B$764,Insumos!$D$1:$D$764),"")</f>
        <v>11.15</v>
      </c>
      <c r="H1320" s="177" cm="1">
        <f t="array" ref="H1320">_xlfn.IFS(B1320="Serviço",SUMIFS(H1321:$H$3085,C1321:$C$3085,$C1320),B1320="Insumo",F1320*G1320,B1320="Etapa","")</f>
        <v>0.1115</v>
      </c>
      <c r="I1320" s="178"/>
    </row>
    <row r="1321" spans="1:9" outlineLevel="1" x14ac:dyDescent="0.25">
      <c r="A1321" s="175">
        <f t="shared" si="42"/>
        <v>1</v>
      </c>
      <c r="B1321" s="175" t="s">
        <v>109</v>
      </c>
      <c r="C1321" s="175" t="str">
        <f t="shared" si="44"/>
        <v>Revestimento de cerâmico em Paredes, Placa 31 x 54cm com Junta de 2mm e rejunte acrilico</v>
      </c>
      <c r="D1321" s="175" t="s">
        <v>2849</v>
      </c>
      <c r="E1321" s="176" t="s">
        <v>13</v>
      </c>
      <c r="F1321" s="175"/>
      <c r="G1321" s="177" t="str">
        <f>IF(B1321="insumo",_xlfn.XLOOKUP($D1321,Insumos!$B$1:$B$764,Insumos!$D$1:$D$764),"")</f>
        <v/>
      </c>
      <c r="H1321" s="177" cm="1">
        <f t="array" ref="H1321">_xlfn.IFS(B1321="Serviço",SUMIFS(H1322:$H$3085,C1322:$C$3085,$C1321),B1321="Insumo",F1321*G1321,B1321="Etapa","")</f>
        <v>103.011</v>
      </c>
      <c r="I1321" s="178" t="s">
        <v>195</v>
      </c>
    </row>
    <row r="1322" spans="1:9" outlineLevel="2" x14ac:dyDescent="0.25">
      <c r="A1322" s="175">
        <f t="shared" si="42"/>
        <v>1</v>
      </c>
      <c r="B1322" s="175" t="s">
        <v>327</v>
      </c>
      <c r="C1322" s="175" t="str">
        <f t="shared" si="44"/>
        <v>Revestimento de cerâmico em Paredes, Placa 31 x 54cm com Junta de 2mm e rejunte acrilico</v>
      </c>
      <c r="D1322" s="485" t="s">
        <v>2848</v>
      </c>
      <c r="E1322" s="176" t="str">
        <f>_xlfn.XLOOKUP(D1322,Insumos!$B$1:$B$764,Insumos!$C$1:$C$764)</f>
        <v>M2</v>
      </c>
      <c r="F1322" s="179">
        <v>1.1000000000000001</v>
      </c>
      <c r="G1322" s="177">
        <f>IF(B1322="insumo",_xlfn.XLOOKUP($D1322,Insumos!$B$1:$B$764,Insumos!$D$1:$D$764),"")</f>
        <v>72.63</v>
      </c>
      <c r="H1322" s="177" cm="1">
        <f t="array" ref="H1322">_xlfn.IFS(B1322="Serviço",SUMIFS(H1323:$H$3085,C1323:$C$3085,$C1322),B1322="Insumo",F1322*G1322,B1322="Etapa","")</f>
        <v>79.893000000000001</v>
      </c>
      <c r="I1322" s="178"/>
    </row>
    <row r="1323" spans="1:9" outlineLevel="2" x14ac:dyDescent="0.25">
      <c r="A1323" s="175">
        <f t="shared" si="42"/>
        <v>118</v>
      </c>
      <c r="B1323" s="175" t="s">
        <v>327</v>
      </c>
      <c r="C1323" s="175" t="str">
        <f t="shared" si="44"/>
        <v>Revestimento de cerâmico em Paredes, Placa 31 x 54cm com Junta de 2mm e rejunte acrilico</v>
      </c>
      <c r="D1323" s="175" t="s">
        <v>654</v>
      </c>
      <c r="E1323" s="176" t="str">
        <f>_xlfn.XLOOKUP(D1323,Insumos!$B$1:$B$764,Insumos!$C$1:$C$764)</f>
        <v>KG</v>
      </c>
      <c r="F1323" s="179">
        <v>8.8000000000000007</v>
      </c>
      <c r="G1323" s="177">
        <f>IF(B1323="insumo",_xlfn.XLOOKUP($D1323,Insumos!$B$1:$B$764,Insumos!$D$1:$D$764),"")</f>
        <v>2.5499999999999998</v>
      </c>
      <c r="H1323" s="177" cm="1">
        <f t="array" ref="H1323">_xlfn.IFS(B1323="Serviço",SUMIFS(H1324:$H$3085,C1324:$C$3085,$C1323),B1323="Insumo",F1323*G1323,B1323="Etapa","")</f>
        <v>22.44</v>
      </c>
      <c r="I1323" s="178"/>
    </row>
    <row r="1324" spans="1:9" outlineLevel="2" x14ac:dyDescent="0.25">
      <c r="A1324" s="175">
        <f t="shared" si="42"/>
        <v>78</v>
      </c>
      <c r="B1324" s="175" t="s">
        <v>327</v>
      </c>
      <c r="C1324" s="175" t="str">
        <f t="shared" si="44"/>
        <v>Revestimento de cerâmico em Paredes, Placa 31 x 54cm com Junta de 2mm e rejunte acrilico</v>
      </c>
      <c r="D1324" s="175" t="s">
        <v>674</v>
      </c>
      <c r="E1324" s="176" t="str">
        <f>_xlfn.XLOOKUP(D1324,Insumos!$B$1:$B$764,Insumos!$C$1:$C$764)</f>
        <v>UN</v>
      </c>
      <c r="F1324" s="179">
        <v>3</v>
      </c>
      <c r="G1324" s="177">
        <f>IF(B1324="insumo",_xlfn.XLOOKUP($D1324,Insumos!$B$1:$B$764,Insumos!$D$1:$D$764),"")</f>
        <v>0.08</v>
      </c>
      <c r="H1324" s="177" cm="1">
        <f t="array" ref="H1324">_xlfn.IFS(B1324="Serviço",SUMIFS(H1325:$H$3085,C1325:$C$3085,$C1324),B1324="Insumo",F1324*G1324,B1324="Etapa","")</f>
        <v>0.24</v>
      </c>
      <c r="I1324" s="178"/>
    </row>
    <row r="1325" spans="1:9" outlineLevel="2" x14ac:dyDescent="0.25">
      <c r="A1325" s="175">
        <f t="shared" si="42"/>
        <v>19</v>
      </c>
      <c r="B1325" s="175" t="s">
        <v>327</v>
      </c>
      <c r="C1325" s="175" t="str">
        <f t="shared" si="44"/>
        <v>Revestimento de cerâmico em Paredes, Placa 31 x 54cm com Junta de 2mm e rejunte acrilico</v>
      </c>
      <c r="D1325" s="175" t="s">
        <v>1962</v>
      </c>
      <c r="E1325" s="176" t="str">
        <f>_xlfn.XLOOKUP(D1325,Insumos!$B$1:$B$764,Insumos!$C$1:$C$764)</f>
        <v>KG</v>
      </c>
      <c r="F1325" s="179">
        <v>0.01</v>
      </c>
      <c r="G1325" s="177">
        <f>IF(B1325="insumo",_xlfn.XLOOKUP($D1325,Insumos!$B$1:$B$764,Insumos!$D$1:$D$764),"")</f>
        <v>43.8</v>
      </c>
      <c r="H1325" s="177" cm="1">
        <f t="array" ref="H1325">_xlfn.IFS(B1325="Serviço",SUMIFS(H1326:$H$3085,C1326:$C$3085,$C1325),B1325="Insumo",F1325*G1325,B1325="Etapa","")</f>
        <v>0.438</v>
      </c>
      <c r="I1325" s="178"/>
    </row>
    <row r="1326" spans="1:9" outlineLevel="1" x14ac:dyDescent="0.25">
      <c r="A1326" s="175">
        <f t="shared" si="42"/>
        <v>1</v>
      </c>
      <c r="B1326" s="175" t="s">
        <v>109</v>
      </c>
      <c r="C1326" s="175" t="str">
        <f t="shared" si="44"/>
        <v>Revestimento de cerâmico retificado em Paredes, Placa 60 x 60cm com Junta de 2mm e rejunte acrilico</v>
      </c>
      <c r="D1326" s="175" t="s">
        <v>2012</v>
      </c>
      <c r="E1326" s="176" t="s">
        <v>13</v>
      </c>
      <c r="F1326" s="175"/>
      <c r="G1326" s="177" t="str">
        <f>IF(B1326="insumo",_xlfn.XLOOKUP($D1326,Insumos!$B$1:$B$764,Insumos!$D$1:$D$764),"")</f>
        <v/>
      </c>
      <c r="H1326" s="177" cm="1">
        <f t="array" ref="H1326">_xlfn.IFS(B1326="Serviço",SUMIFS(H1327:$H$3085,C1327:$C$3085,$C1326),B1326="Insumo",F1326*G1326,B1326="Etapa","")</f>
        <v>74.911000000000001</v>
      </c>
      <c r="I1326" s="178" t="s">
        <v>195</v>
      </c>
    </row>
    <row r="1327" spans="1:9" outlineLevel="2" x14ac:dyDescent="0.25">
      <c r="A1327" s="175">
        <f t="shared" si="42"/>
        <v>2</v>
      </c>
      <c r="B1327" s="175" t="s">
        <v>327</v>
      </c>
      <c r="C1327" s="175" t="str">
        <f t="shared" si="44"/>
        <v>Revestimento de cerâmico retificado em Paredes, Placa 60 x 60cm com Junta de 2mm e rejunte acrilico</v>
      </c>
      <c r="D1327" s="485" t="s">
        <v>673</v>
      </c>
      <c r="E1327" s="176" t="str">
        <f>_xlfn.XLOOKUP(D1327,Insumos!$B$1:$B$764,Insumos!$C$1:$C$764)</f>
        <v>M2</v>
      </c>
      <c r="F1327" s="179">
        <v>1.1000000000000001</v>
      </c>
      <c r="G1327" s="177">
        <f>IF(B1327="insumo",_xlfn.XLOOKUP($D1327,Insumos!$B$1:$B$764,Insumos!$D$1:$D$764),"")</f>
        <v>47.23</v>
      </c>
      <c r="H1327" s="177" cm="1">
        <f t="array" ref="H1327">_xlfn.IFS(B1327="Serviço",SUMIFS(H1328:$H$3085,C1328:$C$3085,$C1327),B1327="Insumo",F1327*G1327,B1327="Etapa","")</f>
        <v>51.953000000000003</v>
      </c>
      <c r="I1327" s="178"/>
    </row>
    <row r="1328" spans="1:9" outlineLevel="2" x14ac:dyDescent="0.25">
      <c r="A1328" s="175">
        <f t="shared" si="42"/>
        <v>118</v>
      </c>
      <c r="B1328" s="175" t="s">
        <v>327</v>
      </c>
      <c r="C1328" s="175" t="str">
        <f t="shared" si="44"/>
        <v>Revestimento de cerâmico retificado em Paredes, Placa 60 x 60cm com Junta de 2mm e rejunte acrilico</v>
      </c>
      <c r="D1328" s="175" t="s">
        <v>654</v>
      </c>
      <c r="E1328" s="176" t="str">
        <f>_xlfn.XLOOKUP(D1328,Insumos!$B$1:$B$764,Insumos!$C$1:$C$764)</f>
        <v>KG</v>
      </c>
      <c r="F1328" s="179">
        <v>8.8000000000000007</v>
      </c>
      <c r="G1328" s="177">
        <f>IF(B1328="insumo",_xlfn.XLOOKUP($D1328,Insumos!$B$1:$B$764,Insumos!$D$1:$D$764),"")</f>
        <v>2.5499999999999998</v>
      </c>
      <c r="H1328" s="177" cm="1">
        <f t="array" ref="H1328">_xlfn.IFS(B1328="Serviço",SUMIFS(H1329:$H$3085,C1329:$C$3085,$C1328),B1328="Insumo",F1328*G1328,B1328="Etapa","")</f>
        <v>22.44</v>
      </c>
      <c r="I1328" s="178"/>
    </row>
    <row r="1329" spans="1:9" outlineLevel="2" x14ac:dyDescent="0.25">
      <c r="A1329" s="175">
        <f t="shared" si="42"/>
        <v>78</v>
      </c>
      <c r="B1329" s="175" t="s">
        <v>327</v>
      </c>
      <c r="C1329" s="175" t="str">
        <f t="shared" si="44"/>
        <v>Revestimento de cerâmico retificado em Paredes, Placa 60 x 60cm com Junta de 2mm e rejunte acrilico</v>
      </c>
      <c r="D1329" s="175" t="s">
        <v>674</v>
      </c>
      <c r="E1329" s="176" t="str">
        <f>_xlfn.XLOOKUP(D1329,Insumos!$B$1:$B$764,Insumos!$C$1:$C$764)</f>
        <v>UN</v>
      </c>
      <c r="F1329" s="179">
        <v>1</v>
      </c>
      <c r="G1329" s="177">
        <f>IF(B1329="insumo",_xlfn.XLOOKUP($D1329,Insumos!$B$1:$B$764,Insumos!$D$1:$D$764),"")</f>
        <v>0.08</v>
      </c>
      <c r="H1329" s="177" cm="1">
        <f t="array" ref="H1329">_xlfn.IFS(B1329="Serviço",SUMIFS(H1330:$H$3085,C1330:$C$3085,$C1329),B1329="Insumo",F1329*G1329,B1329="Etapa","")</f>
        <v>0.08</v>
      </c>
      <c r="I1329" s="178"/>
    </row>
    <row r="1330" spans="1:9" outlineLevel="2" x14ac:dyDescent="0.25">
      <c r="A1330" s="175">
        <f t="shared" si="42"/>
        <v>19</v>
      </c>
      <c r="B1330" s="175" t="s">
        <v>327</v>
      </c>
      <c r="C1330" s="175" t="str">
        <f t="shared" si="44"/>
        <v>Revestimento de cerâmico retificado em Paredes, Placa 60 x 60cm com Junta de 2mm e rejunte acrilico</v>
      </c>
      <c r="D1330" s="175" t="s">
        <v>1962</v>
      </c>
      <c r="E1330" s="176" t="str">
        <f>_xlfn.XLOOKUP(D1330,Insumos!$B$1:$B$764,Insumos!$C$1:$C$764)</f>
        <v>KG</v>
      </c>
      <c r="F1330" s="179">
        <v>0.01</v>
      </c>
      <c r="G1330" s="177">
        <f>IF(B1330="insumo",_xlfn.XLOOKUP($D1330,Insumos!$B$1:$B$764,Insumos!$D$1:$D$764),"")</f>
        <v>43.8</v>
      </c>
      <c r="H1330" s="177" cm="1">
        <f t="array" ref="H1330">_xlfn.IFS(B1330="Serviço",SUMIFS(H1331:$H$3085,C1331:$C$3085,$C1330),B1330="Insumo",F1330*G1330,B1330="Etapa","")</f>
        <v>0.438</v>
      </c>
      <c r="I1330" s="178"/>
    </row>
    <row r="1331" spans="1:9" outlineLevel="1" x14ac:dyDescent="0.25">
      <c r="A1331" s="175">
        <f t="shared" si="42"/>
        <v>1</v>
      </c>
      <c r="B1331" s="175" t="s">
        <v>109</v>
      </c>
      <c r="C1331" s="175" t="str">
        <f t="shared" si="44"/>
        <v>Revestimento em Cerâmicas Vulcano Cinza em paredes, 61x 61cm com Junta de 3mm</v>
      </c>
      <c r="D1331" s="175" t="s">
        <v>4240</v>
      </c>
      <c r="E1331" s="176" t="s">
        <v>13</v>
      </c>
      <c r="F1331" s="175"/>
      <c r="G1331" s="177" t="str">
        <f>IF(B1331="insumo",_xlfn.XLOOKUP($D1331,Insumos!$B$1:$B$764,Insumos!$D$1:$D$764),"")</f>
        <v/>
      </c>
      <c r="H1331" s="177" cm="1">
        <f t="array" ref="H1331">_xlfn.IFS(B1331="Serviço",SUMIFS(H1332:$H$3085,C1332:$C$3085,$C1331),B1331="Insumo",F1331*G1331,B1331="Etapa","")</f>
        <v>78.824000000000012</v>
      </c>
      <c r="I1331" s="178" t="s">
        <v>195</v>
      </c>
    </row>
    <row r="1332" spans="1:9" outlineLevel="2" x14ac:dyDescent="0.25">
      <c r="A1332" s="175">
        <f t="shared" si="42"/>
        <v>4</v>
      </c>
      <c r="B1332" s="175" t="s">
        <v>327</v>
      </c>
      <c r="C1332" s="175" t="str">
        <f t="shared" si="44"/>
        <v>Revestimento em Cerâmicas Vulcano Cinza em paredes, 61x 61cm com Junta de 3mm</v>
      </c>
      <c r="D1332" s="175" t="s">
        <v>2855</v>
      </c>
      <c r="E1332" s="176" t="s">
        <v>13</v>
      </c>
      <c r="F1332" s="196">
        <v>1.1000000000000001</v>
      </c>
      <c r="G1332" s="177">
        <f>IF(B1332="insumo",_xlfn.XLOOKUP($D1332,Insumos!$B$1:$B$764,Insumos!$D$1:$D$764),"")</f>
        <v>63.59</v>
      </c>
      <c r="H1332" s="177" cm="1">
        <f t="array" ref="H1332">_xlfn.IFS(B1332="Serviço",SUMIFS(H1333:$H$3085,C1333:$C$3085,$C1332),B1332="Insumo",F1332*G1332,B1332="Etapa","")</f>
        <v>69.949000000000012</v>
      </c>
      <c r="I1332" s="178"/>
    </row>
    <row r="1333" spans="1:9" outlineLevel="2" x14ac:dyDescent="0.25">
      <c r="A1333" s="175">
        <f t="shared" si="42"/>
        <v>11</v>
      </c>
      <c r="B1333" s="175" t="s">
        <v>327</v>
      </c>
      <c r="C1333" s="175" t="str">
        <f t="shared" si="44"/>
        <v>Revestimento em Cerâmicas Vulcano Cinza em paredes, 61x 61cm com Junta de 3mm</v>
      </c>
      <c r="D1333" s="175" t="s">
        <v>780</v>
      </c>
      <c r="E1333" s="176" t="s">
        <v>428</v>
      </c>
      <c r="F1333" s="196">
        <v>8.8000000000000007</v>
      </c>
      <c r="G1333" s="177">
        <f>IF(B1333="insumo",_xlfn.XLOOKUP($D1333,Insumos!$B$1:$B$764,Insumos!$D$1:$D$764),"")</f>
        <v>0.97750000000000004</v>
      </c>
      <c r="H1333" s="177" cm="1">
        <f t="array" ref="H1333">_xlfn.IFS(B1333="Serviço",SUMIFS(H1334:$H$3085,C1334:$C$3085,$C1333),B1333="Insumo",F1333*G1333,B1333="Etapa","")</f>
        <v>8.6020000000000003</v>
      </c>
      <c r="I1333" s="178"/>
    </row>
    <row r="1334" spans="1:9" outlineLevel="2" x14ac:dyDescent="0.25">
      <c r="A1334" s="175">
        <f t="shared" si="42"/>
        <v>13</v>
      </c>
      <c r="B1334" s="175" t="s">
        <v>327</v>
      </c>
      <c r="C1334" s="175" t="str">
        <f t="shared" si="44"/>
        <v>Revestimento em Cerâmicas Vulcano Cinza em paredes, 61x 61cm com Junta de 3mm</v>
      </c>
      <c r="D1334" s="175" t="s">
        <v>680</v>
      </c>
      <c r="E1334" s="176" t="s">
        <v>131</v>
      </c>
      <c r="F1334" s="196">
        <v>1</v>
      </c>
      <c r="G1334" s="177">
        <f>IF(B1334="insumo",_xlfn.XLOOKUP($D1334,Insumos!$B$1:$B$764,Insumos!$D$1:$D$764),"")</f>
        <v>0.05</v>
      </c>
      <c r="H1334" s="177" cm="1">
        <f t="array" ref="H1334">_xlfn.IFS(B1334="Serviço",SUMIFS(H1335:$H$3085,C1335:$C$3085,$C1334),B1334="Insumo",F1334*G1334,B1334="Etapa","")</f>
        <v>0.05</v>
      </c>
      <c r="I1334" s="178"/>
    </row>
    <row r="1335" spans="1:9" outlineLevel="2" x14ac:dyDescent="0.25">
      <c r="A1335" s="175">
        <f t="shared" si="42"/>
        <v>71</v>
      </c>
      <c r="B1335" s="175" t="s">
        <v>327</v>
      </c>
      <c r="C1335" s="175" t="str">
        <f t="shared" si="44"/>
        <v>Revestimento em Cerâmicas Vulcano Cinza em paredes, 61x 61cm com Junta de 3mm</v>
      </c>
      <c r="D1335" s="175" t="s">
        <v>675</v>
      </c>
      <c r="E1335" s="176" t="s">
        <v>428</v>
      </c>
      <c r="F1335" s="196">
        <v>0.02</v>
      </c>
      <c r="G1335" s="177">
        <f>IF(B1335="insumo",_xlfn.XLOOKUP($D1335,Insumos!$B$1:$B$764,Insumos!$D$1:$D$764),"")</f>
        <v>11.15</v>
      </c>
      <c r="H1335" s="177" cm="1">
        <f t="array" ref="H1335">_xlfn.IFS(B1335="Serviço",SUMIFS(H1336:$H$3085,C1336:$C$3085,$C1335),B1335="Insumo",F1335*G1335,B1335="Etapa","")</f>
        <v>0.223</v>
      </c>
      <c r="I1335" s="178"/>
    </row>
    <row r="1336" spans="1:9" outlineLevel="1" collapsed="1" x14ac:dyDescent="0.25">
      <c r="A1336" s="175">
        <f t="shared" si="42"/>
        <v>1</v>
      </c>
      <c r="B1336" s="175" t="s">
        <v>109</v>
      </c>
      <c r="C1336" s="175" t="str">
        <f t="shared" si="44"/>
        <v>Revestimento em paredes, 61x 61cm com Junta de 3mm</v>
      </c>
      <c r="D1336" s="175" t="s">
        <v>4241</v>
      </c>
      <c r="E1336" s="176" t="s">
        <v>13</v>
      </c>
      <c r="F1336" s="175"/>
      <c r="G1336" s="177" t="str">
        <f>IF(B1336="insumo",_xlfn.XLOOKUP($D1336,Insumos!$B$1:$B$764,Insumos!$D$1:$D$764),"")</f>
        <v/>
      </c>
      <c r="H1336" s="177" cm="1">
        <f t="array" ref="H1336">_xlfn.IFS(B1336="Serviço",SUMIFS(H1337:$H$3085,C1337:$C$3085,$C1336),B1336="Insumo",F1336*G1336,B1336="Etapa","")</f>
        <v>78.824000000000012</v>
      </c>
      <c r="I1336" s="178" t="s">
        <v>195</v>
      </c>
    </row>
    <row r="1337" spans="1:9" hidden="1" outlineLevel="2" x14ac:dyDescent="0.25">
      <c r="A1337" s="175">
        <f t="shared" si="42"/>
        <v>4</v>
      </c>
      <c r="B1337" s="175" t="s">
        <v>327</v>
      </c>
      <c r="C1337" s="175" t="str">
        <f t="shared" si="44"/>
        <v>Revestimento em paredes, 61x 61cm com Junta de 3mm</v>
      </c>
      <c r="D1337" s="175" t="s">
        <v>2855</v>
      </c>
      <c r="E1337" s="176" t="s">
        <v>13</v>
      </c>
      <c r="F1337" s="196">
        <v>1.1000000000000001</v>
      </c>
      <c r="G1337" s="177">
        <f>IF(B1337="insumo",_xlfn.XLOOKUP($D1337,Insumos!$B$1:$B$764,Insumos!$D$1:$D$764),"")</f>
        <v>63.59</v>
      </c>
      <c r="H1337" s="177" cm="1">
        <f t="array" ref="H1337">_xlfn.IFS(B1337="Serviço",SUMIFS(H1338:$H$3085,C1338:$C$3085,$C1337),B1337="Insumo",F1337*G1337,B1337="Etapa","")</f>
        <v>69.949000000000012</v>
      </c>
      <c r="I1337" s="178"/>
    </row>
    <row r="1338" spans="1:9" hidden="1" outlineLevel="2" x14ac:dyDescent="0.25">
      <c r="A1338" s="175">
        <f t="shared" si="42"/>
        <v>11</v>
      </c>
      <c r="B1338" s="175" t="s">
        <v>327</v>
      </c>
      <c r="C1338" s="175" t="str">
        <f t="shared" si="44"/>
        <v>Revestimento em paredes, 61x 61cm com Junta de 3mm</v>
      </c>
      <c r="D1338" s="175" t="s">
        <v>780</v>
      </c>
      <c r="E1338" s="176" t="s">
        <v>428</v>
      </c>
      <c r="F1338" s="196">
        <v>8.8000000000000007</v>
      </c>
      <c r="G1338" s="177">
        <f>IF(B1338="insumo",_xlfn.XLOOKUP($D1338,Insumos!$B$1:$B$764,Insumos!$D$1:$D$764),"")</f>
        <v>0.97750000000000004</v>
      </c>
      <c r="H1338" s="177" cm="1">
        <f t="array" ref="H1338">_xlfn.IFS(B1338="Serviço",SUMIFS(H1339:$H$3085,C1339:$C$3085,$C1338),B1338="Insumo",F1338*G1338,B1338="Etapa","")</f>
        <v>8.6020000000000003</v>
      </c>
      <c r="I1338" s="178"/>
    </row>
    <row r="1339" spans="1:9" hidden="1" outlineLevel="2" x14ac:dyDescent="0.25">
      <c r="A1339" s="175">
        <f t="shared" si="42"/>
        <v>13</v>
      </c>
      <c r="B1339" s="175" t="s">
        <v>327</v>
      </c>
      <c r="C1339" s="175" t="str">
        <f t="shared" si="44"/>
        <v>Revestimento em paredes, 61x 61cm com Junta de 3mm</v>
      </c>
      <c r="D1339" s="175" t="s">
        <v>680</v>
      </c>
      <c r="E1339" s="176" t="s">
        <v>131</v>
      </c>
      <c r="F1339" s="196">
        <v>1</v>
      </c>
      <c r="G1339" s="177">
        <f>IF(B1339="insumo",_xlfn.XLOOKUP($D1339,Insumos!$B$1:$B$764,Insumos!$D$1:$D$764),"")</f>
        <v>0.05</v>
      </c>
      <c r="H1339" s="177" cm="1">
        <f t="array" ref="H1339">_xlfn.IFS(B1339="Serviço",SUMIFS(H1340:$H$3085,C1340:$C$3085,$C1339),B1339="Insumo",F1339*G1339,B1339="Etapa","")</f>
        <v>0.05</v>
      </c>
      <c r="I1339" s="178"/>
    </row>
    <row r="1340" spans="1:9" hidden="1" outlineLevel="2" x14ac:dyDescent="0.25">
      <c r="A1340" s="175">
        <f t="shared" si="42"/>
        <v>71</v>
      </c>
      <c r="B1340" s="175" t="s">
        <v>327</v>
      </c>
      <c r="C1340" s="175" t="str">
        <f t="shared" si="44"/>
        <v>Revestimento em paredes, 61x 61cm com Junta de 3mm</v>
      </c>
      <c r="D1340" s="175" t="s">
        <v>675</v>
      </c>
      <c r="E1340" s="176" t="s">
        <v>428</v>
      </c>
      <c r="F1340" s="196">
        <v>0.02</v>
      </c>
      <c r="G1340" s="177">
        <f>IF(B1340="insumo",_xlfn.XLOOKUP($D1340,Insumos!$B$1:$B$764,Insumos!$D$1:$D$764),"")</f>
        <v>11.15</v>
      </c>
      <c r="H1340" s="177" cm="1">
        <f t="array" ref="H1340">_xlfn.IFS(B1340="Serviço",SUMIFS(H1341:$H$3085,C1341:$C$3085,$C1340),B1340="Insumo",F1340*G1340,B1340="Etapa","")</f>
        <v>0.223</v>
      </c>
      <c r="I1340" s="178"/>
    </row>
    <row r="1341" spans="1:9" outlineLevel="1" collapsed="1" x14ac:dyDescent="0.25">
      <c r="A1341" s="175">
        <f t="shared" si="42"/>
        <v>1</v>
      </c>
      <c r="B1341" s="175" t="s">
        <v>109</v>
      </c>
      <c r="C1341" s="175" t="str">
        <f t="shared" si="44"/>
        <v>Revestimento de parede em porcelanato, placa 30x90cm</v>
      </c>
      <c r="D1341" s="175" t="s">
        <v>676</v>
      </c>
      <c r="E1341" s="176" t="s">
        <v>13</v>
      </c>
      <c r="F1341" s="175"/>
      <c r="G1341" s="177" t="str">
        <f>IF(B1341="insumo",_xlfn.XLOOKUP($D1341,Insumos!$B$1:$B$764,Insumos!$D$1:$D$764),"")</f>
        <v/>
      </c>
      <c r="H1341" s="177" cm="1">
        <f t="array" ref="H1341">_xlfn.IFS(B1341="Serviço",SUMIFS(H1342:$H$3085,C1342:$C$3085,$C1341),B1341="Insumo",F1341*G1341,B1341="Etapa","")</f>
        <v>106.203</v>
      </c>
      <c r="I1341" s="178" t="s">
        <v>195</v>
      </c>
    </row>
    <row r="1342" spans="1:9" hidden="1" outlineLevel="2" x14ac:dyDescent="0.25">
      <c r="A1342" s="175">
        <f t="shared" si="42"/>
        <v>2</v>
      </c>
      <c r="B1342" s="175" t="s">
        <v>327</v>
      </c>
      <c r="C1342" s="175" t="str">
        <f t="shared" si="44"/>
        <v>Revestimento de parede em porcelanato, placa 30x90cm</v>
      </c>
      <c r="D1342" s="175" t="s">
        <v>677</v>
      </c>
      <c r="E1342" s="176" t="str">
        <f>_xlfn.XLOOKUP(D1342,Insumos!$B$1:$B$764,Insumos!$C$1:$C$764)</f>
        <v>M2</v>
      </c>
      <c r="F1342" s="196">
        <v>1.1000000000000001</v>
      </c>
      <c r="G1342" s="177">
        <f>IF(B1342="insumo",_xlfn.XLOOKUP($D1342,Insumos!$B$1:$B$764,Insumos!$D$1:$D$764),"")</f>
        <v>75.8</v>
      </c>
      <c r="H1342" s="177" cm="1">
        <f t="array" ref="H1342">_xlfn.IFS(B1342="Serviço",SUMIFS(H1343:$H$3085,C1343:$C$3085,$C1342),B1342="Insumo",F1342*G1342,B1342="Etapa","")</f>
        <v>83.38000000000001</v>
      </c>
      <c r="I1342" s="178"/>
    </row>
    <row r="1343" spans="1:9" hidden="1" outlineLevel="2" x14ac:dyDescent="0.25">
      <c r="A1343" s="175">
        <f t="shared" si="42"/>
        <v>118</v>
      </c>
      <c r="B1343" s="175" t="s">
        <v>327</v>
      </c>
      <c r="C1343" s="175" t="str">
        <f t="shared" si="44"/>
        <v>Revestimento de parede em porcelanato, placa 30x90cm</v>
      </c>
      <c r="D1343" s="175" t="s">
        <v>654</v>
      </c>
      <c r="E1343" s="176" t="str">
        <f>_xlfn.XLOOKUP(D1343,Insumos!$B$1:$B$764,Insumos!$C$1:$C$764)</f>
        <v>KG</v>
      </c>
      <c r="F1343" s="196">
        <v>8.8000000000000007</v>
      </c>
      <c r="G1343" s="177">
        <f>IF(B1343="insumo",_xlfn.XLOOKUP($D1343,Insumos!$B$1:$B$764,Insumos!$D$1:$D$764),"")</f>
        <v>2.5499999999999998</v>
      </c>
      <c r="H1343" s="177" cm="1">
        <f t="array" ref="H1343">_xlfn.IFS(B1343="Serviço",SUMIFS(H1344:$H$3085,C1344:$C$3085,$C1343),B1343="Insumo",F1343*G1343,B1343="Etapa","")</f>
        <v>22.44</v>
      </c>
      <c r="I1343" s="178"/>
    </row>
    <row r="1344" spans="1:9" hidden="1" outlineLevel="2" x14ac:dyDescent="0.25">
      <c r="A1344" s="175">
        <f t="shared" si="42"/>
        <v>78</v>
      </c>
      <c r="B1344" s="175" t="s">
        <v>327</v>
      </c>
      <c r="C1344" s="175" t="str">
        <f t="shared" si="44"/>
        <v>Revestimento de parede em porcelanato, placa 30x90cm</v>
      </c>
      <c r="D1344" s="175" t="s">
        <v>674</v>
      </c>
      <c r="E1344" s="176" t="str">
        <f>_xlfn.XLOOKUP(D1344,Insumos!$B$1:$B$764,Insumos!$C$1:$C$764)</f>
        <v>UN</v>
      </c>
      <c r="F1344" s="196">
        <v>2</v>
      </c>
      <c r="G1344" s="177">
        <f>IF(B1344="insumo",_xlfn.XLOOKUP($D1344,Insumos!$B$1:$B$764,Insumos!$D$1:$D$764),"")</f>
        <v>0.08</v>
      </c>
      <c r="H1344" s="177" cm="1">
        <f t="array" ref="H1344">_xlfn.IFS(B1344="Serviço",SUMIFS(H1345:$H$3085,C1345:$C$3085,$C1344),B1344="Insumo",F1344*G1344,B1344="Etapa","")</f>
        <v>0.16</v>
      </c>
      <c r="I1344" s="178"/>
    </row>
    <row r="1345" spans="1:9" hidden="1" outlineLevel="2" x14ac:dyDescent="0.25">
      <c r="A1345" s="175">
        <f t="shared" si="42"/>
        <v>71</v>
      </c>
      <c r="B1345" s="175" t="s">
        <v>327</v>
      </c>
      <c r="C1345" s="175" t="str">
        <f t="shared" si="44"/>
        <v>Revestimento de parede em porcelanato, placa 30x90cm</v>
      </c>
      <c r="D1345" s="175" t="s">
        <v>675</v>
      </c>
      <c r="E1345" s="176" t="str">
        <f>_xlfn.XLOOKUP(D1345,Insumos!$B$1:$B$764,Insumos!$C$1:$C$764)</f>
        <v>KG</v>
      </c>
      <c r="F1345" s="196">
        <v>0.02</v>
      </c>
      <c r="G1345" s="177">
        <f>IF(B1345="insumo",_xlfn.XLOOKUP($D1345,Insumos!$B$1:$B$764,Insumos!$D$1:$D$764),"")</f>
        <v>11.15</v>
      </c>
      <c r="H1345" s="177" cm="1">
        <f t="array" ref="H1345">_xlfn.IFS(B1345="Serviço",SUMIFS(H1346:$H$3085,C1346:$C$3085,$C1345),B1345="Insumo",F1345*G1345,B1345="Etapa","")</f>
        <v>0.223</v>
      </c>
      <c r="I1345" s="178"/>
    </row>
    <row r="1346" spans="1:9" outlineLevel="1" collapsed="1" x14ac:dyDescent="0.25">
      <c r="A1346" s="175">
        <f t="shared" ref="A1346:A1409" si="45">COUNTIFS($D$2:$D$3085,D1346,$B$2:$B$3085,B1346)</f>
        <v>1</v>
      </c>
      <c r="B1346" s="175" t="s">
        <v>109</v>
      </c>
      <c r="C1346" s="175" t="str">
        <f t="shared" si="44"/>
        <v>Revestimento de parede em porcelanato, placa 30x60cm</v>
      </c>
      <c r="D1346" s="175" t="s">
        <v>678</v>
      </c>
      <c r="E1346" s="176" t="s">
        <v>13</v>
      </c>
      <c r="F1346" s="175"/>
      <c r="G1346" s="177" t="str">
        <f>IF(B1346="insumo",_xlfn.XLOOKUP($D1346,Insumos!$B$1:$B$764,Insumos!$D$1:$D$764),"")</f>
        <v/>
      </c>
      <c r="H1346" s="177" cm="1">
        <f t="array" ref="H1346">_xlfn.IFS(B1346="Serviço",SUMIFS(H1347:$H$3085,C1347:$C$3085,$C1346),B1346="Insumo",F1346*G1346,B1346="Etapa","")</f>
        <v>106.203</v>
      </c>
      <c r="I1346" s="178" t="s">
        <v>195</v>
      </c>
    </row>
    <row r="1347" spans="1:9" hidden="1" outlineLevel="2" x14ac:dyDescent="0.25">
      <c r="A1347" s="175">
        <f t="shared" si="45"/>
        <v>2</v>
      </c>
      <c r="B1347" s="175" t="s">
        <v>327</v>
      </c>
      <c r="C1347" s="175" t="str">
        <f t="shared" si="44"/>
        <v>Revestimento de parede em porcelanato, placa 30x60cm</v>
      </c>
      <c r="D1347" s="175" t="s">
        <v>677</v>
      </c>
      <c r="E1347" s="176" t="str">
        <f>_xlfn.XLOOKUP(D1347,Insumos!$B$1:$B$764,Insumos!$C$1:$C$764)</f>
        <v>M2</v>
      </c>
      <c r="F1347" s="196">
        <v>1.1000000000000001</v>
      </c>
      <c r="G1347" s="177">
        <f>IF(B1347="insumo",_xlfn.XLOOKUP($D1347,Insumos!$B$1:$B$764,Insumos!$D$1:$D$764),"")</f>
        <v>75.8</v>
      </c>
      <c r="H1347" s="177" cm="1">
        <f t="array" ref="H1347">_xlfn.IFS(B1347="Serviço",SUMIFS(H1348:$H$3085,C1348:$C$3085,$C1347),B1347="Insumo",F1347*G1347,B1347="Etapa","")</f>
        <v>83.38000000000001</v>
      </c>
      <c r="I1347" s="178"/>
    </row>
    <row r="1348" spans="1:9" hidden="1" outlineLevel="2" x14ac:dyDescent="0.25">
      <c r="A1348" s="175">
        <f t="shared" si="45"/>
        <v>118</v>
      </c>
      <c r="B1348" s="175" t="s">
        <v>327</v>
      </c>
      <c r="C1348" s="175" t="str">
        <f t="shared" si="44"/>
        <v>Revestimento de parede em porcelanato, placa 30x60cm</v>
      </c>
      <c r="D1348" s="175" t="s">
        <v>654</v>
      </c>
      <c r="E1348" s="176" t="str">
        <f>_xlfn.XLOOKUP(D1348,Insumos!$B$1:$B$764,Insumos!$C$1:$C$764)</f>
        <v>KG</v>
      </c>
      <c r="F1348" s="196">
        <v>8.8000000000000007</v>
      </c>
      <c r="G1348" s="177">
        <f>IF(B1348="insumo",_xlfn.XLOOKUP($D1348,Insumos!$B$1:$B$764,Insumos!$D$1:$D$764),"")</f>
        <v>2.5499999999999998</v>
      </c>
      <c r="H1348" s="177" cm="1">
        <f t="array" ref="H1348">_xlfn.IFS(B1348="Serviço",SUMIFS(H1349:$H$3085,C1349:$C$3085,$C1348),B1348="Insumo",F1348*G1348,B1348="Etapa","")</f>
        <v>22.44</v>
      </c>
      <c r="I1348" s="178"/>
    </row>
    <row r="1349" spans="1:9" hidden="1" outlineLevel="2" x14ac:dyDescent="0.25">
      <c r="A1349" s="175">
        <f t="shared" si="45"/>
        <v>78</v>
      </c>
      <c r="B1349" s="175" t="s">
        <v>327</v>
      </c>
      <c r="C1349" s="175" t="str">
        <f t="shared" si="44"/>
        <v>Revestimento de parede em porcelanato, placa 30x60cm</v>
      </c>
      <c r="D1349" s="175" t="s">
        <v>674</v>
      </c>
      <c r="E1349" s="176" t="str">
        <f>_xlfn.XLOOKUP(D1349,Insumos!$B$1:$B$764,Insumos!$C$1:$C$764)</f>
        <v>UN</v>
      </c>
      <c r="F1349" s="196">
        <v>2</v>
      </c>
      <c r="G1349" s="177">
        <f>IF(B1349="insumo",_xlfn.XLOOKUP($D1349,Insumos!$B$1:$B$764,Insumos!$D$1:$D$764),"")</f>
        <v>0.08</v>
      </c>
      <c r="H1349" s="177" cm="1">
        <f t="array" ref="H1349">_xlfn.IFS(B1349="Serviço",SUMIFS(H1350:$H$3085,C1350:$C$3085,$C1349),B1349="Insumo",F1349*G1349,B1349="Etapa","")</f>
        <v>0.16</v>
      </c>
      <c r="I1349" s="178"/>
    </row>
    <row r="1350" spans="1:9" hidden="1" outlineLevel="2" x14ac:dyDescent="0.25">
      <c r="A1350" s="175">
        <f t="shared" si="45"/>
        <v>71</v>
      </c>
      <c r="B1350" s="175" t="s">
        <v>327</v>
      </c>
      <c r="C1350" s="175" t="str">
        <f t="shared" si="44"/>
        <v>Revestimento de parede em porcelanato, placa 30x60cm</v>
      </c>
      <c r="D1350" s="175" t="s">
        <v>675</v>
      </c>
      <c r="E1350" s="176" t="str">
        <f>_xlfn.XLOOKUP(D1350,Insumos!$B$1:$B$764,Insumos!$C$1:$C$764)</f>
        <v>KG</v>
      </c>
      <c r="F1350" s="196">
        <v>0.02</v>
      </c>
      <c r="G1350" s="177">
        <f>IF(B1350="insumo",_xlfn.XLOOKUP($D1350,Insumos!$B$1:$B$764,Insumos!$D$1:$D$764),"")</f>
        <v>11.15</v>
      </c>
      <c r="H1350" s="177" cm="1">
        <f t="array" ref="H1350">_xlfn.IFS(B1350="Serviço",SUMIFS(H1351:$H$3085,C1351:$C$3085,$C1350),B1350="Insumo",F1350*G1350,B1350="Etapa","")</f>
        <v>0.223</v>
      </c>
      <c r="I1350" s="178"/>
    </row>
    <row r="1351" spans="1:9" outlineLevel="1" collapsed="1" x14ac:dyDescent="0.25">
      <c r="A1351" s="175">
        <f t="shared" si="45"/>
        <v>1</v>
      </c>
      <c r="B1351" s="175" t="s">
        <v>109</v>
      </c>
      <c r="C1351" s="175" t="str">
        <f t="shared" si="44"/>
        <v>Revestimento em Parede de Azulejo JK Solid | Estúdio Mosaico</v>
      </c>
      <c r="D1351" s="175" t="s">
        <v>6925</v>
      </c>
      <c r="E1351" s="176" t="s">
        <v>13</v>
      </c>
      <c r="F1351" s="175"/>
      <c r="G1351" s="177" t="str">
        <f>IF(B1351="insumo",_xlfn.XLOOKUP($D1351,Insumos!$B$1:$B$764,Insumos!$D$1:$D$764),"")</f>
        <v/>
      </c>
      <c r="H1351" s="177" cm="1">
        <f t="array" ref="H1351">_xlfn.IFS(B1351="Serviço",SUMIFS(H1352:$H$3085,C1352:$C$3085,$C1351),B1351="Insumo",F1351*G1351,B1351="Etapa","")</f>
        <v>708.13250000000005</v>
      </c>
      <c r="I1351" s="178" t="s">
        <v>195</v>
      </c>
    </row>
    <row r="1352" spans="1:9" hidden="1" outlineLevel="2" x14ac:dyDescent="0.25">
      <c r="A1352" s="175">
        <f t="shared" si="45"/>
        <v>1</v>
      </c>
      <c r="B1352" s="175" t="s">
        <v>327</v>
      </c>
      <c r="C1352" s="175" t="str">
        <f t="shared" si="44"/>
        <v>Revestimento em Parede de Azulejo JK Solid | Estúdio Mosaico</v>
      </c>
      <c r="D1352" s="175" t="s">
        <v>6925</v>
      </c>
      <c r="E1352" s="176" t="str">
        <f>_xlfn.XLOOKUP(D1352,Insumos!$B$1:$B$764,Insumos!$C$1:$C$764)</f>
        <v>M2</v>
      </c>
      <c r="F1352" s="196">
        <v>1.1000000000000001</v>
      </c>
      <c r="G1352" s="177">
        <f>IF(B1352="insumo",_xlfn.XLOOKUP($D1352,Insumos!$B$1:$B$764,Insumos!$D$1:$D$764),"")</f>
        <v>630</v>
      </c>
      <c r="H1352" s="177" cm="1">
        <f t="array" ref="H1352">_xlfn.IFS(B1352="Serviço",SUMIFS(H1353:$H$3085,C1353:$C$3085,$C1352),B1352="Insumo",F1352*G1352,B1352="Etapa","")</f>
        <v>693</v>
      </c>
      <c r="I1352" s="178"/>
    </row>
    <row r="1353" spans="1:9" hidden="1" outlineLevel="2" x14ac:dyDescent="0.25">
      <c r="A1353" s="175">
        <f t="shared" si="45"/>
        <v>118</v>
      </c>
      <c r="B1353" s="175" t="s">
        <v>327</v>
      </c>
      <c r="C1353" s="175" t="str">
        <f t="shared" si="44"/>
        <v>Revestimento em Parede de Azulejo JK Solid | Estúdio Mosaico</v>
      </c>
      <c r="D1353" s="175" t="s">
        <v>654</v>
      </c>
      <c r="E1353" s="176" t="str">
        <f>_xlfn.XLOOKUP(D1353,Insumos!$B$1:$B$764,Insumos!$C$1:$C$764)</f>
        <v>KG</v>
      </c>
      <c r="F1353" s="196">
        <v>4.95</v>
      </c>
      <c r="G1353" s="177">
        <f>IF(B1353="insumo",_xlfn.XLOOKUP($D1353,Insumos!$B$1:$B$764,Insumos!$D$1:$D$764),"")</f>
        <v>2.5499999999999998</v>
      </c>
      <c r="H1353" s="177" cm="1">
        <f t="array" ref="H1353">_xlfn.IFS(B1353="Serviço",SUMIFS(H1354:$H$3085,C1354:$C$3085,$C1353),B1353="Insumo",F1353*G1353,B1353="Etapa","")</f>
        <v>12.622499999999999</v>
      </c>
      <c r="I1353" s="178"/>
    </row>
    <row r="1354" spans="1:9" hidden="1" outlineLevel="2" x14ac:dyDescent="0.25">
      <c r="A1354" s="175">
        <f t="shared" si="45"/>
        <v>78</v>
      </c>
      <c r="B1354" s="175" t="s">
        <v>327</v>
      </c>
      <c r="C1354" s="175" t="str">
        <f t="shared" si="44"/>
        <v>Revestimento em Parede de Azulejo JK Solid | Estúdio Mosaico</v>
      </c>
      <c r="D1354" s="175" t="s">
        <v>674</v>
      </c>
      <c r="E1354" s="176" t="str">
        <f>_xlfn.XLOOKUP(D1354,Insumos!$B$1:$B$764,Insumos!$C$1:$C$764)</f>
        <v>UN</v>
      </c>
      <c r="F1354" s="196">
        <v>4</v>
      </c>
      <c r="G1354" s="177">
        <f>IF(B1354="insumo",_xlfn.XLOOKUP($D1354,Insumos!$B$1:$B$764,Insumos!$D$1:$D$764),"")</f>
        <v>0.08</v>
      </c>
      <c r="H1354" s="177" cm="1">
        <f t="array" ref="H1354">_xlfn.IFS(B1354="Serviço",SUMIFS(H1355:$H$3085,C1355:$C$3085,$C1354),B1354="Insumo",F1354*G1354,B1354="Etapa","")</f>
        <v>0.32</v>
      </c>
      <c r="I1354" s="178"/>
    </row>
    <row r="1355" spans="1:9" hidden="1" outlineLevel="2" x14ac:dyDescent="0.25">
      <c r="A1355" s="175">
        <f t="shared" si="45"/>
        <v>19</v>
      </c>
      <c r="B1355" s="175" t="s">
        <v>327</v>
      </c>
      <c r="C1355" s="175" t="str">
        <f t="shared" si="44"/>
        <v>Revestimento em Parede de Azulejo JK Solid | Estúdio Mosaico</v>
      </c>
      <c r="D1355" s="175" t="s">
        <v>1962</v>
      </c>
      <c r="E1355" s="176" t="str">
        <f>_xlfn.XLOOKUP(D1355,Insumos!$B$1:$B$764,Insumos!$C$1:$C$764)</f>
        <v>KG</v>
      </c>
      <c r="F1355" s="196">
        <v>0.05</v>
      </c>
      <c r="G1355" s="177">
        <f>IF(B1355="insumo",_xlfn.XLOOKUP($D1355,Insumos!$B$1:$B$764,Insumos!$D$1:$D$764),"")</f>
        <v>43.8</v>
      </c>
      <c r="H1355" s="177" cm="1">
        <f t="array" ref="H1355">_xlfn.IFS(B1355="Serviço",SUMIFS(H1356:$H$3085,C1356:$C$3085,$C1355),B1355="Insumo",F1355*G1355,B1355="Etapa","")</f>
        <v>2.19</v>
      </c>
      <c r="I1355" s="178"/>
    </row>
    <row r="1356" spans="1:9" outlineLevel="1" collapsed="1" x14ac:dyDescent="0.25">
      <c r="A1356" s="175">
        <f t="shared" si="45"/>
        <v>1</v>
      </c>
      <c r="B1356" s="175" t="s">
        <v>109</v>
      </c>
      <c r="C1356" s="175" t="str">
        <f t="shared" si="44"/>
        <v>Revestimento em Parede de porcelanato hexagonal branco</v>
      </c>
      <c r="D1356" s="175" t="s">
        <v>6924</v>
      </c>
      <c r="E1356" s="176" t="s">
        <v>13</v>
      </c>
      <c r="F1356" s="175"/>
      <c r="G1356" s="177" t="str">
        <f>IF(B1356="insumo",_xlfn.XLOOKUP($D1356,Insumos!$B$1:$B$764,Insumos!$D$1:$D$764),"")</f>
        <v/>
      </c>
      <c r="H1356" s="177" cm="1">
        <f t="array" ref="H1356">_xlfn.IFS(B1356="Serviço",SUMIFS(H1357:$H$3085,C1357:$C$3085,$C1356),B1356="Insumo",F1356*G1356,B1356="Etapa","")</f>
        <v>247.23250000000002</v>
      </c>
      <c r="I1356" s="178" t="s">
        <v>195</v>
      </c>
    </row>
    <row r="1357" spans="1:9" hidden="1" outlineLevel="2" x14ac:dyDescent="0.25">
      <c r="A1357" s="175">
        <f t="shared" si="45"/>
        <v>2</v>
      </c>
      <c r="B1357" s="175" t="s">
        <v>327</v>
      </c>
      <c r="C1357" s="175" t="str">
        <f t="shared" si="44"/>
        <v>Revestimento em Parede de porcelanato hexagonal branco</v>
      </c>
      <c r="D1357" s="175" t="s">
        <v>6865</v>
      </c>
      <c r="E1357" s="176" t="str">
        <f>_xlfn.XLOOKUP(D1357,Insumos!$B$1:$B$764,Insumos!$C$1:$C$764)</f>
        <v>M2</v>
      </c>
      <c r="F1357" s="196">
        <v>1.1000000000000001</v>
      </c>
      <c r="G1357" s="177">
        <f>IF(B1357="insumo",_xlfn.XLOOKUP($D1357,Insumos!$B$1:$B$764,Insumos!$D$1:$D$764),"")</f>
        <v>211</v>
      </c>
      <c r="H1357" s="177" cm="1">
        <f t="array" ref="H1357">_xlfn.IFS(B1357="Serviço",SUMIFS(H1358:$H$3085,C1358:$C$3085,$C1357),B1357="Insumo",F1357*G1357,B1357="Etapa","")</f>
        <v>232.10000000000002</v>
      </c>
      <c r="I1357" s="178"/>
    </row>
    <row r="1358" spans="1:9" hidden="1" outlineLevel="2" x14ac:dyDescent="0.25">
      <c r="A1358" s="175">
        <f t="shared" si="45"/>
        <v>118</v>
      </c>
      <c r="B1358" s="175" t="s">
        <v>327</v>
      </c>
      <c r="C1358" s="175" t="str">
        <f t="shared" si="44"/>
        <v>Revestimento em Parede de porcelanato hexagonal branco</v>
      </c>
      <c r="D1358" s="175" t="s">
        <v>654</v>
      </c>
      <c r="E1358" s="176" t="str">
        <f>_xlfn.XLOOKUP(D1358,Insumos!$B$1:$B$764,Insumos!$C$1:$C$764)</f>
        <v>KG</v>
      </c>
      <c r="F1358" s="196">
        <v>4.95</v>
      </c>
      <c r="G1358" s="177">
        <f>IF(B1358="insumo",_xlfn.XLOOKUP($D1358,Insumos!$B$1:$B$764,Insumos!$D$1:$D$764),"")</f>
        <v>2.5499999999999998</v>
      </c>
      <c r="H1358" s="177" cm="1">
        <f t="array" ref="H1358">_xlfn.IFS(B1358="Serviço",SUMIFS(H1359:$H$3085,C1359:$C$3085,$C1358),B1358="Insumo",F1358*G1358,B1358="Etapa","")</f>
        <v>12.622499999999999</v>
      </c>
      <c r="I1358" s="178"/>
    </row>
    <row r="1359" spans="1:9" hidden="1" outlineLevel="2" x14ac:dyDescent="0.25">
      <c r="A1359" s="175">
        <f t="shared" si="45"/>
        <v>78</v>
      </c>
      <c r="B1359" s="175" t="s">
        <v>327</v>
      </c>
      <c r="C1359" s="175" t="str">
        <f t="shared" si="44"/>
        <v>Revestimento em Parede de porcelanato hexagonal branco</v>
      </c>
      <c r="D1359" s="175" t="s">
        <v>674</v>
      </c>
      <c r="E1359" s="176" t="str">
        <f>_xlfn.XLOOKUP(D1359,Insumos!$B$1:$B$764,Insumos!$C$1:$C$764)</f>
        <v>UN</v>
      </c>
      <c r="F1359" s="196">
        <v>4</v>
      </c>
      <c r="G1359" s="177">
        <f>IF(B1359="insumo",_xlfn.XLOOKUP($D1359,Insumos!$B$1:$B$764,Insumos!$D$1:$D$764),"")</f>
        <v>0.08</v>
      </c>
      <c r="H1359" s="177" cm="1">
        <f t="array" ref="H1359">_xlfn.IFS(B1359="Serviço",SUMIFS(H1360:$H$3085,C1360:$C$3085,$C1359),B1359="Insumo",F1359*G1359,B1359="Etapa","")</f>
        <v>0.32</v>
      </c>
      <c r="I1359" s="178"/>
    </row>
    <row r="1360" spans="1:9" hidden="1" outlineLevel="2" x14ac:dyDescent="0.25">
      <c r="A1360" s="175">
        <f t="shared" si="45"/>
        <v>19</v>
      </c>
      <c r="B1360" s="175" t="s">
        <v>327</v>
      </c>
      <c r="C1360" s="175" t="str">
        <f t="shared" si="44"/>
        <v>Revestimento em Parede de porcelanato hexagonal branco</v>
      </c>
      <c r="D1360" s="175" t="s">
        <v>1962</v>
      </c>
      <c r="E1360" s="176" t="str">
        <f>_xlfn.XLOOKUP(D1360,Insumos!$B$1:$B$764,Insumos!$C$1:$C$764)</f>
        <v>KG</v>
      </c>
      <c r="F1360" s="196">
        <v>0.05</v>
      </c>
      <c r="G1360" s="177">
        <f>IF(B1360="insumo",_xlfn.XLOOKUP($D1360,Insumos!$B$1:$B$764,Insumos!$D$1:$D$764),"")</f>
        <v>43.8</v>
      </c>
      <c r="H1360" s="177" cm="1">
        <f t="array" ref="H1360">_xlfn.IFS(B1360="Serviço",SUMIFS(H1361:$H$3085,C1361:$C$3085,$C1360),B1360="Insumo",F1360*G1360,B1360="Etapa","")</f>
        <v>2.19</v>
      </c>
      <c r="I1360" s="178"/>
    </row>
    <row r="1361" spans="1:9" outlineLevel="1" collapsed="1" x14ac:dyDescent="0.25">
      <c r="A1361" s="175">
        <f t="shared" si="45"/>
        <v>1</v>
      </c>
      <c r="B1361" s="175" t="s">
        <v>109</v>
      </c>
      <c r="C1361" s="175" t="str">
        <f t="shared" si="44"/>
        <v>Revestimento em Parede de porcelanato hexagonal azul</v>
      </c>
      <c r="D1361" s="175" t="s">
        <v>6864</v>
      </c>
      <c r="E1361" s="176" t="s">
        <v>13</v>
      </c>
      <c r="F1361" s="175"/>
      <c r="G1361" s="177" t="str">
        <f>IF(B1361="insumo",_xlfn.XLOOKUP($D1361,Insumos!$B$1:$B$764,Insumos!$D$1:$D$764),"")</f>
        <v/>
      </c>
      <c r="H1361" s="177" cm="1">
        <f t="array" ref="H1361">_xlfn.IFS(B1361="Serviço",SUMIFS(H1362:$H$3085,C1362:$C$3085,$C1361),B1361="Insumo",F1361*G1361,B1361="Etapa","")</f>
        <v>247.23250000000002</v>
      </c>
      <c r="I1361" s="178" t="s">
        <v>195</v>
      </c>
    </row>
    <row r="1362" spans="1:9" hidden="1" outlineLevel="2" x14ac:dyDescent="0.25">
      <c r="A1362" s="175">
        <f t="shared" si="45"/>
        <v>2</v>
      </c>
      <c r="B1362" s="175" t="s">
        <v>327</v>
      </c>
      <c r="C1362" s="175" t="str">
        <f t="shared" si="44"/>
        <v>Revestimento em Parede de porcelanato hexagonal azul</v>
      </c>
      <c r="D1362" s="175" t="s">
        <v>6865</v>
      </c>
      <c r="E1362" s="176" t="str">
        <f>_xlfn.XLOOKUP(D1362,Insumos!$B$1:$B$764,Insumos!$C$1:$C$764)</f>
        <v>M2</v>
      </c>
      <c r="F1362" s="196">
        <v>1.1000000000000001</v>
      </c>
      <c r="G1362" s="177">
        <f>IF(B1362="insumo",_xlfn.XLOOKUP($D1362,Insumos!$B$1:$B$764,Insumos!$D$1:$D$764),"")</f>
        <v>211</v>
      </c>
      <c r="H1362" s="177" cm="1">
        <f t="array" ref="H1362">_xlfn.IFS(B1362="Serviço",SUMIFS(H1363:$H$3085,C1363:$C$3085,$C1362),B1362="Insumo",F1362*G1362,B1362="Etapa","")</f>
        <v>232.10000000000002</v>
      </c>
      <c r="I1362" s="178"/>
    </row>
    <row r="1363" spans="1:9" hidden="1" outlineLevel="2" x14ac:dyDescent="0.25">
      <c r="A1363" s="175">
        <f t="shared" si="45"/>
        <v>118</v>
      </c>
      <c r="B1363" s="175" t="s">
        <v>327</v>
      </c>
      <c r="C1363" s="175" t="str">
        <f t="shared" si="44"/>
        <v>Revestimento em Parede de porcelanato hexagonal azul</v>
      </c>
      <c r="D1363" s="175" t="s">
        <v>654</v>
      </c>
      <c r="E1363" s="176" t="str">
        <f>_xlfn.XLOOKUP(D1363,Insumos!$B$1:$B$764,Insumos!$C$1:$C$764)</f>
        <v>KG</v>
      </c>
      <c r="F1363" s="196">
        <v>4.95</v>
      </c>
      <c r="G1363" s="177">
        <f>IF(B1363="insumo",_xlfn.XLOOKUP($D1363,Insumos!$B$1:$B$764,Insumos!$D$1:$D$764),"")</f>
        <v>2.5499999999999998</v>
      </c>
      <c r="H1363" s="177" cm="1">
        <f t="array" ref="H1363">_xlfn.IFS(B1363="Serviço",SUMIFS(H1364:$H$3085,C1364:$C$3085,$C1363),B1363="Insumo",F1363*G1363,B1363="Etapa","")</f>
        <v>12.622499999999999</v>
      </c>
      <c r="I1363" s="178"/>
    </row>
    <row r="1364" spans="1:9" hidden="1" outlineLevel="2" x14ac:dyDescent="0.25">
      <c r="A1364" s="175">
        <f t="shared" si="45"/>
        <v>78</v>
      </c>
      <c r="B1364" s="175" t="s">
        <v>327</v>
      </c>
      <c r="C1364" s="175" t="str">
        <f t="shared" si="44"/>
        <v>Revestimento em Parede de porcelanato hexagonal azul</v>
      </c>
      <c r="D1364" s="175" t="s">
        <v>674</v>
      </c>
      <c r="E1364" s="176" t="str">
        <f>_xlfn.XLOOKUP(D1364,Insumos!$B$1:$B$764,Insumos!$C$1:$C$764)</f>
        <v>UN</v>
      </c>
      <c r="F1364" s="196">
        <v>4</v>
      </c>
      <c r="G1364" s="177">
        <f>IF(B1364="insumo",_xlfn.XLOOKUP($D1364,Insumos!$B$1:$B$764,Insumos!$D$1:$D$764),"")</f>
        <v>0.08</v>
      </c>
      <c r="H1364" s="177" cm="1">
        <f t="array" ref="H1364">_xlfn.IFS(B1364="Serviço",SUMIFS(H1365:$H$3085,C1365:$C$3085,$C1364),B1364="Insumo",F1364*G1364,B1364="Etapa","")</f>
        <v>0.32</v>
      </c>
      <c r="I1364" s="178"/>
    </row>
    <row r="1365" spans="1:9" hidden="1" outlineLevel="2" x14ac:dyDescent="0.25">
      <c r="A1365" s="175">
        <f t="shared" si="45"/>
        <v>19</v>
      </c>
      <c r="B1365" s="175" t="s">
        <v>327</v>
      </c>
      <c r="C1365" s="175" t="str">
        <f t="shared" si="44"/>
        <v>Revestimento em Parede de porcelanato hexagonal azul</v>
      </c>
      <c r="D1365" s="175" t="s">
        <v>1962</v>
      </c>
      <c r="E1365" s="176" t="str">
        <f>_xlfn.XLOOKUP(D1365,Insumos!$B$1:$B$764,Insumos!$C$1:$C$764)</f>
        <v>KG</v>
      </c>
      <c r="F1365" s="196">
        <v>0.05</v>
      </c>
      <c r="G1365" s="177">
        <f>IF(B1365="insumo",_xlfn.XLOOKUP($D1365,Insumos!$B$1:$B$764,Insumos!$D$1:$D$764),"")</f>
        <v>43.8</v>
      </c>
      <c r="H1365" s="177" cm="1">
        <f t="array" ref="H1365">_xlfn.IFS(B1365="Serviço",SUMIFS(H1366:$H$3085,C1366:$C$3085,$C1365),B1365="Insumo",F1365*G1365,B1365="Etapa","")</f>
        <v>2.19</v>
      </c>
      <c r="I1365" s="178"/>
    </row>
    <row r="1366" spans="1:9" outlineLevel="1" collapsed="1" x14ac:dyDescent="0.25">
      <c r="A1366" s="175">
        <f t="shared" si="45"/>
        <v>1</v>
      </c>
      <c r="B1366" s="175" t="s">
        <v>109</v>
      </c>
      <c r="C1366" s="175" t="str">
        <f t="shared" si="44"/>
        <v>Revestimento de parede em porcelanato, Revestimento Realce 32X56 32001 Branco Brilhante</v>
      </c>
      <c r="D1366" s="175" t="s">
        <v>1250</v>
      </c>
      <c r="E1366" s="176" t="s">
        <v>13</v>
      </c>
      <c r="F1366" s="175"/>
      <c r="G1366" s="197" t="str">
        <f>IF(B1366="insumo",_xlfn.XLOOKUP($D1366,Insumos!$B$1:$B$764,Insumos!$D$1:$D$764),"")</f>
        <v/>
      </c>
      <c r="H1366" s="177" cm="1">
        <f t="array" ref="H1366">_xlfn.IFS(B1366="Serviço",SUMIFS(H1367:$H$3085,C1367:$C$3085,$C1366),B1366="Insumo",F1366*G1366,B1366="Etapa","")</f>
        <v>75.402999999999992</v>
      </c>
      <c r="I1366" s="178" t="s">
        <v>195</v>
      </c>
    </row>
    <row r="1367" spans="1:9" hidden="1" outlineLevel="2" x14ac:dyDescent="0.25">
      <c r="A1367" s="175">
        <f t="shared" si="45"/>
        <v>1</v>
      </c>
      <c r="B1367" s="175" t="s">
        <v>327</v>
      </c>
      <c r="C1367" s="175" t="str">
        <f t="shared" si="44"/>
        <v>Revestimento de parede em porcelanato, Revestimento Realce 32X56 32001 Branco Brilhante</v>
      </c>
      <c r="D1367" s="175" t="s">
        <v>1211</v>
      </c>
      <c r="E1367" s="176" t="str">
        <f>_xlfn.XLOOKUP(D1367,Insumos!$B$1:$B$764,Insumos!$C$1:$C$764)</f>
        <v>M2</v>
      </c>
      <c r="F1367" s="179">
        <v>1.1000000000000001</v>
      </c>
      <c r="G1367" s="197">
        <f>IF(B1367="insumo",_xlfn.XLOOKUP($D1367,Insumos!$B$1:$B$764,Insumos!$D$1:$D$764),"")</f>
        <v>47.8</v>
      </c>
      <c r="H1367" s="177" cm="1">
        <f t="array" ref="H1367">_xlfn.IFS(B1367="Serviço",SUMIFS(H1368:$H$3085,C1368:$C$3085,$C1367),B1367="Insumo",F1367*G1367,B1367="Etapa","")</f>
        <v>52.58</v>
      </c>
      <c r="I1367" s="178"/>
    </row>
    <row r="1368" spans="1:9" hidden="1" outlineLevel="2" x14ac:dyDescent="0.25">
      <c r="A1368" s="175">
        <f t="shared" si="45"/>
        <v>118</v>
      </c>
      <c r="B1368" s="175" t="s">
        <v>327</v>
      </c>
      <c r="C1368" s="175" t="str">
        <f t="shared" si="44"/>
        <v>Revestimento de parede em porcelanato, Revestimento Realce 32X56 32001 Branco Brilhante</v>
      </c>
      <c r="D1368" s="175" t="s">
        <v>654</v>
      </c>
      <c r="E1368" s="176" t="str">
        <f>_xlfn.XLOOKUP(D1368,Insumos!$B$1:$B$764,Insumos!$C$1:$C$764)</f>
        <v>KG</v>
      </c>
      <c r="F1368" s="179">
        <v>8.8000000000000007</v>
      </c>
      <c r="G1368" s="197">
        <f>IF(B1368="insumo",_xlfn.XLOOKUP($D1368,Insumos!$B$1:$B$764,Insumos!$D$1:$D$764),"")</f>
        <v>2.5499999999999998</v>
      </c>
      <c r="H1368" s="177" cm="1">
        <f t="array" ref="H1368">_xlfn.IFS(B1368="Serviço",SUMIFS(H1369:$H$3085,C1369:$C$3085,$C1368),B1368="Insumo",F1368*G1368,B1368="Etapa","")</f>
        <v>22.44</v>
      </c>
      <c r="I1368" s="178"/>
    </row>
    <row r="1369" spans="1:9" hidden="1" outlineLevel="2" x14ac:dyDescent="0.25">
      <c r="A1369" s="175">
        <f t="shared" si="45"/>
        <v>78</v>
      </c>
      <c r="B1369" s="175" t="s">
        <v>327</v>
      </c>
      <c r="C1369" s="175" t="str">
        <f t="shared" si="44"/>
        <v>Revestimento de parede em porcelanato, Revestimento Realce 32X56 32001 Branco Brilhante</v>
      </c>
      <c r="D1369" s="175" t="s">
        <v>674</v>
      </c>
      <c r="E1369" s="176" t="str">
        <f>_xlfn.XLOOKUP(D1369,Insumos!$B$1:$B$764,Insumos!$C$1:$C$764)</f>
        <v>UN</v>
      </c>
      <c r="F1369" s="179">
        <v>2</v>
      </c>
      <c r="G1369" s="197">
        <f>IF(B1369="insumo",_xlfn.XLOOKUP($D1369,Insumos!$B$1:$B$764,Insumos!$D$1:$D$764),"")</f>
        <v>0.08</v>
      </c>
      <c r="H1369" s="177" cm="1">
        <f t="array" ref="H1369">_xlfn.IFS(B1369="Serviço",SUMIFS(H1370:$H$3085,C1370:$C$3085,$C1369),B1369="Insumo",F1369*G1369,B1369="Etapa","")</f>
        <v>0.16</v>
      </c>
      <c r="I1369" s="178"/>
    </row>
    <row r="1370" spans="1:9" hidden="1" outlineLevel="2" x14ac:dyDescent="0.25">
      <c r="A1370" s="175">
        <f t="shared" si="45"/>
        <v>71</v>
      </c>
      <c r="B1370" s="175" t="s">
        <v>327</v>
      </c>
      <c r="C1370" s="175" t="str">
        <f t="shared" si="44"/>
        <v>Revestimento de parede em porcelanato, Revestimento Realce 32X56 32001 Branco Brilhante</v>
      </c>
      <c r="D1370" s="175" t="s">
        <v>675</v>
      </c>
      <c r="E1370" s="176" t="str">
        <f>_xlfn.XLOOKUP(D1370,Insumos!$B$1:$B$764,Insumos!$C$1:$C$764)</f>
        <v>KG</v>
      </c>
      <c r="F1370" s="179">
        <v>0.02</v>
      </c>
      <c r="G1370" s="197">
        <f>IF(B1370="insumo",_xlfn.XLOOKUP($D1370,Insumos!$B$1:$B$764,Insumos!$D$1:$D$764),"")</f>
        <v>11.15</v>
      </c>
      <c r="H1370" s="177" cm="1">
        <f t="array" ref="H1370">_xlfn.IFS(B1370="Serviço",SUMIFS(H1371:$H$3085,C1371:$C$3085,$C1370),B1370="Insumo",F1370*G1370,B1370="Etapa","")</f>
        <v>0.223</v>
      </c>
      <c r="I1370" s="178"/>
    </row>
    <row r="1371" spans="1:9" outlineLevel="1" collapsed="1" x14ac:dyDescent="0.25">
      <c r="A1371" s="175">
        <f t="shared" si="45"/>
        <v>1</v>
      </c>
      <c r="B1371" s="175" t="s">
        <v>109</v>
      </c>
      <c r="C1371" s="175" t="str">
        <f t="shared" si="44"/>
        <v>Revestimento de parede em Porcelanato Biancogres Ripa Sense 45x90 Acetinado</v>
      </c>
      <c r="D1371" s="175" t="s">
        <v>1251</v>
      </c>
      <c r="E1371" s="176" t="s">
        <v>13</v>
      </c>
      <c r="F1371" s="175"/>
      <c r="G1371" s="197" t="str">
        <f>IF(B1371="insumo",_xlfn.XLOOKUP($D1371,Insumos!$B$1:$B$764,Insumos!$D$1:$D$764),"")</f>
        <v/>
      </c>
      <c r="H1371" s="177" cm="1">
        <f t="array" ref="H1371">_xlfn.IFS(B1371="Serviço",SUMIFS(H1372:$H$3085,C1372:$C$3085,$C1371),B1371="Insumo",F1371*G1371,B1371="Etapa","")</f>
        <v>117.313</v>
      </c>
      <c r="I1371" s="178" t="s">
        <v>195</v>
      </c>
    </row>
    <row r="1372" spans="1:9" hidden="1" outlineLevel="2" x14ac:dyDescent="0.25">
      <c r="A1372" s="175">
        <f t="shared" si="45"/>
        <v>1</v>
      </c>
      <c r="B1372" s="175" t="s">
        <v>327</v>
      </c>
      <c r="C1372" s="175" t="str">
        <f t="shared" si="44"/>
        <v>Revestimento de parede em Porcelanato Biancogres Ripa Sense 45x90 Acetinado</v>
      </c>
      <c r="D1372" s="175" t="s">
        <v>1209</v>
      </c>
      <c r="E1372" s="176" t="str">
        <f>_xlfn.XLOOKUP(D1372,Insumos!$B$1:$B$764,Insumos!$C$1:$C$764)</f>
        <v>M2</v>
      </c>
      <c r="F1372" s="179">
        <v>1.1000000000000001</v>
      </c>
      <c r="G1372" s="197">
        <f>IF(B1372="insumo",_xlfn.XLOOKUP($D1372,Insumos!$B$1:$B$764,Insumos!$D$1:$D$764),"")</f>
        <v>85.9</v>
      </c>
      <c r="H1372" s="177" cm="1">
        <f t="array" ref="H1372">_xlfn.IFS(B1372="Serviço",SUMIFS(H1373:$H$3085,C1373:$C$3085,$C1372),B1372="Insumo",F1372*G1372,B1372="Etapa","")</f>
        <v>94.490000000000009</v>
      </c>
      <c r="I1372" s="178"/>
    </row>
    <row r="1373" spans="1:9" hidden="1" outlineLevel="2" x14ac:dyDescent="0.25">
      <c r="A1373" s="175">
        <f t="shared" si="45"/>
        <v>118</v>
      </c>
      <c r="B1373" s="175" t="s">
        <v>327</v>
      </c>
      <c r="C1373" s="175" t="str">
        <f t="shared" si="44"/>
        <v>Revestimento de parede em Porcelanato Biancogres Ripa Sense 45x90 Acetinado</v>
      </c>
      <c r="D1373" s="175" t="s">
        <v>654</v>
      </c>
      <c r="E1373" s="176" t="str">
        <f>_xlfn.XLOOKUP(D1373,Insumos!$B$1:$B$764,Insumos!$C$1:$C$764)</f>
        <v>KG</v>
      </c>
      <c r="F1373" s="179">
        <v>8.8000000000000007</v>
      </c>
      <c r="G1373" s="197">
        <f>IF(B1373="insumo",_xlfn.XLOOKUP($D1373,Insumos!$B$1:$B$764,Insumos!$D$1:$D$764),"")</f>
        <v>2.5499999999999998</v>
      </c>
      <c r="H1373" s="177" cm="1">
        <f t="array" ref="H1373">_xlfn.IFS(B1373="Serviço",SUMIFS(H1374:$H$3085,C1374:$C$3085,$C1373),B1373="Insumo",F1373*G1373,B1373="Etapa","")</f>
        <v>22.44</v>
      </c>
      <c r="I1373" s="178"/>
    </row>
    <row r="1374" spans="1:9" hidden="1" outlineLevel="2" x14ac:dyDescent="0.25">
      <c r="A1374" s="175">
        <f t="shared" si="45"/>
        <v>78</v>
      </c>
      <c r="B1374" s="175" t="s">
        <v>327</v>
      </c>
      <c r="C1374" s="175" t="str">
        <f t="shared" si="44"/>
        <v>Revestimento de parede em Porcelanato Biancogres Ripa Sense 45x90 Acetinado</v>
      </c>
      <c r="D1374" s="175" t="s">
        <v>674</v>
      </c>
      <c r="E1374" s="176" t="str">
        <f>_xlfn.XLOOKUP(D1374,Insumos!$B$1:$B$764,Insumos!$C$1:$C$764)</f>
        <v>UN</v>
      </c>
      <c r="F1374" s="179">
        <v>2</v>
      </c>
      <c r="G1374" s="197">
        <f>IF(B1374="insumo",_xlfn.XLOOKUP($D1374,Insumos!$B$1:$B$764,Insumos!$D$1:$D$764),"")</f>
        <v>0.08</v>
      </c>
      <c r="H1374" s="177" cm="1">
        <f t="array" ref="H1374">_xlfn.IFS(B1374="Serviço",SUMIFS(H1375:$H$3085,C1375:$C$3085,$C1374),B1374="Insumo",F1374*G1374,B1374="Etapa","")</f>
        <v>0.16</v>
      </c>
      <c r="I1374" s="178"/>
    </row>
    <row r="1375" spans="1:9" hidden="1" outlineLevel="2" x14ac:dyDescent="0.25">
      <c r="A1375" s="175">
        <f t="shared" si="45"/>
        <v>71</v>
      </c>
      <c r="B1375" s="175" t="s">
        <v>327</v>
      </c>
      <c r="C1375" s="175" t="str">
        <f t="shared" si="44"/>
        <v>Revestimento de parede em Porcelanato Biancogres Ripa Sense 45x90 Acetinado</v>
      </c>
      <c r="D1375" s="175" t="s">
        <v>675</v>
      </c>
      <c r="E1375" s="176" t="str">
        <f>_xlfn.XLOOKUP(D1375,Insumos!$B$1:$B$764,Insumos!$C$1:$C$764)</f>
        <v>KG</v>
      </c>
      <c r="F1375" s="179">
        <v>0.02</v>
      </c>
      <c r="G1375" s="197">
        <f>IF(B1375="insumo",_xlfn.XLOOKUP($D1375,Insumos!$B$1:$B$764,Insumos!$D$1:$D$764),"")</f>
        <v>11.15</v>
      </c>
      <c r="H1375" s="177" cm="1">
        <f t="array" ref="H1375">_xlfn.IFS(B1375="Serviço",SUMIFS(H1376:$H$3085,C1376:$C$3085,$C1375),B1375="Insumo",F1375*G1375,B1375="Etapa","")</f>
        <v>0.223</v>
      </c>
      <c r="I1375" s="178"/>
    </row>
    <row r="1376" spans="1:9" outlineLevel="1" collapsed="1" x14ac:dyDescent="0.25">
      <c r="A1376" s="175">
        <f t="shared" si="45"/>
        <v>1</v>
      </c>
      <c r="B1376" s="175" t="s">
        <v>109</v>
      </c>
      <c r="C1376" s="175" t="str">
        <f t="shared" ref="C1376:C1439" si="46">IF(B1376="serviço",D1376,C1375)</f>
        <v>Revestimento de Parede Porcelanato Eliane Revestimentos – Linha Lumina Areia 20x20</v>
      </c>
      <c r="D1376" s="175" t="s">
        <v>6904</v>
      </c>
      <c r="E1376" s="176" t="s">
        <v>13</v>
      </c>
      <c r="F1376" s="175"/>
      <c r="G1376" s="197" t="str">
        <f>IF(B1376="insumo",_xlfn.XLOOKUP($D1376,Insumos!$B$1:$B$764,Insumos!$D$1:$D$764),"")</f>
        <v/>
      </c>
      <c r="H1376" s="177" cm="1">
        <f t="array" ref="H1376">_xlfn.IFS(B1376="Serviço",SUMIFS(H1377:$H$3085,C1377:$C$3085,$C1376),B1376="Insumo",F1376*G1376,B1376="Etapa","")</f>
        <v>149.13150000000005</v>
      </c>
      <c r="I1376" s="178" t="s">
        <v>195</v>
      </c>
    </row>
    <row r="1377" spans="1:9" hidden="1" outlineLevel="2" x14ac:dyDescent="0.25">
      <c r="A1377" s="175">
        <f t="shared" si="45"/>
        <v>1</v>
      </c>
      <c r="B1377" s="175" t="s">
        <v>327</v>
      </c>
      <c r="C1377" s="175" t="str">
        <f t="shared" si="46"/>
        <v>Revestimento de Parede Porcelanato Eliane Revestimentos – Linha Lumina Areia 20x20</v>
      </c>
      <c r="D1377" s="175" t="s">
        <v>6905</v>
      </c>
      <c r="E1377" s="176" t="str">
        <f>_xlfn.XLOOKUP(D1377,Insumos!$B$1:$B$764,Insumos!$C$1:$C$764)</f>
        <v>M2</v>
      </c>
      <c r="F1377" s="196">
        <v>1.1000000000000001</v>
      </c>
      <c r="G1377" s="197">
        <f>IF(B1377="insumo",_xlfn.XLOOKUP($D1377,Insumos!$B$1:$B$764,Insumos!$D$1:$D$764),"")</f>
        <v>115</v>
      </c>
      <c r="H1377" s="177" cm="1">
        <f t="array" ref="H1377">_xlfn.IFS(B1377="Serviço",SUMIFS(H1378:$H$3085,C1378:$C$3085,$C1377),B1377="Insumo",F1377*G1377,B1377="Etapa","")</f>
        <v>126.50000000000001</v>
      </c>
      <c r="I1377" s="178"/>
    </row>
    <row r="1378" spans="1:9" hidden="1" outlineLevel="2" x14ac:dyDescent="0.25">
      <c r="A1378" s="175">
        <f t="shared" si="45"/>
        <v>118</v>
      </c>
      <c r="B1378" s="175" t="s">
        <v>327</v>
      </c>
      <c r="C1378" s="175" t="str">
        <f t="shared" si="46"/>
        <v>Revestimento de Parede Porcelanato Eliane Revestimentos – Linha Lumina Areia 20x20</v>
      </c>
      <c r="D1378" s="175" t="s">
        <v>654</v>
      </c>
      <c r="E1378" s="176" t="str">
        <f>_xlfn.XLOOKUP(D1378,Insumos!$B$1:$B$764,Insumos!$C$1:$C$764)</f>
        <v>KG</v>
      </c>
      <c r="F1378" s="196">
        <v>8.8000000000000007</v>
      </c>
      <c r="G1378" s="197">
        <f>IF(B1378="insumo",_xlfn.XLOOKUP($D1378,Insumos!$B$1:$B$764,Insumos!$D$1:$D$764),"")</f>
        <v>2.5499999999999998</v>
      </c>
      <c r="H1378" s="177" cm="1">
        <f t="array" ref="H1378">_xlfn.IFS(B1378="Serviço",SUMIFS(H1379:$H$3085,C1379:$C$3085,$C1378),B1378="Insumo",F1378*G1378,B1378="Etapa","")</f>
        <v>22.44</v>
      </c>
      <c r="I1378" s="178"/>
    </row>
    <row r="1379" spans="1:9" hidden="1" outlineLevel="2" x14ac:dyDescent="0.25">
      <c r="A1379" s="175">
        <f t="shared" si="45"/>
        <v>78</v>
      </c>
      <c r="B1379" s="175" t="s">
        <v>327</v>
      </c>
      <c r="C1379" s="175" t="str">
        <f t="shared" si="46"/>
        <v>Revestimento de Parede Porcelanato Eliane Revestimentos – Linha Lumina Areia 20x20</v>
      </c>
      <c r="D1379" s="175" t="s">
        <v>674</v>
      </c>
      <c r="E1379" s="176" t="str">
        <f>_xlfn.XLOOKUP(D1379,Insumos!$B$1:$B$764,Insumos!$C$1:$C$764)</f>
        <v>UN</v>
      </c>
      <c r="F1379" s="196">
        <v>1</v>
      </c>
      <c r="G1379" s="197">
        <f>IF(B1379="insumo",_xlfn.XLOOKUP($D1379,Insumos!$B$1:$B$764,Insumos!$D$1:$D$764),"")</f>
        <v>0.08</v>
      </c>
      <c r="H1379" s="177" cm="1">
        <f t="array" ref="H1379">_xlfn.IFS(B1379="Serviço",SUMIFS(H1380:$H$3085,C1380:$C$3085,$C1379),B1379="Insumo",F1379*G1379,B1379="Etapa","")</f>
        <v>0.08</v>
      </c>
      <c r="I1379" s="178"/>
    </row>
    <row r="1380" spans="1:9" hidden="1" outlineLevel="2" x14ac:dyDescent="0.25">
      <c r="A1380" s="175">
        <f t="shared" si="45"/>
        <v>71</v>
      </c>
      <c r="B1380" s="175" t="s">
        <v>327</v>
      </c>
      <c r="C1380" s="175" t="str">
        <f t="shared" si="46"/>
        <v>Revestimento de Parede Porcelanato Eliane Revestimentos – Linha Lumina Areia 20x20</v>
      </c>
      <c r="D1380" s="175" t="s">
        <v>675</v>
      </c>
      <c r="E1380" s="176" t="str">
        <f>_xlfn.XLOOKUP(D1380,Insumos!$B$1:$B$764,Insumos!$C$1:$C$764)</f>
        <v>KG</v>
      </c>
      <c r="F1380" s="196">
        <v>0.01</v>
      </c>
      <c r="G1380" s="197">
        <f>IF(B1380="insumo",_xlfn.XLOOKUP($D1380,Insumos!$B$1:$B$764,Insumos!$D$1:$D$764),"")</f>
        <v>11.15</v>
      </c>
      <c r="H1380" s="177" cm="1">
        <f t="array" ref="H1380">_xlfn.IFS(B1380="Serviço",SUMIFS(H1381:$H$3085,C1381:$C$3085,$C1380),B1380="Insumo",F1380*G1380,B1380="Etapa","")</f>
        <v>0.1115</v>
      </c>
      <c r="I1380" s="178"/>
    </row>
    <row r="1381" spans="1:9" outlineLevel="1" collapsed="1" x14ac:dyDescent="0.25">
      <c r="A1381" s="175">
        <f t="shared" si="45"/>
        <v>1</v>
      </c>
      <c r="B1381" s="175" t="s">
        <v>109</v>
      </c>
      <c r="C1381" s="175" t="str">
        <f t="shared" si="46"/>
        <v>Revestimento de Parede Porcelanato Portobello – Coleção “Graphite Retro Geo”</v>
      </c>
      <c r="D1381" s="175" t="s">
        <v>6898</v>
      </c>
      <c r="E1381" s="176" t="s">
        <v>13</v>
      </c>
      <c r="F1381" s="175"/>
      <c r="G1381" s="197" t="str">
        <f>IF(B1381="insumo",_xlfn.XLOOKUP($D1381,Insumos!$B$1:$B$764,Insumos!$D$1:$D$764),"")</f>
        <v/>
      </c>
      <c r="H1381" s="177" cm="1">
        <f t="array" ref="H1381">_xlfn.IFS(B1381="Serviço",SUMIFS(H1382:$H$3085,C1382:$C$3085,$C1381),B1381="Insumo",F1381*G1381,B1381="Etapa","")</f>
        <v>171.13150000000002</v>
      </c>
      <c r="I1381" s="178" t="s">
        <v>195</v>
      </c>
    </row>
    <row r="1382" spans="1:9" hidden="1" outlineLevel="2" x14ac:dyDescent="0.25">
      <c r="A1382" s="175">
        <f t="shared" si="45"/>
        <v>1</v>
      </c>
      <c r="B1382" s="175" t="s">
        <v>327</v>
      </c>
      <c r="C1382" s="175" t="str">
        <f t="shared" si="46"/>
        <v>Revestimento de Parede Porcelanato Portobello – Coleção “Graphite Retro Geo”</v>
      </c>
      <c r="D1382" s="175" t="s">
        <v>6899</v>
      </c>
      <c r="E1382" s="176" t="str">
        <f>_xlfn.XLOOKUP(D1382,Insumos!$B$1:$B$764,Insumos!$C$1:$C$764)</f>
        <v>M2</v>
      </c>
      <c r="F1382" s="196">
        <v>1.1000000000000001</v>
      </c>
      <c r="G1382" s="197">
        <f>IF(B1382="insumo",_xlfn.XLOOKUP($D1382,Insumos!$B$1:$B$764,Insumos!$D$1:$D$764),"")</f>
        <v>135</v>
      </c>
      <c r="H1382" s="177" cm="1">
        <f t="array" ref="H1382">_xlfn.IFS(B1382="Serviço",SUMIFS(H1383:$H$3085,C1383:$C$3085,$C1382),B1382="Insumo",F1382*G1382,B1382="Etapa","")</f>
        <v>148.5</v>
      </c>
      <c r="I1382" s="178"/>
    </row>
    <row r="1383" spans="1:9" hidden="1" outlineLevel="2" x14ac:dyDescent="0.25">
      <c r="A1383" s="175">
        <f t="shared" si="45"/>
        <v>118</v>
      </c>
      <c r="B1383" s="175" t="s">
        <v>327</v>
      </c>
      <c r="C1383" s="175" t="str">
        <f t="shared" si="46"/>
        <v>Revestimento de Parede Porcelanato Portobello – Coleção “Graphite Retro Geo”</v>
      </c>
      <c r="D1383" s="175" t="s">
        <v>654</v>
      </c>
      <c r="E1383" s="176" t="str">
        <f>_xlfn.XLOOKUP(D1383,Insumos!$B$1:$B$764,Insumos!$C$1:$C$764)</f>
        <v>KG</v>
      </c>
      <c r="F1383" s="196">
        <v>8.8000000000000007</v>
      </c>
      <c r="G1383" s="197">
        <f>IF(B1383="insumo",_xlfn.XLOOKUP($D1383,Insumos!$B$1:$B$764,Insumos!$D$1:$D$764),"")</f>
        <v>2.5499999999999998</v>
      </c>
      <c r="H1383" s="177" cm="1">
        <f t="array" ref="H1383">_xlfn.IFS(B1383="Serviço",SUMIFS(H1384:$H$3085,C1384:$C$3085,$C1383),B1383="Insumo",F1383*G1383,B1383="Etapa","")</f>
        <v>22.44</v>
      </c>
      <c r="I1383" s="178"/>
    </row>
    <row r="1384" spans="1:9" hidden="1" outlineLevel="2" x14ac:dyDescent="0.25">
      <c r="A1384" s="175">
        <f t="shared" si="45"/>
        <v>78</v>
      </c>
      <c r="B1384" s="175" t="s">
        <v>327</v>
      </c>
      <c r="C1384" s="175" t="str">
        <f t="shared" si="46"/>
        <v>Revestimento de Parede Porcelanato Portobello – Coleção “Graphite Retro Geo”</v>
      </c>
      <c r="D1384" s="175" t="s">
        <v>674</v>
      </c>
      <c r="E1384" s="176" t="str">
        <f>_xlfn.XLOOKUP(D1384,Insumos!$B$1:$B$764,Insumos!$C$1:$C$764)</f>
        <v>UN</v>
      </c>
      <c r="F1384" s="196">
        <v>1</v>
      </c>
      <c r="G1384" s="197">
        <f>IF(B1384="insumo",_xlfn.XLOOKUP($D1384,Insumos!$B$1:$B$764,Insumos!$D$1:$D$764),"")</f>
        <v>0.08</v>
      </c>
      <c r="H1384" s="177" cm="1">
        <f t="array" ref="H1384">_xlfn.IFS(B1384="Serviço",SUMIFS(H1385:$H$3085,C1385:$C$3085,$C1384),B1384="Insumo",F1384*G1384,B1384="Etapa","")</f>
        <v>0.08</v>
      </c>
      <c r="I1384" s="178"/>
    </row>
    <row r="1385" spans="1:9" hidden="1" outlineLevel="2" x14ac:dyDescent="0.25">
      <c r="A1385" s="175">
        <f t="shared" si="45"/>
        <v>71</v>
      </c>
      <c r="B1385" s="175" t="s">
        <v>327</v>
      </c>
      <c r="C1385" s="175" t="str">
        <f t="shared" si="46"/>
        <v>Revestimento de Parede Porcelanato Portobello – Coleção “Graphite Retro Geo”</v>
      </c>
      <c r="D1385" s="175" t="s">
        <v>675</v>
      </c>
      <c r="E1385" s="176" t="str">
        <f>_xlfn.XLOOKUP(D1385,Insumos!$B$1:$B$764,Insumos!$C$1:$C$764)</f>
        <v>KG</v>
      </c>
      <c r="F1385" s="196">
        <v>0.01</v>
      </c>
      <c r="G1385" s="197">
        <f>IF(B1385="insumo",_xlfn.XLOOKUP($D1385,Insumos!$B$1:$B$764,Insumos!$D$1:$D$764),"")</f>
        <v>11.15</v>
      </c>
      <c r="H1385" s="177" cm="1">
        <f t="array" ref="H1385">_xlfn.IFS(B1385="Serviço",SUMIFS(H1386:$H$3085,C1386:$C$3085,$C1385),B1385="Insumo",F1385*G1385,B1385="Etapa","")</f>
        <v>0.1115</v>
      </c>
      <c r="I1385" s="178"/>
    </row>
    <row r="1386" spans="1:9" outlineLevel="1" collapsed="1" x14ac:dyDescent="0.25">
      <c r="A1386" s="175">
        <f t="shared" si="45"/>
        <v>1</v>
      </c>
      <c r="B1386" s="175" t="s">
        <v>109</v>
      </c>
      <c r="C1386" s="175" t="str">
        <f t="shared" si="46"/>
        <v>Revestimento de parede em Cerâmica esmaltada listras</v>
      </c>
      <c r="D1386" s="175" t="s">
        <v>6920</v>
      </c>
      <c r="E1386" s="176" t="s">
        <v>13</v>
      </c>
      <c r="F1386" s="175"/>
      <c r="G1386" s="197" t="str">
        <f>IF(B1386="insumo",_xlfn.XLOOKUP($D1386,Insumos!$B$1:$B$764,Insumos!$D$1:$D$764),"")</f>
        <v/>
      </c>
      <c r="H1386" s="177" cm="1">
        <f t="array" ref="H1386">_xlfn.IFS(B1386="Serviço",SUMIFS(H1387:$H$3085,C1387:$C$3085,$C1386),B1386="Insumo",F1386*G1386,B1386="Etapa","")</f>
        <v>182.13150000000002</v>
      </c>
      <c r="I1386" s="178" t="s">
        <v>195</v>
      </c>
    </row>
    <row r="1387" spans="1:9" hidden="1" outlineLevel="2" x14ac:dyDescent="0.25">
      <c r="A1387" s="175">
        <f t="shared" si="45"/>
        <v>1</v>
      </c>
      <c r="B1387" s="175" t="s">
        <v>327</v>
      </c>
      <c r="C1387" s="175" t="str">
        <f t="shared" si="46"/>
        <v>Revestimento de parede em Cerâmica esmaltada listras</v>
      </c>
      <c r="D1387" s="175" t="s">
        <v>6921</v>
      </c>
      <c r="E1387" s="176" t="str">
        <f>_xlfn.XLOOKUP(D1387,Insumos!$B$1:$B$764,Insumos!$C$1:$C$764)</f>
        <v>M2</v>
      </c>
      <c r="F1387" s="196">
        <v>1.1000000000000001</v>
      </c>
      <c r="G1387" s="197">
        <f>IF(B1387="insumo",_xlfn.XLOOKUP($D1387,Insumos!$B$1:$B$764,Insumos!$D$1:$D$764),"")</f>
        <v>145</v>
      </c>
      <c r="H1387" s="177" cm="1">
        <f t="array" ref="H1387">_xlfn.IFS(B1387="Serviço",SUMIFS(H1388:$H$3085,C1388:$C$3085,$C1387),B1387="Insumo",F1387*G1387,B1387="Etapa","")</f>
        <v>159.5</v>
      </c>
      <c r="I1387" s="178"/>
    </row>
    <row r="1388" spans="1:9" hidden="1" outlineLevel="2" x14ac:dyDescent="0.25">
      <c r="A1388" s="175">
        <f t="shared" si="45"/>
        <v>118</v>
      </c>
      <c r="B1388" s="175" t="s">
        <v>327</v>
      </c>
      <c r="C1388" s="175" t="str">
        <f t="shared" si="46"/>
        <v>Revestimento de parede em Cerâmica esmaltada listras</v>
      </c>
      <c r="D1388" s="175" t="s">
        <v>654</v>
      </c>
      <c r="E1388" s="176" t="str">
        <f>_xlfn.XLOOKUP(D1388,Insumos!$B$1:$B$764,Insumos!$C$1:$C$764)</f>
        <v>KG</v>
      </c>
      <c r="F1388" s="196">
        <v>8.8000000000000007</v>
      </c>
      <c r="G1388" s="197">
        <f>IF(B1388="insumo",_xlfn.XLOOKUP($D1388,Insumos!$B$1:$B$764,Insumos!$D$1:$D$764),"")</f>
        <v>2.5499999999999998</v>
      </c>
      <c r="H1388" s="177" cm="1">
        <f t="array" ref="H1388">_xlfn.IFS(B1388="Serviço",SUMIFS(H1389:$H$3085,C1389:$C$3085,$C1388),B1388="Insumo",F1388*G1388,B1388="Etapa","")</f>
        <v>22.44</v>
      </c>
      <c r="I1388" s="178"/>
    </row>
    <row r="1389" spans="1:9" hidden="1" outlineLevel="2" x14ac:dyDescent="0.25">
      <c r="A1389" s="175">
        <f t="shared" si="45"/>
        <v>78</v>
      </c>
      <c r="B1389" s="175" t="s">
        <v>327</v>
      </c>
      <c r="C1389" s="175" t="str">
        <f t="shared" si="46"/>
        <v>Revestimento de parede em Cerâmica esmaltada listras</v>
      </c>
      <c r="D1389" s="175" t="s">
        <v>674</v>
      </c>
      <c r="E1389" s="176" t="str">
        <f>_xlfn.XLOOKUP(D1389,Insumos!$B$1:$B$764,Insumos!$C$1:$C$764)</f>
        <v>UN</v>
      </c>
      <c r="F1389" s="196">
        <v>1</v>
      </c>
      <c r="G1389" s="197">
        <f>IF(B1389="insumo",_xlfn.XLOOKUP($D1389,Insumos!$B$1:$B$764,Insumos!$D$1:$D$764),"")</f>
        <v>0.08</v>
      </c>
      <c r="H1389" s="177" cm="1">
        <f t="array" ref="H1389">_xlfn.IFS(B1389="Serviço",SUMIFS(H1390:$H$3085,C1390:$C$3085,$C1389),B1389="Insumo",F1389*G1389,B1389="Etapa","")</f>
        <v>0.08</v>
      </c>
      <c r="I1389" s="178"/>
    </row>
    <row r="1390" spans="1:9" hidden="1" outlineLevel="2" x14ac:dyDescent="0.25">
      <c r="A1390" s="175">
        <f t="shared" si="45"/>
        <v>71</v>
      </c>
      <c r="B1390" s="175" t="s">
        <v>327</v>
      </c>
      <c r="C1390" s="175" t="str">
        <f t="shared" si="46"/>
        <v>Revestimento de parede em Cerâmica esmaltada listras</v>
      </c>
      <c r="D1390" s="175" t="s">
        <v>675</v>
      </c>
      <c r="E1390" s="176" t="str">
        <f>_xlfn.XLOOKUP(D1390,Insumos!$B$1:$B$764,Insumos!$C$1:$C$764)</f>
        <v>KG</v>
      </c>
      <c r="F1390" s="196">
        <v>0.01</v>
      </c>
      <c r="G1390" s="197">
        <f>IF(B1390="insumo",_xlfn.XLOOKUP($D1390,Insumos!$B$1:$B$764,Insumos!$D$1:$D$764),"")</f>
        <v>11.15</v>
      </c>
      <c r="H1390" s="177" cm="1">
        <f t="array" ref="H1390">_xlfn.IFS(B1390="Serviço",SUMIFS(H1391:$H$3085,C1391:$C$3085,$C1390),B1390="Insumo",F1390*G1390,B1390="Etapa","")</f>
        <v>0.1115</v>
      </c>
      <c r="I1390" s="178"/>
    </row>
    <row r="1391" spans="1:9" outlineLevel="1" collapsed="1" x14ac:dyDescent="0.25">
      <c r="A1391" s="175">
        <f t="shared" si="45"/>
        <v>1</v>
      </c>
      <c r="B1391" s="175" t="s">
        <v>109</v>
      </c>
      <c r="C1391" s="175" t="str">
        <f t="shared" si="46"/>
        <v>Revestimento de parede em Cerâmica Tradição 23x23cm Verde claro</v>
      </c>
      <c r="D1391" s="175" t="s">
        <v>6917</v>
      </c>
      <c r="E1391" s="176" t="s">
        <v>13</v>
      </c>
      <c r="F1391" s="175"/>
      <c r="G1391" s="197" t="str">
        <f>IF(B1391="insumo",_xlfn.XLOOKUP($D1391,Insumos!$B$1:$B$764,Insumos!$D$1:$D$764),"")</f>
        <v/>
      </c>
      <c r="H1391" s="177" cm="1">
        <f t="array" ref="H1391">_xlfn.IFS(B1391="Serviço",SUMIFS(H1392:$H$3085,C1392:$C$3085,$C1391),B1391="Insumo",F1391*G1391,B1391="Etapa","")</f>
        <v>143.63150000000005</v>
      </c>
      <c r="I1391" s="178" t="s">
        <v>195</v>
      </c>
    </row>
    <row r="1392" spans="1:9" hidden="1" outlineLevel="2" x14ac:dyDescent="0.25">
      <c r="A1392" s="175">
        <f t="shared" si="45"/>
        <v>1</v>
      </c>
      <c r="B1392" s="175" t="s">
        <v>327</v>
      </c>
      <c r="C1392" s="175" t="str">
        <f t="shared" si="46"/>
        <v>Revestimento de parede em Cerâmica Tradição 23x23cm Verde claro</v>
      </c>
      <c r="D1392" s="175" t="s">
        <v>6918</v>
      </c>
      <c r="E1392" s="176" t="str">
        <f>_xlfn.XLOOKUP(D1392,Insumos!$B$1:$B$764,Insumos!$C$1:$C$764)</f>
        <v>M2</v>
      </c>
      <c r="F1392" s="196">
        <v>1.1000000000000001</v>
      </c>
      <c r="G1392" s="197">
        <f>IF(B1392="insumo",_xlfn.XLOOKUP($D1392,Insumos!$B$1:$B$764,Insumos!$D$1:$D$764),"")</f>
        <v>110</v>
      </c>
      <c r="H1392" s="177" cm="1">
        <f t="array" ref="H1392">_xlfn.IFS(B1392="Serviço",SUMIFS(H1393:$H$3085,C1393:$C$3085,$C1392),B1392="Insumo",F1392*G1392,B1392="Etapa","")</f>
        <v>121.00000000000001</v>
      </c>
      <c r="I1392" s="178"/>
    </row>
    <row r="1393" spans="1:9" hidden="1" outlineLevel="2" x14ac:dyDescent="0.25">
      <c r="A1393" s="175">
        <f t="shared" si="45"/>
        <v>118</v>
      </c>
      <c r="B1393" s="175" t="s">
        <v>327</v>
      </c>
      <c r="C1393" s="175" t="str">
        <f t="shared" si="46"/>
        <v>Revestimento de parede em Cerâmica Tradição 23x23cm Verde claro</v>
      </c>
      <c r="D1393" s="175" t="s">
        <v>654</v>
      </c>
      <c r="E1393" s="176" t="str">
        <f>_xlfn.XLOOKUP(D1393,Insumos!$B$1:$B$764,Insumos!$C$1:$C$764)</f>
        <v>KG</v>
      </c>
      <c r="F1393" s="196">
        <v>8.8000000000000007</v>
      </c>
      <c r="G1393" s="197">
        <f>IF(B1393="insumo",_xlfn.XLOOKUP($D1393,Insumos!$B$1:$B$764,Insumos!$D$1:$D$764),"")</f>
        <v>2.5499999999999998</v>
      </c>
      <c r="H1393" s="177" cm="1">
        <f t="array" ref="H1393">_xlfn.IFS(B1393="Serviço",SUMIFS(H1394:$H$3085,C1394:$C$3085,$C1393),B1393="Insumo",F1393*G1393,B1393="Etapa","")</f>
        <v>22.44</v>
      </c>
      <c r="I1393" s="178"/>
    </row>
    <row r="1394" spans="1:9" hidden="1" outlineLevel="2" x14ac:dyDescent="0.25">
      <c r="A1394" s="175">
        <f t="shared" si="45"/>
        <v>78</v>
      </c>
      <c r="B1394" s="175" t="s">
        <v>327</v>
      </c>
      <c r="C1394" s="175" t="str">
        <f t="shared" si="46"/>
        <v>Revestimento de parede em Cerâmica Tradição 23x23cm Verde claro</v>
      </c>
      <c r="D1394" s="175" t="s">
        <v>674</v>
      </c>
      <c r="E1394" s="176" t="str">
        <f>_xlfn.XLOOKUP(D1394,Insumos!$B$1:$B$764,Insumos!$C$1:$C$764)</f>
        <v>UN</v>
      </c>
      <c r="F1394" s="196">
        <v>1</v>
      </c>
      <c r="G1394" s="197">
        <f>IF(B1394="insumo",_xlfn.XLOOKUP($D1394,Insumos!$B$1:$B$764,Insumos!$D$1:$D$764),"")</f>
        <v>0.08</v>
      </c>
      <c r="H1394" s="177" cm="1">
        <f t="array" ref="H1394">_xlfn.IFS(B1394="Serviço",SUMIFS(H1395:$H$3085,C1395:$C$3085,$C1394),B1394="Insumo",F1394*G1394,B1394="Etapa","")</f>
        <v>0.08</v>
      </c>
      <c r="I1394" s="178"/>
    </row>
    <row r="1395" spans="1:9" hidden="1" outlineLevel="2" x14ac:dyDescent="0.25">
      <c r="A1395" s="175">
        <f t="shared" si="45"/>
        <v>71</v>
      </c>
      <c r="B1395" s="175" t="s">
        <v>327</v>
      </c>
      <c r="C1395" s="175" t="str">
        <f t="shared" si="46"/>
        <v>Revestimento de parede em Cerâmica Tradição 23x23cm Verde claro</v>
      </c>
      <c r="D1395" s="175" t="s">
        <v>675</v>
      </c>
      <c r="E1395" s="176" t="str">
        <f>_xlfn.XLOOKUP(D1395,Insumos!$B$1:$B$764,Insumos!$C$1:$C$764)</f>
        <v>KG</v>
      </c>
      <c r="F1395" s="196">
        <v>0.01</v>
      </c>
      <c r="G1395" s="197">
        <f>IF(B1395="insumo",_xlfn.XLOOKUP($D1395,Insumos!$B$1:$B$764,Insumos!$D$1:$D$764),"")</f>
        <v>11.15</v>
      </c>
      <c r="H1395" s="177" cm="1">
        <f t="array" ref="H1395">_xlfn.IFS(B1395="Serviço",SUMIFS(H1396:$H$3085,C1396:$C$3085,$C1395),B1395="Insumo",F1395*G1395,B1395="Etapa","")</f>
        <v>0.1115</v>
      </c>
      <c r="I1395" s="178"/>
    </row>
    <row r="1396" spans="1:9" outlineLevel="1" collapsed="1" x14ac:dyDescent="0.25">
      <c r="A1396" s="175">
        <f t="shared" si="45"/>
        <v>1</v>
      </c>
      <c r="B1396" s="175" t="s">
        <v>109</v>
      </c>
      <c r="C1396" s="175" t="str">
        <f t="shared" si="46"/>
        <v xml:space="preserve">Revestimento de parede em Cerâmica Tradição 23x23cm Lepri </v>
      </c>
      <c r="D1396" s="175" t="s">
        <v>6893</v>
      </c>
      <c r="E1396" s="176" t="s">
        <v>13</v>
      </c>
      <c r="F1396" s="175"/>
      <c r="G1396" s="197" t="str">
        <f>IF(B1396="insumo",_xlfn.XLOOKUP($D1396,Insumos!$B$1:$B$764,Insumos!$D$1:$D$764),"")</f>
        <v/>
      </c>
      <c r="H1396" s="177" cm="1">
        <f t="array" ref="H1396">_xlfn.IFS(B1396="Serviço",SUMIFS(H1397:$H$3085,C1397:$C$3085,$C1396),B1396="Insumo",F1396*G1396,B1396="Etapa","")</f>
        <v>177.73150000000004</v>
      </c>
      <c r="I1396" s="178" t="s">
        <v>195</v>
      </c>
    </row>
    <row r="1397" spans="1:9" hidden="1" outlineLevel="2" x14ac:dyDescent="0.25">
      <c r="A1397" s="175">
        <f t="shared" si="45"/>
        <v>1</v>
      </c>
      <c r="B1397" s="175" t="s">
        <v>327</v>
      </c>
      <c r="C1397" s="175" t="str">
        <f t="shared" si="46"/>
        <v xml:space="preserve">Revestimento de parede em Cerâmica Tradição 23x23cm Lepri </v>
      </c>
      <c r="D1397" s="175" t="s">
        <v>6894</v>
      </c>
      <c r="E1397" s="176" t="str">
        <f>_xlfn.XLOOKUP(D1397,Insumos!$B$1:$B$764,Insumos!$C$1:$C$764)</f>
        <v>M2</v>
      </c>
      <c r="F1397" s="196">
        <v>1.1000000000000001</v>
      </c>
      <c r="G1397" s="197">
        <f>IF(B1397="insumo",_xlfn.XLOOKUP($D1397,Insumos!$B$1:$B$764,Insumos!$D$1:$D$764),"")</f>
        <v>141</v>
      </c>
      <c r="H1397" s="177" cm="1">
        <f t="array" ref="H1397">_xlfn.IFS(B1397="Serviço",SUMIFS(H1398:$H$3085,C1398:$C$3085,$C1397),B1397="Insumo",F1397*G1397,B1397="Etapa","")</f>
        <v>155.10000000000002</v>
      </c>
      <c r="I1397" s="178"/>
    </row>
    <row r="1398" spans="1:9" hidden="1" outlineLevel="2" x14ac:dyDescent="0.25">
      <c r="A1398" s="175">
        <f t="shared" si="45"/>
        <v>118</v>
      </c>
      <c r="B1398" s="175" t="s">
        <v>327</v>
      </c>
      <c r="C1398" s="175" t="str">
        <f t="shared" si="46"/>
        <v xml:space="preserve">Revestimento de parede em Cerâmica Tradição 23x23cm Lepri </v>
      </c>
      <c r="D1398" s="175" t="s">
        <v>654</v>
      </c>
      <c r="E1398" s="176" t="str">
        <f>_xlfn.XLOOKUP(D1398,Insumos!$B$1:$B$764,Insumos!$C$1:$C$764)</f>
        <v>KG</v>
      </c>
      <c r="F1398" s="196">
        <v>8.8000000000000007</v>
      </c>
      <c r="G1398" s="197">
        <f>IF(B1398="insumo",_xlfn.XLOOKUP($D1398,Insumos!$B$1:$B$764,Insumos!$D$1:$D$764),"")</f>
        <v>2.5499999999999998</v>
      </c>
      <c r="H1398" s="177" cm="1">
        <f t="array" ref="H1398">_xlfn.IFS(B1398="Serviço",SUMIFS(H1399:$H$3085,C1399:$C$3085,$C1398),B1398="Insumo",F1398*G1398,B1398="Etapa","")</f>
        <v>22.44</v>
      </c>
      <c r="I1398" s="178"/>
    </row>
    <row r="1399" spans="1:9" hidden="1" outlineLevel="2" x14ac:dyDescent="0.25">
      <c r="A1399" s="175">
        <f t="shared" si="45"/>
        <v>78</v>
      </c>
      <c r="B1399" s="175" t="s">
        <v>327</v>
      </c>
      <c r="C1399" s="175" t="str">
        <f t="shared" si="46"/>
        <v xml:space="preserve">Revestimento de parede em Cerâmica Tradição 23x23cm Lepri </v>
      </c>
      <c r="D1399" s="175" t="s">
        <v>674</v>
      </c>
      <c r="E1399" s="176" t="str">
        <f>_xlfn.XLOOKUP(D1399,Insumos!$B$1:$B$764,Insumos!$C$1:$C$764)</f>
        <v>UN</v>
      </c>
      <c r="F1399" s="196">
        <v>1</v>
      </c>
      <c r="G1399" s="197">
        <f>IF(B1399="insumo",_xlfn.XLOOKUP($D1399,Insumos!$B$1:$B$764,Insumos!$D$1:$D$764),"")</f>
        <v>0.08</v>
      </c>
      <c r="H1399" s="177" cm="1">
        <f t="array" ref="H1399">_xlfn.IFS(B1399="Serviço",SUMIFS(H1400:$H$3085,C1400:$C$3085,$C1399),B1399="Insumo",F1399*G1399,B1399="Etapa","")</f>
        <v>0.08</v>
      </c>
      <c r="I1399" s="178"/>
    </row>
    <row r="1400" spans="1:9" hidden="1" outlineLevel="2" x14ac:dyDescent="0.25">
      <c r="A1400" s="175">
        <f t="shared" si="45"/>
        <v>71</v>
      </c>
      <c r="B1400" s="175" t="s">
        <v>327</v>
      </c>
      <c r="C1400" s="175" t="str">
        <f t="shared" si="46"/>
        <v xml:space="preserve">Revestimento de parede em Cerâmica Tradição 23x23cm Lepri </v>
      </c>
      <c r="D1400" s="175" t="s">
        <v>675</v>
      </c>
      <c r="E1400" s="176" t="str">
        <f>_xlfn.XLOOKUP(D1400,Insumos!$B$1:$B$764,Insumos!$C$1:$C$764)</f>
        <v>KG</v>
      </c>
      <c r="F1400" s="196">
        <v>0.01</v>
      </c>
      <c r="G1400" s="197">
        <f>IF(B1400="insumo",_xlfn.XLOOKUP($D1400,Insumos!$B$1:$B$764,Insumos!$D$1:$D$764),"")</f>
        <v>11.15</v>
      </c>
      <c r="H1400" s="177" cm="1">
        <f t="array" ref="H1400">_xlfn.IFS(B1400="Serviço",SUMIFS(H1401:$H$3085,C1401:$C$3085,$C1400),B1400="Insumo",F1400*G1400,B1400="Etapa","")</f>
        <v>0.1115</v>
      </c>
      <c r="I1400" s="178"/>
    </row>
    <row r="1401" spans="1:9" outlineLevel="1" collapsed="1" x14ac:dyDescent="0.25">
      <c r="A1401" s="175">
        <f t="shared" si="45"/>
        <v>1</v>
      </c>
      <c r="B1401" s="175" t="s">
        <v>109</v>
      </c>
      <c r="C1401" s="175" t="str">
        <f t="shared" si="46"/>
        <v>Revestimento de parede em Porcelanato Eliane Silex 90x90</v>
      </c>
      <c r="D1401" s="175" t="s">
        <v>6890</v>
      </c>
      <c r="E1401" s="176" t="s">
        <v>13</v>
      </c>
      <c r="F1401" s="175"/>
      <c r="G1401" s="197" t="str">
        <f>IF(B1401="insumo",_xlfn.XLOOKUP($D1401,Insumos!$B$1:$B$764,Insumos!$D$1:$D$764),"")</f>
        <v/>
      </c>
      <c r="H1401" s="177" cm="1">
        <f t="array" ref="H1401">_xlfn.IFS(B1401="Serviço",SUMIFS(H1402:$H$3085,C1402:$C$3085,$C1401),B1401="Insumo",F1401*G1401,B1401="Etapa","")</f>
        <v>647.43150000000014</v>
      </c>
      <c r="I1401" s="178" t="s">
        <v>195</v>
      </c>
    </row>
    <row r="1402" spans="1:9" hidden="1" outlineLevel="2" x14ac:dyDescent="0.25">
      <c r="A1402" s="175">
        <f t="shared" si="45"/>
        <v>1</v>
      </c>
      <c r="B1402" s="175" t="s">
        <v>327</v>
      </c>
      <c r="C1402" s="175" t="str">
        <f t="shared" si="46"/>
        <v>Revestimento de parede em Porcelanato Eliane Silex 90x90</v>
      </c>
      <c r="D1402" s="175" t="s">
        <v>6891</v>
      </c>
      <c r="E1402" s="176" t="str">
        <f>_xlfn.XLOOKUP(D1402,Insumos!$B$1:$B$764,Insumos!$C$1:$C$764)</f>
        <v>M2</v>
      </c>
      <c r="F1402" s="196">
        <v>1.1000000000000001</v>
      </c>
      <c r="G1402" s="197">
        <f>IF(B1402="insumo",_xlfn.XLOOKUP($D1402,Insumos!$B$1:$B$764,Insumos!$D$1:$D$764),"")</f>
        <v>568</v>
      </c>
      <c r="H1402" s="177" cm="1">
        <f t="array" ref="H1402">_xlfn.IFS(B1402="Serviço",SUMIFS(H1403:$H$3085,C1403:$C$3085,$C1402),B1402="Insumo",F1402*G1402,B1402="Etapa","")</f>
        <v>624.80000000000007</v>
      </c>
      <c r="I1402" s="178"/>
    </row>
    <row r="1403" spans="1:9" hidden="1" outlineLevel="2" x14ac:dyDescent="0.25">
      <c r="A1403" s="175">
        <f t="shared" si="45"/>
        <v>118</v>
      </c>
      <c r="B1403" s="175" t="s">
        <v>327</v>
      </c>
      <c r="C1403" s="175" t="str">
        <f t="shared" si="46"/>
        <v>Revestimento de parede em Porcelanato Eliane Silex 90x90</v>
      </c>
      <c r="D1403" s="175" t="s">
        <v>654</v>
      </c>
      <c r="E1403" s="176" t="str">
        <f>_xlfn.XLOOKUP(D1403,Insumos!$B$1:$B$764,Insumos!$C$1:$C$764)</f>
        <v>KG</v>
      </c>
      <c r="F1403" s="196">
        <v>8.8000000000000007</v>
      </c>
      <c r="G1403" s="197">
        <f>IF(B1403="insumo",_xlfn.XLOOKUP($D1403,Insumos!$B$1:$B$764,Insumos!$D$1:$D$764),"")</f>
        <v>2.5499999999999998</v>
      </c>
      <c r="H1403" s="177" cm="1">
        <f t="array" ref="H1403">_xlfn.IFS(B1403="Serviço",SUMIFS(H1404:$H$3085,C1404:$C$3085,$C1403),B1403="Insumo",F1403*G1403,B1403="Etapa","")</f>
        <v>22.44</v>
      </c>
      <c r="I1403" s="178"/>
    </row>
    <row r="1404" spans="1:9" hidden="1" outlineLevel="2" x14ac:dyDescent="0.25">
      <c r="A1404" s="175">
        <f t="shared" si="45"/>
        <v>78</v>
      </c>
      <c r="B1404" s="175" t="s">
        <v>327</v>
      </c>
      <c r="C1404" s="175" t="str">
        <f t="shared" si="46"/>
        <v>Revestimento de parede em Porcelanato Eliane Silex 90x90</v>
      </c>
      <c r="D1404" s="175" t="s">
        <v>674</v>
      </c>
      <c r="E1404" s="176" t="str">
        <f>_xlfn.XLOOKUP(D1404,Insumos!$B$1:$B$764,Insumos!$C$1:$C$764)</f>
        <v>UN</v>
      </c>
      <c r="F1404" s="196">
        <v>1</v>
      </c>
      <c r="G1404" s="197">
        <f>IF(B1404="insumo",_xlfn.XLOOKUP($D1404,Insumos!$B$1:$B$764,Insumos!$D$1:$D$764),"")</f>
        <v>0.08</v>
      </c>
      <c r="H1404" s="177" cm="1">
        <f t="array" ref="H1404">_xlfn.IFS(B1404="Serviço",SUMIFS(H1405:$H$3085,C1405:$C$3085,$C1404),B1404="Insumo",F1404*G1404,B1404="Etapa","")</f>
        <v>0.08</v>
      </c>
      <c r="I1404" s="178"/>
    </row>
    <row r="1405" spans="1:9" hidden="1" outlineLevel="2" x14ac:dyDescent="0.25">
      <c r="A1405" s="175">
        <f t="shared" si="45"/>
        <v>71</v>
      </c>
      <c r="B1405" s="175" t="s">
        <v>327</v>
      </c>
      <c r="C1405" s="175" t="str">
        <f t="shared" si="46"/>
        <v>Revestimento de parede em Porcelanato Eliane Silex 90x90</v>
      </c>
      <c r="D1405" s="175" t="s">
        <v>675</v>
      </c>
      <c r="E1405" s="176" t="str">
        <f>_xlfn.XLOOKUP(D1405,Insumos!$B$1:$B$764,Insumos!$C$1:$C$764)</f>
        <v>KG</v>
      </c>
      <c r="F1405" s="196">
        <v>0.01</v>
      </c>
      <c r="G1405" s="197">
        <f>IF(B1405="insumo",_xlfn.XLOOKUP($D1405,Insumos!$B$1:$B$764,Insumos!$D$1:$D$764),"")</f>
        <v>11.15</v>
      </c>
      <c r="H1405" s="177" cm="1">
        <f t="array" ref="H1405">_xlfn.IFS(B1405="Serviço",SUMIFS(H1406:$H$3085,C1406:$C$3085,$C1405),B1405="Insumo",F1405*G1405,B1405="Etapa","")</f>
        <v>0.1115</v>
      </c>
      <c r="I1405" s="178"/>
    </row>
    <row r="1406" spans="1:9" outlineLevel="1" collapsed="1" x14ac:dyDescent="0.25">
      <c r="A1406" s="175">
        <f t="shared" si="45"/>
        <v>1</v>
      </c>
      <c r="B1406" s="175" t="s">
        <v>109</v>
      </c>
      <c r="C1406" s="175" t="str">
        <f t="shared" si="46"/>
        <v>Revestimento de parede em Porcelanato 75x75cm Cedasa Retificado Evidence Polido</v>
      </c>
      <c r="D1406" s="175" t="s">
        <v>1252</v>
      </c>
      <c r="E1406" s="176" t="s">
        <v>13</v>
      </c>
      <c r="F1406" s="175"/>
      <c r="G1406" s="197" t="str">
        <f>IF(B1406="insumo",_xlfn.XLOOKUP($D1406,Insumos!$B$1:$B$764,Insumos!$D$1:$D$764),"")</f>
        <v/>
      </c>
      <c r="H1406" s="177" cm="1">
        <f t="array" ref="H1406">_xlfn.IFS(B1406="Serviço",SUMIFS(H1407:$H$3085,C1407:$C$3085,$C1406),B1406="Insumo",F1406*G1406,B1406="Etapa","")</f>
        <v>180.53650000000005</v>
      </c>
      <c r="I1406" s="178" t="s">
        <v>195</v>
      </c>
    </row>
    <row r="1407" spans="1:9" hidden="1" outlineLevel="2" x14ac:dyDescent="0.25">
      <c r="A1407" s="175">
        <f t="shared" si="45"/>
        <v>2</v>
      </c>
      <c r="B1407" s="175" t="s">
        <v>327</v>
      </c>
      <c r="C1407" s="175" t="str">
        <f t="shared" si="46"/>
        <v>Revestimento de parede em Porcelanato 75x75cm Cedasa Retificado Evidence Polido</v>
      </c>
      <c r="D1407" s="175" t="s">
        <v>1215</v>
      </c>
      <c r="E1407" s="176" t="str">
        <f>_xlfn.XLOOKUP(D1407,Insumos!$B$1:$B$764,Insumos!$C$1:$C$764)</f>
        <v>M2</v>
      </c>
      <c r="F1407" s="196">
        <v>1.1000000000000001</v>
      </c>
      <c r="G1407" s="197">
        <f>IF(B1407="insumo",_xlfn.XLOOKUP($D1407,Insumos!$B$1:$B$764,Insumos!$D$1:$D$764),"")</f>
        <v>143.55000000000001</v>
      </c>
      <c r="H1407" s="177" cm="1">
        <f t="array" ref="H1407">_xlfn.IFS(B1407="Serviço",SUMIFS(H1408:$H$3085,C1408:$C$3085,$C1407),B1407="Insumo",F1407*G1407,B1407="Etapa","")</f>
        <v>157.90500000000003</v>
      </c>
      <c r="I1407" s="178"/>
    </row>
    <row r="1408" spans="1:9" hidden="1" outlineLevel="2" x14ac:dyDescent="0.25">
      <c r="A1408" s="175">
        <f t="shared" si="45"/>
        <v>118</v>
      </c>
      <c r="B1408" s="175" t="s">
        <v>327</v>
      </c>
      <c r="C1408" s="175" t="str">
        <f t="shared" si="46"/>
        <v>Revestimento de parede em Porcelanato 75x75cm Cedasa Retificado Evidence Polido</v>
      </c>
      <c r="D1408" s="175" t="s">
        <v>654</v>
      </c>
      <c r="E1408" s="176" t="str">
        <f>_xlfn.XLOOKUP(D1408,Insumos!$B$1:$B$764,Insumos!$C$1:$C$764)</f>
        <v>KG</v>
      </c>
      <c r="F1408" s="196">
        <v>8.8000000000000007</v>
      </c>
      <c r="G1408" s="197">
        <f>IF(B1408="insumo",_xlfn.XLOOKUP($D1408,Insumos!$B$1:$B$764,Insumos!$D$1:$D$764),"")</f>
        <v>2.5499999999999998</v>
      </c>
      <c r="H1408" s="177" cm="1">
        <f t="array" ref="H1408">_xlfn.IFS(B1408="Serviço",SUMIFS(H1409:$H$3085,C1409:$C$3085,$C1408),B1408="Insumo",F1408*G1408,B1408="Etapa","")</f>
        <v>22.44</v>
      </c>
      <c r="I1408" s="178"/>
    </row>
    <row r="1409" spans="1:9" hidden="1" outlineLevel="2" x14ac:dyDescent="0.25">
      <c r="A1409" s="175">
        <f t="shared" si="45"/>
        <v>78</v>
      </c>
      <c r="B1409" s="175" t="s">
        <v>327</v>
      </c>
      <c r="C1409" s="175" t="str">
        <f t="shared" si="46"/>
        <v>Revestimento de parede em Porcelanato 75x75cm Cedasa Retificado Evidence Polido</v>
      </c>
      <c r="D1409" s="175" t="s">
        <v>674</v>
      </c>
      <c r="E1409" s="176" t="str">
        <f>_xlfn.XLOOKUP(D1409,Insumos!$B$1:$B$764,Insumos!$C$1:$C$764)</f>
        <v>UN</v>
      </c>
      <c r="F1409" s="196">
        <v>1</v>
      </c>
      <c r="G1409" s="197">
        <f>IF(B1409="insumo",_xlfn.XLOOKUP($D1409,Insumos!$B$1:$B$764,Insumos!$D$1:$D$764),"")</f>
        <v>0.08</v>
      </c>
      <c r="H1409" s="177" cm="1">
        <f t="array" ref="H1409">_xlfn.IFS(B1409="Serviço",SUMIFS(H1410:$H$3085,C1410:$C$3085,$C1409),B1409="Insumo",F1409*G1409,B1409="Etapa","")</f>
        <v>0.08</v>
      </c>
      <c r="I1409" s="178"/>
    </row>
    <row r="1410" spans="1:9" hidden="1" outlineLevel="2" x14ac:dyDescent="0.25">
      <c r="A1410" s="175">
        <f t="shared" ref="A1410:A1473" si="47">COUNTIFS($D$2:$D$3085,D1410,$B$2:$B$3085,B1410)</f>
        <v>71</v>
      </c>
      <c r="B1410" s="175" t="s">
        <v>327</v>
      </c>
      <c r="C1410" s="175" t="str">
        <f t="shared" si="46"/>
        <v>Revestimento de parede em Porcelanato 75x75cm Cedasa Retificado Evidence Polido</v>
      </c>
      <c r="D1410" s="175" t="s">
        <v>675</v>
      </c>
      <c r="E1410" s="176" t="str">
        <f>_xlfn.XLOOKUP(D1410,Insumos!$B$1:$B$764,Insumos!$C$1:$C$764)</f>
        <v>KG</v>
      </c>
      <c r="F1410" s="196">
        <v>0.01</v>
      </c>
      <c r="G1410" s="197">
        <f>IF(B1410="insumo",_xlfn.XLOOKUP($D1410,Insumos!$B$1:$B$764,Insumos!$D$1:$D$764),"")</f>
        <v>11.15</v>
      </c>
      <c r="H1410" s="177" cm="1">
        <f t="array" ref="H1410">_xlfn.IFS(B1410="Serviço",SUMIFS(H1411:$H$3085,C1411:$C$3085,$C1410),B1410="Insumo",F1410*G1410,B1410="Etapa","")</f>
        <v>0.1115</v>
      </c>
      <c r="I1410" s="178"/>
    </row>
    <row r="1411" spans="1:9" outlineLevel="1" collapsed="1" x14ac:dyDescent="0.25">
      <c r="A1411" s="175">
        <f t="shared" si="47"/>
        <v>1</v>
      </c>
      <c r="B1411" s="175" t="s">
        <v>109</v>
      </c>
      <c r="C1411" s="175" t="str">
        <f t="shared" si="46"/>
        <v>Revestimento de parede em Porcelanato Marmorizado Polido Borda Reta Interno 90x90cm Avorio di Brescia Portobello</v>
      </c>
      <c r="D1411" s="175" t="s">
        <v>1253</v>
      </c>
      <c r="E1411" s="176" t="s">
        <v>13</v>
      </c>
      <c r="F1411" s="175"/>
      <c r="G1411" s="197" t="str">
        <f>IF(B1411="insumo",_xlfn.XLOOKUP($D1411,Insumos!$B$1:$B$764,Insumos!$D$1:$D$764),"")</f>
        <v/>
      </c>
      <c r="H1411" s="177" cm="1">
        <f t="array" ref="H1411">_xlfn.IFS(B1411="Serviço",SUMIFS(H1412:$H$3085,C1412:$C$3085,$C1411),B1411="Insumo",F1411*G1411,B1411="Etapa","")</f>
        <v>244.84250000000003</v>
      </c>
      <c r="I1411" s="178" t="s">
        <v>195</v>
      </c>
    </row>
    <row r="1412" spans="1:9" hidden="1" outlineLevel="2" x14ac:dyDescent="0.25">
      <c r="A1412" s="175">
        <f t="shared" si="47"/>
        <v>1</v>
      </c>
      <c r="B1412" s="175" t="s">
        <v>327</v>
      </c>
      <c r="C1412" s="175" t="str">
        <f t="shared" si="46"/>
        <v>Revestimento de parede em Porcelanato Marmorizado Polido Borda Reta Interno 90x90cm Avorio di Brescia Portobello</v>
      </c>
      <c r="D1412" s="175" t="s">
        <v>1210</v>
      </c>
      <c r="E1412" s="176" t="str">
        <f>_xlfn.XLOOKUP(D1412,Insumos!$B$1:$B$764,Insumos!$C$1:$C$764)</f>
        <v>M2</v>
      </c>
      <c r="F1412" s="196">
        <v>1.1000000000000001</v>
      </c>
      <c r="G1412" s="197">
        <f>IF(B1412="insumo",_xlfn.XLOOKUP($D1412,Insumos!$B$1:$B$764,Insumos!$D$1:$D$764),"")</f>
        <v>202.01</v>
      </c>
      <c r="H1412" s="177" cm="1">
        <f t="array" ref="H1412">_xlfn.IFS(B1412="Serviço",SUMIFS(H1413:$H$3085,C1413:$C$3085,$C1412),B1412="Insumo",F1412*G1412,B1412="Etapa","")</f>
        <v>222.21100000000001</v>
      </c>
      <c r="I1412" s="178"/>
    </row>
    <row r="1413" spans="1:9" hidden="1" outlineLevel="2" x14ac:dyDescent="0.25">
      <c r="A1413" s="175">
        <f t="shared" si="47"/>
        <v>118</v>
      </c>
      <c r="B1413" s="175" t="s">
        <v>327</v>
      </c>
      <c r="C1413" s="175" t="str">
        <f t="shared" si="46"/>
        <v>Revestimento de parede em Porcelanato Marmorizado Polido Borda Reta Interno 90x90cm Avorio di Brescia Portobello</v>
      </c>
      <c r="D1413" s="175" t="s">
        <v>654</v>
      </c>
      <c r="E1413" s="176" t="str">
        <f>_xlfn.XLOOKUP(D1413,Insumos!$B$1:$B$764,Insumos!$C$1:$C$764)</f>
        <v>KG</v>
      </c>
      <c r="F1413" s="196">
        <v>8.8000000000000007</v>
      </c>
      <c r="G1413" s="197">
        <f>IF(B1413="insumo",_xlfn.XLOOKUP($D1413,Insumos!$B$1:$B$764,Insumos!$D$1:$D$764),"")</f>
        <v>2.5499999999999998</v>
      </c>
      <c r="H1413" s="177" cm="1">
        <f t="array" ref="H1413">_xlfn.IFS(B1413="Serviço",SUMIFS(H1414:$H$3085,C1414:$C$3085,$C1413),B1413="Insumo",F1413*G1413,B1413="Etapa","")</f>
        <v>22.44</v>
      </c>
      <c r="I1413" s="178"/>
    </row>
    <row r="1414" spans="1:9" hidden="1" outlineLevel="2" x14ac:dyDescent="0.25">
      <c r="A1414" s="175">
        <f t="shared" si="47"/>
        <v>78</v>
      </c>
      <c r="B1414" s="175" t="s">
        <v>327</v>
      </c>
      <c r="C1414" s="175" t="str">
        <f t="shared" si="46"/>
        <v>Revestimento de parede em Porcelanato Marmorizado Polido Borda Reta Interno 90x90cm Avorio di Brescia Portobello</v>
      </c>
      <c r="D1414" s="175" t="s">
        <v>674</v>
      </c>
      <c r="E1414" s="176" t="str">
        <f>_xlfn.XLOOKUP(D1414,Insumos!$B$1:$B$764,Insumos!$C$1:$C$764)</f>
        <v>UN</v>
      </c>
      <c r="F1414" s="196">
        <v>1</v>
      </c>
      <c r="G1414" s="197">
        <f>IF(B1414="insumo",_xlfn.XLOOKUP($D1414,Insumos!$B$1:$B$764,Insumos!$D$1:$D$764),"")</f>
        <v>0.08</v>
      </c>
      <c r="H1414" s="177" cm="1">
        <f t="array" ref="H1414">_xlfn.IFS(B1414="Serviço",SUMIFS(H1415:$H$3085,C1415:$C$3085,$C1414),B1414="Insumo",F1414*G1414,B1414="Etapa","")</f>
        <v>0.08</v>
      </c>
      <c r="I1414" s="178"/>
    </row>
    <row r="1415" spans="1:9" hidden="1" outlineLevel="2" x14ac:dyDescent="0.25">
      <c r="A1415" s="175">
        <f t="shared" si="47"/>
        <v>71</v>
      </c>
      <c r="B1415" s="175" t="s">
        <v>327</v>
      </c>
      <c r="C1415" s="175" t="str">
        <f t="shared" si="46"/>
        <v>Revestimento de parede em Porcelanato Marmorizado Polido Borda Reta Interno 90x90cm Avorio di Brescia Portobello</v>
      </c>
      <c r="D1415" s="175" t="s">
        <v>675</v>
      </c>
      <c r="E1415" s="176" t="str">
        <f>_xlfn.XLOOKUP(D1415,Insumos!$B$1:$B$764,Insumos!$C$1:$C$764)</f>
        <v>KG</v>
      </c>
      <c r="F1415" s="196">
        <v>0.01</v>
      </c>
      <c r="G1415" s="197">
        <f>IF(B1415="insumo",_xlfn.XLOOKUP($D1415,Insumos!$B$1:$B$764,Insumos!$D$1:$D$764),"")</f>
        <v>11.15</v>
      </c>
      <c r="H1415" s="177" cm="1">
        <f t="array" ref="H1415">_xlfn.IFS(B1415="Serviço",SUMIFS(H1416:$H$3085,C1416:$C$3085,$C1415),B1415="Insumo",F1415*G1415,B1415="Etapa","")</f>
        <v>0.1115</v>
      </c>
      <c r="I1415" s="178"/>
    </row>
    <row r="1416" spans="1:9" outlineLevel="1" collapsed="1" x14ac:dyDescent="0.25">
      <c r="A1416" s="175">
        <f t="shared" si="47"/>
        <v>1</v>
      </c>
      <c r="B1416" s="175" t="s">
        <v>109</v>
      </c>
      <c r="C1416" s="175" t="str">
        <f t="shared" si="46"/>
        <v>Revestimento em Pastilhas Cerâmicas Paredes Interna, 6 x 24cm com Junta de 3mm</v>
      </c>
      <c r="D1416" s="175" t="s">
        <v>228</v>
      </c>
      <c r="E1416" s="176" t="s">
        <v>13</v>
      </c>
      <c r="F1416" s="175"/>
      <c r="G1416" s="177" t="str">
        <f>IF(B1416="insumo",_xlfn.XLOOKUP($D1416,Insumos!$B$1:$B$764,Insumos!$D$1:$D$764),"")</f>
        <v/>
      </c>
      <c r="H1416" s="177" cm="1">
        <f t="array" ref="H1416">_xlfn.IFS(B1416="Serviço",SUMIFS(H1417:$H$3085,C1417:$C$3085,$C1416),B1416="Insumo",F1416*G1416,B1416="Etapa","")</f>
        <v>106.33250000000001</v>
      </c>
      <c r="I1416" s="178" t="s">
        <v>195</v>
      </c>
    </row>
    <row r="1417" spans="1:9" hidden="1" outlineLevel="2" x14ac:dyDescent="0.25">
      <c r="A1417" s="175">
        <f t="shared" si="47"/>
        <v>1</v>
      </c>
      <c r="B1417" s="175" t="s">
        <v>327</v>
      </c>
      <c r="C1417" s="175" t="str">
        <f t="shared" si="46"/>
        <v>Revestimento em Pastilhas Cerâmicas Paredes Interna, 6 x 24cm com Junta de 3mm</v>
      </c>
      <c r="D1417" s="175" t="s">
        <v>679</v>
      </c>
      <c r="E1417" s="176" t="str">
        <f>_xlfn.XLOOKUP(D1417,Insumos!$B$1:$B$764,Insumos!$C$1:$C$764)</f>
        <v>M2</v>
      </c>
      <c r="F1417" s="196">
        <v>1.1000000000000001</v>
      </c>
      <c r="G1417" s="177">
        <f>IF(B1417="insumo",_xlfn.XLOOKUP($D1417,Insumos!$B$1:$B$764,Insumos!$D$1:$D$764),"")</f>
        <v>83.95</v>
      </c>
      <c r="H1417" s="177" cm="1">
        <f t="array" ref="H1417">_xlfn.IFS(B1417="Serviço",SUMIFS(H1418:$H$3085,C1418:$C$3085,$C1417),B1417="Insumo",F1417*G1417,B1417="Etapa","")</f>
        <v>92.345000000000013</v>
      </c>
      <c r="I1417" s="178"/>
    </row>
    <row r="1418" spans="1:9" hidden="1" outlineLevel="2" x14ac:dyDescent="0.25">
      <c r="A1418" s="175">
        <f t="shared" si="47"/>
        <v>118</v>
      </c>
      <c r="B1418" s="175" t="s">
        <v>327</v>
      </c>
      <c r="C1418" s="175" t="str">
        <f t="shared" si="46"/>
        <v>Revestimento em Pastilhas Cerâmicas Paredes Interna, 6 x 24cm com Junta de 3mm</v>
      </c>
      <c r="D1418" s="175" t="s">
        <v>654</v>
      </c>
      <c r="E1418" s="176" t="str">
        <f>_xlfn.XLOOKUP(D1418,Insumos!$B$1:$B$764,Insumos!$C$1:$C$764)</f>
        <v>KG</v>
      </c>
      <c r="F1418" s="196">
        <v>4.95</v>
      </c>
      <c r="G1418" s="177">
        <f>IF(B1418="insumo",_xlfn.XLOOKUP($D1418,Insumos!$B$1:$B$764,Insumos!$D$1:$D$764),"")</f>
        <v>2.5499999999999998</v>
      </c>
      <c r="H1418" s="177" cm="1">
        <f t="array" ref="H1418">_xlfn.IFS(B1418="Serviço",SUMIFS(H1419:$H$3085,C1419:$C$3085,$C1418),B1418="Insumo",F1418*G1418,B1418="Etapa","")</f>
        <v>12.622499999999999</v>
      </c>
      <c r="I1418" s="178"/>
    </row>
    <row r="1419" spans="1:9" hidden="1" outlineLevel="2" x14ac:dyDescent="0.25">
      <c r="A1419" s="175">
        <f t="shared" si="47"/>
        <v>13</v>
      </c>
      <c r="B1419" s="175" t="s">
        <v>327</v>
      </c>
      <c r="C1419" s="175" t="str">
        <f t="shared" si="46"/>
        <v>Revestimento em Pastilhas Cerâmicas Paredes Interna, 6 x 24cm com Junta de 3mm</v>
      </c>
      <c r="D1419" s="175" t="s">
        <v>680</v>
      </c>
      <c r="E1419" s="176" t="str">
        <f>_xlfn.XLOOKUP(D1419,Insumos!$B$1:$B$764,Insumos!$C$1:$C$764)</f>
        <v>UN</v>
      </c>
      <c r="F1419" s="196">
        <v>5</v>
      </c>
      <c r="G1419" s="177">
        <f>IF(B1419="insumo",_xlfn.XLOOKUP($D1419,Insumos!$B$1:$B$764,Insumos!$D$1:$D$764),"")</f>
        <v>0.05</v>
      </c>
      <c r="H1419" s="177" cm="1">
        <f t="array" ref="H1419">_xlfn.IFS(B1419="Serviço",SUMIFS(H1420:$H$3085,C1420:$C$3085,$C1419),B1419="Insumo",F1419*G1419,B1419="Etapa","")</f>
        <v>0.25</v>
      </c>
      <c r="I1419" s="178"/>
    </row>
    <row r="1420" spans="1:9" hidden="1" outlineLevel="2" x14ac:dyDescent="0.25">
      <c r="A1420" s="175">
        <f t="shared" si="47"/>
        <v>71</v>
      </c>
      <c r="B1420" s="175" t="s">
        <v>327</v>
      </c>
      <c r="C1420" s="175" t="str">
        <f t="shared" si="46"/>
        <v>Revestimento em Pastilhas Cerâmicas Paredes Interna, 6 x 24cm com Junta de 3mm</v>
      </c>
      <c r="D1420" s="175" t="s">
        <v>675</v>
      </c>
      <c r="E1420" s="176" t="str">
        <f>_xlfn.XLOOKUP(D1420,Insumos!$B$1:$B$764,Insumos!$C$1:$C$764)</f>
        <v>KG</v>
      </c>
      <c r="F1420" s="196">
        <v>0.1</v>
      </c>
      <c r="G1420" s="177">
        <f>IF(B1420="insumo",_xlfn.XLOOKUP($D1420,Insumos!$B$1:$B$764,Insumos!$D$1:$D$764),"")</f>
        <v>11.15</v>
      </c>
      <c r="H1420" s="177" cm="1">
        <f t="array" ref="H1420">_xlfn.IFS(B1420="Serviço",SUMIFS(H1421:$H$3085,C1421:$C$3085,$C1420),B1420="Insumo",F1420*G1420,B1420="Etapa","")</f>
        <v>1.115</v>
      </c>
      <c r="I1420" s="178"/>
    </row>
    <row r="1421" spans="1:9" outlineLevel="1" collapsed="1" x14ac:dyDescent="0.25">
      <c r="A1421" s="175">
        <f t="shared" si="47"/>
        <v>1</v>
      </c>
      <c r="B1421" s="175" t="s">
        <v>109</v>
      </c>
      <c r="C1421" s="175" t="str">
        <f t="shared" si="46"/>
        <v>Revestimento em Parede Azulejo Milos - Vila Sintra Azulejos</v>
      </c>
      <c r="D1421" s="175" t="s">
        <v>6914</v>
      </c>
      <c r="E1421" s="176" t="s">
        <v>13</v>
      </c>
      <c r="F1421" s="175"/>
      <c r="G1421" s="177" t="str">
        <f>IF(B1421="insumo",_xlfn.XLOOKUP($D1421,Insumos!$B$1:$B$764,Insumos!$D$1:$D$764),"")</f>
        <v/>
      </c>
      <c r="H1421" s="177" cm="1">
        <f t="array" ref="H1421">_xlfn.IFS(B1421="Serviço",SUMIFS(H1422:$H$3085,C1422:$C$3085,$C1421),B1421="Insumo",F1421*G1421,B1421="Etapa","")</f>
        <v>536.53250000000014</v>
      </c>
      <c r="I1421" s="178" t="s">
        <v>195</v>
      </c>
    </row>
    <row r="1422" spans="1:9" hidden="1" outlineLevel="2" x14ac:dyDescent="0.25">
      <c r="A1422" s="175">
        <f t="shared" si="47"/>
        <v>1</v>
      </c>
      <c r="B1422" s="175" t="s">
        <v>327</v>
      </c>
      <c r="C1422" s="175" t="str">
        <f t="shared" si="46"/>
        <v>Revestimento em Parede Azulejo Milos - Vila Sintra Azulejos</v>
      </c>
      <c r="D1422" s="175" t="s">
        <v>6913</v>
      </c>
      <c r="E1422" s="176" t="str">
        <f>_xlfn.XLOOKUP(D1422,Insumos!$B$1:$B$764,Insumos!$C$1:$C$764)</f>
        <v>M2</v>
      </c>
      <c r="F1422" s="196">
        <v>1.1000000000000001</v>
      </c>
      <c r="G1422" s="177">
        <f>IF(B1422="insumo",_xlfn.XLOOKUP($D1422,Insumos!$B$1:$B$764,Insumos!$D$1:$D$764),"")</f>
        <v>474</v>
      </c>
      <c r="H1422" s="177" cm="1">
        <f t="array" ref="H1422">_xlfn.IFS(B1422="Serviço",SUMIFS(H1423:$H$3085,C1423:$C$3085,$C1422),B1422="Insumo",F1422*G1422,B1422="Etapa","")</f>
        <v>521.40000000000009</v>
      </c>
      <c r="I1422" s="178"/>
    </row>
    <row r="1423" spans="1:9" hidden="1" outlineLevel="2" x14ac:dyDescent="0.25">
      <c r="A1423" s="175">
        <f t="shared" si="47"/>
        <v>118</v>
      </c>
      <c r="B1423" s="175" t="s">
        <v>327</v>
      </c>
      <c r="C1423" s="175" t="str">
        <f t="shared" si="46"/>
        <v>Revestimento em Parede Azulejo Milos - Vila Sintra Azulejos</v>
      </c>
      <c r="D1423" s="175" t="s">
        <v>654</v>
      </c>
      <c r="E1423" s="176" t="str">
        <f>_xlfn.XLOOKUP(D1423,Insumos!$B$1:$B$764,Insumos!$C$1:$C$764)</f>
        <v>KG</v>
      </c>
      <c r="F1423" s="196">
        <v>4.95</v>
      </c>
      <c r="G1423" s="177">
        <f>IF(B1423="insumo",_xlfn.XLOOKUP($D1423,Insumos!$B$1:$B$764,Insumos!$D$1:$D$764),"")</f>
        <v>2.5499999999999998</v>
      </c>
      <c r="H1423" s="177" cm="1">
        <f t="array" ref="H1423">_xlfn.IFS(B1423="Serviço",SUMIFS(H1424:$H$3085,C1424:$C$3085,$C1423),B1423="Insumo",F1423*G1423,B1423="Etapa","")</f>
        <v>12.622499999999999</v>
      </c>
      <c r="I1423" s="178"/>
    </row>
    <row r="1424" spans="1:9" hidden="1" outlineLevel="2" x14ac:dyDescent="0.25">
      <c r="A1424" s="175">
        <f t="shared" si="47"/>
        <v>78</v>
      </c>
      <c r="B1424" s="175" t="s">
        <v>327</v>
      </c>
      <c r="C1424" s="175" t="str">
        <f t="shared" si="46"/>
        <v>Revestimento em Parede Azulejo Milos - Vila Sintra Azulejos</v>
      </c>
      <c r="D1424" s="175" t="s">
        <v>674</v>
      </c>
      <c r="E1424" s="176" t="str">
        <f>_xlfn.XLOOKUP(D1424,Insumos!$B$1:$B$764,Insumos!$C$1:$C$764)</f>
        <v>UN</v>
      </c>
      <c r="F1424" s="196">
        <v>4</v>
      </c>
      <c r="G1424" s="177">
        <f>IF(B1424="insumo",_xlfn.XLOOKUP($D1424,Insumos!$B$1:$B$764,Insumos!$D$1:$D$764),"")</f>
        <v>0.08</v>
      </c>
      <c r="H1424" s="177" cm="1">
        <f t="array" ref="H1424">_xlfn.IFS(B1424="Serviço",SUMIFS(H1425:$H$3085,C1425:$C$3085,$C1424),B1424="Insumo",F1424*G1424,B1424="Etapa","")</f>
        <v>0.32</v>
      </c>
      <c r="I1424" s="178"/>
    </row>
    <row r="1425" spans="1:9" hidden="1" outlineLevel="2" x14ac:dyDescent="0.25">
      <c r="A1425" s="175">
        <f t="shared" si="47"/>
        <v>19</v>
      </c>
      <c r="B1425" s="175" t="s">
        <v>327</v>
      </c>
      <c r="C1425" s="175" t="str">
        <f t="shared" si="46"/>
        <v>Revestimento em Parede Azulejo Milos - Vila Sintra Azulejos</v>
      </c>
      <c r="D1425" s="175" t="s">
        <v>1962</v>
      </c>
      <c r="E1425" s="176" t="str">
        <f>_xlfn.XLOOKUP(D1425,Insumos!$B$1:$B$764,Insumos!$C$1:$C$764)</f>
        <v>KG</v>
      </c>
      <c r="F1425" s="196">
        <v>0.05</v>
      </c>
      <c r="G1425" s="177">
        <f>IF(B1425="insumo",_xlfn.XLOOKUP($D1425,Insumos!$B$1:$B$764,Insumos!$D$1:$D$764),"")</f>
        <v>43.8</v>
      </c>
      <c r="H1425" s="177" cm="1">
        <f t="array" ref="H1425">_xlfn.IFS(B1425="Serviço",SUMIFS(H1426:$H$3085,C1426:$C$3085,$C1425),B1425="Insumo",F1425*G1425,B1425="Etapa","")</f>
        <v>2.19</v>
      </c>
      <c r="I1425" s="178"/>
    </row>
    <row r="1426" spans="1:9" outlineLevel="1" collapsed="1" x14ac:dyDescent="0.25">
      <c r="A1426" s="175">
        <f t="shared" si="47"/>
        <v>1</v>
      </c>
      <c r="B1426" s="175" t="s">
        <v>109</v>
      </c>
      <c r="C1426" s="175" t="str">
        <f t="shared" si="46"/>
        <v>Revestimento em Ladrilhos para Piscina, Cinza giz 15x15 com Juntas e rejunte acrilico</v>
      </c>
      <c r="D1426" s="175" t="s">
        <v>1992</v>
      </c>
      <c r="E1426" s="176" t="s">
        <v>13</v>
      </c>
      <c r="F1426" s="175"/>
      <c r="G1426" s="177" t="str">
        <f>IF(B1426="insumo",_xlfn.XLOOKUP($D1426,Insumos!$B$1:$B$764,Insumos!$D$1:$D$764),"")</f>
        <v/>
      </c>
      <c r="H1426" s="177" cm="1">
        <f t="array" ref="H1426">_xlfn.IFS(B1426="Serviço",SUMIFS(H1427:$H$3085,C1427:$C$3085,$C1426),B1426="Insumo",F1426*G1426,B1426="Etapa","")</f>
        <v>173.2355</v>
      </c>
      <c r="I1426" s="178" t="s">
        <v>195</v>
      </c>
    </row>
    <row r="1427" spans="1:9" hidden="1" outlineLevel="2" x14ac:dyDescent="0.25">
      <c r="A1427" s="175">
        <f t="shared" si="47"/>
        <v>1</v>
      </c>
      <c r="B1427" s="175" t="s">
        <v>327</v>
      </c>
      <c r="C1427" s="175" t="str">
        <f t="shared" si="46"/>
        <v>Revestimento em Ladrilhos para Piscina, Cinza giz 15x15 com Juntas e rejunte acrilico</v>
      </c>
      <c r="D1427" s="175" t="s">
        <v>1991</v>
      </c>
      <c r="E1427" s="176" t="str">
        <f>_xlfn.XLOOKUP(D1427,Insumos!$B$1:$B$764,Insumos!$C$1:$C$764)</f>
        <v>M2</v>
      </c>
      <c r="F1427" s="196">
        <v>1.1000000000000001</v>
      </c>
      <c r="G1427" s="177">
        <f>IF(B1427="insumo",_xlfn.XLOOKUP($D1427,Insumos!$B$1:$B$764,Insumos!$D$1:$D$764),"")</f>
        <v>143.72999999999999</v>
      </c>
      <c r="H1427" s="177" cm="1">
        <f t="array" ref="H1427">_xlfn.IFS(B1427="Serviço",SUMIFS(H1428:$H$3085,C1428:$C$3085,$C1427),B1427="Insumo",F1427*G1427,B1427="Etapa","")</f>
        <v>158.10300000000001</v>
      </c>
      <c r="I1427" s="178"/>
    </row>
    <row r="1428" spans="1:9" hidden="1" outlineLevel="2" x14ac:dyDescent="0.25">
      <c r="A1428" s="175">
        <f t="shared" si="47"/>
        <v>118</v>
      </c>
      <c r="B1428" s="175" t="s">
        <v>327</v>
      </c>
      <c r="C1428" s="175" t="str">
        <f t="shared" si="46"/>
        <v>Revestimento em Ladrilhos para Piscina, Cinza giz 15x15 com Juntas e rejunte acrilico</v>
      </c>
      <c r="D1428" s="175" t="s">
        <v>654</v>
      </c>
      <c r="E1428" s="176" t="str">
        <f>_xlfn.XLOOKUP(D1428,Insumos!$B$1:$B$764,Insumos!$C$1:$C$764)</f>
        <v>KG</v>
      </c>
      <c r="F1428" s="196">
        <v>4.95</v>
      </c>
      <c r="G1428" s="177">
        <f>IF(B1428="insumo",_xlfn.XLOOKUP($D1428,Insumos!$B$1:$B$764,Insumos!$D$1:$D$764),"")</f>
        <v>2.5499999999999998</v>
      </c>
      <c r="H1428" s="177" cm="1">
        <f t="array" ref="H1428">_xlfn.IFS(B1428="Serviço",SUMIFS(H1429:$H$3085,C1429:$C$3085,$C1428),B1428="Insumo",F1428*G1428,B1428="Etapa","")</f>
        <v>12.622499999999999</v>
      </c>
      <c r="I1428" s="178"/>
    </row>
    <row r="1429" spans="1:9" hidden="1" outlineLevel="2" x14ac:dyDescent="0.25">
      <c r="A1429" s="175">
        <f t="shared" si="47"/>
        <v>78</v>
      </c>
      <c r="B1429" s="175" t="s">
        <v>327</v>
      </c>
      <c r="C1429" s="175" t="str">
        <f t="shared" si="46"/>
        <v>Revestimento em Ladrilhos para Piscina, Cinza giz 15x15 com Juntas e rejunte acrilico</v>
      </c>
      <c r="D1429" s="175" t="s">
        <v>674</v>
      </c>
      <c r="E1429" s="176" t="str">
        <f>_xlfn.XLOOKUP(D1429,Insumos!$B$1:$B$764,Insumos!$C$1:$C$764)</f>
        <v>UN</v>
      </c>
      <c r="F1429" s="196">
        <v>4</v>
      </c>
      <c r="G1429" s="177">
        <f>IF(B1429="insumo",_xlfn.XLOOKUP($D1429,Insumos!$B$1:$B$764,Insumos!$D$1:$D$764),"")</f>
        <v>0.08</v>
      </c>
      <c r="H1429" s="177" cm="1">
        <f t="array" ref="H1429">_xlfn.IFS(B1429="Serviço",SUMIFS(H1430:$H$3085,C1430:$C$3085,$C1429),B1429="Insumo",F1429*G1429,B1429="Etapa","")</f>
        <v>0.32</v>
      </c>
      <c r="I1429" s="178"/>
    </row>
    <row r="1430" spans="1:9" hidden="1" outlineLevel="2" x14ac:dyDescent="0.25">
      <c r="A1430" s="175">
        <f t="shared" si="47"/>
        <v>19</v>
      </c>
      <c r="B1430" s="175" t="s">
        <v>327</v>
      </c>
      <c r="C1430" s="175" t="str">
        <f t="shared" si="46"/>
        <v>Revestimento em Ladrilhos para Piscina, Cinza giz 15x15 com Juntas e rejunte acrilico</v>
      </c>
      <c r="D1430" s="175" t="s">
        <v>1962</v>
      </c>
      <c r="E1430" s="176" t="str">
        <f>_xlfn.XLOOKUP(D1430,Insumos!$B$1:$B$764,Insumos!$C$1:$C$764)</f>
        <v>KG</v>
      </c>
      <c r="F1430" s="196">
        <v>0.05</v>
      </c>
      <c r="G1430" s="177">
        <f>IF(B1430="insumo",_xlfn.XLOOKUP($D1430,Insumos!$B$1:$B$764,Insumos!$D$1:$D$764),"")</f>
        <v>43.8</v>
      </c>
      <c r="H1430" s="177" cm="1">
        <f t="array" ref="H1430">_xlfn.IFS(B1430="Serviço",SUMIFS(H1431:$H$3085,C1431:$C$3085,$C1430),B1430="Insumo",F1430*G1430,B1430="Etapa","")</f>
        <v>2.19</v>
      </c>
      <c r="I1430" s="178"/>
    </row>
    <row r="1431" spans="1:9" outlineLevel="1" collapsed="1" x14ac:dyDescent="0.25">
      <c r="A1431" s="175">
        <f t="shared" si="47"/>
        <v>1</v>
      </c>
      <c r="B1431" s="175" t="s">
        <v>109</v>
      </c>
      <c r="C1431" s="175" t="str">
        <f t="shared" si="46"/>
        <v>Revestimento em Ladrilhos para Piscina, Branco Mate 15x15 com Juntas</v>
      </c>
      <c r="D1431" s="175" t="s">
        <v>681</v>
      </c>
      <c r="E1431" s="176" t="s">
        <v>13</v>
      </c>
      <c r="F1431" s="175"/>
      <c r="G1431" s="177" t="str">
        <f>IF(B1431="insumo",_xlfn.XLOOKUP($D1431,Insumos!$B$1:$B$764,Insumos!$D$1:$D$764),"")</f>
        <v/>
      </c>
      <c r="H1431" s="177" cm="1">
        <f t="array" ref="H1431">_xlfn.IFS(B1431="Serviço",SUMIFS(H1432:$H$3085,C1432:$C$3085,$C1431),B1431="Insumo",F1431*G1431,B1431="Etapa","")</f>
        <v>291.62850000000003</v>
      </c>
      <c r="I1431" s="178" t="s">
        <v>195</v>
      </c>
    </row>
    <row r="1432" spans="1:9" hidden="1" outlineLevel="2" x14ac:dyDescent="0.25">
      <c r="A1432" s="175">
        <f t="shared" si="47"/>
        <v>1</v>
      </c>
      <c r="B1432" s="175" t="s">
        <v>327</v>
      </c>
      <c r="C1432" s="175" t="str">
        <f t="shared" si="46"/>
        <v>Revestimento em Ladrilhos para Piscina, Branco Mate 15x15 com Juntas</v>
      </c>
      <c r="D1432" s="175" t="s">
        <v>682</v>
      </c>
      <c r="E1432" s="176" t="str">
        <f>_xlfn.XLOOKUP(D1432,Insumos!$B$1:$B$764,Insumos!$C$1:$C$764)</f>
        <v>M2</v>
      </c>
      <c r="F1432" s="196">
        <v>1.1000000000000001</v>
      </c>
      <c r="G1432" s="177">
        <f>IF(B1432="insumo",_xlfn.XLOOKUP($D1432,Insumos!$B$1:$B$764,Insumos!$D$1:$D$764),"")</f>
        <v>251.36</v>
      </c>
      <c r="H1432" s="177" cm="1">
        <f t="array" ref="H1432">_xlfn.IFS(B1432="Serviço",SUMIFS(H1433:$H$3085,C1433:$C$3085,$C1432),B1432="Insumo",F1432*G1432,B1432="Etapa","")</f>
        <v>276.49600000000004</v>
      </c>
      <c r="I1432" s="178"/>
    </row>
    <row r="1433" spans="1:9" hidden="1" outlineLevel="2" x14ac:dyDescent="0.25">
      <c r="A1433" s="175">
        <f t="shared" si="47"/>
        <v>118</v>
      </c>
      <c r="B1433" s="175" t="s">
        <v>327</v>
      </c>
      <c r="C1433" s="175" t="str">
        <f t="shared" si="46"/>
        <v>Revestimento em Ladrilhos para Piscina, Branco Mate 15x15 com Juntas</v>
      </c>
      <c r="D1433" s="175" t="s">
        <v>654</v>
      </c>
      <c r="E1433" s="176" t="str">
        <f>_xlfn.XLOOKUP(D1433,Insumos!$B$1:$B$764,Insumos!$C$1:$C$764)</f>
        <v>KG</v>
      </c>
      <c r="F1433" s="196">
        <v>4.95</v>
      </c>
      <c r="G1433" s="177">
        <f>IF(B1433="insumo",_xlfn.XLOOKUP($D1433,Insumos!$B$1:$B$764,Insumos!$D$1:$D$764),"")</f>
        <v>2.5499999999999998</v>
      </c>
      <c r="H1433" s="177" cm="1">
        <f t="array" ref="H1433">_xlfn.IFS(B1433="Serviço",SUMIFS(H1434:$H$3085,C1434:$C$3085,$C1433),B1433="Insumo",F1433*G1433,B1433="Etapa","")</f>
        <v>12.622499999999999</v>
      </c>
      <c r="I1433" s="178"/>
    </row>
    <row r="1434" spans="1:9" hidden="1" outlineLevel="2" x14ac:dyDescent="0.25">
      <c r="A1434" s="175">
        <f t="shared" si="47"/>
        <v>78</v>
      </c>
      <c r="B1434" s="175" t="s">
        <v>327</v>
      </c>
      <c r="C1434" s="175" t="str">
        <f t="shared" si="46"/>
        <v>Revestimento em Ladrilhos para Piscina, Branco Mate 15x15 com Juntas</v>
      </c>
      <c r="D1434" s="175" t="s">
        <v>674</v>
      </c>
      <c r="E1434" s="176" t="str">
        <f>_xlfn.XLOOKUP(D1434,Insumos!$B$1:$B$764,Insumos!$C$1:$C$764)</f>
        <v>UN</v>
      </c>
      <c r="F1434" s="196">
        <v>4</v>
      </c>
      <c r="G1434" s="177">
        <f>IF(B1434="insumo",_xlfn.XLOOKUP($D1434,Insumos!$B$1:$B$764,Insumos!$D$1:$D$764),"")</f>
        <v>0.08</v>
      </c>
      <c r="H1434" s="177" cm="1">
        <f t="array" ref="H1434">_xlfn.IFS(B1434="Serviço",SUMIFS(H1435:$H$3085,C1435:$C$3085,$C1434),B1434="Insumo",F1434*G1434,B1434="Etapa","")</f>
        <v>0.32</v>
      </c>
      <c r="I1434" s="178"/>
    </row>
    <row r="1435" spans="1:9" hidden="1" outlineLevel="2" x14ac:dyDescent="0.25">
      <c r="A1435" s="175">
        <f t="shared" si="47"/>
        <v>19</v>
      </c>
      <c r="B1435" s="175" t="s">
        <v>327</v>
      </c>
      <c r="C1435" s="175" t="str">
        <f t="shared" si="46"/>
        <v>Revestimento em Ladrilhos para Piscina, Branco Mate 15x15 com Juntas</v>
      </c>
      <c r="D1435" s="175" t="s">
        <v>1962</v>
      </c>
      <c r="E1435" s="176" t="str">
        <f>_xlfn.XLOOKUP(D1435,Insumos!$B$1:$B$764,Insumos!$C$1:$C$764)</f>
        <v>KG</v>
      </c>
      <c r="F1435" s="196">
        <v>0.05</v>
      </c>
      <c r="G1435" s="177">
        <f>IF(B1435="insumo",_xlfn.XLOOKUP($D1435,Insumos!$B$1:$B$764,Insumos!$D$1:$D$764),"")</f>
        <v>43.8</v>
      </c>
      <c r="H1435" s="177" cm="1">
        <f t="array" ref="H1435">_xlfn.IFS(B1435="Serviço",SUMIFS(H1436:$H$3085,C1436:$C$3085,$C1435),B1435="Insumo",F1435*G1435,B1435="Etapa","")</f>
        <v>2.19</v>
      </c>
      <c r="I1435" s="178"/>
    </row>
    <row r="1436" spans="1:9" outlineLevel="1" x14ac:dyDescent="0.25">
      <c r="A1436" s="175">
        <f t="shared" si="47"/>
        <v>1</v>
      </c>
      <c r="B1436" s="175" t="s">
        <v>109</v>
      </c>
      <c r="C1436" s="175" t="str">
        <f t="shared" si="46"/>
        <v xml:space="preserve">Revestimento em Pastilhas Cerâmicas Para Piscinas , 14,5 x 14,5cm com Junta de 3mm </v>
      </c>
      <c r="D1436" s="175" t="s">
        <v>243</v>
      </c>
      <c r="E1436" s="176" t="s">
        <v>13</v>
      </c>
      <c r="F1436" s="175"/>
      <c r="G1436" s="177" t="str">
        <f>IF(B1436="insumo",_xlfn.XLOOKUP($D1436,Insumos!$B$1:$B$764,Insumos!$D$1:$D$764),"")</f>
        <v/>
      </c>
      <c r="H1436" s="177" cm="1">
        <f t="array" ref="H1436">_xlfn.IFS(B1436="Serviço",SUMIFS(H1437:$H$3085,C1437:$C$3085,$C1436),B1436="Insumo",F1436*G1436,B1436="Etapa","")</f>
        <v>154.19000000000003</v>
      </c>
      <c r="I1436" s="178" t="s">
        <v>195</v>
      </c>
    </row>
    <row r="1437" spans="1:9" outlineLevel="2" x14ac:dyDescent="0.25">
      <c r="A1437" s="175">
        <f t="shared" si="47"/>
        <v>3</v>
      </c>
      <c r="B1437" s="175" t="s">
        <v>327</v>
      </c>
      <c r="C1437" s="175" t="str">
        <f t="shared" si="46"/>
        <v xml:space="preserve">Revestimento em Pastilhas Cerâmicas Para Piscinas , 14,5 x 14,5cm com Junta de 3mm </v>
      </c>
      <c r="D1437" s="175" t="s">
        <v>683</v>
      </c>
      <c r="E1437" s="176" t="str">
        <f>_xlfn.XLOOKUP(D1437,Insumos!$B$1:$B$764,Insumos!$C$1:$C$764)</f>
        <v>M2</v>
      </c>
      <c r="F1437" s="196">
        <v>1.1000000000000001</v>
      </c>
      <c r="G1437" s="177">
        <f>IF(B1437="insumo",_xlfn.XLOOKUP($D1437,Insumos!$B$1:$B$764,Insumos!$D$1:$D$764),"")</f>
        <v>127.9</v>
      </c>
      <c r="H1437" s="177" cm="1">
        <f t="array" ref="H1437">_xlfn.IFS(B1437="Serviço",SUMIFS(H1438:$H$3085,C1438:$C$3085,$C1437),B1437="Insumo",F1437*G1437,B1437="Etapa","")</f>
        <v>140.69000000000003</v>
      </c>
      <c r="I1437" s="178"/>
    </row>
    <row r="1438" spans="1:9" outlineLevel="2" x14ac:dyDescent="0.25">
      <c r="A1438" s="175">
        <f t="shared" si="47"/>
        <v>118</v>
      </c>
      <c r="B1438" s="175" t="s">
        <v>327</v>
      </c>
      <c r="C1438" s="175" t="str">
        <f t="shared" si="46"/>
        <v xml:space="preserve">Revestimento em Pastilhas Cerâmicas Para Piscinas , 14,5 x 14,5cm com Junta de 3mm </v>
      </c>
      <c r="D1438" s="175" t="s">
        <v>654</v>
      </c>
      <c r="E1438" s="176" t="str">
        <f>_xlfn.XLOOKUP(D1438,Insumos!$B$1:$B$764,Insumos!$C$1:$C$764)</f>
        <v>KG</v>
      </c>
      <c r="F1438" s="196">
        <v>4.95</v>
      </c>
      <c r="G1438" s="177">
        <f>IF(B1438="insumo",_xlfn.XLOOKUP($D1438,Insumos!$B$1:$B$764,Insumos!$D$1:$D$764),"")</f>
        <v>2.5499999999999998</v>
      </c>
      <c r="H1438" s="177" cm="1">
        <f t="array" ref="H1438">_xlfn.IFS(B1438="Serviço",SUMIFS(H1439:$H$3085,C1439:$C$3085,$C1438),B1438="Insumo",F1438*G1438,B1438="Etapa","")</f>
        <v>12.622499999999999</v>
      </c>
      <c r="I1438" s="178"/>
    </row>
    <row r="1439" spans="1:9" outlineLevel="2" x14ac:dyDescent="0.25">
      <c r="A1439" s="175">
        <f t="shared" si="47"/>
        <v>78</v>
      </c>
      <c r="B1439" s="175" t="s">
        <v>327</v>
      </c>
      <c r="C1439" s="175" t="str">
        <f t="shared" si="46"/>
        <v xml:space="preserve">Revestimento em Pastilhas Cerâmicas Para Piscinas , 14,5 x 14,5cm com Junta de 3mm </v>
      </c>
      <c r="D1439" s="175" t="s">
        <v>674</v>
      </c>
      <c r="E1439" s="176" t="str">
        <f>_xlfn.XLOOKUP(D1439,Insumos!$B$1:$B$764,Insumos!$C$1:$C$764)</f>
        <v>UN</v>
      </c>
      <c r="F1439" s="196">
        <v>4</v>
      </c>
      <c r="G1439" s="177">
        <f>IF(B1439="insumo",_xlfn.XLOOKUP($D1439,Insumos!$B$1:$B$764,Insumos!$D$1:$D$764),"")</f>
        <v>0.08</v>
      </c>
      <c r="H1439" s="177" cm="1">
        <f t="array" ref="H1439">_xlfn.IFS(B1439="Serviço",SUMIFS(H1440:$H$3085,C1440:$C$3085,$C1439),B1439="Insumo",F1439*G1439,B1439="Etapa","")</f>
        <v>0.32</v>
      </c>
      <c r="I1439" s="178"/>
    </row>
    <row r="1440" spans="1:9" outlineLevel="2" x14ac:dyDescent="0.25">
      <c r="A1440" s="175">
        <f t="shared" si="47"/>
        <v>71</v>
      </c>
      <c r="B1440" s="175" t="s">
        <v>327</v>
      </c>
      <c r="C1440" s="175" t="str">
        <f t="shared" ref="C1440:C1503" si="48">IF(B1440="serviço",D1440,C1439)</f>
        <v xml:space="preserve">Revestimento em Pastilhas Cerâmicas Para Piscinas , 14,5 x 14,5cm com Junta de 3mm </v>
      </c>
      <c r="D1440" s="175" t="s">
        <v>675</v>
      </c>
      <c r="E1440" s="176" t="str">
        <f>_xlfn.XLOOKUP(D1440,Insumos!$B$1:$B$764,Insumos!$C$1:$C$764)</f>
        <v>KG</v>
      </c>
      <c r="F1440" s="196">
        <v>0.05</v>
      </c>
      <c r="G1440" s="177">
        <f>IF(B1440="insumo",_xlfn.XLOOKUP($D1440,Insumos!$B$1:$B$764,Insumos!$D$1:$D$764),"")</f>
        <v>11.15</v>
      </c>
      <c r="H1440" s="177" cm="1">
        <f t="array" ref="H1440">_xlfn.IFS(B1440="Serviço",SUMIFS(H1441:$H$3085,C1441:$C$3085,$C1440),B1440="Insumo",F1440*G1440,B1440="Etapa","")</f>
        <v>0.5575</v>
      </c>
      <c r="I1440" s="178"/>
    </row>
    <row r="1441" spans="1:9" outlineLevel="1" x14ac:dyDescent="0.25">
      <c r="A1441" s="175">
        <f t="shared" si="47"/>
        <v>1</v>
      </c>
      <c r="B1441" s="175" t="s">
        <v>109</v>
      </c>
      <c r="C1441" s="175" t="str">
        <f t="shared" si="48"/>
        <v xml:space="preserve">Requadro de portas dos Elevadores Granito preto são gabriel </v>
      </c>
      <c r="D1441" s="175" t="s">
        <v>3197</v>
      </c>
      <c r="E1441" s="176" t="s">
        <v>13</v>
      </c>
      <c r="F1441" s="175"/>
      <c r="G1441" s="177" t="str">
        <f>IF(B1441="insumo",_xlfn.XLOOKUP($D1441,Insumos!$B$1:$B$764,Insumos!$D$1:$D$764),"")</f>
        <v/>
      </c>
      <c r="H1441" s="177" cm="1">
        <f t="array" ref="H1441">_xlfn.IFS(B1441="Serviço",SUMIFS(H1442:$H$3085,C1442:$C$3085,$C1441),B1441="Insumo",F1441*G1441,B1441="Etapa","")</f>
        <v>704.43</v>
      </c>
      <c r="I1441" s="178" t="s">
        <v>195</v>
      </c>
    </row>
    <row r="1442" spans="1:9" outlineLevel="2" x14ac:dyDescent="0.25">
      <c r="A1442" s="175">
        <f t="shared" si="47"/>
        <v>4</v>
      </c>
      <c r="B1442" s="175" t="s">
        <v>327</v>
      </c>
      <c r="C1442" s="175" t="str">
        <f t="shared" si="48"/>
        <v xml:space="preserve">Requadro de portas dos Elevadores Granito preto são gabriel </v>
      </c>
      <c r="D1442" s="175" t="s">
        <v>3198</v>
      </c>
      <c r="E1442" s="176" t="str">
        <f>_xlfn.XLOOKUP(D1442,Insumos!$B$1:$B$764,Insumos!$C$1:$C$764)</f>
        <v>M2</v>
      </c>
      <c r="F1442" s="179">
        <v>1.05</v>
      </c>
      <c r="G1442" s="177">
        <f>IF(B1442="insumo",_xlfn.XLOOKUP($D1442,Insumos!$B$1:$B$764,Insumos!$D$1:$D$764),"")</f>
        <v>650</v>
      </c>
      <c r="H1442" s="177" cm="1">
        <f t="array" ref="H1442">_xlfn.IFS(B1442="Serviço",SUMIFS(H1443:$H$3085,C1443:$C$3085,$C1442),B1442="Insumo",F1442*G1442,B1442="Etapa","")</f>
        <v>682.5</v>
      </c>
      <c r="I1442" s="178"/>
    </row>
    <row r="1443" spans="1:9" outlineLevel="2" x14ac:dyDescent="0.25">
      <c r="A1443" s="175">
        <f t="shared" si="47"/>
        <v>118</v>
      </c>
      <c r="B1443" s="175" t="s">
        <v>327</v>
      </c>
      <c r="C1443" s="175" t="str">
        <f t="shared" si="48"/>
        <v xml:space="preserve">Requadro de portas dos Elevadores Granito preto são gabriel </v>
      </c>
      <c r="D1443" s="175" t="s">
        <v>654</v>
      </c>
      <c r="E1443" s="176" t="str">
        <f>_xlfn.XLOOKUP(D1443,Insumos!$B$1:$B$764,Insumos!$C$1:$C$764)</f>
        <v>KG</v>
      </c>
      <c r="F1443" s="179">
        <v>8.6</v>
      </c>
      <c r="G1443" s="177">
        <f>IF(B1443="insumo",_xlfn.XLOOKUP($D1443,Insumos!$B$1:$B$764,Insumos!$D$1:$D$764),"")</f>
        <v>2.5499999999999998</v>
      </c>
      <c r="H1443" s="177" cm="1">
        <f t="array" ref="H1443">_xlfn.IFS(B1443="Serviço",SUMIFS(H1444:$H$3085,C1444:$C$3085,$C1443),B1443="Insumo",F1443*G1443,B1443="Etapa","")</f>
        <v>21.929999999999996</v>
      </c>
      <c r="I1443" s="178"/>
    </row>
    <row r="1444" spans="1:9" outlineLevel="1" collapsed="1" x14ac:dyDescent="0.25">
      <c r="A1444" s="175">
        <f t="shared" si="47"/>
        <v>1</v>
      </c>
      <c r="B1444" s="175" t="s">
        <v>109</v>
      </c>
      <c r="C1444" s="175" t="str">
        <f t="shared" si="48"/>
        <v>Peitoril em granito preto são gabriel</v>
      </c>
      <c r="D1444" s="175" t="s">
        <v>4261</v>
      </c>
      <c r="E1444" s="176" t="s">
        <v>13</v>
      </c>
      <c r="F1444" s="175"/>
      <c r="G1444" s="177" t="str">
        <f>IF(B1444="insumo",_xlfn.XLOOKUP($D1444,Insumos!$B$1:$B$764,Insumos!$D$1:$D$764),"")</f>
        <v/>
      </c>
      <c r="H1444" s="177" cm="1">
        <f t="array" ref="H1444">_xlfn.IFS(B1444="Serviço",SUMIFS(H1445:$H$3085,C1445:$C$3085,$C1444),B1444="Insumo",F1444*G1444,B1444="Etapa","")</f>
        <v>704.43</v>
      </c>
      <c r="I1444" s="178" t="s">
        <v>195</v>
      </c>
    </row>
    <row r="1445" spans="1:9" hidden="1" outlineLevel="2" x14ac:dyDescent="0.25">
      <c r="A1445" s="175">
        <f t="shared" si="47"/>
        <v>4</v>
      </c>
      <c r="B1445" s="175" t="s">
        <v>327</v>
      </c>
      <c r="C1445" s="175" t="str">
        <f t="shared" si="48"/>
        <v>Peitoril em granito preto são gabriel</v>
      </c>
      <c r="D1445" s="175" t="s">
        <v>3198</v>
      </c>
      <c r="E1445" s="176" t="str">
        <f>_xlfn.XLOOKUP(D1445,Insumos!$B$1:$B$764,Insumos!$C$1:$C$764)</f>
        <v>M2</v>
      </c>
      <c r="F1445" s="179">
        <v>1.05</v>
      </c>
      <c r="G1445" s="177">
        <f>IF(B1445="insumo",_xlfn.XLOOKUP($D1445,Insumos!$B$1:$B$764,Insumos!$D$1:$D$764),"")</f>
        <v>650</v>
      </c>
      <c r="H1445" s="177" cm="1">
        <f t="array" ref="H1445">_xlfn.IFS(B1445="Serviço",SUMIFS(H1446:$H$3085,C1446:$C$3085,$C1445),B1445="Insumo",F1445*G1445,B1445="Etapa","")</f>
        <v>682.5</v>
      </c>
      <c r="I1445" s="178"/>
    </row>
    <row r="1446" spans="1:9" hidden="1" outlineLevel="2" x14ac:dyDescent="0.25">
      <c r="A1446" s="175">
        <f t="shared" si="47"/>
        <v>118</v>
      </c>
      <c r="B1446" s="175" t="s">
        <v>327</v>
      </c>
      <c r="C1446" s="175" t="str">
        <f t="shared" si="48"/>
        <v>Peitoril em granito preto são gabriel</v>
      </c>
      <c r="D1446" s="175" t="s">
        <v>654</v>
      </c>
      <c r="E1446" s="176" t="str">
        <f>_xlfn.XLOOKUP(D1446,Insumos!$B$1:$B$764,Insumos!$C$1:$C$764)</f>
        <v>KG</v>
      </c>
      <c r="F1446" s="179">
        <v>8.6</v>
      </c>
      <c r="G1446" s="177">
        <f>IF(B1446="insumo",_xlfn.XLOOKUP($D1446,Insumos!$B$1:$B$764,Insumos!$D$1:$D$764),"")</f>
        <v>2.5499999999999998</v>
      </c>
      <c r="H1446" s="177" cm="1">
        <f t="array" ref="H1446">_xlfn.IFS(B1446="Serviço",SUMIFS(H1447:$H$3085,C1447:$C$3085,$C1446),B1446="Insumo",F1446*G1446,B1446="Etapa","")</f>
        <v>21.929999999999996</v>
      </c>
      <c r="I1446" s="178"/>
    </row>
    <row r="1447" spans="1:9" outlineLevel="1" collapsed="1" x14ac:dyDescent="0.25">
      <c r="A1447" s="175">
        <f t="shared" si="47"/>
        <v>1</v>
      </c>
      <c r="B1447" s="175" t="s">
        <v>109</v>
      </c>
      <c r="C1447" s="175" t="str">
        <f t="shared" si="48"/>
        <v>Pingadeira em marmore cinza, esp. 2cm</v>
      </c>
      <c r="D1447" s="175" t="s">
        <v>684</v>
      </c>
      <c r="E1447" s="176" t="s">
        <v>13</v>
      </c>
      <c r="F1447" s="175"/>
      <c r="G1447" s="177" t="str">
        <f>IF(B1447="insumo",_xlfn.XLOOKUP($D1447,Insumos!$B$1:$B$764,Insumos!$D$1:$D$764),"")</f>
        <v/>
      </c>
      <c r="H1447" s="177" cm="1">
        <f t="array" ref="H1447">_xlfn.IFS(B1447="Serviço",SUMIFS(H1448:$H$3085,C1448:$C$3085,$C1447),B1447="Insumo",F1447*G1447,B1447="Etapa","")</f>
        <v>525.92999999999995</v>
      </c>
      <c r="I1447" s="178" t="s">
        <v>195</v>
      </c>
    </row>
    <row r="1448" spans="1:9" hidden="1" outlineLevel="2" x14ac:dyDescent="0.25">
      <c r="A1448" s="175">
        <f t="shared" si="47"/>
        <v>3</v>
      </c>
      <c r="B1448" s="175" t="s">
        <v>327</v>
      </c>
      <c r="C1448" s="175" t="str">
        <f t="shared" si="48"/>
        <v>Pingadeira em marmore cinza, esp. 2cm</v>
      </c>
      <c r="D1448" s="175" t="s">
        <v>685</v>
      </c>
      <c r="E1448" s="176" t="str">
        <f>_xlfn.XLOOKUP(D1448,Insumos!$B$1:$B$764,Insumos!$C$1:$C$764)</f>
        <v>M2</v>
      </c>
      <c r="F1448" s="179">
        <v>1.05</v>
      </c>
      <c r="G1448" s="177">
        <f>IF(B1448="insumo",_xlfn.XLOOKUP($D1448,Insumos!$B$1:$B$764,Insumos!$D$1:$D$764),"")</f>
        <v>480</v>
      </c>
      <c r="H1448" s="177" cm="1">
        <f t="array" ref="H1448">_xlfn.IFS(B1448="Serviço",SUMIFS(H1449:$H$3085,C1449:$C$3085,$C1448),B1448="Insumo",F1448*G1448,B1448="Etapa","")</f>
        <v>504</v>
      </c>
      <c r="I1448" s="178"/>
    </row>
    <row r="1449" spans="1:9" hidden="1" outlineLevel="2" x14ac:dyDescent="0.25">
      <c r="A1449" s="175">
        <f t="shared" si="47"/>
        <v>118</v>
      </c>
      <c r="B1449" s="175" t="s">
        <v>327</v>
      </c>
      <c r="C1449" s="175" t="str">
        <f t="shared" si="48"/>
        <v>Pingadeira em marmore cinza, esp. 2cm</v>
      </c>
      <c r="D1449" s="175" t="s">
        <v>654</v>
      </c>
      <c r="E1449" s="176" t="str">
        <f>_xlfn.XLOOKUP(D1449,Insumos!$B$1:$B$764,Insumos!$C$1:$C$764)</f>
        <v>KG</v>
      </c>
      <c r="F1449" s="179">
        <v>8.6</v>
      </c>
      <c r="G1449" s="177">
        <f>IF(B1449="insumo",_xlfn.XLOOKUP($D1449,Insumos!$B$1:$B$764,Insumos!$D$1:$D$764),"")</f>
        <v>2.5499999999999998</v>
      </c>
      <c r="H1449" s="177" cm="1">
        <f t="array" ref="H1449">_xlfn.IFS(B1449="Serviço",SUMIFS(H1450:$H$3085,C1450:$C$3085,$C1449),B1449="Insumo",F1449*G1449,B1449="Etapa","")</f>
        <v>21.929999999999996</v>
      </c>
      <c r="I1449" s="178"/>
    </row>
    <row r="1450" spans="1:9" outlineLevel="1" collapsed="1" x14ac:dyDescent="0.25">
      <c r="A1450" s="175">
        <f t="shared" si="47"/>
        <v>1</v>
      </c>
      <c r="B1450" s="175" t="s">
        <v>109</v>
      </c>
      <c r="C1450" s="175" t="str">
        <f t="shared" si="48"/>
        <v>Peitoril em Granito, esp. 2cm</v>
      </c>
      <c r="D1450" s="175" t="s">
        <v>686</v>
      </c>
      <c r="E1450" s="176" t="s">
        <v>25</v>
      </c>
      <c r="F1450" s="175"/>
      <c r="G1450" s="177" t="str">
        <f>IF(B1450="insumo",_xlfn.XLOOKUP($D1450,Insumos!$B$1:$B$764,Insumos!$D$1:$D$764),"")</f>
        <v/>
      </c>
      <c r="H1450" s="177" cm="1">
        <f t="array" ref="H1450">_xlfn.IFS(B1450="Serviço",SUMIFS(H1451:$H$3085,C1451:$C$3085,$C1450),B1450="Insumo",F1450*G1450,B1450="Etapa","")</f>
        <v>241.245</v>
      </c>
      <c r="I1450" s="178" t="s">
        <v>195</v>
      </c>
    </row>
    <row r="1451" spans="1:9" hidden="1" outlineLevel="2" x14ac:dyDescent="0.25">
      <c r="A1451" s="175">
        <f t="shared" si="47"/>
        <v>3</v>
      </c>
      <c r="B1451" s="175" t="s">
        <v>327</v>
      </c>
      <c r="C1451" s="175" t="str">
        <f t="shared" si="48"/>
        <v>Peitoril em Granito, esp. 2cm</v>
      </c>
      <c r="D1451" s="175" t="s">
        <v>687</v>
      </c>
      <c r="E1451" s="176" t="str">
        <f>_xlfn.XLOOKUP(D1451,Insumos!$B$1:$B$764,Insumos!$C$1:$C$764)</f>
        <v>M2</v>
      </c>
      <c r="F1451" s="179">
        <f>0.3*1.0416</f>
        <v>0.31248000000000004</v>
      </c>
      <c r="G1451" s="177">
        <f>IF(B1451="insumo",_xlfn.XLOOKUP($D1451,Insumos!$B$1:$B$764,Insumos!$D$1:$D$764),"")</f>
        <v>750</v>
      </c>
      <c r="H1451" s="177" cm="1">
        <f t="array" ref="H1451">_xlfn.IFS(B1451="Serviço",SUMIFS(H1452:$H$3085,C1452:$C$3085,$C1451),B1451="Insumo",F1451*G1451,B1451="Etapa","")</f>
        <v>234.36</v>
      </c>
      <c r="I1451" s="178"/>
    </row>
    <row r="1452" spans="1:9" hidden="1" outlineLevel="2" x14ac:dyDescent="0.25">
      <c r="A1452" s="175">
        <f t="shared" si="47"/>
        <v>118</v>
      </c>
      <c r="B1452" s="175" t="s">
        <v>327</v>
      </c>
      <c r="C1452" s="175" t="str">
        <f t="shared" si="48"/>
        <v>Peitoril em Granito, esp. 2cm</v>
      </c>
      <c r="D1452" s="175" t="s">
        <v>654</v>
      </c>
      <c r="E1452" s="176" t="str">
        <f>_xlfn.XLOOKUP(D1452,Insumos!$B$1:$B$764,Insumos!$C$1:$C$764)</f>
        <v>KG</v>
      </c>
      <c r="F1452" s="179">
        <f>9*0.3</f>
        <v>2.6999999999999997</v>
      </c>
      <c r="G1452" s="177">
        <f>IF(B1452="insumo",_xlfn.XLOOKUP($D1452,Insumos!$B$1:$B$764,Insumos!$D$1:$D$764),"")</f>
        <v>2.5499999999999998</v>
      </c>
      <c r="H1452" s="177" cm="1">
        <f t="array" ref="H1452">_xlfn.IFS(B1452="Serviço",SUMIFS(H1453:$H$3085,C1453:$C$3085,$C1452),B1452="Insumo",F1452*G1452,B1452="Etapa","")</f>
        <v>6.8849999999999989</v>
      </c>
      <c r="I1452" s="178"/>
    </row>
    <row r="1453" spans="1:9" outlineLevel="1" collapsed="1" x14ac:dyDescent="0.25">
      <c r="A1453" s="175">
        <f t="shared" si="47"/>
        <v>1</v>
      </c>
      <c r="B1453" s="175" t="s">
        <v>109</v>
      </c>
      <c r="C1453" s="175" t="str">
        <f t="shared" si="48"/>
        <v>Peitoril em pedra moledo,  esp. 2cm</v>
      </c>
      <c r="D1453" s="175" t="s">
        <v>2851</v>
      </c>
      <c r="E1453" s="176" t="s">
        <v>13</v>
      </c>
      <c r="F1453" s="175"/>
      <c r="G1453" s="177" t="str">
        <f>IF(B1453="insumo",_xlfn.XLOOKUP($D1453,Insumos!$B$1:$B$764,Insumos!$D$1:$D$764),"")</f>
        <v/>
      </c>
      <c r="H1453" s="177" cm="1">
        <f t="array" ref="H1453">_xlfn.IFS(B1453="Serviço",SUMIFS(H1454:$H$3085,C1454:$C$3085,$C1453),B1453="Insumo",F1453*G1453,B1453="Etapa","")</f>
        <v>301.125</v>
      </c>
      <c r="I1453" s="178" t="s">
        <v>195</v>
      </c>
    </row>
    <row r="1454" spans="1:9" hidden="1" outlineLevel="2" x14ac:dyDescent="0.25">
      <c r="A1454" s="175">
        <f t="shared" si="47"/>
        <v>2</v>
      </c>
      <c r="B1454" s="175" t="s">
        <v>327</v>
      </c>
      <c r="C1454" s="175" t="str">
        <f t="shared" si="48"/>
        <v>Peitoril em pedra moledo,  esp. 2cm</v>
      </c>
      <c r="D1454" s="175" t="s">
        <v>2852</v>
      </c>
      <c r="E1454" s="176" t="str">
        <f>_xlfn.XLOOKUP(D1454,Insumos!$B$1:$B$764,Insumos!$C$1:$C$764)</f>
        <v>M2</v>
      </c>
      <c r="F1454" s="179">
        <v>1.05</v>
      </c>
      <c r="G1454" s="177">
        <f>IF(B1454="insumo",_xlfn.XLOOKUP($D1454,Insumos!$B$1:$B$764,Insumos!$D$1:$D$764),"")</f>
        <v>265.89999999999998</v>
      </c>
      <c r="H1454" s="177" cm="1">
        <f t="array" ref="H1454">_xlfn.IFS(B1454="Serviço",SUMIFS(H1455:$H$3085,C1455:$C$3085,$C1454),B1454="Insumo",F1454*G1454,B1454="Etapa","")</f>
        <v>279.19499999999999</v>
      </c>
      <c r="I1454" s="178"/>
    </row>
    <row r="1455" spans="1:9" hidden="1" outlineLevel="2" x14ac:dyDescent="0.25">
      <c r="A1455" s="175">
        <f t="shared" si="47"/>
        <v>118</v>
      </c>
      <c r="B1455" s="175" t="s">
        <v>327</v>
      </c>
      <c r="C1455" s="175" t="str">
        <f t="shared" si="48"/>
        <v>Peitoril em pedra moledo,  esp. 2cm</v>
      </c>
      <c r="D1455" s="175" t="s">
        <v>654</v>
      </c>
      <c r="E1455" s="176" t="str">
        <f>_xlfn.XLOOKUP(D1455,Insumos!$B$1:$B$764,Insumos!$C$1:$C$764)</f>
        <v>KG</v>
      </c>
      <c r="F1455" s="179">
        <v>8.6</v>
      </c>
      <c r="G1455" s="177">
        <f>IF(B1455="insumo",_xlfn.XLOOKUP($D1455,Insumos!$B$1:$B$764,Insumos!$D$1:$D$764),"")</f>
        <v>2.5499999999999998</v>
      </c>
      <c r="H1455" s="177" cm="1">
        <f t="array" ref="H1455">_xlfn.IFS(B1455="Serviço",SUMIFS(H1456:$H$3085,C1456:$C$3085,$C1455),B1455="Insumo",F1455*G1455,B1455="Etapa","")</f>
        <v>21.929999999999996</v>
      </c>
      <c r="I1455" s="178"/>
    </row>
    <row r="1456" spans="1:9" outlineLevel="1" collapsed="1" x14ac:dyDescent="0.25">
      <c r="A1456" s="175">
        <f t="shared" si="47"/>
        <v>1</v>
      </c>
      <c r="B1456" s="175" t="s">
        <v>109</v>
      </c>
      <c r="C1456" s="175" t="str">
        <f t="shared" si="48"/>
        <v>Peitoril em granito,  esp. 2cm</v>
      </c>
      <c r="D1456" s="175" t="s">
        <v>2850</v>
      </c>
      <c r="E1456" s="176" t="s">
        <v>13</v>
      </c>
      <c r="F1456" s="175"/>
      <c r="G1456" s="177" t="str">
        <f>IF(B1456="insumo",_xlfn.XLOOKUP($D1456,Insumos!$B$1:$B$764,Insumos!$D$1:$D$764),"")</f>
        <v/>
      </c>
      <c r="H1456" s="177" cm="1">
        <f t="array" ref="H1456">_xlfn.IFS(B1456="Serviço",SUMIFS(H1457:$H$3085,C1457:$C$3085,$C1456),B1456="Insumo",F1456*G1456,B1456="Etapa","")</f>
        <v>914.43</v>
      </c>
      <c r="I1456" s="178" t="s">
        <v>195</v>
      </c>
    </row>
    <row r="1457" spans="1:9" hidden="1" outlineLevel="2" x14ac:dyDescent="0.25">
      <c r="A1457" s="175">
        <f t="shared" si="47"/>
        <v>3</v>
      </c>
      <c r="B1457" s="175" t="s">
        <v>327</v>
      </c>
      <c r="C1457" s="175" t="str">
        <f t="shared" si="48"/>
        <v>Peitoril em granito,  esp. 2cm</v>
      </c>
      <c r="D1457" s="175" t="s">
        <v>892</v>
      </c>
      <c r="E1457" s="176" t="str">
        <f>_xlfn.XLOOKUP(D1457,Insumos!$B$1:$B$764,Insumos!$C$1:$C$764)</f>
        <v>M2</v>
      </c>
      <c r="F1457" s="179">
        <v>1.05</v>
      </c>
      <c r="G1457" s="177">
        <f>IF(B1457="insumo",_xlfn.XLOOKUP($D1457,Insumos!$B$1:$B$764,Insumos!$D$1:$D$764),"")</f>
        <v>850</v>
      </c>
      <c r="H1457" s="177" cm="1">
        <f t="array" ref="H1457">_xlfn.IFS(B1457="Serviço",SUMIFS(H1458:$H$3085,C1458:$C$3085,$C1457),B1457="Insumo",F1457*G1457,B1457="Etapa","")</f>
        <v>892.5</v>
      </c>
      <c r="I1457" s="178"/>
    </row>
    <row r="1458" spans="1:9" hidden="1" outlineLevel="2" x14ac:dyDescent="0.25">
      <c r="A1458" s="175">
        <f t="shared" si="47"/>
        <v>118</v>
      </c>
      <c r="B1458" s="175" t="s">
        <v>327</v>
      </c>
      <c r="C1458" s="175" t="str">
        <f t="shared" si="48"/>
        <v>Peitoril em granito,  esp. 2cm</v>
      </c>
      <c r="D1458" s="175" t="s">
        <v>654</v>
      </c>
      <c r="E1458" s="176" t="str">
        <f>_xlfn.XLOOKUP(D1458,Insumos!$B$1:$B$764,Insumos!$C$1:$C$764)</f>
        <v>KG</v>
      </c>
      <c r="F1458" s="179">
        <v>8.6</v>
      </c>
      <c r="G1458" s="177">
        <f>IF(B1458="insumo",_xlfn.XLOOKUP($D1458,Insumos!$B$1:$B$764,Insumos!$D$1:$D$764),"")</f>
        <v>2.5499999999999998</v>
      </c>
      <c r="H1458" s="177" cm="1">
        <f t="array" ref="H1458">_xlfn.IFS(B1458="Serviço",SUMIFS(H1459:$H$3085,C1459:$C$3085,$C1458),B1458="Insumo",F1458*G1458,B1458="Etapa","")</f>
        <v>21.929999999999996</v>
      </c>
      <c r="I1458" s="178"/>
    </row>
    <row r="1459" spans="1:9" outlineLevel="1" collapsed="1" x14ac:dyDescent="0.25">
      <c r="A1459" s="175">
        <f t="shared" si="47"/>
        <v>1</v>
      </c>
      <c r="B1459" s="175" t="s">
        <v>109</v>
      </c>
      <c r="C1459" s="175" t="str">
        <f t="shared" si="48"/>
        <v>Peitoril em pedra natural,  esp. 2cm</v>
      </c>
      <c r="D1459" s="175" t="s">
        <v>688</v>
      </c>
      <c r="E1459" s="176" t="s">
        <v>13</v>
      </c>
      <c r="F1459" s="175"/>
      <c r="G1459" s="177" t="str">
        <f>IF(B1459="insumo",_xlfn.XLOOKUP($D1459,Insumos!$B$1:$B$764,Insumos!$D$1:$D$764),"")</f>
        <v/>
      </c>
      <c r="H1459" s="177" cm="1">
        <f t="array" ref="H1459">_xlfn.IFS(B1459="Serviço",SUMIFS(H1460:$H$3085,C1460:$C$3085,$C1459),B1459="Insumo",F1459*G1459,B1459="Etapa","")</f>
        <v>809.43</v>
      </c>
      <c r="I1459" s="178" t="s">
        <v>195</v>
      </c>
    </row>
    <row r="1460" spans="1:9" hidden="1" outlineLevel="2" x14ac:dyDescent="0.25">
      <c r="A1460" s="175">
        <f t="shared" si="47"/>
        <v>10</v>
      </c>
      <c r="B1460" s="175" t="s">
        <v>327</v>
      </c>
      <c r="C1460" s="175" t="str">
        <f t="shared" si="48"/>
        <v>Peitoril em pedra natural,  esp. 2cm</v>
      </c>
      <c r="D1460" s="175" t="s">
        <v>689</v>
      </c>
      <c r="E1460" s="176" t="str">
        <f>_xlfn.XLOOKUP(D1460,Insumos!$B$1:$B$764,Insumos!$C$1:$C$764)</f>
        <v>M2</v>
      </c>
      <c r="F1460" s="179">
        <v>1.05</v>
      </c>
      <c r="G1460" s="177">
        <f>IF(B1460="insumo",_xlfn.XLOOKUP($D1460,Insumos!$B$1:$B$764,Insumos!$D$1:$D$764),"")</f>
        <v>750</v>
      </c>
      <c r="H1460" s="177" cm="1">
        <f t="array" ref="H1460">_xlfn.IFS(B1460="Serviço",SUMIFS(H1461:$H$3085,C1461:$C$3085,$C1460),B1460="Insumo",F1460*G1460,B1460="Etapa","")</f>
        <v>787.5</v>
      </c>
      <c r="I1460" s="178"/>
    </row>
    <row r="1461" spans="1:9" hidden="1" outlineLevel="2" x14ac:dyDescent="0.25">
      <c r="A1461" s="175">
        <f t="shared" si="47"/>
        <v>118</v>
      </c>
      <c r="B1461" s="175" t="s">
        <v>327</v>
      </c>
      <c r="C1461" s="175" t="str">
        <f t="shared" si="48"/>
        <v>Peitoril em pedra natural,  esp. 2cm</v>
      </c>
      <c r="D1461" s="175" t="s">
        <v>654</v>
      </c>
      <c r="E1461" s="176" t="str">
        <f>_xlfn.XLOOKUP(D1461,Insumos!$B$1:$B$764,Insumos!$C$1:$C$764)</f>
        <v>KG</v>
      </c>
      <c r="F1461" s="179">
        <v>8.6</v>
      </c>
      <c r="G1461" s="177">
        <f>IF(B1461="insumo",_xlfn.XLOOKUP($D1461,Insumos!$B$1:$B$764,Insumos!$D$1:$D$764),"")</f>
        <v>2.5499999999999998</v>
      </c>
      <c r="H1461" s="177" cm="1">
        <f t="array" ref="H1461">_xlfn.IFS(B1461="Serviço",SUMIFS(H1462:$H$3085,C1462:$C$3085,$C1461),B1461="Insumo",F1461*G1461,B1461="Etapa","")</f>
        <v>21.929999999999996</v>
      </c>
      <c r="I1461" s="178"/>
    </row>
    <row r="1462" spans="1:9" outlineLevel="1" x14ac:dyDescent="0.25">
      <c r="A1462" s="175">
        <f t="shared" si="47"/>
        <v>1</v>
      </c>
      <c r="B1462" s="175" t="s">
        <v>109</v>
      </c>
      <c r="C1462" s="175" t="str">
        <f t="shared" si="48"/>
        <v>Requadro de portas dos Elevadores Granito,Largura de 20cm</v>
      </c>
      <c r="D1462" s="175" t="s">
        <v>1181</v>
      </c>
      <c r="E1462" s="176" t="s">
        <v>25</v>
      </c>
      <c r="F1462" s="175"/>
      <c r="G1462" s="177" t="str">
        <f>IF(B1462="insumo",_xlfn.XLOOKUP($D1462,Insumos!$B$1:$B$764,Insumos!$D$1:$D$764),"")</f>
        <v/>
      </c>
      <c r="H1462" s="177" cm="1">
        <f t="array" ref="H1462">_xlfn.IFS(B1462="Serviço",SUMIFS(H1463:$H$3085,C1463:$C$3085,$C1462),B1462="Insumo",F1462*G1462,B1462="Etapa","")</f>
        <v>241.245</v>
      </c>
      <c r="I1462" s="178" t="s">
        <v>195</v>
      </c>
    </row>
    <row r="1463" spans="1:9" outlineLevel="2" x14ac:dyDescent="0.25">
      <c r="A1463" s="175">
        <f t="shared" si="47"/>
        <v>3</v>
      </c>
      <c r="B1463" s="175" t="s">
        <v>327</v>
      </c>
      <c r="C1463" s="175" t="str">
        <f t="shared" si="48"/>
        <v>Requadro de portas dos Elevadores Granito,Largura de 20cm</v>
      </c>
      <c r="D1463" s="175" t="s">
        <v>687</v>
      </c>
      <c r="E1463" s="176" t="str">
        <f>_xlfn.XLOOKUP(D1463,Insumos!$B$1:$B$764,Insumos!$C$1:$C$764)</f>
        <v>M2</v>
      </c>
      <c r="F1463" s="179">
        <f>0.3*1.0416</f>
        <v>0.31248000000000004</v>
      </c>
      <c r="G1463" s="177">
        <f>IF(B1463="insumo",_xlfn.XLOOKUP($D1463,Insumos!$B$1:$B$764,Insumos!$D$1:$D$764),"")</f>
        <v>750</v>
      </c>
      <c r="H1463" s="177" cm="1">
        <f t="array" ref="H1463">_xlfn.IFS(B1463="Serviço",SUMIFS(H1464:$H$3085,C1464:$C$3085,$C1463),B1463="Insumo",F1463*G1463,B1463="Etapa","")</f>
        <v>234.36</v>
      </c>
      <c r="I1463" s="178"/>
    </row>
    <row r="1464" spans="1:9" outlineLevel="2" x14ac:dyDescent="0.25">
      <c r="A1464" s="175">
        <f t="shared" si="47"/>
        <v>118</v>
      </c>
      <c r="B1464" s="175" t="s">
        <v>327</v>
      </c>
      <c r="C1464" s="175" t="str">
        <f t="shared" si="48"/>
        <v>Requadro de portas dos Elevadores Granito,Largura de 20cm</v>
      </c>
      <c r="D1464" s="175" t="s">
        <v>654</v>
      </c>
      <c r="E1464" s="176" t="str">
        <f>_xlfn.XLOOKUP(D1464,Insumos!$B$1:$B$764,Insumos!$C$1:$C$764)</f>
        <v>KG</v>
      </c>
      <c r="F1464" s="179">
        <f>9*0.3</f>
        <v>2.6999999999999997</v>
      </c>
      <c r="G1464" s="177">
        <f>IF(B1464="insumo",_xlfn.XLOOKUP($D1464,Insumos!$B$1:$B$764,Insumos!$D$1:$D$764),"")</f>
        <v>2.5499999999999998</v>
      </c>
      <c r="H1464" s="177" cm="1">
        <f t="array" ref="H1464">_xlfn.IFS(B1464="Serviço",SUMIFS(H1465:$H$3085,C1465:$C$3085,$C1464),B1464="Insumo",F1464*G1464,B1464="Etapa","")</f>
        <v>6.8849999999999989</v>
      </c>
      <c r="I1464" s="178"/>
    </row>
    <row r="1465" spans="1:9" outlineLevel="1" collapsed="1" x14ac:dyDescent="0.25">
      <c r="A1465" s="175">
        <f t="shared" si="47"/>
        <v>1</v>
      </c>
      <c r="B1465" s="175" t="s">
        <v>109</v>
      </c>
      <c r="C1465" s="175" t="str">
        <f t="shared" si="48"/>
        <v>Nicho em Marmore Carrara Branco</v>
      </c>
      <c r="D1465" s="175" t="s">
        <v>690</v>
      </c>
      <c r="E1465" s="176" t="s">
        <v>2</v>
      </c>
      <c r="F1465" s="175"/>
      <c r="G1465" s="177" t="str">
        <f>IF(B1465="insumo",_xlfn.XLOOKUP($D1465,Insumos!$B$1:$B$764,Insumos!$D$1:$D$764),"")</f>
        <v/>
      </c>
      <c r="H1465" s="177" cm="1">
        <f t="array" ref="H1465">_xlfn.IFS(B1465="Serviço",SUMIFS(H1466:$H$3085,C1466:$C$3085,$C1465),B1465="Insumo",F1465*G1465,B1465="Etapa","")</f>
        <v>418.30799999999999</v>
      </c>
      <c r="I1465" s="178" t="s">
        <v>195</v>
      </c>
    </row>
    <row r="1466" spans="1:9" hidden="1" outlineLevel="2" x14ac:dyDescent="0.25">
      <c r="A1466" s="175">
        <f t="shared" si="47"/>
        <v>1</v>
      </c>
      <c r="B1466" s="175" t="s">
        <v>327</v>
      </c>
      <c r="C1466" s="175" t="str">
        <f t="shared" si="48"/>
        <v>Nicho em Marmore Carrara Branco</v>
      </c>
      <c r="D1466" s="175" t="s">
        <v>691</v>
      </c>
      <c r="E1466" s="176" t="str">
        <f>_xlfn.XLOOKUP(D1466,Insumos!$B$1:$B$764,Insumos!$C$1:$C$764)</f>
        <v>UN</v>
      </c>
      <c r="F1466" s="179">
        <v>1</v>
      </c>
      <c r="G1466" s="177">
        <f>IF(B1466="insumo",_xlfn.XLOOKUP($D1466,Insumos!$B$1:$B$764,Insumos!$D$1:$D$764),"")</f>
        <v>409</v>
      </c>
      <c r="H1466" s="177" cm="1">
        <f t="array" ref="H1466">_xlfn.IFS(B1466="Serviço",SUMIFS(H1467:$H$3085,C1467:$C$3085,$C1466),B1466="Insumo",F1466*G1466,B1466="Etapa","")</f>
        <v>409</v>
      </c>
      <c r="I1466" s="178"/>
    </row>
    <row r="1467" spans="1:9" hidden="1" outlineLevel="2" x14ac:dyDescent="0.25">
      <c r="A1467" s="175">
        <f t="shared" si="47"/>
        <v>118</v>
      </c>
      <c r="B1467" s="175" t="s">
        <v>327</v>
      </c>
      <c r="C1467" s="175" t="str">
        <f t="shared" si="48"/>
        <v>Nicho em Marmore Carrara Branco</v>
      </c>
      <c r="D1467" s="175" t="s">
        <v>654</v>
      </c>
      <c r="E1467" s="176" t="str">
        <f>_xlfn.XLOOKUP(D1467,Insumos!$B$1:$B$764,Insumos!$C$1:$C$764)</f>
        <v>KG</v>
      </c>
      <c r="F1467" s="179">
        <v>3</v>
      </c>
      <c r="G1467" s="177">
        <f>IF(B1467="insumo",_xlfn.XLOOKUP($D1467,Insumos!$B$1:$B$764,Insumos!$D$1:$D$764),"")</f>
        <v>2.5499999999999998</v>
      </c>
      <c r="H1467" s="177" cm="1">
        <f t="array" ref="H1467">_xlfn.IFS(B1467="Serviço",SUMIFS(H1468:$H$3085,C1468:$C$3085,$C1467),B1467="Insumo",F1467*G1467,B1467="Etapa","")</f>
        <v>7.6499999999999995</v>
      </c>
      <c r="I1467" s="178"/>
    </row>
    <row r="1468" spans="1:9" hidden="1" outlineLevel="2" x14ac:dyDescent="0.25">
      <c r="A1468" s="175">
        <f t="shared" si="47"/>
        <v>78</v>
      </c>
      <c r="B1468" s="175" t="s">
        <v>327</v>
      </c>
      <c r="C1468" s="175" t="str">
        <f t="shared" si="48"/>
        <v>Nicho em Marmore Carrara Branco</v>
      </c>
      <c r="D1468" s="175" t="s">
        <v>674</v>
      </c>
      <c r="E1468" s="176" t="str">
        <f>_xlfn.XLOOKUP(D1468,Insumos!$B$1:$B$764,Insumos!$C$1:$C$764)</f>
        <v>UN</v>
      </c>
      <c r="F1468" s="179">
        <v>4</v>
      </c>
      <c r="G1468" s="177">
        <f>IF(B1468="insumo",_xlfn.XLOOKUP($D1468,Insumos!$B$1:$B$764,Insumos!$D$1:$D$764),"")</f>
        <v>0.08</v>
      </c>
      <c r="H1468" s="177" cm="1">
        <f t="array" ref="H1468">_xlfn.IFS(B1468="Serviço",SUMIFS(H1469:$H$3085,C1469:$C$3085,$C1468),B1468="Insumo",F1468*G1468,B1468="Etapa","")</f>
        <v>0.32</v>
      </c>
      <c r="I1468" s="178"/>
    </row>
    <row r="1469" spans="1:9" hidden="1" outlineLevel="2" x14ac:dyDescent="0.25">
      <c r="A1469" s="175">
        <f t="shared" si="47"/>
        <v>71</v>
      </c>
      <c r="B1469" s="175" t="s">
        <v>327</v>
      </c>
      <c r="C1469" s="175" t="str">
        <f t="shared" si="48"/>
        <v>Nicho em Marmore Carrara Branco</v>
      </c>
      <c r="D1469" s="175" t="s">
        <v>675</v>
      </c>
      <c r="E1469" s="176" t="str">
        <f>_xlfn.XLOOKUP(D1469,Insumos!$B$1:$B$764,Insumos!$C$1:$C$764)</f>
        <v>KG</v>
      </c>
      <c r="F1469" s="179">
        <v>0.12</v>
      </c>
      <c r="G1469" s="177">
        <f>IF(B1469="insumo",_xlfn.XLOOKUP($D1469,Insumos!$B$1:$B$764,Insumos!$D$1:$D$764),"")</f>
        <v>11.15</v>
      </c>
      <c r="H1469" s="177" cm="1">
        <f t="array" ref="H1469">_xlfn.IFS(B1469="Serviço",SUMIFS(H1470:$H$3085,C1470:$C$3085,$C1469),B1469="Insumo",F1469*G1469,B1469="Etapa","")</f>
        <v>1.3380000000000001</v>
      </c>
      <c r="I1469" s="178"/>
    </row>
    <row r="1470" spans="1:9" outlineLevel="1" x14ac:dyDescent="0.25">
      <c r="A1470" s="175">
        <f t="shared" si="47"/>
        <v>1</v>
      </c>
      <c r="B1470" s="175" t="s">
        <v>109</v>
      </c>
      <c r="C1470" s="175" t="str">
        <f t="shared" si="48"/>
        <v>Revestimento de Mdf em parede</v>
      </c>
      <c r="D1470" s="175" t="s">
        <v>6859</v>
      </c>
      <c r="E1470" s="176" t="s">
        <v>13</v>
      </c>
      <c r="F1470" s="175"/>
      <c r="G1470" s="177" t="str">
        <f>IF(B1470="insumo",_xlfn.XLOOKUP($D1470,Insumos!$B$1:$B$764,Insumos!$D$1:$D$764),"")</f>
        <v/>
      </c>
      <c r="H1470" s="177" cm="1">
        <f t="array" ref="H1470">_xlfn.IFS(B1470="Serviço",SUMIFS(H1471:$H$3085,C1471:$C$3085,$C1470),B1470="Insumo",F1470*G1470,B1470="Etapa","")</f>
        <v>242.00000000000003</v>
      </c>
      <c r="I1470" s="178" t="s">
        <v>195</v>
      </c>
    </row>
    <row r="1471" spans="1:9" outlineLevel="2" x14ac:dyDescent="0.25">
      <c r="A1471" s="175">
        <f t="shared" si="47"/>
        <v>1</v>
      </c>
      <c r="B1471" s="175" t="s">
        <v>327</v>
      </c>
      <c r="C1471" s="175" t="str">
        <f t="shared" si="48"/>
        <v>Revestimento de Mdf em parede</v>
      </c>
      <c r="D1471" s="175" t="s">
        <v>6859</v>
      </c>
      <c r="E1471" s="176" t="str">
        <f>_xlfn.XLOOKUP(D1471,Insumos!$B$1:$B$764,Insumos!$C$1:$C$764)</f>
        <v>M2</v>
      </c>
      <c r="F1471" s="179">
        <v>1.1000000000000001</v>
      </c>
      <c r="G1471" s="177">
        <f>IF(B1471="insumo",_xlfn.XLOOKUP($D1471,Insumos!$B$1:$B$764,Insumos!$D$1:$D$764),"")</f>
        <v>220</v>
      </c>
      <c r="H1471" s="177" cm="1">
        <f t="array" ref="H1471">_xlfn.IFS(B1471="Serviço",SUMIFS(H1472:$H$3085,C1472:$C$3085,$C1471),B1471="Insumo",F1471*G1471,B1471="Etapa","")</f>
        <v>242.00000000000003</v>
      </c>
      <c r="I1471" s="178"/>
    </row>
    <row r="1472" spans="1:9" outlineLevel="1" collapsed="1" x14ac:dyDescent="0.25">
      <c r="A1472" s="175">
        <f t="shared" si="47"/>
        <v>1</v>
      </c>
      <c r="B1472" s="175" t="s">
        <v>109</v>
      </c>
      <c r="C1472" s="175" t="str">
        <f t="shared" si="48"/>
        <v>Revestimento de Marmore Preto em batente de elevador</v>
      </c>
      <c r="D1472" s="175" t="s">
        <v>692</v>
      </c>
      <c r="E1472" s="176" t="s">
        <v>13</v>
      </c>
      <c r="F1472" s="175"/>
      <c r="G1472" s="177" t="str">
        <f>IF(B1472="insumo",_xlfn.XLOOKUP($D1472,Insumos!$B$1:$B$764,Insumos!$D$1:$D$764),"")</f>
        <v/>
      </c>
      <c r="H1472" s="177" cm="1">
        <f t="array" ref="H1472">_xlfn.IFS(B1472="Serviço",SUMIFS(H1473:$H$3085,C1473:$C$3085,$C1472),B1472="Insumo",F1472*G1472,B1472="Etapa","")</f>
        <v>246.11500000000001</v>
      </c>
      <c r="I1472" s="178" t="s">
        <v>195</v>
      </c>
    </row>
    <row r="1473" spans="1:9" hidden="1" outlineLevel="2" x14ac:dyDescent="0.25">
      <c r="A1473" s="175">
        <f t="shared" si="47"/>
        <v>1</v>
      </c>
      <c r="B1473" s="175" t="s">
        <v>327</v>
      </c>
      <c r="C1473" s="175" t="str">
        <f t="shared" si="48"/>
        <v>Revestimento de Marmore Preto em batente de elevador</v>
      </c>
      <c r="D1473" s="175" t="s">
        <v>693</v>
      </c>
      <c r="E1473" s="176" t="str">
        <f>_xlfn.XLOOKUP(D1473,Insumos!$B$1:$B$764,Insumos!$C$1:$C$764)</f>
        <v>M2</v>
      </c>
      <c r="F1473" s="179">
        <v>1.1000000000000001</v>
      </c>
      <c r="G1473" s="177">
        <f>IF(B1473="insumo",_xlfn.XLOOKUP($D1473,Insumos!$B$1:$B$764,Insumos!$D$1:$D$764),"")</f>
        <v>195</v>
      </c>
      <c r="H1473" s="177" cm="1">
        <f t="array" ref="H1473">_xlfn.IFS(B1473="Serviço",SUMIFS(H1474:$H$3085,C1474:$C$3085,$C1473),B1473="Insumo",F1473*G1473,B1473="Etapa","")</f>
        <v>214.50000000000003</v>
      </c>
      <c r="I1473" s="178"/>
    </row>
    <row r="1474" spans="1:9" hidden="1" outlineLevel="2" x14ac:dyDescent="0.25">
      <c r="A1474" s="175">
        <f t="shared" ref="A1474:A1537" si="49">COUNTIFS($D$2:$D$3085,D1474,$B$2:$B$3085,B1474)</f>
        <v>118</v>
      </c>
      <c r="B1474" s="175" t="s">
        <v>327</v>
      </c>
      <c r="C1474" s="175" t="str">
        <f t="shared" si="48"/>
        <v>Revestimento de Marmore Preto em batente de elevador</v>
      </c>
      <c r="D1474" s="175" t="s">
        <v>654</v>
      </c>
      <c r="E1474" s="176" t="str">
        <f>_xlfn.XLOOKUP(D1474,Insumos!$B$1:$B$764,Insumos!$C$1:$C$764)</f>
        <v>KG</v>
      </c>
      <c r="F1474" s="179">
        <v>9</v>
      </c>
      <c r="G1474" s="177">
        <f>IF(B1474="insumo",_xlfn.XLOOKUP($D1474,Insumos!$B$1:$B$764,Insumos!$D$1:$D$764),"")</f>
        <v>2.5499999999999998</v>
      </c>
      <c r="H1474" s="177" cm="1">
        <f t="array" ref="H1474">_xlfn.IFS(B1474="Serviço",SUMIFS(H1475:$H$3085,C1475:$C$3085,$C1474),B1474="Insumo",F1474*G1474,B1474="Etapa","")</f>
        <v>22.95</v>
      </c>
      <c r="I1474" s="178"/>
    </row>
    <row r="1475" spans="1:9" hidden="1" outlineLevel="2" x14ac:dyDescent="0.25">
      <c r="A1475" s="175">
        <f t="shared" si="49"/>
        <v>18</v>
      </c>
      <c r="B1475" s="175" t="s">
        <v>327</v>
      </c>
      <c r="C1475" s="175" t="str">
        <f t="shared" si="48"/>
        <v>Revestimento de Marmore Preto em batente de elevador</v>
      </c>
      <c r="D1475" s="175" t="s">
        <v>694</v>
      </c>
      <c r="E1475" s="176" t="str">
        <f>_xlfn.XLOOKUP(D1475,Insumos!$B$1:$B$764,Insumos!$C$1:$C$764)</f>
        <v>UN</v>
      </c>
      <c r="F1475" s="179">
        <v>0.5</v>
      </c>
      <c r="G1475" s="177">
        <f>IF(B1475="insumo",_xlfn.XLOOKUP($D1475,Insumos!$B$1:$B$764,Insumos!$D$1:$D$764),"")</f>
        <v>17.329999999999998</v>
      </c>
      <c r="H1475" s="177" cm="1">
        <f t="array" ref="H1475">_xlfn.IFS(B1475="Serviço",SUMIFS(H1476:$H$3085,C1476:$C$3085,$C1475),B1475="Insumo",F1475*G1475,B1475="Etapa","")</f>
        <v>8.6649999999999991</v>
      </c>
      <c r="I1475" s="178"/>
    </row>
    <row r="1476" spans="1:9" outlineLevel="1" collapsed="1" x14ac:dyDescent="0.25">
      <c r="A1476" s="175">
        <f t="shared" si="49"/>
        <v>1</v>
      </c>
      <c r="B1476" s="175" t="s">
        <v>109</v>
      </c>
      <c r="C1476" s="175" t="str">
        <f t="shared" si="48"/>
        <v>Revestimento de Pedras Naturais em Paredes</v>
      </c>
      <c r="D1476" s="175" t="s">
        <v>230</v>
      </c>
      <c r="E1476" s="176" t="s">
        <v>13</v>
      </c>
      <c r="F1476" s="175"/>
      <c r="G1476" s="177" t="str">
        <f>IF(B1476="insumo",_xlfn.XLOOKUP($D1476,Insumos!$B$1:$B$764,Insumos!$D$1:$D$764),"")</f>
        <v/>
      </c>
      <c r="H1476" s="177" cm="1">
        <f t="array" ref="H1476">_xlfn.IFS(B1476="Serviço",SUMIFS(H1477:$H$3085,C1477:$C$3085,$C1476),B1476="Insumo",F1476*G1476,B1476="Etapa","")</f>
        <v>856.61500000000012</v>
      </c>
      <c r="I1476" s="178" t="s">
        <v>195</v>
      </c>
    </row>
    <row r="1477" spans="1:9" hidden="1" outlineLevel="2" x14ac:dyDescent="0.25">
      <c r="A1477" s="175">
        <f t="shared" si="49"/>
        <v>10</v>
      </c>
      <c r="B1477" s="175" t="s">
        <v>327</v>
      </c>
      <c r="C1477" s="175" t="str">
        <f t="shared" si="48"/>
        <v>Revestimento de Pedras Naturais em Paredes</v>
      </c>
      <c r="D1477" s="175" t="s">
        <v>689</v>
      </c>
      <c r="E1477" s="176" t="str">
        <f>_xlfn.XLOOKUP(D1477,Insumos!$B$1:$B$764,Insumos!$C$1:$C$764)</f>
        <v>M2</v>
      </c>
      <c r="F1477" s="179">
        <v>1.1000000000000001</v>
      </c>
      <c r="G1477" s="177">
        <f>IF(B1477="insumo",_xlfn.XLOOKUP($D1477,Insumos!$B$1:$B$764,Insumos!$D$1:$D$764),"")</f>
        <v>750</v>
      </c>
      <c r="H1477" s="177" cm="1">
        <f t="array" ref="H1477">_xlfn.IFS(B1477="Serviço",SUMIFS(H1478:$H$3085,C1478:$C$3085,$C1477),B1477="Insumo",F1477*G1477,B1477="Etapa","")</f>
        <v>825.00000000000011</v>
      </c>
      <c r="I1477" s="178"/>
    </row>
    <row r="1478" spans="1:9" hidden="1" outlineLevel="2" x14ac:dyDescent="0.25">
      <c r="A1478" s="175">
        <f t="shared" si="49"/>
        <v>118</v>
      </c>
      <c r="B1478" s="175" t="s">
        <v>327</v>
      </c>
      <c r="C1478" s="175" t="str">
        <f t="shared" si="48"/>
        <v>Revestimento de Pedras Naturais em Paredes</v>
      </c>
      <c r="D1478" s="175" t="s">
        <v>654</v>
      </c>
      <c r="E1478" s="176" t="str">
        <f>_xlfn.XLOOKUP(D1478,Insumos!$B$1:$B$764,Insumos!$C$1:$C$764)</f>
        <v>KG</v>
      </c>
      <c r="F1478" s="179">
        <v>9</v>
      </c>
      <c r="G1478" s="177">
        <f>IF(B1478="insumo",_xlfn.XLOOKUP($D1478,Insumos!$B$1:$B$764,Insumos!$D$1:$D$764),"")</f>
        <v>2.5499999999999998</v>
      </c>
      <c r="H1478" s="177" cm="1">
        <f t="array" ref="H1478">_xlfn.IFS(B1478="Serviço",SUMIFS(H1479:$H$3085,C1479:$C$3085,$C1478),B1478="Insumo",F1478*G1478,B1478="Etapa","")</f>
        <v>22.95</v>
      </c>
      <c r="I1478" s="178"/>
    </row>
    <row r="1479" spans="1:9" hidden="1" outlineLevel="2" x14ac:dyDescent="0.25">
      <c r="A1479" s="175">
        <f t="shared" si="49"/>
        <v>18</v>
      </c>
      <c r="B1479" s="175" t="s">
        <v>327</v>
      </c>
      <c r="C1479" s="175" t="str">
        <f t="shared" si="48"/>
        <v>Revestimento de Pedras Naturais em Paredes</v>
      </c>
      <c r="D1479" s="175" t="s">
        <v>694</v>
      </c>
      <c r="E1479" s="176" t="str">
        <f>_xlfn.XLOOKUP(D1479,Insumos!$B$1:$B$764,Insumos!$C$1:$C$764)</f>
        <v>UN</v>
      </c>
      <c r="F1479" s="179">
        <v>0.5</v>
      </c>
      <c r="G1479" s="177">
        <f>IF(B1479="insumo",_xlfn.XLOOKUP($D1479,Insumos!$B$1:$B$764,Insumos!$D$1:$D$764),"")</f>
        <v>17.329999999999998</v>
      </c>
      <c r="H1479" s="177" cm="1">
        <f t="array" ref="H1479">_xlfn.IFS(B1479="Serviço",SUMIFS(H1480:$H$3085,C1480:$C$3085,$C1479),B1479="Insumo",F1479*G1479,B1479="Etapa","")</f>
        <v>8.6649999999999991</v>
      </c>
      <c r="I1479" s="178"/>
    </row>
    <row r="1480" spans="1:9" outlineLevel="1" collapsed="1" x14ac:dyDescent="0.25">
      <c r="A1480" s="175">
        <f t="shared" si="49"/>
        <v>1</v>
      </c>
      <c r="B1480" s="175" t="s">
        <v>109</v>
      </c>
      <c r="C1480" s="175" t="str">
        <f t="shared" si="48"/>
        <v>Enchimento de EPS em laje</v>
      </c>
      <c r="D1480" s="175" t="s">
        <v>1767</v>
      </c>
      <c r="E1480" s="176" t="s">
        <v>13</v>
      </c>
      <c r="F1480" s="175"/>
      <c r="G1480" s="177" t="str">
        <f>IF(B1480="insumo",_xlfn.XLOOKUP($D1480,Insumos!$B$1:$B$764,Insumos!$D$1:$D$764),"")</f>
        <v/>
      </c>
      <c r="H1480" s="177" cm="1">
        <f t="array" ref="H1480">_xlfn.IFS(B1480="Serviço",SUMIFS(H1481:$H$3085,C1481:$C$3085,$C1480),B1480="Insumo",F1480*G1480,B1480="Etapa","")</f>
        <v>166.66666666666666</v>
      </c>
      <c r="I1480" s="178" t="s">
        <v>195</v>
      </c>
    </row>
    <row r="1481" spans="1:9" hidden="1" outlineLevel="2" x14ac:dyDescent="0.25">
      <c r="A1481" s="175">
        <f t="shared" si="49"/>
        <v>1</v>
      </c>
      <c r="B1481" s="175" t="s">
        <v>327</v>
      </c>
      <c r="C1481" s="175" t="str">
        <f t="shared" si="48"/>
        <v>Enchimento de EPS em laje</v>
      </c>
      <c r="D1481" s="175" t="s">
        <v>1842</v>
      </c>
      <c r="E1481" s="176" t="str">
        <f>_xlfn.XLOOKUP(D1481,Insumos!$B$1:$B$764,Insumos!$C$1:$C$764)</f>
        <v>M2</v>
      </c>
      <c r="F1481" s="179">
        <v>1.1000000000000001</v>
      </c>
      <c r="G1481" s="177">
        <f>IF(B1481="insumo",_xlfn.XLOOKUP($D1481,Insumos!$B$1:$B$764,Insumos!$D$1:$D$764),"")</f>
        <v>151.5151515151515</v>
      </c>
      <c r="H1481" s="177" cm="1">
        <f t="array" ref="H1481">_xlfn.IFS(B1481="Serviço",SUMIFS(H1482:$H$3085,C1482:$C$3085,$C1481),B1481="Insumo",F1481*G1481,B1481="Etapa","")</f>
        <v>166.66666666666666</v>
      </c>
      <c r="I1481" s="178"/>
    </row>
    <row r="1482" spans="1:9" outlineLevel="1" collapsed="1" x14ac:dyDescent="0.25">
      <c r="A1482" s="175">
        <f t="shared" si="49"/>
        <v>1</v>
      </c>
      <c r="B1482" s="175" t="s">
        <v>109</v>
      </c>
      <c r="C1482" s="175" t="str">
        <f t="shared" si="48"/>
        <v>Mão de obra execução de massa única em paredes interna, incluindo chapisco</v>
      </c>
      <c r="D1482" s="175" t="s">
        <v>173</v>
      </c>
      <c r="E1482" s="176" t="s">
        <v>13</v>
      </c>
      <c r="F1482" s="179"/>
      <c r="G1482" s="177" t="str">
        <f>IF(B1482="insumo",_xlfn.XLOOKUP($D1482,Insumos!$B$1:$B$764,Insumos!$D$1:$D$764),"")</f>
        <v/>
      </c>
      <c r="H1482" s="177" cm="1">
        <f t="array" ref="H1482">_xlfn.IFS(B1482="Serviço",SUMIFS(H1483:$H$3085,C1483:$C$3085,$C1482),B1482="Insumo",F1482*G1482,B1482="Etapa","")</f>
        <v>36</v>
      </c>
      <c r="I1482" s="178" t="s">
        <v>195</v>
      </c>
    </row>
    <row r="1483" spans="1:9" hidden="1" outlineLevel="2" x14ac:dyDescent="0.25">
      <c r="A1483" s="175">
        <f t="shared" si="49"/>
        <v>1</v>
      </c>
      <c r="B1483" s="175" t="s">
        <v>327</v>
      </c>
      <c r="C1483" s="175" t="str">
        <f t="shared" si="48"/>
        <v>Mão de obra execução de massa única em paredes interna, incluindo chapisco</v>
      </c>
      <c r="D1483" s="175" t="s">
        <v>173</v>
      </c>
      <c r="E1483" s="176" t="str">
        <f>_xlfn.XLOOKUP(D1483,Insumos!$B$1:$B$764,Insumos!$C$1:$C$764)</f>
        <v>UN</v>
      </c>
      <c r="F1483" s="179">
        <v>1</v>
      </c>
      <c r="G1483" s="177">
        <f>IF(B1483="insumo",_xlfn.XLOOKUP($D1483,Insumos!$B$1:$B$764,Insumos!$D$1:$D$764),"")</f>
        <v>36</v>
      </c>
      <c r="H1483" s="177" cm="1">
        <f t="array" ref="H1483">_xlfn.IFS(B1483="Serviço",SUMIFS(H1484:$H$3085,C1484:$C$3085,$C1483),B1483="Insumo",F1483*G1483,B1483="Etapa","")</f>
        <v>36</v>
      </c>
      <c r="I1483" s="178"/>
    </row>
    <row r="1484" spans="1:9" outlineLevel="1" collapsed="1" x14ac:dyDescent="0.25">
      <c r="A1484" s="175">
        <f t="shared" si="49"/>
        <v>1</v>
      </c>
      <c r="B1484" s="175" t="s">
        <v>109</v>
      </c>
      <c r="C1484" s="175" t="str">
        <f t="shared" si="48"/>
        <v>Mão de obra para massa de gesso de paredes</v>
      </c>
      <c r="D1484" s="175" t="s">
        <v>4297</v>
      </c>
      <c r="E1484" s="176" t="s">
        <v>13</v>
      </c>
      <c r="F1484" s="179"/>
      <c r="G1484" s="177" t="str">
        <f>IF(B1484="insumo",_xlfn.XLOOKUP($D1484,Insumos!$B$1:$B$764,Insumos!$D$1:$D$764),"")</f>
        <v/>
      </c>
      <c r="H1484" s="177" cm="1">
        <f t="array" ref="H1484">_xlfn.IFS(B1484="Serviço",SUMIFS(H1485:$H$3085,C1485:$C$3085,$C1484),B1484="Insumo",F1484*G1484,B1484="Etapa","")</f>
        <v>15</v>
      </c>
      <c r="I1484" s="178" t="s">
        <v>195</v>
      </c>
    </row>
    <row r="1485" spans="1:9" hidden="1" outlineLevel="2" x14ac:dyDescent="0.25">
      <c r="A1485" s="175">
        <f t="shared" si="49"/>
        <v>1</v>
      </c>
      <c r="B1485" s="175" t="s">
        <v>327</v>
      </c>
      <c r="C1485" s="175" t="str">
        <f t="shared" si="48"/>
        <v>Mão de obra para massa de gesso de paredes</v>
      </c>
      <c r="D1485" s="175" t="s">
        <v>4297</v>
      </c>
      <c r="E1485" s="176" t="str">
        <f>_xlfn.XLOOKUP(D1485,Insumos!$B$1:$B$764,Insumos!$C$1:$C$764)</f>
        <v>M2</v>
      </c>
      <c r="F1485" s="179">
        <v>1</v>
      </c>
      <c r="G1485" s="177">
        <f>IF(B1485="insumo",_xlfn.XLOOKUP($D1485,Insumos!$B$1:$B$764,Insumos!$D$1:$D$764),"")</f>
        <v>15</v>
      </c>
      <c r="H1485" s="177" cm="1">
        <f t="array" ref="H1485">_xlfn.IFS(B1485="Serviço",SUMIFS(H1486:$H$3085,C1486:$C$3085,$C1485),B1485="Insumo",F1485*G1485,B1485="Etapa","")</f>
        <v>15</v>
      </c>
      <c r="I1485" s="178"/>
    </row>
    <row r="1486" spans="1:9" outlineLevel="1" collapsed="1" x14ac:dyDescent="0.25">
      <c r="A1486" s="175">
        <f t="shared" si="49"/>
        <v>1</v>
      </c>
      <c r="B1486" s="175" t="s">
        <v>109</v>
      </c>
      <c r="C1486" s="175" t="str">
        <f t="shared" si="48"/>
        <v>Mão de obra estucamento de paredes</v>
      </c>
      <c r="D1486" s="175" t="s">
        <v>174</v>
      </c>
      <c r="E1486" s="176" t="s">
        <v>13</v>
      </c>
      <c r="F1486" s="179"/>
      <c r="G1486" s="177" t="str">
        <f>IF(B1486="insumo",_xlfn.XLOOKUP($D1486,Insumos!$B$1:$B$764,Insumos!$D$1:$D$764),"")</f>
        <v/>
      </c>
      <c r="H1486" s="177" cm="1">
        <f t="array" ref="H1486">_xlfn.IFS(B1486="Serviço",SUMIFS(H1487:$H$3085,C1487:$C$3085,$C1486),B1486="Insumo",F1486*G1486,B1486="Etapa","")</f>
        <v>25</v>
      </c>
      <c r="I1486" s="178" t="s">
        <v>195</v>
      </c>
    </row>
    <row r="1487" spans="1:9" hidden="1" outlineLevel="2" x14ac:dyDescent="0.25">
      <c r="A1487" s="175">
        <f t="shared" si="49"/>
        <v>1</v>
      </c>
      <c r="B1487" s="175" t="s">
        <v>327</v>
      </c>
      <c r="C1487" s="175" t="str">
        <f t="shared" si="48"/>
        <v>Mão de obra estucamento de paredes</v>
      </c>
      <c r="D1487" s="175" t="s">
        <v>174</v>
      </c>
      <c r="E1487" s="176" t="str">
        <f>_xlfn.XLOOKUP(D1487,Insumos!$B$1:$B$764,Insumos!$C$1:$C$764)</f>
        <v>M2</v>
      </c>
      <c r="F1487" s="179">
        <v>1</v>
      </c>
      <c r="G1487" s="177">
        <f>IF(B1487="insumo",_xlfn.XLOOKUP($D1487,Insumos!$B$1:$B$764,Insumos!$D$1:$D$764),"")</f>
        <v>25</v>
      </c>
      <c r="H1487" s="177" cm="1">
        <f t="array" ref="H1487">_xlfn.IFS(B1487="Serviço",SUMIFS(H1488:$H$3085,C1488:$C$3085,$C1487),B1487="Insumo",F1487*G1487,B1487="Etapa","")</f>
        <v>25</v>
      </c>
      <c r="I1487" s="178"/>
    </row>
    <row r="1488" spans="1:9" outlineLevel="1" collapsed="1" x14ac:dyDescent="0.25">
      <c r="A1488" s="175">
        <f t="shared" si="49"/>
        <v>1</v>
      </c>
      <c r="B1488" s="175" t="s">
        <v>109</v>
      </c>
      <c r="C1488" s="175" t="str">
        <f t="shared" si="48"/>
        <v>Mão de obra para assentamento de Pastilhas em Piscina</v>
      </c>
      <c r="D1488" s="175" t="s">
        <v>231</v>
      </c>
      <c r="E1488" s="176" t="s">
        <v>13</v>
      </c>
      <c r="F1488" s="179"/>
      <c r="G1488" s="177" t="str">
        <f>IF(B1488="insumo",_xlfn.XLOOKUP($D1488,Insumos!$B$1:$B$764,Insumos!$D$1:$D$764),"")</f>
        <v/>
      </c>
      <c r="H1488" s="177" cm="1">
        <f t="array" ref="H1488">_xlfn.IFS(B1488="Serviço",SUMIFS(H1489:$H$3085,C1489:$C$3085,$C1488),B1488="Insumo",F1488*G1488,B1488="Etapa","")</f>
        <v>65</v>
      </c>
      <c r="I1488" s="178" t="s">
        <v>195</v>
      </c>
    </row>
    <row r="1489" spans="1:9" hidden="1" outlineLevel="2" x14ac:dyDescent="0.25">
      <c r="A1489" s="175">
        <f t="shared" si="49"/>
        <v>1</v>
      </c>
      <c r="B1489" s="175" t="s">
        <v>327</v>
      </c>
      <c r="C1489" s="175" t="str">
        <f t="shared" si="48"/>
        <v>Mão de obra para assentamento de Pastilhas em Piscina</v>
      </c>
      <c r="D1489" s="175" t="s">
        <v>231</v>
      </c>
      <c r="E1489" s="176" t="str">
        <f>_xlfn.XLOOKUP(D1489,Insumos!$B$1:$B$764,Insumos!$C$1:$C$764)</f>
        <v>UN</v>
      </c>
      <c r="F1489" s="179">
        <v>1</v>
      </c>
      <c r="G1489" s="177">
        <f>IF(B1489="insumo",_xlfn.XLOOKUP($D1489,Insumos!$B$1:$B$764,Insumos!$D$1:$D$764),"")</f>
        <v>65</v>
      </c>
      <c r="H1489" s="177" cm="1">
        <f t="array" ref="H1489">_xlfn.IFS(B1489="Serviço",SUMIFS(H1490:$H$3085,C1490:$C$3085,$C1489),B1489="Insumo",F1489*G1489,B1489="Etapa","")</f>
        <v>65</v>
      </c>
      <c r="I1489" s="178"/>
    </row>
    <row r="1490" spans="1:9" outlineLevel="1" collapsed="1" x14ac:dyDescent="0.25">
      <c r="A1490" s="175">
        <f t="shared" si="49"/>
        <v>1</v>
      </c>
      <c r="B1490" s="175" t="s">
        <v>109</v>
      </c>
      <c r="C1490" s="175" t="str">
        <f t="shared" si="48"/>
        <v>Mão de obra para assentamento de Pedras Naturais em parede</v>
      </c>
      <c r="D1490" s="175" t="s">
        <v>232</v>
      </c>
      <c r="E1490" s="176" t="s">
        <v>13</v>
      </c>
      <c r="F1490" s="179"/>
      <c r="G1490" s="177" t="str">
        <f>IF(B1490="insumo",_xlfn.XLOOKUP($D1490,Insumos!$B$1:$B$764,Insumos!$D$1:$D$764),"")</f>
        <v/>
      </c>
      <c r="H1490" s="177" cm="1">
        <f t="array" ref="H1490">_xlfn.IFS(B1490="Serviço",SUMIFS(H1491:$H$3085,C1491:$C$3085,$C1490),B1490="Insumo",F1490*G1490,B1490="Etapa","")</f>
        <v>55</v>
      </c>
      <c r="I1490" s="178" t="s">
        <v>195</v>
      </c>
    </row>
    <row r="1491" spans="1:9" hidden="1" outlineLevel="2" x14ac:dyDescent="0.25">
      <c r="A1491" s="175">
        <f t="shared" si="49"/>
        <v>1</v>
      </c>
      <c r="B1491" s="175" t="s">
        <v>327</v>
      </c>
      <c r="C1491" s="175" t="str">
        <f t="shared" si="48"/>
        <v>Mão de obra para assentamento de Pedras Naturais em parede</v>
      </c>
      <c r="D1491" s="175" t="s">
        <v>232</v>
      </c>
      <c r="E1491" s="176" t="str">
        <f>_xlfn.XLOOKUP(D1491,Insumos!$B$1:$B$764,Insumos!$C$1:$C$764)</f>
        <v>UN</v>
      </c>
      <c r="F1491" s="179">
        <v>1</v>
      </c>
      <c r="G1491" s="177">
        <f>IF(B1491="insumo",_xlfn.XLOOKUP($D1491,Insumos!$B$1:$B$764,Insumos!$D$1:$D$764),"")</f>
        <v>55</v>
      </c>
      <c r="H1491" s="177" cm="1">
        <f t="array" ref="H1491">_xlfn.IFS(B1491="Serviço",SUMIFS(H1492:$H$3085,C1492:$C$3085,$C1491),B1491="Insumo",F1491*G1491,B1491="Etapa","")</f>
        <v>55</v>
      </c>
      <c r="I1491" s="178"/>
    </row>
    <row r="1492" spans="1:9" outlineLevel="1" collapsed="1" x14ac:dyDescent="0.25">
      <c r="A1492" s="175">
        <f t="shared" si="49"/>
        <v>1</v>
      </c>
      <c r="B1492" s="175" t="s">
        <v>109</v>
      </c>
      <c r="C1492" s="175" t="str">
        <f t="shared" si="48"/>
        <v>Mão de obra para assentamento de revestimento cerâmico em parede</v>
      </c>
      <c r="D1492" s="175" t="s">
        <v>177</v>
      </c>
      <c r="E1492" s="176" t="s">
        <v>13</v>
      </c>
      <c r="F1492" s="179"/>
      <c r="G1492" s="177" t="str">
        <f>IF(B1492="insumo",_xlfn.XLOOKUP($D1492,Insumos!$B$1:$B$764,Insumos!$D$1:$D$764),"")</f>
        <v/>
      </c>
      <c r="H1492" s="177" cm="1">
        <f t="array" ref="H1492">_xlfn.IFS(B1492="Serviço",SUMIFS(H1493:$H$3085,C1493:$C$3085,$C1492),B1492="Insumo",F1492*G1492,B1492="Etapa","")</f>
        <v>75</v>
      </c>
      <c r="I1492" s="178" t="s">
        <v>195</v>
      </c>
    </row>
    <row r="1493" spans="1:9" hidden="1" outlineLevel="2" x14ac:dyDescent="0.25">
      <c r="A1493" s="175">
        <f t="shared" si="49"/>
        <v>1</v>
      </c>
      <c r="B1493" s="175" t="s">
        <v>327</v>
      </c>
      <c r="C1493" s="175" t="str">
        <f t="shared" si="48"/>
        <v>Mão de obra para assentamento de revestimento cerâmico em parede</v>
      </c>
      <c r="D1493" s="175" t="s">
        <v>177</v>
      </c>
      <c r="E1493" s="176" t="str">
        <f>_xlfn.XLOOKUP(D1493,Insumos!$B$1:$B$764,Insumos!$C$1:$C$764)</f>
        <v>UN</v>
      </c>
      <c r="F1493" s="179">
        <v>1</v>
      </c>
      <c r="G1493" s="177">
        <f>IF(B1493="insumo",_xlfn.XLOOKUP($D1493,Insumos!$B$1:$B$764,Insumos!$D$1:$D$764),"")</f>
        <v>75</v>
      </c>
      <c r="H1493" s="177" cm="1">
        <f t="array" ref="H1493">_xlfn.IFS(B1493="Serviço",SUMIFS(H1494:$H$3085,C1494:$C$3085,$C1493),B1493="Insumo",F1493*G1493,B1493="Etapa","")</f>
        <v>75</v>
      </c>
      <c r="I1493" s="178"/>
    </row>
    <row r="1494" spans="1:9" outlineLevel="1" collapsed="1" x14ac:dyDescent="0.25">
      <c r="A1494" s="175">
        <f t="shared" si="49"/>
        <v>1</v>
      </c>
      <c r="B1494" s="175" t="s">
        <v>109</v>
      </c>
      <c r="C1494" s="175" t="str">
        <f t="shared" si="48"/>
        <v>Mão de obra para colocação de peitoril e pingadeira</v>
      </c>
      <c r="D1494" s="175" t="s">
        <v>178</v>
      </c>
      <c r="E1494" s="176" t="s">
        <v>13</v>
      </c>
      <c r="F1494" s="179"/>
      <c r="G1494" s="177" t="str">
        <f>IF(B1494="insumo",_xlfn.XLOOKUP($D1494,Insumos!$B$1:$B$764,Insumos!$D$1:$D$764),"")</f>
        <v/>
      </c>
      <c r="H1494" s="177" cm="1">
        <f t="array" ref="H1494">_xlfn.IFS(B1494="Serviço",SUMIFS(H1495:$H$3085,C1495:$C$3085,$C1494),B1494="Insumo",F1494*G1494,B1494="Etapa","")</f>
        <v>50</v>
      </c>
      <c r="I1494" s="178" t="s">
        <v>195</v>
      </c>
    </row>
    <row r="1495" spans="1:9" hidden="1" outlineLevel="2" x14ac:dyDescent="0.25">
      <c r="A1495" s="175">
        <f t="shared" si="49"/>
        <v>1</v>
      </c>
      <c r="B1495" s="175" t="s">
        <v>327</v>
      </c>
      <c r="C1495" s="175" t="str">
        <f t="shared" si="48"/>
        <v>Mão de obra para colocação de peitoril e pingadeira</v>
      </c>
      <c r="D1495" s="175" t="s">
        <v>178</v>
      </c>
      <c r="E1495" s="176" t="str">
        <f>_xlfn.XLOOKUP(D1495,Insumos!$B$1:$B$764,Insumos!$C$1:$C$764)</f>
        <v>UN</v>
      </c>
      <c r="F1495" s="179">
        <v>1</v>
      </c>
      <c r="G1495" s="177">
        <f>IF(B1495="insumo",_xlfn.XLOOKUP($D1495,Insumos!$B$1:$B$764,Insumos!$D$1:$D$764),"")</f>
        <v>50</v>
      </c>
      <c r="H1495" s="177" cm="1">
        <f t="array" ref="H1495">_xlfn.IFS(B1495="Serviço",SUMIFS(H1496:$H$3085,C1496:$C$3085,$C1495),B1495="Insumo",F1495*G1495,B1495="Etapa","")</f>
        <v>50</v>
      </c>
      <c r="I1495" s="178"/>
    </row>
    <row r="1496" spans="1:9" outlineLevel="1" collapsed="1" x14ac:dyDescent="0.25">
      <c r="A1496" s="175">
        <f t="shared" si="49"/>
        <v>1</v>
      </c>
      <c r="B1496" s="175" t="s">
        <v>109</v>
      </c>
      <c r="C1496" s="175" t="str">
        <f t="shared" si="48"/>
        <v>Mão de obra para assentamento de requadros em portas de elevador</v>
      </c>
      <c r="D1496" s="175" t="s">
        <v>1770</v>
      </c>
      <c r="E1496" s="176" t="s">
        <v>13</v>
      </c>
      <c r="F1496" s="179"/>
      <c r="G1496" s="177" t="str">
        <f>IF(B1496="insumo",_xlfn.XLOOKUP($D1496,Insumos!$B$1:$B$764,Insumos!$D$1:$D$764),"")</f>
        <v/>
      </c>
      <c r="H1496" s="177" cm="1">
        <f t="array" ref="H1496">_xlfn.IFS(B1496="Serviço",SUMIFS(H1497:$H$3085,C1497:$C$3085,$C1496),B1496="Insumo",F1496*G1496,B1496="Etapa","")</f>
        <v>50</v>
      </c>
      <c r="I1496" s="178" t="s">
        <v>195</v>
      </c>
    </row>
    <row r="1497" spans="1:9" hidden="1" outlineLevel="2" x14ac:dyDescent="0.25">
      <c r="A1497" s="175">
        <f t="shared" si="49"/>
        <v>1</v>
      </c>
      <c r="B1497" s="175" t="s">
        <v>327</v>
      </c>
      <c r="C1497" s="175" t="str">
        <f t="shared" si="48"/>
        <v>Mão de obra para assentamento de requadros em portas de elevador</v>
      </c>
      <c r="D1497" s="175" t="s">
        <v>1770</v>
      </c>
      <c r="E1497" s="176" t="str">
        <f>_xlfn.XLOOKUP(D1497,Insumos!$B$1:$B$764,Insumos!$C$1:$C$764)</f>
        <v>UN</v>
      </c>
      <c r="F1497" s="179">
        <v>1</v>
      </c>
      <c r="G1497" s="177">
        <f>IF(B1497="insumo",_xlfn.XLOOKUP($D1497,Insumos!$B$1:$B$764,Insumos!$D$1:$D$764),"")</f>
        <v>50</v>
      </c>
      <c r="H1497" s="177" cm="1">
        <f t="array" ref="H1497">_xlfn.IFS(B1497="Serviço",SUMIFS(H1498:$H$3085,C1498:$C$3085,$C1497),B1497="Insumo",F1497*G1497,B1497="Etapa","")</f>
        <v>50</v>
      </c>
      <c r="I1497" s="178"/>
    </row>
    <row r="1498" spans="1:9" outlineLevel="1" collapsed="1" x14ac:dyDescent="0.25">
      <c r="A1498" s="175">
        <f t="shared" si="49"/>
        <v>1</v>
      </c>
      <c r="B1498" s="175" t="s">
        <v>109</v>
      </c>
      <c r="C1498" s="175" t="str">
        <f t="shared" si="48"/>
        <v>Mão de obra para enchimento de EPS em piso</v>
      </c>
      <c r="D1498" s="175" t="s">
        <v>1769</v>
      </c>
      <c r="E1498" s="176" t="s">
        <v>13</v>
      </c>
      <c r="F1498" s="179"/>
      <c r="G1498" s="177" t="str">
        <f>IF(B1498="insumo",_xlfn.XLOOKUP($D1498,Insumos!$B$1:$B$764,Insumos!$D$1:$D$764),"")</f>
        <v/>
      </c>
      <c r="H1498" s="177" cm="1">
        <f t="array" ref="H1498">_xlfn.IFS(B1498="Serviço",SUMIFS(H1499:$H$3085,C1499:$C$3085,$C1498),B1498="Insumo",F1498*G1498,B1498="Etapa","")</f>
        <v>60</v>
      </c>
      <c r="I1498" s="178" t="s">
        <v>195</v>
      </c>
    </row>
    <row r="1499" spans="1:9" hidden="1" outlineLevel="2" x14ac:dyDescent="0.25">
      <c r="A1499" s="175">
        <f t="shared" si="49"/>
        <v>1</v>
      </c>
      <c r="B1499" s="175" t="s">
        <v>327</v>
      </c>
      <c r="C1499" s="175" t="str">
        <f t="shared" si="48"/>
        <v>Mão de obra para enchimento de EPS em piso</v>
      </c>
      <c r="D1499" s="175" t="s">
        <v>1769</v>
      </c>
      <c r="E1499" s="176" t="str">
        <f>_xlfn.XLOOKUP(D1499,Insumos!$B$1:$B$764,Insumos!$C$1:$C$764)</f>
        <v>UN</v>
      </c>
      <c r="F1499" s="179">
        <v>1</v>
      </c>
      <c r="G1499" s="177">
        <f>IF(B1499="insumo",_xlfn.XLOOKUP($D1499,Insumos!$B$1:$B$764,Insumos!$D$1:$D$764),"")</f>
        <v>60</v>
      </c>
      <c r="H1499" s="177" cm="1">
        <f t="array" ref="H1499">_xlfn.IFS(B1499="Serviço",SUMIFS(H1500:$H$3085,C1500:$C$3085,$C1499),B1499="Insumo",F1499*G1499,B1499="Etapa","")</f>
        <v>60</v>
      </c>
      <c r="I1499" s="178"/>
    </row>
    <row r="1500" spans="1:9" outlineLevel="1" collapsed="1" x14ac:dyDescent="0.25">
      <c r="A1500" s="175">
        <f t="shared" si="49"/>
        <v>1</v>
      </c>
      <c r="B1500" s="175" t="s">
        <v>109</v>
      </c>
      <c r="C1500" s="175" t="str">
        <f t="shared" si="48"/>
        <v>Mão de obra para assentamento de Pedras Naturais em piso</v>
      </c>
      <c r="D1500" s="175" t="s">
        <v>253</v>
      </c>
      <c r="E1500" s="176" t="s">
        <v>13</v>
      </c>
      <c r="F1500" s="179"/>
      <c r="G1500" s="177" t="str">
        <f>IF(B1500="insumo",_xlfn.XLOOKUP($D1500,Insumos!$B$1:$B$764,Insumos!$D$1:$D$764),"")</f>
        <v/>
      </c>
      <c r="H1500" s="177" cm="1">
        <f t="array" ref="H1500">_xlfn.IFS(B1500="Serviço",SUMIFS(H1501:$H$3085,C1501:$C$3085,$C1500),B1500="Insumo",F1500*G1500,B1500="Etapa","")</f>
        <v>55</v>
      </c>
      <c r="I1500" s="178" t="s">
        <v>195</v>
      </c>
    </row>
    <row r="1501" spans="1:9" hidden="1" outlineLevel="2" x14ac:dyDescent="0.25">
      <c r="A1501" s="175">
        <f t="shared" si="49"/>
        <v>1</v>
      </c>
      <c r="B1501" s="175" t="s">
        <v>327</v>
      </c>
      <c r="C1501" s="175" t="str">
        <f t="shared" si="48"/>
        <v>Mão de obra para assentamento de Pedras Naturais em piso</v>
      </c>
      <c r="D1501" s="175" t="s">
        <v>253</v>
      </c>
      <c r="E1501" s="176" t="str">
        <f>_xlfn.XLOOKUP(D1501,Insumos!$B$1:$B$764,Insumos!$C$1:$C$764)</f>
        <v>M2</v>
      </c>
      <c r="F1501" s="179">
        <v>1</v>
      </c>
      <c r="G1501" s="177">
        <f>IF(B1501="insumo",_xlfn.XLOOKUP($D1501,Insumos!$B$1:$B$764,Insumos!$D$1:$D$764),"")</f>
        <v>55</v>
      </c>
      <c r="H1501" s="177" cm="1">
        <f t="array" ref="H1501">_xlfn.IFS(B1501="Serviço",SUMIFS(H1502:$H$3085,C1502:$C$3085,$C1501),B1501="Insumo",F1501*G1501,B1501="Etapa","")</f>
        <v>55</v>
      </c>
      <c r="I1501" s="178"/>
    </row>
    <row r="1502" spans="1:9" outlineLevel="1" collapsed="1" x14ac:dyDescent="0.25">
      <c r="A1502" s="175">
        <f t="shared" si="49"/>
        <v>1</v>
      </c>
      <c r="B1502" s="175" t="s">
        <v>109</v>
      </c>
      <c r="C1502" s="175" t="str">
        <f t="shared" si="48"/>
        <v>Mão de obra execução de massa para Drywall em paredes</v>
      </c>
      <c r="D1502" s="175" t="s">
        <v>695</v>
      </c>
      <c r="E1502" s="176" t="s">
        <v>13</v>
      </c>
      <c r="F1502" s="179"/>
      <c r="G1502" s="177" t="str">
        <f>IF(B1502="insumo",_xlfn.XLOOKUP($D1502,Insumos!$B$1:$B$764,Insumos!$D$1:$D$764),"")</f>
        <v/>
      </c>
      <c r="H1502" s="177" cm="1">
        <f t="array" ref="H1502">_xlfn.IFS(B1502="Serviço",SUMIFS(H1503:$H$3085,C1503:$C$3085,$C1502),B1502="Insumo",F1502*G1502,B1502="Etapa","")</f>
        <v>15</v>
      </c>
      <c r="I1502" s="178" t="s">
        <v>195</v>
      </c>
    </row>
    <row r="1503" spans="1:9" hidden="1" outlineLevel="2" x14ac:dyDescent="0.25">
      <c r="A1503" s="175">
        <f t="shared" si="49"/>
        <v>1</v>
      </c>
      <c r="B1503" s="175" t="s">
        <v>327</v>
      </c>
      <c r="C1503" s="175" t="str">
        <f t="shared" si="48"/>
        <v>Mão de obra execução de massa para Drywall em paredes</v>
      </c>
      <c r="D1503" s="175" t="s">
        <v>695</v>
      </c>
      <c r="E1503" s="176" t="str">
        <f>_xlfn.XLOOKUP(D1503,Insumos!$B$1:$B$764,Insumos!$C$1:$C$764)</f>
        <v>UN</v>
      </c>
      <c r="F1503" s="179">
        <v>1</v>
      </c>
      <c r="G1503" s="177">
        <f>IF(B1503="insumo",_xlfn.XLOOKUP($D1503,Insumos!$B$1:$B$764,Insumos!$D$1:$D$764),"")</f>
        <v>15</v>
      </c>
      <c r="H1503" s="177" cm="1">
        <f t="array" ref="H1503">_xlfn.IFS(B1503="Serviço",SUMIFS(H1504:$H$3085,C1504:$C$3085,$C1503),B1503="Insumo",F1503*G1503,B1503="Etapa","")</f>
        <v>15</v>
      </c>
      <c r="I1503" s="178"/>
    </row>
    <row r="1504" spans="1:9" outlineLevel="1" collapsed="1" x14ac:dyDescent="0.25">
      <c r="A1504" s="175">
        <f t="shared" si="49"/>
        <v>1</v>
      </c>
      <c r="B1504" s="175" t="s">
        <v>109</v>
      </c>
      <c r="C1504" s="175" t="str">
        <f t="shared" ref="C1504:C1567" si="50">IF(B1504="serviço",D1504,C1503)</f>
        <v>Mão de obra execução de massa de gesso em paredes</v>
      </c>
      <c r="D1504" s="175" t="s">
        <v>696</v>
      </c>
      <c r="E1504" s="176" t="s">
        <v>13</v>
      </c>
      <c r="F1504" s="179"/>
      <c r="G1504" s="177" t="str">
        <f>IF(B1504="insumo",_xlfn.XLOOKUP($D1504,Insumos!$B$1:$B$764,Insumos!$D$1:$D$764),"")</f>
        <v/>
      </c>
      <c r="H1504" s="177" cm="1">
        <f t="array" ref="H1504">_xlfn.IFS(B1504="Serviço",SUMIFS(H1505:$H$3085,C1505:$C$3085,$C1504),B1504="Insumo",F1504*G1504,B1504="Etapa","")</f>
        <v>15</v>
      </c>
      <c r="I1504" s="178" t="s">
        <v>195</v>
      </c>
    </row>
    <row r="1505" spans="1:9" hidden="1" outlineLevel="2" x14ac:dyDescent="0.25">
      <c r="A1505" s="175">
        <f t="shared" si="49"/>
        <v>1</v>
      </c>
      <c r="B1505" s="175" t="s">
        <v>327</v>
      </c>
      <c r="C1505" s="175" t="str">
        <f t="shared" si="50"/>
        <v>Mão de obra execução de massa de gesso em paredes</v>
      </c>
      <c r="D1505" s="175" t="s">
        <v>696</v>
      </c>
      <c r="E1505" s="176" t="str">
        <f>_xlfn.XLOOKUP(D1505,Insumos!$B$1:$B$764,Insumos!$C$1:$C$764)</f>
        <v>UN</v>
      </c>
      <c r="F1505" s="179">
        <v>1</v>
      </c>
      <c r="G1505" s="177">
        <f>IF(B1505="insumo",_xlfn.XLOOKUP($D1505,Insumos!$B$1:$B$764,Insumos!$D$1:$D$764),"")</f>
        <v>15</v>
      </c>
      <c r="H1505" s="177" cm="1">
        <f t="array" ref="H1505">_xlfn.IFS(B1505="Serviço",SUMIFS(H1506:$H$3085,C1506:$C$3085,$C1505),B1505="Insumo",F1505*G1505,B1505="Etapa","")</f>
        <v>15</v>
      </c>
      <c r="I1505" s="178"/>
    </row>
    <row r="1506" spans="1:9" x14ac:dyDescent="0.25">
      <c r="A1506" s="172">
        <f t="shared" si="49"/>
        <v>1</v>
      </c>
      <c r="B1506" s="172" t="s">
        <v>107</v>
      </c>
      <c r="C1506" s="172"/>
      <c r="D1506" s="172" t="s">
        <v>233</v>
      </c>
      <c r="E1506" s="173"/>
      <c r="F1506" s="174"/>
      <c r="G1506" s="180" t="str">
        <f>IF(B1506="insumo",_xlfn.XLOOKUP($D1506,Insumos!$B$1:$B$764,Insumos!$D$1:$D$764),"")</f>
        <v/>
      </c>
      <c r="H1506" s="177" t="str" cm="1">
        <f t="array" ref="H1506">_xlfn.IFS(B1506="Serviço",SUMIFS(H1507:$H$3085,C1507:$C$3085,$C1506),B1506="Insumo",F1506*G1506,B1506="Etapa","")</f>
        <v/>
      </c>
      <c r="I1506" s="174"/>
    </row>
    <row r="1507" spans="1:9" outlineLevel="1" collapsed="1" x14ac:dyDescent="0.25">
      <c r="A1507" s="175">
        <f t="shared" si="49"/>
        <v>1</v>
      </c>
      <c r="B1507" s="175" t="s">
        <v>109</v>
      </c>
      <c r="C1507" s="175" t="str">
        <f t="shared" si="50"/>
        <v xml:space="preserve">Regularização de Teto 0,50 cm </v>
      </c>
      <c r="D1507" s="175" t="s">
        <v>697</v>
      </c>
      <c r="E1507" s="176" t="s">
        <v>13</v>
      </c>
      <c r="F1507" s="175"/>
      <c r="G1507" s="177" t="str">
        <f>IF(B1507="insumo",_xlfn.XLOOKUP($D1507,Insumos!$B$1:$B$764,Insumos!$D$1:$D$764),"")</f>
        <v/>
      </c>
      <c r="H1507" s="177" cm="1">
        <f t="array" ref="H1507">_xlfn.IFS(B1507="Serviço",SUMIFS(H1508:$H$3085,C1508:$C$3085,$C1507),B1507="Insumo",F1507*G1507,B1507="Etapa","")</f>
        <v>3.1560233333333336</v>
      </c>
      <c r="I1507" s="178" t="s">
        <v>195</v>
      </c>
    </row>
    <row r="1508" spans="1:9" hidden="1" outlineLevel="2" x14ac:dyDescent="0.25">
      <c r="A1508" s="175">
        <f t="shared" si="49"/>
        <v>34</v>
      </c>
      <c r="B1508" s="175" t="s">
        <v>327</v>
      </c>
      <c r="C1508" s="175" t="str">
        <f t="shared" si="50"/>
        <v xml:space="preserve">Regularização de Teto 0,50 cm </v>
      </c>
      <c r="D1508" s="175" t="s">
        <v>626</v>
      </c>
      <c r="E1508" s="176" t="str">
        <f>_xlfn.XLOOKUP(D1508,Insumos!$B$1:$B$764,Insumos!$C$1:$C$764)</f>
        <v>M3</v>
      </c>
      <c r="F1508" s="179">
        <v>5.5000000000000005E-3</v>
      </c>
      <c r="G1508" s="177">
        <f>IF(B1508="insumo",_xlfn.XLOOKUP($D1508,Insumos!$B$1:$B$764,Insumos!$D$1:$D$764),"")</f>
        <v>550</v>
      </c>
      <c r="H1508" s="177" cm="1">
        <f t="array" ref="H1508">_xlfn.IFS(B1508="Serviço",SUMIFS(H1509:$H$3085,C1509:$C$3085,$C1508),B1508="Insumo",F1508*G1508,B1508="Etapa","")</f>
        <v>3.0250000000000004</v>
      </c>
      <c r="I1508" s="178"/>
    </row>
    <row r="1509" spans="1:9" hidden="1" outlineLevel="2" x14ac:dyDescent="0.25">
      <c r="A1509" s="175">
        <f t="shared" si="49"/>
        <v>37</v>
      </c>
      <c r="B1509" s="175" t="s">
        <v>327</v>
      </c>
      <c r="C1509" s="175" t="str">
        <f t="shared" si="50"/>
        <v xml:space="preserve">Regularização de Teto 0,50 cm </v>
      </c>
      <c r="D1509" s="175" t="s">
        <v>671</v>
      </c>
      <c r="E1509" s="176" t="str">
        <f>_xlfn.XLOOKUP(D1509,Insumos!$B$1:$B$764,Insumos!$C$1:$C$764)</f>
        <v>L</v>
      </c>
      <c r="F1509" s="179">
        <v>3.5000000000000005E-3</v>
      </c>
      <c r="G1509" s="177">
        <f>IF(B1509="insumo",_xlfn.XLOOKUP($D1509,Insumos!$B$1:$B$764,Insumos!$D$1:$D$764),"")</f>
        <v>19.34</v>
      </c>
      <c r="H1509" s="177" cm="1">
        <f t="array" ref="H1509">_xlfn.IFS(B1509="Serviço",SUMIFS(H1510:$H$3085,C1510:$C$3085,$C1509),B1509="Insumo",F1509*G1509,B1509="Etapa","")</f>
        <v>6.7690000000000014E-2</v>
      </c>
      <c r="I1509" s="178"/>
    </row>
    <row r="1510" spans="1:9" hidden="1" outlineLevel="2" x14ac:dyDescent="0.25">
      <c r="A1510" s="175">
        <f t="shared" si="49"/>
        <v>39</v>
      </c>
      <c r="B1510" s="175" t="s">
        <v>327</v>
      </c>
      <c r="C1510" s="175" t="str">
        <f t="shared" si="50"/>
        <v xml:space="preserve">Regularização de Teto 0,50 cm </v>
      </c>
      <c r="D1510" s="175" t="s">
        <v>396</v>
      </c>
      <c r="E1510" s="176" t="str">
        <f>_xlfn.XLOOKUP(D1510,Insumos!$B$1:$B$764,Insumos!$C$1:$C$764)</f>
        <v>KG</v>
      </c>
      <c r="F1510" s="179">
        <v>8.3333333333333343E-2</v>
      </c>
      <c r="G1510" s="177">
        <f>IF(B1510="insumo",_xlfn.XLOOKUP($D1510,Insumos!$B$1:$B$764,Insumos!$D$1:$D$764),"")</f>
        <v>0.76</v>
      </c>
      <c r="H1510" s="177" cm="1">
        <f t="array" ref="H1510">_xlfn.IFS(B1510="Serviço",SUMIFS(H1511:$H$3085,C1511:$C$3085,$C1510),B1510="Insumo",F1510*G1510,B1510="Etapa","")</f>
        <v>6.3333333333333339E-2</v>
      </c>
      <c r="I1510" s="178"/>
    </row>
    <row r="1511" spans="1:9" outlineLevel="1" collapsed="1" x14ac:dyDescent="0.25">
      <c r="A1511" s="175">
        <f t="shared" si="49"/>
        <v>1</v>
      </c>
      <c r="B1511" s="175" t="s">
        <v>109</v>
      </c>
      <c r="C1511" s="175" t="str">
        <f t="shared" si="50"/>
        <v>Estucamento de teto</v>
      </c>
      <c r="D1511" s="175" t="s">
        <v>698</v>
      </c>
      <c r="E1511" s="176" t="s">
        <v>13</v>
      </c>
      <c r="F1511" s="175"/>
      <c r="G1511" s="177" t="str">
        <f>IF(B1511="insumo",_xlfn.XLOOKUP($D1511,Insumos!$B$1:$B$764,Insumos!$D$1:$D$764),"")</f>
        <v/>
      </c>
      <c r="H1511" s="177" cm="1">
        <f t="array" ref="H1511">_xlfn.IFS(B1511="Serviço",SUMIFS(H1512:$H$3085,C1512:$C$3085,$C1511),B1511="Insumo",F1511*G1511,B1511="Etapa","")</f>
        <v>5.1029166666666663</v>
      </c>
      <c r="I1511" s="178" t="s">
        <v>195</v>
      </c>
    </row>
    <row r="1512" spans="1:9" hidden="1" outlineLevel="2" x14ac:dyDescent="0.25">
      <c r="A1512" s="175">
        <f t="shared" si="49"/>
        <v>39</v>
      </c>
      <c r="B1512" s="175" t="s">
        <v>327</v>
      </c>
      <c r="C1512" s="175" t="str">
        <f t="shared" si="50"/>
        <v>Estucamento de teto</v>
      </c>
      <c r="D1512" s="175" t="s">
        <v>396</v>
      </c>
      <c r="E1512" s="176" t="str">
        <f>_xlfn.XLOOKUP(D1512,Insumos!$B$1:$B$764,Insumos!$C$1:$C$764)</f>
        <v>KG</v>
      </c>
      <c r="F1512" s="179">
        <v>0.6</v>
      </c>
      <c r="G1512" s="177">
        <f>IF(B1512="insumo",_xlfn.XLOOKUP($D1512,Insumos!$B$1:$B$764,Insumos!$D$1:$D$764),"")</f>
        <v>0.76</v>
      </c>
      <c r="H1512" s="177" cm="1">
        <f t="array" ref="H1512">_xlfn.IFS(B1512="Serviço",SUMIFS(H1513:$H$3085,C1513:$C$3085,$C1512),B1512="Insumo",F1512*G1512,B1512="Etapa","")</f>
        <v>0.45599999999999996</v>
      </c>
      <c r="I1512" s="178"/>
    </row>
    <row r="1513" spans="1:9" hidden="1" outlineLevel="2" x14ac:dyDescent="0.25">
      <c r="A1513" s="175">
        <f t="shared" si="49"/>
        <v>3</v>
      </c>
      <c r="B1513" s="175" t="s">
        <v>327</v>
      </c>
      <c r="C1513" s="175" t="str">
        <f t="shared" si="50"/>
        <v>Estucamento de teto</v>
      </c>
      <c r="D1513" s="175" t="s">
        <v>667</v>
      </c>
      <c r="E1513" s="176" t="str">
        <f>_xlfn.XLOOKUP(D1513,Insumos!$B$1:$B$764,Insumos!$C$1:$C$764)</f>
        <v>UN</v>
      </c>
      <c r="F1513" s="179">
        <v>0.05</v>
      </c>
      <c r="G1513" s="177">
        <f>IF(B1513="insumo",_xlfn.XLOOKUP($D1513,Insumos!$B$1:$B$764,Insumos!$D$1:$D$764),"")</f>
        <v>3.13</v>
      </c>
      <c r="H1513" s="177" cm="1">
        <f t="array" ref="H1513">_xlfn.IFS(B1513="Serviço",SUMIFS(H1514:$H$3085,C1514:$C$3085,$C1513),B1513="Insumo",F1513*G1513,B1513="Etapa","")</f>
        <v>0.1565</v>
      </c>
      <c r="I1513" s="178"/>
    </row>
    <row r="1514" spans="1:9" hidden="1" outlineLevel="2" x14ac:dyDescent="0.25">
      <c r="A1514" s="175">
        <f t="shared" si="49"/>
        <v>3</v>
      </c>
      <c r="B1514" s="175" t="s">
        <v>327</v>
      </c>
      <c r="C1514" s="175" t="str">
        <f t="shared" si="50"/>
        <v>Estucamento de teto</v>
      </c>
      <c r="D1514" s="175" t="s">
        <v>668</v>
      </c>
      <c r="E1514" s="176" t="str">
        <f>_xlfn.XLOOKUP(D1514,Insumos!$B$1:$B$764,Insumos!$C$1:$C$764)</f>
        <v>KG</v>
      </c>
      <c r="F1514" s="179">
        <v>0.3</v>
      </c>
      <c r="G1514" s="177">
        <f>IF(B1514="insumo",_xlfn.XLOOKUP($D1514,Insumos!$B$1:$B$764,Insumos!$D$1:$D$764),"")</f>
        <v>3.49</v>
      </c>
      <c r="H1514" s="177" cm="1">
        <f t="array" ref="H1514">_xlfn.IFS(B1514="Serviço",SUMIFS(H1515:$H$3085,C1515:$C$3085,$C1514),B1514="Insumo",F1514*G1514,B1514="Etapa","")</f>
        <v>1.0469999999999999</v>
      </c>
      <c r="I1514" s="178"/>
    </row>
    <row r="1515" spans="1:9" hidden="1" outlineLevel="2" x14ac:dyDescent="0.25">
      <c r="A1515" s="175">
        <f t="shared" si="49"/>
        <v>3</v>
      </c>
      <c r="B1515" s="175" t="s">
        <v>327</v>
      </c>
      <c r="C1515" s="175" t="str">
        <f t="shared" si="50"/>
        <v>Estucamento de teto</v>
      </c>
      <c r="D1515" s="175" t="s">
        <v>669</v>
      </c>
      <c r="E1515" s="176" t="str">
        <f>_xlfn.XLOOKUP(D1515,Insumos!$B$1:$B$764,Insumos!$C$1:$C$764)</f>
        <v>KG</v>
      </c>
      <c r="F1515" s="179">
        <v>0.15</v>
      </c>
      <c r="G1515" s="177">
        <f>IF(B1515="insumo",_xlfn.XLOOKUP($D1515,Insumos!$B$1:$B$764,Insumos!$D$1:$D$764),"")</f>
        <v>22.95611111111111</v>
      </c>
      <c r="H1515" s="177" cm="1">
        <f t="array" ref="H1515">_xlfn.IFS(B1515="Serviço",SUMIFS(H1516:$H$3085,C1516:$C$3085,$C1515),B1515="Insumo",F1515*G1515,B1515="Etapa","")</f>
        <v>3.4434166666666663</v>
      </c>
      <c r="I1515" s="178"/>
    </row>
    <row r="1516" spans="1:9" outlineLevel="1" x14ac:dyDescent="0.25">
      <c r="A1516" s="175">
        <f t="shared" si="49"/>
        <v>1</v>
      </c>
      <c r="B1516" s="175" t="s">
        <v>109</v>
      </c>
      <c r="C1516" s="175" t="str">
        <f t="shared" si="50"/>
        <v>Chapisco aplicado em teto, com argamassa pré-fabricada adesiva de cimento colante, aplicação convencional</v>
      </c>
      <c r="D1516" s="175" t="s">
        <v>2859</v>
      </c>
      <c r="E1516" s="176" t="s">
        <v>13</v>
      </c>
      <c r="F1516" s="175"/>
      <c r="G1516" s="177" t="str">
        <f>IF(B1516="insumo",_xlfn.XLOOKUP($D1516,Insumos!$B$1:$B$764,Insumos!$D$1:$D$764),"")</f>
        <v/>
      </c>
      <c r="H1516" s="177" cm="1">
        <f t="array" ref="H1516">_xlfn.IFS(B1516="Serviço",SUMIFS(H1517:$H$3085,C1517:$C$3085,$C1516),B1516="Insumo",F1516*G1516,B1516="Etapa","")</f>
        <v>19.535849999999996</v>
      </c>
      <c r="I1516" s="178" t="s">
        <v>195</v>
      </c>
    </row>
    <row r="1517" spans="1:9" outlineLevel="2" x14ac:dyDescent="0.25">
      <c r="A1517" s="175">
        <f t="shared" si="49"/>
        <v>118</v>
      </c>
      <c r="B1517" s="175" t="s">
        <v>327</v>
      </c>
      <c r="C1517" s="175" t="str">
        <f t="shared" si="50"/>
        <v>Chapisco aplicado em teto, com argamassa pré-fabricada adesiva de cimento colante, aplicação convencional</v>
      </c>
      <c r="D1517" s="175" t="s">
        <v>654</v>
      </c>
      <c r="E1517" s="176" t="str">
        <f>_xlfn.XLOOKUP(D1517,Insumos!$B$1:$B$764,Insumos!$C$1:$C$764)</f>
        <v>KG</v>
      </c>
      <c r="F1517" s="179">
        <v>6.34</v>
      </c>
      <c r="G1517" s="177">
        <f>IF(B1517="insumo",_xlfn.XLOOKUP($D1517,Insumos!$B$1:$B$764,Insumos!$D$1:$D$764),"")</f>
        <v>2.5499999999999998</v>
      </c>
      <c r="H1517" s="177" cm="1">
        <f t="array" ref="H1517">_xlfn.IFS(B1517="Serviço",SUMIFS(H1518:$H$3085,C1518:$C$3085,$C1517),B1517="Insumo",F1517*G1517,B1517="Etapa","")</f>
        <v>16.166999999999998</v>
      </c>
      <c r="I1517" s="178"/>
    </row>
    <row r="1518" spans="1:9" outlineLevel="2" x14ac:dyDescent="0.25">
      <c r="A1518" s="175">
        <f t="shared" si="49"/>
        <v>5</v>
      </c>
      <c r="B1518" s="175" t="s">
        <v>327</v>
      </c>
      <c r="C1518" s="175" t="str">
        <f t="shared" si="50"/>
        <v>Chapisco aplicado em teto, com argamassa pré-fabricada adesiva de cimento colante, aplicação convencional</v>
      </c>
      <c r="D1518" s="175" t="s">
        <v>656</v>
      </c>
      <c r="E1518" s="176" t="str">
        <f>_xlfn.XLOOKUP(D1518,Insumos!$B$1:$B$764,Insumos!$C$1:$C$764)</f>
        <v>KG</v>
      </c>
      <c r="F1518" s="179">
        <v>0.3</v>
      </c>
      <c r="G1518" s="177">
        <f>IF(B1518="insumo",_xlfn.XLOOKUP($D1518,Insumos!$B$1:$B$764,Insumos!$D$1:$D$764),"")</f>
        <v>11.2295</v>
      </c>
      <c r="H1518" s="177" cm="1">
        <f t="array" ref="H1518">_xlfn.IFS(B1518="Serviço",SUMIFS(H1519:$H$3085,C1519:$C$3085,$C1518),B1518="Insumo",F1518*G1518,B1518="Etapa","")</f>
        <v>3.3688499999999997</v>
      </c>
      <c r="I1518" s="178"/>
    </row>
    <row r="1519" spans="1:9" outlineLevel="1" collapsed="1" x14ac:dyDescent="0.25">
      <c r="A1519" s="175">
        <f t="shared" si="49"/>
        <v>1</v>
      </c>
      <c r="B1519" s="175" t="s">
        <v>109</v>
      </c>
      <c r="C1519" s="175" t="str">
        <f t="shared" si="50"/>
        <v>Massa unica para reboco em teto com argamassa estabilizada, espessura de 2,5cm, com execução de taliscas</v>
      </c>
      <c r="D1519" s="175" t="s">
        <v>2860</v>
      </c>
      <c r="E1519" s="176" t="s">
        <v>13</v>
      </c>
      <c r="F1519" s="175"/>
      <c r="G1519" s="177" t="str">
        <f>IF(B1519="insumo",_xlfn.XLOOKUP($D1519,Insumos!$B$1:$B$764,Insumos!$D$1:$D$764),"")</f>
        <v/>
      </c>
      <c r="H1519" s="177" cm="1">
        <f t="array" ref="H1519">_xlfn.IFS(B1519="Serviço",SUMIFS(H1520:$H$3085,C1520:$C$3085,$C1519),B1519="Insumo",F1519*G1519,B1519="Etapa","")</f>
        <v>15.898575000000001</v>
      </c>
      <c r="I1519" s="178" t="s">
        <v>195</v>
      </c>
    </row>
    <row r="1520" spans="1:9" hidden="1" outlineLevel="2" x14ac:dyDescent="0.25">
      <c r="A1520" s="175">
        <f t="shared" si="49"/>
        <v>9</v>
      </c>
      <c r="B1520" s="175" t="s">
        <v>327</v>
      </c>
      <c r="C1520" s="175" t="str">
        <f t="shared" si="50"/>
        <v>Massa unica para reboco em teto com argamassa estabilizada, espessura de 2,5cm, com execução de taliscas</v>
      </c>
      <c r="D1520" s="175" t="s">
        <v>666</v>
      </c>
      <c r="E1520" s="176" t="str">
        <f>_xlfn.XLOOKUP(D1520,Insumos!$B$1:$B$764,Insumos!$C$1:$C$764)</f>
        <v>M3</v>
      </c>
      <c r="F1520" s="179">
        <v>2.6250000000000002E-2</v>
      </c>
      <c r="G1520" s="177">
        <f>IF(B1520="insumo",_xlfn.XLOOKUP($D1520,Insumos!$B$1:$B$764,Insumos!$D$1:$D$764),"")</f>
        <v>605.66</v>
      </c>
      <c r="H1520" s="177" cm="1">
        <f t="array" ref="H1520">_xlfn.IFS(B1520="Serviço",SUMIFS(H1521:$H$3085,C1521:$C$3085,$C1520),B1520="Insumo",F1520*G1520,B1520="Etapa","")</f>
        <v>15.898575000000001</v>
      </c>
      <c r="I1520" s="178"/>
    </row>
    <row r="1521" spans="1:9" outlineLevel="1" collapsed="1" x14ac:dyDescent="0.25">
      <c r="A1521" s="175">
        <f t="shared" si="49"/>
        <v>1</v>
      </c>
      <c r="B1521" s="175" t="s">
        <v>109</v>
      </c>
      <c r="C1521" s="175" t="str">
        <f t="shared" si="50"/>
        <v>Estucamento de teto com argamassa</v>
      </c>
      <c r="D1521" s="175" t="s">
        <v>2380</v>
      </c>
      <c r="E1521" s="176" t="s">
        <v>13</v>
      </c>
      <c r="F1521" s="175"/>
      <c r="G1521" s="177" t="str">
        <f>IF(B1521="insumo",_xlfn.XLOOKUP($D1521,Insumos!$B$1:$B$764,Insumos!$D$1:$D$764),"")</f>
        <v/>
      </c>
      <c r="H1521" s="177" cm="1">
        <f t="array" ref="H1521">_xlfn.IFS(B1521="Serviço",SUMIFS(H1522:$H$3085,C1522:$C$3085,$C1521),B1521="Insumo",F1521*G1521,B1521="Etapa","")</f>
        <v>11.22</v>
      </c>
      <c r="I1521" s="178" t="s">
        <v>195</v>
      </c>
    </row>
    <row r="1522" spans="1:9" hidden="1" outlineLevel="2" x14ac:dyDescent="0.25">
      <c r="A1522" s="175">
        <f t="shared" si="49"/>
        <v>118</v>
      </c>
      <c r="B1522" s="175" t="s">
        <v>327</v>
      </c>
      <c r="C1522" s="175" t="str">
        <f t="shared" si="50"/>
        <v>Estucamento de teto com argamassa</v>
      </c>
      <c r="D1522" s="175" t="s">
        <v>654</v>
      </c>
      <c r="E1522" s="176" t="str">
        <f>_xlfn.XLOOKUP(D1522,Insumos!$B$1:$B$764,Insumos!$C$1:$C$764)</f>
        <v>KG</v>
      </c>
      <c r="F1522" s="179">
        <v>4.4000000000000004</v>
      </c>
      <c r="G1522" s="177">
        <f>IF(B1522="insumo",_xlfn.XLOOKUP($D1522,Insumos!$B$1:$B$764,Insumos!$D$1:$D$764),"")</f>
        <v>2.5499999999999998</v>
      </c>
      <c r="H1522" s="177" cm="1">
        <f t="array" ref="H1522">_xlfn.IFS(B1522="Serviço",SUMIFS(H1523:$H$3085,C1523:$C$3085,$C1522),B1522="Insumo",F1522*G1522,B1522="Etapa","")</f>
        <v>11.22</v>
      </c>
      <c r="I1522" s="178"/>
    </row>
    <row r="1523" spans="1:9" outlineLevel="1" collapsed="1" x14ac:dyDescent="0.25">
      <c r="A1523" s="175">
        <f t="shared" si="49"/>
        <v>1</v>
      </c>
      <c r="B1523" s="175" t="s">
        <v>109</v>
      </c>
      <c r="C1523" s="175" t="str">
        <f t="shared" si="50"/>
        <v>Cortineiro em gesso</v>
      </c>
      <c r="D1523" s="175" t="s">
        <v>699</v>
      </c>
      <c r="E1523" s="176" t="s">
        <v>25</v>
      </c>
      <c r="F1523" s="175"/>
      <c r="G1523" s="177" t="str">
        <f>IF(B1523="insumo",_xlfn.XLOOKUP($D1523,Insumos!$B$1:$B$764,Insumos!$D$1:$D$764),"")</f>
        <v/>
      </c>
      <c r="H1523" s="177" cm="1">
        <f t="array" ref="H1523">_xlfn.IFS(B1523="Serviço",SUMIFS(H1524:$H$3085,C1524:$C$3085,$C1523),B1523="Insumo",F1523*G1523,B1523="Etapa","")</f>
        <v>29.99</v>
      </c>
      <c r="I1523" s="178" t="s">
        <v>195</v>
      </c>
    </row>
    <row r="1524" spans="1:9" hidden="1" outlineLevel="2" x14ac:dyDescent="0.25">
      <c r="A1524" s="175">
        <f t="shared" si="49"/>
        <v>1</v>
      </c>
      <c r="B1524" s="175" t="s">
        <v>327</v>
      </c>
      <c r="C1524" s="175" t="str">
        <f t="shared" si="50"/>
        <v>Cortineiro em gesso</v>
      </c>
      <c r="D1524" s="175" t="s">
        <v>700</v>
      </c>
      <c r="E1524" s="176" t="str">
        <f>_xlfn.XLOOKUP(D1524,Insumos!$B$1:$B$764,Insumos!$C$1:$C$764)</f>
        <v>m</v>
      </c>
      <c r="F1524" s="179">
        <v>1</v>
      </c>
      <c r="G1524" s="177">
        <f>IF(B1524="insumo",_xlfn.XLOOKUP($D1524,Insumos!$B$1:$B$764,Insumos!$D$1:$D$764),"")</f>
        <v>29.99</v>
      </c>
      <c r="H1524" s="177" cm="1">
        <f t="array" ref="H1524">_xlfn.IFS(B1524="Serviço",SUMIFS(H1525:$H$3085,C1525:$C$3085,$C1524),B1524="Insumo",F1524*G1524,B1524="Etapa","")</f>
        <v>29.99</v>
      </c>
      <c r="I1524" s="178"/>
    </row>
    <row r="1525" spans="1:9" outlineLevel="1" collapsed="1" x14ac:dyDescent="0.25">
      <c r="A1525" s="175">
        <f t="shared" si="49"/>
        <v>1</v>
      </c>
      <c r="B1525" s="175" t="s">
        <v>109</v>
      </c>
      <c r="C1525" s="175" t="str">
        <f t="shared" si="50"/>
        <v>Isolmento acustico em teto</v>
      </c>
      <c r="D1525" s="175" t="s">
        <v>701</v>
      </c>
      <c r="E1525" s="176" t="s">
        <v>13</v>
      </c>
      <c r="F1525" s="175"/>
      <c r="G1525" s="177" t="str">
        <f>IF(B1525="insumo",_xlfn.XLOOKUP($D1525,Insumos!$B$1:$B$764,Insumos!$D$1:$D$764),"")</f>
        <v/>
      </c>
      <c r="H1525" s="177" cm="1">
        <f t="array" ref="H1525">_xlfn.IFS(B1525="Serviço",SUMIFS(H1526:$H$3085,C1526:$C$3085,$C1525),B1525="Insumo",F1525*G1525,B1525="Etapa","")</f>
        <v>88.427066666666661</v>
      </c>
      <c r="I1525" s="178" t="s">
        <v>195</v>
      </c>
    </row>
    <row r="1526" spans="1:9" hidden="1" outlineLevel="2" x14ac:dyDescent="0.25">
      <c r="A1526" s="175">
        <f t="shared" si="49"/>
        <v>1</v>
      </c>
      <c r="B1526" s="175" t="s">
        <v>327</v>
      </c>
      <c r="C1526" s="175" t="str">
        <f t="shared" si="50"/>
        <v>Isolmento acustico em teto</v>
      </c>
      <c r="D1526" s="175" t="s">
        <v>702</v>
      </c>
      <c r="E1526" s="176" t="str">
        <f>_xlfn.XLOOKUP(D1526,Insumos!$B$1:$B$764,Insumos!$C$1:$C$764)</f>
        <v>M2</v>
      </c>
      <c r="F1526" s="179">
        <v>1</v>
      </c>
      <c r="G1526" s="177">
        <f>IF(B1526="insumo",_xlfn.XLOOKUP($D1526,Insumos!$B$1:$B$764,Insumos!$D$1:$D$764),"")</f>
        <v>75.598399999999998</v>
      </c>
      <c r="H1526" s="177" cm="1">
        <f t="array" ref="H1526">_xlfn.IFS(B1526="Serviço",SUMIFS(H1527:$H$3085,C1527:$C$3085,$C1526),B1526="Insumo",F1526*G1526,B1526="Etapa","")</f>
        <v>75.598399999999998</v>
      </c>
      <c r="I1526" s="178"/>
    </row>
    <row r="1527" spans="1:9" hidden="1" outlineLevel="2" x14ac:dyDescent="0.25">
      <c r="A1527" s="175">
        <f t="shared" si="49"/>
        <v>9</v>
      </c>
      <c r="B1527" s="175" t="s">
        <v>327</v>
      </c>
      <c r="C1527" s="175" t="str">
        <f t="shared" si="50"/>
        <v>Isolmento acustico em teto</v>
      </c>
      <c r="D1527" s="175" t="s">
        <v>605</v>
      </c>
      <c r="E1527" s="176" t="str">
        <f>_xlfn.XLOOKUP(D1527,Insumos!$B$1:$B$764,Insumos!$C$1:$C$764)</f>
        <v>M2</v>
      </c>
      <c r="F1527" s="179">
        <v>1</v>
      </c>
      <c r="G1527" s="177">
        <f>IF(B1527="insumo",_xlfn.XLOOKUP($D1527,Insumos!$B$1:$B$764,Insumos!$D$1:$D$764),"")</f>
        <v>12.828666666666667</v>
      </c>
      <c r="H1527" s="177" cm="1">
        <f t="array" ref="H1527">_xlfn.IFS(B1527="Serviço",SUMIFS(H1528:$H$3085,C1528:$C$3085,$C1527),B1527="Insumo",F1527*G1527,B1527="Etapa","")</f>
        <v>12.828666666666667</v>
      </c>
      <c r="I1527" s="178"/>
    </row>
    <row r="1528" spans="1:9" outlineLevel="1" collapsed="1" x14ac:dyDescent="0.25">
      <c r="A1528" s="175">
        <f t="shared" si="49"/>
        <v>1</v>
      </c>
      <c r="B1528" s="175" t="s">
        <v>109</v>
      </c>
      <c r="C1528" s="175" t="str">
        <f t="shared" si="50"/>
        <v>Forro de gesso mineral em tetos - Material e Mão de Obra</v>
      </c>
      <c r="D1528" s="175" t="s">
        <v>1840</v>
      </c>
      <c r="E1528" s="176" t="s">
        <v>13</v>
      </c>
      <c r="F1528" s="175"/>
      <c r="G1528" s="177" t="str">
        <f>IF(B1528="insumo",_xlfn.XLOOKUP($D1528,Insumos!$B$1:$B$764,Insumos!$D$1:$D$764),"")</f>
        <v/>
      </c>
      <c r="H1528" s="177" cm="1">
        <f t="array" ref="H1528">_xlfn.IFS(B1528="Serviço",SUMIFS(H1529:$H$3085,C1529:$C$3085,$C1528),B1528="Insumo",F1528*G1528,B1528="Etapa","")</f>
        <v>55</v>
      </c>
      <c r="I1528" s="178" t="s">
        <v>195</v>
      </c>
    </row>
    <row r="1529" spans="1:9" hidden="1" outlineLevel="2" x14ac:dyDescent="0.25">
      <c r="A1529" s="175">
        <f t="shared" si="49"/>
        <v>1</v>
      </c>
      <c r="B1529" s="175" t="s">
        <v>327</v>
      </c>
      <c r="C1529" s="175" t="str">
        <f t="shared" si="50"/>
        <v>Forro de gesso mineral em tetos - Material e Mão de Obra</v>
      </c>
      <c r="D1529" s="175" t="s">
        <v>1840</v>
      </c>
      <c r="E1529" s="176" t="str">
        <f>_xlfn.XLOOKUP(D1529,Insumos!$B$1:$B$764,Insumos!$C$1:$C$764)</f>
        <v>M2</v>
      </c>
      <c r="F1529" s="179">
        <v>1</v>
      </c>
      <c r="G1529" s="177">
        <f>IF(B1529="insumo",_xlfn.XLOOKUP($D1529,Insumos!$B$1:$B$764,Insumos!$D$1:$D$764),"")</f>
        <v>55</v>
      </c>
      <c r="H1529" s="177" cm="1">
        <f t="array" ref="H1529">_xlfn.IFS(B1529="Serviço",SUMIFS(H1530:$H$3085,C1530:$C$3085,$C1529),B1529="Insumo",F1529*G1529,B1529="Etapa","")</f>
        <v>55</v>
      </c>
      <c r="I1529" s="178"/>
    </row>
    <row r="1530" spans="1:9" outlineLevel="1" collapsed="1" x14ac:dyDescent="0.25">
      <c r="A1530" s="175">
        <f t="shared" si="49"/>
        <v>1</v>
      </c>
      <c r="B1530" s="175" t="s">
        <v>109</v>
      </c>
      <c r="C1530" s="175" t="str">
        <f t="shared" si="50"/>
        <v>Negativo de forro de gesso mineral</v>
      </c>
      <c r="D1530" s="175" t="s">
        <v>1751</v>
      </c>
      <c r="E1530" s="176" t="s">
        <v>13</v>
      </c>
      <c r="F1530" s="175"/>
      <c r="G1530" s="177" t="str">
        <f>IF(B1530="insumo",_xlfn.XLOOKUP($D1530,Insumos!$B$1:$B$764,Insumos!$D$1:$D$764),"")</f>
        <v/>
      </c>
      <c r="H1530" s="177" cm="1">
        <f t="array" ref="H1530">_xlfn.IFS(B1530="Serviço",SUMIFS(H1531:$H$3085,C1531:$C$3085,$C1530),B1530="Insumo",F1530*G1530,B1530="Etapa","")</f>
        <v>35</v>
      </c>
      <c r="I1530" s="178" t="s">
        <v>195</v>
      </c>
    </row>
    <row r="1531" spans="1:9" hidden="1" outlineLevel="2" x14ac:dyDescent="0.25">
      <c r="A1531" s="175">
        <f t="shared" si="49"/>
        <v>1</v>
      </c>
      <c r="B1531" s="175" t="s">
        <v>327</v>
      </c>
      <c r="C1531" s="175" t="str">
        <f t="shared" si="50"/>
        <v>Negativo de forro de gesso mineral</v>
      </c>
      <c r="D1531" s="175" t="s">
        <v>1751</v>
      </c>
      <c r="E1531" s="176" t="str">
        <f>_xlfn.XLOOKUP(D1531,Insumos!$B$1:$B$764,Insumos!$C$1:$C$764)</f>
        <v>M2</v>
      </c>
      <c r="F1531" s="179">
        <v>1</v>
      </c>
      <c r="G1531" s="177">
        <f>IF(B1531="insumo",_xlfn.XLOOKUP($D1531,Insumos!$B$1:$B$764,Insumos!$D$1:$D$764),"")</f>
        <v>35</v>
      </c>
      <c r="H1531" s="177" cm="1">
        <f t="array" ref="H1531">_xlfn.IFS(B1531="Serviço",SUMIFS(H1532:$H$3085,C1532:$C$3085,$C1531),B1531="Insumo",F1531*G1531,B1531="Etapa","")</f>
        <v>35</v>
      </c>
      <c r="I1531" s="178"/>
    </row>
    <row r="1532" spans="1:9" outlineLevel="1" x14ac:dyDescent="0.25">
      <c r="A1532" s="175">
        <f t="shared" si="49"/>
        <v>1</v>
      </c>
      <c r="B1532" s="175" t="s">
        <v>109</v>
      </c>
      <c r="C1532" s="175" t="str">
        <f t="shared" si="50"/>
        <v>Forro Com Sistema Em Chapas De Gesso Para Drywall, Uso Interno, Montante 48mm, Com Uma Face Resistente a Umidade (RU/48)</v>
      </c>
      <c r="D1532" s="175" t="s">
        <v>3932</v>
      </c>
      <c r="E1532" s="176" t="s">
        <v>13</v>
      </c>
      <c r="F1532" s="175"/>
      <c r="G1532" s="177" t="str">
        <f>IF(B1532="insumo",_xlfn.XLOOKUP($D1532,Insumos!$B$1:$B$764,Insumos!$D$1:$D$764),"")</f>
        <v/>
      </c>
      <c r="H1532" s="177" cm="1">
        <f t="array" ref="H1532">_xlfn.IFS(B1532="Serviço",SUMIFS(H1533:$H$3085,C1533:$C$3085,$C1532),B1532="Insumo",F1532*G1532,B1532="Etapa","")</f>
        <v>128.620744</v>
      </c>
      <c r="I1532" s="178" t="s">
        <v>195</v>
      </c>
    </row>
    <row r="1533" spans="1:9" outlineLevel="2" x14ac:dyDescent="0.25">
      <c r="A1533" s="175">
        <f t="shared" si="49"/>
        <v>1</v>
      </c>
      <c r="B1533" s="175" t="s">
        <v>327</v>
      </c>
      <c r="C1533" s="175" t="str">
        <f t="shared" si="50"/>
        <v>Forro Com Sistema Em Chapas De Gesso Para Drywall, Uso Interno, Montante 48mm, Com Uma Face Resistente a Umidade (RU/48)</v>
      </c>
      <c r="D1533" s="175" t="s">
        <v>6933</v>
      </c>
      <c r="E1533" s="176" t="str">
        <f>_xlfn.XLOOKUP(D1533,Insumos!$B$1:$B$764,Insumos!$C$1:$C$764)</f>
        <v>M2</v>
      </c>
      <c r="F1533" s="179">
        <v>1</v>
      </c>
      <c r="G1533" s="177">
        <f>IF(B1533="insumo",_xlfn.XLOOKUP($D1533,Insumos!$B$1:$B$764,Insumos!$D$1:$D$764),"")</f>
        <v>70</v>
      </c>
      <c r="H1533" s="177" cm="1">
        <f t="array" ref="H1533">_xlfn.IFS(B1533="Serviço",SUMIFS(H1534:$H$3085,C1534:$C$3085,$C1533),B1533="Insumo",F1533*G1533,B1533="Etapa","")</f>
        <v>70</v>
      </c>
      <c r="I1533" s="178"/>
    </row>
    <row r="1534" spans="1:9" outlineLevel="2" x14ac:dyDescent="0.25">
      <c r="A1534" s="175">
        <f t="shared" si="49"/>
        <v>16</v>
      </c>
      <c r="B1534" s="175" t="s">
        <v>327</v>
      </c>
      <c r="C1534" s="175" t="str">
        <f t="shared" si="50"/>
        <v>Forro Com Sistema Em Chapas De Gesso Para Drywall, Uso Interno, Montante 48mm, Com Uma Face Resistente a Umidade (RU/48)</v>
      </c>
      <c r="D1534" s="175" t="s">
        <v>612</v>
      </c>
      <c r="E1534" s="176" t="str">
        <f>_xlfn.XLOOKUP(D1534,Insumos!$B$1:$B$764,Insumos!$C$1:$C$764)</f>
        <v>M2</v>
      </c>
      <c r="F1534" s="179">
        <v>1.0529999999999999</v>
      </c>
      <c r="G1534" s="177">
        <f>IF(B1534="insumo",_xlfn.XLOOKUP($D1534,Insumos!$B$1:$B$764,Insumos!$D$1:$D$764),"")</f>
        <v>29.194444444444446</v>
      </c>
      <c r="H1534" s="177" cm="1">
        <f t="array" ref="H1534">_xlfn.IFS(B1534="Serviço",SUMIFS(H1535:$H$3085,C1535:$C$3085,$C1534),B1534="Insumo",F1534*G1534,B1534="Etapa","")</f>
        <v>30.74175</v>
      </c>
      <c r="I1534" s="178"/>
    </row>
    <row r="1535" spans="1:9" outlineLevel="2" x14ac:dyDescent="0.25">
      <c r="A1535" s="175">
        <f t="shared" si="49"/>
        <v>30</v>
      </c>
      <c r="B1535" s="175" t="s">
        <v>327</v>
      </c>
      <c r="C1535" s="175" t="str">
        <f t="shared" si="50"/>
        <v>Forro Com Sistema Em Chapas De Gesso Para Drywall, Uso Interno, Montante 48mm, Com Uma Face Resistente a Umidade (RU/48)</v>
      </c>
      <c r="D1535" s="175" t="s">
        <v>597</v>
      </c>
      <c r="E1535" s="176" t="str">
        <f>_xlfn.XLOOKUP(D1535,Insumos!$B$1:$B$764,Insumos!$C$1:$C$764)</f>
        <v>UN</v>
      </c>
      <c r="F1535" s="179">
        <v>2.48</v>
      </c>
      <c r="G1535" s="177">
        <f>IF(B1535="insumo",_xlfn.XLOOKUP($D1535,Insumos!$B$1:$B$764,Insumos!$D$1:$D$764),"")</f>
        <v>0.504</v>
      </c>
      <c r="H1535" s="177" cm="1">
        <f t="array" ref="H1535">_xlfn.IFS(B1535="Serviço",SUMIFS(H1536:$H$3085,C1536:$C$3085,$C1535),B1535="Insumo",F1535*G1535,B1535="Etapa","")</f>
        <v>1.2499199999999999</v>
      </c>
      <c r="I1535" s="178"/>
    </row>
    <row r="1536" spans="1:9" outlineLevel="2" x14ac:dyDescent="0.25">
      <c r="A1536" s="175">
        <f t="shared" si="49"/>
        <v>8</v>
      </c>
      <c r="B1536" s="175" t="s">
        <v>327</v>
      </c>
      <c r="C1536" s="175" t="str">
        <f t="shared" si="50"/>
        <v>Forro Com Sistema Em Chapas De Gesso Para Drywall, Uso Interno, Montante 48mm, Com Uma Face Resistente a Umidade (RU/48)</v>
      </c>
      <c r="D1536" s="175" t="s">
        <v>598</v>
      </c>
      <c r="E1536" s="176" t="str">
        <f>_xlfn.XLOOKUP(D1536,Insumos!$B$1:$B$764,Insumos!$C$1:$C$764)</f>
        <v>M</v>
      </c>
      <c r="F1536" s="179">
        <v>0.76239999999999997</v>
      </c>
      <c r="G1536" s="177">
        <f>IF(B1536="insumo",_xlfn.XLOOKUP($D1536,Insumos!$B$1:$B$764,Insumos!$D$1:$D$764),"")</f>
        <v>7.03</v>
      </c>
      <c r="H1536" s="177" cm="1">
        <f t="array" ref="H1536">_xlfn.IFS(B1536="Serviço",SUMIFS(H1537:$H$3085,C1537:$C$3085,$C1536),B1536="Insumo",F1536*G1536,B1536="Etapa","")</f>
        <v>5.3596719999999998</v>
      </c>
      <c r="I1536" s="178"/>
    </row>
    <row r="1537" spans="1:9" outlineLevel="2" x14ac:dyDescent="0.25">
      <c r="A1537" s="175">
        <f t="shared" si="49"/>
        <v>8</v>
      </c>
      <c r="B1537" s="175" t="s">
        <v>327</v>
      </c>
      <c r="C1537" s="175" t="str">
        <f t="shared" si="50"/>
        <v>Forro Com Sistema Em Chapas De Gesso Para Drywall, Uso Interno, Montante 48mm, Com Uma Face Resistente a Umidade (RU/48)</v>
      </c>
      <c r="D1537" s="175" t="s">
        <v>599</v>
      </c>
      <c r="E1537" s="176" t="str">
        <f>_xlfn.XLOOKUP(D1537,Insumos!$B$1:$B$764,Insumos!$C$1:$C$764)</f>
        <v>M</v>
      </c>
      <c r="F1537" s="179">
        <v>2.0005999999999999</v>
      </c>
      <c r="G1537" s="177">
        <f>IF(B1537="insumo",_xlfn.XLOOKUP($D1537,Insumos!$B$1:$B$764,Insumos!$D$1:$D$764),"")</f>
        <v>7.98</v>
      </c>
      <c r="H1537" s="177" cm="1">
        <f t="array" ref="H1537">_xlfn.IFS(B1537="Serviço",SUMIFS(H1538:$H$3085,C1538:$C$3085,$C1537),B1537="Insumo",F1537*G1537,B1537="Etapa","")</f>
        <v>15.964788</v>
      </c>
      <c r="I1537" s="178"/>
    </row>
    <row r="1538" spans="1:9" outlineLevel="2" x14ac:dyDescent="0.25">
      <c r="A1538" s="175">
        <f t="shared" ref="A1538:A1601" si="51">COUNTIFS($D$2:$D$3085,D1538,$B$2:$B$3085,B1538)</f>
        <v>28</v>
      </c>
      <c r="B1538" s="175" t="s">
        <v>327</v>
      </c>
      <c r="C1538" s="175" t="str">
        <f t="shared" si="50"/>
        <v>Forro Com Sistema Em Chapas De Gesso Para Drywall, Uso Interno, Montante 48mm, Com Uma Face Resistente a Umidade (RU/48)</v>
      </c>
      <c r="D1538" s="175" t="s">
        <v>600</v>
      </c>
      <c r="E1538" s="176" t="str">
        <f>_xlfn.XLOOKUP(D1538,Insumos!$B$1:$B$764,Insumos!$C$1:$C$764)</f>
        <v>KG</v>
      </c>
      <c r="F1538" s="179">
        <v>0.54890000000000005</v>
      </c>
      <c r="G1538" s="177">
        <f>IF(B1538="insumo",_xlfn.XLOOKUP($D1538,Insumos!$B$1:$B$764,Insumos!$D$1:$D$764),"")</f>
        <v>3.43</v>
      </c>
      <c r="H1538" s="177" cm="1">
        <f t="array" ref="H1538">_xlfn.IFS(B1538="Serviço",SUMIFS(H1539:$H$3085,C1539:$C$3085,$C1538),B1538="Insumo",F1538*G1538,B1538="Etapa","")</f>
        <v>1.8827270000000003</v>
      </c>
      <c r="I1538" s="178"/>
    </row>
    <row r="1539" spans="1:9" outlineLevel="2" x14ac:dyDescent="0.25">
      <c r="A1539" s="175">
        <f t="shared" si="51"/>
        <v>27</v>
      </c>
      <c r="B1539" s="175" t="s">
        <v>327</v>
      </c>
      <c r="C1539" s="175" t="str">
        <f t="shared" si="50"/>
        <v>Forro Com Sistema Em Chapas De Gesso Para Drywall, Uso Interno, Montante 48mm, Com Uma Face Resistente a Umidade (RU/48)</v>
      </c>
      <c r="D1539" s="175" t="s">
        <v>601</v>
      </c>
      <c r="E1539" s="176" t="str">
        <f>_xlfn.XLOOKUP(D1539,Insumos!$B$1:$B$764,Insumos!$C$1:$C$764)</f>
        <v>M</v>
      </c>
      <c r="F1539" s="179">
        <v>1.2513000000000001</v>
      </c>
      <c r="G1539" s="177">
        <f>IF(B1539="insumo",_xlfn.XLOOKUP($D1539,Insumos!$B$1:$B$764,Insumos!$D$1:$D$764),"")</f>
        <v>0.31</v>
      </c>
      <c r="H1539" s="177" cm="1">
        <f t="array" ref="H1539">_xlfn.IFS(B1539="Serviço",SUMIFS(H1540:$H$3085,C1540:$C$3085,$C1539),B1539="Insumo",F1539*G1539,B1539="Etapa","")</f>
        <v>0.387903</v>
      </c>
      <c r="I1539" s="178"/>
    </row>
    <row r="1540" spans="1:9" outlineLevel="2" x14ac:dyDescent="0.25">
      <c r="A1540" s="175">
        <f t="shared" si="51"/>
        <v>27</v>
      </c>
      <c r="B1540" s="175" t="s">
        <v>327</v>
      </c>
      <c r="C1540" s="175" t="str">
        <f t="shared" si="50"/>
        <v>Forro Com Sistema Em Chapas De Gesso Para Drywall, Uso Interno, Montante 48mm, Com Uma Face Resistente a Umidade (RU/48)</v>
      </c>
      <c r="D1540" s="175" t="s">
        <v>602</v>
      </c>
      <c r="E1540" s="176" t="str">
        <f>_xlfn.XLOOKUP(D1540,Insumos!$B$1:$B$764,Insumos!$C$1:$C$764)</f>
        <v>M</v>
      </c>
      <c r="F1540" s="179">
        <v>0.74070000000000003</v>
      </c>
      <c r="G1540" s="177">
        <f>IF(B1540="insumo",_xlfn.XLOOKUP($D1540,Insumos!$B$1:$B$764,Insumos!$D$1:$D$764),"")</f>
        <v>2.74</v>
      </c>
      <c r="H1540" s="177" cm="1">
        <f t="array" ref="H1540">_xlfn.IFS(B1540="Serviço",SUMIFS(H1541:$H$3085,C1541:$C$3085,$C1540),B1540="Insumo",F1540*G1540,B1540="Etapa","")</f>
        <v>2.0295180000000004</v>
      </c>
      <c r="I1540" s="178"/>
    </row>
    <row r="1541" spans="1:9" outlineLevel="2" x14ac:dyDescent="0.25">
      <c r="A1541" s="175">
        <f t="shared" si="51"/>
        <v>28</v>
      </c>
      <c r="B1541" s="175" t="s">
        <v>327</v>
      </c>
      <c r="C1541" s="175" t="str">
        <f t="shared" si="50"/>
        <v>Forro Com Sistema Em Chapas De Gesso Para Drywall, Uso Interno, Montante 48mm, Com Uma Face Resistente a Umidade (RU/48)</v>
      </c>
      <c r="D1541" s="175" t="s">
        <v>603</v>
      </c>
      <c r="E1541" s="176" t="str">
        <f>_xlfn.XLOOKUP(D1541,Insumos!$B$1:$B$764,Insumos!$C$1:$C$764)</f>
        <v>UN</v>
      </c>
      <c r="F1541" s="179">
        <v>10.093400000000001</v>
      </c>
      <c r="G1541" s="177">
        <f>IF(B1541="insumo",_xlfn.XLOOKUP($D1541,Insumos!$B$1:$B$764,Insumos!$D$1:$D$764),"")</f>
        <v>0.09</v>
      </c>
      <c r="H1541" s="177" cm="1">
        <f t="array" ref="H1541">_xlfn.IFS(B1541="Serviço",SUMIFS(H1542:$H$3085,C1542:$C$3085,$C1541),B1541="Insumo",F1541*G1541,B1541="Etapa","")</f>
        <v>0.90840600000000005</v>
      </c>
      <c r="I1541" s="178"/>
    </row>
    <row r="1542" spans="1:9" outlineLevel="2" x14ac:dyDescent="0.25">
      <c r="A1542" s="175">
        <f t="shared" si="51"/>
        <v>28</v>
      </c>
      <c r="B1542" s="175" t="s">
        <v>327</v>
      </c>
      <c r="C1542" s="175" t="str">
        <f t="shared" si="50"/>
        <v>Forro Com Sistema Em Chapas De Gesso Para Drywall, Uso Interno, Montante 48mm, Com Uma Face Resistente a Umidade (RU/48)</v>
      </c>
      <c r="D1542" s="175" t="s">
        <v>604</v>
      </c>
      <c r="E1542" s="176" t="str">
        <f>_xlfn.XLOOKUP(D1542,Insumos!$B$1:$B$764,Insumos!$C$1:$C$764)</f>
        <v>UN</v>
      </c>
      <c r="F1542" s="179">
        <v>0.4803</v>
      </c>
      <c r="G1542" s="177">
        <f>IF(B1542="insumo",_xlfn.XLOOKUP($D1542,Insumos!$B$1:$B$764,Insumos!$D$1:$D$764),"")</f>
        <v>0.2</v>
      </c>
      <c r="H1542" s="177" cm="1">
        <f t="array" ref="H1542">_xlfn.IFS(B1542="Serviço",SUMIFS(H1543:$H$3085,C1543:$C$3085,$C1542),B1542="Insumo",F1542*G1542,B1542="Etapa","")</f>
        <v>9.6060000000000006E-2</v>
      </c>
      <c r="I1542" s="178"/>
    </row>
    <row r="1543" spans="1:9" outlineLevel="1" collapsed="1" x14ac:dyDescent="0.25">
      <c r="A1543" s="175">
        <f t="shared" si="51"/>
        <v>1</v>
      </c>
      <c r="B1543" s="175" t="s">
        <v>109</v>
      </c>
      <c r="C1543" s="175" t="str">
        <f t="shared" si="50"/>
        <v>Gesso corrido em tetos - Material e Mão de Obra</v>
      </c>
      <c r="D1543" s="175" t="s">
        <v>703</v>
      </c>
      <c r="E1543" s="176" t="s">
        <v>13</v>
      </c>
      <c r="F1543" s="175"/>
      <c r="G1543" s="177" t="str">
        <f>IF(B1543="insumo",_xlfn.XLOOKUP($D1543,Insumos!$B$1:$B$764,Insumos!$D$1:$D$764),"")</f>
        <v/>
      </c>
      <c r="H1543" s="177" cm="1">
        <f t="array" ref="H1543">_xlfn.IFS(B1543="Serviço",SUMIFS(H1544:$H$3085,C1544:$C$3085,$C1543),B1543="Insumo",F1543*G1543,B1543="Etapa","")</f>
        <v>60</v>
      </c>
      <c r="I1543" s="178" t="s">
        <v>195</v>
      </c>
    </row>
    <row r="1544" spans="1:9" hidden="1" outlineLevel="2" x14ac:dyDescent="0.25">
      <c r="A1544" s="175">
        <f t="shared" si="51"/>
        <v>1</v>
      </c>
      <c r="B1544" s="175" t="s">
        <v>327</v>
      </c>
      <c r="C1544" s="175" t="str">
        <f t="shared" si="50"/>
        <v>Gesso corrido em tetos - Material e Mão de Obra</v>
      </c>
      <c r="D1544" s="175" t="s">
        <v>704</v>
      </c>
      <c r="E1544" s="176" t="str">
        <f>_xlfn.XLOOKUP(D1544,Insumos!$B$1:$B$764,Insumos!$C$1:$C$764)</f>
        <v>M2</v>
      </c>
      <c r="F1544" s="179">
        <v>1</v>
      </c>
      <c r="G1544" s="177">
        <f>IF(B1544="insumo",_xlfn.XLOOKUP($D1544,Insumos!$B$1:$B$764,Insumos!$D$1:$D$764),"")</f>
        <v>60</v>
      </c>
      <c r="H1544" s="177" cm="1">
        <f t="array" ref="H1544">_xlfn.IFS(B1544="Serviço",SUMIFS(H1545:$H$3085,C1545:$C$3085,$C1544),B1544="Insumo",F1544*G1544,B1544="Etapa","")</f>
        <v>60</v>
      </c>
      <c r="I1544" s="178"/>
    </row>
    <row r="1545" spans="1:9" outlineLevel="1" collapsed="1" x14ac:dyDescent="0.25">
      <c r="A1545" s="175">
        <f t="shared" si="51"/>
        <v>1</v>
      </c>
      <c r="B1545" s="175" t="s">
        <v>109</v>
      </c>
      <c r="C1545" s="175" t="str">
        <f t="shared" si="50"/>
        <v>Forro de gesso acartonado - áreas secas - Material e Mão de Obra</v>
      </c>
      <c r="D1545" s="175" t="s">
        <v>705</v>
      </c>
      <c r="E1545" s="176" t="s">
        <v>13</v>
      </c>
      <c r="F1545" s="175"/>
      <c r="G1545" s="177" t="str">
        <f>IF(B1545="insumo",_xlfn.XLOOKUP($D1545,Insumos!$B$1:$B$764,Insumos!$D$1:$D$764),"")</f>
        <v/>
      </c>
      <c r="H1545" s="177" cm="1">
        <f t="array" ref="H1545">_xlfn.IFS(B1545="Serviço",SUMIFS(H1546:$H$3085,C1546:$C$3085,$C1545),B1545="Insumo",F1545*G1545,B1545="Etapa","")</f>
        <v>120</v>
      </c>
      <c r="I1545" s="178" t="s">
        <v>195</v>
      </c>
    </row>
    <row r="1546" spans="1:9" hidden="1" outlineLevel="2" x14ac:dyDescent="0.25">
      <c r="A1546" s="175">
        <f t="shared" si="51"/>
        <v>1</v>
      </c>
      <c r="B1546" s="175" t="s">
        <v>327</v>
      </c>
      <c r="C1546" s="175" t="str">
        <f t="shared" si="50"/>
        <v>Forro de gesso acartonado - áreas secas - Material e Mão de Obra</v>
      </c>
      <c r="D1546" s="175" t="s">
        <v>705</v>
      </c>
      <c r="E1546" s="176" t="str">
        <f>_xlfn.XLOOKUP(D1546,Insumos!$B$1:$B$764,Insumos!$C$1:$C$764)</f>
        <v>M2</v>
      </c>
      <c r="F1546" s="179">
        <v>1</v>
      </c>
      <c r="G1546" s="177">
        <f>IF(B1546="insumo",_xlfn.XLOOKUP($D1546,Insumos!$B$1:$B$764,Insumos!$D$1:$D$764),"")</f>
        <v>120</v>
      </c>
      <c r="H1546" s="177" cm="1">
        <f t="array" ref="H1546">_xlfn.IFS(B1546="Serviço",SUMIFS(H1547:$H$3085,C1547:$C$3085,$C1546),B1546="Insumo",F1546*G1546,B1546="Etapa","")</f>
        <v>120</v>
      </c>
      <c r="I1546" s="178"/>
    </row>
    <row r="1547" spans="1:9" outlineLevel="1" collapsed="1" x14ac:dyDescent="0.25">
      <c r="A1547" s="175">
        <f t="shared" si="51"/>
        <v>1</v>
      </c>
      <c r="B1547" s="175" t="s">
        <v>109</v>
      </c>
      <c r="C1547" s="175" t="str">
        <f t="shared" si="50"/>
        <v>Negativo de forro de gesso acartonado - área seca</v>
      </c>
      <c r="D1547" s="175" t="s">
        <v>1753</v>
      </c>
      <c r="E1547" s="176" t="s">
        <v>13</v>
      </c>
      <c r="F1547" s="175"/>
      <c r="G1547" s="177" t="str">
        <f>IF(B1547="insumo",_xlfn.XLOOKUP($D1547,Insumos!$B$1:$B$764,Insumos!$D$1:$D$764),"")</f>
        <v/>
      </c>
      <c r="H1547" s="177" cm="1">
        <f t="array" ref="H1547">_xlfn.IFS(B1547="Serviço",SUMIFS(H1548:$H$3085,C1548:$C$3085,$C1547),B1547="Insumo",F1547*G1547,B1547="Etapa","")</f>
        <v>36</v>
      </c>
      <c r="I1547" s="178" t="s">
        <v>195</v>
      </c>
    </row>
    <row r="1548" spans="1:9" hidden="1" outlineLevel="2" x14ac:dyDescent="0.25">
      <c r="A1548" s="175">
        <f t="shared" si="51"/>
        <v>1</v>
      </c>
      <c r="B1548" s="175" t="s">
        <v>327</v>
      </c>
      <c r="C1548" s="175" t="str">
        <f t="shared" si="50"/>
        <v>Negativo de forro de gesso acartonado - área seca</v>
      </c>
      <c r="D1548" s="175" t="s">
        <v>1753</v>
      </c>
      <c r="E1548" s="176" t="str">
        <f>_xlfn.XLOOKUP(D1548,Insumos!$B$1:$B$764,Insumos!$C$1:$C$764)</f>
        <v>M2</v>
      </c>
      <c r="F1548" s="179">
        <v>1</v>
      </c>
      <c r="G1548" s="177">
        <f>IF(B1548="insumo",_xlfn.XLOOKUP($D1548,Insumos!$B$1:$B$764,Insumos!$D$1:$D$764),"")</f>
        <v>36</v>
      </c>
      <c r="H1548" s="177" cm="1">
        <f t="array" ref="H1548">_xlfn.IFS(B1548="Serviço",SUMIFS(H1549:$H$3085,C1549:$C$3085,$C1548),B1548="Insumo",F1548*G1548,B1548="Etapa","")</f>
        <v>36</v>
      </c>
      <c r="I1548" s="178"/>
    </row>
    <row r="1549" spans="1:9" outlineLevel="1" collapsed="1" x14ac:dyDescent="0.25">
      <c r="A1549" s="175">
        <f t="shared" si="51"/>
        <v>1</v>
      </c>
      <c r="B1549" s="175" t="s">
        <v>109</v>
      </c>
      <c r="C1549" s="175" t="str">
        <f t="shared" si="50"/>
        <v>Forro de gesso acartonado - áreas úmidas - Material e Mão de Obra</v>
      </c>
      <c r="D1549" s="175" t="s">
        <v>706</v>
      </c>
      <c r="E1549" s="176" t="s">
        <v>13</v>
      </c>
      <c r="F1549" s="175"/>
      <c r="G1549" s="177" t="str">
        <f>IF(B1549="insumo",_xlfn.XLOOKUP($D1549,Insumos!$B$1:$B$764,Insumos!$D$1:$D$764),"")</f>
        <v/>
      </c>
      <c r="H1549" s="177" cm="1">
        <f t="array" ref="H1549">_xlfn.IFS(B1549="Serviço",SUMIFS(H1550:$H$3085,C1550:$C$3085,$C1549),B1549="Insumo",F1549*G1549,B1549="Etapa","")</f>
        <v>150</v>
      </c>
      <c r="I1549" s="178" t="s">
        <v>195</v>
      </c>
    </row>
    <row r="1550" spans="1:9" hidden="1" outlineLevel="2" x14ac:dyDescent="0.25">
      <c r="A1550" s="175">
        <f t="shared" si="51"/>
        <v>1</v>
      </c>
      <c r="B1550" s="175" t="s">
        <v>327</v>
      </c>
      <c r="C1550" s="175" t="str">
        <f t="shared" si="50"/>
        <v>Forro de gesso acartonado - áreas úmidas - Material e Mão de Obra</v>
      </c>
      <c r="D1550" s="175" t="s">
        <v>706</v>
      </c>
      <c r="E1550" s="176" t="str">
        <f>_xlfn.XLOOKUP(D1550,Insumos!$B$1:$B$764,Insumos!$C$1:$C$764)</f>
        <v>M2</v>
      </c>
      <c r="F1550" s="179">
        <v>1</v>
      </c>
      <c r="G1550" s="177">
        <f>IF(B1550="insumo",_xlfn.XLOOKUP($D1550,Insumos!$B$1:$B$764,Insumos!$D$1:$D$764),"")</f>
        <v>150</v>
      </c>
      <c r="H1550" s="177" cm="1">
        <f t="array" ref="H1550">_xlfn.IFS(B1550="Serviço",SUMIFS(H1551:$H$3085,C1551:$C$3085,$C1550),B1550="Insumo",F1550*G1550,B1550="Etapa","")</f>
        <v>150</v>
      </c>
      <c r="I1550" s="178"/>
    </row>
    <row r="1551" spans="1:9" outlineLevel="1" collapsed="1" x14ac:dyDescent="0.25">
      <c r="A1551" s="175">
        <f t="shared" si="51"/>
        <v>1</v>
      </c>
      <c r="B1551" s="175" t="s">
        <v>109</v>
      </c>
      <c r="C1551" s="175" t="str">
        <f t="shared" si="50"/>
        <v>Negativo de forro de gesso acartonado - área umida</v>
      </c>
      <c r="D1551" s="175" t="s">
        <v>1752</v>
      </c>
      <c r="E1551" s="176" t="s">
        <v>13</v>
      </c>
      <c r="F1551" s="175"/>
      <c r="G1551" s="177" t="str">
        <f>IF(B1551="insumo",_xlfn.XLOOKUP($D1551,Insumos!$B$1:$B$764,Insumos!$D$1:$D$764),"")</f>
        <v/>
      </c>
      <c r="H1551" s="177" cm="1">
        <f t="array" ref="H1551">_xlfn.IFS(B1551="Serviço",SUMIFS(H1552:$H$3085,C1552:$C$3085,$C1551),B1551="Insumo",F1551*G1551,B1551="Etapa","")</f>
        <v>36</v>
      </c>
      <c r="I1551" s="178" t="s">
        <v>195</v>
      </c>
    </row>
    <row r="1552" spans="1:9" hidden="1" outlineLevel="2" x14ac:dyDescent="0.25">
      <c r="A1552" s="175">
        <f t="shared" si="51"/>
        <v>1</v>
      </c>
      <c r="B1552" s="175" t="s">
        <v>327</v>
      </c>
      <c r="C1552" s="175" t="str">
        <f t="shared" si="50"/>
        <v>Negativo de forro de gesso acartonado - área umida</v>
      </c>
      <c r="D1552" s="175" t="s">
        <v>1752</v>
      </c>
      <c r="E1552" s="176" t="str">
        <f>_xlfn.XLOOKUP(D1552,Insumos!$B$1:$B$764,Insumos!$C$1:$C$764)</f>
        <v>M2</v>
      </c>
      <c r="F1552" s="179">
        <v>1</v>
      </c>
      <c r="G1552" s="177">
        <f>IF(B1552="insumo",_xlfn.XLOOKUP($D1552,Insumos!$B$1:$B$764,Insumos!$D$1:$D$764),"")</f>
        <v>36</v>
      </c>
      <c r="H1552" s="177" cm="1">
        <f t="array" ref="H1552">_xlfn.IFS(B1552="Serviço",SUMIFS(H1553:$H$3085,C1553:$C$3085,$C1552),B1552="Insumo",F1552*G1552,B1552="Etapa","")</f>
        <v>36</v>
      </c>
      <c r="I1552" s="178"/>
    </row>
    <row r="1553" spans="1:9" outlineLevel="1" collapsed="1" x14ac:dyDescent="0.25">
      <c r="A1553" s="175">
        <f t="shared" si="51"/>
        <v>1</v>
      </c>
      <c r="B1553" s="175" t="s">
        <v>109</v>
      </c>
      <c r="C1553" s="175" t="str">
        <f t="shared" si="50"/>
        <v>Forro Removível - Material e Mão de Obra</v>
      </c>
      <c r="D1553" s="175" t="s">
        <v>707</v>
      </c>
      <c r="E1553" s="176" t="s">
        <v>13</v>
      </c>
      <c r="F1553" s="175"/>
      <c r="G1553" s="177" t="str">
        <f>IF(B1553="insumo",_xlfn.XLOOKUP($D1553,Insumos!$B$1:$B$764,Insumos!$D$1:$D$764),"")</f>
        <v/>
      </c>
      <c r="H1553" s="177" cm="1">
        <f t="array" ref="H1553">_xlfn.IFS(B1553="Serviço",SUMIFS(H1554:$H$3085,C1554:$C$3085,$C1553),B1553="Insumo",F1553*G1553,B1553="Etapa","")</f>
        <v>219.20046110145017</v>
      </c>
      <c r="I1553" s="178" t="s">
        <v>195</v>
      </c>
    </row>
    <row r="1554" spans="1:9" hidden="1" outlineLevel="2" x14ac:dyDescent="0.25">
      <c r="A1554" s="175">
        <f t="shared" si="51"/>
        <v>1</v>
      </c>
      <c r="B1554" s="175" t="s">
        <v>327</v>
      </c>
      <c r="C1554" s="175" t="str">
        <f t="shared" si="50"/>
        <v>Forro Removível - Material e Mão de Obra</v>
      </c>
      <c r="D1554" s="175" t="s">
        <v>707</v>
      </c>
      <c r="E1554" s="176" t="str">
        <f>_xlfn.XLOOKUP(D1554,Insumos!$B$1:$B$764,Insumos!$C$1:$C$764)</f>
        <v>M2</v>
      </c>
      <c r="F1554" s="179">
        <v>1</v>
      </c>
      <c r="G1554" s="177">
        <f>IF(B1554="insumo",_xlfn.XLOOKUP($D1554,Insumos!$B$1:$B$764,Insumos!$D$1:$D$764),"")</f>
        <v>219.20046110145017</v>
      </c>
      <c r="H1554" s="177" cm="1">
        <f t="array" ref="H1554">_xlfn.IFS(B1554="Serviço",SUMIFS(H1555:$H$3085,C1555:$C$3085,$C1554),B1554="Insumo",F1554*G1554,B1554="Etapa","")</f>
        <v>219.20046110145017</v>
      </c>
      <c r="I1554" s="178"/>
    </row>
    <row r="1555" spans="1:9" outlineLevel="1" x14ac:dyDescent="0.25">
      <c r="A1555" s="175">
        <f t="shared" si="51"/>
        <v>1</v>
      </c>
      <c r="B1555" s="175" t="s">
        <v>109</v>
      </c>
      <c r="C1555" s="175" t="str">
        <f t="shared" si="50"/>
        <v>Forro Knauf Cleaneo A1 (gesso acústico perfurado)</v>
      </c>
      <c r="D1555" s="175" t="s">
        <v>6910</v>
      </c>
      <c r="E1555" s="176" t="s">
        <v>13</v>
      </c>
      <c r="F1555" s="175"/>
      <c r="G1555" s="177" t="str">
        <f>IF(B1555="insumo",_xlfn.XLOOKUP($D1555,Insumos!$B$1:$B$764,Insumos!$D$1:$D$764),"")</f>
        <v/>
      </c>
      <c r="H1555" s="177" cm="1">
        <f t="array" ref="H1555">_xlfn.IFS(B1555="Serviço",SUMIFS(H1556:$H$3085,C1556:$C$3085,$C1555),B1555="Insumo",F1555*G1555,B1555="Etapa","")</f>
        <v>180</v>
      </c>
      <c r="I1555" s="178" t="s">
        <v>195</v>
      </c>
    </row>
    <row r="1556" spans="1:9" outlineLevel="2" x14ac:dyDescent="0.25">
      <c r="A1556" s="175">
        <f t="shared" si="51"/>
        <v>1</v>
      </c>
      <c r="B1556" s="175" t="s">
        <v>327</v>
      </c>
      <c r="C1556" s="175" t="str">
        <f t="shared" si="50"/>
        <v>Forro Knauf Cleaneo A1 (gesso acústico perfurado)</v>
      </c>
      <c r="D1556" s="175" t="s">
        <v>6910</v>
      </c>
      <c r="E1556" s="176" t="str">
        <f>_xlfn.XLOOKUP(D1556,Insumos!$B$1:$B$764,Insumos!$C$1:$C$764)</f>
        <v>M2</v>
      </c>
      <c r="F1556" s="179">
        <v>1</v>
      </c>
      <c r="G1556" s="177">
        <f>IF(B1556="insumo",_xlfn.XLOOKUP($D1556,Insumos!$B$1:$B$764,Insumos!$D$1:$D$764),"")</f>
        <v>180</v>
      </c>
      <c r="H1556" s="177" cm="1">
        <f t="array" ref="H1556">_xlfn.IFS(B1556="Serviço",SUMIFS(H1557:$H$3085,C1557:$C$3085,$C1556),B1556="Insumo",F1556*G1556,B1556="Etapa","")</f>
        <v>180</v>
      </c>
      <c r="I1556" s="178"/>
    </row>
    <row r="1557" spans="1:9" outlineLevel="1" collapsed="1" x14ac:dyDescent="0.25">
      <c r="A1557" s="175">
        <f t="shared" si="51"/>
        <v>1</v>
      </c>
      <c r="B1557" s="175" t="s">
        <v>109</v>
      </c>
      <c r="C1557" s="175" t="str">
        <f t="shared" si="50"/>
        <v>Forro de placa cimenticia - Material e Mão de Obra</v>
      </c>
      <c r="D1557" s="175" t="s">
        <v>1754</v>
      </c>
      <c r="E1557" s="176" t="s">
        <v>13</v>
      </c>
      <c r="F1557" s="175"/>
      <c r="G1557" s="177" t="str">
        <f>IF(B1557="insumo",_xlfn.XLOOKUP($D1557,Insumos!$B$1:$B$764,Insumos!$D$1:$D$764),"")</f>
        <v/>
      </c>
      <c r="H1557" s="177" cm="1">
        <f t="array" ref="H1557">_xlfn.IFS(B1557="Serviço",SUMIFS(H1558:$H$3085,C1558:$C$3085,$C1557),B1557="Insumo",F1557*G1557,B1557="Etapa","")</f>
        <v>275</v>
      </c>
      <c r="I1557" s="178" t="s">
        <v>195</v>
      </c>
    </row>
    <row r="1558" spans="1:9" hidden="1" outlineLevel="2" x14ac:dyDescent="0.25">
      <c r="A1558" s="175">
        <f t="shared" si="51"/>
        <v>1</v>
      </c>
      <c r="B1558" s="175" t="s">
        <v>327</v>
      </c>
      <c r="C1558" s="175" t="str">
        <f t="shared" si="50"/>
        <v>Forro de placa cimenticia - Material e Mão de Obra</v>
      </c>
      <c r="D1558" s="175" t="s">
        <v>1754</v>
      </c>
      <c r="E1558" s="176" t="str">
        <f>_xlfn.XLOOKUP(D1558,Insumos!$B$1:$B$764,Insumos!$C$1:$C$764)</f>
        <v>M2</v>
      </c>
      <c r="F1558" s="179">
        <v>1</v>
      </c>
      <c r="G1558" s="177">
        <f>IF(B1558="insumo",_xlfn.XLOOKUP($D1558,Insumos!$B$1:$B$764,Insumos!$D$1:$D$764),"")</f>
        <v>275</v>
      </c>
      <c r="H1558" s="177" cm="1">
        <f t="array" ref="H1558">_xlfn.IFS(B1558="Serviço",SUMIFS(H1559:$H$3085,C1559:$C$3085,$C1558),B1558="Insumo",F1558*G1558,B1558="Etapa","")</f>
        <v>275</v>
      </c>
      <c r="I1558" s="178"/>
    </row>
    <row r="1559" spans="1:9" outlineLevel="1" collapsed="1" x14ac:dyDescent="0.25">
      <c r="A1559" s="175">
        <f t="shared" si="51"/>
        <v>1</v>
      </c>
      <c r="B1559" s="175" t="s">
        <v>109</v>
      </c>
      <c r="C1559" s="175" t="str">
        <f t="shared" si="50"/>
        <v>Forro de madeira - Material e Mão de Obra</v>
      </c>
      <c r="D1559" s="175" t="s">
        <v>234</v>
      </c>
      <c r="E1559" s="176" t="s">
        <v>13</v>
      </c>
      <c r="F1559" s="175"/>
      <c r="G1559" s="177" t="str">
        <f>IF(B1559="insumo",_xlfn.XLOOKUP($D1559,Insumos!$B$1:$B$764,Insumos!$D$1:$D$764),"")</f>
        <v/>
      </c>
      <c r="H1559" s="177" cm="1">
        <f t="array" ref="H1559">_xlfn.IFS(B1559="Serviço",SUMIFS(H1560:$H$3085,C1560:$C$3085,$C1559),B1559="Insumo",F1559*G1559,B1559="Etapa","")</f>
        <v>249</v>
      </c>
      <c r="I1559" s="178" t="s">
        <v>195</v>
      </c>
    </row>
    <row r="1560" spans="1:9" hidden="1" outlineLevel="2" x14ac:dyDescent="0.25">
      <c r="A1560" s="175">
        <f t="shared" si="51"/>
        <v>1</v>
      </c>
      <c r="B1560" s="175" t="s">
        <v>327</v>
      </c>
      <c r="C1560" s="175" t="str">
        <f t="shared" si="50"/>
        <v>Forro de madeira - Material e Mão de Obra</v>
      </c>
      <c r="D1560" s="175" t="s">
        <v>708</v>
      </c>
      <c r="E1560" s="176" t="str">
        <f>_xlfn.XLOOKUP(D1560,Insumos!$B$1:$B$764,Insumos!$C$1:$C$764)</f>
        <v>M2</v>
      </c>
      <c r="F1560" s="179">
        <v>1.1000000000000001</v>
      </c>
      <c r="G1560" s="177">
        <f>IF(B1560="insumo",_xlfn.XLOOKUP($D1560,Insumos!$B$1:$B$764,Insumos!$D$1:$D$764),"")</f>
        <v>90</v>
      </c>
      <c r="H1560" s="177" cm="1">
        <f t="array" ref="H1560">_xlfn.IFS(B1560="Serviço",SUMIFS(H1561:$H$3085,C1561:$C$3085,$C1560),B1560="Insumo",F1560*G1560,B1560="Etapa","")</f>
        <v>99.000000000000014</v>
      </c>
      <c r="I1560" s="178"/>
    </row>
    <row r="1561" spans="1:9" hidden="1" outlineLevel="2" x14ac:dyDescent="0.25">
      <c r="A1561" s="175">
        <f t="shared" si="51"/>
        <v>1</v>
      </c>
      <c r="B1561" s="175" t="s">
        <v>327</v>
      </c>
      <c r="C1561" s="175" t="str">
        <f t="shared" si="50"/>
        <v>Forro de madeira - Material e Mão de Obra</v>
      </c>
      <c r="D1561" s="175" t="s">
        <v>709</v>
      </c>
      <c r="E1561" s="176" t="str">
        <f>_xlfn.XLOOKUP(D1561,Insumos!$B$1:$B$764,Insumos!$C$1:$C$764)</f>
        <v>M2</v>
      </c>
      <c r="F1561" s="179">
        <v>1</v>
      </c>
      <c r="G1561" s="177">
        <f>IF(B1561="insumo",_xlfn.XLOOKUP($D1561,Insumos!$B$1:$B$764,Insumos!$D$1:$D$764),"")</f>
        <v>150</v>
      </c>
      <c r="H1561" s="177" cm="1">
        <f t="array" ref="H1561">_xlfn.IFS(B1561="Serviço",SUMIFS(H1562:$H$3085,C1562:$C$3085,$C1561),B1561="Insumo",F1561*G1561,B1561="Etapa","")</f>
        <v>150</v>
      </c>
      <c r="I1561" s="178"/>
    </row>
    <row r="1562" spans="1:9" outlineLevel="1" collapsed="1" x14ac:dyDescent="0.25">
      <c r="A1562" s="175">
        <f t="shared" si="51"/>
        <v>1</v>
      </c>
      <c r="B1562" s="175" t="s">
        <v>109</v>
      </c>
      <c r="C1562" s="175" t="str">
        <f t="shared" si="50"/>
        <v>Forro de Porcelanato - Material e Mão de Obra</v>
      </c>
      <c r="D1562" s="175" t="s">
        <v>710</v>
      </c>
      <c r="E1562" s="176" t="s">
        <v>13</v>
      </c>
      <c r="F1562" s="175"/>
      <c r="G1562" s="177" t="str">
        <f>IF(B1562="insumo",_xlfn.XLOOKUP($D1562,Insumos!$B$1:$B$764,Insumos!$D$1:$D$764),"")</f>
        <v/>
      </c>
      <c r="H1562" s="177" cm="1">
        <f t="array" ref="H1562">_xlfn.IFS(B1562="Serviço",SUMIFS(H1563:$H$3085,C1563:$C$3085,$C1562),B1562="Insumo",F1562*G1562,B1562="Etapa","")</f>
        <v>273.44749999999999</v>
      </c>
      <c r="I1562" s="178" t="s">
        <v>195</v>
      </c>
    </row>
    <row r="1563" spans="1:9" hidden="1" outlineLevel="2" x14ac:dyDescent="0.25">
      <c r="A1563" s="175">
        <f t="shared" si="51"/>
        <v>1</v>
      </c>
      <c r="B1563" s="175" t="s">
        <v>327</v>
      </c>
      <c r="C1563" s="175" t="str">
        <f t="shared" si="50"/>
        <v>Forro de Porcelanato - Material e Mão de Obra</v>
      </c>
      <c r="D1563" s="175" t="s">
        <v>676</v>
      </c>
      <c r="E1563" s="176" t="str">
        <f>_xlfn.XLOOKUP(D1563,Insumos!$B$1:$B$764,Insumos!$C$1:$C$764)</f>
        <v>M2</v>
      </c>
      <c r="F1563" s="179">
        <v>1.1000000000000001</v>
      </c>
      <c r="G1563" s="177">
        <f>IF(B1563="insumo",_xlfn.XLOOKUP($D1563,Insumos!$B$1:$B$764,Insumos!$D$1:$D$764),"")</f>
        <v>112.22500000000001</v>
      </c>
      <c r="H1563" s="177" cm="1">
        <f t="array" ref="H1563">_xlfn.IFS(B1563="Serviço",SUMIFS(H1564:$H$3085,C1564:$C$3085,$C1563),B1563="Insumo",F1563*G1563,B1563="Etapa","")</f>
        <v>123.44750000000002</v>
      </c>
      <c r="I1563" s="178"/>
    </row>
    <row r="1564" spans="1:9" hidden="1" outlineLevel="2" x14ac:dyDescent="0.25">
      <c r="A1564" s="175">
        <f t="shared" si="51"/>
        <v>1</v>
      </c>
      <c r="B1564" s="175" t="s">
        <v>327</v>
      </c>
      <c r="C1564" s="175" t="str">
        <f t="shared" si="50"/>
        <v>Forro de Porcelanato - Material e Mão de Obra</v>
      </c>
      <c r="D1564" s="175" t="s">
        <v>711</v>
      </c>
      <c r="E1564" s="176" t="str">
        <f>_xlfn.XLOOKUP(D1564,Insumos!$B$1:$B$764,Insumos!$C$1:$C$764)</f>
        <v>M2</v>
      </c>
      <c r="F1564" s="179">
        <v>1</v>
      </c>
      <c r="G1564" s="177">
        <f>IF(B1564="insumo",_xlfn.XLOOKUP($D1564,Insumos!$B$1:$B$764,Insumos!$D$1:$D$764),"")</f>
        <v>150</v>
      </c>
      <c r="H1564" s="177" cm="1">
        <f t="array" ref="H1564">_xlfn.IFS(B1564="Serviço",SUMIFS(H1565:$H$3085,C1565:$C$3085,$C1564),B1564="Insumo",F1564*G1564,B1564="Etapa","")</f>
        <v>150</v>
      </c>
      <c r="I1564" s="178"/>
    </row>
    <row r="1565" spans="1:9" outlineLevel="1" collapsed="1" x14ac:dyDescent="0.25">
      <c r="A1565" s="175">
        <f t="shared" si="51"/>
        <v>1</v>
      </c>
      <c r="B1565" s="175" t="s">
        <v>109</v>
      </c>
      <c r="C1565" s="175" t="str">
        <f t="shared" si="50"/>
        <v>Mão de obra execução de estucamento em teto</v>
      </c>
      <c r="D1565" s="175" t="s">
        <v>235</v>
      </c>
      <c r="E1565" s="176" t="s">
        <v>13</v>
      </c>
      <c r="F1565" s="179"/>
      <c r="G1565" s="177" t="str">
        <f>IF(B1565="insumo",_xlfn.XLOOKUP($D1565,Insumos!$B$1:$B$764,Insumos!$D$1:$D$764),"")</f>
        <v/>
      </c>
      <c r="H1565" s="177" cm="1">
        <f t="array" ref="H1565">_xlfn.IFS(B1565="Serviço",SUMIFS(H1566:$H$3085,C1566:$C$3085,$C1565),B1565="Insumo",F1565*G1565,B1565="Etapa","")</f>
        <v>25</v>
      </c>
      <c r="I1565" s="178" t="s">
        <v>195</v>
      </c>
    </row>
    <row r="1566" spans="1:9" hidden="1" outlineLevel="2" x14ac:dyDescent="0.25">
      <c r="A1566" s="175">
        <f t="shared" si="51"/>
        <v>2</v>
      </c>
      <c r="B1566" s="175" t="s">
        <v>327</v>
      </c>
      <c r="C1566" s="175" t="str">
        <f t="shared" si="50"/>
        <v>Mão de obra execução de estucamento em teto</v>
      </c>
      <c r="D1566" s="175" t="s">
        <v>235</v>
      </c>
      <c r="E1566" s="176" t="str">
        <f>_xlfn.XLOOKUP(D1566,Insumos!$B$1:$B$764,Insumos!$C$1:$C$764)</f>
        <v>M2</v>
      </c>
      <c r="F1566" s="179">
        <v>1</v>
      </c>
      <c r="G1566" s="177">
        <f>IF(B1566="insumo",_xlfn.XLOOKUP($D1566,Insumos!$B$1:$B$764,Insumos!$D$1:$D$764),"")</f>
        <v>25</v>
      </c>
      <c r="H1566" s="177" cm="1">
        <f t="array" ref="H1566">_xlfn.IFS(B1566="Serviço",SUMIFS(H1567:$H$3085,C1567:$C$3085,$C1566),B1566="Insumo",F1566*G1566,B1566="Etapa","")</f>
        <v>25</v>
      </c>
      <c r="I1566" s="178"/>
    </row>
    <row r="1567" spans="1:9" outlineLevel="1" collapsed="1" x14ac:dyDescent="0.25">
      <c r="A1567" s="175">
        <f t="shared" si="51"/>
        <v>1</v>
      </c>
      <c r="B1567" s="175" t="s">
        <v>109</v>
      </c>
      <c r="C1567" s="175" t="str">
        <f t="shared" si="50"/>
        <v>Mão de obra execução de massa única em teto, incluindo chapisco</v>
      </c>
      <c r="D1567" s="175" t="s">
        <v>2861</v>
      </c>
      <c r="E1567" s="176" t="s">
        <v>13</v>
      </c>
      <c r="F1567" s="179"/>
      <c r="G1567" s="177" t="str">
        <f>IF(B1567="insumo",_xlfn.XLOOKUP($D1567,Insumos!$B$1:$B$764,Insumos!$D$1:$D$764),"")</f>
        <v/>
      </c>
      <c r="H1567" s="177" cm="1">
        <f t="array" ref="H1567">_xlfn.IFS(B1567="Serviço",SUMIFS(H1568:$H$3085,C1568:$C$3085,$C1567),B1567="Insumo",F1567*G1567,B1567="Etapa","")</f>
        <v>25</v>
      </c>
      <c r="I1567" s="178" t="s">
        <v>195</v>
      </c>
    </row>
    <row r="1568" spans="1:9" hidden="1" outlineLevel="2" x14ac:dyDescent="0.25">
      <c r="A1568" s="175">
        <f t="shared" si="51"/>
        <v>2</v>
      </c>
      <c r="B1568" s="175" t="s">
        <v>327</v>
      </c>
      <c r="C1568" s="175" t="str">
        <f t="shared" ref="C1568:C1631" si="52">IF(B1568="serviço",D1568,C1567)</f>
        <v>Mão de obra execução de massa única em teto, incluindo chapisco</v>
      </c>
      <c r="D1568" s="175" t="s">
        <v>235</v>
      </c>
      <c r="E1568" s="176" t="str">
        <f>_xlfn.XLOOKUP(D1568,Insumos!$B$1:$B$764,Insumos!$C$1:$C$764)</f>
        <v>M2</v>
      </c>
      <c r="F1568" s="179">
        <v>1</v>
      </c>
      <c r="G1568" s="177">
        <f>IF(B1568="insumo",_xlfn.XLOOKUP($D1568,Insumos!$B$1:$B$764,Insumos!$D$1:$D$764),"")</f>
        <v>25</v>
      </c>
      <c r="H1568" s="177" cm="1">
        <f t="array" ref="H1568">_xlfn.IFS(B1568="Serviço",SUMIFS(H1569:$H$3085,C1569:$C$3085,$C1568),B1568="Insumo",F1568*G1568,B1568="Etapa","")</f>
        <v>25</v>
      </c>
      <c r="I1568" s="178"/>
    </row>
    <row r="1569" spans="1:9" x14ac:dyDescent="0.25">
      <c r="A1569" s="172">
        <f t="shared" si="51"/>
        <v>1</v>
      </c>
      <c r="B1569" s="172" t="s">
        <v>107</v>
      </c>
      <c r="C1569" s="172"/>
      <c r="D1569" s="172" t="s">
        <v>236</v>
      </c>
      <c r="E1569" s="173"/>
      <c r="F1569" s="174"/>
      <c r="G1569" s="180" t="str">
        <f>IF(B1569="insumo",_xlfn.XLOOKUP($D1569,Insumos!$B$1:$B$764,Insumos!$D$1:$D$764),"")</f>
        <v/>
      </c>
      <c r="H1569" s="177" t="str" cm="1">
        <f t="array" ref="H1569">_xlfn.IFS(B1569="Serviço",SUMIFS(H1570:$H$3085,C1570:$C$3085,$C1569),B1569="Insumo",F1569*G1569,B1569="Etapa","")</f>
        <v/>
      </c>
      <c r="I1569" s="174"/>
    </row>
    <row r="1570" spans="1:9" outlineLevel="1" collapsed="1" x14ac:dyDescent="0.25">
      <c r="A1570" s="175">
        <f t="shared" si="51"/>
        <v>1</v>
      </c>
      <c r="B1570" s="175" t="s">
        <v>109</v>
      </c>
      <c r="C1570" s="175" t="str">
        <f t="shared" si="52"/>
        <v>Enchimento de escada com Concreto Magro, e=10cm</v>
      </c>
      <c r="D1570" s="175" t="s">
        <v>712</v>
      </c>
      <c r="E1570" s="176" t="s">
        <v>390</v>
      </c>
      <c r="F1570" s="175"/>
      <c r="G1570" s="177" t="str">
        <f>IF(B1570="insumo",_xlfn.XLOOKUP($D1570,Insumos!$B$1:$B$764,Insumos!$D$1:$D$764),"")</f>
        <v/>
      </c>
      <c r="H1570" s="177" cm="1">
        <f t="array" ref="H1570">_xlfn.IFS(B1570="Serviço",SUMIFS(H1571:$H$3085,C1571:$C$3085,$C1570),B1570="Insumo",F1570*G1570,B1570="Etapa","")</f>
        <v>495.24700000000001</v>
      </c>
      <c r="I1570" s="178" t="s">
        <v>195</v>
      </c>
    </row>
    <row r="1571" spans="1:9" hidden="1" outlineLevel="2" x14ac:dyDescent="0.25">
      <c r="A1571" s="175">
        <f t="shared" si="51"/>
        <v>3</v>
      </c>
      <c r="B1571" s="175" t="s">
        <v>327</v>
      </c>
      <c r="C1571" s="175" t="str">
        <f t="shared" si="52"/>
        <v>Enchimento de escada com Concreto Magro, e=10cm</v>
      </c>
      <c r="D1571" s="175" t="s">
        <v>394</v>
      </c>
      <c r="E1571" s="176" t="str">
        <f>_xlfn.XLOOKUP(D1571,Insumos!$B$1:$B$764,Insumos!$C$1:$C$764)</f>
        <v>M3</v>
      </c>
      <c r="F1571" s="179">
        <v>1.05</v>
      </c>
      <c r="G1571" s="177">
        <f>IF(B1571="insumo",_xlfn.XLOOKUP($D1571,Insumos!$B$1:$B$764,Insumos!$D$1:$D$764),"")</f>
        <v>430.94</v>
      </c>
      <c r="H1571" s="177" cm="1">
        <f t="array" ref="H1571">_xlfn.IFS(B1571="Serviço",SUMIFS(H1572:$H$3085,C1572:$C$3085,$C1571),B1571="Insumo",F1571*G1571,B1571="Etapa","")</f>
        <v>452.48700000000002</v>
      </c>
      <c r="I1571" s="178"/>
    </row>
    <row r="1572" spans="1:9" hidden="1" outlineLevel="2" x14ac:dyDescent="0.25">
      <c r="A1572" s="175">
        <f t="shared" si="51"/>
        <v>22</v>
      </c>
      <c r="B1572" s="175" t="s">
        <v>327</v>
      </c>
      <c r="C1572" s="175" t="str">
        <f t="shared" si="52"/>
        <v>Enchimento de escada com Concreto Magro, e=10cm</v>
      </c>
      <c r="D1572" s="175" t="s">
        <v>395</v>
      </c>
      <c r="E1572" s="176" t="str">
        <f>_xlfn.XLOOKUP(D1572,Insumos!$B$1:$B$764,Insumos!$C$1:$C$764)</f>
        <v>M3</v>
      </c>
      <c r="F1572" s="179">
        <v>1.05</v>
      </c>
      <c r="G1572" s="177">
        <f>IF(B1572="insumo",_xlfn.XLOOKUP($D1572,Insumos!$B$1:$B$764,Insumos!$D$1:$D$764),"")</f>
        <v>40</v>
      </c>
      <c r="H1572" s="177" cm="1">
        <f t="array" ref="H1572">_xlfn.IFS(B1572="Serviço",SUMIFS(H1573:$H$3085,C1573:$C$3085,$C1572),B1572="Insumo",F1572*G1572,B1572="Etapa","")</f>
        <v>42</v>
      </c>
      <c r="I1572" s="178"/>
    </row>
    <row r="1573" spans="1:9" hidden="1" outlineLevel="2" x14ac:dyDescent="0.25">
      <c r="A1573" s="175">
        <f t="shared" si="51"/>
        <v>39</v>
      </c>
      <c r="B1573" s="175" t="s">
        <v>327</v>
      </c>
      <c r="C1573" s="175" t="str">
        <f t="shared" si="52"/>
        <v>Enchimento de escada com Concreto Magro, e=10cm</v>
      </c>
      <c r="D1573" s="175" t="s">
        <v>396</v>
      </c>
      <c r="E1573" s="176" t="str">
        <f>_xlfn.XLOOKUP(D1573,Insumos!$B$1:$B$764,Insumos!$C$1:$C$764)</f>
        <v>KG</v>
      </c>
      <c r="F1573" s="179">
        <v>1</v>
      </c>
      <c r="G1573" s="177">
        <f>IF(B1573="insumo",_xlfn.XLOOKUP($D1573,Insumos!$B$1:$B$764,Insumos!$D$1:$D$764),"")</f>
        <v>0.76</v>
      </c>
      <c r="H1573" s="177" cm="1">
        <f t="array" ref="H1573">_xlfn.IFS(B1573="Serviço",SUMIFS(H1574:$H$3085,C1574:$C$3085,$C1573),B1573="Insumo",F1573*G1573,B1573="Etapa","")</f>
        <v>0.76</v>
      </c>
      <c r="I1573" s="178"/>
    </row>
    <row r="1574" spans="1:9" outlineLevel="1" collapsed="1" x14ac:dyDescent="0.25">
      <c r="A1574" s="175">
        <f t="shared" si="51"/>
        <v>1</v>
      </c>
      <c r="B1574" s="175" t="s">
        <v>109</v>
      </c>
      <c r="C1574" s="175" t="str">
        <f t="shared" si="52"/>
        <v>Contrapiso comum em argamassa estabilizada, auto nivelado, espessura 2cm</v>
      </c>
      <c r="D1574" s="175" t="s">
        <v>1182</v>
      </c>
      <c r="E1574" s="176" t="s">
        <v>13</v>
      </c>
      <c r="F1574" s="175"/>
      <c r="G1574" s="177" t="str">
        <f>IF(B1574="insumo",_xlfn.XLOOKUP($D1574,Insumos!$B$1:$B$764,Insumos!$D$1:$D$764),"")</f>
        <v/>
      </c>
      <c r="H1574" s="177" cm="1">
        <f t="array" ref="H1574">_xlfn.IFS(B1574="Serviço",SUMIFS(H1575:$H$3085,C1575:$C$3085,$C1574),B1574="Insumo",F1574*G1574,B1574="Etapa","")</f>
        <v>21.856140000000003</v>
      </c>
      <c r="I1574" s="178" t="s">
        <v>195</v>
      </c>
    </row>
    <row r="1575" spans="1:9" hidden="1" outlineLevel="2" x14ac:dyDescent="0.25">
      <c r="A1575" s="175">
        <f t="shared" si="51"/>
        <v>34</v>
      </c>
      <c r="B1575" s="175" t="s">
        <v>327</v>
      </c>
      <c r="C1575" s="175" t="str">
        <f t="shared" si="52"/>
        <v>Contrapiso comum em argamassa estabilizada, auto nivelado, espessura 2cm</v>
      </c>
      <c r="D1575" s="175" t="s">
        <v>626</v>
      </c>
      <c r="E1575" s="176" t="str">
        <f>_xlfn.XLOOKUP(D1575,Insumos!$B$1:$B$764,Insumos!$C$1:$C$764)</f>
        <v>M3</v>
      </c>
      <c r="F1575" s="179">
        <v>2.2000000000000002E-2</v>
      </c>
      <c r="G1575" s="177">
        <f>IF(B1575="insumo",_xlfn.XLOOKUP($D1575,Insumos!$B$1:$B$764,Insumos!$D$1:$D$764),"")</f>
        <v>550</v>
      </c>
      <c r="H1575" s="177" cm="1">
        <f t="array" ref="H1575">_xlfn.IFS(B1575="Serviço",SUMIFS(H1576:$H$3085,C1576:$C$3085,$C1575),B1575="Insumo",F1575*G1575,B1575="Etapa","")</f>
        <v>12.100000000000001</v>
      </c>
      <c r="I1575" s="178"/>
    </row>
    <row r="1576" spans="1:9" hidden="1" outlineLevel="2" x14ac:dyDescent="0.25">
      <c r="A1576" s="175">
        <f t="shared" si="51"/>
        <v>37</v>
      </c>
      <c r="B1576" s="175" t="s">
        <v>327</v>
      </c>
      <c r="C1576" s="175" t="str">
        <f t="shared" si="52"/>
        <v>Contrapiso comum em argamassa estabilizada, auto nivelado, espessura 2cm</v>
      </c>
      <c r="D1576" s="175" t="s">
        <v>671</v>
      </c>
      <c r="E1576" s="176" t="str">
        <f>_xlfn.XLOOKUP(D1576,Insumos!$B$1:$B$764,Insumos!$C$1:$C$764)</f>
        <v>L</v>
      </c>
      <c r="F1576" s="179">
        <v>2.1000000000000001E-2</v>
      </c>
      <c r="G1576" s="177">
        <f>IF(B1576="insumo",_xlfn.XLOOKUP($D1576,Insumos!$B$1:$B$764,Insumos!$D$1:$D$764),"")</f>
        <v>19.34</v>
      </c>
      <c r="H1576" s="177" cm="1">
        <f t="array" ref="H1576">_xlfn.IFS(B1576="Serviço",SUMIFS(H1577:$H$3085,C1577:$C$3085,$C1576),B1576="Insumo",F1576*G1576,B1576="Etapa","")</f>
        <v>0.40614</v>
      </c>
      <c r="I1576" s="178"/>
    </row>
    <row r="1577" spans="1:9" hidden="1" outlineLevel="2" x14ac:dyDescent="0.25">
      <c r="A1577" s="175">
        <f t="shared" si="51"/>
        <v>6</v>
      </c>
      <c r="B1577" s="175" t="s">
        <v>327</v>
      </c>
      <c r="C1577" s="175" t="str">
        <f t="shared" si="52"/>
        <v>Contrapiso comum em argamassa estabilizada, auto nivelado, espessura 2cm</v>
      </c>
      <c r="D1577" s="175" t="s">
        <v>713</v>
      </c>
      <c r="E1577" s="176" t="str">
        <f>_xlfn.XLOOKUP(D1577,Insumos!$B$1:$B$764,Insumos!$C$1:$C$764)</f>
        <v>KG</v>
      </c>
      <c r="F1577" s="179">
        <v>2.2000000000000002</v>
      </c>
      <c r="G1577" s="177">
        <f>IF(B1577="insumo",_xlfn.XLOOKUP($D1577,Insumos!$B$1:$B$764,Insumos!$D$1:$D$764),"")</f>
        <v>4.25</v>
      </c>
      <c r="H1577" s="177" cm="1">
        <f t="array" ref="H1577">_xlfn.IFS(B1577="Serviço",SUMIFS(H1578:$H$3085,C1578:$C$3085,$C1577),B1577="Insumo",F1577*G1577,B1577="Etapa","")</f>
        <v>9.3500000000000014</v>
      </c>
      <c r="I1577" s="178"/>
    </row>
    <row r="1578" spans="1:9" outlineLevel="1" collapsed="1" x14ac:dyDescent="0.25">
      <c r="A1578" s="175">
        <f t="shared" si="51"/>
        <v>1</v>
      </c>
      <c r="B1578" s="175" t="s">
        <v>109</v>
      </c>
      <c r="C1578" s="175" t="str">
        <f t="shared" si="52"/>
        <v>Contrapiso comum em argamassa estabilizada, auto nivelado, espessura 2,5cm</v>
      </c>
      <c r="D1578" s="175" t="s">
        <v>1183</v>
      </c>
      <c r="E1578" s="176" t="s">
        <v>13</v>
      </c>
      <c r="F1578" s="175"/>
      <c r="G1578" s="177" t="str">
        <f>IF(B1578="insumo",_xlfn.XLOOKUP($D1578,Insumos!$B$1:$B$764,Insumos!$D$1:$D$764),"")</f>
        <v/>
      </c>
      <c r="H1578" s="177" cm="1">
        <f t="array" ref="H1578">_xlfn.IFS(B1578="Serviço",SUMIFS(H1579:$H$3085,C1579:$C$3085,$C1578),B1578="Insumo",F1578*G1578,B1578="Etapa","")</f>
        <v>24.881140000000002</v>
      </c>
      <c r="I1578" s="178" t="s">
        <v>195</v>
      </c>
    </row>
    <row r="1579" spans="1:9" hidden="1" outlineLevel="2" x14ac:dyDescent="0.25">
      <c r="A1579" s="175">
        <f t="shared" si="51"/>
        <v>34</v>
      </c>
      <c r="B1579" s="175" t="s">
        <v>327</v>
      </c>
      <c r="C1579" s="175" t="str">
        <f t="shared" si="52"/>
        <v>Contrapiso comum em argamassa estabilizada, auto nivelado, espessura 2,5cm</v>
      </c>
      <c r="D1579" s="175" t="s">
        <v>626</v>
      </c>
      <c r="E1579" s="176" t="str">
        <f>_xlfn.XLOOKUP(D1579,Insumos!$B$1:$B$764,Insumos!$C$1:$C$764)</f>
        <v>M3</v>
      </c>
      <c r="F1579" s="179">
        <v>2.7500000000000004E-2</v>
      </c>
      <c r="G1579" s="177">
        <f>IF(B1579="insumo",_xlfn.XLOOKUP($D1579,Insumos!$B$1:$B$764,Insumos!$D$1:$D$764),"")</f>
        <v>550</v>
      </c>
      <c r="H1579" s="177" cm="1">
        <f t="array" ref="H1579">_xlfn.IFS(B1579="Serviço",SUMIFS(H1580:$H$3085,C1580:$C$3085,$C1579),B1579="Insumo",F1579*G1579,B1579="Etapa","")</f>
        <v>15.125000000000002</v>
      </c>
      <c r="I1579" s="178"/>
    </row>
    <row r="1580" spans="1:9" hidden="1" outlineLevel="2" x14ac:dyDescent="0.25">
      <c r="A1580" s="175">
        <f t="shared" si="51"/>
        <v>37</v>
      </c>
      <c r="B1580" s="175" t="s">
        <v>327</v>
      </c>
      <c r="C1580" s="175" t="str">
        <f t="shared" si="52"/>
        <v>Contrapiso comum em argamassa estabilizada, auto nivelado, espessura 2,5cm</v>
      </c>
      <c r="D1580" s="175" t="s">
        <v>671</v>
      </c>
      <c r="E1580" s="176" t="str">
        <f>_xlfn.XLOOKUP(D1580,Insumos!$B$1:$B$764,Insumos!$C$1:$C$764)</f>
        <v>L</v>
      </c>
      <c r="F1580" s="179">
        <v>2.1000000000000001E-2</v>
      </c>
      <c r="G1580" s="177">
        <f>IF(B1580="insumo",_xlfn.XLOOKUP($D1580,Insumos!$B$1:$B$764,Insumos!$D$1:$D$764),"")</f>
        <v>19.34</v>
      </c>
      <c r="H1580" s="177" cm="1">
        <f t="array" ref="H1580">_xlfn.IFS(B1580="Serviço",SUMIFS(H1581:$H$3085,C1581:$C$3085,$C1580),B1580="Insumo",F1580*G1580,B1580="Etapa","")</f>
        <v>0.40614</v>
      </c>
      <c r="I1580" s="178"/>
    </row>
    <row r="1581" spans="1:9" hidden="1" outlineLevel="2" x14ac:dyDescent="0.25">
      <c r="A1581" s="175">
        <f t="shared" si="51"/>
        <v>6</v>
      </c>
      <c r="B1581" s="175" t="s">
        <v>327</v>
      </c>
      <c r="C1581" s="175" t="str">
        <f t="shared" si="52"/>
        <v>Contrapiso comum em argamassa estabilizada, auto nivelado, espessura 2,5cm</v>
      </c>
      <c r="D1581" s="175" t="s">
        <v>713</v>
      </c>
      <c r="E1581" s="176" t="str">
        <f>_xlfn.XLOOKUP(D1581,Insumos!$B$1:$B$764,Insumos!$C$1:$C$764)</f>
        <v>KG</v>
      </c>
      <c r="F1581" s="179">
        <v>2.2000000000000002</v>
      </c>
      <c r="G1581" s="177">
        <f>IF(B1581="insumo",_xlfn.XLOOKUP($D1581,Insumos!$B$1:$B$764,Insumos!$D$1:$D$764),"")</f>
        <v>4.25</v>
      </c>
      <c r="H1581" s="177" cm="1">
        <f t="array" ref="H1581">_xlfn.IFS(B1581="Serviço",SUMIFS(H1582:$H$3085,C1582:$C$3085,$C1581),B1581="Insumo",F1581*G1581,B1581="Etapa","")</f>
        <v>9.3500000000000014</v>
      </c>
      <c r="I1581" s="178"/>
    </row>
    <row r="1582" spans="1:9" outlineLevel="1" collapsed="1" x14ac:dyDescent="0.25">
      <c r="A1582" s="175">
        <f t="shared" si="51"/>
        <v>1</v>
      </c>
      <c r="B1582" s="175" t="s">
        <v>109</v>
      </c>
      <c r="C1582" s="175" t="str">
        <f t="shared" si="52"/>
        <v>Contrapiso comum em argamassa estabilizada, auto nivelado, espessura 3cm</v>
      </c>
      <c r="D1582" s="175" t="s">
        <v>1184</v>
      </c>
      <c r="E1582" s="176" t="s">
        <v>13</v>
      </c>
      <c r="F1582" s="175"/>
      <c r="G1582" s="177" t="str">
        <f>IF(B1582="insumo",_xlfn.XLOOKUP($D1582,Insumos!$B$1:$B$764,Insumos!$D$1:$D$764),"")</f>
        <v/>
      </c>
      <c r="H1582" s="177" cm="1">
        <f t="array" ref="H1582">_xlfn.IFS(B1582="Serviço",SUMIFS(H1583:$H$3085,C1583:$C$3085,$C1582),B1582="Insumo",F1582*G1582,B1582="Etapa","")</f>
        <v>27.906140000000004</v>
      </c>
      <c r="I1582" s="178" t="s">
        <v>195</v>
      </c>
    </row>
    <row r="1583" spans="1:9" hidden="1" outlineLevel="2" x14ac:dyDescent="0.25">
      <c r="A1583" s="175">
        <f t="shared" si="51"/>
        <v>34</v>
      </c>
      <c r="B1583" s="175" t="s">
        <v>327</v>
      </c>
      <c r="C1583" s="175" t="str">
        <f t="shared" si="52"/>
        <v>Contrapiso comum em argamassa estabilizada, auto nivelado, espessura 3cm</v>
      </c>
      <c r="D1583" s="175" t="s">
        <v>626</v>
      </c>
      <c r="E1583" s="176" t="str">
        <f>_xlfn.XLOOKUP(D1583,Insumos!$B$1:$B$764,Insumos!$C$1:$C$764)</f>
        <v>M3</v>
      </c>
      <c r="F1583" s="179">
        <v>3.3000000000000002E-2</v>
      </c>
      <c r="G1583" s="177">
        <f>IF(B1583="insumo",_xlfn.XLOOKUP($D1583,Insumos!$B$1:$B$764,Insumos!$D$1:$D$764),"")</f>
        <v>550</v>
      </c>
      <c r="H1583" s="177" cm="1">
        <f t="array" ref="H1583">_xlfn.IFS(B1583="Serviço",SUMIFS(H1584:$H$3085,C1584:$C$3085,$C1583),B1583="Insumo",F1583*G1583,B1583="Etapa","")</f>
        <v>18.150000000000002</v>
      </c>
      <c r="I1583" s="178"/>
    </row>
    <row r="1584" spans="1:9" hidden="1" outlineLevel="2" x14ac:dyDescent="0.25">
      <c r="A1584" s="175">
        <f t="shared" si="51"/>
        <v>37</v>
      </c>
      <c r="B1584" s="175" t="s">
        <v>327</v>
      </c>
      <c r="C1584" s="175" t="str">
        <f t="shared" si="52"/>
        <v>Contrapiso comum em argamassa estabilizada, auto nivelado, espessura 3cm</v>
      </c>
      <c r="D1584" s="175" t="s">
        <v>671</v>
      </c>
      <c r="E1584" s="176" t="str">
        <f>_xlfn.XLOOKUP(D1584,Insumos!$B$1:$B$764,Insumos!$C$1:$C$764)</f>
        <v>L</v>
      </c>
      <c r="F1584" s="179">
        <v>2.1000000000000001E-2</v>
      </c>
      <c r="G1584" s="177">
        <f>IF(B1584="insumo",_xlfn.XLOOKUP($D1584,Insumos!$B$1:$B$764,Insumos!$D$1:$D$764),"")</f>
        <v>19.34</v>
      </c>
      <c r="H1584" s="177" cm="1">
        <f t="array" ref="H1584">_xlfn.IFS(B1584="Serviço",SUMIFS(H1585:$H$3085,C1585:$C$3085,$C1584),B1584="Insumo",F1584*G1584,B1584="Etapa","")</f>
        <v>0.40614</v>
      </c>
      <c r="I1584" s="178"/>
    </row>
    <row r="1585" spans="1:9" hidden="1" outlineLevel="2" x14ac:dyDescent="0.25">
      <c r="A1585" s="175">
        <f t="shared" si="51"/>
        <v>6</v>
      </c>
      <c r="B1585" s="175" t="s">
        <v>327</v>
      </c>
      <c r="C1585" s="175" t="str">
        <f t="shared" si="52"/>
        <v>Contrapiso comum em argamassa estabilizada, auto nivelado, espessura 3cm</v>
      </c>
      <c r="D1585" s="175" t="s">
        <v>713</v>
      </c>
      <c r="E1585" s="176" t="str">
        <f>_xlfn.XLOOKUP(D1585,Insumos!$B$1:$B$764,Insumos!$C$1:$C$764)</f>
        <v>KG</v>
      </c>
      <c r="F1585" s="179">
        <v>2.2000000000000002</v>
      </c>
      <c r="G1585" s="177">
        <f>IF(B1585="insumo",_xlfn.XLOOKUP($D1585,Insumos!$B$1:$B$764,Insumos!$D$1:$D$764),"")</f>
        <v>4.25</v>
      </c>
      <c r="H1585" s="177" cm="1">
        <f t="array" ref="H1585">_xlfn.IFS(B1585="Serviço",SUMIFS(H1586:$H$3085,C1586:$C$3085,$C1585),B1585="Insumo",F1585*G1585,B1585="Etapa","")</f>
        <v>9.3500000000000014</v>
      </c>
      <c r="I1585" s="178"/>
    </row>
    <row r="1586" spans="1:9" outlineLevel="1" x14ac:dyDescent="0.25">
      <c r="A1586" s="175">
        <f t="shared" si="51"/>
        <v>1</v>
      </c>
      <c r="B1586" s="175" t="s">
        <v>109</v>
      </c>
      <c r="C1586" s="175" t="str">
        <f t="shared" si="52"/>
        <v>Contrapiso comum em argamassa estabilizada, auto nivelado, espessura 4cm</v>
      </c>
      <c r="D1586" s="175" t="s">
        <v>4091</v>
      </c>
      <c r="E1586" s="176" t="s">
        <v>13</v>
      </c>
      <c r="F1586" s="175"/>
      <c r="G1586" s="177" t="str">
        <f>IF(B1586="insumo",_xlfn.XLOOKUP($D1586,Insumos!$B$1:$B$764,Insumos!$D$1:$D$764),"")</f>
        <v/>
      </c>
      <c r="H1586" s="177" cm="1">
        <f t="array" ref="H1586">_xlfn.IFS(B1586="Serviço",SUMIFS(H1587:$H$3085,C1587:$C$3085,$C1586),B1586="Insumo",F1586*G1586,B1586="Etapa","")</f>
        <v>37.20818666666667</v>
      </c>
      <c r="I1586" s="178" t="s">
        <v>195</v>
      </c>
    </row>
    <row r="1587" spans="1:9" outlineLevel="2" x14ac:dyDescent="0.25">
      <c r="A1587" s="175">
        <f t="shared" si="51"/>
        <v>34</v>
      </c>
      <c r="B1587" s="175" t="s">
        <v>327</v>
      </c>
      <c r="C1587" s="175" t="str">
        <f t="shared" si="52"/>
        <v>Contrapiso comum em argamassa estabilizada, auto nivelado, espessura 4cm</v>
      </c>
      <c r="D1587" s="175" t="s">
        <v>626</v>
      </c>
      <c r="E1587" s="176" t="str">
        <f>_xlfn.XLOOKUP(D1587,Insumos!$B$1:$B$764,Insumos!$C$1:$C$764)</f>
        <v>M3</v>
      </c>
      <c r="F1587" s="179">
        <f>0.033*4/3</f>
        <v>4.4000000000000004E-2</v>
      </c>
      <c r="G1587" s="177">
        <f>IF(B1587="insumo",_xlfn.XLOOKUP($D1587,Insumos!$B$1:$B$764,Insumos!$D$1:$D$764),"")</f>
        <v>550</v>
      </c>
      <c r="H1587" s="177" cm="1">
        <f t="array" ref="H1587">_xlfn.IFS(B1587="Serviço",SUMIFS(H1588:$H$3085,C1588:$C$3085,$C1587),B1587="Insumo",F1587*G1587,B1587="Etapa","")</f>
        <v>24.200000000000003</v>
      </c>
      <c r="I1587" s="178"/>
    </row>
    <row r="1588" spans="1:9" outlineLevel="2" x14ac:dyDescent="0.25">
      <c r="A1588" s="175">
        <f t="shared" si="51"/>
        <v>37</v>
      </c>
      <c r="B1588" s="175" t="s">
        <v>327</v>
      </c>
      <c r="C1588" s="175" t="str">
        <f t="shared" si="52"/>
        <v>Contrapiso comum em argamassa estabilizada, auto nivelado, espessura 4cm</v>
      </c>
      <c r="D1588" s="175" t="s">
        <v>671</v>
      </c>
      <c r="E1588" s="176" t="str">
        <f>_xlfn.XLOOKUP(D1588,Insumos!$B$1:$B$764,Insumos!$C$1:$C$764)</f>
        <v>L</v>
      </c>
      <c r="F1588" s="179">
        <f>0.021*4/3</f>
        <v>2.8000000000000001E-2</v>
      </c>
      <c r="G1588" s="177">
        <f>IF(B1588="insumo",_xlfn.XLOOKUP($D1588,Insumos!$B$1:$B$764,Insumos!$D$1:$D$764),"")</f>
        <v>19.34</v>
      </c>
      <c r="H1588" s="177" cm="1">
        <f t="array" ref="H1588">_xlfn.IFS(B1588="Serviço",SUMIFS(H1589:$H$3085,C1589:$C$3085,$C1588),B1588="Insumo",F1588*G1588,B1588="Etapa","")</f>
        <v>0.54152</v>
      </c>
      <c r="I1588" s="178"/>
    </row>
    <row r="1589" spans="1:9" outlineLevel="2" x14ac:dyDescent="0.25">
      <c r="A1589" s="175">
        <f t="shared" si="51"/>
        <v>6</v>
      </c>
      <c r="B1589" s="175" t="s">
        <v>327</v>
      </c>
      <c r="C1589" s="175" t="str">
        <f t="shared" si="52"/>
        <v>Contrapiso comum em argamassa estabilizada, auto nivelado, espessura 4cm</v>
      </c>
      <c r="D1589" s="175" t="s">
        <v>713</v>
      </c>
      <c r="E1589" s="176" t="str">
        <f>_xlfn.XLOOKUP(D1589,Insumos!$B$1:$B$764,Insumos!$C$1:$C$764)</f>
        <v>KG</v>
      </c>
      <c r="F1589" s="179">
        <f>2.2*4/3</f>
        <v>2.9333333333333336</v>
      </c>
      <c r="G1589" s="177">
        <f>IF(B1589="insumo",_xlfn.XLOOKUP($D1589,Insumos!$B$1:$B$764,Insumos!$D$1:$D$764),"")</f>
        <v>4.25</v>
      </c>
      <c r="H1589" s="177" cm="1">
        <f t="array" ref="H1589">_xlfn.IFS(B1589="Serviço",SUMIFS(H1590:$H$3085,C1590:$C$3085,$C1589),B1589="Insumo",F1589*G1589,B1589="Etapa","")</f>
        <v>12.466666666666669</v>
      </c>
      <c r="I1589" s="178"/>
    </row>
    <row r="1590" spans="1:9" outlineLevel="1" collapsed="1" x14ac:dyDescent="0.25">
      <c r="A1590" s="175">
        <f t="shared" si="51"/>
        <v>1</v>
      </c>
      <c r="B1590" s="175" t="s">
        <v>109</v>
      </c>
      <c r="C1590" s="175" t="str">
        <f t="shared" si="52"/>
        <v>Contrapiso comum em argamassa estabilizada, auto nivelado, espessura 8cm</v>
      </c>
      <c r="D1590" s="175" t="s">
        <v>1185</v>
      </c>
      <c r="E1590" s="176" t="s">
        <v>13</v>
      </c>
      <c r="F1590" s="175"/>
      <c r="G1590" s="177" t="str">
        <f>IF(B1590="insumo",_xlfn.XLOOKUP($D1590,Insumos!$B$1:$B$764,Insumos!$D$1:$D$764),"")</f>
        <v/>
      </c>
      <c r="H1590" s="177" cm="1">
        <f t="array" ref="H1590">_xlfn.IFS(B1590="Serviço",SUMIFS(H1591:$H$3085,C1591:$C$3085,$C1590),B1590="Insumo",F1590*G1590,B1590="Etapa","")</f>
        <v>55.956140000000005</v>
      </c>
      <c r="I1590" s="178" t="s">
        <v>195</v>
      </c>
    </row>
    <row r="1591" spans="1:9" hidden="1" outlineLevel="2" x14ac:dyDescent="0.25">
      <c r="A1591" s="175">
        <f t="shared" si="51"/>
        <v>34</v>
      </c>
      <c r="B1591" s="175" t="s">
        <v>327</v>
      </c>
      <c r="C1591" s="175" t="str">
        <f t="shared" si="52"/>
        <v>Contrapiso comum em argamassa estabilizada, auto nivelado, espessura 8cm</v>
      </c>
      <c r="D1591" s="175" t="s">
        <v>626</v>
      </c>
      <c r="E1591" s="176" t="str">
        <f>_xlfn.XLOOKUP(D1591,Insumos!$B$1:$B$764,Insumos!$C$1:$C$764)</f>
        <v>M3</v>
      </c>
      <c r="F1591" s="179">
        <f>0.08*1.05</f>
        <v>8.4000000000000005E-2</v>
      </c>
      <c r="G1591" s="177">
        <f>IF(B1591="insumo",_xlfn.XLOOKUP($D1591,Insumos!$B$1:$B$764,Insumos!$D$1:$D$764),"")</f>
        <v>550</v>
      </c>
      <c r="H1591" s="177" cm="1">
        <f t="array" ref="H1591">_xlfn.IFS(B1591="Serviço",SUMIFS(H1592:$H$3085,C1592:$C$3085,$C1591),B1591="Insumo",F1591*G1591,B1591="Etapa","")</f>
        <v>46.2</v>
      </c>
      <c r="I1591" s="178"/>
    </row>
    <row r="1592" spans="1:9" hidden="1" outlineLevel="2" x14ac:dyDescent="0.25">
      <c r="A1592" s="175">
        <f t="shared" si="51"/>
        <v>37</v>
      </c>
      <c r="B1592" s="175" t="s">
        <v>327</v>
      </c>
      <c r="C1592" s="175" t="str">
        <f t="shared" si="52"/>
        <v>Contrapiso comum em argamassa estabilizada, auto nivelado, espessura 8cm</v>
      </c>
      <c r="D1592" s="175" t="s">
        <v>671</v>
      </c>
      <c r="E1592" s="176" t="str">
        <f>_xlfn.XLOOKUP(D1592,Insumos!$B$1:$B$764,Insumos!$C$1:$C$764)</f>
        <v>L</v>
      </c>
      <c r="F1592" s="179">
        <v>2.1000000000000001E-2</v>
      </c>
      <c r="G1592" s="177">
        <f>IF(B1592="insumo",_xlfn.XLOOKUP($D1592,Insumos!$B$1:$B$764,Insumos!$D$1:$D$764),"")</f>
        <v>19.34</v>
      </c>
      <c r="H1592" s="177" cm="1">
        <f t="array" ref="H1592">_xlfn.IFS(B1592="Serviço",SUMIFS(H1593:$H$3085,C1593:$C$3085,$C1592),B1592="Insumo",F1592*G1592,B1592="Etapa","")</f>
        <v>0.40614</v>
      </c>
      <c r="I1592" s="178"/>
    </row>
    <row r="1593" spans="1:9" hidden="1" outlineLevel="2" x14ac:dyDescent="0.25">
      <c r="A1593" s="175">
        <f t="shared" si="51"/>
        <v>6</v>
      </c>
      <c r="B1593" s="175" t="s">
        <v>327</v>
      </c>
      <c r="C1593" s="175" t="str">
        <f t="shared" si="52"/>
        <v>Contrapiso comum em argamassa estabilizada, auto nivelado, espessura 8cm</v>
      </c>
      <c r="D1593" s="175" t="s">
        <v>713</v>
      </c>
      <c r="E1593" s="176" t="str">
        <f>_xlfn.XLOOKUP(D1593,Insumos!$B$1:$B$764,Insumos!$C$1:$C$764)</f>
        <v>KG</v>
      </c>
      <c r="F1593" s="179">
        <v>2.2000000000000002</v>
      </c>
      <c r="G1593" s="177">
        <f>IF(B1593="insumo",_xlfn.XLOOKUP($D1593,Insumos!$B$1:$B$764,Insumos!$D$1:$D$764),"")</f>
        <v>4.25</v>
      </c>
      <c r="H1593" s="177" cm="1">
        <f t="array" ref="H1593">_xlfn.IFS(B1593="Serviço",SUMIFS(H1594:$H$3085,C1594:$C$3085,$C1593),B1593="Insumo",F1593*G1593,B1593="Etapa","")</f>
        <v>9.3500000000000014</v>
      </c>
      <c r="I1593" s="178"/>
    </row>
    <row r="1594" spans="1:9" outlineLevel="1" x14ac:dyDescent="0.25">
      <c r="A1594" s="175">
        <f t="shared" si="51"/>
        <v>1</v>
      </c>
      <c r="B1594" s="175" t="s">
        <v>109</v>
      </c>
      <c r="C1594" s="175" t="str">
        <f t="shared" si="52"/>
        <v>Contrapiso comum em argamassa estabilizada, nao aderido, espessura 1,5cm</v>
      </c>
      <c r="D1594" s="175" t="s">
        <v>2853</v>
      </c>
      <c r="E1594" s="176" t="s">
        <v>13</v>
      </c>
      <c r="F1594" s="175"/>
      <c r="G1594" s="177" t="str">
        <f>IF(B1594="insumo",_xlfn.XLOOKUP($D1594,Insumos!$B$1:$B$764,Insumos!$D$1:$D$764),"")</f>
        <v/>
      </c>
      <c r="H1594" s="177" cm="1">
        <f t="array" ref="H1594">_xlfn.IFS(B1594="Serviço",SUMIFS(H1595:$H$3085,C1595:$C$3085,$C1594),B1594="Insumo",F1594*G1594,B1594="Etapa","")</f>
        <v>9.3796050000000015</v>
      </c>
      <c r="I1594" s="178" t="s">
        <v>195</v>
      </c>
    </row>
    <row r="1595" spans="1:9" outlineLevel="2" x14ac:dyDescent="0.25">
      <c r="A1595" s="175">
        <f t="shared" si="51"/>
        <v>34</v>
      </c>
      <c r="B1595" s="175" t="s">
        <v>327</v>
      </c>
      <c r="C1595" s="175" t="str">
        <f t="shared" si="52"/>
        <v>Contrapiso comum em argamassa estabilizada, nao aderido, espessura 1,5cm</v>
      </c>
      <c r="D1595" s="175" t="s">
        <v>626</v>
      </c>
      <c r="E1595" s="176" t="str">
        <f>_xlfn.XLOOKUP(D1595,Insumos!$B$1:$B$764,Insumos!$C$1:$C$764)</f>
        <v>M3</v>
      </c>
      <c r="F1595" s="179">
        <f>(0.022*1.5)/2</f>
        <v>1.6500000000000001E-2</v>
      </c>
      <c r="G1595" s="177">
        <f>IF(B1595="insumo",_xlfn.XLOOKUP($D1595,Insumos!$B$1:$B$764,Insumos!$D$1:$D$764),"")</f>
        <v>550</v>
      </c>
      <c r="H1595" s="177" cm="1">
        <f t="array" ref="H1595">_xlfn.IFS(B1595="Serviço",SUMIFS(H1596:$H$3085,C1596:$C$3085,$C1595),B1595="Insumo",F1595*G1595,B1595="Etapa","")</f>
        <v>9.0750000000000011</v>
      </c>
      <c r="I1595" s="178"/>
    </row>
    <row r="1596" spans="1:9" outlineLevel="2" x14ac:dyDescent="0.25">
      <c r="A1596" s="175">
        <f t="shared" si="51"/>
        <v>37</v>
      </c>
      <c r="B1596" s="175" t="s">
        <v>327</v>
      </c>
      <c r="C1596" s="175" t="str">
        <f t="shared" si="52"/>
        <v>Contrapiso comum em argamassa estabilizada, nao aderido, espessura 1,5cm</v>
      </c>
      <c r="D1596" s="175" t="s">
        <v>671</v>
      </c>
      <c r="E1596" s="176" t="str">
        <f>_xlfn.XLOOKUP(D1596,Insumos!$B$1:$B$764,Insumos!$C$1:$C$764)</f>
        <v>L</v>
      </c>
      <c r="F1596" s="179">
        <f>0.021*1.5/2</f>
        <v>1.575E-2</v>
      </c>
      <c r="G1596" s="177">
        <f>IF(B1596="insumo",_xlfn.XLOOKUP($D1596,Insumos!$B$1:$B$764,Insumos!$D$1:$D$764),"")</f>
        <v>19.34</v>
      </c>
      <c r="H1596" s="177" cm="1">
        <f t="array" ref="H1596">_xlfn.IFS(B1596="Serviço",SUMIFS(H1597:$H$3085,C1597:$C$3085,$C1596),B1596="Insumo",F1596*G1596,B1596="Etapa","")</f>
        <v>0.30460500000000001</v>
      </c>
      <c r="I1596" s="178"/>
    </row>
    <row r="1597" spans="1:9" outlineLevel="1" x14ac:dyDescent="0.25">
      <c r="A1597" s="175">
        <f t="shared" si="51"/>
        <v>1</v>
      </c>
      <c r="B1597" s="175" t="s">
        <v>109</v>
      </c>
      <c r="C1597" s="175" t="str">
        <f t="shared" si="52"/>
        <v>Contrapiso comum em argamassa estabilizada, nao aderido, espessura 2cm</v>
      </c>
      <c r="D1597" s="175" t="s">
        <v>714</v>
      </c>
      <c r="E1597" s="176" t="s">
        <v>13</v>
      </c>
      <c r="F1597" s="175"/>
      <c r="G1597" s="177" t="str">
        <f>IF(B1597="insumo",_xlfn.XLOOKUP($D1597,Insumos!$B$1:$B$764,Insumos!$D$1:$D$764),"")</f>
        <v/>
      </c>
      <c r="H1597" s="177" cm="1">
        <f t="array" ref="H1597">_xlfn.IFS(B1597="Serviço",SUMIFS(H1598:$H$3085,C1598:$C$3085,$C1597),B1597="Insumo",F1597*G1597,B1597="Etapa","")</f>
        <v>12.506140000000002</v>
      </c>
      <c r="I1597" s="178" t="s">
        <v>195</v>
      </c>
    </row>
    <row r="1598" spans="1:9" outlineLevel="2" x14ac:dyDescent="0.25">
      <c r="A1598" s="175">
        <f t="shared" si="51"/>
        <v>34</v>
      </c>
      <c r="B1598" s="175" t="s">
        <v>327</v>
      </c>
      <c r="C1598" s="175" t="str">
        <f t="shared" si="52"/>
        <v>Contrapiso comum em argamassa estabilizada, nao aderido, espessura 2cm</v>
      </c>
      <c r="D1598" s="175" t="s">
        <v>626</v>
      </c>
      <c r="E1598" s="176" t="str">
        <f>_xlfn.XLOOKUP(D1598,Insumos!$B$1:$B$764,Insumos!$C$1:$C$764)</f>
        <v>M3</v>
      </c>
      <c r="F1598" s="179">
        <v>2.2000000000000002E-2</v>
      </c>
      <c r="G1598" s="177">
        <f>IF(B1598="insumo",_xlfn.XLOOKUP($D1598,Insumos!$B$1:$B$764,Insumos!$D$1:$D$764),"")</f>
        <v>550</v>
      </c>
      <c r="H1598" s="177" cm="1">
        <f t="array" ref="H1598">_xlfn.IFS(B1598="Serviço",SUMIFS(H1599:$H$3085,C1599:$C$3085,$C1598),B1598="Insumo",F1598*G1598,B1598="Etapa","")</f>
        <v>12.100000000000001</v>
      </c>
      <c r="I1598" s="178"/>
    </row>
    <row r="1599" spans="1:9" outlineLevel="2" x14ac:dyDescent="0.25">
      <c r="A1599" s="175">
        <f t="shared" si="51"/>
        <v>37</v>
      </c>
      <c r="B1599" s="175" t="s">
        <v>327</v>
      </c>
      <c r="C1599" s="175" t="str">
        <f t="shared" si="52"/>
        <v>Contrapiso comum em argamassa estabilizada, nao aderido, espessura 2cm</v>
      </c>
      <c r="D1599" s="175" t="s">
        <v>671</v>
      </c>
      <c r="E1599" s="176" t="str">
        <f>_xlfn.XLOOKUP(D1599,Insumos!$B$1:$B$764,Insumos!$C$1:$C$764)</f>
        <v>L</v>
      </c>
      <c r="F1599" s="179">
        <v>2.1000000000000001E-2</v>
      </c>
      <c r="G1599" s="177">
        <f>IF(B1599="insumo",_xlfn.XLOOKUP($D1599,Insumos!$B$1:$B$764,Insumos!$D$1:$D$764),"")</f>
        <v>19.34</v>
      </c>
      <c r="H1599" s="177" cm="1">
        <f t="array" ref="H1599">_xlfn.IFS(B1599="Serviço",SUMIFS(H1600:$H$3085,C1600:$C$3085,$C1599),B1599="Insumo",F1599*G1599,B1599="Etapa","")</f>
        <v>0.40614</v>
      </c>
      <c r="I1599" s="178"/>
    </row>
    <row r="1600" spans="1:9" outlineLevel="1" x14ac:dyDescent="0.25">
      <c r="A1600" s="175">
        <f t="shared" si="51"/>
        <v>1</v>
      </c>
      <c r="B1600" s="175" t="s">
        <v>109</v>
      </c>
      <c r="C1600" s="175" t="str">
        <f t="shared" si="52"/>
        <v>Contrapiso comum em argamassa estabilizada, nao aderido, espessura 2,5cm</v>
      </c>
      <c r="D1600" s="175" t="s">
        <v>715</v>
      </c>
      <c r="E1600" s="176" t="s">
        <v>13</v>
      </c>
      <c r="F1600" s="175"/>
      <c r="G1600" s="177" t="str">
        <f>IF(B1600="insumo",_xlfn.XLOOKUP($D1600,Insumos!$B$1:$B$764,Insumos!$D$1:$D$764),"")</f>
        <v/>
      </c>
      <c r="H1600" s="177" cm="1">
        <f t="array" ref="H1600">_xlfn.IFS(B1600="Serviço",SUMIFS(H1601:$H$3085,C1601:$C$3085,$C1600),B1600="Insumo",F1600*G1600,B1600="Etapa","")</f>
        <v>15.632675000000003</v>
      </c>
      <c r="I1600" s="178" t="s">
        <v>195</v>
      </c>
    </row>
    <row r="1601" spans="1:9" outlineLevel="2" x14ac:dyDescent="0.25">
      <c r="A1601" s="175">
        <f t="shared" si="51"/>
        <v>34</v>
      </c>
      <c r="B1601" s="175" t="s">
        <v>327</v>
      </c>
      <c r="C1601" s="175" t="str">
        <f t="shared" si="52"/>
        <v>Contrapiso comum em argamassa estabilizada, nao aderido, espessura 2,5cm</v>
      </c>
      <c r="D1601" s="175" t="s">
        <v>626</v>
      </c>
      <c r="E1601" s="176" t="str">
        <f>_xlfn.XLOOKUP(D1601,Insumos!$B$1:$B$764,Insumos!$C$1:$C$764)</f>
        <v>M3</v>
      </c>
      <c r="F1601" s="179">
        <v>2.7500000000000004E-2</v>
      </c>
      <c r="G1601" s="177">
        <f>IF(B1601="insumo",_xlfn.XLOOKUP($D1601,Insumos!$B$1:$B$764,Insumos!$D$1:$D$764),"")</f>
        <v>550</v>
      </c>
      <c r="H1601" s="177" cm="1">
        <f t="array" ref="H1601">_xlfn.IFS(B1601="Serviço",SUMIFS(H1602:$H$3085,C1602:$C$3085,$C1601),B1601="Insumo",F1601*G1601,B1601="Etapa","")</f>
        <v>15.125000000000002</v>
      </c>
      <c r="I1601" s="178"/>
    </row>
    <row r="1602" spans="1:9" outlineLevel="2" x14ac:dyDescent="0.25">
      <c r="A1602" s="175">
        <f t="shared" ref="A1602:A1665" si="53">COUNTIFS($D$2:$D$3085,D1602,$B$2:$B$3085,B1602)</f>
        <v>37</v>
      </c>
      <c r="B1602" s="175" t="s">
        <v>327</v>
      </c>
      <c r="C1602" s="175" t="str">
        <f t="shared" si="52"/>
        <v>Contrapiso comum em argamassa estabilizada, nao aderido, espessura 2,5cm</v>
      </c>
      <c r="D1602" s="175" t="s">
        <v>671</v>
      </c>
      <c r="E1602" s="176" t="str">
        <f>_xlfn.XLOOKUP(D1602,Insumos!$B$1:$B$764,Insumos!$C$1:$C$764)</f>
        <v>L</v>
      </c>
      <c r="F1602" s="179">
        <f>0.021*2.5/2</f>
        <v>2.6250000000000002E-2</v>
      </c>
      <c r="G1602" s="177">
        <f>IF(B1602="insumo",_xlfn.XLOOKUP($D1602,Insumos!$B$1:$B$764,Insumos!$D$1:$D$764),"")</f>
        <v>19.34</v>
      </c>
      <c r="H1602" s="177" cm="1">
        <f t="array" ref="H1602">_xlfn.IFS(B1602="Serviço",SUMIFS(H1603:$H$3085,C1603:$C$3085,$C1602),B1602="Insumo",F1602*G1602,B1602="Etapa","")</f>
        <v>0.5076750000000001</v>
      </c>
      <c r="I1602" s="178"/>
    </row>
    <row r="1603" spans="1:9" outlineLevel="1" collapsed="1" x14ac:dyDescent="0.25">
      <c r="A1603" s="175">
        <f t="shared" si="53"/>
        <v>1</v>
      </c>
      <c r="B1603" s="175" t="s">
        <v>109</v>
      </c>
      <c r="C1603" s="175" t="str">
        <f t="shared" si="52"/>
        <v>Contrapiso comum em argamassa estabilizada, nao aderido, espessura 3cm</v>
      </c>
      <c r="D1603" s="175" t="s">
        <v>237</v>
      </c>
      <c r="E1603" s="176" t="s">
        <v>13</v>
      </c>
      <c r="F1603" s="175"/>
      <c r="G1603" s="177" t="str">
        <f>IF(B1603="insumo",_xlfn.XLOOKUP($D1603,Insumos!$B$1:$B$764,Insumos!$D$1:$D$764),"")</f>
        <v/>
      </c>
      <c r="H1603" s="177" cm="1">
        <f t="array" ref="H1603">_xlfn.IFS(B1603="Serviço",SUMIFS(H1604:$H$3085,C1604:$C$3085,$C1603),B1603="Insumo",F1603*G1603,B1603="Etapa","")</f>
        <v>18.759210000000003</v>
      </c>
      <c r="I1603" s="178" t="s">
        <v>195</v>
      </c>
    </row>
    <row r="1604" spans="1:9" hidden="1" outlineLevel="2" x14ac:dyDescent="0.25">
      <c r="A1604" s="175">
        <f t="shared" si="53"/>
        <v>34</v>
      </c>
      <c r="B1604" s="175" t="s">
        <v>327</v>
      </c>
      <c r="C1604" s="175" t="str">
        <f t="shared" si="52"/>
        <v>Contrapiso comum em argamassa estabilizada, nao aderido, espessura 3cm</v>
      </c>
      <c r="D1604" s="175" t="s">
        <v>626</v>
      </c>
      <c r="E1604" s="176" t="str">
        <f>_xlfn.XLOOKUP(D1604,Insumos!$B$1:$B$764,Insumos!$C$1:$C$764)</f>
        <v>M3</v>
      </c>
      <c r="F1604" s="179">
        <v>3.3000000000000002E-2</v>
      </c>
      <c r="G1604" s="177">
        <f>IF(B1604="insumo",_xlfn.XLOOKUP($D1604,Insumos!$B$1:$B$764,Insumos!$D$1:$D$764),"")</f>
        <v>550</v>
      </c>
      <c r="H1604" s="177" cm="1">
        <f t="array" ref="H1604">_xlfn.IFS(B1604="Serviço",SUMIFS(H1605:$H$3085,C1605:$C$3085,$C1604),B1604="Insumo",F1604*G1604,B1604="Etapa","")</f>
        <v>18.150000000000002</v>
      </c>
      <c r="I1604" s="178"/>
    </row>
    <row r="1605" spans="1:9" hidden="1" outlineLevel="2" x14ac:dyDescent="0.25">
      <c r="A1605" s="175">
        <f t="shared" si="53"/>
        <v>37</v>
      </c>
      <c r="B1605" s="175" t="s">
        <v>327</v>
      </c>
      <c r="C1605" s="175" t="str">
        <f t="shared" si="52"/>
        <v>Contrapiso comum em argamassa estabilizada, nao aderido, espessura 3cm</v>
      </c>
      <c r="D1605" s="175" t="s">
        <v>671</v>
      </c>
      <c r="E1605" s="176" t="str">
        <f>_xlfn.XLOOKUP(D1605,Insumos!$B$1:$B$764,Insumos!$C$1:$C$764)</f>
        <v>L</v>
      </c>
      <c r="F1605" s="179">
        <f>0.021*3/2</f>
        <v>3.15E-2</v>
      </c>
      <c r="G1605" s="177">
        <f>IF(B1605="insumo",_xlfn.XLOOKUP($D1605,Insumos!$B$1:$B$764,Insumos!$D$1:$D$764),"")</f>
        <v>19.34</v>
      </c>
      <c r="H1605" s="177" cm="1">
        <f t="array" ref="H1605">_xlfn.IFS(B1605="Serviço",SUMIFS(H1606:$H$3085,C1606:$C$3085,$C1605),B1605="Insumo",F1605*G1605,B1605="Etapa","")</f>
        <v>0.60921000000000003</v>
      </c>
      <c r="I1605" s="178"/>
    </row>
    <row r="1606" spans="1:9" outlineLevel="1" collapsed="1" x14ac:dyDescent="0.25">
      <c r="A1606" s="175">
        <f t="shared" si="53"/>
        <v>1</v>
      </c>
      <c r="B1606" s="175" t="s">
        <v>109</v>
      </c>
      <c r="C1606" s="175" t="str">
        <f t="shared" si="52"/>
        <v>Contrapiso comum em argamassa estabilizada, nao aderido, espessura 4cm</v>
      </c>
      <c r="D1606" s="175" t="s">
        <v>1968</v>
      </c>
      <c r="E1606" s="176" t="s">
        <v>13</v>
      </c>
      <c r="F1606" s="175"/>
      <c r="G1606" s="177" t="str">
        <f>IF(B1606="insumo",_xlfn.XLOOKUP($D1606,Insumos!$B$1:$B$764,Insumos!$D$1:$D$764),"")</f>
        <v/>
      </c>
      <c r="H1606" s="177" cm="1">
        <f t="array" ref="H1606">_xlfn.IFS(B1606="Serviço",SUMIFS(H1607:$H$3085,C1607:$C$3085,$C1606),B1606="Insumo",F1606*G1606,B1606="Etapa","")</f>
        <v>25.012280000000001</v>
      </c>
      <c r="I1606" s="178" t="s">
        <v>195</v>
      </c>
    </row>
    <row r="1607" spans="1:9" hidden="1" outlineLevel="2" x14ac:dyDescent="0.25">
      <c r="A1607" s="175">
        <f t="shared" si="53"/>
        <v>34</v>
      </c>
      <c r="B1607" s="175" t="s">
        <v>327</v>
      </c>
      <c r="C1607" s="175" t="str">
        <f t="shared" si="52"/>
        <v>Contrapiso comum em argamassa estabilizada, nao aderido, espessura 4cm</v>
      </c>
      <c r="D1607" s="175" t="s">
        <v>626</v>
      </c>
      <c r="E1607" s="176" t="str">
        <f>_xlfn.XLOOKUP(D1607,Insumos!$B$1:$B$764,Insumos!$C$1:$C$764)</f>
        <v>M3</v>
      </c>
      <c r="F1607" s="179">
        <v>4.3999999999999997E-2</v>
      </c>
      <c r="G1607" s="177">
        <f>IF(B1607="insumo",_xlfn.XLOOKUP($D1607,Insumos!$B$1:$B$764,Insumos!$D$1:$D$764),"")</f>
        <v>550</v>
      </c>
      <c r="H1607" s="177" cm="1">
        <f t="array" ref="H1607">_xlfn.IFS(B1607="Serviço",SUMIFS(H1608:$H$3085,C1608:$C$3085,$C1607),B1607="Insumo",F1607*G1607,B1607="Etapa","")</f>
        <v>24.2</v>
      </c>
      <c r="I1607" s="178"/>
    </row>
    <row r="1608" spans="1:9" hidden="1" outlineLevel="2" x14ac:dyDescent="0.25">
      <c r="A1608" s="175">
        <f t="shared" si="53"/>
        <v>37</v>
      </c>
      <c r="B1608" s="175" t="s">
        <v>327</v>
      </c>
      <c r="C1608" s="175" t="str">
        <f t="shared" si="52"/>
        <v>Contrapiso comum em argamassa estabilizada, nao aderido, espessura 4cm</v>
      </c>
      <c r="D1608" s="175" t="s">
        <v>671</v>
      </c>
      <c r="E1608" s="176" t="str">
        <f>_xlfn.XLOOKUP(D1608,Insumos!$B$1:$B$764,Insumos!$C$1:$C$764)</f>
        <v>L</v>
      </c>
      <c r="F1608" s="179">
        <f>0.021*4/2</f>
        <v>4.2000000000000003E-2</v>
      </c>
      <c r="G1608" s="177">
        <f>IF(B1608="insumo",_xlfn.XLOOKUP($D1608,Insumos!$B$1:$B$764,Insumos!$D$1:$D$764),"")</f>
        <v>19.34</v>
      </c>
      <c r="H1608" s="177" cm="1">
        <f t="array" ref="H1608">_xlfn.IFS(B1608="Serviço",SUMIFS(H1609:$H$3085,C1609:$C$3085,$C1608),B1608="Insumo",F1608*G1608,B1608="Etapa","")</f>
        <v>0.81228</v>
      </c>
      <c r="I1608" s="178"/>
    </row>
    <row r="1609" spans="1:9" outlineLevel="1" collapsed="1" x14ac:dyDescent="0.25">
      <c r="A1609" s="175">
        <f t="shared" si="53"/>
        <v>1</v>
      </c>
      <c r="B1609" s="175" t="s">
        <v>109</v>
      </c>
      <c r="C1609" s="175" t="str">
        <f t="shared" si="52"/>
        <v>Contrapiso comum em argamassa estabilizada, nao aderido, espessura 5cm</v>
      </c>
      <c r="D1609" s="175" t="s">
        <v>172</v>
      </c>
      <c r="E1609" s="176" t="s">
        <v>13</v>
      </c>
      <c r="F1609" s="175"/>
      <c r="G1609" s="177" t="str">
        <f>IF(B1609="insumo",_xlfn.XLOOKUP($D1609,Insumos!$B$1:$B$764,Insumos!$D$1:$D$764),"")</f>
        <v/>
      </c>
      <c r="H1609" s="177" cm="1">
        <f t="array" ref="H1609">_xlfn.IFS(B1609="Serviço",SUMIFS(H1610:$H$3085,C1610:$C$3085,$C1609),B1609="Insumo",F1609*G1609,B1609="Etapa","")</f>
        <v>30.926900000000003</v>
      </c>
      <c r="I1609" s="178" t="s">
        <v>195</v>
      </c>
    </row>
    <row r="1610" spans="1:9" hidden="1" outlineLevel="2" x14ac:dyDescent="0.25">
      <c r="A1610" s="175">
        <f t="shared" si="53"/>
        <v>34</v>
      </c>
      <c r="B1610" s="175" t="s">
        <v>327</v>
      </c>
      <c r="C1610" s="175" t="str">
        <f t="shared" si="52"/>
        <v>Contrapiso comum em argamassa estabilizada, nao aderido, espessura 5cm</v>
      </c>
      <c r="D1610" s="175" t="s">
        <v>626</v>
      </c>
      <c r="E1610" s="176" t="str">
        <f>_xlfn.XLOOKUP(D1610,Insumos!$B$1:$B$764,Insumos!$C$1:$C$764)</f>
        <v>M3</v>
      </c>
      <c r="F1610" s="179">
        <v>5.5000000000000007E-2</v>
      </c>
      <c r="G1610" s="177">
        <f>IF(B1610="insumo",_xlfn.XLOOKUP($D1610,Insumos!$B$1:$B$764,Insumos!$D$1:$D$764),"")</f>
        <v>550</v>
      </c>
      <c r="H1610" s="177" cm="1">
        <f t="array" ref="H1610">_xlfn.IFS(B1610="Serviço",SUMIFS(H1611:$H$3085,C1611:$C$3085,$C1610),B1610="Insumo",F1610*G1610,B1610="Etapa","")</f>
        <v>30.250000000000004</v>
      </c>
      <c r="I1610" s="178"/>
    </row>
    <row r="1611" spans="1:9" hidden="1" outlineLevel="2" x14ac:dyDescent="0.25">
      <c r="A1611" s="175">
        <f t="shared" si="53"/>
        <v>37</v>
      </c>
      <c r="B1611" s="175" t="s">
        <v>327</v>
      </c>
      <c r="C1611" s="175" t="str">
        <f t="shared" si="52"/>
        <v>Contrapiso comum em argamassa estabilizada, nao aderido, espessura 5cm</v>
      </c>
      <c r="D1611" s="175" t="s">
        <v>671</v>
      </c>
      <c r="E1611" s="176" t="str">
        <f>_xlfn.XLOOKUP(D1611,Insumos!$B$1:$B$764,Insumos!$C$1:$C$764)</f>
        <v>L</v>
      </c>
      <c r="F1611" s="179">
        <v>3.5000000000000003E-2</v>
      </c>
      <c r="G1611" s="177">
        <f>IF(B1611="insumo",_xlfn.XLOOKUP($D1611,Insumos!$B$1:$B$764,Insumos!$D$1:$D$764),"")</f>
        <v>19.34</v>
      </c>
      <c r="H1611" s="177" cm="1">
        <f t="array" ref="H1611">_xlfn.IFS(B1611="Serviço",SUMIFS(H1612:$H$3085,C1612:$C$3085,$C1611),B1611="Insumo",F1611*G1611,B1611="Etapa","")</f>
        <v>0.67690000000000006</v>
      </c>
      <c r="I1611" s="178"/>
    </row>
    <row r="1612" spans="1:9" outlineLevel="1" collapsed="1" x14ac:dyDescent="0.25">
      <c r="A1612" s="175">
        <f t="shared" si="53"/>
        <v>1</v>
      </c>
      <c r="B1612" s="175" t="s">
        <v>109</v>
      </c>
      <c r="C1612" s="175" t="str">
        <f t="shared" si="52"/>
        <v>Contrapiso comum em argamassa estabilizada, nao aderido, espessura 5,5cm</v>
      </c>
      <c r="D1612" s="175" t="s">
        <v>238</v>
      </c>
      <c r="E1612" s="176" t="s">
        <v>13</v>
      </c>
      <c r="F1612" s="175"/>
      <c r="G1612" s="177" t="str">
        <f>IF(B1612="insumo",_xlfn.XLOOKUP($D1612,Insumos!$B$1:$B$764,Insumos!$D$1:$D$764),"")</f>
        <v/>
      </c>
      <c r="H1612" s="177" cm="1">
        <f t="array" ref="H1612">_xlfn.IFS(B1612="Serviço",SUMIFS(H1613:$H$3085,C1613:$C$3085,$C1612),B1612="Insumo",F1612*G1612,B1612="Etapa","")</f>
        <v>34.019590000000008</v>
      </c>
      <c r="I1612" s="178" t="s">
        <v>195</v>
      </c>
    </row>
    <row r="1613" spans="1:9" hidden="1" outlineLevel="2" x14ac:dyDescent="0.25">
      <c r="A1613" s="175">
        <f t="shared" si="53"/>
        <v>34</v>
      </c>
      <c r="B1613" s="175" t="s">
        <v>327</v>
      </c>
      <c r="C1613" s="175" t="str">
        <f t="shared" si="52"/>
        <v>Contrapiso comum em argamassa estabilizada, nao aderido, espessura 5,5cm</v>
      </c>
      <c r="D1613" s="175" t="s">
        <v>626</v>
      </c>
      <c r="E1613" s="176" t="str">
        <f>_xlfn.XLOOKUP(D1613,Insumos!$B$1:$B$764,Insumos!$C$1:$C$764)</f>
        <v>M3</v>
      </c>
      <c r="F1613" s="179">
        <v>6.0500000000000005E-2</v>
      </c>
      <c r="G1613" s="177">
        <f>IF(B1613="insumo",_xlfn.XLOOKUP($D1613,Insumos!$B$1:$B$764,Insumos!$D$1:$D$764),"")</f>
        <v>550</v>
      </c>
      <c r="H1613" s="177" cm="1">
        <f t="array" ref="H1613">_xlfn.IFS(B1613="Serviço",SUMIFS(H1614:$H$3085,C1614:$C$3085,$C1613),B1613="Insumo",F1613*G1613,B1613="Etapa","")</f>
        <v>33.275000000000006</v>
      </c>
      <c r="I1613" s="178"/>
    </row>
    <row r="1614" spans="1:9" hidden="1" outlineLevel="2" x14ac:dyDescent="0.25">
      <c r="A1614" s="175">
        <f t="shared" si="53"/>
        <v>37</v>
      </c>
      <c r="B1614" s="175" t="s">
        <v>327</v>
      </c>
      <c r="C1614" s="175" t="str">
        <f t="shared" si="52"/>
        <v>Contrapiso comum em argamassa estabilizada, nao aderido, espessura 5,5cm</v>
      </c>
      <c r="D1614" s="175" t="s">
        <v>671</v>
      </c>
      <c r="E1614" s="176" t="str">
        <f>_xlfn.XLOOKUP(D1614,Insumos!$B$1:$B$764,Insumos!$C$1:$C$764)</f>
        <v>L</v>
      </c>
      <c r="F1614" s="179">
        <v>3.8500000000000006E-2</v>
      </c>
      <c r="G1614" s="177">
        <f>IF(B1614="insumo",_xlfn.XLOOKUP($D1614,Insumos!$B$1:$B$764,Insumos!$D$1:$D$764),"")</f>
        <v>19.34</v>
      </c>
      <c r="H1614" s="177" cm="1">
        <f t="array" ref="H1614">_xlfn.IFS(B1614="Serviço",SUMIFS(H1615:$H$3085,C1615:$C$3085,$C1614),B1614="Insumo",F1614*G1614,B1614="Etapa","")</f>
        <v>0.74459000000000009</v>
      </c>
      <c r="I1614" s="178"/>
    </row>
    <row r="1615" spans="1:9" outlineLevel="1" collapsed="1" x14ac:dyDescent="0.25">
      <c r="A1615" s="175">
        <f t="shared" si="53"/>
        <v>1</v>
      </c>
      <c r="B1615" s="175" t="s">
        <v>109</v>
      </c>
      <c r="C1615" s="175" t="str">
        <f t="shared" si="52"/>
        <v>Contrapiso comum em argamassa estabilizada, nao aderido, espessura 6cm</v>
      </c>
      <c r="D1615" s="175" t="s">
        <v>175</v>
      </c>
      <c r="E1615" s="176" t="s">
        <v>13</v>
      </c>
      <c r="F1615" s="175"/>
      <c r="G1615" s="177" t="str">
        <f>IF(B1615="insumo",_xlfn.XLOOKUP($D1615,Insumos!$B$1:$B$764,Insumos!$D$1:$D$764),"")</f>
        <v/>
      </c>
      <c r="H1615" s="177" cm="1">
        <f t="array" ref="H1615">_xlfn.IFS(B1615="Serviço",SUMIFS(H1616:$H$3085,C1616:$C$3085,$C1615),B1615="Insumo",F1615*G1615,B1615="Etapa","")</f>
        <v>37.112280000000005</v>
      </c>
      <c r="I1615" s="178" t="s">
        <v>195</v>
      </c>
    </row>
    <row r="1616" spans="1:9" hidden="1" outlineLevel="2" x14ac:dyDescent="0.25">
      <c r="A1616" s="175">
        <f t="shared" si="53"/>
        <v>34</v>
      </c>
      <c r="B1616" s="175" t="s">
        <v>327</v>
      </c>
      <c r="C1616" s="175" t="str">
        <f t="shared" si="52"/>
        <v>Contrapiso comum em argamassa estabilizada, nao aderido, espessura 6cm</v>
      </c>
      <c r="D1616" s="175" t="s">
        <v>626</v>
      </c>
      <c r="E1616" s="176" t="str">
        <f>_xlfn.XLOOKUP(D1616,Insumos!$B$1:$B$764,Insumos!$C$1:$C$764)</f>
        <v>M3</v>
      </c>
      <c r="F1616" s="179">
        <v>6.6000000000000003E-2</v>
      </c>
      <c r="G1616" s="177">
        <f>IF(B1616="insumo",_xlfn.XLOOKUP($D1616,Insumos!$B$1:$B$764,Insumos!$D$1:$D$764),"")</f>
        <v>550</v>
      </c>
      <c r="H1616" s="177" cm="1">
        <f t="array" ref="H1616">_xlfn.IFS(B1616="Serviço",SUMIFS(H1617:$H$3085,C1617:$C$3085,$C1616),B1616="Insumo",F1616*G1616,B1616="Etapa","")</f>
        <v>36.300000000000004</v>
      </c>
      <c r="I1616" s="178"/>
    </row>
    <row r="1617" spans="1:9" hidden="1" outlineLevel="2" x14ac:dyDescent="0.25">
      <c r="A1617" s="175">
        <f t="shared" si="53"/>
        <v>37</v>
      </c>
      <c r="B1617" s="175" t="s">
        <v>327</v>
      </c>
      <c r="C1617" s="175" t="str">
        <f t="shared" si="52"/>
        <v>Contrapiso comum em argamassa estabilizada, nao aderido, espessura 6cm</v>
      </c>
      <c r="D1617" s="175" t="s">
        <v>671</v>
      </c>
      <c r="E1617" s="176" t="str">
        <f>_xlfn.XLOOKUP(D1617,Insumos!$B$1:$B$764,Insumos!$C$1:$C$764)</f>
        <v>L</v>
      </c>
      <c r="F1617" s="179">
        <v>4.2000000000000003E-2</v>
      </c>
      <c r="G1617" s="177">
        <f>IF(B1617="insumo",_xlfn.XLOOKUP($D1617,Insumos!$B$1:$B$764,Insumos!$D$1:$D$764),"")</f>
        <v>19.34</v>
      </c>
      <c r="H1617" s="177" cm="1">
        <f t="array" ref="H1617">_xlfn.IFS(B1617="Serviço",SUMIFS(H1618:$H$3085,C1618:$C$3085,$C1617),B1617="Insumo",F1617*G1617,B1617="Etapa","")</f>
        <v>0.81228</v>
      </c>
      <c r="I1617" s="178"/>
    </row>
    <row r="1618" spans="1:9" outlineLevel="1" collapsed="1" x14ac:dyDescent="0.25">
      <c r="A1618" s="175">
        <f t="shared" si="53"/>
        <v>1</v>
      </c>
      <c r="B1618" s="175" t="s">
        <v>109</v>
      </c>
      <c r="C1618" s="175" t="str">
        <f t="shared" si="52"/>
        <v>Contrapiso comum em argamassa estabilizada, nao aderido, espessura 7cm</v>
      </c>
      <c r="D1618" s="175" t="s">
        <v>1969</v>
      </c>
      <c r="E1618" s="176" t="s">
        <v>13</v>
      </c>
      <c r="F1618" s="175"/>
      <c r="G1618" s="177" t="str">
        <f>IF(B1618="insumo",_xlfn.XLOOKUP($D1618,Insumos!$B$1:$B$764,Insumos!$D$1:$D$764),"")</f>
        <v/>
      </c>
      <c r="H1618" s="177" cm="1">
        <f t="array" ref="H1618">_xlfn.IFS(B1618="Serviço",SUMIFS(H1619:$H$3085,C1619:$C$3085,$C1618),B1618="Insumo",F1618*G1618,B1618="Etapa","")</f>
        <v>49.821490000000004</v>
      </c>
      <c r="I1618" s="178" t="s">
        <v>195</v>
      </c>
    </row>
    <row r="1619" spans="1:9" hidden="1" outlineLevel="2" x14ac:dyDescent="0.25">
      <c r="A1619" s="175">
        <f t="shared" si="53"/>
        <v>34</v>
      </c>
      <c r="B1619" s="175" t="s">
        <v>327</v>
      </c>
      <c r="C1619" s="175" t="str">
        <f t="shared" si="52"/>
        <v>Contrapiso comum em argamassa estabilizada, nao aderido, espessura 7cm</v>
      </c>
      <c r="D1619" s="175" t="s">
        <v>626</v>
      </c>
      <c r="E1619" s="176" t="str">
        <f>_xlfn.XLOOKUP(D1619,Insumos!$B$1:$B$764,Insumos!$C$1:$C$764)</f>
        <v>M3</v>
      </c>
      <c r="F1619" s="179">
        <f>0.08*1.1</f>
        <v>8.8000000000000009E-2</v>
      </c>
      <c r="G1619" s="177">
        <f>IF(B1619="insumo",_xlfn.XLOOKUP($D1619,Insumos!$B$1:$B$764,Insumos!$D$1:$D$764),"")</f>
        <v>550</v>
      </c>
      <c r="H1619" s="177" cm="1">
        <f t="array" ref="H1619">_xlfn.IFS(B1619="Serviço",SUMIFS(H1620:$H$3085,C1620:$C$3085,$C1619),B1619="Insumo",F1619*G1619,B1619="Etapa","")</f>
        <v>48.400000000000006</v>
      </c>
      <c r="I1619" s="178"/>
    </row>
    <row r="1620" spans="1:9" hidden="1" outlineLevel="2" x14ac:dyDescent="0.25">
      <c r="A1620" s="175">
        <f t="shared" si="53"/>
        <v>37</v>
      </c>
      <c r="B1620" s="175" t="s">
        <v>327</v>
      </c>
      <c r="C1620" s="175" t="str">
        <f t="shared" si="52"/>
        <v>Contrapiso comum em argamassa estabilizada, nao aderido, espessura 7cm</v>
      </c>
      <c r="D1620" s="175" t="s">
        <v>671</v>
      </c>
      <c r="E1620" s="176" t="str">
        <f>_xlfn.XLOOKUP(D1620,Insumos!$B$1:$B$764,Insumos!$C$1:$C$764)</f>
        <v>L</v>
      </c>
      <c r="F1620" s="179">
        <f>0.021*7/2</f>
        <v>7.350000000000001E-2</v>
      </c>
      <c r="G1620" s="177">
        <f>IF(B1620="insumo",_xlfn.XLOOKUP($D1620,Insumos!$B$1:$B$764,Insumos!$D$1:$D$764),"")</f>
        <v>19.34</v>
      </c>
      <c r="H1620" s="177" cm="1">
        <f t="array" ref="H1620">_xlfn.IFS(B1620="Serviço",SUMIFS(H1621:$H$3085,C1621:$C$3085,$C1620),B1620="Insumo",F1620*G1620,B1620="Etapa","")</f>
        <v>1.4214900000000001</v>
      </c>
      <c r="I1620" s="178"/>
    </row>
    <row r="1621" spans="1:9" outlineLevel="1" collapsed="1" x14ac:dyDescent="0.25">
      <c r="A1621" s="175">
        <f t="shared" si="53"/>
        <v>1</v>
      </c>
      <c r="B1621" s="175" t="s">
        <v>109</v>
      </c>
      <c r="C1621" s="175" t="str">
        <f t="shared" si="52"/>
        <v>Contrapiso comum em argamassa estabilizada, nao aderido, espessura 8cm</v>
      </c>
      <c r="D1621" s="175" t="s">
        <v>716</v>
      </c>
      <c r="E1621" s="176" t="s">
        <v>13</v>
      </c>
      <c r="F1621" s="175"/>
      <c r="G1621" s="177" t="str">
        <f>IF(B1621="insumo",_xlfn.XLOOKUP($D1621,Insumos!$B$1:$B$764,Insumos!$D$1:$D$764),"")</f>
        <v/>
      </c>
      <c r="H1621" s="177" cm="1">
        <f t="array" ref="H1621">_xlfn.IFS(B1621="Serviço",SUMIFS(H1622:$H$3085,C1622:$C$3085,$C1621),B1621="Insumo",F1621*G1621,B1621="Etapa","")</f>
        <v>50.024560000000008</v>
      </c>
      <c r="I1621" s="178" t="s">
        <v>195</v>
      </c>
    </row>
    <row r="1622" spans="1:9" hidden="1" outlineLevel="2" x14ac:dyDescent="0.25">
      <c r="A1622" s="175">
        <f t="shared" si="53"/>
        <v>34</v>
      </c>
      <c r="B1622" s="175" t="s">
        <v>327</v>
      </c>
      <c r="C1622" s="175" t="str">
        <f t="shared" si="52"/>
        <v>Contrapiso comum em argamassa estabilizada, nao aderido, espessura 8cm</v>
      </c>
      <c r="D1622" s="175" t="s">
        <v>626</v>
      </c>
      <c r="E1622" s="176" t="str">
        <f>_xlfn.XLOOKUP(D1622,Insumos!$B$1:$B$764,Insumos!$C$1:$C$764)</f>
        <v>M3</v>
      </c>
      <c r="F1622" s="179">
        <f>0.08*1.1</f>
        <v>8.8000000000000009E-2</v>
      </c>
      <c r="G1622" s="177">
        <f>IF(B1622="insumo",_xlfn.XLOOKUP($D1622,Insumos!$B$1:$B$764,Insumos!$D$1:$D$764),"")</f>
        <v>550</v>
      </c>
      <c r="H1622" s="177" cm="1">
        <f t="array" ref="H1622">_xlfn.IFS(B1622="Serviço",SUMIFS(H1623:$H$3085,C1623:$C$3085,$C1622),B1622="Insumo",F1622*G1622,B1622="Etapa","")</f>
        <v>48.400000000000006</v>
      </c>
      <c r="I1622" s="178"/>
    </row>
    <row r="1623" spans="1:9" hidden="1" outlineLevel="2" x14ac:dyDescent="0.25">
      <c r="A1623" s="175">
        <f t="shared" si="53"/>
        <v>37</v>
      </c>
      <c r="B1623" s="175" t="s">
        <v>327</v>
      </c>
      <c r="C1623" s="175" t="str">
        <f t="shared" si="52"/>
        <v>Contrapiso comum em argamassa estabilizada, nao aderido, espessura 8cm</v>
      </c>
      <c r="D1623" s="175" t="s">
        <v>671</v>
      </c>
      <c r="E1623" s="176" t="str">
        <f>_xlfn.XLOOKUP(D1623,Insumos!$B$1:$B$764,Insumos!$C$1:$C$764)</f>
        <v>L</v>
      </c>
      <c r="F1623" s="179">
        <f>(0.021*0.8)/0.2</f>
        <v>8.4000000000000005E-2</v>
      </c>
      <c r="G1623" s="177">
        <f>IF(B1623="insumo",_xlfn.XLOOKUP($D1623,Insumos!$B$1:$B$764,Insumos!$D$1:$D$764),"")</f>
        <v>19.34</v>
      </c>
      <c r="H1623" s="177" cm="1">
        <f t="array" ref="H1623">_xlfn.IFS(B1623="Serviço",SUMIFS(H1624:$H$3085,C1624:$C$3085,$C1623),B1623="Insumo",F1623*G1623,B1623="Etapa","")</f>
        <v>1.62456</v>
      </c>
      <c r="I1623" s="178"/>
    </row>
    <row r="1624" spans="1:9" outlineLevel="1" collapsed="1" x14ac:dyDescent="0.25">
      <c r="A1624" s="175">
        <f t="shared" si="53"/>
        <v>1</v>
      </c>
      <c r="B1624" s="175" t="s">
        <v>109</v>
      </c>
      <c r="C1624" s="175" t="str">
        <f t="shared" si="52"/>
        <v>Contrapiso comum em argamassa estabilizada, nao aderido, espessura 10cm</v>
      </c>
      <c r="D1624" s="175" t="s">
        <v>717</v>
      </c>
      <c r="E1624" s="176" t="s">
        <v>13</v>
      </c>
      <c r="F1624" s="175"/>
      <c r="G1624" s="177" t="str">
        <f>IF(B1624="insumo",_xlfn.XLOOKUP($D1624,Insumos!$B$1:$B$764,Insumos!$D$1:$D$764),"")</f>
        <v/>
      </c>
      <c r="H1624" s="177" cm="1">
        <f t="array" ref="H1624">_xlfn.IFS(B1624="Serviço",SUMIFS(H1625:$H$3085,C1625:$C$3085,$C1624),B1624="Insumo",F1624*G1624,B1624="Etapa","")</f>
        <v>62.530699999999996</v>
      </c>
      <c r="I1624" s="178" t="s">
        <v>195</v>
      </c>
    </row>
    <row r="1625" spans="1:9" hidden="1" outlineLevel="2" x14ac:dyDescent="0.25">
      <c r="A1625" s="175">
        <f t="shared" si="53"/>
        <v>34</v>
      </c>
      <c r="B1625" s="175" t="s">
        <v>327</v>
      </c>
      <c r="C1625" s="175" t="str">
        <f t="shared" si="52"/>
        <v>Contrapiso comum em argamassa estabilizada, nao aderido, espessura 10cm</v>
      </c>
      <c r="D1625" s="175" t="s">
        <v>626</v>
      </c>
      <c r="E1625" s="176" t="str">
        <f>_xlfn.XLOOKUP(D1625,Insumos!$B$1:$B$764,Insumos!$C$1:$C$764)</f>
        <v>M3</v>
      </c>
      <c r="F1625" s="179">
        <f>(0.022*1)/0.2</f>
        <v>0.10999999999999999</v>
      </c>
      <c r="G1625" s="177">
        <f>IF(B1625="insumo",_xlfn.XLOOKUP($D1625,Insumos!$B$1:$B$764,Insumos!$D$1:$D$764),"")</f>
        <v>550</v>
      </c>
      <c r="H1625" s="177" cm="1">
        <f t="array" ref="H1625">_xlfn.IFS(B1625="Serviço",SUMIFS(H1626:$H$3085,C1626:$C$3085,$C1625),B1625="Insumo",F1625*G1625,B1625="Etapa","")</f>
        <v>60.499999999999993</v>
      </c>
      <c r="I1625" s="178"/>
    </row>
    <row r="1626" spans="1:9" hidden="1" outlineLevel="2" x14ac:dyDescent="0.25">
      <c r="A1626" s="175">
        <f t="shared" si="53"/>
        <v>37</v>
      </c>
      <c r="B1626" s="175" t="s">
        <v>327</v>
      </c>
      <c r="C1626" s="175" t="str">
        <f t="shared" si="52"/>
        <v>Contrapiso comum em argamassa estabilizada, nao aderido, espessura 10cm</v>
      </c>
      <c r="D1626" s="175" t="s">
        <v>671</v>
      </c>
      <c r="E1626" s="176" t="str">
        <f>_xlfn.XLOOKUP(D1626,Insumos!$B$1:$B$764,Insumos!$C$1:$C$764)</f>
        <v>L</v>
      </c>
      <c r="F1626" s="179">
        <f>(0.021*1)/0.2</f>
        <v>0.105</v>
      </c>
      <c r="G1626" s="177">
        <f>IF(B1626="insumo",_xlfn.XLOOKUP($D1626,Insumos!$B$1:$B$764,Insumos!$D$1:$D$764),"")</f>
        <v>19.34</v>
      </c>
      <c r="H1626" s="177" cm="1">
        <f t="array" ref="H1626">_xlfn.IFS(B1626="Serviço",SUMIFS(H1627:$H$3085,C1627:$C$3085,$C1626),B1626="Insumo",F1626*G1626,B1626="Etapa","")</f>
        <v>2.0306999999999999</v>
      </c>
      <c r="I1626" s="178"/>
    </row>
    <row r="1627" spans="1:9" outlineLevel="1" collapsed="1" x14ac:dyDescent="0.25">
      <c r="A1627" s="175">
        <f t="shared" si="53"/>
        <v>1</v>
      </c>
      <c r="B1627" s="175" t="s">
        <v>109</v>
      </c>
      <c r="C1627" s="175" t="str">
        <f t="shared" si="52"/>
        <v>Contrapiso comum em argamassa estabilizada, nao aderido, espessura 12cm</v>
      </c>
      <c r="D1627" s="175" t="s">
        <v>718</v>
      </c>
      <c r="E1627" s="176" t="s">
        <v>13</v>
      </c>
      <c r="F1627" s="175"/>
      <c r="G1627" s="177" t="str">
        <f>IF(B1627="insumo",_xlfn.XLOOKUP($D1627,Insumos!$B$1:$B$764,Insumos!$D$1:$D$764),"")</f>
        <v/>
      </c>
      <c r="H1627" s="177" cm="1">
        <f t="array" ref="H1627">_xlfn.IFS(B1627="Serviço",SUMIFS(H1628:$H$3085,C1628:$C$3085,$C1627),B1627="Insumo",F1627*G1627,B1627="Etapa","")</f>
        <v>75.036839999999998</v>
      </c>
      <c r="I1627" s="178" t="s">
        <v>195</v>
      </c>
    </row>
    <row r="1628" spans="1:9" hidden="1" outlineLevel="2" x14ac:dyDescent="0.25">
      <c r="A1628" s="175">
        <f t="shared" si="53"/>
        <v>34</v>
      </c>
      <c r="B1628" s="175" t="s">
        <v>327</v>
      </c>
      <c r="C1628" s="175" t="str">
        <f t="shared" si="52"/>
        <v>Contrapiso comum em argamassa estabilizada, nao aderido, espessura 12cm</v>
      </c>
      <c r="D1628" s="175" t="s">
        <v>626</v>
      </c>
      <c r="E1628" s="176" t="str">
        <f>_xlfn.XLOOKUP(D1628,Insumos!$B$1:$B$764,Insumos!$C$1:$C$764)</f>
        <v>M3</v>
      </c>
      <c r="F1628" s="179">
        <f>(0.022*1.2)/0.2</f>
        <v>0.13199999999999998</v>
      </c>
      <c r="G1628" s="177">
        <f>IF(B1628="insumo",_xlfn.XLOOKUP($D1628,Insumos!$B$1:$B$764,Insumos!$D$1:$D$764),"")</f>
        <v>550</v>
      </c>
      <c r="H1628" s="177" cm="1">
        <f t="array" ref="H1628">_xlfn.IFS(B1628="Serviço",SUMIFS(H1629:$H$3085,C1629:$C$3085,$C1628),B1628="Insumo",F1628*G1628,B1628="Etapa","")</f>
        <v>72.599999999999994</v>
      </c>
      <c r="I1628" s="178"/>
    </row>
    <row r="1629" spans="1:9" hidden="1" outlineLevel="2" x14ac:dyDescent="0.25">
      <c r="A1629" s="175">
        <f t="shared" si="53"/>
        <v>37</v>
      </c>
      <c r="B1629" s="175" t="s">
        <v>327</v>
      </c>
      <c r="C1629" s="175" t="str">
        <f t="shared" si="52"/>
        <v>Contrapiso comum em argamassa estabilizada, nao aderido, espessura 12cm</v>
      </c>
      <c r="D1629" s="175" t="s">
        <v>671</v>
      </c>
      <c r="E1629" s="176" t="str">
        <f>_xlfn.XLOOKUP(D1629,Insumos!$B$1:$B$764,Insumos!$C$1:$C$764)</f>
        <v>L</v>
      </c>
      <c r="F1629" s="179">
        <f>(0.021*1.2)/0.2</f>
        <v>0.126</v>
      </c>
      <c r="G1629" s="177">
        <f>IF(B1629="insumo",_xlfn.XLOOKUP($D1629,Insumos!$B$1:$B$764,Insumos!$D$1:$D$764),"")</f>
        <v>19.34</v>
      </c>
      <c r="H1629" s="177" cm="1">
        <f t="array" ref="H1629">_xlfn.IFS(B1629="Serviço",SUMIFS(H1630:$H$3085,C1630:$C$3085,$C1629),B1629="Insumo",F1629*G1629,B1629="Etapa","")</f>
        <v>2.4368400000000001</v>
      </c>
      <c r="I1629" s="178"/>
    </row>
    <row r="1630" spans="1:9" outlineLevel="1" collapsed="1" x14ac:dyDescent="0.25">
      <c r="A1630" s="175">
        <f t="shared" si="53"/>
        <v>1</v>
      </c>
      <c r="B1630" s="175" t="s">
        <v>109</v>
      </c>
      <c r="C1630" s="175" t="str">
        <f t="shared" si="52"/>
        <v>Contrapiso comum em argamassa estabilizada, nao aderido, espessura 13cm</v>
      </c>
      <c r="D1630" s="175" t="s">
        <v>719</v>
      </c>
      <c r="E1630" s="176" t="s">
        <v>13</v>
      </c>
      <c r="F1630" s="175"/>
      <c r="G1630" s="177" t="str">
        <f>IF(B1630="insumo",_xlfn.XLOOKUP($D1630,Insumos!$B$1:$B$764,Insumos!$D$1:$D$764),"")</f>
        <v/>
      </c>
      <c r="H1630" s="177" cm="1">
        <f t="array" ref="H1630">_xlfn.IFS(B1630="Serviço",SUMIFS(H1631:$H$3085,C1631:$C$3085,$C1630),B1630="Insumo",F1630*G1630,B1630="Etapa","")</f>
        <v>81.289909999999992</v>
      </c>
      <c r="I1630" s="178" t="s">
        <v>195</v>
      </c>
    </row>
    <row r="1631" spans="1:9" hidden="1" outlineLevel="2" x14ac:dyDescent="0.25">
      <c r="A1631" s="175">
        <f t="shared" si="53"/>
        <v>34</v>
      </c>
      <c r="B1631" s="175" t="s">
        <v>327</v>
      </c>
      <c r="C1631" s="175" t="str">
        <f t="shared" si="52"/>
        <v>Contrapiso comum em argamassa estabilizada, nao aderido, espessura 13cm</v>
      </c>
      <c r="D1631" s="175" t="s">
        <v>626</v>
      </c>
      <c r="E1631" s="176" t="str">
        <f>_xlfn.XLOOKUP(D1631,Insumos!$B$1:$B$764,Insumos!$C$1:$C$764)</f>
        <v>M3</v>
      </c>
      <c r="F1631" s="179">
        <f>(0.022*1.3)/0.2</f>
        <v>0.14299999999999999</v>
      </c>
      <c r="G1631" s="177">
        <f>IF(B1631="insumo",_xlfn.XLOOKUP($D1631,Insumos!$B$1:$B$764,Insumos!$D$1:$D$764),"")</f>
        <v>550</v>
      </c>
      <c r="H1631" s="177" cm="1">
        <f t="array" ref="H1631">_xlfn.IFS(B1631="Serviço",SUMIFS(H1632:$H$3085,C1632:$C$3085,$C1631),B1631="Insumo",F1631*G1631,B1631="Etapa","")</f>
        <v>78.649999999999991</v>
      </c>
      <c r="I1631" s="178"/>
    </row>
    <row r="1632" spans="1:9" hidden="1" outlineLevel="2" x14ac:dyDescent="0.25">
      <c r="A1632" s="175">
        <f t="shared" si="53"/>
        <v>37</v>
      </c>
      <c r="B1632" s="175" t="s">
        <v>327</v>
      </c>
      <c r="C1632" s="175" t="str">
        <f t="shared" ref="C1632:C1703" si="54">IF(B1632="serviço",D1632,C1631)</f>
        <v>Contrapiso comum em argamassa estabilizada, nao aderido, espessura 13cm</v>
      </c>
      <c r="D1632" s="175" t="s">
        <v>671</v>
      </c>
      <c r="E1632" s="176" t="str">
        <f>_xlfn.XLOOKUP(D1632,Insumos!$B$1:$B$764,Insumos!$C$1:$C$764)</f>
        <v>L</v>
      </c>
      <c r="F1632" s="179">
        <f>(0.021*1.3)/0.2</f>
        <v>0.13650000000000001</v>
      </c>
      <c r="G1632" s="177">
        <f>IF(B1632="insumo",_xlfn.XLOOKUP($D1632,Insumos!$B$1:$B$764,Insumos!$D$1:$D$764),"")</f>
        <v>19.34</v>
      </c>
      <c r="H1632" s="177" cm="1">
        <f t="array" ref="H1632">_xlfn.IFS(B1632="Serviço",SUMIFS(H1633:$H$3085,C1633:$C$3085,$C1632),B1632="Insumo",F1632*G1632,B1632="Etapa","")</f>
        <v>2.63991</v>
      </c>
      <c r="I1632" s="178"/>
    </row>
    <row r="1633" spans="1:9" outlineLevel="1" collapsed="1" x14ac:dyDescent="0.25">
      <c r="A1633" s="175">
        <f t="shared" si="53"/>
        <v>1</v>
      </c>
      <c r="B1633" s="175" t="s">
        <v>109</v>
      </c>
      <c r="C1633" s="175" t="str">
        <f t="shared" si="54"/>
        <v>Contrapiso comum em argamassa estabilizada, nao aderido, espessura 15cm</v>
      </c>
      <c r="D1633" s="175" t="s">
        <v>720</v>
      </c>
      <c r="E1633" s="176" t="s">
        <v>13</v>
      </c>
      <c r="F1633" s="175"/>
      <c r="G1633" s="177" t="str">
        <f>IF(B1633="insumo",_xlfn.XLOOKUP($D1633,Insumos!$B$1:$B$764,Insumos!$D$1:$D$764),"")</f>
        <v/>
      </c>
      <c r="H1633" s="177" cm="1">
        <f t="array" ref="H1633">_xlfn.IFS(B1633="Serviço",SUMIFS(H1634:$H$3085,C1634:$C$3085,$C1633),B1633="Insumo",F1633*G1633,B1633="Etapa","")</f>
        <v>96.646049999999988</v>
      </c>
      <c r="I1633" s="178" t="s">
        <v>195</v>
      </c>
    </row>
    <row r="1634" spans="1:9" hidden="1" outlineLevel="2" x14ac:dyDescent="0.25">
      <c r="A1634" s="175">
        <f t="shared" si="53"/>
        <v>34</v>
      </c>
      <c r="B1634" s="175" t="s">
        <v>327</v>
      </c>
      <c r="C1634" s="175" t="str">
        <f t="shared" si="54"/>
        <v>Contrapiso comum em argamassa estabilizada, nao aderido, espessura 15cm</v>
      </c>
      <c r="D1634" s="175" t="s">
        <v>626</v>
      </c>
      <c r="E1634" s="176" t="str">
        <f>_xlfn.XLOOKUP(D1634,Insumos!$B$1:$B$764,Insumos!$C$1:$C$764)</f>
        <v>M3</v>
      </c>
      <c r="F1634" s="179">
        <f>(0.022*1.5)/0.2</f>
        <v>0.16500000000000001</v>
      </c>
      <c r="G1634" s="177">
        <f>IF(B1634="insumo",_xlfn.XLOOKUP($D1634,Insumos!$B$1:$B$764,Insumos!$D$1:$D$764),"")</f>
        <v>550</v>
      </c>
      <c r="H1634" s="177" cm="1">
        <f t="array" ref="H1634">_xlfn.IFS(B1634="Serviço",SUMIFS(H1635:$H$3085,C1635:$C$3085,$C1634),B1634="Insumo",F1634*G1634,B1634="Etapa","")</f>
        <v>90.75</v>
      </c>
      <c r="I1634" s="178"/>
    </row>
    <row r="1635" spans="1:9" hidden="1" outlineLevel="2" x14ac:dyDescent="0.25">
      <c r="A1635" s="175">
        <f t="shared" si="53"/>
        <v>37</v>
      </c>
      <c r="B1635" s="175" t="s">
        <v>327</v>
      </c>
      <c r="C1635" s="175" t="str">
        <f t="shared" si="54"/>
        <v>Contrapiso comum em argamassa estabilizada, nao aderido, espessura 15cm</v>
      </c>
      <c r="D1635" s="175" t="s">
        <v>671</v>
      </c>
      <c r="E1635" s="176" t="str">
        <f>_xlfn.XLOOKUP(D1635,Insumos!$B$1:$B$764,Insumos!$C$1:$C$764)</f>
        <v>L</v>
      </c>
      <c r="F1635" s="179">
        <f>(0.021*1.5)/0.2</f>
        <v>0.1575</v>
      </c>
      <c r="G1635" s="177">
        <f>IF(B1635="insumo",_xlfn.XLOOKUP($D1635,Insumos!$B$1:$B$764,Insumos!$D$1:$D$764),"")</f>
        <v>19.34</v>
      </c>
      <c r="H1635" s="177" cm="1">
        <f t="array" ref="H1635">_xlfn.IFS(B1635="Serviço",SUMIFS(H1636:$H$3085,C1636:$C$3085,$C1635),B1635="Insumo",F1635*G1635,B1635="Etapa","")</f>
        <v>3.0460500000000001</v>
      </c>
      <c r="I1635" s="178"/>
    </row>
    <row r="1636" spans="1:9" hidden="1" outlineLevel="2" x14ac:dyDescent="0.25">
      <c r="A1636" s="175">
        <f t="shared" si="53"/>
        <v>39</v>
      </c>
      <c r="B1636" s="175" t="s">
        <v>327</v>
      </c>
      <c r="C1636" s="175" t="str">
        <f t="shared" si="54"/>
        <v>Contrapiso comum em argamassa estabilizada, nao aderido, espessura 15cm</v>
      </c>
      <c r="D1636" s="175" t="s">
        <v>396</v>
      </c>
      <c r="E1636" s="176" t="str">
        <f>_xlfn.XLOOKUP(D1636,Insumos!$B$1:$B$764,Insumos!$C$1:$C$764)</f>
        <v>KG</v>
      </c>
      <c r="F1636" s="179">
        <f>(0.5*1.5)/0.2</f>
        <v>3.75</v>
      </c>
      <c r="G1636" s="177">
        <f>IF(B1636="insumo",_xlfn.XLOOKUP($D1636,Insumos!$B$1:$B$764,Insumos!$D$1:$D$764),"")</f>
        <v>0.76</v>
      </c>
      <c r="H1636" s="177" cm="1">
        <f t="array" ref="H1636">_xlfn.IFS(B1636="Serviço",SUMIFS(H1637:$H$3085,C1637:$C$3085,$C1636),B1636="Insumo",F1636*G1636,B1636="Etapa","")</f>
        <v>2.85</v>
      </c>
      <c r="I1636" s="178"/>
    </row>
    <row r="1637" spans="1:9" outlineLevel="1" collapsed="1" x14ac:dyDescent="0.25">
      <c r="A1637" s="175">
        <f t="shared" si="53"/>
        <v>1</v>
      </c>
      <c r="B1637" s="175" t="s">
        <v>109</v>
      </c>
      <c r="C1637" s="175" t="str">
        <f t="shared" si="54"/>
        <v>Contrapiso comum em argamassa Ensacada virada em obra, espessura 5cm</v>
      </c>
      <c r="D1637" s="175" t="s">
        <v>721</v>
      </c>
      <c r="E1637" s="176" t="s">
        <v>13</v>
      </c>
      <c r="F1637" s="175"/>
      <c r="G1637" s="177" t="str">
        <f>IF(B1637="insumo",_xlfn.XLOOKUP($D1637,Insumos!$B$1:$B$764,Insumos!$D$1:$D$764),"")</f>
        <v/>
      </c>
      <c r="H1637" s="177" cm="1">
        <f t="array" ref="H1637">_xlfn.IFS(B1637="Serviço",SUMIFS(H1638:$H$3085,C1638:$C$3085,$C1637),B1637="Insumo",F1637*G1637,B1637="Etapa","")</f>
        <v>34.676900000000003</v>
      </c>
      <c r="I1637" s="178" t="s">
        <v>195</v>
      </c>
    </row>
    <row r="1638" spans="1:9" hidden="1" outlineLevel="2" x14ac:dyDescent="0.25">
      <c r="A1638" s="175">
        <f t="shared" si="53"/>
        <v>6</v>
      </c>
      <c r="B1638" s="175" t="s">
        <v>327</v>
      </c>
      <c r="C1638" s="175" t="str">
        <f t="shared" si="54"/>
        <v>Contrapiso comum em argamassa Ensacada virada em obra, espessura 5cm</v>
      </c>
      <c r="D1638" s="175" t="s">
        <v>722</v>
      </c>
      <c r="E1638" s="176" t="str">
        <f>_xlfn.XLOOKUP(D1638,Insumos!$B$1:$B$764,Insumos!$C$1:$C$764)</f>
        <v>KG</v>
      </c>
      <c r="F1638" s="179">
        <f>1.7*5</f>
        <v>8.5</v>
      </c>
      <c r="G1638" s="177">
        <f>IF(B1638="insumo",_xlfn.XLOOKUP($D1638,Insumos!$B$1:$B$764,Insumos!$D$1:$D$764),"")</f>
        <v>4</v>
      </c>
      <c r="H1638" s="177" cm="1">
        <f t="array" ref="H1638">_xlfn.IFS(B1638="Serviço",SUMIFS(H1639:$H$3085,C1639:$C$3085,$C1638),B1638="Insumo",F1638*G1638,B1638="Etapa","")</f>
        <v>34</v>
      </c>
      <c r="I1638" s="178"/>
    </row>
    <row r="1639" spans="1:9" hidden="1" outlineLevel="2" x14ac:dyDescent="0.25">
      <c r="A1639" s="175">
        <f t="shared" si="53"/>
        <v>37</v>
      </c>
      <c r="B1639" s="175" t="s">
        <v>327</v>
      </c>
      <c r="C1639" s="175" t="str">
        <f t="shared" si="54"/>
        <v>Contrapiso comum em argamassa Ensacada virada em obra, espessura 5cm</v>
      </c>
      <c r="D1639" s="175" t="s">
        <v>671</v>
      </c>
      <c r="E1639" s="176" t="str">
        <f>_xlfn.XLOOKUP(D1639,Insumos!$B$1:$B$764,Insumos!$C$1:$C$764)</f>
        <v>L</v>
      </c>
      <c r="F1639" s="179">
        <v>3.5000000000000003E-2</v>
      </c>
      <c r="G1639" s="177">
        <f>IF(B1639="insumo",_xlfn.XLOOKUP($D1639,Insumos!$B$1:$B$764,Insumos!$D$1:$D$764),"")</f>
        <v>19.34</v>
      </c>
      <c r="H1639" s="177" cm="1">
        <f t="array" ref="H1639">_xlfn.IFS(B1639="Serviço",SUMIFS(H1640:$H$3085,C1640:$C$3085,$C1639),B1639="Insumo",F1639*G1639,B1639="Etapa","")</f>
        <v>0.67690000000000006</v>
      </c>
      <c r="I1639" s="178"/>
    </row>
    <row r="1640" spans="1:9" outlineLevel="1" collapsed="1" x14ac:dyDescent="0.25">
      <c r="A1640" s="175">
        <f t="shared" si="53"/>
        <v>1</v>
      </c>
      <c r="B1640" s="175" t="s">
        <v>109</v>
      </c>
      <c r="C1640" s="175" t="str">
        <f t="shared" si="54"/>
        <v>Contrapiso comum em argamassa Ensacada virada em obra, espessura 8cm</v>
      </c>
      <c r="D1640" s="175" t="s">
        <v>723</v>
      </c>
      <c r="E1640" s="176" t="s">
        <v>13</v>
      </c>
      <c r="F1640" s="175"/>
      <c r="G1640" s="177" t="str">
        <f>IF(B1640="insumo",_xlfn.XLOOKUP($D1640,Insumos!$B$1:$B$764,Insumos!$D$1:$D$764),"")</f>
        <v/>
      </c>
      <c r="H1640" s="177" cm="1">
        <f t="array" ref="H1640">_xlfn.IFS(B1640="Serviço",SUMIFS(H1641:$H$3085,C1641:$C$3085,$C1640),B1640="Insumo",F1640*G1640,B1640="Etapa","")</f>
        <v>55.21228</v>
      </c>
      <c r="I1640" s="178" t="s">
        <v>195</v>
      </c>
    </row>
    <row r="1641" spans="1:9" hidden="1" outlineLevel="2" x14ac:dyDescent="0.25">
      <c r="A1641" s="175">
        <f t="shared" si="53"/>
        <v>6</v>
      </c>
      <c r="B1641" s="175" t="s">
        <v>327</v>
      </c>
      <c r="C1641" s="175" t="str">
        <f t="shared" si="54"/>
        <v>Contrapiso comum em argamassa Ensacada virada em obra, espessura 8cm</v>
      </c>
      <c r="D1641" s="175" t="s">
        <v>722</v>
      </c>
      <c r="E1641" s="176" t="str">
        <f>_xlfn.XLOOKUP(D1641,Insumos!$B$1:$B$764,Insumos!$C$1:$C$764)</f>
        <v>KG</v>
      </c>
      <c r="F1641" s="179">
        <f>1.7*8</f>
        <v>13.6</v>
      </c>
      <c r="G1641" s="177">
        <f>IF(B1641="insumo",_xlfn.XLOOKUP($D1641,Insumos!$B$1:$B$764,Insumos!$D$1:$D$764),"")</f>
        <v>4</v>
      </c>
      <c r="H1641" s="177" cm="1">
        <f t="array" ref="H1641">_xlfn.IFS(B1641="Serviço",SUMIFS(H1642:$H$3085,C1642:$C$3085,$C1641),B1641="Insumo",F1641*G1641,B1641="Etapa","")</f>
        <v>54.4</v>
      </c>
      <c r="I1641" s="178"/>
    </row>
    <row r="1642" spans="1:9" hidden="1" outlineLevel="2" x14ac:dyDescent="0.25">
      <c r="A1642" s="175">
        <f t="shared" si="53"/>
        <v>37</v>
      </c>
      <c r="B1642" s="175" t="s">
        <v>327</v>
      </c>
      <c r="C1642" s="175" t="str">
        <f t="shared" si="54"/>
        <v>Contrapiso comum em argamassa Ensacada virada em obra, espessura 8cm</v>
      </c>
      <c r="D1642" s="175" t="s">
        <v>671</v>
      </c>
      <c r="E1642" s="176" t="str">
        <f>_xlfn.XLOOKUP(D1642,Insumos!$B$1:$B$764,Insumos!$C$1:$C$764)</f>
        <v>L</v>
      </c>
      <c r="F1642" s="179">
        <v>4.2000000000000003E-2</v>
      </c>
      <c r="G1642" s="177">
        <f>IF(B1642="insumo",_xlfn.XLOOKUP($D1642,Insumos!$B$1:$B$764,Insumos!$D$1:$D$764),"")</f>
        <v>19.34</v>
      </c>
      <c r="H1642" s="177" cm="1">
        <f t="array" ref="H1642">_xlfn.IFS(B1642="Serviço",SUMIFS(H1643:$H$3085,C1643:$C$3085,$C1642),B1642="Insumo",F1642*G1642,B1642="Etapa","")</f>
        <v>0.81228</v>
      </c>
      <c r="I1642" s="178"/>
    </row>
    <row r="1643" spans="1:9" outlineLevel="1" collapsed="1" x14ac:dyDescent="0.25">
      <c r="A1643" s="175">
        <f t="shared" si="53"/>
        <v>1</v>
      </c>
      <c r="B1643" s="175" t="s">
        <v>109</v>
      </c>
      <c r="C1643" s="175" t="str">
        <f t="shared" si="54"/>
        <v>Contrapiso comum em argamassa Ensacada virada em obra, espessura 10cm</v>
      </c>
      <c r="D1643" s="175" t="s">
        <v>724</v>
      </c>
      <c r="E1643" s="176" t="s">
        <v>13</v>
      </c>
      <c r="F1643" s="175"/>
      <c r="G1643" s="177" t="str">
        <f>IF(B1643="insumo",_xlfn.XLOOKUP($D1643,Insumos!$B$1:$B$764,Insumos!$D$1:$D$764),"")</f>
        <v/>
      </c>
      <c r="H1643" s="177" cm="1">
        <f t="array" ref="H1643">_xlfn.IFS(B1643="Serviço",SUMIFS(H1644:$H$3085,C1644:$C$3085,$C1643),B1643="Insumo",F1643*G1643,B1643="Etapa","")</f>
        <v>69.624560000000002</v>
      </c>
      <c r="I1643" s="178" t="s">
        <v>195</v>
      </c>
    </row>
    <row r="1644" spans="1:9" hidden="1" outlineLevel="2" x14ac:dyDescent="0.25">
      <c r="A1644" s="175">
        <f t="shared" si="53"/>
        <v>6</v>
      </c>
      <c r="B1644" s="175" t="s">
        <v>327</v>
      </c>
      <c r="C1644" s="175" t="str">
        <f t="shared" si="54"/>
        <v>Contrapiso comum em argamassa Ensacada virada em obra, espessura 10cm</v>
      </c>
      <c r="D1644" s="175" t="s">
        <v>722</v>
      </c>
      <c r="E1644" s="176" t="str">
        <f>_xlfn.XLOOKUP(D1644,Insumos!$B$1:$B$764,Insumos!$C$1:$C$764)</f>
        <v>KG</v>
      </c>
      <c r="F1644" s="179">
        <f>1.7*10</f>
        <v>17</v>
      </c>
      <c r="G1644" s="177">
        <f>IF(B1644="insumo",_xlfn.XLOOKUP($D1644,Insumos!$B$1:$B$764,Insumos!$D$1:$D$764),"")</f>
        <v>4</v>
      </c>
      <c r="H1644" s="177" cm="1">
        <f t="array" ref="H1644">_xlfn.IFS(B1644="Serviço",SUMIFS(H1645:$H$3085,C1645:$C$3085,$C1644),B1644="Insumo",F1644*G1644,B1644="Etapa","")</f>
        <v>68</v>
      </c>
      <c r="I1644" s="178"/>
    </row>
    <row r="1645" spans="1:9" hidden="1" outlineLevel="2" x14ac:dyDescent="0.25">
      <c r="A1645" s="175">
        <f t="shared" si="53"/>
        <v>37</v>
      </c>
      <c r="B1645" s="175" t="s">
        <v>327</v>
      </c>
      <c r="C1645" s="175" t="str">
        <f t="shared" si="54"/>
        <v>Contrapiso comum em argamassa Ensacada virada em obra, espessura 10cm</v>
      </c>
      <c r="D1645" s="175" t="s">
        <v>671</v>
      </c>
      <c r="E1645" s="176" t="str">
        <f>_xlfn.XLOOKUP(D1645,Insumos!$B$1:$B$764,Insumos!$C$1:$C$764)</f>
        <v>L</v>
      </c>
      <c r="F1645" s="179">
        <f>(0.021*0.8)/0.2</f>
        <v>8.4000000000000005E-2</v>
      </c>
      <c r="G1645" s="177">
        <f>IF(B1645="insumo",_xlfn.XLOOKUP($D1645,Insumos!$B$1:$B$764,Insumos!$D$1:$D$764),"")</f>
        <v>19.34</v>
      </c>
      <c r="H1645" s="177" cm="1">
        <f t="array" ref="H1645">_xlfn.IFS(B1645="Serviço",SUMIFS(H1646:$H$3085,C1646:$C$3085,$C1645),B1645="Insumo",F1645*G1645,B1645="Etapa","")</f>
        <v>1.62456</v>
      </c>
      <c r="I1645" s="178"/>
    </row>
    <row r="1646" spans="1:9" outlineLevel="1" collapsed="1" x14ac:dyDescent="0.25">
      <c r="A1646" s="175">
        <f t="shared" si="53"/>
        <v>1</v>
      </c>
      <c r="B1646" s="175" t="s">
        <v>109</v>
      </c>
      <c r="C1646" s="175" t="str">
        <f t="shared" si="54"/>
        <v>Contrapiso comum em argamassa Ensacada virada em obra, espessura 12cm</v>
      </c>
      <c r="D1646" s="175" t="s">
        <v>725</v>
      </c>
      <c r="E1646" s="176" t="s">
        <v>13</v>
      </c>
      <c r="F1646" s="175"/>
      <c r="G1646" s="177" t="str">
        <f>IF(B1646="insumo",_xlfn.XLOOKUP($D1646,Insumos!$B$1:$B$764,Insumos!$D$1:$D$764),"")</f>
        <v/>
      </c>
      <c r="H1646" s="177" cm="1">
        <f t="array" ref="H1646">_xlfn.IFS(B1646="Serviço",SUMIFS(H1647:$H$3085,C1647:$C$3085,$C1646),B1646="Insumo",F1646*G1646,B1646="Etapa","")</f>
        <v>83.63069999999999</v>
      </c>
      <c r="I1646" s="178" t="s">
        <v>195</v>
      </c>
    </row>
    <row r="1647" spans="1:9" hidden="1" outlineLevel="2" x14ac:dyDescent="0.25">
      <c r="A1647" s="175">
        <f t="shared" si="53"/>
        <v>6</v>
      </c>
      <c r="B1647" s="175" t="s">
        <v>327</v>
      </c>
      <c r="C1647" s="175" t="str">
        <f t="shared" si="54"/>
        <v>Contrapiso comum em argamassa Ensacada virada em obra, espessura 12cm</v>
      </c>
      <c r="D1647" s="175" t="s">
        <v>722</v>
      </c>
      <c r="E1647" s="176" t="str">
        <f>_xlfn.XLOOKUP(D1647,Insumos!$B$1:$B$764,Insumos!$C$1:$C$764)</f>
        <v>KG</v>
      </c>
      <c r="F1647" s="179">
        <f>1.7*12</f>
        <v>20.399999999999999</v>
      </c>
      <c r="G1647" s="177">
        <f>IF(B1647="insumo",_xlfn.XLOOKUP($D1647,Insumos!$B$1:$B$764,Insumos!$D$1:$D$764),"")</f>
        <v>4</v>
      </c>
      <c r="H1647" s="177" cm="1">
        <f t="array" ref="H1647">_xlfn.IFS(B1647="Serviço",SUMIFS(H1648:$H$3085,C1648:$C$3085,$C1647),B1647="Insumo",F1647*G1647,B1647="Etapa","")</f>
        <v>81.599999999999994</v>
      </c>
      <c r="I1647" s="178"/>
    </row>
    <row r="1648" spans="1:9" hidden="1" outlineLevel="2" x14ac:dyDescent="0.25">
      <c r="A1648" s="175">
        <f t="shared" si="53"/>
        <v>37</v>
      </c>
      <c r="B1648" s="175" t="s">
        <v>327</v>
      </c>
      <c r="C1648" s="175" t="str">
        <f t="shared" si="54"/>
        <v>Contrapiso comum em argamassa Ensacada virada em obra, espessura 12cm</v>
      </c>
      <c r="D1648" s="175" t="s">
        <v>671</v>
      </c>
      <c r="E1648" s="176" t="str">
        <f>_xlfn.XLOOKUP(D1648,Insumos!$B$1:$B$764,Insumos!$C$1:$C$764)</f>
        <v>L</v>
      </c>
      <c r="F1648" s="179">
        <f>(0.021*1)/0.2</f>
        <v>0.105</v>
      </c>
      <c r="G1648" s="177">
        <f>IF(B1648="insumo",_xlfn.XLOOKUP($D1648,Insumos!$B$1:$B$764,Insumos!$D$1:$D$764),"")</f>
        <v>19.34</v>
      </c>
      <c r="H1648" s="177" cm="1">
        <f t="array" ref="H1648">_xlfn.IFS(B1648="Serviço",SUMIFS(H1649:$H$3085,C1649:$C$3085,$C1648),B1648="Insumo",F1648*G1648,B1648="Etapa","")</f>
        <v>2.0306999999999999</v>
      </c>
      <c r="I1648" s="178"/>
    </row>
    <row r="1649" spans="1:10" outlineLevel="1" collapsed="1" x14ac:dyDescent="0.25">
      <c r="A1649" s="175">
        <f t="shared" si="53"/>
        <v>1</v>
      </c>
      <c r="B1649" s="175" t="s">
        <v>109</v>
      </c>
      <c r="C1649" s="175" t="str">
        <f t="shared" si="54"/>
        <v>Contrapiso comum em argamassa Ensacada virada em obra, espessura 13cm</v>
      </c>
      <c r="D1649" s="175" t="s">
        <v>726</v>
      </c>
      <c r="E1649" s="176" t="s">
        <v>13</v>
      </c>
      <c r="F1649" s="175"/>
      <c r="G1649" s="177" t="str">
        <f>IF(B1649="insumo",_xlfn.XLOOKUP($D1649,Insumos!$B$1:$B$764,Insumos!$D$1:$D$764),"")</f>
        <v/>
      </c>
      <c r="H1649" s="177" cm="1">
        <f t="array" ref="H1649">_xlfn.IFS(B1649="Serviço",SUMIFS(H1650:$H$3085,C1650:$C$3085,$C1649),B1649="Insumo",F1649*G1649,B1649="Etapa","")</f>
        <v>90.836839999999995</v>
      </c>
      <c r="I1649" s="178" t="s">
        <v>195</v>
      </c>
    </row>
    <row r="1650" spans="1:10" hidden="1" outlineLevel="2" x14ac:dyDescent="0.25">
      <c r="A1650" s="175">
        <f t="shared" si="53"/>
        <v>6</v>
      </c>
      <c r="B1650" s="175" t="s">
        <v>327</v>
      </c>
      <c r="C1650" s="175" t="str">
        <f t="shared" si="54"/>
        <v>Contrapiso comum em argamassa Ensacada virada em obra, espessura 13cm</v>
      </c>
      <c r="D1650" s="175" t="s">
        <v>722</v>
      </c>
      <c r="E1650" s="176" t="str">
        <f>_xlfn.XLOOKUP(D1650,Insumos!$B$1:$B$764,Insumos!$C$1:$C$764)</f>
        <v>KG</v>
      </c>
      <c r="F1650" s="179">
        <f>1.7*13</f>
        <v>22.099999999999998</v>
      </c>
      <c r="G1650" s="177">
        <f>IF(B1650="insumo",_xlfn.XLOOKUP($D1650,Insumos!$B$1:$B$764,Insumos!$D$1:$D$764),"")</f>
        <v>4</v>
      </c>
      <c r="H1650" s="177" cm="1">
        <f t="array" ref="H1650">_xlfn.IFS(B1650="Serviço",SUMIFS(H1651:$H$3085,C1651:$C$3085,$C1650),B1650="Insumo",F1650*G1650,B1650="Etapa","")</f>
        <v>88.399999999999991</v>
      </c>
      <c r="I1650" s="178"/>
    </row>
    <row r="1651" spans="1:10" hidden="1" outlineLevel="2" x14ac:dyDescent="0.25">
      <c r="A1651" s="175">
        <f t="shared" si="53"/>
        <v>37</v>
      </c>
      <c r="B1651" s="175" t="s">
        <v>327</v>
      </c>
      <c r="C1651" s="175" t="str">
        <f t="shared" si="54"/>
        <v>Contrapiso comum em argamassa Ensacada virada em obra, espessura 13cm</v>
      </c>
      <c r="D1651" s="175" t="s">
        <v>671</v>
      </c>
      <c r="E1651" s="176" t="str">
        <f>_xlfn.XLOOKUP(D1651,Insumos!$B$1:$B$764,Insumos!$C$1:$C$764)</f>
        <v>L</v>
      </c>
      <c r="F1651" s="179">
        <f>(0.021*1.2)/0.2</f>
        <v>0.126</v>
      </c>
      <c r="G1651" s="177">
        <f>IF(B1651="insumo",_xlfn.XLOOKUP($D1651,Insumos!$B$1:$B$764,Insumos!$D$1:$D$764),"")</f>
        <v>19.34</v>
      </c>
      <c r="H1651" s="177" cm="1">
        <f t="array" ref="H1651">_xlfn.IFS(B1651="Serviço",SUMIFS(H1652:$H$3085,C1652:$C$3085,$C1651),B1651="Insumo",F1651*G1651,B1651="Etapa","")</f>
        <v>2.4368400000000001</v>
      </c>
      <c r="I1651" s="178"/>
    </row>
    <row r="1652" spans="1:10" outlineLevel="1" collapsed="1" x14ac:dyDescent="0.25">
      <c r="A1652" s="175">
        <f t="shared" si="53"/>
        <v>1</v>
      </c>
      <c r="B1652" s="175" t="s">
        <v>109</v>
      </c>
      <c r="C1652" s="175" t="str">
        <f t="shared" si="54"/>
        <v>Contrapiso comum em argamassa Ensacada virada em obra, espessura 15cm</v>
      </c>
      <c r="D1652" s="175" t="s">
        <v>727</v>
      </c>
      <c r="E1652" s="176" t="s">
        <v>13</v>
      </c>
      <c r="F1652" s="175"/>
      <c r="G1652" s="177" t="str">
        <f>IF(B1652="insumo",_xlfn.XLOOKUP($D1652,Insumos!$B$1:$B$764,Insumos!$D$1:$D$764),"")</f>
        <v/>
      </c>
      <c r="H1652" s="177" cm="1">
        <f t="array" ref="H1652">_xlfn.IFS(B1652="Serviço",SUMIFS(H1653:$H$3085,C1653:$C$3085,$C1652),B1652="Insumo",F1652*G1652,B1652="Etapa","")</f>
        <v>104.63991</v>
      </c>
      <c r="I1652" s="178" t="s">
        <v>195</v>
      </c>
    </row>
    <row r="1653" spans="1:10" hidden="1" outlineLevel="2" x14ac:dyDescent="0.25">
      <c r="A1653" s="175">
        <f t="shared" si="53"/>
        <v>6</v>
      </c>
      <c r="B1653" s="175" t="s">
        <v>327</v>
      </c>
      <c r="C1653" s="175" t="str">
        <f t="shared" si="54"/>
        <v>Contrapiso comum em argamassa Ensacada virada em obra, espessura 15cm</v>
      </c>
      <c r="D1653" s="175" t="s">
        <v>722</v>
      </c>
      <c r="E1653" s="176" t="str">
        <f>_xlfn.XLOOKUP(D1653,Insumos!$B$1:$B$764,Insumos!$C$1:$C$764)</f>
        <v>KG</v>
      </c>
      <c r="F1653" s="179">
        <f>1.7*15</f>
        <v>25.5</v>
      </c>
      <c r="G1653" s="177">
        <f>IF(B1653="insumo",_xlfn.XLOOKUP($D1653,Insumos!$B$1:$B$764,Insumos!$D$1:$D$764),"")</f>
        <v>4</v>
      </c>
      <c r="H1653" s="177" cm="1">
        <f t="array" ref="H1653">_xlfn.IFS(B1653="Serviço",SUMIFS(H1654:$H$3085,C1654:$C$3085,$C1653),B1653="Insumo",F1653*G1653,B1653="Etapa","")</f>
        <v>102</v>
      </c>
      <c r="I1653" s="178"/>
    </row>
    <row r="1654" spans="1:10" hidden="1" outlineLevel="2" x14ac:dyDescent="0.25">
      <c r="A1654" s="175">
        <f t="shared" si="53"/>
        <v>37</v>
      </c>
      <c r="B1654" s="175" t="s">
        <v>327</v>
      </c>
      <c r="C1654" s="175" t="str">
        <f t="shared" si="54"/>
        <v>Contrapiso comum em argamassa Ensacada virada em obra, espessura 15cm</v>
      </c>
      <c r="D1654" s="175" t="s">
        <v>671</v>
      </c>
      <c r="E1654" s="176" t="str">
        <f>_xlfn.XLOOKUP(D1654,Insumos!$B$1:$B$764,Insumos!$C$1:$C$764)</f>
        <v>L</v>
      </c>
      <c r="F1654" s="179">
        <f>(0.021*1.3)/0.2</f>
        <v>0.13650000000000001</v>
      </c>
      <c r="G1654" s="177">
        <f>IF(B1654="insumo",_xlfn.XLOOKUP($D1654,Insumos!$B$1:$B$764,Insumos!$D$1:$D$764),"")</f>
        <v>19.34</v>
      </c>
      <c r="H1654" s="177" cm="1">
        <f t="array" ref="H1654">_xlfn.IFS(B1654="Serviço",SUMIFS(H1663:$H$3085,C1663:$C$3085,$C1654),B1654="Insumo",F1654*G1654,B1654="Etapa","")</f>
        <v>2.63991</v>
      </c>
      <c r="I1654" s="178"/>
    </row>
    <row r="1655" spans="1:10" outlineLevel="1" x14ac:dyDescent="0.25">
      <c r="A1655" s="175">
        <f t="shared" si="53"/>
        <v>1</v>
      </c>
      <c r="B1655" s="175" t="s">
        <v>109</v>
      </c>
      <c r="C1655" s="175" t="str">
        <f t="shared" si="54"/>
        <v>Manta acústica “SoundSoft Ondulada” da Aubicon esp. 17/8mm”</v>
      </c>
      <c r="D1655" s="175" t="s">
        <v>6968</v>
      </c>
      <c r="E1655" s="176" t="s">
        <v>13</v>
      </c>
      <c r="F1655" s="175"/>
      <c r="G1655" s="177" t="str">
        <f>IF(B1655="insumo",_xlfn.XLOOKUP($D1655,Insumos!$B$1:$B$764,Insumos!$D$1:$D$764),"")</f>
        <v/>
      </c>
      <c r="H1655" s="177" cm="1">
        <f t="array" ref="H1655">_xlfn.IFS(B1655="Serviço",SUMIFS(H1656:$H$3085,C1656:$C$3085,$C1655),B1655="Insumo",F1655*G1655,B1655="Etapa","")</f>
        <v>143</v>
      </c>
      <c r="I1655" s="178" t="s">
        <v>195</v>
      </c>
    </row>
    <row r="1656" spans="1:10" outlineLevel="2" x14ac:dyDescent="0.25">
      <c r="A1656" s="175">
        <f t="shared" si="53"/>
        <v>1</v>
      </c>
      <c r="B1656" s="175" t="s">
        <v>327</v>
      </c>
      <c r="C1656" s="175" t="str">
        <f t="shared" si="54"/>
        <v>Manta acústica “SoundSoft Ondulada” da Aubicon esp. 17/8mm”</v>
      </c>
      <c r="D1656" s="175" t="s">
        <v>6968</v>
      </c>
      <c r="E1656" s="176" t="str">
        <f>_xlfn.XLOOKUP(D1656,Insumos!$B$1:$B$764,Insumos!$C$1:$C$764)</f>
        <v>M2</v>
      </c>
      <c r="F1656" s="179">
        <v>1.1000000000000001</v>
      </c>
      <c r="G1656" s="177">
        <f>IF(B1656="insumo",_xlfn.XLOOKUP($D1656,Insumos!$B$1:$B$764,Insumos!$D$1:$D$764),"")</f>
        <v>130</v>
      </c>
      <c r="H1656" s="177" cm="1">
        <f t="array" ref="H1656">_xlfn.IFS(B1656="Serviço",SUMIFS(H1659:$H$3085,C1659:$C$3085,$C1656),B1656="Insumo",F1656*G1656,B1656="Etapa","")</f>
        <v>143</v>
      </c>
      <c r="I1656" s="178"/>
      <c r="J1656" s="168">
        <f>809/13</f>
        <v>62.230769230769234</v>
      </c>
    </row>
    <row r="1657" spans="1:10" outlineLevel="1" x14ac:dyDescent="0.25">
      <c r="A1657" s="175">
        <f t="shared" si="53"/>
        <v>1</v>
      </c>
      <c r="B1657" s="175" t="s">
        <v>109</v>
      </c>
      <c r="C1657" s="175" t="str">
        <f t="shared" si="54"/>
        <v>manta acústica Ebios de fibras de polipropileno esp. 10mm</v>
      </c>
      <c r="D1657" s="175" t="s">
        <v>6972</v>
      </c>
      <c r="E1657" s="176" t="s">
        <v>13</v>
      </c>
      <c r="F1657" s="175"/>
      <c r="G1657" s="177" t="str">
        <f>IF(B1657="insumo",_xlfn.XLOOKUP($D1657,Insumos!$B$1:$B$764,Insumos!$D$1:$D$764),"")</f>
        <v/>
      </c>
      <c r="H1657" s="177" cm="1">
        <f t="array" ref="H1657">_xlfn.IFS(B1657="Serviço",SUMIFS(H1658:$H$3085,C1658:$C$3085,$C1657),B1657="Insumo",F1657*G1657,B1657="Etapa","")</f>
        <v>33.611111111111114</v>
      </c>
      <c r="I1657" s="178" t="s">
        <v>195</v>
      </c>
    </row>
    <row r="1658" spans="1:10" outlineLevel="2" x14ac:dyDescent="0.25">
      <c r="A1658" s="175">
        <f t="shared" si="53"/>
        <v>2</v>
      </c>
      <c r="B1658" s="175" t="s">
        <v>327</v>
      </c>
      <c r="C1658" s="175" t="str">
        <f t="shared" si="54"/>
        <v>manta acústica Ebios de fibras de polipropileno esp. 10mm</v>
      </c>
      <c r="D1658" s="175" t="s">
        <v>1744</v>
      </c>
      <c r="E1658" s="176" t="str">
        <f>_xlfn.XLOOKUP(D1658,Insumos!$B$1:$B$764,Insumos!$C$1:$C$764)</f>
        <v>M2</v>
      </c>
      <c r="F1658" s="179">
        <v>1.1000000000000001</v>
      </c>
      <c r="G1658" s="177">
        <f>IF(B1658="insumo",_xlfn.XLOOKUP($D1658,Insumos!$B$1:$B$764,Insumos!$D$1:$D$764),"")</f>
        <v>30.555555555555557</v>
      </c>
      <c r="H1658" s="177" cm="1">
        <f t="array" ref="H1658">_xlfn.IFS(B1658="Serviço",SUMIFS(H1659:$H$3085,C1659:$C$3085,$C1658),B1658="Insumo",F1658*G1658,B1658="Etapa","")</f>
        <v>33.611111111111114</v>
      </c>
      <c r="I1658" s="178"/>
    </row>
    <row r="1659" spans="1:10" outlineLevel="1" x14ac:dyDescent="0.25">
      <c r="A1659" s="175">
        <f t="shared" si="53"/>
        <v>1</v>
      </c>
      <c r="B1659" s="175" t="s">
        <v>109</v>
      </c>
      <c r="C1659" s="175" t="str">
        <f t="shared" si="54"/>
        <v>Manta acústica “SoundSoft laje zero” da Aubicon com polimero acrilico aderido da Baucryl</v>
      </c>
      <c r="D1659" s="175" t="s">
        <v>6969</v>
      </c>
      <c r="E1659" s="176" t="s">
        <v>13</v>
      </c>
      <c r="F1659" s="175"/>
      <c r="G1659" s="177" t="str">
        <f>IF(B1659="insumo",_xlfn.XLOOKUP($D1659,Insumos!$B$1:$B$764,Insumos!$D$1:$D$764),"")</f>
        <v/>
      </c>
      <c r="H1659" s="177" cm="1">
        <f t="array" ref="H1659">_xlfn.IFS(B1659="Serviço",SUMIFS(H1660:$H$3085,C1660:$C$3085,$C1659),B1659="Insumo",F1659*G1659,B1659="Etapa","")</f>
        <v>242.00000000000003</v>
      </c>
      <c r="I1659" s="178" t="s">
        <v>195</v>
      </c>
    </row>
    <row r="1660" spans="1:10" outlineLevel="2" x14ac:dyDescent="0.25">
      <c r="A1660" s="175">
        <f t="shared" si="53"/>
        <v>1</v>
      </c>
      <c r="B1660" s="175" t="s">
        <v>327</v>
      </c>
      <c r="C1660" s="175" t="str">
        <f t="shared" si="54"/>
        <v>Manta acústica “SoundSoft laje zero” da Aubicon com polimero acrilico aderido da Baucryl</v>
      </c>
      <c r="D1660" s="175" t="s">
        <v>6969</v>
      </c>
      <c r="E1660" s="176" t="str">
        <f>_xlfn.XLOOKUP(D1660,Insumos!$B$1:$B$764,Insumos!$C$1:$C$764)</f>
        <v>M2</v>
      </c>
      <c r="F1660" s="179">
        <v>1.1000000000000001</v>
      </c>
      <c r="G1660" s="177">
        <f>IF(B1660="insumo",_xlfn.XLOOKUP($D1660,Insumos!$B$1:$B$764,Insumos!$D$1:$D$764),"")</f>
        <v>220</v>
      </c>
      <c r="H1660" s="177" cm="1">
        <f t="array" ref="H1660">_xlfn.IFS(B1660="Serviço",SUMIFS(H1661:$H$3085,C1661:$C$3085,$C1660),B1660="Insumo",F1660*G1660,B1660="Etapa","")</f>
        <v>242.00000000000003</v>
      </c>
      <c r="I1660" s="178"/>
    </row>
    <row r="1661" spans="1:10" outlineLevel="1" x14ac:dyDescent="0.25">
      <c r="A1661" s="175">
        <f t="shared" si="53"/>
        <v>1</v>
      </c>
      <c r="B1661" s="175" t="s">
        <v>109</v>
      </c>
      <c r="C1661" s="175" t="str">
        <f t="shared" si="54"/>
        <v>Tratamento acustico da sylomer da getzner esp. 50mm</v>
      </c>
      <c r="D1661" s="175" t="s">
        <v>6971</v>
      </c>
      <c r="E1661" s="176" t="s">
        <v>13</v>
      </c>
      <c r="F1661" s="175"/>
      <c r="G1661" s="177" t="str">
        <f>IF(B1661="insumo",_xlfn.XLOOKUP($D1661,Insumos!$B$1:$B$764,Insumos!$D$1:$D$764),"")</f>
        <v/>
      </c>
      <c r="H1661" s="177" cm="1">
        <f t="array" ref="H1661">_xlfn.IFS(B1661="Serviço",SUMIFS(H1662:$H$3085,C1662:$C$3085,$C1661),B1661="Insumo",F1661*G1661,B1661="Etapa","")</f>
        <v>1320</v>
      </c>
      <c r="I1661" s="178" t="s">
        <v>195</v>
      </c>
    </row>
    <row r="1662" spans="1:10" outlineLevel="2" x14ac:dyDescent="0.25">
      <c r="A1662" s="175">
        <f t="shared" si="53"/>
        <v>1</v>
      </c>
      <c r="B1662" s="175" t="s">
        <v>327</v>
      </c>
      <c r="C1662" s="175" t="str">
        <f t="shared" si="54"/>
        <v>Tratamento acustico da sylomer da getzner esp. 50mm</v>
      </c>
      <c r="D1662" s="175" t="s">
        <v>6971</v>
      </c>
      <c r="E1662" s="176" t="str">
        <f>_xlfn.XLOOKUP(D1662,Insumos!$B$1:$B$764,Insumos!$C$1:$C$764)</f>
        <v>M2</v>
      </c>
      <c r="F1662" s="179">
        <v>1.1000000000000001</v>
      </c>
      <c r="G1662" s="177">
        <f>IF(B1662="insumo",_xlfn.XLOOKUP($D1662,Insumos!$B$1:$B$764,Insumos!$D$1:$D$764),"")</f>
        <v>1200</v>
      </c>
      <c r="H1662" s="177" cm="1">
        <f t="array" ref="H1662">_xlfn.IFS(B1662="Serviço",SUMIFS(H1663:$H$3085,C1663:$C$3085,$C1662),B1662="Insumo",F1662*G1662,B1662="Etapa","")</f>
        <v>1320</v>
      </c>
      <c r="I1662" s="178"/>
    </row>
    <row r="1663" spans="1:10" outlineLevel="1" x14ac:dyDescent="0.25">
      <c r="A1663" s="175">
        <f t="shared" si="53"/>
        <v>1</v>
      </c>
      <c r="B1663" s="175" t="s">
        <v>109</v>
      </c>
      <c r="C1663" s="175" t="str">
        <f t="shared" si="54"/>
        <v>Acústica para Contrapiso com malha de aço</v>
      </c>
      <c r="D1663" s="175" t="s">
        <v>728</v>
      </c>
      <c r="E1663" s="176" t="s">
        <v>13</v>
      </c>
      <c r="F1663" s="175"/>
      <c r="G1663" s="177" t="str">
        <f>IF(B1663="insumo",_xlfn.XLOOKUP($D1663,Insumos!$B$1:$B$764,Insumos!$D$1:$D$764),"")</f>
        <v/>
      </c>
      <c r="H1663" s="177" cm="1">
        <f t="array" ref="H1663">_xlfn.IFS(B1663="Serviço",SUMIFS(H1664:$H$3085,C1664:$C$3085,$C1663),B1663="Insumo",F1663*G1663,B1663="Etapa","")</f>
        <v>26.585210000000004</v>
      </c>
      <c r="I1663" s="178" t="s">
        <v>195</v>
      </c>
    </row>
    <row r="1664" spans="1:10" outlineLevel="2" x14ac:dyDescent="0.25">
      <c r="A1664" s="175">
        <f t="shared" si="53"/>
        <v>1</v>
      </c>
      <c r="B1664" s="175" t="s">
        <v>327</v>
      </c>
      <c r="C1664" s="175" t="str">
        <f t="shared" si="54"/>
        <v>Acústica para Contrapiso com malha de aço</v>
      </c>
      <c r="D1664" s="175" t="s">
        <v>729</v>
      </c>
      <c r="E1664" s="176" t="str">
        <f>_xlfn.XLOOKUP(D1664,Insumos!$B$1:$B$764,Insumos!$C$1:$C$764)</f>
        <v>L</v>
      </c>
      <c r="F1664" s="179">
        <v>1.4350000000000001</v>
      </c>
      <c r="G1664" s="177">
        <f>IF(B1664="insumo",_xlfn.XLOOKUP($D1664,Insumos!$B$1:$B$764,Insumos!$D$1:$D$764),"")</f>
        <v>7.16</v>
      </c>
      <c r="H1664" s="177" cm="1">
        <f t="array" ref="H1664">_xlfn.IFS(B1664="Serviço",SUMIFS(H1665:$H$3085,C1665:$C$3085,$C1664),B1664="Insumo",F1664*G1664,B1664="Etapa","")</f>
        <v>10.274600000000001</v>
      </c>
      <c r="I1664" s="178"/>
    </row>
    <row r="1665" spans="1:9" outlineLevel="2" x14ac:dyDescent="0.25">
      <c r="A1665" s="175">
        <f t="shared" si="53"/>
        <v>3</v>
      </c>
      <c r="B1665" s="175" t="s">
        <v>327</v>
      </c>
      <c r="C1665" s="175" t="str">
        <f t="shared" si="54"/>
        <v>Acústica para Contrapiso com malha de aço</v>
      </c>
      <c r="D1665" s="175" t="s">
        <v>627</v>
      </c>
      <c r="E1665" s="176" t="str">
        <f>_xlfn.XLOOKUP(D1665,Insumos!$B$1:$B$764,Insumos!$C$1:$C$764)</f>
        <v>M2</v>
      </c>
      <c r="F1665" s="179">
        <v>1.143</v>
      </c>
      <c r="G1665" s="177">
        <f>IF(B1665="insumo",_xlfn.XLOOKUP($D1665,Insumos!$B$1:$B$764,Insumos!$D$1:$D$764),"")</f>
        <v>14.27</v>
      </c>
      <c r="H1665" s="177" cm="1">
        <f t="array" ref="H1665">_xlfn.IFS(B1665="Serviço",SUMIFS(H1666:$H$3085,C1666:$C$3085,$C1665),B1665="Insumo",F1665*G1665,B1665="Etapa","")</f>
        <v>16.31061</v>
      </c>
      <c r="I1665" s="178"/>
    </row>
    <row r="1666" spans="1:9" outlineLevel="1" x14ac:dyDescent="0.25">
      <c r="A1666" s="175">
        <f t="shared" ref="A1666:A1729" si="55">COUNTIFS($D$2:$D$3085,D1666,$B$2:$B$3085,B1666)</f>
        <v>1</v>
      </c>
      <c r="B1666" s="175" t="s">
        <v>109</v>
      </c>
      <c r="C1666" s="175" t="str">
        <f t="shared" si="54"/>
        <v>Acústica para Contrapiso com malha de aço e manta polipropileno</v>
      </c>
      <c r="D1666" s="175" t="s">
        <v>1743</v>
      </c>
      <c r="E1666" s="176" t="s">
        <v>13</v>
      </c>
      <c r="F1666" s="175"/>
      <c r="G1666" s="177" t="str">
        <f>IF(B1666="insumo",_xlfn.XLOOKUP($D1666,Insumos!$B$1:$B$764,Insumos!$D$1:$D$764),"")</f>
        <v/>
      </c>
      <c r="H1666" s="177" cm="1">
        <f t="array" ref="H1666">_xlfn.IFS(B1666="Serviço",SUMIFS(H1667:$H$3085,C1667:$C$3085,$C1666),B1666="Insumo",F1666*G1666,B1666="Etapa","")</f>
        <v>49.921721111111111</v>
      </c>
      <c r="I1666" s="178" t="s">
        <v>195</v>
      </c>
    </row>
    <row r="1667" spans="1:9" outlineLevel="2" x14ac:dyDescent="0.25">
      <c r="A1667" s="175">
        <f t="shared" si="55"/>
        <v>2</v>
      </c>
      <c r="B1667" s="175" t="s">
        <v>327</v>
      </c>
      <c r="C1667" s="175" t="str">
        <f t="shared" si="54"/>
        <v>Acústica para Contrapiso com malha de aço e manta polipropileno</v>
      </c>
      <c r="D1667" s="175" t="s">
        <v>1744</v>
      </c>
      <c r="E1667" s="176" t="str">
        <f>_xlfn.XLOOKUP(D1667,Insumos!$B$1:$B$764,Insumos!$C$1:$C$764)</f>
        <v>M2</v>
      </c>
      <c r="F1667" s="179">
        <v>1.1000000000000001</v>
      </c>
      <c r="G1667" s="177">
        <f>IF(B1667="insumo",_xlfn.XLOOKUP($D1667,Insumos!$B$1:$B$764,Insumos!$D$1:$D$764),"")</f>
        <v>30.555555555555557</v>
      </c>
      <c r="H1667" s="177" cm="1">
        <f t="array" ref="H1667">_xlfn.IFS(B1667="Serviço",SUMIFS(H1668:$H$3085,C1668:$C$3085,$C1667),B1667="Insumo",F1667*G1667,B1667="Etapa","")</f>
        <v>33.611111111111114</v>
      </c>
      <c r="I1667" s="178"/>
    </row>
    <row r="1668" spans="1:9" outlineLevel="2" x14ac:dyDescent="0.25">
      <c r="A1668" s="175">
        <f t="shared" si="55"/>
        <v>3</v>
      </c>
      <c r="B1668" s="175" t="s">
        <v>327</v>
      </c>
      <c r="C1668" s="175" t="str">
        <f t="shared" si="54"/>
        <v>Acústica para Contrapiso com malha de aço e manta polipropileno</v>
      </c>
      <c r="D1668" s="175" t="s">
        <v>627</v>
      </c>
      <c r="E1668" s="176" t="str">
        <f>_xlfn.XLOOKUP(D1668,Insumos!$B$1:$B$764,Insumos!$C$1:$C$764)</f>
        <v>M2</v>
      </c>
      <c r="F1668" s="179">
        <v>1.143</v>
      </c>
      <c r="G1668" s="177">
        <f>IF(B1668="insumo",_xlfn.XLOOKUP($D1668,Insumos!$B$1:$B$764,Insumos!$D$1:$D$764),"")</f>
        <v>14.27</v>
      </c>
      <c r="H1668" s="177" cm="1">
        <f t="array" ref="H1668">_xlfn.IFS(B1668="Serviço",SUMIFS(H1669:$H$3085,C1669:$C$3085,$C1668),B1668="Insumo",F1668*G1668,B1668="Etapa","")</f>
        <v>16.31061</v>
      </c>
      <c r="I1668" s="178"/>
    </row>
    <row r="1669" spans="1:9" outlineLevel="1" collapsed="1" x14ac:dyDescent="0.25">
      <c r="A1669" s="175">
        <f t="shared" si="55"/>
        <v>1</v>
      </c>
      <c r="B1669" s="175" t="s">
        <v>109</v>
      </c>
      <c r="C1669" s="175" t="str">
        <f t="shared" si="54"/>
        <v>Acústica para Contrapiso anti-impacto</v>
      </c>
      <c r="D1669" s="175" t="s">
        <v>730</v>
      </c>
      <c r="E1669" s="176" t="s">
        <v>13</v>
      </c>
      <c r="F1669" s="175"/>
      <c r="G1669" s="177" t="str">
        <f>IF(B1669="insumo",_xlfn.XLOOKUP($D1669,Insumos!$B$1:$B$764,Insumos!$D$1:$D$764),"")</f>
        <v/>
      </c>
      <c r="H1669" s="177" cm="1">
        <f t="array" ref="H1669">_xlfn.IFS(B1669="Serviço",SUMIFS(H1670:$H$3085,C1670:$C$3085,$C1669),B1669="Insumo",F1669*G1669,B1669="Etapa","")</f>
        <v>38.118383333333334</v>
      </c>
      <c r="I1669" s="178" t="s">
        <v>195</v>
      </c>
    </row>
    <row r="1670" spans="1:9" hidden="1" outlineLevel="2" x14ac:dyDescent="0.25">
      <c r="A1670" s="175">
        <f t="shared" si="55"/>
        <v>1</v>
      </c>
      <c r="B1670" s="175" t="s">
        <v>327</v>
      </c>
      <c r="C1670" s="175" t="str">
        <f t="shared" si="54"/>
        <v>Acústica para Contrapiso anti-impacto</v>
      </c>
      <c r="D1670" s="175" t="s">
        <v>731</v>
      </c>
      <c r="E1670" s="176" t="str">
        <f>_xlfn.XLOOKUP(D1670,Insumos!$B$1:$B$764,Insumos!$C$1:$C$764)</f>
        <v>L</v>
      </c>
      <c r="F1670" s="179">
        <v>1.4350000000000001</v>
      </c>
      <c r="G1670" s="177">
        <f>IF(B1670="insumo",_xlfn.XLOOKUP($D1670,Insumos!$B$1:$B$764,Insumos!$D$1:$D$764),"")</f>
        <v>26.563333333333333</v>
      </c>
      <c r="H1670" s="177" cm="1">
        <f t="array" ref="H1670">_xlfn.IFS(B1670="Serviço",SUMIFS(H1671:$H$3085,C1671:$C$3085,$C1670),B1670="Insumo",F1670*G1670,B1670="Etapa","")</f>
        <v>38.118383333333334</v>
      </c>
      <c r="I1670" s="178"/>
    </row>
    <row r="1671" spans="1:9" outlineLevel="1" collapsed="1" x14ac:dyDescent="0.25">
      <c r="A1671" s="175">
        <f t="shared" si="55"/>
        <v>1</v>
      </c>
      <c r="B1671" s="175" t="s">
        <v>109</v>
      </c>
      <c r="C1671" s="175" t="str">
        <f t="shared" si="54"/>
        <v>Regularização de Piso 0,50cm - Autonivelado</v>
      </c>
      <c r="D1671" s="175" t="s">
        <v>732</v>
      </c>
      <c r="E1671" s="176" t="s">
        <v>13</v>
      </c>
      <c r="F1671" s="175"/>
      <c r="G1671" s="177" t="str">
        <f>IF(B1671="insumo",_xlfn.XLOOKUP($D1671,Insumos!$B$1:$B$764,Insumos!$D$1:$D$764),"")</f>
        <v/>
      </c>
      <c r="H1671" s="177" cm="1">
        <f t="array" ref="H1671">_xlfn.IFS(B1671="Serviço",SUMIFS(H1672:$H$3085,C1672:$C$3085,$C1671),B1671="Insumo",F1671*G1671,B1671="Etapa","")</f>
        <v>12.442690000000002</v>
      </c>
      <c r="I1671" s="178" t="s">
        <v>195</v>
      </c>
    </row>
    <row r="1672" spans="1:9" hidden="1" outlineLevel="2" x14ac:dyDescent="0.25">
      <c r="A1672" s="175">
        <f t="shared" si="55"/>
        <v>34</v>
      </c>
      <c r="B1672" s="175" t="s">
        <v>327</v>
      </c>
      <c r="C1672" s="175" t="str">
        <f t="shared" si="54"/>
        <v>Regularização de Piso 0,50cm - Autonivelado</v>
      </c>
      <c r="D1672" s="175" t="s">
        <v>626</v>
      </c>
      <c r="E1672" s="176" t="str">
        <f>_xlfn.XLOOKUP(D1672,Insumos!$B$1:$B$764,Insumos!$C$1:$C$764)</f>
        <v>M3</v>
      </c>
      <c r="F1672" s="179">
        <v>5.5000000000000005E-3</v>
      </c>
      <c r="G1672" s="177">
        <f>IF(B1672="insumo",_xlfn.XLOOKUP($D1672,Insumos!$B$1:$B$764,Insumos!$D$1:$D$764),"")</f>
        <v>550</v>
      </c>
      <c r="H1672" s="177" cm="1">
        <f t="array" ref="H1672">_xlfn.IFS(B1672="Serviço",SUMIFS(H1673:$H$3085,C1673:$C$3085,$C1672),B1672="Insumo",F1672*G1672,B1672="Etapa","")</f>
        <v>3.0250000000000004</v>
      </c>
      <c r="I1672" s="178"/>
    </row>
    <row r="1673" spans="1:9" hidden="1" outlineLevel="2" x14ac:dyDescent="0.25">
      <c r="A1673" s="175">
        <f t="shared" si="55"/>
        <v>37</v>
      </c>
      <c r="B1673" s="175" t="s">
        <v>327</v>
      </c>
      <c r="C1673" s="175" t="str">
        <f t="shared" si="54"/>
        <v>Regularização de Piso 0,50cm - Autonivelado</v>
      </c>
      <c r="D1673" s="175" t="s">
        <v>671</v>
      </c>
      <c r="E1673" s="176" t="str">
        <f>_xlfn.XLOOKUP(D1673,Insumos!$B$1:$B$764,Insumos!$C$1:$C$764)</f>
        <v>L</v>
      </c>
      <c r="F1673" s="179">
        <v>3.5000000000000005E-3</v>
      </c>
      <c r="G1673" s="177">
        <f>IF(B1673="insumo",_xlfn.XLOOKUP($D1673,Insumos!$B$1:$B$764,Insumos!$D$1:$D$764),"")</f>
        <v>19.34</v>
      </c>
      <c r="H1673" s="177" cm="1">
        <f t="array" ref="H1673">_xlfn.IFS(B1673="Serviço",SUMIFS(H1674:$H$3085,C1674:$C$3085,$C1673),B1673="Insumo",F1673*G1673,B1673="Etapa","")</f>
        <v>6.7690000000000014E-2</v>
      </c>
      <c r="I1673" s="178"/>
    </row>
    <row r="1674" spans="1:9" hidden="1" outlineLevel="2" x14ac:dyDescent="0.25">
      <c r="A1674" s="175">
        <f t="shared" si="55"/>
        <v>6</v>
      </c>
      <c r="B1674" s="175" t="s">
        <v>327</v>
      </c>
      <c r="C1674" s="175" t="str">
        <f t="shared" si="54"/>
        <v>Regularização de Piso 0,50cm - Autonivelado</v>
      </c>
      <c r="D1674" s="175" t="s">
        <v>713</v>
      </c>
      <c r="E1674" s="176" t="str">
        <f>_xlfn.XLOOKUP(D1674,Insumos!$B$1:$B$764,Insumos!$C$1:$C$764)</f>
        <v>KG</v>
      </c>
      <c r="F1674" s="179">
        <v>2.2000000000000002</v>
      </c>
      <c r="G1674" s="177">
        <f>IF(B1674="insumo",_xlfn.XLOOKUP($D1674,Insumos!$B$1:$B$764,Insumos!$D$1:$D$764),"")</f>
        <v>4.25</v>
      </c>
      <c r="H1674" s="177" cm="1">
        <f t="array" ref="H1674">_xlfn.IFS(B1674="Serviço",SUMIFS(H1675:$H$3085,C1675:$C$3085,$C1674),B1674="Insumo",F1674*G1674,B1674="Etapa","")</f>
        <v>9.3500000000000014</v>
      </c>
      <c r="I1674" s="178"/>
    </row>
    <row r="1675" spans="1:9" outlineLevel="1" collapsed="1" x14ac:dyDescent="0.25">
      <c r="A1675" s="175">
        <f t="shared" si="55"/>
        <v>1</v>
      </c>
      <c r="B1675" s="175" t="s">
        <v>109</v>
      </c>
      <c r="C1675" s="175" t="str">
        <f t="shared" si="54"/>
        <v xml:space="preserve">Regularização de Piso 0,50 cm </v>
      </c>
      <c r="D1675" s="175" t="s">
        <v>239</v>
      </c>
      <c r="E1675" s="176" t="s">
        <v>13</v>
      </c>
      <c r="F1675" s="175"/>
      <c r="G1675" s="177" t="str">
        <f>IF(B1675="insumo",_xlfn.XLOOKUP($D1675,Insumos!$B$1:$B$764,Insumos!$D$1:$D$764),"")</f>
        <v/>
      </c>
      <c r="H1675" s="177" cm="1">
        <f t="array" ref="H1675">_xlfn.IFS(B1675="Serviço",SUMIFS(H1676:$H$3085,C1676:$C$3085,$C1675),B1675="Insumo",F1675*G1675,B1675="Etapa","")</f>
        <v>3.1560233333333336</v>
      </c>
      <c r="I1675" s="178" t="s">
        <v>195</v>
      </c>
    </row>
    <row r="1676" spans="1:9" hidden="1" outlineLevel="2" x14ac:dyDescent="0.25">
      <c r="A1676" s="175">
        <f t="shared" si="55"/>
        <v>34</v>
      </c>
      <c r="B1676" s="175" t="s">
        <v>327</v>
      </c>
      <c r="C1676" s="175" t="str">
        <f t="shared" si="54"/>
        <v xml:space="preserve">Regularização de Piso 0,50 cm </v>
      </c>
      <c r="D1676" s="175" t="s">
        <v>626</v>
      </c>
      <c r="E1676" s="176" t="str">
        <f>_xlfn.XLOOKUP(D1676,Insumos!$B$1:$B$764,Insumos!$C$1:$C$764)</f>
        <v>M3</v>
      </c>
      <c r="F1676" s="179">
        <v>5.5000000000000005E-3</v>
      </c>
      <c r="G1676" s="177">
        <f>IF(B1676="insumo",_xlfn.XLOOKUP($D1676,Insumos!$B$1:$B$764,Insumos!$D$1:$D$764),"")</f>
        <v>550</v>
      </c>
      <c r="H1676" s="177" cm="1">
        <f t="array" ref="H1676">_xlfn.IFS(B1676="Serviço",SUMIFS(H1677:$H$3085,C1677:$C$3085,$C1676),B1676="Insumo",F1676*G1676,B1676="Etapa","")</f>
        <v>3.0250000000000004</v>
      </c>
      <c r="I1676" s="178"/>
    </row>
    <row r="1677" spans="1:9" hidden="1" outlineLevel="2" x14ac:dyDescent="0.25">
      <c r="A1677" s="175">
        <f t="shared" si="55"/>
        <v>37</v>
      </c>
      <c r="B1677" s="175" t="s">
        <v>327</v>
      </c>
      <c r="C1677" s="175" t="str">
        <f t="shared" si="54"/>
        <v xml:space="preserve">Regularização de Piso 0,50 cm </v>
      </c>
      <c r="D1677" s="175" t="s">
        <v>671</v>
      </c>
      <c r="E1677" s="176" t="str">
        <f>_xlfn.XLOOKUP(D1677,Insumos!$B$1:$B$764,Insumos!$C$1:$C$764)</f>
        <v>L</v>
      </c>
      <c r="F1677" s="179">
        <v>3.5000000000000005E-3</v>
      </c>
      <c r="G1677" s="177">
        <f>IF(B1677="insumo",_xlfn.XLOOKUP($D1677,Insumos!$B$1:$B$764,Insumos!$D$1:$D$764),"")</f>
        <v>19.34</v>
      </c>
      <c r="H1677" s="177" cm="1">
        <f t="array" ref="H1677">_xlfn.IFS(B1677="Serviço",SUMIFS(H1678:$H$3085,C1678:$C$3085,$C1677),B1677="Insumo",F1677*G1677,B1677="Etapa","")</f>
        <v>6.7690000000000014E-2</v>
      </c>
      <c r="I1677" s="178"/>
    </row>
    <row r="1678" spans="1:9" hidden="1" outlineLevel="2" x14ac:dyDescent="0.25">
      <c r="A1678" s="175">
        <f t="shared" si="55"/>
        <v>39</v>
      </c>
      <c r="B1678" s="175" t="s">
        <v>327</v>
      </c>
      <c r="C1678" s="175" t="str">
        <f t="shared" si="54"/>
        <v xml:space="preserve">Regularização de Piso 0,50 cm </v>
      </c>
      <c r="D1678" s="175" t="s">
        <v>396</v>
      </c>
      <c r="E1678" s="176" t="str">
        <f>_xlfn.XLOOKUP(D1678,Insumos!$B$1:$B$764,Insumos!$C$1:$C$764)</f>
        <v>KG</v>
      </c>
      <c r="F1678" s="179">
        <v>8.3333333333333343E-2</v>
      </c>
      <c r="G1678" s="177">
        <f>IF(B1678="insumo",_xlfn.XLOOKUP($D1678,Insumos!$B$1:$B$764,Insumos!$D$1:$D$764),"")</f>
        <v>0.76</v>
      </c>
      <c r="H1678" s="177" cm="1">
        <f t="array" ref="H1678">_xlfn.IFS(B1678="Serviço",SUMIFS(H1679:$H$3085,C1679:$C$3085,$C1678),B1678="Insumo",F1678*G1678,B1678="Etapa","")</f>
        <v>6.3333333333333339E-2</v>
      </c>
      <c r="I1678" s="178"/>
    </row>
    <row r="1679" spans="1:9" outlineLevel="1" collapsed="1" x14ac:dyDescent="0.25">
      <c r="A1679" s="175">
        <f t="shared" si="55"/>
        <v>1</v>
      </c>
      <c r="B1679" s="175" t="s">
        <v>109</v>
      </c>
      <c r="C1679" s="175" t="str">
        <f t="shared" si="54"/>
        <v xml:space="preserve">Regularização de Piso 1,00 cm </v>
      </c>
      <c r="D1679" s="175" t="s">
        <v>733</v>
      </c>
      <c r="E1679" s="176" t="s">
        <v>13</v>
      </c>
      <c r="F1679" s="175"/>
      <c r="G1679" s="177" t="str">
        <f>IF(B1679="insumo",_xlfn.XLOOKUP($D1679,Insumos!$B$1:$B$764,Insumos!$D$1:$D$764),"")</f>
        <v/>
      </c>
      <c r="H1679" s="177" cm="1">
        <f t="array" ref="H1679">_xlfn.IFS(B1679="Serviço",SUMIFS(H1680:$H$3085,C1680:$C$3085,$C1679),B1679="Insumo",F1679*G1679,B1679="Etapa","")</f>
        <v>6.3120466666666672</v>
      </c>
      <c r="I1679" s="178" t="s">
        <v>195</v>
      </c>
    </row>
    <row r="1680" spans="1:9" hidden="1" outlineLevel="2" x14ac:dyDescent="0.25">
      <c r="A1680" s="175">
        <f t="shared" si="55"/>
        <v>34</v>
      </c>
      <c r="B1680" s="175" t="s">
        <v>327</v>
      </c>
      <c r="C1680" s="175" t="str">
        <f t="shared" si="54"/>
        <v xml:space="preserve">Regularização de Piso 1,00 cm </v>
      </c>
      <c r="D1680" s="175" t="s">
        <v>626</v>
      </c>
      <c r="E1680" s="176" t="str">
        <f>_xlfn.XLOOKUP(D1680,Insumos!$B$1:$B$764,Insumos!$C$1:$C$764)</f>
        <v>M3</v>
      </c>
      <c r="F1680" s="179">
        <v>1.1000000000000001E-2</v>
      </c>
      <c r="G1680" s="177">
        <f>IF(B1680="insumo",_xlfn.XLOOKUP($D1680,Insumos!$B$1:$B$764,Insumos!$D$1:$D$764),"")</f>
        <v>550</v>
      </c>
      <c r="H1680" s="177" cm="1">
        <f t="array" ref="H1680">_xlfn.IFS(B1680="Serviço",SUMIFS(H1681:$H$3085,C1681:$C$3085,$C1680),B1680="Insumo",F1680*G1680,B1680="Etapa","")</f>
        <v>6.0500000000000007</v>
      </c>
      <c r="I1680" s="178"/>
    </row>
    <row r="1681" spans="1:9" hidden="1" outlineLevel="2" x14ac:dyDescent="0.25">
      <c r="A1681" s="175">
        <f t="shared" si="55"/>
        <v>37</v>
      </c>
      <c r="B1681" s="175" t="s">
        <v>327</v>
      </c>
      <c r="C1681" s="175" t="str">
        <f t="shared" si="54"/>
        <v xml:space="preserve">Regularização de Piso 1,00 cm </v>
      </c>
      <c r="D1681" s="175" t="s">
        <v>671</v>
      </c>
      <c r="E1681" s="176" t="str">
        <f>_xlfn.XLOOKUP(D1681,Insumos!$B$1:$B$764,Insumos!$C$1:$C$764)</f>
        <v>L</v>
      </c>
      <c r="F1681" s="179">
        <v>7.000000000000001E-3</v>
      </c>
      <c r="G1681" s="177">
        <f>IF(B1681="insumo",_xlfn.XLOOKUP($D1681,Insumos!$B$1:$B$764,Insumos!$D$1:$D$764),"")</f>
        <v>19.34</v>
      </c>
      <c r="H1681" s="177" cm="1">
        <f t="array" ref="H1681">_xlfn.IFS(B1681="Serviço",SUMIFS(H1682:$H$3085,C1682:$C$3085,$C1681),B1681="Insumo",F1681*G1681,B1681="Etapa","")</f>
        <v>0.13538000000000003</v>
      </c>
      <c r="I1681" s="178"/>
    </row>
    <row r="1682" spans="1:9" hidden="1" outlineLevel="2" x14ac:dyDescent="0.25">
      <c r="A1682" s="175">
        <f t="shared" si="55"/>
        <v>39</v>
      </c>
      <c r="B1682" s="175" t="s">
        <v>327</v>
      </c>
      <c r="C1682" s="175" t="str">
        <f t="shared" si="54"/>
        <v xml:space="preserve">Regularização de Piso 1,00 cm </v>
      </c>
      <c r="D1682" s="175" t="s">
        <v>396</v>
      </c>
      <c r="E1682" s="176" t="str">
        <f>_xlfn.XLOOKUP(D1682,Insumos!$B$1:$B$764,Insumos!$C$1:$C$764)</f>
        <v>KG</v>
      </c>
      <c r="F1682" s="179">
        <v>0.16666666666666669</v>
      </c>
      <c r="G1682" s="177">
        <f>IF(B1682="insumo",_xlfn.XLOOKUP($D1682,Insumos!$B$1:$B$764,Insumos!$D$1:$D$764),"")</f>
        <v>0.76</v>
      </c>
      <c r="H1682" s="177" cm="1">
        <f t="array" ref="H1682">_xlfn.IFS(B1682="Serviço",SUMIFS(H1683:$H$3085,C1683:$C$3085,$C1682),B1682="Insumo",F1682*G1682,B1682="Etapa","")</f>
        <v>0.12666666666666668</v>
      </c>
      <c r="I1682" s="178"/>
    </row>
    <row r="1683" spans="1:9" outlineLevel="1" collapsed="1" x14ac:dyDescent="0.25">
      <c r="A1683" s="175">
        <f t="shared" si="55"/>
        <v>1</v>
      </c>
      <c r="B1683" s="175" t="s">
        <v>109</v>
      </c>
      <c r="C1683" s="175" t="str">
        <f t="shared" si="54"/>
        <v xml:space="preserve">Regularização de Piso 1,50 cm </v>
      </c>
      <c r="D1683" s="175" t="s">
        <v>734</v>
      </c>
      <c r="E1683" s="176" t="s">
        <v>13</v>
      </c>
      <c r="F1683" s="175"/>
      <c r="G1683" s="177" t="str">
        <f>IF(B1683="insumo",_xlfn.XLOOKUP($D1683,Insumos!$B$1:$B$764,Insumos!$D$1:$D$764),"")</f>
        <v/>
      </c>
      <c r="H1683" s="177" cm="1">
        <f t="array" ref="H1683">_xlfn.IFS(B1683="Serviço",SUMIFS(H1684:$H$3085,C1684:$C$3085,$C1683),B1683="Insumo",F1683*G1683,B1683="Etapa","")</f>
        <v>9.4680700000000009</v>
      </c>
      <c r="I1683" s="178" t="s">
        <v>195</v>
      </c>
    </row>
    <row r="1684" spans="1:9" hidden="1" outlineLevel="2" x14ac:dyDescent="0.25">
      <c r="A1684" s="175">
        <f t="shared" si="55"/>
        <v>34</v>
      </c>
      <c r="B1684" s="175" t="s">
        <v>327</v>
      </c>
      <c r="C1684" s="175" t="str">
        <f t="shared" si="54"/>
        <v xml:space="preserve">Regularização de Piso 1,50 cm </v>
      </c>
      <c r="D1684" s="175" t="s">
        <v>626</v>
      </c>
      <c r="E1684" s="176" t="str">
        <f>_xlfn.XLOOKUP(D1684,Insumos!$B$1:$B$764,Insumos!$C$1:$C$764)</f>
        <v>M3</v>
      </c>
      <c r="F1684" s="179">
        <v>1.6500000000000001E-2</v>
      </c>
      <c r="G1684" s="177">
        <f>IF(B1684="insumo",_xlfn.XLOOKUP($D1684,Insumos!$B$1:$B$764,Insumos!$D$1:$D$764),"")</f>
        <v>550</v>
      </c>
      <c r="H1684" s="177" cm="1">
        <f t="array" ref="H1684">_xlfn.IFS(B1684="Serviço",SUMIFS(H1685:$H$3085,C1685:$C$3085,$C1684),B1684="Insumo",F1684*G1684,B1684="Etapa","")</f>
        <v>9.0750000000000011</v>
      </c>
      <c r="I1684" s="178"/>
    </row>
    <row r="1685" spans="1:9" hidden="1" outlineLevel="2" x14ac:dyDescent="0.25">
      <c r="A1685" s="175">
        <f t="shared" si="55"/>
        <v>37</v>
      </c>
      <c r="B1685" s="175" t="s">
        <v>327</v>
      </c>
      <c r="C1685" s="175" t="str">
        <f t="shared" si="54"/>
        <v xml:space="preserve">Regularização de Piso 1,50 cm </v>
      </c>
      <c r="D1685" s="175" t="s">
        <v>671</v>
      </c>
      <c r="E1685" s="176" t="str">
        <f>_xlfn.XLOOKUP(D1685,Insumos!$B$1:$B$764,Insumos!$C$1:$C$764)</f>
        <v>L</v>
      </c>
      <c r="F1685" s="179">
        <v>1.0500000000000001E-2</v>
      </c>
      <c r="G1685" s="177">
        <f>IF(B1685="insumo",_xlfn.XLOOKUP($D1685,Insumos!$B$1:$B$764,Insumos!$D$1:$D$764),"")</f>
        <v>19.34</v>
      </c>
      <c r="H1685" s="177" cm="1">
        <f t="array" ref="H1685">_xlfn.IFS(B1685="Serviço",SUMIFS(H1686:$H$3085,C1686:$C$3085,$C1685),B1685="Insumo",F1685*G1685,B1685="Etapa","")</f>
        <v>0.20307</v>
      </c>
      <c r="I1685" s="178"/>
    </row>
    <row r="1686" spans="1:9" hidden="1" outlineLevel="2" x14ac:dyDescent="0.25">
      <c r="A1686" s="175">
        <f t="shared" si="55"/>
        <v>39</v>
      </c>
      <c r="B1686" s="175" t="s">
        <v>327</v>
      </c>
      <c r="C1686" s="175" t="str">
        <f t="shared" si="54"/>
        <v xml:space="preserve">Regularização de Piso 1,50 cm </v>
      </c>
      <c r="D1686" s="175" t="s">
        <v>396</v>
      </c>
      <c r="E1686" s="176" t="str">
        <f>_xlfn.XLOOKUP(D1686,Insumos!$B$1:$B$764,Insumos!$C$1:$C$764)</f>
        <v>KG</v>
      </c>
      <c r="F1686" s="179">
        <v>0.25</v>
      </c>
      <c r="G1686" s="177">
        <f>IF(B1686="insumo",_xlfn.XLOOKUP($D1686,Insumos!$B$1:$B$764,Insumos!$D$1:$D$764),"")</f>
        <v>0.76</v>
      </c>
      <c r="H1686" s="177" cm="1">
        <f t="array" ref="H1686">_xlfn.IFS(B1686="Serviço",SUMIFS(H1687:$H$3085,C1687:$C$3085,$C1686),B1686="Insumo",F1686*G1686,B1686="Etapa","")</f>
        <v>0.19</v>
      </c>
      <c r="I1686" s="178"/>
    </row>
    <row r="1687" spans="1:9" outlineLevel="1" collapsed="1" x14ac:dyDescent="0.25">
      <c r="A1687" s="175">
        <f t="shared" si="55"/>
        <v>1</v>
      </c>
      <c r="B1687" s="175" t="s">
        <v>109</v>
      </c>
      <c r="C1687" s="175" t="str">
        <f t="shared" si="54"/>
        <v xml:space="preserve">Regularização de Piso 2,00 cm </v>
      </c>
      <c r="D1687" s="175" t="s">
        <v>735</v>
      </c>
      <c r="E1687" s="176" t="s">
        <v>13</v>
      </c>
      <c r="F1687" s="175"/>
      <c r="G1687" s="177" t="str">
        <f>IF(B1687="insumo",_xlfn.XLOOKUP($D1687,Insumos!$B$1:$B$764,Insumos!$D$1:$D$764),"")</f>
        <v/>
      </c>
      <c r="H1687" s="177" cm="1">
        <f t="array" ref="H1687">_xlfn.IFS(B1687="Serviço",SUMIFS(H1688:$H$3085,C1688:$C$3085,$C1687),B1687="Insumo",F1687*G1687,B1687="Etapa","")</f>
        <v>12.624093333333334</v>
      </c>
      <c r="I1687" s="178" t="s">
        <v>195</v>
      </c>
    </row>
    <row r="1688" spans="1:9" hidden="1" outlineLevel="2" x14ac:dyDescent="0.25">
      <c r="A1688" s="175">
        <f t="shared" si="55"/>
        <v>34</v>
      </c>
      <c r="B1688" s="175" t="s">
        <v>327</v>
      </c>
      <c r="C1688" s="175" t="str">
        <f t="shared" si="54"/>
        <v xml:space="preserve">Regularização de Piso 2,00 cm </v>
      </c>
      <c r="D1688" s="175" t="s">
        <v>626</v>
      </c>
      <c r="E1688" s="176" t="str">
        <f>_xlfn.XLOOKUP(D1688,Insumos!$B$1:$B$764,Insumos!$C$1:$C$764)</f>
        <v>M3</v>
      </c>
      <c r="F1688" s="179">
        <v>2.2000000000000002E-2</v>
      </c>
      <c r="G1688" s="177">
        <f>IF(B1688="insumo",_xlfn.XLOOKUP($D1688,Insumos!$B$1:$B$764,Insumos!$D$1:$D$764),"")</f>
        <v>550</v>
      </c>
      <c r="H1688" s="177" cm="1">
        <f t="array" ref="H1688">_xlfn.IFS(B1688="Serviço",SUMIFS(H1689:$H$3085,C1689:$C$3085,$C1688),B1688="Insumo",F1688*G1688,B1688="Etapa","")</f>
        <v>12.100000000000001</v>
      </c>
      <c r="I1688" s="178"/>
    </row>
    <row r="1689" spans="1:9" hidden="1" outlineLevel="2" x14ac:dyDescent="0.25">
      <c r="A1689" s="175">
        <f t="shared" si="55"/>
        <v>37</v>
      </c>
      <c r="B1689" s="175" t="s">
        <v>327</v>
      </c>
      <c r="C1689" s="175" t="str">
        <f t="shared" si="54"/>
        <v xml:space="preserve">Regularização de Piso 2,00 cm </v>
      </c>
      <c r="D1689" s="175" t="s">
        <v>671</v>
      </c>
      <c r="E1689" s="176" t="str">
        <f>_xlfn.XLOOKUP(D1689,Insumos!$B$1:$B$764,Insumos!$C$1:$C$764)</f>
        <v>L</v>
      </c>
      <c r="F1689" s="179">
        <v>1.4000000000000002E-2</v>
      </c>
      <c r="G1689" s="177">
        <f>IF(B1689="insumo",_xlfn.XLOOKUP($D1689,Insumos!$B$1:$B$764,Insumos!$D$1:$D$764),"")</f>
        <v>19.34</v>
      </c>
      <c r="H1689" s="177" cm="1">
        <f t="array" ref="H1689">_xlfn.IFS(B1689="Serviço",SUMIFS(H1690:$H$3085,C1690:$C$3085,$C1689),B1689="Insumo",F1689*G1689,B1689="Etapa","")</f>
        <v>0.27076000000000006</v>
      </c>
      <c r="I1689" s="178"/>
    </row>
    <row r="1690" spans="1:9" hidden="1" outlineLevel="2" x14ac:dyDescent="0.25">
      <c r="A1690" s="175">
        <f t="shared" si="55"/>
        <v>39</v>
      </c>
      <c r="B1690" s="175" t="s">
        <v>327</v>
      </c>
      <c r="C1690" s="175" t="str">
        <f t="shared" si="54"/>
        <v xml:space="preserve">Regularização de Piso 2,00 cm </v>
      </c>
      <c r="D1690" s="175" t="s">
        <v>396</v>
      </c>
      <c r="E1690" s="176" t="str">
        <f>_xlfn.XLOOKUP(D1690,Insumos!$B$1:$B$764,Insumos!$C$1:$C$764)</f>
        <v>KG</v>
      </c>
      <c r="F1690" s="179">
        <v>0.33333333333333337</v>
      </c>
      <c r="G1690" s="177">
        <f>IF(B1690="insumo",_xlfn.XLOOKUP($D1690,Insumos!$B$1:$B$764,Insumos!$D$1:$D$764),"")</f>
        <v>0.76</v>
      </c>
      <c r="H1690" s="177" cm="1">
        <f t="array" ref="H1690">_xlfn.IFS(B1690="Serviço",SUMIFS(H1691:$H$3085,C1691:$C$3085,$C1690),B1690="Insumo",F1690*G1690,B1690="Etapa","")</f>
        <v>0.25333333333333335</v>
      </c>
      <c r="I1690" s="178"/>
    </row>
    <row r="1691" spans="1:9" outlineLevel="1" collapsed="1" x14ac:dyDescent="0.25">
      <c r="A1691" s="175">
        <f t="shared" si="55"/>
        <v>1</v>
      </c>
      <c r="B1691" s="175" t="s">
        <v>109</v>
      </c>
      <c r="C1691" s="175" t="str">
        <f t="shared" si="54"/>
        <v xml:space="preserve">Regularização de Piso 3,00 cm </v>
      </c>
      <c r="D1691" s="175" t="s">
        <v>736</v>
      </c>
      <c r="E1691" s="176" t="s">
        <v>13</v>
      </c>
      <c r="F1691" s="175"/>
      <c r="G1691" s="177" t="str">
        <f>IF(B1691="insumo",_xlfn.XLOOKUP($D1691,Insumos!$B$1:$B$764,Insumos!$D$1:$D$764),"")</f>
        <v/>
      </c>
      <c r="H1691" s="177" cm="1">
        <f t="array" ref="H1691">_xlfn.IFS(B1691="Serviço",SUMIFS(H1692:$H$3085,C1692:$C$3085,$C1691),B1691="Insumo",F1691*G1691,B1691="Etapa","")</f>
        <v>18.936140000000002</v>
      </c>
      <c r="I1691" s="178" t="s">
        <v>195</v>
      </c>
    </row>
    <row r="1692" spans="1:9" hidden="1" outlineLevel="2" x14ac:dyDescent="0.25">
      <c r="A1692" s="175">
        <f t="shared" si="55"/>
        <v>34</v>
      </c>
      <c r="B1692" s="175" t="s">
        <v>327</v>
      </c>
      <c r="C1692" s="175" t="str">
        <f t="shared" si="54"/>
        <v xml:space="preserve">Regularização de Piso 3,00 cm </v>
      </c>
      <c r="D1692" s="175" t="s">
        <v>626</v>
      </c>
      <c r="E1692" s="176" t="str">
        <f>_xlfn.XLOOKUP(D1692,Insumos!$B$1:$B$764,Insumos!$C$1:$C$764)</f>
        <v>M3</v>
      </c>
      <c r="F1692" s="179">
        <v>3.3000000000000002E-2</v>
      </c>
      <c r="G1692" s="177">
        <f>IF(B1692="insumo",_xlfn.XLOOKUP($D1692,Insumos!$B$1:$B$764,Insumos!$D$1:$D$764),"")</f>
        <v>550</v>
      </c>
      <c r="H1692" s="177" cm="1">
        <f t="array" ref="H1692">_xlfn.IFS(B1692="Serviço",SUMIFS(H1693:$H$3085,C1693:$C$3085,$C1692),B1692="Insumo",F1692*G1692,B1692="Etapa","")</f>
        <v>18.150000000000002</v>
      </c>
      <c r="I1692" s="178"/>
    </row>
    <row r="1693" spans="1:9" hidden="1" outlineLevel="2" x14ac:dyDescent="0.25">
      <c r="A1693" s="175">
        <f t="shared" si="55"/>
        <v>37</v>
      </c>
      <c r="B1693" s="175" t="s">
        <v>327</v>
      </c>
      <c r="C1693" s="175" t="str">
        <f t="shared" si="54"/>
        <v xml:space="preserve">Regularização de Piso 3,00 cm </v>
      </c>
      <c r="D1693" s="175" t="s">
        <v>671</v>
      </c>
      <c r="E1693" s="176" t="str">
        <f>_xlfn.XLOOKUP(D1693,Insumos!$B$1:$B$764,Insumos!$C$1:$C$764)</f>
        <v>L</v>
      </c>
      <c r="F1693" s="179">
        <f>0.007*3</f>
        <v>2.1000000000000001E-2</v>
      </c>
      <c r="G1693" s="177">
        <f>IF(B1693="insumo",_xlfn.XLOOKUP($D1693,Insumos!$B$1:$B$764,Insumos!$D$1:$D$764),"")</f>
        <v>19.34</v>
      </c>
      <c r="H1693" s="177" cm="1">
        <f t="array" ref="H1693">_xlfn.IFS(B1693="Serviço",SUMIFS(H1694:$H$3085,C1694:$C$3085,$C1693),B1693="Insumo",F1693*G1693,B1693="Etapa","")</f>
        <v>0.40614</v>
      </c>
      <c r="I1693" s="178"/>
    </row>
    <row r="1694" spans="1:9" hidden="1" outlineLevel="2" x14ac:dyDescent="0.25">
      <c r="A1694" s="175">
        <f t="shared" si="55"/>
        <v>39</v>
      </c>
      <c r="B1694" s="175" t="s">
        <v>327</v>
      </c>
      <c r="C1694" s="175" t="str">
        <f t="shared" si="54"/>
        <v xml:space="preserve">Regularização de Piso 3,00 cm </v>
      </c>
      <c r="D1694" s="175" t="s">
        <v>396</v>
      </c>
      <c r="E1694" s="176" t="str">
        <f>_xlfn.XLOOKUP(D1694,Insumos!$B$1:$B$764,Insumos!$C$1:$C$764)</f>
        <v>KG</v>
      </c>
      <c r="F1694" s="179">
        <f>0.166666666666667*3</f>
        <v>0.500000000000001</v>
      </c>
      <c r="G1694" s="177">
        <f>IF(B1694="insumo",_xlfn.XLOOKUP($D1694,Insumos!$B$1:$B$764,Insumos!$D$1:$D$764),"")</f>
        <v>0.76</v>
      </c>
      <c r="H1694" s="177" cm="1">
        <f t="array" ref="H1694">_xlfn.IFS(B1694="Serviço",SUMIFS(H1695:$H$3085,C1695:$C$3085,$C1694),B1694="Insumo",F1694*G1694,B1694="Etapa","")</f>
        <v>0.38000000000000078</v>
      </c>
      <c r="I1694" s="178"/>
    </row>
    <row r="1695" spans="1:9" outlineLevel="1" collapsed="1" x14ac:dyDescent="0.25">
      <c r="A1695" s="175">
        <f t="shared" si="55"/>
        <v>1</v>
      </c>
      <c r="B1695" s="175" t="s">
        <v>109</v>
      </c>
      <c r="C1695" s="175" t="str">
        <f t="shared" si="54"/>
        <v xml:space="preserve">Regularização de Piso 4,00 cm </v>
      </c>
      <c r="D1695" s="175" t="s">
        <v>737</v>
      </c>
      <c r="E1695" s="176" t="s">
        <v>13</v>
      </c>
      <c r="F1695" s="175"/>
      <c r="G1695" s="177" t="str">
        <f>IF(B1695="insumo",_xlfn.XLOOKUP($D1695,Insumos!$B$1:$B$764,Insumos!$D$1:$D$764),"")</f>
        <v/>
      </c>
      <c r="H1695" s="177" cm="1">
        <f t="array" ref="H1695">_xlfn.IFS(B1695="Serviço",SUMIFS(H1696:$H$3085,C1696:$C$3085,$C1695),B1695="Insumo",F1695*G1695,B1695="Etapa","")</f>
        <v>24.148186666666668</v>
      </c>
      <c r="I1695" s="178" t="s">
        <v>195</v>
      </c>
    </row>
    <row r="1696" spans="1:9" hidden="1" outlineLevel="2" x14ac:dyDescent="0.25">
      <c r="A1696" s="175">
        <f t="shared" si="55"/>
        <v>34</v>
      </c>
      <c r="B1696" s="175" t="s">
        <v>327</v>
      </c>
      <c r="C1696" s="175" t="str">
        <f t="shared" si="54"/>
        <v xml:space="preserve">Regularização de Piso 4,00 cm </v>
      </c>
      <c r="D1696" s="175" t="s">
        <v>626</v>
      </c>
      <c r="E1696" s="176" t="str">
        <f>_xlfn.XLOOKUP(D1696,Insumos!$B$1:$B$764,Insumos!$C$1:$C$764)</f>
        <v>M3</v>
      </c>
      <c r="F1696" s="179">
        <f>0.04*1.05</f>
        <v>4.2000000000000003E-2</v>
      </c>
      <c r="G1696" s="177">
        <f>IF(B1696="insumo",_xlfn.XLOOKUP($D1696,Insumos!$B$1:$B$764,Insumos!$D$1:$D$764),"")</f>
        <v>550</v>
      </c>
      <c r="H1696" s="177" cm="1">
        <f t="array" ref="H1696">_xlfn.IFS(B1696="Serviço",SUMIFS(H1697:$H$3085,C1697:$C$3085,$C1696),B1696="Insumo",F1696*G1696,B1696="Etapa","")</f>
        <v>23.1</v>
      </c>
      <c r="I1696" s="178"/>
    </row>
    <row r="1697" spans="1:9" hidden="1" outlineLevel="2" x14ac:dyDescent="0.25">
      <c r="A1697" s="175">
        <f t="shared" si="55"/>
        <v>37</v>
      </c>
      <c r="B1697" s="175" t="s">
        <v>327</v>
      </c>
      <c r="C1697" s="175" t="str">
        <f t="shared" si="54"/>
        <v xml:space="preserve">Regularização de Piso 4,00 cm </v>
      </c>
      <c r="D1697" s="175" t="s">
        <v>671</v>
      </c>
      <c r="E1697" s="176" t="str">
        <f>_xlfn.XLOOKUP(D1697,Insumos!$B$1:$B$764,Insumos!$C$1:$C$764)</f>
        <v>L</v>
      </c>
      <c r="F1697" s="179">
        <f>0.007*4</f>
        <v>2.8000000000000001E-2</v>
      </c>
      <c r="G1697" s="177">
        <f>IF(B1697="insumo",_xlfn.XLOOKUP($D1697,Insumos!$B$1:$B$764,Insumos!$D$1:$D$764),"")</f>
        <v>19.34</v>
      </c>
      <c r="H1697" s="177" cm="1">
        <f t="array" ref="H1697">_xlfn.IFS(B1697="Serviço",SUMIFS(H1698:$H$3085,C1698:$C$3085,$C1697),B1697="Insumo",F1697*G1697,B1697="Etapa","")</f>
        <v>0.54152</v>
      </c>
      <c r="I1697" s="178"/>
    </row>
    <row r="1698" spans="1:9" hidden="1" outlineLevel="2" x14ac:dyDescent="0.25">
      <c r="A1698" s="175">
        <f t="shared" si="55"/>
        <v>39</v>
      </c>
      <c r="B1698" s="175" t="s">
        <v>327</v>
      </c>
      <c r="C1698" s="175" t="str">
        <f t="shared" si="54"/>
        <v xml:space="preserve">Regularização de Piso 4,00 cm </v>
      </c>
      <c r="D1698" s="175" t="s">
        <v>396</v>
      </c>
      <c r="E1698" s="176" t="str">
        <f>_xlfn.XLOOKUP(D1698,Insumos!$B$1:$B$764,Insumos!$C$1:$C$764)</f>
        <v>KG</v>
      </c>
      <c r="F1698" s="179">
        <f>0.166666666666667*4</f>
        <v>0.66666666666666796</v>
      </c>
      <c r="G1698" s="177">
        <f>IF(B1698="insumo",_xlfn.XLOOKUP($D1698,Insumos!$B$1:$B$764,Insumos!$D$1:$D$764),"")</f>
        <v>0.76</v>
      </c>
      <c r="H1698" s="177" cm="1">
        <f t="array" ref="H1698">_xlfn.IFS(B1698="Serviço",SUMIFS(H1699:$H$3085,C1699:$C$3085,$C1698),B1698="Insumo",F1698*G1698,B1698="Etapa","")</f>
        <v>0.50666666666666771</v>
      </c>
      <c r="I1698" s="178"/>
    </row>
    <row r="1699" spans="1:9" outlineLevel="1" x14ac:dyDescent="0.25">
      <c r="A1699" s="175">
        <f t="shared" si="55"/>
        <v>1</v>
      </c>
      <c r="B1699" s="175" t="s">
        <v>109</v>
      </c>
      <c r="C1699" s="175" t="str">
        <f t="shared" si="54"/>
        <v xml:space="preserve">Regularização com argamassa, aplicação farofa, de Piso 4,00 cm </v>
      </c>
      <c r="D1699" s="175" t="s">
        <v>4098</v>
      </c>
      <c r="E1699" s="176" t="s">
        <v>13</v>
      </c>
      <c r="F1699" s="175"/>
      <c r="G1699" s="177" t="str">
        <f>IF(B1699="insumo",_xlfn.XLOOKUP($D1699,Insumos!$B$1:$B$764,Insumos!$D$1:$D$764),"")</f>
        <v/>
      </c>
      <c r="H1699" s="177" cm="1">
        <f t="array" ref="H1699">_xlfn.IFS(B1699="Serviço",SUMIFS(H1700:$H$3085,C1700:$C$3085,$C1699),B1699="Insumo",F1699*G1699,B1699="Etapa","")</f>
        <v>15.000599999999999</v>
      </c>
      <c r="I1699" s="178" t="s">
        <v>195</v>
      </c>
    </row>
    <row r="1700" spans="1:9" outlineLevel="2" x14ac:dyDescent="0.25">
      <c r="A1700" s="175">
        <f t="shared" si="55"/>
        <v>1</v>
      </c>
      <c r="B1700" s="175" t="s">
        <v>327</v>
      </c>
      <c r="C1700" s="175" t="str">
        <f t="shared" si="54"/>
        <v xml:space="preserve">Regularização com argamassa, aplicação farofa, de Piso 4,00 cm </v>
      </c>
      <c r="D1700" s="175" t="s">
        <v>4097</v>
      </c>
      <c r="E1700" s="176" t="str">
        <f>_xlfn.XLOOKUP(D1700,Insumos!$B$1:$B$764,Insumos!$C$1:$C$764)</f>
        <v>M3</v>
      </c>
      <c r="F1700" s="179">
        <v>0.34499999999999997</v>
      </c>
      <c r="G1700" s="177">
        <f>IF(B1700="insumo",_xlfn.XLOOKUP($D1700,Insumos!$B$1:$B$764,Insumos!$D$1:$D$764),"")</f>
        <v>43.48</v>
      </c>
      <c r="H1700" s="177" cm="1">
        <f t="array" ref="H1700">_xlfn.IFS(B1700="Serviço",SUMIFS(H1701:$H$3085,C1701:$C$3085,$C1700),B1700="Insumo",F1700*G1700,B1700="Etapa","")</f>
        <v>15.000599999999999</v>
      </c>
      <c r="I1700" s="178"/>
    </row>
    <row r="1701" spans="1:9" outlineLevel="1" collapsed="1" x14ac:dyDescent="0.25">
      <c r="A1701" s="175">
        <f t="shared" si="55"/>
        <v>1</v>
      </c>
      <c r="B1701" s="175" t="s">
        <v>109</v>
      </c>
      <c r="C1701" s="175" t="str">
        <f t="shared" si="54"/>
        <v xml:space="preserve">Regularização de Piso 5,00 cm </v>
      </c>
      <c r="D1701" s="175" t="s">
        <v>1745</v>
      </c>
      <c r="E1701" s="176" t="s">
        <v>13</v>
      </c>
      <c r="F1701" s="175"/>
      <c r="G1701" s="177" t="str">
        <f>IF(B1701="insumo",_xlfn.XLOOKUP($D1701,Insumos!$B$1:$B$764,Insumos!$D$1:$D$764),"")</f>
        <v/>
      </c>
      <c r="H1701" s="177" cm="1">
        <f t="array" ref="H1701">_xlfn.IFS(B1701="Serviço",SUMIFS(H1702:$H$3085,C1702:$C$3085,$C1701),B1701="Insumo",F1701*G1701,B1701="Etapa","")</f>
        <v>30.185233333333336</v>
      </c>
      <c r="I1701" s="178" t="s">
        <v>195</v>
      </c>
    </row>
    <row r="1702" spans="1:9" hidden="1" outlineLevel="2" x14ac:dyDescent="0.25">
      <c r="A1702" s="175">
        <f t="shared" si="55"/>
        <v>34</v>
      </c>
      <c r="B1702" s="175" t="s">
        <v>327</v>
      </c>
      <c r="C1702" s="175" t="str">
        <f t="shared" si="54"/>
        <v xml:space="preserve">Regularização de Piso 5,00 cm </v>
      </c>
      <c r="D1702" s="175" t="s">
        <v>626</v>
      </c>
      <c r="E1702" s="176" t="str">
        <f>_xlfn.XLOOKUP(D1702,Insumos!$B$1:$B$764,Insumos!$C$1:$C$764)</f>
        <v>M3</v>
      </c>
      <c r="F1702" s="179">
        <f>0.05*1.05</f>
        <v>5.2500000000000005E-2</v>
      </c>
      <c r="G1702" s="177">
        <f>IF(B1702="insumo",_xlfn.XLOOKUP($D1702,Insumos!$B$1:$B$764,Insumos!$D$1:$D$764),"")</f>
        <v>550</v>
      </c>
      <c r="H1702" s="177" cm="1">
        <f t="array" ref="H1702">_xlfn.IFS(B1702="Serviço",SUMIFS(H1703:$H$3085,C1703:$C$3085,$C1702),B1702="Insumo",F1702*G1702,B1702="Etapa","")</f>
        <v>28.875000000000004</v>
      </c>
      <c r="I1702" s="178"/>
    </row>
    <row r="1703" spans="1:9" hidden="1" outlineLevel="2" x14ac:dyDescent="0.25">
      <c r="A1703" s="175">
        <f t="shared" si="55"/>
        <v>37</v>
      </c>
      <c r="B1703" s="175" t="s">
        <v>327</v>
      </c>
      <c r="C1703" s="175" t="str">
        <f t="shared" si="54"/>
        <v xml:space="preserve">Regularização de Piso 5,00 cm </v>
      </c>
      <c r="D1703" s="175" t="s">
        <v>671</v>
      </c>
      <c r="E1703" s="176" t="str">
        <f>_xlfn.XLOOKUP(D1703,Insumos!$B$1:$B$764,Insumos!$C$1:$C$764)</f>
        <v>L</v>
      </c>
      <c r="F1703" s="179">
        <f>0.007*5</f>
        <v>3.5000000000000003E-2</v>
      </c>
      <c r="G1703" s="177">
        <f>IF(B1703="insumo",_xlfn.XLOOKUP($D1703,Insumos!$B$1:$B$764,Insumos!$D$1:$D$764),"")</f>
        <v>19.34</v>
      </c>
      <c r="H1703" s="177" cm="1">
        <f t="array" ref="H1703">_xlfn.IFS(B1703="Serviço",SUMIFS(H1704:$H$3085,C1704:$C$3085,$C1703),B1703="Insumo",F1703*G1703,B1703="Etapa","")</f>
        <v>0.67690000000000006</v>
      </c>
      <c r="I1703" s="178"/>
    </row>
    <row r="1704" spans="1:9" hidden="1" outlineLevel="2" x14ac:dyDescent="0.25">
      <c r="A1704" s="175">
        <f t="shared" si="55"/>
        <v>39</v>
      </c>
      <c r="B1704" s="175" t="s">
        <v>327</v>
      </c>
      <c r="C1704" s="175" t="str">
        <f t="shared" ref="C1704:C1767" si="56">IF(B1704="serviço",D1704,C1703)</f>
        <v xml:space="preserve">Regularização de Piso 5,00 cm </v>
      </c>
      <c r="D1704" s="175" t="s">
        <v>396</v>
      </c>
      <c r="E1704" s="176" t="str">
        <f>_xlfn.XLOOKUP(D1704,Insumos!$B$1:$B$764,Insumos!$C$1:$C$764)</f>
        <v>KG</v>
      </c>
      <c r="F1704" s="179">
        <f>0.166666666666667*5</f>
        <v>0.83333333333333492</v>
      </c>
      <c r="G1704" s="177">
        <f>IF(B1704="insumo",_xlfn.XLOOKUP($D1704,Insumos!$B$1:$B$764,Insumos!$D$1:$D$764),"")</f>
        <v>0.76</v>
      </c>
      <c r="H1704" s="177" cm="1">
        <f t="array" ref="H1704">_xlfn.IFS(B1704="Serviço",SUMIFS(H1705:$H$3085,C1705:$C$3085,$C1704),B1704="Insumo",F1704*G1704,B1704="Etapa","")</f>
        <v>0.63333333333333452</v>
      </c>
      <c r="I1704" s="178"/>
    </row>
    <row r="1705" spans="1:9" outlineLevel="1" collapsed="1" x14ac:dyDescent="0.25">
      <c r="A1705" s="175">
        <f t="shared" si="55"/>
        <v>1</v>
      </c>
      <c r="B1705" s="175" t="s">
        <v>109</v>
      </c>
      <c r="C1705" s="175" t="str">
        <f t="shared" si="56"/>
        <v>Regularização de Piso 3,00 cm - argila expansiva</v>
      </c>
      <c r="D1705" s="175" t="s">
        <v>738</v>
      </c>
      <c r="E1705" s="176" t="s">
        <v>13</v>
      </c>
      <c r="F1705" s="175"/>
      <c r="G1705" s="177" t="str">
        <f>IF(B1705="insumo",_xlfn.XLOOKUP($D1705,Insumos!$B$1:$B$764,Insumos!$D$1:$D$764),"")</f>
        <v/>
      </c>
      <c r="H1705" s="177" cm="1">
        <f t="array" ref="H1705">_xlfn.IFS(B1705="Serviço",SUMIFS(H1706:$H$3085,C1706:$C$3085,$C1705),B1705="Insumo",F1705*G1705,B1705="Etapa","")</f>
        <v>23.124200000000002</v>
      </c>
      <c r="I1705" s="178" t="s">
        <v>195</v>
      </c>
    </row>
    <row r="1706" spans="1:9" hidden="1" outlineLevel="2" x14ac:dyDescent="0.25">
      <c r="A1706" s="175">
        <f t="shared" si="55"/>
        <v>34</v>
      </c>
      <c r="B1706" s="175" t="s">
        <v>327</v>
      </c>
      <c r="C1706" s="175" t="str">
        <f t="shared" si="56"/>
        <v>Regularização de Piso 3,00 cm - argila expansiva</v>
      </c>
      <c r="D1706" s="175" t="s">
        <v>626</v>
      </c>
      <c r="E1706" s="176" t="str">
        <f>_xlfn.XLOOKUP(D1706,Insumos!$B$1:$B$764,Insumos!$C$1:$C$764)</f>
        <v>M3</v>
      </c>
      <c r="F1706" s="179">
        <v>3.3000000000000002E-2</v>
      </c>
      <c r="G1706" s="177">
        <f>IF(B1706="insumo",_xlfn.XLOOKUP($D1706,Insumos!$B$1:$B$764,Insumos!$D$1:$D$764),"")</f>
        <v>550</v>
      </c>
      <c r="H1706" s="177" cm="1">
        <f t="array" ref="H1706">_xlfn.IFS(B1706="Serviço",SUMIFS(H1707:$H$3085,C1707:$C$3085,$C1706),B1706="Insumo",F1706*G1706,B1706="Etapa","")</f>
        <v>18.150000000000002</v>
      </c>
      <c r="I1706" s="178"/>
    </row>
    <row r="1707" spans="1:9" hidden="1" outlineLevel="2" x14ac:dyDescent="0.25">
      <c r="A1707" s="175">
        <f t="shared" si="55"/>
        <v>2</v>
      </c>
      <c r="B1707" s="175" t="s">
        <v>327</v>
      </c>
      <c r="C1707" s="175" t="str">
        <f t="shared" si="56"/>
        <v>Regularização de Piso 3,00 cm - argila expansiva</v>
      </c>
      <c r="D1707" s="175" t="s">
        <v>739</v>
      </c>
      <c r="E1707" s="176" t="str">
        <f>_xlfn.XLOOKUP(D1707,Insumos!$B$1:$B$764,Insumos!$C$1:$C$764)</f>
        <v>KG</v>
      </c>
      <c r="F1707" s="179">
        <v>1.56</v>
      </c>
      <c r="G1707" s="177">
        <f>IF(B1707="insumo",_xlfn.XLOOKUP($D1707,Insumos!$B$1:$B$764,Insumos!$D$1:$D$764),"")</f>
        <v>2.9449999999999998</v>
      </c>
      <c r="H1707" s="177" cm="1">
        <f t="array" ref="H1707">_xlfn.IFS(B1707="Serviço",SUMIFS(H1708:$H$3085,C1708:$C$3085,$C1707),B1707="Insumo",F1707*G1707,B1707="Etapa","")</f>
        <v>4.5941999999999998</v>
      </c>
      <c r="I1707" s="178"/>
    </row>
    <row r="1708" spans="1:9" hidden="1" outlineLevel="2" x14ac:dyDescent="0.25">
      <c r="A1708" s="175">
        <f t="shared" si="55"/>
        <v>39</v>
      </c>
      <c r="B1708" s="175" t="s">
        <v>327</v>
      </c>
      <c r="C1708" s="175" t="str">
        <f t="shared" si="56"/>
        <v>Regularização de Piso 3,00 cm - argila expansiva</v>
      </c>
      <c r="D1708" s="175" t="s">
        <v>396</v>
      </c>
      <c r="E1708" s="176" t="str">
        <f>_xlfn.XLOOKUP(D1708,Insumos!$B$1:$B$764,Insumos!$C$1:$C$764)</f>
        <v>KG</v>
      </c>
      <c r="F1708" s="179">
        <v>0.5</v>
      </c>
      <c r="G1708" s="177">
        <f>IF(B1708="insumo",_xlfn.XLOOKUP($D1708,Insumos!$B$1:$B$764,Insumos!$D$1:$D$764),"")</f>
        <v>0.76</v>
      </c>
      <c r="H1708" s="177" cm="1">
        <f t="array" ref="H1708">_xlfn.IFS(B1708="Serviço",SUMIFS(H1709:$H$3085,C1709:$C$3085,$C1708),B1708="Insumo",F1708*G1708,B1708="Etapa","")</f>
        <v>0.38</v>
      </c>
      <c r="I1708" s="178"/>
    </row>
    <row r="1709" spans="1:9" outlineLevel="1" collapsed="1" x14ac:dyDescent="0.25">
      <c r="A1709" s="175">
        <f t="shared" si="55"/>
        <v>1</v>
      </c>
      <c r="B1709" s="175" t="s">
        <v>109</v>
      </c>
      <c r="C1709" s="175" t="str">
        <f t="shared" si="56"/>
        <v>Revestimento de argila expandida, nas áreas externas - Material e Mão de Obra</v>
      </c>
      <c r="D1709" s="175" t="s">
        <v>1978</v>
      </c>
      <c r="E1709" s="176" t="s">
        <v>13</v>
      </c>
      <c r="F1709" s="175"/>
      <c r="G1709" s="177" t="str">
        <f>IF(B1709="insumo",_xlfn.XLOOKUP($D1709,Insumos!$B$1:$B$764,Insumos!$D$1:$D$764),"")</f>
        <v/>
      </c>
      <c r="H1709" s="177" cm="1">
        <f t="array" ref="H1709">_xlfn.IFS(B1709="Serviço",SUMIFS(H1710:$H$3085,C1710:$C$3085,$C1709),B1709="Insumo",F1709*G1709,B1709="Etapa","")</f>
        <v>14.594200000000001</v>
      </c>
      <c r="I1709" s="178" t="s">
        <v>195</v>
      </c>
    </row>
    <row r="1710" spans="1:9" hidden="1" outlineLevel="2" x14ac:dyDescent="0.25">
      <c r="A1710" s="175">
        <f t="shared" si="55"/>
        <v>1</v>
      </c>
      <c r="B1710" s="175" t="s">
        <v>327</v>
      </c>
      <c r="C1710" s="175" t="str">
        <f t="shared" si="56"/>
        <v>Revestimento de argila expandida, nas áreas externas - Material e Mão de Obra</v>
      </c>
      <c r="D1710" s="175" t="s">
        <v>1979</v>
      </c>
      <c r="E1710" s="176" t="str">
        <f>_xlfn.XLOOKUP(D1710,Insumos!$B$1:$B$764,Insumos!$C$1:$C$764)</f>
        <v>M2</v>
      </c>
      <c r="F1710" s="179">
        <v>1</v>
      </c>
      <c r="G1710" s="177">
        <f>IF(B1710="insumo",_xlfn.XLOOKUP($D1710,Insumos!$B$1:$B$764,Insumos!$D$1:$D$764),"")</f>
        <v>10</v>
      </c>
      <c r="H1710" s="177" cm="1">
        <f t="array" ref="H1710">_xlfn.IFS(B1710="Serviço",SUMIFS(H1711:$H$3085,C1711:$C$3085,$C1710),B1710="Insumo",F1710*G1710,B1710="Etapa","")</f>
        <v>10</v>
      </c>
      <c r="I1710" s="178"/>
    </row>
    <row r="1711" spans="1:9" hidden="1" outlineLevel="2" x14ac:dyDescent="0.25">
      <c r="A1711" s="175">
        <f t="shared" si="55"/>
        <v>2</v>
      </c>
      <c r="B1711" s="175" t="s">
        <v>327</v>
      </c>
      <c r="C1711" s="175" t="str">
        <f t="shared" si="56"/>
        <v>Revestimento de argila expandida, nas áreas externas - Material e Mão de Obra</v>
      </c>
      <c r="D1711" s="175" t="s">
        <v>739</v>
      </c>
      <c r="E1711" s="176" t="str">
        <f>_xlfn.XLOOKUP(D1711,Insumos!$B$1:$B$764,Insumos!$C$1:$C$764)</f>
        <v>KG</v>
      </c>
      <c r="F1711" s="179">
        <v>1.56</v>
      </c>
      <c r="G1711" s="177">
        <f>IF(B1711="insumo",_xlfn.XLOOKUP($D1711,Insumos!$B$1:$B$764,Insumos!$D$1:$D$764),"")</f>
        <v>2.9449999999999998</v>
      </c>
      <c r="H1711" s="177" cm="1">
        <f t="array" ref="H1711">_xlfn.IFS(B1711="Serviço",SUMIFS(H1712:$H$3085,C1712:$C$3085,$C1711),B1711="Insumo",F1711*G1711,B1711="Etapa","")</f>
        <v>4.5941999999999998</v>
      </c>
      <c r="I1711" s="178"/>
    </row>
    <row r="1712" spans="1:9" outlineLevel="1" collapsed="1" x14ac:dyDescent="0.25">
      <c r="A1712" s="175">
        <f t="shared" si="55"/>
        <v>1</v>
      </c>
      <c r="B1712" s="175" t="s">
        <v>109</v>
      </c>
      <c r="C1712" s="175" t="str">
        <f t="shared" si="56"/>
        <v>Piso cimentado com argamassa de contrapiso usinada e acabamento vassourado</v>
      </c>
      <c r="D1712" s="175" t="s">
        <v>1186</v>
      </c>
      <c r="E1712" s="176" t="s">
        <v>13</v>
      </c>
      <c r="F1712" s="175"/>
      <c r="G1712" s="177" t="str">
        <f>IF(B1712="insumo",_xlfn.XLOOKUP($D1712,Insumos!$B$1:$B$764,Insumos!$D$1:$D$764),"")</f>
        <v/>
      </c>
      <c r="H1712" s="177" cm="1">
        <f t="array" ref="H1712">_xlfn.IFS(B1712="Serviço",SUMIFS(H1713:$H$3085,C1713:$C$3085,$C1712),B1712="Insumo",F1712*G1712,B1712="Etapa","")</f>
        <v>30.774093333333337</v>
      </c>
      <c r="I1712" s="178" t="s">
        <v>195</v>
      </c>
    </row>
    <row r="1713" spans="1:9" hidden="1" outlineLevel="2" x14ac:dyDescent="0.25">
      <c r="A1713" s="175">
        <f t="shared" si="55"/>
        <v>34</v>
      </c>
      <c r="B1713" s="175" t="s">
        <v>327</v>
      </c>
      <c r="C1713" s="175" t="str">
        <f t="shared" si="56"/>
        <v>Piso cimentado com argamassa de contrapiso usinada e acabamento vassourado</v>
      </c>
      <c r="D1713" s="175" t="s">
        <v>626</v>
      </c>
      <c r="E1713" s="176" t="str">
        <f>_xlfn.XLOOKUP(D1713,Insumos!$B$1:$B$764,Insumos!$C$1:$C$764)</f>
        <v>M3</v>
      </c>
      <c r="F1713" s="179">
        <f>0.05*1.1</f>
        <v>5.5000000000000007E-2</v>
      </c>
      <c r="G1713" s="177">
        <f>IF(B1713="insumo",_xlfn.XLOOKUP($D1713,Insumos!$B$1:$B$764,Insumos!$D$1:$D$764),"")</f>
        <v>550</v>
      </c>
      <c r="H1713" s="177" cm="1">
        <f t="array" ref="H1713">_xlfn.IFS(B1713="Serviço",SUMIFS(H1714:$H$3085,C1714:$C$3085,$C1713),B1713="Insumo",F1713*G1713,B1713="Etapa","")</f>
        <v>30.250000000000004</v>
      </c>
      <c r="I1713" s="178"/>
    </row>
    <row r="1714" spans="1:9" hidden="1" outlineLevel="2" x14ac:dyDescent="0.25">
      <c r="A1714" s="175">
        <f t="shared" si="55"/>
        <v>37</v>
      </c>
      <c r="B1714" s="175" t="s">
        <v>327</v>
      </c>
      <c r="C1714" s="175" t="str">
        <f t="shared" si="56"/>
        <v>Piso cimentado com argamassa de contrapiso usinada e acabamento vassourado</v>
      </c>
      <c r="D1714" s="175" t="s">
        <v>671</v>
      </c>
      <c r="E1714" s="176" t="str">
        <f>_xlfn.XLOOKUP(D1714,Insumos!$B$1:$B$764,Insumos!$C$1:$C$764)</f>
        <v>L</v>
      </c>
      <c r="F1714" s="179">
        <v>1.4000000000000002E-2</v>
      </c>
      <c r="G1714" s="177">
        <f>IF(B1714="insumo",_xlfn.XLOOKUP($D1714,Insumos!$B$1:$B$764,Insumos!$D$1:$D$764),"")</f>
        <v>19.34</v>
      </c>
      <c r="H1714" s="177" cm="1">
        <f t="array" ref="H1714">_xlfn.IFS(B1714="Serviço",SUMIFS(H1715:$H$3085,C1715:$C$3085,$C1714),B1714="Insumo",F1714*G1714,B1714="Etapa","")</f>
        <v>0.27076000000000006</v>
      </c>
      <c r="I1714" s="178"/>
    </row>
    <row r="1715" spans="1:9" hidden="1" outlineLevel="2" x14ac:dyDescent="0.25">
      <c r="A1715" s="175">
        <f t="shared" si="55"/>
        <v>39</v>
      </c>
      <c r="B1715" s="175" t="s">
        <v>327</v>
      </c>
      <c r="C1715" s="175" t="str">
        <f t="shared" si="56"/>
        <v>Piso cimentado com argamassa de contrapiso usinada e acabamento vassourado</v>
      </c>
      <c r="D1715" s="175" t="s">
        <v>396</v>
      </c>
      <c r="E1715" s="176" t="str">
        <f>_xlfn.XLOOKUP(D1715,Insumos!$B$1:$B$764,Insumos!$C$1:$C$764)</f>
        <v>KG</v>
      </c>
      <c r="F1715" s="179">
        <v>0.33333333333333337</v>
      </c>
      <c r="G1715" s="177">
        <f>IF(B1715="insumo",_xlfn.XLOOKUP($D1715,Insumos!$B$1:$B$764,Insumos!$D$1:$D$764),"")</f>
        <v>0.76</v>
      </c>
      <c r="H1715" s="177" cm="1">
        <f t="array" ref="H1715">_xlfn.IFS(B1715="Serviço",SUMIFS(H1716:$H$3085,C1716:$C$3085,$C1715),B1715="Insumo",F1715*G1715,B1715="Etapa","")</f>
        <v>0.25333333333333335</v>
      </c>
      <c r="I1715" s="178"/>
    </row>
    <row r="1716" spans="1:9" outlineLevel="1" collapsed="1" x14ac:dyDescent="0.25">
      <c r="A1716" s="175">
        <f t="shared" si="55"/>
        <v>1</v>
      </c>
      <c r="B1716" s="175" t="s">
        <v>109</v>
      </c>
      <c r="C1716" s="175" t="str">
        <f t="shared" si="56"/>
        <v xml:space="preserve">Piso de concreto polido, espessura 2cm </v>
      </c>
      <c r="D1716" s="175" t="s">
        <v>740</v>
      </c>
      <c r="E1716" s="176" t="s">
        <v>13</v>
      </c>
      <c r="F1716" s="175"/>
      <c r="G1716" s="177" t="str">
        <f>IF(B1716="insumo",_xlfn.XLOOKUP($D1716,Insumos!$B$1:$B$764,Insumos!$D$1:$D$764),"")</f>
        <v/>
      </c>
      <c r="H1716" s="177" cm="1">
        <f t="array" ref="H1716">_xlfn.IFS(B1716="Serviço",SUMIFS(H1717:$H$3085,C1717:$C$3085,$C1716),B1716="Insumo",F1716*G1716,B1716="Etapa","")</f>
        <v>59.143000000000001</v>
      </c>
      <c r="I1716" s="178" t="s">
        <v>195</v>
      </c>
    </row>
    <row r="1717" spans="1:9" hidden="1" outlineLevel="2" x14ac:dyDescent="0.25">
      <c r="A1717" s="175">
        <f t="shared" si="55"/>
        <v>6</v>
      </c>
      <c r="B1717" s="175" t="s">
        <v>327</v>
      </c>
      <c r="C1717" s="175" t="str">
        <f t="shared" si="56"/>
        <v xml:space="preserve">Piso de concreto polido, espessura 2cm </v>
      </c>
      <c r="D1717" s="175" t="s">
        <v>459</v>
      </c>
      <c r="E1717" s="176" t="str">
        <f>_xlfn.XLOOKUP(D1717,Insumos!$B$1:$B$764,Insumos!$C$1:$C$764)</f>
        <v>M3</v>
      </c>
      <c r="F1717" s="179">
        <v>2.4299999999999999E-2</v>
      </c>
      <c r="G1717" s="177">
        <f>IF(B1717="insumo",_xlfn.XLOOKUP($D1717,Insumos!$B$1:$B$764,Insumos!$D$1:$D$764),"")</f>
        <v>510</v>
      </c>
      <c r="H1717" s="177" cm="1">
        <f t="array" ref="H1717">_xlfn.IFS(B1717="Serviço",SUMIFS(H1718:$H$3085,C1718:$C$3085,$C1717),B1717="Insumo",F1717*G1717,B1717="Etapa","")</f>
        <v>12.392999999999999</v>
      </c>
      <c r="I1717" s="178"/>
    </row>
    <row r="1718" spans="1:9" hidden="1" outlineLevel="2" x14ac:dyDescent="0.25">
      <c r="A1718" s="175">
        <f t="shared" si="55"/>
        <v>4</v>
      </c>
      <c r="B1718" s="175" t="s">
        <v>327</v>
      </c>
      <c r="C1718" s="175" t="str">
        <f t="shared" si="56"/>
        <v xml:space="preserve">Piso de concreto polido, espessura 2cm </v>
      </c>
      <c r="D1718" s="175" t="s">
        <v>744</v>
      </c>
      <c r="E1718" s="176" t="str">
        <f>_xlfn.XLOOKUP(D1718,Insumos!$B$1:$B$764,Insumos!$C$1:$C$764)</f>
        <v>KG</v>
      </c>
      <c r="F1718" s="179">
        <v>5</v>
      </c>
      <c r="G1718" s="177">
        <f>IF(B1718="insumo",_xlfn.XLOOKUP($D1718,Insumos!$B$1:$B$764,Insumos!$D$1:$D$764),"")</f>
        <v>9.35</v>
      </c>
      <c r="H1718" s="177" cm="1">
        <f t="array" ref="H1718">_xlfn.IFS(B1718="Serviço",SUMIFS(H1719:$H$3085,C1719:$C$3085,$C1718),B1718="Insumo",F1718*G1718,B1718="Etapa","")</f>
        <v>46.75</v>
      </c>
      <c r="I1718" s="178"/>
    </row>
    <row r="1719" spans="1:9" outlineLevel="1" collapsed="1" x14ac:dyDescent="0.25">
      <c r="A1719" s="175">
        <f t="shared" si="55"/>
        <v>1</v>
      </c>
      <c r="B1719" s="175" t="s">
        <v>109</v>
      </c>
      <c r="C1719" s="175" t="str">
        <f t="shared" si="56"/>
        <v xml:space="preserve">Piso de concreto polido, espessura 3cm </v>
      </c>
      <c r="D1719" s="175" t="s">
        <v>1746</v>
      </c>
      <c r="E1719" s="176" t="s">
        <v>13</v>
      </c>
      <c r="F1719" s="175"/>
      <c r="G1719" s="177" t="str">
        <f>IF(B1719="insumo",_xlfn.XLOOKUP($D1719,Insumos!$B$1:$B$764,Insumos!$D$1:$D$764),"")</f>
        <v/>
      </c>
      <c r="H1719" s="177" cm="1">
        <f t="array" ref="H1719">_xlfn.IFS(B1719="Serviço",SUMIFS(H1720:$H$3085,C1720:$C$3085,$C1719),B1719="Insumo",F1719*G1719,B1719="Etapa","")</f>
        <v>88.714500000000001</v>
      </c>
      <c r="I1719" s="178" t="s">
        <v>195</v>
      </c>
    </row>
    <row r="1720" spans="1:9" hidden="1" outlineLevel="2" x14ac:dyDescent="0.25">
      <c r="A1720" s="175">
        <f t="shared" si="55"/>
        <v>6</v>
      </c>
      <c r="B1720" s="175" t="s">
        <v>327</v>
      </c>
      <c r="C1720" s="175" t="str">
        <f t="shared" si="56"/>
        <v xml:space="preserve">Piso de concreto polido, espessura 3cm </v>
      </c>
      <c r="D1720" s="175" t="s">
        <v>459</v>
      </c>
      <c r="E1720" s="176" t="str">
        <f>_xlfn.XLOOKUP(D1720,Insumos!$B$1:$B$764,Insumos!$C$1:$C$764)</f>
        <v>M3</v>
      </c>
      <c r="F1720" s="179">
        <f>0.0243*3/2</f>
        <v>3.6449999999999996E-2</v>
      </c>
      <c r="G1720" s="177">
        <f>IF(B1720="insumo",_xlfn.XLOOKUP($D1720,Insumos!$B$1:$B$764,Insumos!$D$1:$D$764),"")</f>
        <v>510</v>
      </c>
      <c r="H1720" s="177" cm="1">
        <f t="array" ref="H1720">_xlfn.IFS(B1720="Serviço",SUMIFS(H1721:$H$3085,C1721:$C$3085,$C1720),B1720="Insumo",F1720*G1720,B1720="Etapa","")</f>
        <v>18.589499999999997</v>
      </c>
      <c r="I1720" s="178"/>
    </row>
    <row r="1721" spans="1:9" hidden="1" outlineLevel="2" x14ac:dyDescent="0.25">
      <c r="A1721" s="175">
        <f t="shared" si="55"/>
        <v>4</v>
      </c>
      <c r="B1721" s="175" t="s">
        <v>327</v>
      </c>
      <c r="C1721" s="175" t="str">
        <f t="shared" si="56"/>
        <v xml:space="preserve">Piso de concreto polido, espessura 3cm </v>
      </c>
      <c r="D1721" s="175" t="s">
        <v>744</v>
      </c>
      <c r="E1721" s="176" t="str">
        <f>_xlfn.XLOOKUP(D1721,Insumos!$B$1:$B$764,Insumos!$C$1:$C$764)</f>
        <v>KG</v>
      </c>
      <c r="F1721" s="179">
        <f>5*3/2</f>
        <v>7.5</v>
      </c>
      <c r="G1721" s="177">
        <f>IF(B1721="insumo",_xlfn.XLOOKUP($D1721,Insumos!$B$1:$B$764,Insumos!$D$1:$D$764),"")</f>
        <v>9.35</v>
      </c>
      <c r="H1721" s="177" cm="1">
        <f t="array" ref="H1721">_xlfn.IFS(B1721="Serviço",SUMIFS(H1722:$H$3085,C1722:$C$3085,$C1721),B1721="Insumo",F1721*G1721,B1721="Etapa","")</f>
        <v>70.125</v>
      </c>
      <c r="I1721" s="178"/>
    </row>
    <row r="1722" spans="1:9" outlineLevel="1" collapsed="1" x14ac:dyDescent="0.25">
      <c r="A1722" s="175">
        <f t="shared" si="55"/>
        <v>1</v>
      </c>
      <c r="B1722" s="175" t="s">
        <v>109</v>
      </c>
      <c r="C1722" s="175" t="str">
        <f t="shared" si="56"/>
        <v xml:space="preserve">Piso concreto Queimado </v>
      </c>
      <c r="D1722" s="175" t="s">
        <v>240</v>
      </c>
      <c r="E1722" s="176" t="s">
        <v>13</v>
      </c>
      <c r="F1722" s="175"/>
      <c r="G1722" s="177" t="str">
        <f>IF(B1722="insumo",_xlfn.XLOOKUP($D1722,Insumos!$B$1:$B$764,Insumos!$D$1:$D$764),"")</f>
        <v/>
      </c>
      <c r="H1722" s="177" cm="1">
        <f t="array" ref="H1722">_xlfn.IFS(B1722="Serviço",SUMIFS(H1723:$H$3085,C1723:$C$3085,$C1722),B1722="Insumo",F1722*G1722,B1722="Etapa","")</f>
        <v>12.624093333333334</v>
      </c>
      <c r="I1722" s="178" t="s">
        <v>195</v>
      </c>
    </row>
    <row r="1723" spans="1:9" hidden="1" outlineLevel="2" x14ac:dyDescent="0.25">
      <c r="A1723" s="175">
        <f t="shared" si="55"/>
        <v>34</v>
      </c>
      <c r="B1723" s="175" t="s">
        <v>327</v>
      </c>
      <c r="C1723" s="175" t="str">
        <f t="shared" si="56"/>
        <v xml:space="preserve">Piso concreto Queimado </v>
      </c>
      <c r="D1723" s="175" t="s">
        <v>626</v>
      </c>
      <c r="E1723" s="176" t="str">
        <f>_xlfn.XLOOKUP(D1723,Insumos!$B$1:$B$764,Insumos!$C$1:$C$764)</f>
        <v>M3</v>
      </c>
      <c r="F1723" s="179">
        <v>2.2000000000000002E-2</v>
      </c>
      <c r="G1723" s="177">
        <f>IF(B1723="insumo",_xlfn.XLOOKUP($D1723,Insumos!$B$1:$B$764,Insumos!$D$1:$D$764),"")</f>
        <v>550</v>
      </c>
      <c r="H1723" s="177" cm="1">
        <f t="array" ref="H1723">_xlfn.IFS(B1723="Serviço",SUMIFS(H1724:$H$3085,C1724:$C$3085,$C1723),B1723="Insumo",F1723*G1723,B1723="Etapa","")</f>
        <v>12.100000000000001</v>
      </c>
      <c r="I1723" s="178"/>
    </row>
    <row r="1724" spans="1:9" hidden="1" outlineLevel="2" x14ac:dyDescent="0.25">
      <c r="A1724" s="175">
        <f t="shared" si="55"/>
        <v>37</v>
      </c>
      <c r="B1724" s="175" t="s">
        <v>327</v>
      </c>
      <c r="C1724" s="175" t="str">
        <f t="shared" si="56"/>
        <v xml:space="preserve">Piso concreto Queimado </v>
      </c>
      <c r="D1724" s="175" t="s">
        <v>671</v>
      </c>
      <c r="E1724" s="176" t="str">
        <f>_xlfn.XLOOKUP(D1724,Insumos!$B$1:$B$764,Insumos!$C$1:$C$764)</f>
        <v>L</v>
      </c>
      <c r="F1724" s="179">
        <v>1.4000000000000002E-2</v>
      </c>
      <c r="G1724" s="177">
        <f>IF(B1724="insumo",_xlfn.XLOOKUP($D1724,Insumos!$B$1:$B$764,Insumos!$D$1:$D$764),"")</f>
        <v>19.34</v>
      </c>
      <c r="H1724" s="177" cm="1">
        <f t="array" ref="H1724">_xlfn.IFS(B1724="Serviço",SUMIFS(H1725:$H$3085,C1725:$C$3085,$C1724),B1724="Insumo",F1724*G1724,B1724="Etapa","")</f>
        <v>0.27076000000000006</v>
      </c>
      <c r="I1724" s="178"/>
    </row>
    <row r="1725" spans="1:9" hidden="1" outlineLevel="2" x14ac:dyDescent="0.25">
      <c r="A1725" s="175">
        <f t="shared" si="55"/>
        <v>39</v>
      </c>
      <c r="B1725" s="175" t="s">
        <v>327</v>
      </c>
      <c r="C1725" s="175" t="str">
        <f t="shared" si="56"/>
        <v xml:space="preserve">Piso concreto Queimado </v>
      </c>
      <c r="D1725" s="175" t="s">
        <v>396</v>
      </c>
      <c r="E1725" s="176" t="str">
        <f>_xlfn.XLOOKUP(D1725,Insumos!$B$1:$B$764,Insumos!$C$1:$C$764)</f>
        <v>KG</v>
      </c>
      <c r="F1725" s="179">
        <v>0.33333333333333337</v>
      </c>
      <c r="G1725" s="177">
        <f>IF(B1725="insumo",_xlfn.XLOOKUP($D1725,Insumos!$B$1:$B$764,Insumos!$D$1:$D$764),"")</f>
        <v>0.76</v>
      </c>
      <c r="H1725" s="177" cm="1">
        <f t="array" ref="H1725">_xlfn.IFS(B1725="Serviço",SUMIFS(H1726:$H$3085,C1726:$C$3085,$C1725),B1725="Insumo",F1725*G1725,B1725="Etapa","")</f>
        <v>0.25333333333333335</v>
      </c>
      <c r="I1725" s="178"/>
    </row>
    <row r="1726" spans="1:9" outlineLevel="1" collapsed="1" x14ac:dyDescent="0.25">
      <c r="A1726" s="175">
        <f t="shared" si="55"/>
        <v>1</v>
      </c>
      <c r="B1726" s="175" t="s">
        <v>109</v>
      </c>
      <c r="C1726" s="175" t="str">
        <f t="shared" si="56"/>
        <v>Piso cimentado acabamento rústico 6cm</v>
      </c>
      <c r="D1726" s="175" t="s">
        <v>741</v>
      </c>
      <c r="E1726" s="176" t="s">
        <v>13</v>
      </c>
      <c r="F1726" s="175"/>
      <c r="G1726" s="177" t="str">
        <f>IF(B1726="insumo",_xlfn.XLOOKUP($D1726,Insumos!$B$1:$B$764,Insumos!$D$1:$D$764),"")</f>
        <v/>
      </c>
      <c r="H1726" s="177" cm="1">
        <f t="array" ref="H1726">_xlfn.IFS(B1726="Serviço",SUMIFS(H1727:$H$3085,C1727:$C$3085,$C1726),B1726="Insumo",F1726*G1726,B1726="Etapa","")</f>
        <v>33</v>
      </c>
      <c r="I1726" s="178" t="s">
        <v>195</v>
      </c>
    </row>
    <row r="1727" spans="1:9" hidden="1" outlineLevel="2" x14ac:dyDescent="0.25">
      <c r="A1727" s="175">
        <f t="shared" si="55"/>
        <v>34</v>
      </c>
      <c r="B1727" s="175" t="s">
        <v>327</v>
      </c>
      <c r="C1727" s="175" t="str">
        <f t="shared" si="56"/>
        <v>Piso cimentado acabamento rústico 6cm</v>
      </c>
      <c r="D1727" s="175" t="s">
        <v>626</v>
      </c>
      <c r="E1727" s="176" t="str">
        <f>_xlfn.XLOOKUP(D1727,Insumos!$B$1:$B$764,Insumos!$C$1:$C$764)</f>
        <v>M3</v>
      </c>
      <c r="F1727" s="179">
        <v>0.06</v>
      </c>
      <c r="G1727" s="177">
        <f>IF(B1727="insumo",_xlfn.XLOOKUP($D1727,Insumos!$B$1:$B$764,Insumos!$D$1:$D$764),"")</f>
        <v>550</v>
      </c>
      <c r="H1727" s="177" cm="1">
        <f t="array" ref="H1727">_xlfn.IFS(B1727="Serviço",SUMIFS(H1728:$H$3085,C1728:$C$3085,$C1727),B1727="Insumo",F1727*G1727,B1727="Etapa","")</f>
        <v>33</v>
      </c>
      <c r="I1727" s="178"/>
    </row>
    <row r="1728" spans="1:9" outlineLevel="1" collapsed="1" x14ac:dyDescent="0.25">
      <c r="A1728" s="175">
        <f t="shared" si="55"/>
        <v>1</v>
      </c>
      <c r="B1728" s="175" t="s">
        <v>109</v>
      </c>
      <c r="C1728" s="175" t="str">
        <f t="shared" si="56"/>
        <v>Piso de concreto, acabamento desempenado, espessura 6 cm</v>
      </c>
      <c r="D1728" s="175" t="s">
        <v>742</v>
      </c>
      <c r="E1728" s="176" t="s">
        <v>13</v>
      </c>
      <c r="F1728" s="175"/>
      <c r="G1728" s="177" t="str">
        <f>IF(B1728="insumo",_xlfn.XLOOKUP($D1728,Insumos!$B$1:$B$764,Insumos!$D$1:$D$764),"")</f>
        <v/>
      </c>
      <c r="H1728" s="177" cm="1">
        <f t="array" ref="H1728">_xlfn.IFS(B1728="Serviço",SUMIFS(H1729:$H$3085,C1729:$C$3085,$C1728),B1728="Insumo",F1728*G1728,B1728="Etapa","")</f>
        <v>182.79599999999999</v>
      </c>
      <c r="I1728" s="178" t="s">
        <v>195</v>
      </c>
    </row>
    <row r="1729" spans="1:9" hidden="1" outlineLevel="2" x14ac:dyDescent="0.25">
      <c r="A1729" s="175">
        <f t="shared" si="55"/>
        <v>18</v>
      </c>
      <c r="B1729" s="175" t="s">
        <v>327</v>
      </c>
      <c r="C1729" s="175" t="str">
        <f t="shared" si="56"/>
        <v>Piso de concreto, acabamento desempenado, espessura 6 cm</v>
      </c>
      <c r="D1729" s="175" t="s">
        <v>373</v>
      </c>
      <c r="E1729" s="176" t="str">
        <f>_xlfn.XLOOKUP(D1729,Insumos!$B$1:$B$764,Insumos!$C$1:$C$764)</f>
        <v>M3</v>
      </c>
      <c r="F1729" s="179">
        <v>1.125E-2</v>
      </c>
      <c r="G1729" s="177">
        <f>IF(B1729="insumo",_xlfn.XLOOKUP($D1729,Insumos!$B$1:$B$764,Insumos!$D$1:$D$764),"")</f>
        <v>1350</v>
      </c>
      <c r="H1729" s="177" cm="1">
        <f t="array" ref="H1729">_xlfn.IFS(B1729="Serviço",SUMIFS(H1730:$H$3085,C1730:$C$3085,$C1729),B1729="Insumo",F1729*G1729,B1729="Etapa","")</f>
        <v>15.1875</v>
      </c>
      <c r="I1729" s="178"/>
    </row>
    <row r="1730" spans="1:9" hidden="1" outlineLevel="2" x14ac:dyDescent="0.25">
      <c r="A1730" s="175">
        <f t="shared" ref="A1730:A1793" si="57">COUNTIFS($D$2:$D$3085,D1730,$B$2:$B$3085,B1730)</f>
        <v>9</v>
      </c>
      <c r="B1730" s="175" t="s">
        <v>327</v>
      </c>
      <c r="C1730" s="175" t="str">
        <f t="shared" si="56"/>
        <v>Piso de concreto, acabamento desempenado, espessura 6 cm</v>
      </c>
      <c r="D1730" s="175" t="s">
        <v>339</v>
      </c>
      <c r="E1730" s="176" t="str">
        <f>_xlfn.XLOOKUP(D1730,Insumos!$B$1:$B$764,Insumos!$C$1:$C$764)</f>
        <v>M3</v>
      </c>
      <c r="F1730" s="179">
        <v>7.2900000000000006E-2</v>
      </c>
      <c r="G1730" s="177">
        <f>IF(B1730="insumo",_xlfn.XLOOKUP($D1730,Insumos!$B$1:$B$764,Insumos!$D$1:$D$764),"")</f>
        <v>490</v>
      </c>
      <c r="H1730" s="177" cm="1">
        <f t="array" ref="H1730">_xlfn.IFS(B1730="Serviço",SUMIFS(H1731:$H$3085,C1731:$C$3085,$C1730),B1730="Insumo",F1730*G1730,B1730="Etapa","")</f>
        <v>35.721000000000004</v>
      </c>
      <c r="I1730" s="178"/>
    </row>
    <row r="1731" spans="1:9" hidden="1" outlineLevel="2" x14ac:dyDescent="0.25">
      <c r="A1731" s="175">
        <f t="shared" si="57"/>
        <v>1</v>
      </c>
      <c r="B1731" s="175" t="s">
        <v>327</v>
      </c>
      <c r="C1731" s="175" t="str">
        <f t="shared" si="56"/>
        <v>Piso de concreto, acabamento desempenado, espessura 6 cm</v>
      </c>
      <c r="D1731" s="175" t="s">
        <v>743</v>
      </c>
      <c r="E1731" s="176" t="str">
        <f>_xlfn.XLOOKUP(D1731,Insumos!$B$1:$B$764,Insumos!$C$1:$C$764)</f>
        <v>M3</v>
      </c>
      <c r="F1731" s="179">
        <v>1.8749999999999999E-2</v>
      </c>
      <c r="G1731" s="177">
        <f>IF(B1731="insumo",_xlfn.XLOOKUP($D1731,Insumos!$B$1:$B$764,Insumos!$D$1:$D$764),"")</f>
        <v>1050</v>
      </c>
      <c r="H1731" s="177" cm="1">
        <f t="array" ref="H1731">_xlfn.IFS(B1731="Serviço",SUMIFS(H1732:$H$3085,C1732:$C$3085,$C1731),B1731="Insumo",F1731*G1731,B1731="Etapa","")</f>
        <v>19.6875</v>
      </c>
      <c r="I1731" s="178"/>
    </row>
    <row r="1732" spans="1:9" hidden="1" outlineLevel="2" x14ac:dyDescent="0.25">
      <c r="A1732" s="175">
        <f t="shared" si="57"/>
        <v>4</v>
      </c>
      <c r="B1732" s="175" t="s">
        <v>327</v>
      </c>
      <c r="C1732" s="175" t="str">
        <f t="shared" si="56"/>
        <v>Piso de concreto, acabamento desempenado, espessura 6 cm</v>
      </c>
      <c r="D1732" s="175" t="s">
        <v>744</v>
      </c>
      <c r="E1732" s="176" t="str">
        <f>_xlfn.XLOOKUP(D1732,Insumos!$B$1:$B$764,Insumos!$C$1:$C$764)</f>
        <v>KG</v>
      </c>
      <c r="F1732" s="179">
        <v>12</v>
      </c>
      <c r="G1732" s="177">
        <f>IF(B1732="insumo",_xlfn.XLOOKUP($D1732,Insumos!$B$1:$B$764,Insumos!$D$1:$D$764),"")</f>
        <v>9.35</v>
      </c>
      <c r="H1732" s="177" cm="1">
        <f t="array" ref="H1732">_xlfn.IFS(B1732="Serviço",SUMIFS(H1733:$H$3085,C1733:$C$3085,$C1732),B1732="Insumo",F1732*G1732,B1732="Etapa","")</f>
        <v>112.19999999999999</v>
      </c>
      <c r="I1732" s="178"/>
    </row>
    <row r="1733" spans="1:9" outlineLevel="1" x14ac:dyDescent="0.25">
      <c r="A1733" s="175">
        <f t="shared" si="57"/>
        <v>1</v>
      </c>
      <c r="B1733" s="175" t="s">
        <v>109</v>
      </c>
      <c r="C1733" s="175" t="str">
        <f t="shared" si="56"/>
        <v>Piso de concreto, acabamento estampado, espessura 6 cm</v>
      </c>
      <c r="D1733" s="175" t="s">
        <v>1970</v>
      </c>
      <c r="E1733" s="176" t="s">
        <v>13</v>
      </c>
      <c r="F1733" s="175"/>
      <c r="G1733" s="177" t="str">
        <f>IF(B1733="insumo",_xlfn.XLOOKUP($D1733,Insumos!$B$1:$B$764,Insumos!$D$1:$D$764),"")</f>
        <v/>
      </c>
      <c r="H1733" s="177" cm="1">
        <f t="array" ref="H1733">_xlfn.IFS(B1733="Serviço",SUMIFS(H1734:$H$3085,C1734:$C$3085,$C1733),B1733="Insumo",F1733*G1733,B1733="Etapa","")</f>
        <v>77.366820666666669</v>
      </c>
      <c r="I1733" s="178" t="s">
        <v>195</v>
      </c>
    </row>
    <row r="1734" spans="1:9" outlineLevel="2" x14ac:dyDescent="0.25">
      <c r="A1734" s="175">
        <f t="shared" si="57"/>
        <v>18</v>
      </c>
      <c r="B1734" s="175" t="s">
        <v>327</v>
      </c>
      <c r="C1734" s="175" t="str">
        <f t="shared" si="56"/>
        <v>Piso de concreto, acabamento estampado, espessura 6 cm</v>
      </c>
      <c r="D1734" s="175" t="s">
        <v>373</v>
      </c>
      <c r="E1734" s="176" t="str">
        <f>_xlfn.XLOOKUP(D1734,Insumos!$B$1:$B$764,Insumos!$C$1:$C$764)</f>
        <v>M3</v>
      </c>
      <c r="F1734" s="179">
        <v>4.4999999999999997E-3</v>
      </c>
      <c r="G1734" s="177">
        <f>IF(B1734="insumo",_xlfn.XLOOKUP($D1734,Insumos!$B$1:$B$764,Insumos!$D$1:$D$764),"")</f>
        <v>1350</v>
      </c>
      <c r="H1734" s="177" cm="1">
        <f t="array" ref="H1734">_xlfn.IFS(B1734="Serviço",SUMIFS(H1735:$H$3085,C1735:$C$3085,$C1734),B1734="Insumo",F1734*G1734,B1734="Etapa","")</f>
        <v>6.0749999999999993</v>
      </c>
      <c r="I1734" s="178"/>
    </row>
    <row r="1735" spans="1:9" outlineLevel="2" x14ac:dyDescent="0.25">
      <c r="A1735" s="175">
        <f t="shared" si="57"/>
        <v>9</v>
      </c>
      <c r="B1735" s="175" t="s">
        <v>327</v>
      </c>
      <c r="C1735" s="175" t="str">
        <f t="shared" si="56"/>
        <v>Piso de concreto, acabamento estampado, espessura 6 cm</v>
      </c>
      <c r="D1735" s="175" t="s">
        <v>339</v>
      </c>
      <c r="E1735" s="176" t="str">
        <f>_xlfn.XLOOKUP(D1735,Insumos!$B$1:$B$764,Insumos!$C$1:$C$764)</f>
        <v>M3</v>
      </c>
      <c r="F1735" s="179">
        <v>7.3899999999999993E-2</v>
      </c>
      <c r="G1735" s="177">
        <f>IF(B1735="insumo",_xlfn.XLOOKUP($D1735,Insumos!$B$1:$B$764,Insumos!$D$1:$D$764),"")</f>
        <v>490</v>
      </c>
      <c r="H1735" s="177" cm="1">
        <f t="array" ref="H1735">_xlfn.IFS(B1735="Serviço",SUMIFS(H1736:$H$3085,C1736:$C$3085,$C1735),B1735="Insumo",F1735*G1735,B1735="Etapa","")</f>
        <v>36.210999999999999</v>
      </c>
      <c r="I1735" s="178"/>
    </row>
    <row r="1736" spans="1:9" outlineLevel="2" x14ac:dyDescent="0.25">
      <c r="A1736" s="175">
        <f t="shared" si="57"/>
        <v>1</v>
      </c>
      <c r="B1736" s="175" t="s">
        <v>327</v>
      </c>
      <c r="C1736" s="175" t="str">
        <f t="shared" si="56"/>
        <v>Piso de concreto, acabamento estampado, espessura 6 cm</v>
      </c>
      <c r="D1736" s="175" t="s">
        <v>1971</v>
      </c>
      <c r="E1736" s="176" t="str">
        <f>_xlfn.XLOOKUP(D1736,Insumos!$B$1:$B$764,Insumos!$C$1:$C$764)</f>
        <v>KG</v>
      </c>
      <c r="F1736" s="179">
        <v>6.6699999999999995E-2</v>
      </c>
      <c r="G1736" s="177">
        <f>IF(B1736="insumo",_xlfn.XLOOKUP($D1736,Insumos!$B$1:$B$764,Insumos!$D$1:$D$764),"")</f>
        <v>21.666666666666668</v>
      </c>
      <c r="H1736" s="177" cm="1">
        <f t="array" ref="H1736">_xlfn.IFS(B1736="Serviço",SUMIFS(H1737:$H$3085,C1737:$C$3085,$C1736),B1736="Insumo",F1736*G1736,B1736="Etapa","")</f>
        <v>1.4451666666666667</v>
      </c>
      <c r="I1736" s="178"/>
    </row>
    <row r="1737" spans="1:9" outlineLevel="2" x14ac:dyDescent="0.25">
      <c r="A1737" s="175">
        <f t="shared" si="57"/>
        <v>1</v>
      </c>
      <c r="B1737" s="175" t="s">
        <v>327</v>
      </c>
      <c r="C1737" s="175" t="str">
        <f t="shared" si="56"/>
        <v>Piso de concreto, acabamento estampado, espessura 6 cm</v>
      </c>
      <c r="D1737" s="175" t="s">
        <v>1972</v>
      </c>
      <c r="E1737" s="176" t="str">
        <f>_xlfn.XLOOKUP(D1737,Insumos!$B$1:$B$764,Insumos!$C$1:$C$764)</f>
        <v>M2</v>
      </c>
      <c r="F1737" s="179">
        <v>2.5000000000000001E-3</v>
      </c>
      <c r="G1737" s="177">
        <f>IF(B1737="insumo",_xlfn.XLOOKUP($D1737,Insumos!$B$1:$B$764,Insumos!$D$1:$D$764),"")</f>
        <v>650</v>
      </c>
      <c r="H1737" s="177" cm="1">
        <f t="array" ref="H1737">_xlfn.IFS(B1737="Serviço",SUMIFS(H1738:$H$3085,C1738:$C$3085,$C1737),B1737="Insumo",F1737*G1737,B1737="Etapa","")</f>
        <v>1.625</v>
      </c>
      <c r="I1737" s="178"/>
    </row>
    <row r="1738" spans="1:9" outlineLevel="2" x14ac:dyDescent="0.25">
      <c r="A1738" s="175">
        <f t="shared" si="57"/>
        <v>36</v>
      </c>
      <c r="B1738" s="175" t="s">
        <v>327</v>
      </c>
      <c r="C1738" s="175" t="str">
        <f t="shared" si="56"/>
        <v>Piso de concreto, acabamento estampado, espessura 6 cm</v>
      </c>
      <c r="D1738" s="175" t="s">
        <v>349</v>
      </c>
      <c r="E1738" s="176" t="str">
        <f>_xlfn.XLOOKUP(D1738,Insumos!$B$1:$B$764,Insumos!$C$1:$C$764)</f>
        <v>KG</v>
      </c>
      <c r="F1738" s="179">
        <v>2.4E-2</v>
      </c>
      <c r="G1738" s="177">
        <f>IF(B1738="insumo",_xlfn.XLOOKUP($D1738,Insumos!$B$1:$B$764,Insumos!$D$1:$D$764),"")</f>
        <v>18.13</v>
      </c>
      <c r="H1738" s="177" cm="1">
        <f t="array" ref="H1738">_xlfn.IFS(B1738="Serviço",SUMIFS(H1739:$H$3085,C1739:$C$3085,$C1738),B1738="Insumo",F1738*G1738,B1738="Etapa","")</f>
        <v>0.43512000000000001</v>
      </c>
      <c r="I1738" s="178"/>
    </row>
    <row r="1739" spans="1:9" outlineLevel="2" x14ac:dyDescent="0.25">
      <c r="A1739" s="175">
        <f t="shared" si="57"/>
        <v>1</v>
      </c>
      <c r="B1739" s="175" t="s">
        <v>327</v>
      </c>
      <c r="C1739" s="175" t="str">
        <f t="shared" si="56"/>
        <v>Piso de concreto, acabamento estampado, espessura 6 cm</v>
      </c>
      <c r="D1739" s="175" t="s">
        <v>1973</v>
      </c>
      <c r="E1739" s="176" t="str">
        <f>_xlfn.XLOOKUP(D1739,Insumos!$B$1:$B$764,Insumos!$C$1:$C$764)</f>
        <v>KG</v>
      </c>
      <c r="F1739" s="179">
        <v>1.7391000000000001</v>
      </c>
      <c r="G1739" s="177">
        <f>IF(B1739="insumo",_xlfn.XLOOKUP($D1739,Insumos!$B$1:$B$764,Insumos!$D$1:$D$764),"")</f>
        <v>15.780000000000001</v>
      </c>
      <c r="H1739" s="177" cm="1">
        <f t="array" ref="H1739">_xlfn.IFS(B1739="Serviço",SUMIFS(H1740:$H$3085,C1740:$C$3085,$C1739),B1739="Insumo",F1739*G1739,B1739="Etapa","")</f>
        <v>27.442998000000003</v>
      </c>
      <c r="I1739" s="178"/>
    </row>
    <row r="1740" spans="1:9" outlineLevel="2" x14ac:dyDescent="0.25">
      <c r="A1740" s="175">
        <f t="shared" si="57"/>
        <v>1</v>
      </c>
      <c r="B1740" s="175" t="s">
        <v>327</v>
      </c>
      <c r="C1740" s="175" t="str">
        <f t="shared" si="56"/>
        <v>Piso de concreto, acabamento estampado, espessura 6 cm</v>
      </c>
      <c r="D1740" s="175" t="s">
        <v>1220</v>
      </c>
      <c r="E1740" s="176" t="str">
        <f>_xlfn.XLOOKUP(D1740,Insumos!$B$1:$B$764,Insumos!$C$1:$C$764)</f>
        <v>L</v>
      </c>
      <c r="F1740" s="179">
        <v>0.1636</v>
      </c>
      <c r="G1740" s="177">
        <f>IF(B1740="insumo",_xlfn.XLOOKUP($D1740,Insumos!$B$1:$B$764,Insumos!$D$1:$D$764),"")</f>
        <v>25.26</v>
      </c>
      <c r="H1740" s="177" cm="1">
        <f t="array" ref="H1740">_xlfn.IFS(B1740="Serviço",SUMIFS(H1741:$H$3085,C1741:$C$3085,$C1740),B1740="Insumo",F1740*G1740,B1740="Etapa","")</f>
        <v>4.132536</v>
      </c>
      <c r="I1740" s="178"/>
    </row>
    <row r="1741" spans="1:9" outlineLevel="1" collapsed="1" x14ac:dyDescent="0.25">
      <c r="A1741" s="175">
        <f t="shared" si="57"/>
        <v>1</v>
      </c>
      <c r="B1741" s="175" t="s">
        <v>109</v>
      </c>
      <c r="C1741" s="175" t="str">
        <f t="shared" si="56"/>
        <v>Lapidação de piso com lixas diamantadas</v>
      </c>
      <c r="D1741" s="175" t="s">
        <v>745</v>
      </c>
      <c r="E1741" s="176" t="s">
        <v>13</v>
      </c>
      <c r="F1741" s="175"/>
      <c r="G1741" s="177" t="str">
        <f>IF(B1741="insumo",_xlfn.XLOOKUP($D1741,Insumos!$B$1:$B$764,Insumos!$D$1:$D$764),"")</f>
        <v/>
      </c>
      <c r="H1741" s="177" cm="1">
        <f t="array" ref="H1741">_xlfn.IFS(B1741="Serviço",SUMIFS(H1742:$H$3085,C1742:$C$3085,$C1741),B1741="Insumo",F1741*G1741,B1741="Etapa","")</f>
        <v>75</v>
      </c>
      <c r="I1741" s="178" t="s">
        <v>195</v>
      </c>
    </row>
    <row r="1742" spans="1:9" hidden="1" outlineLevel="2" x14ac:dyDescent="0.25">
      <c r="A1742" s="175">
        <f t="shared" si="57"/>
        <v>1</v>
      </c>
      <c r="B1742" s="175" t="s">
        <v>327</v>
      </c>
      <c r="C1742" s="175" t="str">
        <f t="shared" si="56"/>
        <v>Lapidação de piso com lixas diamantadas</v>
      </c>
      <c r="D1742" s="175" t="s">
        <v>745</v>
      </c>
      <c r="E1742" s="176" t="str">
        <f>_xlfn.XLOOKUP(D1742,Insumos!$B$1:$B$764,Insumos!$C$1:$C$764)</f>
        <v>M2</v>
      </c>
      <c r="F1742" s="179">
        <v>1</v>
      </c>
      <c r="G1742" s="177">
        <f>IF(B1742="insumo",_xlfn.XLOOKUP($D1742,Insumos!$B$1:$B$764,Insumos!$D$1:$D$764),"")</f>
        <v>75</v>
      </c>
      <c r="H1742" s="177" cm="1">
        <f t="array" ref="H1742">_xlfn.IFS(B1742="Serviço",SUMIFS(H1743:$H$3085,C1743:$C$3085,$C1742),B1742="Insumo",F1742*G1742,B1742="Etapa","")</f>
        <v>75</v>
      </c>
      <c r="I1742" s="178"/>
    </row>
    <row r="1743" spans="1:9" outlineLevel="1" collapsed="1" x14ac:dyDescent="0.25">
      <c r="A1743" s="175">
        <f t="shared" si="57"/>
        <v>1</v>
      </c>
      <c r="B1743" s="175" t="s">
        <v>109</v>
      </c>
      <c r="C1743" s="175" t="str">
        <f t="shared" si="56"/>
        <v>Enchimento de piso - com areia média - Material e Mão de obra</v>
      </c>
      <c r="D1743" s="175" t="s">
        <v>746</v>
      </c>
      <c r="E1743" s="176" t="s">
        <v>13</v>
      </c>
      <c r="F1743" s="175"/>
      <c r="G1743" s="177" t="str">
        <f>IF(B1743="insumo",_xlfn.XLOOKUP($D1743,Insumos!$B$1:$B$764,Insumos!$D$1:$D$764),"")</f>
        <v/>
      </c>
      <c r="H1743" s="177" cm="1">
        <f t="array" ref="H1743">_xlfn.IFS(B1743="Serviço",SUMIFS(H1744:$H$3085,C1744:$C$3085,$C1743),B1743="Insumo",F1743*G1743,B1743="Etapa","")</f>
        <v>189.29999999999998</v>
      </c>
      <c r="I1743" s="178" t="s">
        <v>195</v>
      </c>
    </row>
    <row r="1744" spans="1:9" hidden="1" outlineLevel="2" x14ac:dyDescent="0.25">
      <c r="A1744" s="175">
        <f t="shared" si="57"/>
        <v>1</v>
      </c>
      <c r="B1744" s="175" t="s">
        <v>327</v>
      </c>
      <c r="C1744" s="175" t="str">
        <f t="shared" si="56"/>
        <v>Enchimento de piso - com areia média - Material e Mão de obra</v>
      </c>
      <c r="D1744" s="175" t="s">
        <v>747</v>
      </c>
      <c r="E1744" s="176" t="str">
        <f>_xlfn.XLOOKUP(D1744,Insumos!$B$1:$B$764,Insumos!$C$1:$C$764)</f>
        <v>M2</v>
      </c>
      <c r="F1744" s="179">
        <v>1</v>
      </c>
      <c r="G1744" s="177">
        <f>IF(B1744="insumo",_xlfn.XLOOKUP($D1744,Insumos!$B$1:$B$764,Insumos!$D$1:$D$764),"")</f>
        <v>16.75</v>
      </c>
      <c r="H1744" s="177" cm="1">
        <f t="array" ref="H1744">_xlfn.IFS(B1744="Serviço",SUMIFS(H1745:$H$3085,C1745:$C$3085,$C1744),B1744="Insumo",F1744*G1744,B1744="Etapa","")</f>
        <v>16.75</v>
      </c>
      <c r="I1744" s="178"/>
    </row>
    <row r="1745" spans="1:9" hidden="1" outlineLevel="2" x14ac:dyDescent="0.25">
      <c r="A1745" s="175">
        <f t="shared" si="57"/>
        <v>7</v>
      </c>
      <c r="B1745" s="175" t="s">
        <v>327</v>
      </c>
      <c r="C1745" s="175" t="str">
        <f t="shared" si="56"/>
        <v>Enchimento de piso - com areia média - Material e Mão de obra</v>
      </c>
      <c r="D1745" s="175" t="s">
        <v>624</v>
      </c>
      <c r="E1745" s="176" t="str">
        <f>_xlfn.XLOOKUP(D1745,Insumos!$B$1:$B$764,Insumos!$C$1:$C$764)</f>
        <v>M3</v>
      </c>
      <c r="F1745" s="179">
        <v>1.19</v>
      </c>
      <c r="G1745" s="177">
        <f>IF(B1745="insumo",_xlfn.XLOOKUP($D1745,Insumos!$B$1:$B$764,Insumos!$D$1:$D$764),"")</f>
        <v>145</v>
      </c>
      <c r="H1745" s="177" cm="1">
        <f t="array" ref="H1745">_xlfn.IFS(B1745="Serviço",SUMIFS(H1746:$H$3085,C1746:$C$3085,$C1745),B1745="Insumo",F1745*G1745,B1745="Etapa","")</f>
        <v>172.54999999999998</v>
      </c>
      <c r="I1745" s="178"/>
    </row>
    <row r="1746" spans="1:9" outlineLevel="1" collapsed="1" x14ac:dyDescent="0.25">
      <c r="A1746" s="175">
        <f t="shared" si="57"/>
        <v>1</v>
      </c>
      <c r="B1746" s="175" t="s">
        <v>109</v>
      </c>
      <c r="C1746" s="175" t="str">
        <f t="shared" si="56"/>
        <v xml:space="preserve">Deck de madeira - material e mão de obra </v>
      </c>
      <c r="D1746" s="175" t="s">
        <v>748</v>
      </c>
      <c r="E1746" s="176" t="s">
        <v>13</v>
      </c>
      <c r="F1746" s="175"/>
      <c r="G1746" s="177" t="str">
        <f>IF(B1746="insumo",_xlfn.XLOOKUP($D1746,Insumos!$B$1:$B$764,Insumos!$D$1:$D$764),"")</f>
        <v/>
      </c>
      <c r="H1746" s="177" cm="1">
        <f t="array" ref="H1746">_xlfn.IFS(B1746="Serviço",SUMIFS(H1747:$H$3085,C1747:$C$3085,$C1746),B1746="Insumo",F1746*G1746,B1746="Etapa","")</f>
        <v>822.7</v>
      </c>
      <c r="I1746" s="178" t="s">
        <v>195</v>
      </c>
    </row>
    <row r="1747" spans="1:9" hidden="1" outlineLevel="2" x14ac:dyDescent="0.25">
      <c r="A1747" s="175">
        <f t="shared" si="57"/>
        <v>1</v>
      </c>
      <c r="B1747" s="175" t="s">
        <v>327</v>
      </c>
      <c r="C1747" s="175" t="str">
        <f t="shared" si="56"/>
        <v xml:space="preserve">Deck de madeira - material e mão de obra </v>
      </c>
      <c r="D1747" s="175" t="s">
        <v>749</v>
      </c>
      <c r="E1747" s="176" t="str">
        <f>_xlfn.XLOOKUP(D1747,Insumos!$B$1:$B$764,Insumos!$C$1:$C$764)</f>
        <v>M2</v>
      </c>
      <c r="F1747" s="179">
        <v>1.1000000000000001</v>
      </c>
      <c r="G1747" s="177">
        <f>IF(B1747="insumo",_xlfn.XLOOKUP($D1747,Insumos!$B$1:$B$764,Insumos!$D$1:$D$764),"")</f>
        <v>557</v>
      </c>
      <c r="H1747" s="177" cm="1">
        <f t="array" ref="H1747">_xlfn.IFS(B1747="Serviço",SUMIFS(H1748:$H$3085,C1748:$C$3085,$C1747),B1747="Insumo",F1747*G1747,B1747="Etapa","")</f>
        <v>612.70000000000005</v>
      </c>
      <c r="I1747" s="178"/>
    </row>
    <row r="1748" spans="1:9" hidden="1" outlineLevel="2" x14ac:dyDescent="0.25">
      <c r="A1748" s="175">
        <f t="shared" si="57"/>
        <v>1</v>
      </c>
      <c r="B1748" s="175" t="s">
        <v>327</v>
      </c>
      <c r="C1748" s="175" t="str">
        <f t="shared" si="56"/>
        <v xml:space="preserve">Deck de madeira - material e mão de obra </v>
      </c>
      <c r="D1748" s="175" t="s">
        <v>750</v>
      </c>
      <c r="E1748" s="176" t="str">
        <f>_xlfn.XLOOKUP(D1748,Insumos!$B$1:$B$764,Insumos!$C$1:$C$764)</f>
        <v>M2</v>
      </c>
      <c r="F1748" s="179">
        <v>1</v>
      </c>
      <c r="G1748" s="177">
        <f>IF(B1748="insumo",_xlfn.XLOOKUP($D1748,Insumos!$B$1:$B$764,Insumos!$D$1:$D$764),"")</f>
        <v>210</v>
      </c>
      <c r="H1748" s="177" cm="1">
        <f t="array" ref="H1748">_xlfn.IFS(B1748="Serviço",SUMIFS(H1749:$H$3085,C1749:$C$3085,$C1748),B1748="Insumo",F1748*G1748,B1748="Etapa","")</f>
        <v>210</v>
      </c>
      <c r="I1748" s="178"/>
    </row>
    <row r="1749" spans="1:9" outlineLevel="1" collapsed="1" x14ac:dyDescent="0.25">
      <c r="A1749" s="175">
        <f t="shared" si="57"/>
        <v>1</v>
      </c>
      <c r="B1749" s="175" t="s">
        <v>109</v>
      </c>
      <c r="C1749" s="175" t="str">
        <f t="shared" si="56"/>
        <v>Pisos Para Academia Emborrachado</v>
      </c>
      <c r="D1749" s="184" t="s">
        <v>751</v>
      </c>
      <c r="E1749" s="176" t="s">
        <v>13</v>
      </c>
      <c r="F1749" s="184"/>
      <c r="G1749" s="185" t="str">
        <f>IF(B1749="insumo",_xlfn.XLOOKUP($D1749,Insumos!$B$1:$B$764,Insumos!$D$1:$D$764),"")</f>
        <v/>
      </c>
      <c r="H1749" s="177" cm="1">
        <f t="array" ref="H1749">_xlfn.IFS(B1749="Serviço",SUMIFS(H1750:$H$3085,C1750:$C$3085,$C1749),B1749="Insumo",F1749*G1749,B1749="Etapa","")</f>
        <v>138.4</v>
      </c>
      <c r="I1749" s="186" t="s">
        <v>195</v>
      </c>
    </row>
    <row r="1750" spans="1:9" hidden="1" outlineLevel="2" x14ac:dyDescent="0.25">
      <c r="A1750" s="175">
        <f t="shared" si="57"/>
        <v>1</v>
      </c>
      <c r="B1750" s="175" t="s">
        <v>327</v>
      </c>
      <c r="C1750" s="175" t="str">
        <f t="shared" si="56"/>
        <v>Pisos Para Academia Emborrachado</v>
      </c>
      <c r="D1750" s="175" t="s">
        <v>752</v>
      </c>
      <c r="E1750" s="176" t="str">
        <f>_xlfn.XLOOKUP(D1750,Insumos!$B$1:$B$764,Insumos!$C$1:$C$764)</f>
        <v>M2</v>
      </c>
      <c r="F1750" s="179">
        <v>1</v>
      </c>
      <c r="G1750" s="177">
        <f>IF(B1750="insumo",_xlfn.XLOOKUP($D1750,Insumos!$B$1:$B$764,Insumos!$D$1:$D$764),"")</f>
        <v>138.4</v>
      </c>
      <c r="H1750" s="177" cm="1">
        <f t="array" ref="H1750">_xlfn.IFS(B1750="Serviço",SUMIFS(H1751:$H$3085,C1751:$C$3085,$C1750),B1750="Insumo",F1750*G1750,B1750="Etapa","")</f>
        <v>138.4</v>
      </c>
      <c r="I1750" s="178"/>
    </row>
    <row r="1751" spans="1:9" outlineLevel="1" x14ac:dyDescent="0.25">
      <c r="A1751" s="175">
        <f t="shared" si="57"/>
        <v>1</v>
      </c>
      <c r="B1751" s="175" t="s">
        <v>109</v>
      </c>
      <c r="C1751" s="175" t="str">
        <f t="shared" si="56"/>
        <v>Pisos Para Academia Emborrachado Aubicon Placa 25 mm, 70x70</v>
      </c>
      <c r="D1751" s="184" t="s">
        <v>4259</v>
      </c>
      <c r="E1751" s="176" t="s">
        <v>13</v>
      </c>
      <c r="F1751" s="184"/>
      <c r="G1751" s="185" t="str">
        <f>IF(B1751="insumo",_xlfn.XLOOKUP($D1751,Insumos!$B$1:$B$764,Insumos!$D$1:$D$764),"")</f>
        <v/>
      </c>
      <c r="H1751" s="177" cm="1">
        <f t="array" ref="H1751">_xlfn.IFS(B1751="Serviço",SUMIFS(H1752:$H$3085,C1752:$C$3085,$C1751),B1751="Insumo",F1751*G1751,B1751="Etapa","")</f>
        <v>160</v>
      </c>
      <c r="I1751" s="186" t="s">
        <v>195</v>
      </c>
    </row>
    <row r="1752" spans="1:9" outlineLevel="2" x14ac:dyDescent="0.25">
      <c r="A1752" s="175">
        <f t="shared" si="57"/>
        <v>1</v>
      </c>
      <c r="B1752" s="175" t="s">
        <v>327</v>
      </c>
      <c r="C1752" s="175" t="str">
        <f t="shared" si="56"/>
        <v>Pisos Para Academia Emborrachado Aubicon Placa 25 mm, 70x70</v>
      </c>
      <c r="D1752" s="175" t="s">
        <v>4259</v>
      </c>
      <c r="E1752" s="176" t="str">
        <f>_xlfn.XLOOKUP(D1752,Insumos!$B$1:$B$764,Insumos!$C$1:$C$764)</f>
        <v>M2</v>
      </c>
      <c r="F1752" s="179">
        <v>1</v>
      </c>
      <c r="G1752" s="177">
        <f>IF(B1752="insumo",_xlfn.XLOOKUP($D1752,Insumos!$B$1:$B$764,Insumos!$D$1:$D$764),"")</f>
        <v>160</v>
      </c>
      <c r="H1752" s="177" cm="1">
        <f t="array" ref="H1752">_xlfn.IFS(B1752="Serviço",SUMIFS(H1753:$H$3085,C1753:$C$3085,$C1752),B1752="Insumo",F1752*G1752,B1752="Etapa","")</f>
        <v>160</v>
      </c>
      <c r="I1752" s="178"/>
    </row>
    <row r="1753" spans="1:9" outlineLevel="1" collapsed="1" x14ac:dyDescent="0.25">
      <c r="A1753" s="175">
        <f t="shared" si="57"/>
        <v>1</v>
      </c>
      <c r="B1753" s="175" t="s">
        <v>109</v>
      </c>
      <c r="C1753" s="175" t="str">
        <f t="shared" si="56"/>
        <v>Pisos Para Academia Emborrachado Aubicon Placa 40 mm, 70x70</v>
      </c>
      <c r="D1753" s="175" t="s">
        <v>4260</v>
      </c>
      <c r="E1753" s="176" t="s">
        <v>13</v>
      </c>
      <c r="F1753" s="184"/>
      <c r="G1753" s="185" t="str">
        <f>IF(B1753="insumo",_xlfn.XLOOKUP($D1753,Insumos!$B$1:$B$764,Insumos!$D$1:$D$764),"")</f>
        <v/>
      </c>
      <c r="H1753" s="177" cm="1">
        <f t="array" ref="H1753">_xlfn.IFS(B1753="Serviço",SUMIFS(H1754:$H$3085,C1754:$C$3085,$C1753),B1753="Insumo",F1753*G1753,B1753="Etapa","")</f>
        <v>200</v>
      </c>
      <c r="I1753" s="186" t="s">
        <v>195</v>
      </c>
    </row>
    <row r="1754" spans="1:9" hidden="1" outlineLevel="2" x14ac:dyDescent="0.25">
      <c r="A1754" s="175">
        <f t="shared" si="57"/>
        <v>1</v>
      </c>
      <c r="B1754" s="175" t="s">
        <v>327</v>
      </c>
      <c r="C1754" s="175" t="str">
        <f t="shared" si="56"/>
        <v>Pisos Para Academia Emborrachado Aubicon Placa 40 mm, 70x70</v>
      </c>
      <c r="D1754" s="175" t="s">
        <v>4260</v>
      </c>
      <c r="E1754" s="176" t="str">
        <f>_xlfn.XLOOKUP(D1754,Insumos!$B$1:$B$764,Insumos!$C$1:$C$764)</f>
        <v>M2</v>
      </c>
      <c r="F1754" s="179">
        <v>1</v>
      </c>
      <c r="G1754" s="177">
        <f>IF(B1754="insumo",_xlfn.XLOOKUP($D1754,Insumos!$B$1:$B$764,Insumos!$D$1:$D$764),"")</f>
        <v>200</v>
      </c>
      <c r="H1754" s="177" cm="1">
        <f t="array" ref="H1754">_xlfn.IFS(B1754="Serviço",SUMIFS(H1755:$H$3085,C1755:$C$3085,$C1754),B1754="Insumo",F1754*G1754,B1754="Etapa","")</f>
        <v>200</v>
      </c>
      <c r="I1754" s="178"/>
    </row>
    <row r="1755" spans="1:9" outlineLevel="1" collapsed="1" x14ac:dyDescent="0.25">
      <c r="A1755" s="175">
        <f t="shared" si="57"/>
        <v>1</v>
      </c>
      <c r="B1755" s="175" t="s">
        <v>109</v>
      </c>
      <c r="C1755" s="175" t="str">
        <f t="shared" si="56"/>
        <v>Pisos Para Academia Emborrachado Aubicon Placa 50 mm, 90x90</v>
      </c>
      <c r="D1755" s="184" t="s">
        <v>4258</v>
      </c>
      <c r="E1755" s="176" t="s">
        <v>13</v>
      </c>
      <c r="F1755" s="184"/>
      <c r="G1755" s="185" t="str">
        <f>IF(B1755="insumo",_xlfn.XLOOKUP($D1755,Insumos!$B$1:$B$764,Insumos!$D$1:$D$764),"")</f>
        <v/>
      </c>
      <c r="H1755" s="177" cm="1">
        <f t="array" ref="H1755">_xlfn.IFS(B1755="Serviço",SUMIFS(H1756:$H$3085,C1756:$C$3085,$C1755),B1755="Insumo",F1755*G1755,B1755="Etapa","")</f>
        <v>250</v>
      </c>
      <c r="I1755" s="186" t="s">
        <v>195</v>
      </c>
    </row>
    <row r="1756" spans="1:9" hidden="1" outlineLevel="2" x14ac:dyDescent="0.25">
      <c r="A1756" s="175">
        <f t="shared" si="57"/>
        <v>1</v>
      </c>
      <c r="B1756" s="175" t="s">
        <v>327</v>
      </c>
      <c r="C1756" s="175" t="str">
        <f t="shared" si="56"/>
        <v>Pisos Para Academia Emborrachado Aubicon Placa 50 mm, 90x90</v>
      </c>
      <c r="D1756" s="175" t="s">
        <v>4258</v>
      </c>
      <c r="E1756" s="176" t="str">
        <f>_xlfn.XLOOKUP(D1756,Insumos!$B$1:$B$764,Insumos!$C$1:$C$764)</f>
        <v>M2</v>
      </c>
      <c r="F1756" s="179">
        <v>1</v>
      </c>
      <c r="G1756" s="177">
        <f>IF(B1756="insumo",_xlfn.XLOOKUP($D1756,Insumos!$B$1:$B$764,Insumos!$D$1:$D$764),"")</f>
        <v>250</v>
      </c>
      <c r="H1756" s="177" cm="1">
        <f t="array" ref="H1756">_xlfn.IFS(B1756="Serviço",SUMIFS(H1757:$H$3085,C1757:$C$3085,$C1756),B1756="Insumo",F1756*G1756,B1756="Etapa","")</f>
        <v>250</v>
      </c>
      <c r="I1756" s="178"/>
    </row>
    <row r="1757" spans="1:9" outlineLevel="1" x14ac:dyDescent="0.25">
      <c r="A1757" s="175">
        <f t="shared" si="57"/>
        <v>1</v>
      </c>
      <c r="B1757" s="175" t="s">
        <v>109</v>
      </c>
      <c r="C1757" s="175" t="str">
        <f t="shared" si="56"/>
        <v>Pisos Para Academia Emborrachado Aubicon Placa 80 mm, 90x90</v>
      </c>
      <c r="D1757" s="184" t="s">
        <v>4257</v>
      </c>
      <c r="E1757" s="176" t="s">
        <v>13</v>
      </c>
      <c r="F1757" s="184"/>
      <c r="G1757" s="185" t="str">
        <f>IF(B1757="insumo",_xlfn.XLOOKUP($D1757,Insumos!$B$1:$B$764,Insumos!$D$1:$D$764),"")</f>
        <v/>
      </c>
      <c r="H1757" s="177" cm="1">
        <f t="array" ref="H1757">_xlfn.IFS(B1757="Serviço",SUMIFS(H1758:$H$3085,C1758:$C$3085,$C1757),B1757="Insumo",F1757*G1757,B1757="Etapa","")</f>
        <v>320</v>
      </c>
      <c r="I1757" s="186" t="s">
        <v>195</v>
      </c>
    </row>
    <row r="1758" spans="1:9" outlineLevel="2" x14ac:dyDescent="0.25">
      <c r="A1758" s="175">
        <f t="shared" si="57"/>
        <v>1</v>
      </c>
      <c r="B1758" s="175" t="s">
        <v>327</v>
      </c>
      <c r="C1758" s="175" t="str">
        <f t="shared" si="56"/>
        <v>Pisos Para Academia Emborrachado Aubicon Placa 80 mm, 90x90</v>
      </c>
      <c r="D1758" s="175" t="s">
        <v>4257</v>
      </c>
      <c r="E1758" s="176" t="str">
        <f>_xlfn.XLOOKUP(D1758,Insumos!$B$1:$B$764,Insumos!$C$1:$C$764)</f>
        <v>M2</v>
      </c>
      <c r="F1758" s="179">
        <v>1</v>
      </c>
      <c r="G1758" s="177">
        <f>IF(B1758="insumo",_xlfn.XLOOKUP($D1758,Insumos!$B$1:$B$764,Insumos!$D$1:$D$764),"")</f>
        <v>320</v>
      </c>
      <c r="H1758" s="177" cm="1">
        <f t="array" ref="H1758">_xlfn.IFS(B1758="Serviço",SUMIFS(H1759:$H$3085,C1759:$C$3085,$C1758),B1758="Insumo",F1758*G1758,B1758="Etapa","")</f>
        <v>320</v>
      </c>
      <c r="I1758" s="178"/>
    </row>
    <row r="1759" spans="1:9" outlineLevel="1" x14ac:dyDescent="0.25">
      <c r="A1759" s="175">
        <f t="shared" si="57"/>
        <v>1</v>
      </c>
      <c r="B1759" s="175" t="s">
        <v>109</v>
      </c>
      <c r="C1759" s="175" t="str">
        <f t="shared" si="56"/>
        <v>Revestimento de piso carpet - Material e Mão de Obra</v>
      </c>
      <c r="D1759" s="184" t="s">
        <v>1766</v>
      </c>
      <c r="E1759" s="176" t="s">
        <v>13</v>
      </c>
      <c r="F1759" s="184"/>
      <c r="G1759" s="185" t="str">
        <f>IF(B1759="insumo",_xlfn.XLOOKUP($D1759,Insumos!$B$1:$B$764,Insumos!$D$1:$D$764),"")</f>
        <v/>
      </c>
      <c r="H1759" s="177" cm="1">
        <f t="array" ref="H1759">_xlfn.IFS(B1759="Serviço",SUMIFS(H1760:$H$3085,C1760:$C$3085,$C1759),B1759="Insumo",F1759*G1759,B1759="Etapa","")</f>
        <v>342.63975903614454</v>
      </c>
      <c r="I1759" s="186" t="s">
        <v>195</v>
      </c>
    </row>
    <row r="1760" spans="1:9" outlineLevel="2" x14ac:dyDescent="0.25">
      <c r="A1760" s="175">
        <f t="shared" si="57"/>
        <v>1</v>
      </c>
      <c r="B1760" s="175" t="s">
        <v>327</v>
      </c>
      <c r="C1760" s="175" t="str">
        <f t="shared" si="56"/>
        <v>Revestimento de piso carpet - Material e Mão de Obra</v>
      </c>
      <c r="D1760" s="175" t="s">
        <v>1766</v>
      </c>
      <c r="E1760" s="176" t="str">
        <f>_xlfn.XLOOKUP(D1760,Insumos!$B$1:$B$764,Insumos!$C$1:$C$764)</f>
        <v>M2</v>
      </c>
      <c r="F1760" s="179">
        <v>1</v>
      </c>
      <c r="G1760" s="177">
        <f>IF(B1760="insumo",_xlfn.XLOOKUP($D1760,Insumos!$B$1:$B$764,Insumos!$D$1:$D$764),"")</f>
        <v>342.63975903614454</v>
      </c>
      <c r="H1760" s="177" cm="1">
        <f t="array" ref="H1760">_xlfn.IFS(B1760="Serviço",SUMIFS(H1761:$H$3085,C1761:$C$3085,$C1760),B1760="Insumo",F1760*G1760,B1760="Etapa","")</f>
        <v>342.63975903614454</v>
      </c>
      <c r="I1760" s="178"/>
    </row>
    <row r="1761" spans="1:9" outlineLevel="1" collapsed="1" x14ac:dyDescent="0.25">
      <c r="A1761" s="175">
        <f t="shared" si="57"/>
        <v>1</v>
      </c>
      <c r="B1761" s="175" t="s">
        <v>109</v>
      </c>
      <c r="C1761" s="175" t="str">
        <f t="shared" si="56"/>
        <v>Gradil metálico - Material e Mão de obra</v>
      </c>
      <c r="D1761" s="184" t="s">
        <v>753</v>
      </c>
      <c r="E1761" s="176" t="s">
        <v>13</v>
      </c>
      <c r="F1761" s="184"/>
      <c r="G1761" s="185" t="str">
        <f>IF(B1761="insumo",_xlfn.XLOOKUP($D1761,Insumos!$B$1:$B$764,Insumos!$D$1:$D$764),"")</f>
        <v/>
      </c>
      <c r="H1761" s="177" cm="1">
        <f t="array" ref="H1761">_xlfn.IFS(B1761="Serviço",SUMIFS(H1762:$H$3085,C1762:$C$3085,$C1761),B1761="Insumo",F1761*G1761,B1761="Etapa","")</f>
        <v>1036.9504748982358</v>
      </c>
      <c r="I1761" s="186" t="s">
        <v>195</v>
      </c>
    </row>
    <row r="1762" spans="1:9" hidden="1" outlineLevel="2" x14ac:dyDescent="0.25">
      <c r="A1762" s="175">
        <f t="shared" si="57"/>
        <v>1</v>
      </c>
      <c r="B1762" s="175" t="s">
        <v>327</v>
      </c>
      <c r="C1762" s="175" t="str">
        <f t="shared" si="56"/>
        <v>Gradil metálico - Material e Mão de obra</v>
      </c>
      <c r="D1762" s="175" t="s">
        <v>754</v>
      </c>
      <c r="E1762" s="176" t="str">
        <f>_xlfn.XLOOKUP(D1762,Insumos!$B$1:$B$764,Insumos!$C$1:$C$764)</f>
        <v>M2</v>
      </c>
      <c r="F1762" s="179">
        <v>1</v>
      </c>
      <c r="G1762" s="177">
        <f>IF(B1762="insumo",_xlfn.XLOOKUP($D1762,Insumos!$B$1:$B$764,Insumos!$D$1:$D$764),"")</f>
        <v>1036.9504748982358</v>
      </c>
      <c r="H1762" s="177" cm="1">
        <f t="array" ref="H1762">_xlfn.IFS(B1762="Serviço",SUMIFS(H1763:$H$3085,C1763:$C$3085,$C1762),B1762="Insumo",F1762*G1762,B1762="Etapa","")</f>
        <v>1036.9504748982358</v>
      </c>
      <c r="I1762" s="178"/>
    </row>
    <row r="1763" spans="1:9" outlineLevel="1" collapsed="1" x14ac:dyDescent="0.25">
      <c r="A1763" s="175">
        <f t="shared" si="57"/>
        <v>1</v>
      </c>
      <c r="B1763" s="175" t="s">
        <v>109</v>
      </c>
      <c r="C1763" s="175" t="str">
        <f t="shared" si="56"/>
        <v>Gradil metálico para Piso - Material e Mão de obra</v>
      </c>
      <c r="D1763" s="184" t="s">
        <v>755</v>
      </c>
      <c r="E1763" s="176" t="s">
        <v>13</v>
      </c>
      <c r="F1763" s="184"/>
      <c r="G1763" s="185" t="str">
        <f>IF(B1763="insumo",_xlfn.XLOOKUP($D1763,Insumos!$B$1:$B$764,Insumos!$D$1:$D$764),"")</f>
        <v/>
      </c>
      <c r="H1763" s="177" cm="1">
        <f t="array" ref="H1763">_xlfn.IFS(B1763="Serviço",SUMIFS(H1764:$H$3085,C1764:$C$3085,$C1763),B1763="Insumo",F1763*G1763,B1763="Etapa","")</f>
        <v>568.92672413793116</v>
      </c>
      <c r="I1763" s="186" t="s">
        <v>195</v>
      </c>
    </row>
    <row r="1764" spans="1:9" hidden="1" outlineLevel="2" x14ac:dyDescent="0.25">
      <c r="A1764" s="175">
        <f t="shared" si="57"/>
        <v>1</v>
      </c>
      <c r="B1764" s="175" t="s">
        <v>327</v>
      </c>
      <c r="C1764" s="175" t="str">
        <f t="shared" si="56"/>
        <v>Gradil metálico para Piso - Material e Mão de obra</v>
      </c>
      <c r="D1764" s="175" t="s">
        <v>756</v>
      </c>
      <c r="E1764" s="176" t="str">
        <f>_xlfn.XLOOKUP(D1764,Insumos!$B$1:$B$764,Insumos!$C$1:$C$764)</f>
        <v>M2</v>
      </c>
      <c r="F1764" s="179">
        <v>1</v>
      </c>
      <c r="G1764" s="177">
        <f>IF(B1764="insumo",_xlfn.XLOOKUP($D1764,Insumos!$B$1:$B$764,Insumos!$D$1:$D$764),"")</f>
        <v>568.92672413793116</v>
      </c>
      <c r="H1764" s="177" cm="1">
        <f t="array" ref="H1764">_xlfn.IFS(B1764="Serviço",SUMIFS(H1765:$H$3085,C1765:$C$3085,$C1764),B1764="Insumo",F1764*G1764,B1764="Etapa","")</f>
        <v>568.92672413793116</v>
      </c>
      <c r="I1764" s="178"/>
    </row>
    <row r="1765" spans="1:9" outlineLevel="1" x14ac:dyDescent="0.25">
      <c r="A1765" s="175">
        <f t="shared" si="57"/>
        <v>1</v>
      </c>
      <c r="B1765" s="175" t="s">
        <v>109</v>
      </c>
      <c r="C1765" s="175" t="str">
        <f t="shared" si="56"/>
        <v>Piso elevado - Material e Mão de obra</v>
      </c>
      <c r="D1765" s="175" t="s">
        <v>757</v>
      </c>
      <c r="E1765" s="176" t="s">
        <v>13</v>
      </c>
      <c r="F1765" s="175"/>
      <c r="G1765" s="177" t="str">
        <f>IF(B1765="insumo",_xlfn.XLOOKUP($D1765,Insumos!$B$1:$B$764,Insumos!$D$1:$D$764),"")</f>
        <v/>
      </c>
      <c r="H1765" s="177" cm="1">
        <f t="array" ref="H1765">_xlfn.IFS(B1765="Serviço",SUMIFS(H1766:$H$3085,C1766:$C$3085,$C1765),B1765="Insumo",F1765*G1765,B1765="Etapa","")</f>
        <v>296.7</v>
      </c>
      <c r="I1765" s="178" t="s">
        <v>195</v>
      </c>
    </row>
    <row r="1766" spans="1:9" outlineLevel="2" x14ac:dyDescent="0.25">
      <c r="A1766" s="175">
        <f t="shared" si="57"/>
        <v>1</v>
      </c>
      <c r="B1766" s="175" t="s">
        <v>327</v>
      </c>
      <c r="C1766" s="175" t="str">
        <f t="shared" si="56"/>
        <v>Piso elevado - Material e Mão de obra</v>
      </c>
      <c r="D1766" s="175" t="s">
        <v>758</v>
      </c>
      <c r="E1766" s="176" t="str">
        <f>_xlfn.XLOOKUP(D1766,Insumos!$B$1:$B$764,Insumos!$C$1:$C$764)</f>
        <v>M2</v>
      </c>
      <c r="F1766" s="179">
        <v>1</v>
      </c>
      <c r="G1766" s="177">
        <f>IF(B1766="insumo",_xlfn.XLOOKUP($D1766,Insumos!$B$1:$B$764,Insumos!$D$1:$D$764),"")</f>
        <v>146.69999999999999</v>
      </c>
      <c r="H1766" s="177" cm="1">
        <f t="array" ref="H1766">_xlfn.IFS(B1766="Serviço",SUMIFS(H1767:$H$3085,C1767:$C$3085,$C1766),B1766="Insumo",F1766*G1766,B1766="Etapa","")</f>
        <v>146.69999999999999</v>
      </c>
      <c r="I1766" s="178"/>
    </row>
    <row r="1767" spans="1:9" outlineLevel="2" x14ac:dyDescent="0.25">
      <c r="A1767" s="175">
        <f t="shared" si="57"/>
        <v>1</v>
      </c>
      <c r="B1767" s="175" t="s">
        <v>327</v>
      </c>
      <c r="C1767" s="175" t="str">
        <f t="shared" si="56"/>
        <v>Piso elevado - Material e Mão de obra</v>
      </c>
      <c r="D1767" s="175" t="s">
        <v>759</v>
      </c>
      <c r="E1767" s="176" t="str">
        <f>_xlfn.XLOOKUP(D1767,Insumos!$B$1:$B$764,Insumos!$C$1:$C$764)</f>
        <v>M2</v>
      </c>
      <c r="F1767" s="179">
        <v>1</v>
      </c>
      <c r="G1767" s="177">
        <f>IF(B1767="insumo",_xlfn.XLOOKUP($D1767,Insumos!$B$1:$B$764,Insumos!$D$1:$D$764),"")</f>
        <v>150</v>
      </c>
      <c r="H1767" s="177" cm="1">
        <f t="array" ref="H1767">_xlfn.IFS(B1767="Serviço",SUMIFS(H1768:$H$3085,C1768:$C$3085,$C1767),B1767="Insumo",F1767*G1767,B1767="Etapa","")</f>
        <v>150</v>
      </c>
      <c r="I1767" s="178"/>
    </row>
    <row r="1768" spans="1:9" outlineLevel="1" collapsed="1" x14ac:dyDescent="0.25">
      <c r="A1768" s="175">
        <f t="shared" si="57"/>
        <v>1</v>
      </c>
      <c r="B1768" s="175" t="s">
        <v>109</v>
      </c>
      <c r="C1768" s="175" t="str">
        <f t="shared" ref="C1768:C1831" si="58">IF(B1768="serviço",D1768,C1767)</f>
        <v>Filete metálico - divisória entre pisos</v>
      </c>
      <c r="D1768" s="175" t="s">
        <v>760</v>
      </c>
      <c r="E1768" s="176" t="s">
        <v>25</v>
      </c>
      <c r="F1768" s="175"/>
      <c r="G1768" s="177" t="str">
        <f>IF(B1768="insumo",_xlfn.XLOOKUP($D1768,Insumos!$B$1:$B$764,Insumos!$D$1:$D$764),"")</f>
        <v/>
      </c>
      <c r="H1768" s="177" cm="1">
        <f t="array" ref="H1768">_xlfn.IFS(B1768="Serviço",SUMIFS(H1769:$H$3085,C1769:$C$3085,$C1768),B1768="Insumo",F1768*G1768,B1768="Etapa","")</f>
        <v>133.33333333333334</v>
      </c>
      <c r="I1768" s="178" t="s">
        <v>195</v>
      </c>
    </row>
    <row r="1769" spans="1:9" hidden="1" outlineLevel="2" x14ac:dyDescent="0.25">
      <c r="A1769" s="175">
        <f t="shared" si="57"/>
        <v>1</v>
      </c>
      <c r="B1769" s="175" t="s">
        <v>327</v>
      </c>
      <c r="C1769" s="175" t="str">
        <f t="shared" si="58"/>
        <v>Filete metálico - divisória entre pisos</v>
      </c>
      <c r="D1769" s="175" t="s">
        <v>760</v>
      </c>
      <c r="E1769" s="176" t="str">
        <f>_xlfn.XLOOKUP(D1769,Insumos!$B$1:$B$764,Insumos!$C$1:$C$764)</f>
        <v>M</v>
      </c>
      <c r="F1769" s="179">
        <v>1</v>
      </c>
      <c r="G1769" s="177">
        <f>IF(B1769="insumo",_xlfn.XLOOKUP($D1769,Insumos!$B$1:$B$764,Insumos!$D$1:$D$764),"")</f>
        <v>133.33333333333334</v>
      </c>
      <c r="H1769" s="177" cm="1">
        <f t="array" ref="H1769">_xlfn.IFS(B1769="Serviço",SUMIFS(H1770:$H$3085,C1770:$C$3085,$C1769),B1769="Insumo",F1769*G1769,B1769="Etapa","")</f>
        <v>133.33333333333334</v>
      </c>
      <c r="I1769" s="178"/>
    </row>
    <row r="1770" spans="1:9" outlineLevel="1" collapsed="1" x14ac:dyDescent="0.25">
      <c r="A1770" s="175">
        <f t="shared" si="57"/>
        <v>1</v>
      </c>
      <c r="B1770" s="175" t="s">
        <v>109</v>
      </c>
      <c r="C1770" s="175" t="str">
        <f t="shared" si="58"/>
        <v>Filete metálico - divisória entre pisos - aluminio escovado</v>
      </c>
      <c r="D1770" s="175" t="s">
        <v>761</v>
      </c>
      <c r="E1770" s="176" t="s">
        <v>1</v>
      </c>
      <c r="F1770" s="175"/>
      <c r="G1770" s="177" t="str">
        <f>IF(B1770="insumo",_xlfn.XLOOKUP($D1770,Insumos!$B$1:$B$764,Insumos!$D$1:$D$764),"")</f>
        <v/>
      </c>
      <c r="H1770" s="177" cm="1">
        <f t="array" ref="H1770">_xlfn.IFS(B1770="Serviço",SUMIFS(H1771:$H$3085,C1771:$C$3085,$C1770),B1770="Insumo",F1770*G1770,B1770="Etapa","")</f>
        <v>133.33333333333334</v>
      </c>
      <c r="I1770" s="178" t="s">
        <v>195</v>
      </c>
    </row>
    <row r="1771" spans="1:9" hidden="1" outlineLevel="2" x14ac:dyDescent="0.25">
      <c r="A1771" s="175">
        <f t="shared" si="57"/>
        <v>1</v>
      </c>
      <c r="B1771" s="175" t="s">
        <v>327</v>
      </c>
      <c r="C1771" s="175" t="str">
        <f t="shared" si="58"/>
        <v>Filete metálico - divisória entre pisos - aluminio escovado</v>
      </c>
      <c r="D1771" s="175" t="s">
        <v>761</v>
      </c>
      <c r="E1771" s="176" t="str">
        <f>_xlfn.XLOOKUP(D1771,Insumos!$B$1:$B$764,Insumos!$C$1:$C$764)</f>
        <v>M2</v>
      </c>
      <c r="F1771" s="179">
        <f>1*0.07</f>
        <v>7.0000000000000007E-2</v>
      </c>
      <c r="G1771" s="177">
        <f>IF(B1771="insumo",_xlfn.XLOOKUP($D1771,Insumos!$B$1:$B$764,Insumos!$D$1:$D$764),"")</f>
        <v>1904.7619047619048</v>
      </c>
      <c r="H1771" s="177" cm="1">
        <f t="array" ref="H1771">_xlfn.IFS(B1771="Serviço",SUMIFS(H1772:$H$3085,C1772:$C$3085,$C1771),B1771="Insumo",F1771*G1771,B1771="Etapa","")</f>
        <v>133.33333333333334</v>
      </c>
      <c r="I1771" s="178"/>
    </row>
    <row r="1772" spans="1:9" outlineLevel="1" x14ac:dyDescent="0.25">
      <c r="A1772" s="175">
        <f t="shared" si="57"/>
        <v>1</v>
      </c>
      <c r="B1772" s="175" t="s">
        <v>109</v>
      </c>
      <c r="C1772" s="175" t="str">
        <f t="shared" si="58"/>
        <v>Revestimento de piso em grama</v>
      </c>
      <c r="D1772" s="175" t="s">
        <v>762</v>
      </c>
      <c r="E1772" s="176" t="s">
        <v>13</v>
      </c>
      <c r="F1772" s="175"/>
      <c r="G1772" s="177" t="str">
        <f>IF(B1772="insumo",_xlfn.XLOOKUP($D1772,Insumos!$B$1:$B$764,Insumos!$D$1:$D$764),"")</f>
        <v/>
      </c>
      <c r="H1772" s="177" cm="1">
        <f t="array" ref="H1772">_xlfn.IFS(B1772="Serviço",SUMIFS(H1773:$H$3085,C1773:$C$3085,$C1772),B1772="Insumo",F1772*G1772,B1772="Etapa","")</f>
        <v>13.476141999999999</v>
      </c>
      <c r="I1772" s="178" t="s">
        <v>195</v>
      </c>
    </row>
    <row r="1773" spans="1:9" outlineLevel="2" x14ac:dyDescent="0.25">
      <c r="A1773" s="175">
        <f t="shared" si="57"/>
        <v>1</v>
      </c>
      <c r="B1773" s="175" t="s">
        <v>327</v>
      </c>
      <c r="C1773" s="175" t="str">
        <f t="shared" si="58"/>
        <v>Revestimento de piso em grama</v>
      </c>
      <c r="D1773" s="175" t="s">
        <v>763</v>
      </c>
      <c r="E1773" s="176" t="str">
        <f>_xlfn.XLOOKUP(D1773,Insumos!$B$1:$B$764,Insumos!$C$1:$C$764)</f>
        <v>M3</v>
      </c>
      <c r="F1773" s="179">
        <v>4.4600000000000001E-2</v>
      </c>
      <c r="G1773" s="177">
        <f>IF(B1773="insumo",_xlfn.XLOOKUP($D1773,Insumos!$B$1:$B$764,Insumos!$D$1:$D$764),"")</f>
        <v>143.57</v>
      </c>
      <c r="H1773" s="177" cm="1">
        <f t="array" ref="H1773">_xlfn.IFS(B1773="Serviço",SUMIFS(H1774:$H$3085,C1774:$C$3085,$C1773),B1773="Insumo",F1773*G1773,B1773="Etapa","")</f>
        <v>6.4032219999999995</v>
      </c>
      <c r="I1773" s="178"/>
    </row>
    <row r="1774" spans="1:9" outlineLevel="2" x14ac:dyDescent="0.25">
      <c r="A1774" s="175">
        <f t="shared" si="57"/>
        <v>1</v>
      </c>
      <c r="B1774" s="175" t="s">
        <v>327</v>
      </c>
      <c r="C1774" s="175" t="str">
        <f t="shared" si="58"/>
        <v>Revestimento de piso em grama</v>
      </c>
      <c r="D1774" s="175" t="s">
        <v>764</v>
      </c>
      <c r="E1774" s="176" t="str">
        <f>_xlfn.XLOOKUP(D1774,Insumos!$B$1:$B$764,Insumos!$C$1:$C$764)</f>
        <v>M2</v>
      </c>
      <c r="F1774" s="179">
        <v>0.63719999999999999</v>
      </c>
      <c r="G1774" s="177">
        <f>IF(B1774="insumo",_xlfn.XLOOKUP($D1774,Insumos!$B$1:$B$764,Insumos!$D$1:$D$764),"")</f>
        <v>11.1</v>
      </c>
      <c r="H1774" s="177" cm="1">
        <f t="array" ref="H1774">_xlfn.IFS(B1774="Serviço",SUMIFS(H1775:$H$3085,C1775:$C$3085,$C1774),B1774="Insumo",F1774*G1774,B1774="Etapa","")</f>
        <v>7.0729199999999999</v>
      </c>
      <c r="I1774" s="178"/>
    </row>
    <row r="1775" spans="1:9" outlineLevel="1" collapsed="1" x14ac:dyDescent="0.25">
      <c r="A1775" s="175">
        <f t="shared" si="57"/>
        <v>1</v>
      </c>
      <c r="B1775" s="175" t="s">
        <v>109</v>
      </c>
      <c r="C1775" s="175" t="str">
        <f t="shared" si="58"/>
        <v>Revestimento em Porcelanato amadeirado 19x117cm para Piso, rejunte cimentício, aplicação em áreas comuns internas</v>
      </c>
      <c r="D1775" s="175" t="s">
        <v>241</v>
      </c>
      <c r="E1775" s="176" t="s">
        <v>13</v>
      </c>
      <c r="F1775" s="175"/>
      <c r="G1775" s="177" t="str">
        <f>IF(B1775="insumo",_xlfn.XLOOKUP($D1775,Insumos!$B$1:$B$764,Insumos!$D$1:$D$764),"")</f>
        <v/>
      </c>
      <c r="H1775" s="177" cm="1">
        <f t="array" ref="H1775">_xlfn.IFS(B1775="Serviço",SUMIFS(H1776:$H$3085,C1776:$C$3085,$C1775),B1775="Insumo",F1775*G1775,B1775="Etapa","")</f>
        <v>143.47900000000001</v>
      </c>
      <c r="I1775" s="178" t="s">
        <v>195</v>
      </c>
    </row>
    <row r="1776" spans="1:9" hidden="1" outlineLevel="2" x14ac:dyDescent="0.25">
      <c r="A1776" s="175">
        <f t="shared" si="57"/>
        <v>3</v>
      </c>
      <c r="B1776" s="175" t="s">
        <v>327</v>
      </c>
      <c r="C1776" s="175" t="str">
        <f t="shared" si="58"/>
        <v>Revestimento em Porcelanato amadeirado 19x117cm para Piso, rejunte cimentício, aplicação em áreas comuns internas</v>
      </c>
      <c r="D1776" s="175" t="s">
        <v>765</v>
      </c>
      <c r="E1776" s="176" t="str">
        <f>_xlfn.XLOOKUP(D1776,Insumos!$B$1:$B$764,Insumos!$C$1:$C$764)</f>
        <v>M2</v>
      </c>
      <c r="F1776" s="196">
        <v>1.1000000000000001</v>
      </c>
      <c r="G1776" s="177">
        <f>IF(B1776="insumo",_xlfn.XLOOKUP($D1776,Insumos!$B$1:$B$764,Insumos!$D$1:$D$764),"")</f>
        <v>109.89</v>
      </c>
      <c r="H1776" s="177" cm="1">
        <f t="array" ref="H1776">_xlfn.IFS(B1776="Serviço",SUMIFS(H1777:$H$3085,C1777:$C$3085,$C1776),B1776="Insumo",F1776*G1776,B1776="Etapa","")</f>
        <v>120.879</v>
      </c>
      <c r="I1776" s="178"/>
    </row>
    <row r="1777" spans="1:9" hidden="1" outlineLevel="2" x14ac:dyDescent="0.25">
      <c r="A1777" s="175">
        <f t="shared" si="57"/>
        <v>118</v>
      </c>
      <c r="B1777" s="175" t="s">
        <v>327</v>
      </c>
      <c r="C1777" s="175" t="str">
        <f t="shared" si="58"/>
        <v>Revestimento em Porcelanato amadeirado 19x117cm para Piso, rejunte cimentício, aplicação em áreas comuns internas</v>
      </c>
      <c r="D1777" s="175" t="s">
        <v>654</v>
      </c>
      <c r="E1777" s="176" t="str">
        <f>_xlfn.XLOOKUP(D1777,Insumos!$B$1:$B$764,Insumos!$C$1:$C$764)</f>
        <v>KG</v>
      </c>
      <c r="F1777" s="196">
        <v>8.8000000000000007</v>
      </c>
      <c r="G1777" s="177">
        <f>IF(B1777="insumo",_xlfn.XLOOKUP($D1777,Insumos!$B$1:$B$764,Insumos!$D$1:$D$764),"")</f>
        <v>2.5499999999999998</v>
      </c>
      <c r="H1777" s="177" cm="1">
        <f t="array" ref="H1777">_xlfn.IFS(B1777="Serviço",SUMIFS(H1778:$H$3085,C1778:$C$3085,$C1777),B1777="Insumo",F1777*G1777,B1777="Etapa","")</f>
        <v>22.44</v>
      </c>
      <c r="I1777" s="178"/>
    </row>
    <row r="1778" spans="1:9" hidden="1" outlineLevel="2" x14ac:dyDescent="0.25">
      <c r="A1778" s="175">
        <f t="shared" si="57"/>
        <v>78</v>
      </c>
      <c r="B1778" s="175" t="s">
        <v>327</v>
      </c>
      <c r="C1778" s="175" t="str">
        <f t="shared" si="58"/>
        <v>Revestimento em Porcelanato amadeirado 19x117cm para Piso, rejunte cimentício, aplicação em áreas comuns internas</v>
      </c>
      <c r="D1778" s="175" t="s">
        <v>674</v>
      </c>
      <c r="E1778" s="176" t="str">
        <f>_xlfn.XLOOKUP(D1778,Insumos!$B$1:$B$764,Insumos!$C$1:$C$764)</f>
        <v>UN</v>
      </c>
      <c r="F1778" s="196">
        <v>2</v>
      </c>
      <c r="G1778" s="177">
        <f>IF(B1778="insumo",_xlfn.XLOOKUP($D1778,Insumos!$B$1:$B$764,Insumos!$D$1:$D$764),"")</f>
        <v>0.08</v>
      </c>
      <c r="H1778" s="177" cm="1">
        <f t="array" ref="H1778">_xlfn.IFS(B1778="Serviço",SUMIFS(H1779:$H$3085,C1779:$C$3085,$C1778),B1778="Insumo",F1778*G1778,B1778="Etapa","")</f>
        <v>0.16</v>
      </c>
      <c r="I1778" s="178"/>
    </row>
    <row r="1779" spans="1:9" outlineLevel="1" x14ac:dyDescent="0.25">
      <c r="A1779" s="175">
        <f t="shared" si="57"/>
        <v>1</v>
      </c>
      <c r="B1779" s="175" t="s">
        <v>109</v>
      </c>
      <c r="C1779" s="175" t="str">
        <f t="shared" si="58"/>
        <v>Revestimento de Piso de granito itaunas</v>
      </c>
      <c r="D1779" s="175" t="s">
        <v>6881</v>
      </c>
      <c r="E1779" s="176" t="s">
        <v>13</v>
      </c>
      <c r="F1779" s="175"/>
      <c r="G1779" s="177" t="str">
        <f>IF(B1779="insumo",_xlfn.XLOOKUP($D1779,Insumos!$B$1:$B$764,Insumos!$D$1:$D$764),"")</f>
        <v/>
      </c>
      <c r="H1779" s="177" cm="1">
        <f t="array" ref="H1779">_xlfn.IFS(B1779="Serviço",SUMIFS(H1780:$H$3085,C1780:$C$3085,$C1779),B1779="Insumo",F1779*G1779,B1779="Etapa","")</f>
        <v>856.10500000000013</v>
      </c>
      <c r="I1779" s="178" t="s">
        <v>195</v>
      </c>
    </row>
    <row r="1780" spans="1:9" outlineLevel="2" x14ac:dyDescent="0.25">
      <c r="A1780" s="175">
        <f t="shared" si="57"/>
        <v>1</v>
      </c>
      <c r="B1780" s="175" t="s">
        <v>327</v>
      </c>
      <c r="C1780" s="175" t="str">
        <f t="shared" si="58"/>
        <v>Revestimento de Piso de granito itaunas</v>
      </c>
      <c r="D1780" s="175" t="s">
        <v>6880</v>
      </c>
      <c r="E1780" s="176" t="str">
        <f>_xlfn.XLOOKUP(D1780,Insumos!$B$1:$B$764,Insumos!$C$1:$C$764)</f>
        <v>M2</v>
      </c>
      <c r="F1780" s="196">
        <v>1.1000000000000001</v>
      </c>
      <c r="G1780" s="177">
        <f>IF(B1780="insumo",_xlfn.XLOOKUP($D1780,Insumos!$B$1:$B$764,Insumos!$D$1:$D$764),"")</f>
        <v>750</v>
      </c>
      <c r="H1780" s="177" cm="1">
        <f t="array" ref="H1780">_xlfn.IFS(B1780="Serviço",SUMIFS(H1781:$H$3085,C1781:$C$3085,$C1780),B1780="Insumo",F1780*G1780,B1780="Etapa","")</f>
        <v>825.00000000000011</v>
      </c>
      <c r="I1780" s="178"/>
    </row>
    <row r="1781" spans="1:9" outlineLevel="2" x14ac:dyDescent="0.25">
      <c r="A1781" s="175">
        <f t="shared" si="57"/>
        <v>118</v>
      </c>
      <c r="B1781" s="175" t="s">
        <v>327</v>
      </c>
      <c r="C1781" s="175" t="str">
        <f t="shared" si="58"/>
        <v>Revestimento de Piso de granito itaunas</v>
      </c>
      <c r="D1781" s="175" t="s">
        <v>654</v>
      </c>
      <c r="E1781" s="176" t="str">
        <f>_xlfn.XLOOKUP(D1781,Insumos!$B$1:$B$764,Insumos!$C$1:$C$764)</f>
        <v>KG</v>
      </c>
      <c r="F1781" s="196">
        <v>8.8000000000000007</v>
      </c>
      <c r="G1781" s="177">
        <f>IF(B1781="insumo",_xlfn.XLOOKUP($D1781,Insumos!$B$1:$B$764,Insumos!$D$1:$D$764),"")</f>
        <v>2.5499999999999998</v>
      </c>
      <c r="H1781" s="177" cm="1">
        <f t="array" ref="H1781">_xlfn.IFS(B1781="Serviço",SUMIFS(H1782:$H$3085,C1782:$C$3085,$C1781),B1781="Insumo",F1781*G1781,B1781="Etapa","")</f>
        <v>22.44</v>
      </c>
      <c r="I1781" s="178"/>
    </row>
    <row r="1782" spans="1:9" outlineLevel="2" x14ac:dyDescent="0.25">
      <c r="A1782" s="175">
        <f t="shared" si="57"/>
        <v>18</v>
      </c>
      <c r="B1782" s="175" t="s">
        <v>327</v>
      </c>
      <c r="C1782" s="175" t="str">
        <f t="shared" si="58"/>
        <v>Revestimento de Piso de granito itaunas</v>
      </c>
      <c r="D1782" s="175" t="s">
        <v>694</v>
      </c>
      <c r="E1782" s="176" t="str">
        <f>_xlfn.XLOOKUP(D1782,Insumos!$B$1:$B$764,Insumos!$C$1:$C$764)</f>
        <v>UN</v>
      </c>
      <c r="F1782" s="196">
        <v>0.5</v>
      </c>
      <c r="G1782" s="177">
        <f>IF(B1782="insumo",_xlfn.XLOOKUP($D1782,Insumos!$B$1:$B$764,Insumos!$D$1:$D$764),"")</f>
        <v>17.329999999999998</v>
      </c>
      <c r="H1782" s="177" cm="1">
        <f t="array" ref="H1782">_xlfn.IFS(B1782="Serviço",SUMIFS(H1783:$H$3085,C1783:$C$3085,$C1782),B1782="Insumo",F1782*G1782,B1782="Etapa","")</f>
        <v>8.6649999999999991</v>
      </c>
      <c r="I1782" s="178"/>
    </row>
    <row r="1783" spans="1:9" outlineLevel="1" collapsed="1" x14ac:dyDescent="0.25">
      <c r="A1783" s="175">
        <f t="shared" si="57"/>
        <v>1</v>
      </c>
      <c r="B1783" s="175" t="s">
        <v>109</v>
      </c>
      <c r="C1783" s="175" t="str">
        <f t="shared" si="58"/>
        <v>Revestimento de Piso de granito siena</v>
      </c>
      <c r="D1783" s="175" t="s">
        <v>1236</v>
      </c>
      <c r="E1783" s="176" t="s">
        <v>13</v>
      </c>
      <c r="F1783" s="175"/>
      <c r="G1783" s="177" t="str">
        <f>IF(B1783="insumo",_xlfn.XLOOKUP($D1783,Insumos!$B$1:$B$764,Insumos!$D$1:$D$764),"")</f>
        <v/>
      </c>
      <c r="H1783" s="177" cm="1">
        <f t="array" ref="H1783">_xlfn.IFS(B1783="Serviço",SUMIFS(H1784:$H$3085,C1784:$C$3085,$C1783),B1783="Insumo",F1783*G1783,B1783="Etapa","")</f>
        <v>966.10500000000013</v>
      </c>
      <c r="I1783" s="178" t="s">
        <v>195</v>
      </c>
    </row>
    <row r="1784" spans="1:9" hidden="1" outlineLevel="2" x14ac:dyDescent="0.25">
      <c r="A1784" s="175">
        <f t="shared" si="57"/>
        <v>3</v>
      </c>
      <c r="B1784" s="175" t="s">
        <v>327</v>
      </c>
      <c r="C1784" s="175" t="str">
        <f t="shared" si="58"/>
        <v>Revestimento de Piso de granito siena</v>
      </c>
      <c r="D1784" s="175" t="s">
        <v>892</v>
      </c>
      <c r="E1784" s="176" t="str">
        <f>_xlfn.XLOOKUP(D1784,Insumos!$B$1:$B$764,Insumos!$C$1:$C$764)</f>
        <v>M2</v>
      </c>
      <c r="F1784" s="196">
        <v>1.1000000000000001</v>
      </c>
      <c r="G1784" s="177">
        <f>IF(B1784="insumo",_xlfn.XLOOKUP($D1784,Insumos!$B$1:$B$764,Insumos!$D$1:$D$764),"")</f>
        <v>850</v>
      </c>
      <c r="H1784" s="177" cm="1">
        <f t="array" ref="H1784">_xlfn.IFS(B1784="Serviço",SUMIFS(H1785:$H$3085,C1785:$C$3085,$C1784),B1784="Insumo",F1784*G1784,B1784="Etapa","")</f>
        <v>935.00000000000011</v>
      </c>
      <c r="I1784" s="178"/>
    </row>
    <row r="1785" spans="1:9" hidden="1" outlineLevel="2" x14ac:dyDescent="0.25">
      <c r="A1785" s="175">
        <f t="shared" si="57"/>
        <v>118</v>
      </c>
      <c r="B1785" s="175" t="s">
        <v>327</v>
      </c>
      <c r="C1785" s="175" t="str">
        <f t="shared" si="58"/>
        <v>Revestimento de Piso de granito siena</v>
      </c>
      <c r="D1785" s="175" t="s">
        <v>654</v>
      </c>
      <c r="E1785" s="176" t="str">
        <f>_xlfn.XLOOKUP(D1785,Insumos!$B$1:$B$764,Insumos!$C$1:$C$764)</f>
        <v>KG</v>
      </c>
      <c r="F1785" s="196">
        <v>8.8000000000000007</v>
      </c>
      <c r="G1785" s="177">
        <f>IF(B1785="insumo",_xlfn.XLOOKUP($D1785,Insumos!$B$1:$B$764,Insumos!$D$1:$D$764),"")</f>
        <v>2.5499999999999998</v>
      </c>
      <c r="H1785" s="177" cm="1">
        <f t="array" ref="H1785">_xlfn.IFS(B1785="Serviço",SUMIFS(H1786:$H$3085,C1786:$C$3085,$C1785),B1785="Insumo",F1785*G1785,B1785="Etapa","")</f>
        <v>22.44</v>
      </c>
      <c r="I1785" s="178"/>
    </row>
    <row r="1786" spans="1:9" hidden="1" outlineLevel="2" x14ac:dyDescent="0.25">
      <c r="A1786" s="175">
        <f t="shared" si="57"/>
        <v>18</v>
      </c>
      <c r="B1786" s="175" t="s">
        <v>327</v>
      </c>
      <c r="C1786" s="175" t="str">
        <f t="shared" si="58"/>
        <v>Revestimento de Piso de granito siena</v>
      </c>
      <c r="D1786" s="175" t="s">
        <v>694</v>
      </c>
      <c r="E1786" s="176" t="str">
        <f>_xlfn.XLOOKUP(D1786,Insumos!$B$1:$B$764,Insumos!$C$1:$C$764)</f>
        <v>UN</v>
      </c>
      <c r="F1786" s="196">
        <v>0.5</v>
      </c>
      <c r="G1786" s="177">
        <f>IF(B1786="insumo",_xlfn.XLOOKUP($D1786,Insumos!$B$1:$B$764,Insumos!$D$1:$D$764),"")</f>
        <v>17.329999999999998</v>
      </c>
      <c r="H1786" s="177" cm="1">
        <f t="array" ref="H1786">_xlfn.IFS(B1786="Serviço",SUMIFS(H1787:$H$3085,C1787:$C$3085,$C1786),B1786="Insumo",F1786*G1786,B1786="Etapa","")</f>
        <v>8.6649999999999991</v>
      </c>
      <c r="I1786" s="178"/>
    </row>
    <row r="1787" spans="1:9" outlineLevel="1" collapsed="1" x14ac:dyDescent="0.25">
      <c r="A1787" s="175">
        <f t="shared" si="57"/>
        <v>1</v>
      </c>
      <c r="B1787" s="175" t="s">
        <v>109</v>
      </c>
      <c r="C1787" s="175" t="str">
        <f t="shared" si="58"/>
        <v>Revestimento de Piso de mosaico granitinho branco</v>
      </c>
      <c r="D1787" s="175" t="s">
        <v>1237</v>
      </c>
      <c r="E1787" s="176" t="s">
        <v>13</v>
      </c>
      <c r="F1787" s="175"/>
      <c r="G1787" s="177" t="str">
        <f>IF(B1787="insumo",_xlfn.XLOOKUP($D1787,Insumos!$B$1:$B$764,Insumos!$D$1:$D$764),"")</f>
        <v/>
      </c>
      <c r="H1787" s="177" cm="1">
        <f t="array" ref="H1787">_xlfn.IFS(B1787="Serviço",SUMIFS(H1788:$H$3085,C1788:$C$3085,$C1787),B1787="Insumo",F1787*G1787,B1787="Etapa","")</f>
        <v>158.815</v>
      </c>
      <c r="I1787" s="178" t="s">
        <v>195</v>
      </c>
    </row>
    <row r="1788" spans="1:9" hidden="1" outlineLevel="2" x14ac:dyDescent="0.25">
      <c r="A1788" s="175">
        <f t="shared" si="57"/>
        <v>1</v>
      </c>
      <c r="B1788" s="175" t="s">
        <v>327</v>
      </c>
      <c r="C1788" s="175" t="str">
        <f t="shared" si="58"/>
        <v>Revestimento de Piso de mosaico granitinho branco</v>
      </c>
      <c r="D1788" s="175" t="s">
        <v>1191</v>
      </c>
      <c r="E1788" s="176" t="str">
        <f>_xlfn.XLOOKUP(D1788,Insumos!$B$1:$B$764,Insumos!$C$1:$C$764)</f>
        <v>M2</v>
      </c>
      <c r="F1788" s="196">
        <v>1.1000000000000001</v>
      </c>
      <c r="G1788" s="177">
        <f>IF(B1788="insumo",_xlfn.XLOOKUP($D1788,Insumos!$B$1:$B$764,Insumos!$D$1:$D$764),"")</f>
        <v>116.1</v>
      </c>
      <c r="H1788" s="177" cm="1">
        <f t="array" ref="H1788">_xlfn.IFS(B1788="Serviço",SUMIFS(H1789:$H$3085,C1789:$C$3085,$C1788),B1788="Insumo",F1788*G1788,B1788="Etapa","")</f>
        <v>127.71000000000001</v>
      </c>
      <c r="I1788" s="178"/>
    </row>
    <row r="1789" spans="1:9" hidden="1" outlineLevel="2" x14ac:dyDescent="0.25">
      <c r="A1789" s="175">
        <f t="shared" si="57"/>
        <v>118</v>
      </c>
      <c r="B1789" s="175" t="s">
        <v>327</v>
      </c>
      <c r="C1789" s="175" t="str">
        <f t="shared" si="58"/>
        <v>Revestimento de Piso de mosaico granitinho branco</v>
      </c>
      <c r="D1789" s="175" t="s">
        <v>654</v>
      </c>
      <c r="E1789" s="176" t="str">
        <f>_xlfn.XLOOKUP(D1789,Insumos!$B$1:$B$764,Insumos!$C$1:$C$764)</f>
        <v>KG</v>
      </c>
      <c r="F1789" s="196">
        <v>8.8000000000000007</v>
      </c>
      <c r="G1789" s="177">
        <f>IF(B1789="insumo",_xlfn.XLOOKUP($D1789,Insumos!$B$1:$B$764,Insumos!$D$1:$D$764),"")</f>
        <v>2.5499999999999998</v>
      </c>
      <c r="H1789" s="177" cm="1">
        <f t="array" ref="H1789">_xlfn.IFS(B1789="Serviço",SUMIFS(H1790:$H$3085,C1790:$C$3085,$C1789),B1789="Insumo",F1789*G1789,B1789="Etapa","")</f>
        <v>22.44</v>
      </c>
      <c r="I1789" s="178"/>
    </row>
    <row r="1790" spans="1:9" hidden="1" outlineLevel="2" x14ac:dyDescent="0.25">
      <c r="A1790" s="175">
        <f t="shared" si="57"/>
        <v>18</v>
      </c>
      <c r="B1790" s="175" t="s">
        <v>327</v>
      </c>
      <c r="C1790" s="175" t="str">
        <f t="shared" si="58"/>
        <v>Revestimento de Piso de mosaico granitinho branco</v>
      </c>
      <c r="D1790" s="175" t="s">
        <v>694</v>
      </c>
      <c r="E1790" s="176" t="str">
        <f>_xlfn.XLOOKUP(D1790,Insumos!$B$1:$B$764,Insumos!$C$1:$C$764)</f>
        <v>UN</v>
      </c>
      <c r="F1790" s="196">
        <v>0.5</v>
      </c>
      <c r="G1790" s="177">
        <f>IF(B1790="insumo",_xlfn.XLOOKUP($D1790,Insumos!$B$1:$B$764,Insumos!$D$1:$D$764),"")</f>
        <v>17.329999999999998</v>
      </c>
      <c r="H1790" s="177" cm="1">
        <f t="array" ref="H1790">_xlfn.IFS(B1790="Serviço",SUMIFS(H1791:$H$3085,C1791:$C$3085,$C1790),B1790="Insumo",F1790*G1790,B1790="Etapa","")</f>
        <v>8.6649999999999991</v>
      </c>
      <c r="I1790" s="178"/>
    </row>
    <row r="1791" spans="1:9" outlineLevel="1" collapsed="1" x14ac:dyDescent="0.25">
      <c r="A1791" s="175">
        <f t="shared" si="57"/>
        <v>1</v>
      </c>
      <c r="B1791" s="175" t="s">
        <v>109</v>
      </c>
      <c r="C1791" s="175" t="str">
        <f t="shared" si="58"/>
        <v>Revestimento de Piso intertravado de mosaico granitinho cinza</v>
      </c>
      <c r="D1791" s="175" t="s">
        <v>1238</v>
      </c>
      <c r="E1791" s="176" t="s">
        <v>13</v>
      </c>
      <c r="F1791" s="175"/>
      <c r="G1791" s="177" t="str">
        <f>IF(B1791="insumo",_xlfn.XLOOKUP($D1791,Insumos!$B$1:$B$764,Insumos!$D$1:$D$764),"")</f>
        <v/>
      </c>
      <c r="H1791" s="177" cm="1">
        <f t="array" ref="H1791">_xlfn.IFS(B1791="Serviço",SUMIFS(H1792:$H$3085,C1792:$C$3085,$C1791),B1791="Insumo",F1791*G1791,B1791="Etapa","")</f>
        <v>71.760999999999996</v>
      </c>
      <c r="I1791" s="178" t="s">
        <v>195</v>
      </c>
    </row>
    <row r="1792" spans="1:9" hidden="1" outlineLevel="2" x14ac:dyDescent="0.25">
      <c r="A1792" s="175">
        <f t="shared" si="57"/>
        <v>1</v>
      </c>
      <c r="B1792" s="175" t="s">
        <v>327</v>
      </c>
      <c r="C1792" s="175" t="str">
        <f t="shared" si="58"/>
        <v>Revestimento de Piso intertravado de mosaico granitinho cinza</v>
      </c>
      <c r="D1792" s="175" t="s">
        <v>1192</v>
      </c>
      <c r="E1792" s="176" t="str">
        <f>_xlfn.XLOOKUP(D1792,Insumos!$B$1:$B$764,Insumos!$C$1:$C$764)</f>
        <v>M2</v>
      </c>
      <c r="F1792" s="196">
        <v>1.1000000000000001</v>
      </c>
      <c r="G1792" s="177">
        <f>IF(B1792="insumo",_xlfn.XLOOKUP($D1792,Insumos!$B$1:$B$764,Insumos!$D$1:$D$764),"")</f>
        <v>36.96</v>
      </c>
      <c r="H1792" s="177" cm="1">
        <f t="array" ref="H1792">_xlfn.IFS(B1792="Serviço",SUMIFS(H1793:$H$3085,C1793:$C$3085,$C1792),B1792="Insumo",F1792*G1792,B1792="Etapa","")</f>
        <v>40.656000000000006</v>
      </c>
      <c r="I1792" s="178"/>
    </row>
    <row r="1793" spans="1:10" hidden="1" outlineLevel="2" x14ac:dyDescent="0.25">
      <c r="A1793" s="175">
        <f t="shared" si="57"/>
        <v>118</v>
      </c>
      <c r="B1793" s="175" t="s">
        <v>327</v>
      </c>
      <c r="C1793" s="175" t="str">
        <f t="shared" si="58"/>
        <v>Revestimento de Piso intertravado de mosaico granitinho cinza</v>
      </c>
      <c r="D1793" s="175" t="s">
        <v>654</v>
      </c>
      <c r="E1793" s="176" t="str">
        <f>_xlfn.XLOOKUP(D1793,Insumos!$B$1:$B$764,Insumos!$C$1:$C$764)</f>
        <v>KG</v>
      </c>
      <c r="F1793" s="196">
        <v>8.8000000000000007</v>
      </c>
      <c r="G1793" s="177">
        <f>IF(B1793="insumo",_xlfn.XLOOKUP($D1793,Insumos!$B$1:$B$764,Insumos!$D$1:$D$764),"")</f>
        <v>2.5499999999999998</v>
      </c>
      <c r="H1793" s="177" cm="1">
        <f t="array" ref="H1793">_xlfn.IFS(B1793="Serviço",SUMIFS(H1794:$H$3085,C1794:$C$3085,$C1793),B1793="Insumo",F1793*G1793,B1793="Etapa","")</f>
        <v>22.44</v>
      </c>
      <c r="I1793" s="178"/>
    </row>
    <row r="1794" spans="1:10" hidden="1" outlineLevel="2" x14ac:dyDescent="0.25">
      <c r="A1794" s="175">
        <f t="shared" ref="A1794:A1857" si="59">COUNTIFS($D$2:$D$3085,D1794,$B$2:$B$3085,B1794)</f>
        <v>18</v>
      </c>
      <c r="B1794" s="175" t="s">
        <v>327</v>
      </c>
      <c r="C1794" s="175" t="str">
        <f t="shared" si="58"/>
        <v>Revestimento de Piso intertravado de mosaico granitinho cinza</v>
      </c>
      <c r="D1794" s="175" t="s">
        <v>694</v>
      </c>
      <c r="E1794" s="176" t="str">
        <f>_xlfn.XLOOKUP(D1794,Insumos!$B$1:$B$764,Insumos!$C$1:$C$764)</f>
        <v>UN</v>
      </c>
      <c r="F1794" s="196">
        <v>0.5</v>
      </c>
      <c r="G1794" s="177">
        <f>IF(B1794="insumo",_xlfn.XLOOKUP($D1794,Insumos!$B$1:$B$764,Insumos!$D$1:$D$764),"")</f>
        <v>17.329999999999998</v>
      </c>
      <c r="H1794" s="177" cm="1">
        <f t="array" ref="H1794">_xlfn.IFS(B1794="Serviço",SUMIFS(H1795:$H$3085,C1795:$C$3085,$C1794),B1794="Insumo",F1794*G1794,B1794="Etapa","")</f>
        <v>8.6649999999999991</v>
      </c>
      <c r="I1794" s="178"/>
    </row>
    <row r="1795" spans="1:10" outlineLevel="1" collapsed="1" x14ac:dyDescent="0.25">
      <c r="A1795" s="175">
        <f t="shared" si="59"/>
        <v>1</v>
      </c>
      <c r="B1795" s="175" t="s">
        <v>109</v>
      </c>
      <c r="C1795" s="175" t="str">
        <f t="shared" si="58"/>
        <v>Revestimento em Porcelanato amadeirado 19x117cm para Piso, rejunte acrilico, aplicação em áreas comuns externas</v>
      </c>
      <c r="D1795" s="175" t="s">
        <v>1975</v>
      </c>
      <c r="E1795" s="176" t="s">
        <v>13</v>
      </c>
      <c r="F1795" s="175"/>
      <c r="G1795" s="177" t="str">
        <f>IF(B1795="insumo",_xlfn.XLOOKUP($D1795,Insumos!$B$1:$B$764,Insumos!$D$1:$D$764),"")</f>
        <v/>
      </c>
      <c r="H1795" s="177" cm="1">
        <f t="array" ref="H1795">_xlfn.IFS(B1795="Serviço",SUMIFS(H1796:$H$3085,C1796:$C$3085,$C1795),B1795="Insumo",F1795*G1795,B1795="Etapa","")</f>
        <v>144.35500000000002</v>
      </c>
      <c r="I1795" s="178" t="s">
        <v>195</v>
      </c>
    </row>
    <row r="1796" spans="1:10" hidden="1" outlineLevel="2" x14ac:dyDescent="0.25">
      <c r="A1796" s="175">
        <f t="shared" si="59"/>
        <v>3</v>
      </c>
      <c r="B1796" s="175" t="s">
        <v>327</v>
      </c>
      <c r="C1796" s="175" t="str">
        <f t="shared" si="58"/>
        <v>Revestimento em Porcelanato amadeirado 19x117cm para Piso, rejunte acrilico, aplicação em áreas comuns externas</v>
      </c>
      <c r="D1796" s="175" t="s">
        <v>765</v>
      </c>
      <c r="E1796" s="176" t="s">
        <v>13</v>
      </c>
      <c r="F1796" s="196">
        <v>1.1000000000000001</v>
      </c>
      <c r="G1796" s="177">
        <f>IF(B1796="insumo",_xlfn.XLOOKUP($D1796,Insumos!$B$1:$B$764,Insumos!$D$1:$D$764),"")</f>
        <v>109.89</v>
      </c>
      <c r="H1796" s="177" cm="1">
        <f t="array" ref="H1796">_xlfn.IFS(B1796="Serviço",SUMIFS(H1797:$H$3085,C1797:$C$3085,$C1796),B1796="Insumo",F1796*G1796,B1796="Etapa","")</f>
        <v>120.879</v>
      </c>
      <c r="I1796" s="178"/>
    </row>
    <row r="1797" spans="1:10" hidden="1" outlineLevel="2" x14ac:dyDescent="0.25">
      <c r="A1797" s="175">
        <f t="shared" si="59"/>
        <v>118</v>
      </c>
      <c r="B1797" s="175" t="s">
        <v>327</v>
      </c>
      <c r="C1797" s="175" t="str">
        <f t="shared" si="58"/>
        <v>Revestimento em Porcelanato amadeirado 19x117cm para Piso, rejunte acrilico, aplicação em áreas comuns externas</v>
      </c>
      <c r="D1797" s="175" t="s">
        <v>654</v>
      </c>
      <c r="E1797" s="176" t="s">
        <v>428</v>
      </c>
      <c r="F1797" s="196">
        <v>8.8000000000000007</v>
      </c>
      <c r="G1797" s="177">
        <f>IF(B1797="insumo",_xlfn.XLOOKUP($D1797,Insumos!$B$1:$B$764,Insumos!$D$1:$D$764),"")</f>
        <v>2.5499999999999998</v>
      </c>
      <c r="H1797" s="177" cm="1">
        <f t="array" ref="H1797">_xlfn.IFS(B1797="Serviço",SUMIFS(H1798:$H$3085,C1798:$C$3085,$C1797),B1797="Insumo",F1797*G1797,B1797="Etapa","")</f>
        <v>22.44</v>
      </c>
      <c r="I1797" s="178"/>
    </row>
    <row r="1798" spans="1:10" hidden="1" outlineLevel="2" x14ac:dyDescent="0.25">
      <c r="A1798" s="175">
        <f t="shared" si="59"/>
        <v>78</v>
      </c>
      <c r="B1798" s="175" t="s">
        <v>327</v>
      </c>
      <c r="C1798" s="175" t="str">
        <f t="shared" si="58"/>
        <v>Revestimento em Porcelanato amadeirado 19x117cm para Piso, rejunte acrilico, aplicação em áreas comuns externas</v>
      </c>
      <c r="D1798" s="175" t="s">
        <v>674</v>
      </c>
      <c r="E1798" s="176" t="s">
        <v>131</v>
      </c>
      <c r="F1798" s="196">
        <v>2</v>
      </c>
      <c r="G1798" s="177">
        <f>IF(B1798="insumo",_xlfn.XLOOKUP($D1798,Insumos!$B$1:$B$764,Insumos!$D$1:$D$764),"")</f>
        <v>0.08</v>
      </c>
      <c r="H1798" s="177" cm="1">
        <f t="array" ref="H1798">_xlfn.IFS(B1798="Serviço",SUMIFS(H1799:$H$3085,C1799:$C$3085,$C1798),B1798="Insumo",F1798*G1798,B1798="Etapa","")</f>
        <v>0.16</v>
      </c>
      <c r="I1798" s="178"/>
    </row>
    <row r="1799" spans="1:10" hidden="1" outlineLevel="2" x14ac:dyDescent="0.25">
      <c r="A1799" s="175">
        <f t="shared" si="59"/>
        <v>19</v>
      </c>
      <c r="B1799" s="175" t="s">
        <v>327</v>
      </c>
      <c r="C1799" s="175" t="str">
        <f t="shared" si="58"/>
        <v>Revestimento em Porcelanato amadeirado 19x117cm para Piso, rejunte acrilico, aplicação em áreas comuns externas</v>
      </c>
      <c r="D1799" s="175" t="s">
        <v>1962</v>
      </c>
      <c r="E1799" s="176" t="s">
        <v>428</v>
      </c>
      <c r="F1799" s="196">
        <v>0.02</v>
      </c>
      <c r="G1799" s="177">
        <f>IF(B1799="insumo",_xlfn.XLOOKUP($D1799,Insumos!$B$1:$B$764,Insumos!$D$1:$D$764),"")</f>
        <v>43.8</v>
      </c>
      <c r="H1799" s="177" cm="1">
        <f t="array" ref="H1799">_xlfn.IFS(B1799="Serviço",SUMIFS(H1800:$H$3085,C1800:$C$3085,$C1799),B1799="Insumo",F1799*G1799,B1799="Etapa","")</f>
        <v>0.876</v>
      </c>
      <c r="I1799" s="178"/>
    </row>
    <row r="1800" spans="1:10" outlineLevel="1" collapsed="1" x14ac:dyDescent="0.25">
      <c r="A1800" s="175">
        <f t="shared" si="59"/>
        <v>1</v>
      </c>
      <c r="B1800" s="175" t="s">
        <v>109</v>
      </c>
      <c r="C1800" s="175" t="str">
        <f t="shared" si="58"/>
        <v>Revestimento de Piso Interno de Porcelanato Polido, Placa 60x60cm</v>
      </c>
      <c r="D1800" s="175" t="s">
        <v>1762</v>
      </c>
      <c r="E1800" s="176" t="s">
        <v>13</v>
      </c>
      <c r="F1800" s="175"/>
      <c r="G1800" s="177" t="str">
        <f>IF(B1800="insumo",_xlfn.XLOOKUP($D1800,Insumos!$B$1:$B$764,Insumos!$D$1:$D$764),"")</f>
        <v/>
      </c>
      <c r="H1800" s="177" cm="1">
        <f t="array" ref="H1800">_xlfn.IFS(B1800="Serviço",SUMIFS(H1801:$H$3085,C1801:$C$3085,$C1800),B1800="Insumo",F1800*G1800,B1800="Etapa","")</f>
        <v>121.63300000000001</v>
      </c>
      <c r="I1800" s="178" t="s">
        <v>195</v>
      </c>
    </row>
    <row r="1801" spans="1:10" hidden="1" outlineLevel="2" x14ac:dyDescent="0.25">
      <c r="A1801" s="175">
        <f t="shared" si="59"/>
        <v>3</v>
      </c>
      <c r="B1801" s="175" t="s">
        <v>327</v>
      </c>
      <c r="C1801" s="175" t="str">
        <f t="shared" si="58"/>
        <v>Revestimento de Piso Interno de Porcelanato Polido, Placa 60x60cm</v>
      </c>
      <c r="D1801" s="175" t="s">
        <v>767</v>
      </c>
      <c r="E1801" s="176" t="s">
        <v>13</v>
      </c>
      <c r="F1801" s="196">
        <v>1.1000000000000001</v>
      </c>
      <c r="G1801" s="177">
        <f>IF(B1801="insumo",_xlfn.XLOOKUP($D1801,Insumos!$B$1:$B$764,Insumos!$D$1:$D$764),"")</f>
        <v>89.9</v>
      </c>
      <c r="H1801" s="177" cm="1">
        <f t="array" ref="H1801">_xlfn.IFS(B1801="Serviço",SUMIFS(H1802:$H$3085,C1802:$C$3085,$C1801),B1801="Insumo",F1801*G1801,B1801="Etapa","")</f>
        <v>98.890000000000015</v>
      </c>
      <c r="I1801" s="178"/>
    </row>
    <row r="1802" spans="1:10" hidden="1" outlineLevel="2" x14ac:dyDescent="0.25">
      <c r="A1802" s="175">
        <f t="shared" si="59"/>
        <v>118</v>
      </c>
      <c r="B1802" s="175" t="s">
        <v>327</v>
      </c>
      <c r="C1802" s="175" t="str">
        <f t="shared" si="58"/>
        <v>Revestimento de Piso Interno de Porcelanato Polido, Placa 60x60cm</v>
      </c>
      <c r="D1802" s="175" t="s">
        <v>654</v>
      </c>
      <c r="E1802" s="176" t="s">
        <v>428</v>
      </c>
      <c r="F1802" s="196">
        <v>8.8000000000000007</v>
      </c>
      <c r="G1802" s="177">
        <f>IF(B1802="insumo",_xlfn.XLOOKUP($D1802,Insumos!$B$1:$B$764,Insumos!$D$1:$D$764),"")</f>
        <v>2.5499999999999998</v>
      </c>
      <c r="H1802" s="177" cm="1">
        <f t="array" ref="H1802">_xlfn.IFS(B1802="Serviço",SUMIFS(H1803:$H$3085,C1803:$C$3085,$C1802),B1802="Insumo",F1802*G1802,B1802="Etapa","")</f>
        <v>22.44</v>
      </c>
      <c r="I1802" s="178"/>
    </row>
    <row r="1803" spans="1:10" hidden="1" outlineLevel="2" x14ac:dyDescent="0.25">
      <c r="A1803" s="175">
        <f t="shared" si="59"/>
        <v>78</v>
      </c>
      <c r="B1803" s="175" t="s">
        <v>327</v>
      </c>
      <c r="C1803" s="175" t="str">
        <f t="shared" si="58"/>
        <v>Revestimento de Piso Interno de Porcelanato Polido, Placa 60x60cm</v>
      </c>
      <c r="D1803" s="175" t="s">
        <v>674</v>
      </c>
      <c r="E1803" s="176" t="s">
        <v>131</v>
      </c>
      <c r="F1803" s="196">
        <v>1</v>
      </c>
      <c r="G1803" s="177">
        <f>IF(B1803="insumo",_xlfn.XLOOKUP($D1803,Insumos!$B$1:$B$764,Insumos!$D$1:$D$764),"")</f>
        <v>0.08</v>
      </c>
      <c r="H1803" s="177" cm="1">
        <f t="array" ref="H1803">_xlfn.IFS(B1803="Serviço",SUMIFS(H1804:$H$3085,C1804:$C$3085,$C1803),B1803="Insumo",F1803*G1803,B1803="Etapa","")</f>
        <v>0.08</v>
      </c>
      <c r="I1803" s="178"/>
    </row>
    <row r="1804" spans="1:10" hidden="1" outlineLevel="2" x14ac:dyDescent="0.25">
      <c r="A1804" s="175">
        <f t="shared" si="59"/>
        <v>71</v>
      </c>
      <c r="B1804" s="175" t="s">
        <v>327</v>
      </c>
      <c r="C1804" s="175" t="str">
        <f t="shared" si="58"/>
        <v>Revestimento de Piso Interno de Porcelanato Polido, Placa 60x60cm</v>
      </c>
      <c r="D1804" s="175" t="s">
        <v>675</v>
      </c>
      <c r="E1804" s="176" t="s">
        <v>428</v>
      </c>
      <c r="F1804" s="196">
        <v>0.02</v>
      </c>
      <c r="G1804" s="177">
        <f>IF(B1804="insumo",_xlfn.XLOOKUP($D1804,Insumos!$B$1:$B$764,Insumos!$D$1:$D$764),"")</f>
        <v>11.15</v>
      </c>
      <c r="H1804" s="177" cm="1">
        <f t="array" ref="H1804">_xlfn.IFS(B1804="Serviço",SUMIFS(H1805:$H$3085,C1805:$C$3085,$C1804),B1804="Insumo",F1804*G1804,B1804="Etapa","")</f>
        <v>0.223</v>
      </c>
      <c r="I1804" s="178"/>
    </row>
    <row r="1805" spans="1:10" ht="15.75" outlineLevel="1" collapsed="1" x14ac:dyDescent="0.25">
      <c r="A1805" s="175">
        <f t="shared" si="59"/>
        <v>1</v>
      </c>
      <c r="B1805" s="175" t="s">
        <v>109</v>
      </c>
      <c r="C1805" s="175" t="str">
        <f t="shared" si="58"/>
        <v>Revestimento de Piso Externo de Porcelanato Polido, Placa 60x60cm</v>
      </c>
      <c r="D1805" s="175" t="s">
        <v>1763</v>
      </c>
      <c r="E1805" s="176" t="s">
        <v>13</v>
      </c>
      <c r="F1805" s="175"/>
      <c r="G1805" s="177" t="str">
        <f>IF(B1805="insumo",_xlfn.XLOOKUP($D1805,Insumos!$B$1:$B$764,Insumos!$D$1:$D$764),"")</f>
        <v/>
      </c>
      <c r="H1805" s="177" cm="1">
        <f t="array" ref="H1805">_xlfn.IFS(B1805="Serviço",SUMIFS(H1806:$H$3085,C1806:$C$3085,$C1805),B1805="Insumo",F1805*G1805,B1805="Etapa","")</f>
        <v>121.63300000000001</v>
      </c>
      <c r="I1805" s="178" t="s">
        <v>195</v>
      </c>
      <c r="J1805" s="550"/>
    </row>
    <row r="1806" spans="1:10" hidden="1" outlineLevel="2" x14ac:dyDescent="0.25">
      <c r="A1806" s="175">
        <f t="shared" si="59"/>
        <v>3</v>
      </c>
      <c r="B1806" s="175" t="s">
        <v>327</v>
      </c>
      <c r="C1806" s="175" t="str">
        <f t="shared" si="58"/>
        <v>Revestimento de Piso Externo de Porcelanato Polido, Placa 60x60cm</v>
      </c>
      <c r="D1806" s="175" t="s">
        <v>767</v>
      </c>
      <c r="E1806" s="176" t="s">
        <v>13</v>
      </c>
      <c r="F1806" s="196">
        <v>1.1000000000000001</v>
      </c>
      <c r="G1806" s="177">
        <f>IF(B1806="insumo",_xlfn.XLOOKUP($D1806,Insumos!$B$1:$B$764,Insumos!$D$1:$D$764),"")</f>
        <v>89.9</v>
      </c>
      <c r="H1806" s="177" cm="1">
        <f t="array" ref="H1806">_xlfn.IFS(B1806="Serviço",SUMIFS(H1807:$H$3085,C1807:$C$3085,$C1806),B1806="Insumo",F1806*G1806,B1806="Etapa","")</f>
        <v>98.890000000000015</v>
      </c>
      <c r="I1806" s="178"/>
    </row>
    <row r="1807" spans="1:10" hidden="1" outlineLevel="2" x14ac:dyDescent="0.25">
      <c r="A1807" s="175">
        <f t="shared" si="59"/>
        <v>118</v>
      </c>
      <c r="B1807" s="175" t="s">
        <v>327</v>
      </c>
      <c r="C1807" s="175" t="str">
        <f t="shared" si="58"/>
        <v>Revestimento de Piso Externo de Porcelanato Polido, Placa 60x60cm</v>
      </c>
      <c r="D1807" s="175" t="s">
        <v>654</v>
      </c>
      <c r="E1807" s="176" t="s">
        <v>428</v>
      </c>
      <c r="F1807" s="196">
        <v>8.8000000000000007</v>
      </c>
      <c r="G1807" s="177">
        <f>IF(B1807="insumo",_xlfn.XLOOKUP($D1807,Insumos!$B$1:$B$764,Insumos!$D$1:$D$764),"")</f>
        <v>2.5499999999999998</v>
      </c>
      <c r="H1807" s="177" cm="1">
        <f t="array" ref="H1807">_xlfn.IFS(B1807="Serviço",SUMIFS(H1808:$H$3085,C1808:$C$3085,$C1807),B1807="Insumo",F1807*G1807,B1807="Etapa","")</f>
        <v>22.44</v>
      </c>
      <c r="I1807" s="178"/>
    </row>
    <row r="1808" spans="1:10" hidden="1" outlineLevel="2" x14ac:dyDescent="0.25">
      <c r="A1808" s="175">
        <f t="shared" si="59"/>
        <v>78</v>
      </c>
      <c r="B1808" s="175" t="s">
        <v>327</v>
      </c>
      <c r="C1808" s="175" t="str">
        <f t="shared" si="58"/>
        <v>Revestimento de Piso Externo de Porcelanato Polido, Placa 60x60cm</v>
      </c>
      <c r="D1808" s="175" t="s">
        <v>674</v>
      </c>
      <c r="E1808" s="176" t="s">
        <v>131</v>
      </c>
      <c r="F1808" s="196">
        <v>1</v>
      </c>
      <c r="G1808" s="177">
        <f>IF(B1808="insumo",_xlfn.XLOOKUP($D1808,Insumos!$B$1:$B$764,Insumos!$D$1:$D$764),"")</f>
        <v>0.08</v>
      </c>
      <c r="H1808" s="177" cm="1">
        <f t="array" ref="H1808">_xlfn.IFS(B1808="Serviço",SUMIFS(H1809:$H$3085,C1809:$C$3085,$C1808),B1808="Insumo",F1808*G1808,B1808="Etapa","")</f>
        <v>0.08</v>
      </c>
      <c r="I1808" s="178"/>
    </row>
    <row r="1809" spans="1:9" hidden="1" outlineLevel="2" x14ac:dyDescent="0.25">
      <c r="A1809" s="175">
        <f t="shared" si="59"/>
        <v>71</v>
      </c>
      <c r="B1809" s="175" t="s">
        <v>327</v>
      </c>
      <c r="C1809" s="175" t="str">
        <f t="shared" si="58"/>
        <v>Revestimento de Piso Externo de Porcelanato Polido, Placa 60x60cm</v>
      </c>
      <c r="D1809" s="175" t="s">
        <v>675</v>
      </c>
      <c r="E1809" s="176" t="s">
        <v>428</v>
      </c>
      <c r="F1809" s="196">
        <v>0.02</v>
      </c>
      <c r="G1809" s="177">
        <f>IF(B1809="insumo",_xlfn.XLOOKUP($D1809,Insumos!$B$1:$B$764,Insumos!$D$1:$D$764),"")</f>
        <v>11.15</v>
      </c>
      <c r="H1809" s="177" cm="1">
        <f t="array" ref="H1809">_xlfn.IFS(B1809="Serviço",SUMIFS(H1810:$H$3085,C1810:$C$3085,$C1809),B1809="Insumo",F1809*G1809,B1809="Etapa","")</f>
        <v>0.223</v>
      </c>
      <c r="I1809" s="178"/>
    </row>
    <row r="1810" spans="1:9" outlineLevel="1" x14ac:dyDescent="0.25">
      <c r="A1810" s="175">
        <f t="shared" si="59"/>
        <v>1</v>
      </c>
      <c r="B1810" s="175" t="s">
        <v>109</v>
      </c>
      <c r="C1810" s="175" t="str">
        <f t="shared" si="58"/>
        <v>Revestimento em Pisos porcelanato, 61x 61cm com Junta de 3mm</v>
      </c>
      <c r="D1810" s="175" t="s">
        <v>4243</v>
      </c>
      <c r="E1810" s="176" t="s">
        <v>13</v>
      </c>
      <c r="F1810" s="175"/>
      <c r="G1810" s="177" t="str">
        <f>IF(B1810="insumo",_xlfn.XLOOKUP($D1810,Insumos!$B$1:$B$764,Insumos!$D$1:$D$764),"")</f>
        <v/>
      </c>
      <c r="H1810" s="177" cm="1">
        <f t="array" ref="H1810">_xlfn.IFS(B1810="Serviço",SUMIFS(H1811:$H$3085,C1811:$C$3085,$C1810),B1810="Insumo",F1810*G1810,B1810="Etapa","")</f>
        <v>95.698000000000008</v>
      </c>
      <c r="I1810" s="178" t="s">
        <v>195</v>
      </c>
    </row>
    <row r="1811" spans="1:9" outlineLevel="2" x14ac:dyDescent="0.25">
      <c r="A1811" s="175">
        <f t="shared" si="59"/>
        <v>1</v>
      </c>
      <c r="B1811" s="175" t="s">
        <v>327</v>
      </c>
      <c r="C1811" s="175" t="str">
        <f t="shared" si="58"/>
        <v>Revestimento em Pisos porcelanato, 61x 61cm com Junta de 3mm</v>
      </c>
      <c r="D1811" s="175" t="s">
        <v>4244</v>
      </c>
      <c r="E1811" s="176" t="s">
        <v>13</v>
      </c>
      <c r="F1811" s="196">
        <v>1.1000000000000001</v>
      </c>
      <c r="G1811" s="177">
        <f>IF(B1811="insumo",_xlfn.XLOOKUP($D1811,Insumos!$B$1:$B$764,Insumos!$D$1:$D$764),"")</f>
        <v>78.930000000000007</v>
      </c>
      <c r="H1811" s="177" cm="1">
        <f t="array" ref="H1811">_xlfn.IFS(B1811="Serviço",SUMIFS(H1812:$H$3085,C1812:$C$3085,$C1811),B1811="Insumo",F1811*G1811,B1811="Etapa","")</f>
        <v>86.823000000000008</v>
      </c>
      <c r="I1811" s="178"/>
    </row>
    <row r="1812" spans="1:9" outlineLevel="2" x14ac:dyDescent="0.25">
      <c r="A1812" s="175">
        <f t="shared" si="59"/>
        <v>11</v>
      </c>
      <c r="B1812" s="175" t="s">
        <v>327</v>
      </c>
      <c r="C1812" s="175" t="str">
        <f t="shared" si="58"/>
        <v>Revestimento em Pisos porcelanato, 61x 61cm com Junta de 3mm</v>
      </c>
      <c r="D1812" s="175" t="s">
        <v>780</v>
      </c>
      <c r="E1812" s="176" t="s">
        <v>428</v>
      </c>
      <c r="F1812" s="196">
        <v>8.8000000000000007</v>
      </c>
      <c r="G1812" s="177">
        <f>IF(B1812="insumo",_xlfn.XLOOKUP($D1812,Insumos!$B$1:$B$764,Insumos!$D$1:$D$764),"")</f>
        <v>0.97750000000000004</v>
      </c>
      <c r="H1812" s="177" cm="1">
        <f t="array" ref="H1812">_xlfn.IFS(B1812="Serviço",SUMIFS(H1813:$H$3085,C1813:$C$3085,$C1812),B1812="Insumo",F1812*G1812,B1812="Etapa","")</f>
        <v>8.6020000000000003</v>
      </c>
      <c r="I1812" s="178"/>
    </row>
    <row r="1813" spans="1:9" outlineLevel="2" x14ac:dyDescent="0.25">
      <c r="A1813" s="175">
        <f t="shared" si="59"/>
        <v>13</v>
      </c>
      <c r="B1813" s="175" t="s">
        <v>327</v>
      </c>
      <c r="C1813" s="175" t="str">
        <f t="shared" si="58"/>
        <v>Revestimento em Pisos porcelanato, 61x 61cm com Junta de 3mm</v>
      </c>
      <c r="D1813" s="175" t="s">
        <v>680</v>
      </c>
      <c r="E1813" s="176" t="s">
        <v>131</v>
      </c>
      <c r="F1813" s="196">
        <v>1</v>
      </c>
      <c r="G1813" s="177">
        <f>IF(B1813="insumo",_xlfn.XLOOKUP($D1813,Insumos!$B$1:$B$764,Insumos!$D$1:$D$764),"")</f>
        <v>0.05</v>
      </c>
      <c r="H1813" s="177" cm="1">
        <f t="array" ref="H1813">_xlfn.IFS(B1813="Serviço",SUMIFS(H1814:$H$3085,C1814:$C$3085,$C1813),B1813="Insumo",F1813*G1813,B1813="Etapa","")</f>
        <v>0.05</v>
      </c>
      <c r="I1813" s="178"/>
    </row>
    <row r="1814" spans="1:9" outlineLevel="2" x14ac:dyDescent="0.25">
      <c r="A1814" s="175">
        <f t="shared" si="59"/>
        <v>71</v>
      </c>
      <c r="B1814" s="175" t="s">
        <v>327</v>
      </c>
      <c r="C1814" s="175" t="str">
        <f t="shared" si="58"/>
        <v>Revestimento em Pisos porcelanato, 61x 61cm com Junta de 3mm</v>
      </c>
      <c r="D1814" s="175" t="s">
        <v>675</v>
      </c>
      <c r="E1814" s="176" t="s">
        <v>428</v>
      </c>
      <c r="F1814" s="196">
        <v>0.02</v>
      </c>
      <c r="G1814" s="177">
        <f>IF(B1814="insumo",_xlfn.XLOOKUP($D1814,Insumos!$B$1:$B$764,Insumos!$D$1:$D$764),"")</f>
        <v>11.15</v>
      </c>
      <c r="H1814" s="177" cm="1">
        <f t="array" ref="H1814">_xlfn.IFS(B1814="Serviço",SUMIFS(H1815:$H$3085,C1815:$C$3085,$C1814),B1814="Insumo",F1814*G1814,B1814="Etapa","")</f>
        <v>0.223</v>
      </c>
      <c r="I1814" s="178"/>
    </row>
    <row r="1815" spans="1:9" outlineLevel="1" collapsed="1" x14ac:dyDescent="0.25">
      <c r="A1815" s="175">
        <f t="shared" si="59"/>
        <v>1</v>
      </c>
      <c r="B1815" s="175" t="s">
        <v>109</v>
      </c>
      <c r="C1815" s="175" t="str">
        <f t="shared" si="58"/>
        <v>Revestimento em Pisos cerâmico, 61x 61cm com Junta de 3mm</v>
      </c>
      <c r="D1815" s="175" t="s">
        <v>4242</v>
      </c>
      <c r="E1815" s="176" t="s">
        <v>13</v>
      </c>
      <c r="F1815" s="175"/>
      <c r="G1815" s="177" t="str">
        <f>IF(B1815="insumo",_xlfn.XLOOKUP($D1815,Insumos!$B$1:$B$764,Insumos!$D$1:$D$764),"")</f>
        <v/>
      </c>
      <c r="H1815" s="177" cm="1">
        <f t="array" ref="H1815">_xlfn.IFS(B1815="Serviço",SUMIFS(H1816:$H$3085,C1816:$C$3085,$C1815),B1815="Insumo",F1815*G1815,B1815="Etapa","")</f>
        <v>78.824000000000012</v>
      </c>
      <c r="I1815" s="178" t="s">
        <v>195</v>
      </c>
    </row>
    <row r="1816" spans="1:9" hidden="1" outlineLevel="2" x14ac:dyDescent="0.25">
      <c r="A1816" s="175">
        <f t="shared" si="59"/>
        <v>4</v>
      </c>
      <c r="B1816" s="175" t="s">
        <v>327</v>
      </c>
      <c r="C1816" s="175" t="str">
        <f t="shared" si="58"/>
        <v>Revestimento em Pisos cerâmico, 61x 61cm com Junta de 3mm</v>
      </c>
      <c r="D1816" s="175" t="s">
        <v>2855</v>
      </c>
      <c r="E1816" s="176" t="s">
        <v>13</v>
      </c>
      <c r="F1816" s="196">
        <v>1.1000000000000001</v>
      </c>
      <c r="G1816" s="177">
        <f>IF(B1816="insumo",_xlfn.XLOOKUP($D1816,Insumos!$B$1:$B$764,Insumos!$D$1:$D$764),"")</f>
        <v>63.59</v>
      </c>
      <c r="H1816" s="177" cm="1">
        <f t="array" ref="H1816">_xlfn.IFS(B1816="Serviço",SUMIFS(H1817:$H$3085,C1817:$C$3085,$C1816),B1816="Insumo",F1816*G1816,B1816="Etapa","")</f>
        <v>69.949000000000012</v>
      </c>
      <c r="I1816" s="178"/>
    </row>
    <row r="1817" spans="1:9" hidden="1" outlineLevel="2" x14ac:dyDescent="0.25">
      <c r="A1817" s="175">
        <f t="shared" si="59"/>
        <v>11</v>
      </c>
      <c r="B1817" s="175" t="s">
        <v>327</v>
      </c>
      <c r="C1817" s="175" t="str">
        <f t="shared" si="58"/>
        <v>Revestimento em Pisos cerâmico, 61x 61cm com Junta de 3mm</v>
      </c>
      <c r="D1817" s="175" t="s">
        <v>780</v>
      </c>
      <c r="E1817" s="176" t="s">
        <v>428</v>
      </c>
      <c r="F1817" s="196">
        <v>8.8000000000000007</v>
      </c>
      <c r="G1817" s="177">
        <f>IF(B1817="insumo",_xlfn.XLOOKUP($D1817,Insumos!$B$1:$B$764,Insumos!$D$1:$D$764),"")</f>
        <v>0.97750000000000004</v>
      </c>
      <c r="H1817" s="177" cm="1">
        <f t="array" ref="H1817">_xlfn.IFS(B1817="Serviço",SUMIFS(H1818:$H$3085,C1818:$C$3085,$C1817),B1817="Insumo",F1817*G1817,B1817="Etapa","")</f>
        <v>8.6020000000000003</v>
      </c>
      <c r="I1817" s="178"/>
    </row>
    <row r="1818" spans="1:9" hidden="1" outlineLevel="2" x14ac:dyDescent="0.25">
      <c r="A1818" s="175">
        <f t="shared" si="59"/>
        <v>13</v>
      </c>
      <c r="B1818" s="175" t="s">
        <v>327</v>
      </c>
      <c r="C1818" s="175" t="str">
        <f t="shared" si="58"/>
        <v>Revestimento em Pisos cerâmico, 61x 61cm com Junta de 3mm</v>
      </c>
      <c r="D1818" s="175" t="s">
        <v>680</v>
      </c>
      <c r="E1818" s="176" t="s">
        <v>131</v>
      </c>
      <c r="F1818" s="196">
        <v>1</v>
      </c>
      <c r="G1818" s="177">
        <f>IF(B1818="insumo",_xlfn.XLOOKUP($D1818,Insumos!$B$1:$B$764,Insumos!$D$1:$D$764),"")</f>
        <v>0.05</v>
      </c>
      <c r="H1818" s="177" cm="1">
        <f t="array" ref="H1818">_xlfn.IFS(B1818="Serviço",SUMIFS(H1819:$H$3085,C1819:$C$3085,$C1818),B1818="Insumo",F1818*G1818,B1818="Etapa","")</f>
        <v>0.05</v>
      </c>
      <c r="I1818" s="178"/>
    </row>
    <row r="1819" spans="1:9" hidden="1" outlineLevel="2" x14ac:dyDescent="0.25">
      <c r="A1819" s="175">
        <f t="shared" si="59"/>
        <v>71</v>
      </c>
      <c r="B1819" s="175" t="s">
        <v>327</v>
      </c>
      <c r="C1819" s="175" t="str">
        <f t="shared" si="58"/>
        <v>Revestimento em Pisos cerâmico, 61x 61cm com Junta de 3mm</v>
      </c>
      <c r="D1819" s="175" t="s">
        <v>675</v>
      </c>
      <c r="E1819" s="176" t="s">
        <v>428</v>
      </c>
      <c r="F1819" s="196">
        <v>0.02</v>
      </c>
      <c r="G1819" s="177">
        <f>IF(B1819="insumo",_xlfn.XLOOKUP($D1819,Insumos!$B$1:$B$764,Insumos!$D$1:$D$764),"")</f>
        <v>11.15</v>
      </c>
      <c r="H1819" s="177" cm="1">
        <f t="array" ref="H1819">_xlfn.IFS(B1819="Serviço",SUMIFS(H1820:$H$3085,C1820:$C$3085,$C1819),B1819="Insumo",F1819*G1819,B1819="Etapa","")</f>
        <v>0.223</v>
      </c>
      <c r="I1819" s="178"/>
    </row>
    <row r="1820" spans="1:9" outlineLevel="1" collapsed="1" x14ac:dyDescent="0.25">
      <c r="A1820" s="175">
        <f t="shared" si="59"/>
        <v>1</v>
      </c>
      <c r="B1820" s="175" t="s">
        <v>109</v>
      </c>
      <c r="C1820" s="175" t="str">
        <f t="shared" si="58"/>
        <v>Revestimento em Cerâmicas Vulcano Cinza Pisos Externos, 61x 61cm com Junta de 3mm</v>
      </c>
      <c r="D1820" s="175" t="s">
        <v>2856</v>
      </c>
      <c r="E1820" s="176" t="s">
        <v>13</v>
      </c>
      <c r="F1820" s="175"/>
      <c r="G1820" s="177" t="str">
        <f>IF(B1820="insumo",_xlfn.XLOOKUP($D1820,Insumos!$B$1:$B$764,Insumos!$D$1:$D$764),"")</f>
        <v/>
      </c>
      <c r="H1820" s="177" cm="1">
        <f t="array" ref="H1820">_xlfn.IFS(B1820="Serviço",SUMIFS(H1821:$H$3085,C1821:$C$3085,$C1820),B1820="Insumo",F1820*G1820,B1820="Etapa","")</f>
        <v>78.824000000000012</v>
      </c>
      <c r="I1820" s="178" t="s">
        <v>195</v>
      </c>
    </row>
    <row r="1821" spans="1:9" hidden="1" outlineLevel="2" x14ac:dyDescent="0.25">
      <c r="A1821" s="175">
        <f t="shared" si="59"/>
        <v>4</v>
      </c>
      <c r="B1821" s="175" t="s">
        <v>327</v>
      </c>
      <c r="C1821" s="175" t="str">
        <f t="shared" si="58"/>
        <v>Revestimento em Cerâmicas Vulcano Cinza Pisos Externos, 61x 61cm com Junta de 3mm</v>
      </c>
      <c r="D1821" s="175" t="s">
        <v>2855</v>
      </c>
      <c r="E1821" s="176" t="s">
        <v>13</v>
      </c>
      <c r="F1821" s="196">
        <v>1.1000000000000001</v>
      </c>
      <c r="G1821" s="177">
        <f>IF(B1821="insumo",_xlfn.XLOOKUP($D1821,Insumos!$B$1:$B$764,Insumos!$D$1:$D$764),"")</f>
        <v>63.59</v>
      </c>
      <c r="H1821" s="177" cm="1">
        <f t="array" ref="H1821">_xlfn.IFS(B1821="Serviço",SUMIFS(H1822:$H$3085,C1822:$C$3085,$C1821),B1821="Insumo",F1821*G1821,B1821="Etapa","")</f>
        <v>69.949000000000012</v>
      </c>
      <c r="I1821" s="178"/>
    </row>
    <row r="1822" spans="1:9" hidden="1" outlineLevel="2" x14ac:dyDescent="0.25">
      <c r="A1822" s="175">
        <f t="shared" si="59"/>
        <v>11</v>
      </c>
      <c r="B1822" s="175" t="s">
        <v>327</v>
      </c>
      <c r="C1822" s="175" t="str">
        <f t="shared" si="58"/>
        <v>Revestimento em Cerâmicas Vulcano Cinza Pisos Externos, 61x 61cm com Junta de 3mm</v>
      </c>
      <c r="D1822" s="175" t="s">
        <v>780</v>
      </c>
      <c r="E1822" s="176" t="s">
        <v>428</v>
      </c>
      <c r="F1822" s="196">
        <v>8.8000000000000007</v>
      </c>
      <c r="G1822" s="177">
        <f>IF(B1822="insumo",_xlfn.XLOOKUP($D1822,Insumos!$B$1:$B$764,Insumos!$D$1:$D$764),"")</f>
        <v>0.97750000000000004</v>
      </c>
      <c r="H1822" s="177" cm="1">
        <f t="array" ref="H1822">_xlfn.IFS(B1822="Serviço",SUMIFS(H1823:$H$3085,C1823:$C$3085,$C1822),B1822="Insumo",F1822*G1822,B1822="Etapa","")</f>
        <v>8.6020000000000003</v>
      </c>
      <c r="I1822" s="178"/>
    </row>
    <row r="1823" spans="1:9" hidden="1" outlineLevel="2" x14ac:dyDescent="0.25">
      <c r="A1823" s="175">
        <f t="shared" si="59"/>
        <v>13</v>
      </c>
      <c r="B1823" s="175" t="s">
        <v>327</v>
      </c>
      <c r="C1823" s="175" t="str">
        <f t="shared" si="58"/>
        <v>Revestimento em Cerâmicas Vulcano Cinza Pisos Externos, 61x 61cm com Junta de 3mm</v>
      </c>
      <c r="D1823" s="175" t="s">
        <v>680</v>
      </c>
      <c r="E1823" s="176" t="s">
        <v>131</v>
      </c>
      <c r="F1823" s="196">
        <v>1</v>
      </c>
      <c r="G1823" s="177">
        <f>IF(B1823="insumo",_xlfn.XLOOKUP($D1823,Insumos!$B$1:$B$764,Insumos!$D$1:$D$764),"")</f>
        <v>0.05</v>
      </c>
      <c r="H1823" s="177" cm="1">
        <f t="array" ref="H1823">_xlfn.IFS(B1823="Serviço",SUMIFS(H1824:$H$3085,C1824:$C$3085,$C1823),B1823="Insumo",F1823*G1823,B1823="Etapa","")</f>
        <v>0.05</v>
      </c>
      <c r="I1823" s="178"/>
    </row>
    <row r="1824" spans="1:9" hidden="1" outlineLevel="2" x14ac:dyDescent="0.25">
      <c r="A1824" s="175">
        <f t="shared" si="59"/>
        <v>71</v>
      </c>
      <c r="B1824" s="175" t="s">
        <v>327</v>
      </c>
      <c r="C1824" s="175" t="str">
        <f t="shared" si="58"/>
        <v>Revestimento em Cerâmicas Vulcano Cinza Pisos Externos, 61x 61cm com Junta de 3mm</v>
      </c>
      <c r="D1824" s="175" t="s">
        <v>675</v>
      </c>
      <c r="E1824" s="176" t="s">
        <v>428</v>
      </c>
      <c r="F1824" s="196">
        <v>0.02</v>
      </c>
      <c r="G1824" s="177">
        <f>IF(B1824="insumo",_xlfn.XLOOKUP($D1824,Insumos!$B$1:$B$764,Insumos!$D$1:$D$764),"")</f>
        <v>11.15</v>
      </c>
      <c r="H1824" s="177" cm="1">
        <f t="array" ref="H1824">_xlfn.IFS(B1824="Serviço",SUMIFS(H1825:$H$3085,C1825:$C$3085,$C1824),B1824="Insumo",F1824*G1824,B1824="Etapa","")</f>
        <v>0.223</v>
      </c>
      <c r="I1824" s="178"/>
    </row>
    <row r="1825" spans="1:9" outlineLevel="1" collapsed="1" x14ac:dyDescent="0.25">
      <c r="A1825" s="175">
        <f t="shared" si="59"/>
        <v>1</v>
      </c>
      <c r="B1825" s="175" t="s">
        <v>109</v>
      </c>
      <c r="C1825" s="175" t="str">
        <f t="shared" si="58"/>
        <v>Revestimento em Cerâmicas Pisos Internos, 60x 60cm com Junta de 3mm</v>
      </c>
      <c r="D1825" s="175" t="s">
        <v>778</v>
      </c>
      <c r="E1825" s="176" t="s">
        <v>13</v>
      </c>
      <c r="F1825" s="175"/>
      <c r="G1825" s="177" t="str">
        <f>IF(B1825="insumo",_xlfn.XLOOKUP($D1825,Insumos!$B$1:$B$764,Insumos!$D$1:$D$764),"")</f>
        <v/>
      </c>
      <c r="H1825" s="177" cm="1">
        <f t="array" ref="H1825">_xlfn.IFS(B1825="Serviço",SUMIFS(H1826:$H$3085,C1826:$C$3085,$C1825),B1825="Insumo",F1825*G1825,B1825="Etapa","")</f>
        <v>52.478999999999999</v>
      </c>
      <c r="I1825" s="178" t="s">
        <v>195</v>
      </c>
    </row>
    <row r="1826" spans="1:9" hidden="1" outlineLevel="2" x14ac:dyDescent="0.25">
      <c r="A1826" s="175">
        <f t="shared" si="59"/>
        <v>2</v>
      </c>
      <c r="B1826" s="175" t="s">
        <v>327</v>
      </c>
      <c r="C1826" s="175" t="str">
        <f t="shared" si="58"/>
        <v>Revestimento em Cerâmicas Pisos Internos, 60x 60cm com Junta de 3mm</v>
      </c>
      <c r="D1826" s="175" t="s">
        <v>779</v>
      </c>
      <c r="E1826" s="176" t="s">
        <v>13</v>
      </c>
      <c r="F1826" s="196">
        <v>1.1000000000000001</v>
      </c>
      <c r="G1826" s="177">
        <f>IF(B1826="insumo",_xlfn.XLOOKUP($D1826,Insumos!$B$1:$B$764,Insumos!$D$1:$D$764),"")</f>
        <v>39.64</v>
      </c>
      <c r="H1826" s="177" cm="1">
        <f t="array" ref="H1826">_xlfn.IFS(B1826="Serviço",SUMIFS(H1827:$H$3085,C1827:$C$3085,$C1826),B1826="Insumo",F1826*G1826,B1826="Etapa","")</f>
        <v>43.604000000000006</v>
      </c>
      <c r="I1826" s="178"/>
    </row>
    <row r="1827" spans="1:9" hidden="1" outlineLevel="2" x14ac:dyDescent="0.25">
      <c r="A1827" s="175">
        <f t="shared" si="59"/>
        <v>11</v>
      </c>
      <c r="B1827" s="175" t="s">
        <v>327</v>
      </c>
      <c r="C1827" s="175" t="str">
        <f t="shared" si="58"/>
        <v>Revestimento em Cerâmicas Pisos Internos, 60x 60cm com Junta de 3mm</v>
      </c>
      <c r="D1827" s="175" t="s">
        <v>780</v>
      </c>
      <c r="E1827" s="176" t="s">
        <v>428</v>
      </c>
      <c r="F1827" s="196">
        <v>8.8000000000000007</v>
      </c>
      <c r="G1827" s="177">
        <f>IF(B1827="insumo",_xlfn.XLOOKUP($D1827,Insumos!$B$1:$B$764,Insumos!$D$1:$D$764),"")</f>
        <v>0.97750000000000004</v>
      </c>
      <c r="H1827" s="177" cm="1">
        <f t="array" ref="H1827">_xlfn.IFS(B1827="Serviço",SUMIFS(H1828:$H$3085,C1828:$C$3085,$C1827),B1827="Insumo",F1827*G1827,B1827="Etapa","")</f>
        <v>8.6020000000000003</v>
      </c>
      <c r="I1827" s="178"/>
    </row>
    <row r="1828" spans="1:9" hidden="1" outlineLevel="2" x14ac:dyDescent="0.25">
      <c r="A1828" s="175">
        <f t="shared" si="59"/>
        <v>13</v>
      </c>
      <c r="B1828" s="175" t="s">
        <v>327</v>
      </c>
      <c r="C1828" s="175" t="str">
        <f t="shared" si="58"/>
        <v>Revestimento em Cerâmicas Pisos Internos, 60x 60cm com Junta de 3mm</v>
      </c>
      <c r="D1828" s="175" t="s">
        <v>680</v>
      </c>
      <c r="E1828" s="176" t="s">
        <v>131</v>
      </c>
      <c r="F1828" s="196">
        <v>1</v>
      </c>
      <c r="G1828" s="177">
        <f>IF(B1828="insumo",_xlfn.XLOOKUP($D1828,Insumos!$B$1:$B$764,Insumos!$D$1:$D$764),"")</f>
        <v>0.05</v>
      </c>
      <c r="H1828" s="177" cm="1">
        <f t="array" ref="H1828">_xlfn.IFS(B1828="Serviço",SUMIFS(H1829:$H$3085,C1829:$C$3085,$C1828),B1828="Insumo",F1828*G1828,B1828="Etapa","")</f>
        <v>0.05</v>
      </c>
      <c r="I1828" s="178"/>
    </row>
    <row r="1829" spans="1:9" hidden="1" outlineLevel="2" x14ac:dyDescent="0.25">
      <c r="A1829" s="175">
        <f t="shared" si="59"/>
        <v>71</v>
      </c>
      <c r="B1829" s="175" t="s">
        <v>327</v>
      </c>
      <c r="C1829" s="175" t="str">
        <f t="shared" si="58"/>
        <v>Revestimento em Cerâmicas Pisos Internos, 60x 60cm com Junta de 3mm</v>
      </c>
      <c r="D1829" s="175" t="s">
        <v>675</v>
      </c>
      <c r="E1829" s="176" t="s">
        <v>428</v>
      </c>
      <c r="F1829" s="196">
        <v>0.02</v>
      </c>
      <c r="G1829" s="177">
        <f>IF(B1829="insumo",_xlfn.XLOOKUP($D1829,Insumos!$B$1:$B$764,Insumos!$D$1:$D$764),"")</f>
        <v>11.15</v>
      </c>
      <c r="H1829" s="177" cm="1">
        <f t="array" ref="H1829">_xlfn.IFS(B1829="Serviço",SUMIFS(H1830:$H$3085,C1830:$C$3085,$C1829),B1829="Insumo",F1829*G1829,B1829="Etapa","")</f>
        <v>0.223</v>
      </c>
      <c r="I1829" s="178"/>
    </row>
    <row r="1830" spans="1:9" outlineLevel="1" collapsed="1" x14ac:dyDescent="0.25">
      <c r="A1830" s="175">
        <f t="shared" si="59"/>
        <v>1</v>
      </c>
      <c r="B1830" s="175" t="s">
        <v>109</v>
      </c>
      <c r="C1830" s="175" t="str">
        <f t="shared" si="58"/>
        <v>Revestimento em Cerâmicas Pisos Externos, 60x 60cm com Junta de 3mm</v>
      </c>
      <c r="D1830" s="175" t="s">
        <v>1764</v>
      </c>
      <c r="E1830" s="176" t="s">
        <v>13</v>
      </c>
      <c r="F1830" s="175"/>
      <c r="G1830" s="177" t="str">
        <f>IF(B1830="insumo",_xlfn.XLOOKUP($D1830,Insumos!$B$1:$B$764,Insumos!$D$1:$D$764),"")</f>
        <v/>
      </c>
      <c r="H1830" s="177" cm="1">
        <f t="array" ref="H1830">_xlfn.IFS(B1830="Serviço",SUMIFS(H1831:$H$3085,C1831:$C$3085,$C1830),B1830="Insumo",F1830*G1830,B1830="Etapa","")</f>
        <v>52.478999999999999</v>
      </c>
      <c r="I1830" s="178" t="s">
        <v>195</v>
      </c>
    </row>
    <row r="1831" spans="1:9" hidden="1" outlineLevel="2" x14ac:dyDescent="0.25">
      <c r="A1831" s="175">
        <f t="shared" si="59"/>
        <v>2</v>
      </c>
      <c r="B1831" s="175" t="s">
        <v>327</v>
      </c>
      <c r="C1831" s="175" t="str">
        <f t="shared" si="58"/>
        <v>Revestimento em Cerâmicas Pisos Externos, 60x 60cm com Junta de 3mm</v>
      </c>
      <c r="D1831" s="175" t="s">
        <v>779</v>
      </c>
      <c r="E1831" s="176" t="s">
        <v>13</v>
      </c>
      <c r="F1831" s="196">
        <v>1.1000000000000001</v>
      </c>
      <c r="G1831" s="177">
        <f>IF(B1831="insumo",_xlfn.XLOOKUP($D1831,Insumos!$B$1:$B$764,Insumos!$D$1:$D$764),"")</f>
        <v>39.64</v>
      </c>
      <c r="H1831" s="177" cm="1">
        <f t="array" ref="H1831">_xlfn.IFS(B1831="Serviço",SUMIFS(H1832:$H$3085,C1832:$C$3085,$C1831),B1831="Insumo",F1831*G1831,B1831="Etapa","")</f>
        <v>43.604000000000006</v>
      </c>
      <c r="I1831" s="178"/>
    </row>
    <row r="1832" spans="1:9" hidden="1" outlineLevel="2" x14ac:dyDescent="0.25">
      <c r="A1832" s="175">
        <f t="shared" si="59"/>
        <v>11</v>
      </c>
      <c r="B1832" s="175" t="s">
        <v>327</v>
      </c>
      <c r="C1832" s="175" t="str">
        <f t="shared" ref="C1832:C1895" si="60">IF(B1832="serviço",D1832,C1831)</f>
        <v>Revestimento em Cerâmicas Pisos Externos, 60x 60cm com Junta de 3mm</v>
      </c>
      <c r="D1832" s="175" t="s">
        <v>780</v>
      </c>
      <c r="E1832" s="176" t="s">
        <v>428</v>
      </c>
      <c r="F1832" s="196">
        <v>8.8000000000000007</v>
      </c>
      <c r="G1832" s="177">
        <f>IF(B1832="insumo",_xlfn.XLOOKUP($D1832,Insumos!$B$1:$B$764,Insumos!$D$1:$D$764),"")</f>
        <v>0.97750000000000004</v>
      </c>
      <c r="H1832" s="177" cm="1">
        <f t="array" ref="H1832">_xlfn.IFS(B1832="Serviço",SUMIFS(H1833:$H$3085,C1833:$C$3085,$C1832),B1832="Insumo",F1832*G1832,B1832="Etapa","")</f>
        <v>8.6020000000000003</v>
      </c>
      <c r="I1832" s="178"/>
    </row>
    <row r="1833" spans="1:9" hidden="1" outlineLevel="2" x14ac:dyDescent="0.25">
      <c r="A1833" s="175">
        <f t="shared" si="59"/>
        <v>13</v>
      </c>
      <c r="B1833" s="175" t="s">
        <v>327</v>
      </c>
      <c r="C1833" s="175" t="str">
        <f t="shared" si="60"/>
        <v>Revestimento em Cerâmicas Pisos Externos, 60x 60cm com Junta de 3mm</v>
      </c>
      <c r="D1833" s="175" t="s">
        <v>680</v>
      </c>
      <c r="E1833" s="176" t="s">
        <v>131</v>
      </c>
      <c r="F1833" s="196">
        <v>1</v>
      </c>
      <c r="G1833" s="177">
        <f>IF(B1833="insumo",_xlfn.XLOOKUP($D1833,Insumos!$B$1:$B$764,Insumos!$D$1:$D$764),"")</f>
        <v>0.05</v>
      </c>
      <c r="H1833" s="177" cm="1">
        <f t="array" ref="H1833">_xlfn.IFS(B1833="Serviço",SUMIFS(H1834:$H$3085,C1834:$C$3085,$C1833),B1833="Insumo",F1833*G1833,B1833="Etapa","")</f>
        <v>0.05</v>
      </c>
      <c r="I1833" s="178"/>
    </row>
    <row r="1834" spans="1:9" hidden="1" outlineLevel="2" x14ac:dyDescent="0.25">
      <c r="A1834" s="175">
        <f t="shared" si="59"/>
        <v>71</v>
      </c>
      <c r="B1834" s="175" t="s">
        <v>327</v>
      </c>
      <c r="C1834" s="175" t="str">
        <f t="shared" si="60"/>
        <v>Revestimento em Cerâmicas Pisos Externos, 60x 60cm com Junta de 3mm</v>
      </c>
      <c r="D1834" s="175" t="s">
        <v>675</v>
      </c>
      <c r="E1834" s="176" t="s">
        <v>428</v>
      </c>
      <c r="F1834" s="196">
        <v>0.02</v>
      </c>
      <c r="G1834" s="177">
        <f>IF(B1834="insumo",_xlfn.XLOOKUP($D1834,Insumos!$B$1:$B$764,Insumos!$D$1:$D$764),"")</f>
        <v>11.15</v>
      </c>
      <c r="H1834" s="177" cm="1">
        <f t="array" ref="H1834">_xlfn.IFS(B1834="Serviço",SUMIFS(H1835:$H$3085,C1835:$C$3085,$C1834),B1834="Insumo",F1834*G1834,B1834="Etapa","")</f>
        <v>0.223</v>
      </c>
      <c r="I1834" s="178"/>
    </row>
    <row r="1835" spans="1:9" outlineLevel="1" collapsed="1" x14ac:dyDescent="0.25">
      <c r="A1835" s="175">
        <f t="shared" si="59"/>
        <v>1</v>
      </c>
      <c r="B1835" s="175" t="s">
        <v>109</v>
      </c>
      <c r="C1835" s="175" t="str">
        <f t="shared" si="60"/>
        <v>Revestimento em Porcelanato Piso Externo, 90x 90cm com Junta de 3mm</v>
      </c>
      <c r="D1835" s="175" t="s">
        <v>1234</v>
      </c>
      <c r="E1835" s="176" t="s">
        <v>13</v>
      </c>
      <c r="F1835" s="175"/>
      <c r="G1835" s="177" t="str">
        <f>IF(B1835="insumo",_xlfn.XLOOKUP($D1835,Insumos!$B$1:$B$764,Insumos!$D$1:$D$764),"")</f>
        <v/>
      </c>
      <c r="H1835" s="177" cm="1">
        <f t="array" ref="H1835">_xlfn.IFS(B1835="Serviço",SUMIFS(H1836:$H$3085,C1836:$C$3085,$C1835),B1835="Insumo",F1835*G1835,B1835="Etapa","")</f>
        <v>219.60800000000003</v>
      </c>
      <c r="I1835" s="178" t="s">
        <v>195</v>
      </c>
    </row>
    <row r="1836" spans="1:9" hidden="1" outlineLevel="2" x14ac:dyDescent="0.25">
      <c r="A1836" s="175">
        <f t="shared" si="59"/>
        <v>1</v>
      </c>
      <c r="B1836" s="175" t="s">
        <v>327</v>
      </c>
      <c r="C1836" s="175" t="str">
        <f t="shared" si="60"/>
        <v>Revestimento em Porcelanato Piso Externo, 90x 90cm com Junta de 3mm</v>
      </c>
      <c r="D1836" s="485" t="s">
        <v>1190</v>
      </c>
      <c r="E1836" s="176" t="str">
        <f>_xlfn.XLOOKUP(D1836,Insumos!$B$1:$B$764,Insumos!$C$1:$C$764)</f>
        <v>M2</v>
      </c>
      <c r="F1836" s="196">
        <v>1.1000000000000001</v>
      </c>
      <c r="G1836" s="177">
        <f>IF(B1836="insumo",_xlfn.XLOOKUP($D1836,Insumos!$B$1:$B$764,Insumos!$D$1:$D$764),"")</f>
        <v>178.8</v>
      </c>
      <c r="H1836" s="177" cm="1">
        <f t="array" ref="H1836">_xlfn.IFS(B1836="Serviço",SUMIFS(H1837:$H$3085,C1837:$C$3085,$C1836),B1836="Insumo",F1836*G1836,B1836="Etapa","")</f>
        <v>196.68000000000004</v>
      </c>
      <c r="I1836" s="178"/>
    </row>
    <row r="1837" spans="1:9" hidden="1" outlineLevel="2" x14ac:dyDescent="0.25">
      <c r="A1837" s="175">
        <f t="shared" si="59"/>
        <v>118</v>
      </c>
      <c r="B1837" s="175" t="s">
        <v>327</v>
      </c>
      <c r="C1837" s="175" t="str">
        <f t="shared" si="60"/>
        <v>Revestimento em Porcelanato Piso Externo, 90x 90cm com Junta de 3mm</v>
      </c>
      <c r="D1837" s="175" t="s">
        <v>654</v>
      </c>
      <c r="E1837" s="176" t="str">
        <f>_xlfn.XLOOKUP(D1837,Insumos!$B$1:$B$764,Insumos!$C$1:$C$764)</f>
        <v>KG</v>
      </c>
      <c r="F1837" s="196">
        <v>8.8000000000000007</v>
      </c>
      <c r="G1837" s="177">
        <f>IF(B1837="insumo",_xlfn.XLOOKUP($D1837,Insumos!$B$1:$B$764,Insumos!$D$1:$D$764),"")</f>
        <v>2.5499999999999998</v>
      </c>
      <c r="H1837" s="177" cm="1">
        <f t="array" ref="H1837">_xlfn.IFS(B1837="Serviço",SUMIFS(H1838:$H$3085,C1838:$C$3085,$C1837),B1837="Insumo",F1837*G1837,B1837="Etapa","")</f>
        <v>22.44</v>
      </c>
      <c r="I1837" s="178"/>
    </row>
    <row r="1838" spans="1:9" hidden="1" outlineLevel="2" x14ac:dyDescent="0.25">
      <c r="A1838" s="175">
        <f t="shared" si="59"/>
        <v>13</v>
      </c>
      <c r="B1838" s="175" t="s">
        <v>327</v>
      </c>
      <c r="C1838" s="175" t="str">
        <f t="shared" si="60"/>
        <v>Revestimento em Porcelanato Piso Externo, 90x 90cm com Junta de 3mm</v>
      </c>
      <c r="D1838" s="175" t="s">
        <v>680</v>
      </c>
      <c r="E1838" s="176" t="str">
        <f>_xlfn.XLOOKUP(D1838,Insumos!$B$1:$B$764,Insumos!$C$1:$C$764)</f>
        <v>UN</v>
      </c>
      <c r="F1838" s="196">
        <v>1</v>
      </c>
      <c r="G1838" s="177">
        <f>IF(B1838="insumo",_xlfn.XLOOKUP($D1838,Insumos!$B$1:$B$764,Insumos!$D$1:$D$764),"")</f>
        <v>0.05</v>
      </c>
      <c r="H1838" s="177" cm="1">
        <f t="array" ref="H1838">_xlfn.IFS(B1838="Serviço",SUMIFS(H1839:$H$3085,C1839:$C$3085,$C1838),B1838="Insumo",F1838*G1838,B1838="Etapa","")</f>
        <v>0.05</v>
      </c>
      <c r="I1838" s="178"/>
    </row>
    <row r="1839" spans="1:9" hidden="1" outlineLevel="2" x14ac:dyDescent="0.25">
      <c r="A1839" s="175">
        <f t="shared" si="59"/>
        <v>19</v>
      </c>
      <c r="B1839" s="175" t="s">
        <v>327</v>
      </c>
      <c r="C1839" s="175" t="str">
        <f t="shared" si="60"/>
        <v>Revestimento em Porcelanato Piso Externo, 90x 90cm com Junta de 3mm</v>
      </c>
      <c r="D1839" s="175" t="s">
        <v>1187</v>
      </c>
      <c r="E1839" s="176" t="str">
        <f>_xlfn.XLOOKUP(D1839,Insumos!$B$1:$B$764,Insumos!$C$1:$C$764)</f>
        <v>KG</v>
      </c>
      <c r="F1839" s="196">
        <v>0.01</v>
      </c>
      <c r="G1839" s="177">
        <f>IF(B1839="insumo",_xlfn.XLOOKUP($D1839,Insumos!$B$1:$B$764,Insumos!$D$1:$D$764),"")</f>
        <v>43.8</v>
      </c>
      <c r="H1839" s="177" cm="1">
        <f t="array" ref="H1839">_xlfn.IFS(B1839="Serviço",SUMIFS(H1840:$H$3085,C1840:$C$3085,$C1839),B1839="Insumo",F1839*G1839,B1839="Etapa","")</f>
        <v>0.438</v>
      </c>
      <c r="I1839" s="178"/>
    </row>
    <row r="1840" spans="1:9" outlineLevel="1" collapsed="1" x14ac:dyDescent="0.25">
      <c r="A1840" s="175">
        <f t="shared" si="59"/>
        <v>1</v>
      </c>
      <c r="B1840" s="175" t="s">
        <v>109</v>
      </c>
      <c r="C1840" s="175" t="str">
        <f t="shared" si="60"/>
        <v>Revestimento de Piso Porcelanato Polido, Placa 60x60cm</v>
      </c>
      <c r="D1840" s="175" t="s">
        <v>766</v>
      </c>
      <c r="E1840" s="176" t="s">
        <v>13</v>
      </c>
      <c r="F1840" s="175"/>
      <c r="G1840" s="177" t="str">
        <f>IF(B1840="insumo",_xlfn.XLOOKUP($D1840,Insumos!$B$1:$B$764,Insumos!$D$1:$D$764),"")</f>
        <v/>
      </c>
      <c r="H1840" s="177" cm="1">
        <f t="array" ref="H1840">_xlfn.IFS(B1840="Serviço",SUMIFS(H1841:$H$3085,C1841:$C$3085,$C1840),B1840="Insumo",F1840*G1840,B1840="Etapa","")</f>
        <v>121.63300000000001</v>
      </c>
      <c r="I1840" s="178" t="s">
        <v>195</v>
      </c>
    </row>
    <row r="1841" spans="1:9" hidden="1" outlineLevel="2" x14ac:dyDescent="0.25">
      <c r="A1841" s="175">
        <f t="shared" si="59"/>
        <v>3</v>
      </c>
      <c r="B1841" s="175" t="s">
        <v>327</v>
      </c>
      <c r="C1841" s="175" t="str">
        <f t="shared" si="60"/>
        <v>Revestimento de Piso Porcelanato Polido, Placa 60x60cm</v>
      </c>
      <c r="D1841" s="175" t="s">
        <v>767</v>
      </c>
      <c r="E1841" s="176" t="str">
        <f>_xlfn.XLOOKUP(D1841,Insumos!$B$1:$B$764,Insumos!$C$1:$C$764)</f>
        <v>M2</v>
      </c>
      <c r="F1841" s="196">
        <v>1.1000000000000001</v>
      </c>
      <c r="G1841" s="177">
        <f>IF(B1841="insumo",_xlfn.XLOOKUP($D1841,Insumos!$B$1:$B$764,Insumos!$D$1:$D$764),"")</f>
        <v>89.9</v>
      </c>
      <c r="H1841" s="177" cm="1">
        <f t="array" ref="H1841">_xlfn.IFS(B1841="Serviço",SUMIFS(H1842:$H$3085,C1842:$C$3085,$C1841),B1841="Insumo",F1841*G1841,B1841="Etapa","")</f>
        <v>98.890000000000015</v>
      </c>
      <c r="I1841" s="178"/>
    </row>
    <row r="1842" spans="1:9" hidden="1" outlineLevel="2" x14ac:dyDescent="0.25">
      <c r="A1842" s="175">
        <f t="shared" si="59"/>
        <v>118</v>
      </c>
      <c r="B1842" s="175" t="s">
        <v>327</v>
      </c>
      <c r="C1842" s="175" t="str">
        <f t="shared" si="60"/>
        <v>Revestimento de Piso Porcelanato Polido, Placa 60x60cm</v>
      </c>
      <c r="D1842" s="175" t="s">
        <v>654</v>
      </c>
      <c r="E1842" s="176" t="str">
        <f>_xlfn.XLOOKUP(D1842,Insumos!$B$1:$B$764,Insumos!$C$1:$C$764)</f>
        <v>KG</v>
      </c>
      <c r="F1842" s="196">
        <v>8.8000000000000007</v>
      </c>
      <c r="G1842" s="177">
        <f>IF(B1842="insumo",_xlfn.XLOOKUP($D1842,Insumos!$B$1:$B$764,Insumos!$D$1:$D$764),"")</f>
        <v>2.5499999999999998</v>
      </c>
      <c r="H1842" s="177" cm="1">
        <f t="array" ref="H1842">_xlfn.IFS(B1842="Serviço",SUMIFS(H1843:$H$3085,C1843:$C$3085,$C1842),B1842="Insumo",F1842*G1842,B1842="Etapa","")</f>
        <v>22.44</v>
      </c>
      <c r="I1842" s="178"/>
    </row>
    <row r="1843" spans="1:9" hidden="1" outlineLevel="2" x14ac:dyDescent="0.25">
      <c r="A1843" s="175">
        <f t="shared" si="59"/>
        <v>78</v>
      </c>
      <c r="B1843" s="175" t="s">
        <v>327</v>
      </c>
      <c r="C1843" s="175" t="str">
        <f t="shared" si="60"/>
        <v>Revestimento de Piso Porcelanato Polido, Placa 60x60cm</v>
      </c>
      <c r="D1843" s="175" t="s">
        <v>674</v>
      </c>
      <c r="E1843" s="176" t="str">
        <f>_xlfn.XLOOKUP(D1843,Insumos!$B$1:$B$764,Insumos!$C$1:$C$764)</f>
        <v>UN</v>
      </c>
      <c r="F1843" s="196">
        <v>1</v>
      </c>
      <c r="G1843" s="177">
        <f>IF(B1843="insumo",_xlfn.XLOOKUP($D1843,Insumos!$B$1:$B$764,Insumos!$D$1:$D$764),"")</f>
        <v>0.08</v>
      </c>
      <c r="H1843" s="177" cm="1">
        <f t="array" ref="H1843">_xlfn.IFS(B1843="Serviço",SUMIFS(H1844:$H$3085,C1844:$C$3085,$C1843),B1843="Insumo",F1843*G1843,B1843="Etapa","")</f>
        <v>0.08</v>
      </c>
      <c r="I1843" s="178"/>
    </row>
    <row r="1844" spans="1:9" hidden="1" outlineLevel="2" x14ac:dyDescent="0.25">
      <c r="A1844" s="175">
        <f t="shared" si="59"/>
        <v>71</v>
      </c>
      <c r="B1844" s="175" t="s">
        <v>327</v>
      </c>
      <c r="C1844" s="175" t="str">
        <f t="shared" si="60"/>
        <v>Revestimento de Piso Porcelanato Polido, Placa 60x60cm</v>
      </c>
      <c r="D1844" s="175" t="s">
        <v>675</v>
      </c>
      <c r="E1844" s="176" t="str">
        <f>_xlfn.XLOOKUP(D1844,Insumos!$B$1:$B$764,Insumos!$C$1:$C$764)</f>
        <v>KG</v>
      </c>
      <c r="F1844" s="196">
        <v>0.02</v>
      </c>
      <c r="G1844" s="177">
        <f>IF(B1844="insumo",_xlfn.XLOOKUP($D1844,Insumos!$B$1:$B$764,Insumos!$D$1:$D$764),"")</f>
        <v>11.15</v>
      </c>
      <c r="H1844" s="177" cm="1">
        <f t="array" ref="H1844">_xlfn.IFS(B1844="Serviço",SUMIFS(H1845:$H$3085,C1845:$C$3085,$C1844),B1844="Insumo",F1844*G1844,B1844="Etapa","")</f>
        <v>0.223</v>
      </c>
      <c r="I1844" s="178"/>
    </row>
    <row r="1845" spans="1:9" outlineLevel="1" collapsed="1" x14ac:dyDescent="0.25">
      <c r="A1845" s="175">
        <f t="shared" si="59"/>
        <v>1</v>
      </c>
      <c r="B1845" s="175" t="s">
        <v>109</v>
      </c>
      <c r="C1845" s="175" t="str">
        <f t="shared" si="60"/>
        <v>Revestimento de Piso Porcelanato Polido, Padrão Nobre, Placa 90x90cm</v>
      </c>
      <c r="D1845" s="175" t="s">
        <v>4246</v>
      </c>
      <c r="E1845" s="176" t="s">
        <v>13</v>
      </c>
      <c r="F1845" s="175"/>
      <c r="G1845" s="177" t="str">
        <f>IF(B1845="insumo",_xlfn.XLOOKUP($D1845,Insumos!$B$1:$B$764,Insumos!$D$1:$D$764),"")</f>
        <v/>
      </c>
      <c r="H1845" s="177" cm="1">
        <f t="array" ref="H1845">_xlfn.IFS(B1845="Serviço",SUMIFS(H1846:$H$3085,C1846:$C$3085,$C1845),B1845="Insumo",F1845*G1845,B1845="Etapa","")</f>
        <v>154.62050000000002</v>
      </c>
      <c r="I1845" s="178" t="s">
        <v>195</v>
      </c>
    </row>
    <row r="1846" spans="1:9" hidden="1" outlineLevel="2" x14ac:dyDescent="0.25">
      <c r="A1846" s="175">
        <f t="shared" si="59"/>
        <v>2</v>
      </c>
      <c r="B1846" s="175" t="s">
        <v>327</v>
      </c>
      <c r="C1846" s="175" t="str">
        <f t="shared" si="60"/>
        <v>Revestimento de Piso Porcelanato Polido, Padrão Nobre, Placa 90x90cm</v>
      </c>
      <c r="D1846" s="175" t="s">
        <v>4247</v>
      </c>
      <c r="E1846" s="176" t="str">
        <f>_xlfn.XLOOKUP(D1846,Insumos!$B$1:$B$764,Insumos!$C$1:$C$764)</f>
        <v>M2</v>
      </c>
      <c r="F1846" s="196">
        <v>1.1000000000000001</v>
      </c>
      <c r="G1846" s="177">
        <f>IF(B1846="insumo",_xlfn.XLOOKUP($D1846,Insumos!$B$1:$B$764,Insumos!$D$1:$D$764),"")</f>
        <v>119.99</v>
      </c>
      <c r="H1846" s="177" cm="1">
        <f t="array" ref="H1846">_xlfn.IFS(B1846="Serviço",SUMIFS(H1847:$H$3085,C1847:$C$3085,$C1846),B1846="Insumo",F1846*G1846,B1846="Etapa","")</f>
        <v>131.989</v>
      </c>
      <c r="I1846" s="178"/>
    </row>
    <row r="1847" spans="1:9" hidden="1" outlineLevel="2" x14ac:dyDescent="0.25">
      <c r="A1847" s="175">
        <f t="shared" si="59"/>
        <v>118</v>
      </c>
      <c r="B1847" s="175" t="s">
        <v>327</v>
      </c>
      <c r="C1847" s="175" t="str">
        <f t="shared" si="60"/>
        <v>Revestimento de Piso Porcelanato Polido, Padrão Nobre, Placa 90x90cm</v>
      </c>
      <c r="D1847" s="175" t="s">
        <v>654</v>
      </c>
      <c r="E1847" s="176" t="str">
        <f>_xlfn.XLOOKUP(D1847,Insumos!$B$1:$B$764,Insumos!$C$1:$C$764)</f>
        <v>KG</v>
      </c>
      <c r="F1847" s="196">
        <v>8.8000000000000007</v>
      </c>
      <c r="G1847" s="177">
        <f>IF(B1847="insumo",_xlfn.XLOOKUP($D1847,Insumos!$B$1:$B$764,Insumos!$D$1:$D$764),"")</f>
        <v>2.5499999999999998</v>
      </c>
      <c r="H1847" s="177" cm="1">
        <f t="array" ref="H1847">_xlfn.IFS(B1847="Serviço",SUMIFS(H1848:$H$3085,C1848:$C$3085,$C1847),B1847="Insumo",F1847*G1847,B1847="Etapa","")</f>
        <v>22.44</v>
      </c>
      <c r="I1847" s="178"/>
    </row>
    <row r="1848" spans="1:9" hidden="1" outlineLevel="2" x14ac:dyDescent="0.25">
      <c r="A1848" s="175">
        <f t="shared" si="59"/>
        <v>78</v>
      </c>
      <c r="B1848" s="175" t="s">
        <v>327</v>
      </c>
      <c r="C1848" s="175" t="str">
        <f t="shared" si="60"/>
        <v>Revestimento de Piso Porcelanato Polido, Padrão Nobre, Placa 90x90cm</v>
      </c>
      <c r="D1848" s="175" t="s">
        <v>674</v>
      </c>
      <c r="E1848" s="176" t="str">
        <f>_xlfn.XLOOKUP(D1848,Insumos!$B$1:$B$764,Insumos!$C$1:$C$764)</f>
        <v>UN</v>
      </c>
      <c r="F1848" s="196">
        <v>1</v>
      </c>
      <c r="G1848" s="177">
        <f>IF(B1848="insumo",_xlfn.XLOOKUP($D1848,Insumos!$B$1:$B$764,Insumos!$D$1:$D$764),"")</f>
        <v>0.08</v>
      </c>
      <c r="H1848" s="177" cm="1">
        <f t="array" ref="H1848">_xlfn.IFS(B1848="Serviço",SUMIFS(H1849:$H$3085,C1849:$C$3085,$C1848),B1848="Insumo",F1848*G1848,B1848="Etapa","")</f>
        <v>0.08</v>
      </c>
      <c r="I1848" s="178"/>
    </row>
    <row r="1849" spans="1:9" hidden="1" outlineLevel="2" x14ac:dyDescent="0.25">
      <c r="A1849" s="175">
        <f t="shared" si="59"/>
        <v>71</v>
      </c>
      <c r="B1849" s="175" t="s">
        <v>327</v>
      </c>
      <c r="C1849" s="175" t="str">
        <f t="shared" si="60"/>
        <v>Revestimento de Piso Porcelanato Polido, Padrão Nobre, Placa 90x90cm</v>
      </c>
      <c r="D1849" s="175" t="s">
        <v>675</v>
      </c>
      <c r="E1849" s="176" t="str">
        <f>_xlfn.XLOOKUP(D1849,Insumos!$B$1:$B$764,Insumos!$C$1:$C$764)</f>
        <v>KG</v>
      </c>
      <c r="F1849" s="196">
        <v>0.01</v>
      </c>
      <c r="G1849" s="177">
        <f>IF(B1849="insumo",_xlfn.XLOOKUP($D1849,Insumos!$B$1:$B$764,Insumos!$D$1:$D$764),"")</f>
        <v>11.15</v>
      </c>
      <c r="H1849" s="177" cm="1">
        <f t="array" ref="H1849">_xlfn.IFS(B1849="Serviço",SUMIFS(H1850:$H$3085,C1850:$C$3085,$C1849),B1849="Insumo",F1849*G1849,B1849="Etapa","")</f>
        <v>0.1115</v>
      </c>
      <c r="I1849" s="178"/>
    </row>
    <row r="1850" spans="1:9" outlineLevel="1" collapsed="1" x14ac:dyDescent="0.25">
      <c r="A1850" s="175">
        <f t="shared" si="59"/>
        <v>1</v>
      </c>
      <c r="B1850" s="175" t="s">
        <v>109</v>
      </c>
      <c r="C1850" s="175" t="str">
        <f t="shared" si="60"/>
        <v>Revestimento de Piso Porcelanato Polido, Placa 90x90cm</v>
      </c>
      <c r="D1850" s="175" t="s">
        <v>242</v>
      </c>
      <c r="E1850" s="176" t="s">
        <v>13</v>
      </c>
      <c r="F1850" s="175"/>
      <c r="G1850" s="177" t="str">
        <f>IF(B1850="insumo",_xlfn.XLOOKUP($D1850,Insumos!$B$1:$B$764,Insumos!$D$1:$D$764),"")</f>
        <v/>
      </c>
      <c r="H1850" s="177" cm="1">
        <f t="array" ref="H1850">_xlfn.IFS(B1850="Serviço",SUMIFS(H1851:$H$3085,C1851:$C$3085,$C1850),B1850="Insumo",F1850*G1850,B1850="Etapa","")</f>
        <v>112.83150000000001</v>
      </c>
      <c r="I1850" s="178" t="s">
        <v>195</v>
      </c>
    </row>
    <row r="1851" spans="1:9" hidden="1" outlineLevel="2" x14ac:dyDescent="0.25">
      <c r="A1851" s="175">
        <f t="shared" si="59"/>
        <v>5</v>
      </c>
      <c r="B1851" s="175" t="s">
        <v>327</v>
      </c>
      <c r="C1851" s="175" t="str">
        <f t="shared" si="60"/>
        <v>Revestimento de Piso Porcelanato Polido, Placa 90x90cm</v>
      </c>
      <c r="D1851" s="175" t="s">
        <v>768</v>
      </c>
      <c r="E1851" s="176" t="str">
        <f>_xlfn.XLOOKUP(D1851,Insumos!$B$1:$B$764,Insumos!$C$1:$C$764)</f>
        <v>M2</v>
      </c>
      <c r="F1851" s="196">
        <v>1.1000000000000001</v>
      </c>
      <c r="G1851" s="177">
        <f>IF(B1851="insumo",_xlfn.XLOOKUP($D1851,Insumos!$B$1:$B$764,Insumos!$D$1:$D$764),"")</f>
        <v>82</v>
      </c>
      <c r="H1851" s="177" cm="1">
        <f t="array" ref="H1851">_xlfn.IFS(B1851="Serviço",SUMIFS(H1852:$H$3085,C1852:$C$3085,$C1851),B1851="Insumo",F1851*G1851,B1851="Etapa","")</f>
        <v>90.2</v>
      </c>
      <c r="I1851" s="178"/>
    </row>
    <row r="1852" spans="1:9" hidden="1" outlineLevel="2" x14ac:dyDescent="0.25">
      <c r="A1852" s="175">
        <f t="shared" si="59"/>
        <v>118</v>
      </c>
      <c r="B1852" s="175" t="s">
        <v>327</v>
      </c>
      <c r="C1852" s="175" t="str">
        <f t="shared" si="60"/>
        <v>Revestimento de Piso Porcelanato Polido, Placa 90x90cm</v>
      </c>
      <c r="D1852" s="175" t="s">
        <v>654</v>
      </c>
      <c r="E1852" s="176" t="str">
        <f>_xlfn.XLOOKUP(D1852,Insumos!$B$1:$B$764,Insumos!$C$1:$C$764)</f>
        <v>KG</v>
      </c>
      <c r="F1852" s="196">
        <v>8.8000000000000007</v>
      </c>
      <c r="G1852" s="177">
        <f>IF(B1852="insumo",_xlfn.XLOOKUP($D1852,Insumos!$B$1:$B$764,Insumos!$D$1:$D$764),"")</f>
        <v>2.5499999999999998</v>
      </c>
      <c r="H1852" s="177" cm="1">
        <f t="array" ref="H1852">_xlfn.IFS(B1852="Serviço",SUMIFS(H1853:$H$3085,C1853:$C$3085,$C1852),B1852="Insumo",F1852*G1852,B1852="Etapa","")</f>
        <v>22.44</v>
      </c>
      <c r="I1852" s="178"/>
    </row>
    <row r="1853" spans="1:9" hidden="1" outlineLevel="2" x14ac:dyDescent="0.25">
      <c r="A1853" s="175">
        <f t="shared" si="59"/>
        <v>78</v>
      </c>
      <c r="B1853" s="175" t="s">
        <v>327</v>
      </c>
      <c r="C1853" s="175" t="str">
        <f t="shared" si="60"/>
        <v>Revestimento de Piso Porcelanato Polido, Placa 90x90cm</v>
      </c>
      <c r="D1853" s="175" t="s">
        <v>674</v>
      </c>
      <c r="E1853" s="176" t="str">
        <f>_xlfn.XLOOKUP(D1853,Insumos!$B$1:$B$764,Insumos!$C$1:$C$764)</f>
        <v>UN</v>
      </c>
      <c r="F1853" s="196">
        <v>1</v>
      </c>
      <c r="G1853" s="177">
        <f>IF(B1853="insumo",_xlfn.XLOOKUP($D1853,Insumos!$B$1:$B$764,Insumos!$D$1:$D$764),"")</f>
        <v>0.08</v>
      </c>
      <c r="H1853" s="177" cm="1">
        <f t="array" ref="H1853">_xlfn.IFS(B1853="Serviço",SUMIFS(H1854:$H$3085,C1854:$C$3085,$C1853),B1853="Insumo",F1853*G1853,B1853="Etapa","")</f>
        <v>0.08</v>
      </c>
      <c r="I1853" s="178"/>
    </row>
    <row r="1854" spans="1:9" hidden="1" outlineLevel="2" x14ac:dyDescent="0.25">
      <c r="A1854" s="175">
        <f t="shared" si="59"/>
        <v>71</v>
      </c>
      <c r="B1854" s="175" t="s">
        <v>327</v>
      </c>
      <c r="C1854" s="175" t="str">
        <f t="shared" si="60"/>
        <v>Revestimento de Piso Porcelanato Polido, Placa 90x90cm</v>
      </c>
      <c r="D1854" s="175" t="s">
        <v>675</v>
      </c>
      <c r="E1854" s="176" t="str">
        <f>_xlfn.XLOOKUP(D1854,Insumos!$B$1:$B$764,Insumos!$C$1:$C$764)</f>
        <v>KG</v>
      </c>
      <c r="F1854" s="196">
        <v>0.01</v>
      </c>
      <c r="G1854" s="177">
        <f>IF(B1854="insumo",_xlfn.XLOOKUP($D1854,Insumos!$B$1:$B$764,Insumos!$D$1:$D$764),"")</f>
        <v>11.15</v>
      </c>
      <c r="H1854" s="177" cm="1">
        <f t="array" ref="H1854">_xlfn.IFS(B1854="Serviço",SUMIFS(H1855:$H$3085,C1855:$C$3085,$C1854),B1854="Insumo",F1854*G1854,B1854="Etapa","")</f>
        <v>0.1115</v>
      </c>
      <c r="I1854" s="178"/>
    </row>
    <row r="1855" spans="1:9" outlineLevel="1" collapsed="1" x14ac:dyDescent="0.25">
      <c r="A1855" s="175">
        <f t="shared" si="59"/>
        <v>1</v>
      </c>
      <c r="B1855" s="175" t="s">
        <v>109</v>
      </c>
      <c r="C1855" s="175" t="str">
        <f t="shared" si="60"/>
        <v>Revestimento de Piso Porcelanato, Placa 90x90cm, com coeficiente de atrito 0,4</v>
      </c>
      <c r="D1855" s="175" t="s">
        <v>4250</v>
      </c>
      <c r="E1855" s="176" t="s">
        <v>13</v>
      </c>
      <c r="F1855" s="175"/>
      <c r="G1855" s="177" t="str">
        <f>IF(B1855="insumo",_xlfn.XLOOKUP($D1855,Insumos!$B$1:$B$764,Insumos!$D$1:$D$764),"")</f>
        <v/>
      </c>
      <c r="H1855" s="177" cm="1">
        <f t="array" ref="H1855">_xlfn.IFS(B1855="Serviço",SUMIFS(H1856:$H$3085,C1856:$C$3085,$C1855),B1855="Insumo",F1855*G1855,B1855="Etapa","")</f>
        <v>96.892500000000013</v>
      </c>
      <c r="I1855" s="178" t="s">
        <v>195</v>
      </c>
    </row>
    <row r="1856" spans="1:9" hidden="1" outlineLevel="2" x14ac:dyDescent="0.25">
      <c r="A1856" s="175">
        <f t="shared" si="59"/>
        <v>1</v>
      </c>
      <c r="B1856" s="175" t="s">
        <v>327</v>
      </c>
      <c r="C1856" s="175" t="str">
        <f t="shared" si="60"/>
        <v>Revestimento de Piso Porcelanato, Placa 90x90cm, com coeficiente de atrito 0,4</v>
      </c>
      <c r="D1856" s="175" t="s">
        <v>4251</v>
      </c>
      <c r="E1856" s="176" t="str">
        <f>_xlfn.XLOOKUP(D1856,Insumos!$B$1:$B$764,Insumos!$C$1:$C$764)</f>
        <v>M2</v>
      </c>
      <c r="F1856" s="196">
        <v>1.1000000000000001</v>
      </c>
      <c r="G1856" s="177">
        <f>IF(B1856="insumo",_xlfn.XLOOKUP($D1856,Insumos!$B$1:$B$764,Insumos!$D$1:$D$764),"")</f>
        <v>67.510000000000005</v>
      </c>
      <c r="H1856" s="177" cm="1">
        <f t="array" ref="H1856">_xlfn.IFS(B1856="Serviço",SUMIFS(H1857:$H$3085,C1857:$C$3085,$C1856),B1856="Insumo",F1856*G1856,B1856="Etapa","")</f>
        <v>74.26100000000001</v>
      </c>
      <c r="I1856" s="178"/>
    </row>
    <row r="1857" spans="1:9" hidden="1" outlineLevel="2" x14ac:dyDescent="0.25">
      <c r="A1857" s="175">
        <f t="shared" si="59"/>
        <v>118</v>
      </c>
      <c r="B1857" s="175" t="s">
        <v>327</v>
      </c>
      <c r="C1857" s="175" t="str">
        <f t="shared" si="60"/>
        <v>Revestimento de Piso Porcelanato, Placa 90x90cm, com coeficiente de atrito 0,4</v>
      </c>
      <c r="D1857" s="175" t="s">
        <v>654</v>
      </c>
      <c r="E1857" s="176" t="str">
        <f>_xlfn.XLOOKUP(D1857,Insumos!$B$1:$B$764,Insumos!$C$1:$C$764)</f>
        <v>KG</v>
      </c>
      <c r="F1857" s="196">
        <v>8.8000000000000007</v>
      </c>
      <c r="G1857" s="177">
        <f>IF(B1857="insumo",_xlfn.XLOOKUP($D1857,Insumos!$B$1:$B$764,Insumos!$D$1:$D$764),"")</f>
        <v>2.5499999999999998</v>
      </c>
      <c r="H1857" s="177" cm="1">
        <f t="array" ref="H1857">_xlfn.IFS(B1857="Serviço",SUMIFS(H1858:$H$3085,C1858:$C$3085,$C1857),B1857="Insumo",F1857*G1857,B1857="Etapa","")</f>
        <v>22.44</v>
      </c>
      <c r="I1857" s="178"/>
    </row>
    <row r="1858" spans="1:9" hidden="1" outlineLevel="2" x14ac:dyDescent="0.25">
      <c r="A1858" s="175">
        <f t="shared" ref="A1858:A1921" si="61">COUNTIFS($D$2:$D$3085,D1858,$B$2:$B$3085,B1858)</f>
        <v>78</v>
      </c>
      <c r="B1858" s="175" t="s">
        <v>327</v>
      </c>
      <c r="C1858" s="175" t="str">
        <f t="shared" si="60"/>
        <v>Revestimento de Piso Porcelanato, Placa 90x90cm, com coeficiente de atrito 0,4</v>
      </c>
      <c r="D1858" s="175" t="s">
        <v>674</v>
      </c>
      <c r="E1858" s="176" t="str">
        <f>_xlfn.XLOOKUP(D1858,Insumos!$B$1:$B$764,Insumos!$C$1:$C$764)</f>
        <v>UN</v>
      </c>
      <c r="F1858" s="196">
        <v>1</v>
      </c>
      <c r="G1858" s="177">
        <f>IF(B1858="insumo",_xlfn.XLOOKUP($D1858,Insumos!$B$1:$B$764,Insumos!$D$1:$D$764),"")</f>
        <v>0.08</v>
      </c>
      <c r="H1858" s="177" cm="1">
        <f t="array" ref="H1858">_xlfn.IFS(B1858="Serviço",SUMIFS(H1859:$H$3085,C1859:$C$3085,$C1858),B1858="Insumo",F1858*G1858,B1858="Etapa","")</f>
        <v>0.08</v>
      </c>
      <c r="I1858" s="178"/>
    </row>
    <row r="1859" spans="1:9" hidden="1" outlineLevel="2" x14ac:dyDescent="0.25">
      <c r="A1859" s="175">
        <f t="shared" si="61"/>
        <v>71</v>
      </c>
      <c r="B1859" s="175" t="s">
        <v>327</v>
      </c>
      <c r="C1859" s="175" t="str">
        <f t="shared" si="60"/>
        <v>Revestimento de Piso Porcelanato, Placa 90x90cm, com coeficiente de atrito 0,4</v>
      </c>
      <c r="D1859" s="175" t="s">
        <v>675</v>
      </c>
      <c r="E1859" s="176" t="str">
        <f>_xlfn.XLOOKUP(D1859,Insumos!$B$1:$B$764,Insumos!$C$1:$C$764)</f>
        <v>KG</v>
      </c>
      <c r="F1859" s="196">
        <v>0.01</v>
      </c>
      <c r="G1859" s="177">
        <f>IF(B1859="insumo",_xlfn.XLOOKUP($D1859,Insumos!$B$1:$B$764,Insumos!$D$1:$D$764),"")</f>
        <v>11.15</v>
      </c>
      <c r="H1859" s="177" cm="1">
        <f t="array" ref="H1859">_xlfn.IFS(B1859="Serviço",SUMIFS(H1860:$H$3085,C1860:$C$3085,$C1859),B1859="Insumo",F1859*G1859,B1859="Etapa","")</f>
        <v>0.1115</v>
      </c>
      <c r="I1859" s="178"/>
    </row>
    <row r="1860" spans="1:9" outlineLevel="1" collapsed="1" x14ac:dyDescent="0.25">
      <c r="A1860" s="175">
        <f t="shared" si="61"/>
        <v>1</v>
      </c>
      <c r="B1860" s="175" t="s">
        <v>109</v>
      </c>
      <c r="C1860" s="175" t="str">
        <f t="shared" si="60"/>
        <v>Revestimento de Piso Porcelanato Polido, Placa 120x120cm</v>
      </c>
      <c r="D1860" s="175" t="s">
        <v>769</v>
      </c>
      <c r="E1860" s="176" t="s">
        <v>13</v>
      </c>
      <c r="F1860" s="175"/>
      <c r="G1860" s="177" t="str">
        <f>IF(B1860="insumo",_xlfn.XLOOKUP($D1860,Insumos!$B$1:$B$764,Insumos!$D$1:$D$764),"")</f>
        <v/>
      </c>
      <c r="H1860" s="177" cm="1">
        <f t="array" ref="H1860">_xlfn.IFS(B1860="Serviço",SUMIFS(H1861:$H$3085,C1861:$C$3085,$C1860),B1860="Insumo",F1860*G1860,B1860="Etapa","")</f>
        <v>179.42399999999998</v>
      </c>
      <c r="I1860" s="178" t="s">
        <v>195</v>
      </c>
    </row>
    <row r="1861" spans="1:9" hidden="1" outlineLevel="2" x14ac:dyDescent="0.25">
      <c r="A1861" s="175">
        <f t="shared" si="61"/>
        <v>2</v>
      </c>
      <c r="B1861" s="175" t="s">
        <v>327</v>
      </c>
      <c r="C1861" s="175" t="str">
        <f t="shared" si="60"/>
        <v>Revestimento de Piso Porcelanato Polido, Placa 120x120cm</v>
      </c>
      <c r="D1861" s="175" t="s">
        <v>770</v>
      </c>
      <c r="E1861" s="176" t="str">
        <f>_xlfn.XLOOKUP(D1861,Insumos!$B$1:$B$764,Insumos!$C$1:$C$764)</f>
        <v>M2</v>
      </c>
      <c r="F1861" s="179">
        <v>1.1000000000000001</v>
      </c>
      <c r="G1861" s="177">
        <f>IF(B1861="insumo",_xlfn.XLOOKUP($D1861,Insumos!$B$1:$B$764,Insumos!$D$1:$D$764),"")</f>
        <v>136.88999999999999</v>
      </c>
      <c r="H1861" s="177" cm="1">
        <f t="array" ref="H1861">_xlfn.IFS(B1861="Serviço",SUMIFS(H1862:$H$3085,C1862:$C$3085,$C1861),B1861="Insumo",F1861*G1861,B1861="Etapa","")</f>
        <v>150.57900000000001</v>
      </c>
      <c r="I1861" s="178"/>
    </row>
    <row r="1862" spans="1:9" hidden="1" outlineLevel="2" x14ac:dyDescent="0.25">
      <c r="A1862" s="175">
        <f t="shared" si="61"/>
        <v>118</v>
      </c>
      <c r="B1862" s="175" t="s">
        <v>327</v>
      </c>
      <c r="C1862" s="175" t="str">
        <f t="shared" si="60"/>
        <v>Revestimento de Piso Porcelanato Polido, Placa 120x120cm</v>
      </c>
      <c r="D1862" s="175" t="s">
        <v>654</v>
      </c>
      <c r="E1862" s="176" t="str">
        <f>_xlfn.XLOOKUP(D1862,Insumos!$B$1:$B$764,Insumos!$C$1:$C$764)</f>
        <v>KG</v>
      </c>
      <c r="F1862" s="179">
        <v>9</v>
      </c>
      <c r="G1862" s="177">
        <f>IF(B1862="insumo",_xlfn.XLOOKUP($D1862,Insumos!$B$1:$B$764,Insumos!$D$1:$D$764),"")</f>
        <v>2.5499999999999998</v>
      </c>
      <c r="H1862" s="177" cm="1">
        <f t="array" ref="H1862">_xlfn.IFS(B1862="Serviço",SUMIFS(H1863:$H$3085,C1863:$C$3085,$C1862),B1862="Insumo",F1862*G1862,B1862="Etapa","")</f>
        <v>22.95</v>
      </c>
      <c r="I1862" s="178"/>
    </row>
    <row r="1863" spans="1:9" hidden="1" outlineLevel="2" x14ac:dyDescent="0.25">
      <c r="A1863" s="175">
        <f t="shared" si="61"/>
        <v>78</v>
      </c>
      <c r="B1863" s="175" t="s">
        <v>327</v>
      </c>
      <c r="C1863" s="175" t="str">
        <f t="shared" si="60"/>
        <v>Revestimento de Piso Porcelanato Polido, Placa 120x120cm</v>
      </c>
      <c r="D1863" s="175" t="s">
        <v>674</v>
      </c>
      <c r="E1863" s="176" t="str">
        <f>_xlfn.XLOOKUP(D1863,Insumos!$B$1:$B$764,Insumos!$C$1:$C$764)</f>
        <v>UN</v>
      </c>
      <c r="F1863" s="179">
        <v>4</v>
      </c>
      <c r="G1863" s="177">
        <f>IF(B1863="insumo",_xlfn.XLOOKUP($D1863,Insumos!$B$1:$B$764,Insumos!$D$1:$D$764),"")</f>
        <v>0.08</v>
      </c>
      <c r="H1863" s="177" cm="1">
        <f t="array" ref="H1863">_xlfn.IFS(B1863="Serviço",SUMIFS(H1864:$H$3085,C1864:$C$3085,$C1863),B1863="Insumo",F1863*G1863,B1863="Etapa","")</f>
        <v>0.32</v>
      </c>
      <c r="I1863" s="178"/>
    </row>
    <row r="1864" spans="1:9" hidden="1" outlineLevel="2" x14ac:dyDescent="0.25">
      <c r="A1864" s="175">
        <f t="shared" si="61"/>
        <v>71</v>
      </c>
      <c r="B1864" s="175" t="s">
        <v>327</v>
      </c>
      <c r="C1864" s="175" t="str">
        <f t="shared" si="60"/>
        <v>Revestimento de Piso Porcelanato Polido, Placa 120x120cm</v>
      </c>
      <c r="D1864" s="175" t="s">
        <v>675</v>
      </c>
      <c r="E1864" s="176" t="str">
        <f>_xlfn.XLOOKUP(D1864,Insumos!$B$1:$B$764,Insumos!$C$1:$C$764)</f>
        <v>KG</v>
      </c>
      <c r="F1864" s="179">
        <v>0.5</v>
      </c>
      <c r="G1864" s="177">
        <f>IF(B1864="insumo",_xlfn.XLOOKUP($D1864,Insumos!$B$1:$B$764,Insumos!$D$1:$D$764),"")</f>
        <v>11.15</v>
      </c>
      <c r="H1864" s="177" cm="1">
        <f t="array" ref="H1864">_xlfn.IFS(B1864="Serviço",SUMIFS(H1865:$H$3085,C1865:$C$3085,$C1864),B1864="Insumo",F1864*G1864,B1864="Etapa","")</f>
        <v>5.5750000000000002</v>
      </c>
      <c r="I1864" s="178"/>
    </row>
    <row r="1865" spans="1:9" outlineLevel="1" collapsed="1" x14ac:dyDescent="0.25">
      <c r="A1865" s="175">
        <f t="shared" si="61"/>
        <v>1</v>
      </c>
      <c r="B1865" s="175" t="s">
        <v>109</v>
      </c>
      <c r="C1865" s="175" t="str">
        <f t="shared" si="60"/>
        <v>Revestimento de Piso Porcelanato Acetinado, Placa 60x60cm</v>
      </c>
      <c r="D1865" s="175" t="s">
        <v>771</v>
      </c>
      <c r="E1865" s="176" t="s">
        <v>13</v>
      </c>
      <c r="F1865" s="175"/>
      <c r="G1865" s="177" t="str">
        <f>IF(B1865="insumo",_xlfn.XLOOKUP($D1865,Insumos!$B$1:$B$764,Insumos!$D$1:$D$764),"")</f>
        <v/>
      </c>
      <c r="H1865" s="177" cm="1">
        <f t="array" ref="H1865">_xlfn.IFS(B1865="Serviço",SUMIFS(H1866:$H$3085,C1866:$C$3085,$C1865),B1865="Insumo",F1865*G1865,B1865="Etapa","")</f>
        <v>106.123</v>
      </c>
      <c r="I1865" s="178" t="s">
        <v>195</v>
      </c>
    </row>
    <row r="1866" spans="1:9" hidden="1" outlineLevel="2" x14ac:dyDescent="0.25">
      <c r="A1866" s="175">
        <f t="shared" si="61"/>
        <v>2</v>
      </c>
      <c r="B1866" s="175" t="s">
        <v>327</v>
      </c>
      <c r="C1866" s="175" t="str">
        <f t="shared" si="60"/>
        <v>Revestimento de Piso Porcelanato Acetinado, Placa 60x60cm</v>
      </c>
      <c r="D1866" s="175" t="s">
        <v>772</v>
      </c>
      <c r="E1866" s="176" t="str">
        <f>_xlfn.XLOOKUP(D1866,Insumos!$B$1:$B$764,Insumos!$C$1:$C$764)</f>
        <v>M2</v>
      </c>
      <c r="F1866" s="196">
        <v>1.1000000000000001</v>
      </c>
      <c r="G1866" s="177">
        <f>IF(B1866="insumo",_xlfn.XLOOKUP($D1866,Insumos!$B$1:$B$764,Insumos!$D$1:$D$764),"")</f>
        <v>75.8</v>
      </c>
      <c r="H1866" s="177" cm="1">
        <f t="array" ref="H1866">_xlfn.IFS(B1866="Serviço",SUMIFS(H1867:$H$3085,C1867:$C$3085,$C1866),B1866="Insumo",F1866*G1866,B1866="Etapa","")</f>
        <v>83.38000000000001</v>
      </c>
      <c r="I1866" s="178"/>
    </row>
    <row r="1867" spans="1:9" hidden="1" outlineLevel="2" x14ac:dyDescent="0.25">
      <c r="A1867" s="175">
        <f t="shared" si="61"/>
        <v>118</v>
      </c>
      <c r="B1867" s="175" t="s">
        <v>327</v>
      </c>
      <c r="C1867" s="175" t="str">
        <f t="shared" si="60"/>
        <v>Revestimento de Piso Porcelanato Acetinado, Placa 60x60cm</v>
      </c>
      <c r="D1867" s="175" t="s">
        <v>654</v>
      </c>
      <c r="E1867" s="176" t="str">
        <f>_xlfn.XLOOKUP(D1867,Insumos!$B$1:$B$764,Insumos!$C$1:$C$764)</f>
        <v>KG</v>
      </c>
      <c r="F1867" s="196">
        <v>8.8000000000000007</v>
      </c>
      <c r="G1867" s="177">
        <f>IF(B1867="insumo",_xlfn.XLOOKUP($D1867,Insumos!$B$1:$B$764,Insumos!$D$1:$D$764),"")</f>
        <v>2.5499999999999998</v>
      </c>
      <c r="H1867" s="177" cm="1">
        <f t="array" ref="H1867">_xlfn.IFS(B1867="Serviço",SUMIFS(H1868:$H$3085,C1868:$C$3085,$C1867),B1867="Insumo",F1867*G1867,B1867="Etapa","")</f>
        <v>22.44</v>
      </c>
      <c r="I1867" s="178"/>
    </row>
    <row r="1868" spans="1:9" hidden="1" outlineLevel="2" x14ac:dyDescent="0.25">
      <c r="A1868" s="175">
        <f t="shared" si="61"/>
        <v>78</v>
      </c>
      <c r="B1868" s="175" t="s">
        <v>327</v>
      </c>
      <c r="C1868" s="175" t="str">
        <f t="shared" si="60"/>
        <v>Revestimento de Piso Porcelanato Acetinado, Placa 60x60cm</v>
      </c>
      <c r="D1868" s="175" t="s">
        <v>674</v>
      </c>
      <c r="E1868" s="176" t="str">
        <f>_xlfn.XLOOKUP(D1868,Insumos!$B$1:$B$764,Insumos!$C$1:$C$764)</f>
        <v>UN</v>
      </c>
      <c r="F1868" s="196">
        <v>1</v>
      </c>
      <c r="G1868" s="177">
        <f>IF(B1868="insumo",_xlfn.XLOOKUP($D1868,Insumos!$B$1:$B$764,Insumos!$D$1:$D$764),"")</f>
        <v>0.08</v>
      </c>
      <c r="H1868" s="177" cm="1">
        <f t="array" ref="H1868">_xlfn.IFS(B1868="Serviço",SUMIFS(H1869:$H$3085,C1869:$C$3085,$C1868),B1868="Insumo",F1868*G1868,B1868="Etapa","")</f>
        <v>0.08</v>
      </c>
      <c r="I1868" s="178"/>
    </row>
    <row r="1869" spans="1:9" hidden="1" outlineLevel="2" x14ac:dyDescent="0.25">
      <c r="A1869" s="175">
        <f t="shared" si="61"/>
        <v>71</v>
      </c>
      <c r="B1869" s="175" t="s">
        <v>327</v>
      </c>
      <c r="C1869" s="175" t="str">
        <f t="shared" si="60"/>
        <v>Revestimento de Piso Porcelanato Acetinado, Placa 60x60cm</v>
      </c>
      <c r="D1869" s="175" t="s">
        <v>675</v>
      </c>
      <c r="E1869" s="176" t="str">
        <f>_xlfn.XLOOKUP(D1869,Insumos!$B$1:$B$764,Insumos!$C$1:$C$764)</f>
        <v>KG</v>
      </c>
      <c r="F1869" s="196">
        <v>0.02</v>
      </c>
      <c r="G1869" s="177">
        <f>IF(B1869="insumo",_xlfn.XLOOKUP($D1869,Insumos!$B$1:$B$764,Insumos!$D$1:$D$764),"")</f>
        <v>11.15</v>
      </c>
      <c r="H1869" s="177" cm="1">
        <f t="array" ref="H1869">_xlfn.IFS(B1869="Serviço",SUMIFS(H1870:$H$3085,C1870:$C$3085,$C1869),B1869="Insumo",F1869*G1869,B1869="Etapa","")</f>
        <v>0.223</v>
      </c>
      <c r="I1869" s="178"/>
    </row>
    <row r="1870" spans="1:9" outlineLevel="1" collapsed="1" x14ac:dyDescent="0.25">
      <c r="A1870" s="175">
        <f t="shared" si="61"/>
        <v>1</v>
      </c>
      <c r="B1870" s="175" t="s">
        <v>109</v>
      </c>
      <c r="C1870" s="175" t="str">
        <f t="shared" si="60"/>
        <v>Revestimento de Piso Porcelanato Acetinado, Placa 84x84cm (Porcelanato, rejunte, argamassa e espaçador)</v>
      </c>
      <c r="D1870" s="175" t="s">
        <v>773</v>
      </c>
      <c r="E1870" s="176" t="s">
        <v>13</v>
      </c>
      <c r="F1870" s="175"/>
      <c r="G1870" s="177" t="str">
        <f>IF(B1870="insumo",_xlfn.XLOOKUP($D1870,Insumos!$B$1:$B$764,Insumos!$D$1:$D$764),"")</f>
        <v/>
      </c>
      <c r="H1870" s="177" cm="1">
        <f t="array" ref="H1870">_xlfn.IFS(B1870="Serviço",SUMIFS(H1871:$H$3085,C1871:$C$3085,$C1870),B1870="Insumo",F1870*G1870,B1870="Etapa","")</f>
        <v>110.6315</v>
      </c>
      <c r="I1870" s="178" t="s">
        <v>195</v>
      </c>
    </row>
    <row r="1871" spans="1:9" hidden="1" outlineLevel="2" x14ac:dyDescent="0.25">
      <c r="A1871" s="175">
        <f t="shared" si="61"/>
        <v>1</v>
      </c>
      <c r="B1871" s="175" t="s">
        <v>327</v>
      </c>
      <c r="C1871" s="175" t="str">
        <f t="shared" si="60"/>
        <v>Revestimento de Piso Porcelanato Acetinado, Placa 84x84cm (Porcelanato, rejunte, argamassa e espaçador)</v>
      </c>
      <c r="D1871" s="175" t="s">
        <v>774</v>
      </c>
      <c r="E1871" s="176" t="str">
        <f>_xlfn.XLOOKUP(D1871,Insumos!$B$1:$B$764,Insumos!$C$1:$C$764)</f>
        <v>M2</v>
      </c>
      <c r="F1871" s="196">
        <v>1.1000000000000001</v>
      </c>
      <c r="G1871" s="177">
        <f>IF(B1871="insumo",_xlfn.XLOOKUP($D1871,Insumos!$B$1:$B$764,Insumos!$D$1:$D$764),"")</f>
        <v>80</v>
      </c>
      <c r="H1871" s="177" cm="1">
        <f t="array" ref="H1871">_xlfn.IFS(B1871="Serviço",SUMIFS(H1872:$H$3085,C1872:$C$3085,$C1871),B1871="Insumo",F1871*G1871,B1871="Etapa","")</f>
        <v>88</v>
      </c>
      <c r="I1871" s="178"/>
    </row>
    <row r="1872" spans="1:9" hidden="1" outlineLevel="2" x14ac:dyDescent="0.25">
      <c r="A1872" s="175">
        <f t="shared" si="61"/>
        <v>118</v>
      </c>
      <c r="B1872" s="175" t="s">
        <v>327</v>
      </c>
      <c r="C1872" s="175" t="str">
        <f t="shared" si="60"/>
        <v>Revestimento de Piso Porcelanato Acetinado, Placa 84x84cm (Porcelanato, rejunte, argamassa e espaçador)</v>
      </c>
      <c r="D1872" s="175" t="s">
        <v>654</v>
      </c>
      <c r="E1872" s="176" t="str">
        <f>_xlfn.XLOOKUP(D1872,Insumos!$B$1:$B$764,Insumos!$C$1:$C$764)</f>
        <v>KG</v>
      </c>
      <c r="F1872" s="196">
        <v>8.8000000000000007</v>
      </c>
      <c r="G1872" s="177">
        <f>IF(B1872="insumo",_xlfn.XLOOKUP($D1872,Insumos!$B$1:$B$764,Insumos!$D$1:$D$764),"")</f>
        <v>2.5499999999999998</v>
      </c>
      <c r="H1872" s="177" cm="1">
        <f t="array" ref="H1872">_xlfn.IFS(B1872="Serviço",SUMIFS(H1873:$H$3085,C1873:$C$3085,$C1872),B1872="Insumo",F1872*G1872,B1872="Etapa","")</f>
        <v>22.44</v>
      </c>
      <c r="I1872" s="178"/>
    </row>
    <row r="1873" spans="1:9" hidden="1" outlineLevel="2" x14ac:dyDescent="0.25">
      <c r="A1873" s="175">
        <f t="shared" si="61"/>
        <v>78</v>
      </c>
      <c r="B1873" s="175" t="s">
        <v>327</v>
      </c>
      <c r="C1873" s="175" t="str">
        <f t="shared" si="60"/>
        <v>Revestimento de Piso Porcelanato Acetinado, Placa 84x84cm (Porcelanato, rejunte, argamassa e espaçador)</v>
      </c>
      <c r="D1873" s="175" t="s">
        <v>674</v>
      </c>
      <c r="E1873" s="176" t="str">
        <f>_xlfn.XLOOKUP(D1873,Insumos!$B$1:$B$764,Insumos!$C$1:$C$764)</f>
        <v>UN</v>
      </c>
      <c r="F1873" s="196">
        <v>1</v>
      </c>
      <c r="G1873" s="177">
        <f>IF(B1873="insumo",_xlfn.XLOOKUP($D1873,Insumos!$B$1:$B$764,Insumos!$D$1:$D$764),"")</f>
        <v>0.08</v>
      </c>
      <c r="H1873" s="177" cm="1">
        <f t="array" ref="H1873">_xlfn.IFS(B1873="Serviço",SUMIFS(H1874:$H$3085,C1874:$C$3085,$C1873),B1873="Insumo",F1873*G1873,B1873="Etapa","")</f>
        <v>0.08</v>
      </c>
      <c r="I1873" s="178"/>
    </row>
    <row r="1874" spans="1:9" hidden="1" outlineLevel="2" x14ac:dyDescent="0.25">
      <c r="A1874" s="175">
        <f t="shared" si="61"/>
        <v>71</v>
      </c>
      <c r="B1874" s="175" t="s">
        <v>327</v>
      </c>
      <c r="C1874" s="175" t="str">
        <f t="shared" si="60"/>
        <v>Revestimento de Piso Porcelanato Acetinado, Placa 84x84cm (Porcelanato, rejunte, argamassa e espaçador)</v>
      </c>
      <c r="D1874" s="175" t="s">
        <v>675</v>
      </c>
      <c r="E1874" s="176" t="str">
        <f>_xlfn.XLOOKUP(D1874,Insumos!$B$1:$B$764,Insumos!$C$1:$C$764)</f>
        <v>KG</v>
      </c>
      <c r="F1874" s="196">
        <v>0.01</v>
      </c>
      <c r="G1874" s="177">
        <f>IF(B1874="insumo",_xlfn.XLOOKUP($D1874,Insumos!$B$1:$B$764,Insumos!$D$1:$D$764),"")</f>
        <v>11.15</v>
      </c>
      <c r="H1874" s="177" cm="1">
        <f t="array" ref="H1874">_xlfn.IFS(B1874="Serviço",SUMIFS(H1875:$H$3085,C1875:$C$3085,$C1874),B1874="Insumo",F1874*G1874,B1874="Etapa","")</f>
        <v>0.1115</v>
      </c>
      <c r="I1874" s="178"/>
    </row>
    <row r="1875" spans="1:9" outlineLevel="1" collapsed="1" x14ac:dyDescent="0.25">
      <c r="A1875" s="175">
        <f t="shared" si="61"/>
        <v>1</v>
      </c>
      <c r="B1875" s="175" t="s">
        <v>109</v>
      </c>
      <c r="C1875" s="175" t="str">
        <f t="shared" si="60"/>
        <v>Revestimento de Piso Porcelanato Matiz Agave MT 30x90 - Eliane Revestimentos</v>
      </c>
      <c r="D1875" s="175" t="s">
        <v>6907</v>
      </c>
      <c r="E1875" s="176" t="s">
        <v>13</v>
      </c>
      <c r="F1875" s="175"/>
      <c r="G1875" s="177" t="str">
        <f>IF(B1875="insumo",_xlfn.XLOOKUP($D1875,Insumos!$B$1:$B$764,Insumos!$D$1:$D$764),"")</f>
        <v/>
      </c>
      <c r="H1875" s="177" cm="1">
        <f t="array" ref="H1875">_xlfn.IFS(B1875="Serviço",SUMIFS(H1876:$H$3085,C1876:$C$3085,$C1875),B1875="Insumo",F1875*G1875,B1875="Etapa","")</f>
        <v>281.13149999999996</v>
      </c>
      <c r="I1875" s="178" t="s">
        <v>195</v>
      </c>
    </row>
    <row r="1876" spans="1:9" hidden="1" outlineLevel="2" x14ac:dyDescent="0.25">
      <c r="A1876" s="175">
        <f t="shared" si="61"/>
        <v>1</v>
      </c>
      <c r="B1876" s="175" t="s">
        <v>327</v>
      </c>
      <c r="C1876" s="175" t="str">
        <f t="shared" si="60"/>
        <v>Revestimento de Piso Porcelanato Matiz Agave MT 30x90 - Eliane Revestimentos</v>
      </c>
      <c r="D1876" s="175" t="s">
        <v>6908</v>
      </c>
      <c r="E1876" s="176" t="str">
        <f>_xlfn.XLOOKUP(D1876,Insumos!$B$1:$B$764,Insumos!$C$1:$C$764)</f>
        <v>M2</v>
      </c>
      <c r="F1876" s="196">
        <v>1.1000000000000001</v>
      </c>
      <c r="G1876" s="177">
        <f>IF(B1876="insumo",_xlfn.XLOOKUP($D1876,Insumos!$B$1:$B$764,Insumos!$D$1:$D$764),"")</f>
        <v>235</v>
      </c>
      <c r="H1876" s="177" cm="1">
        <f t="array" ref="H1876">_xlfn.IFS(B1876="Serviço",SUMIFS(H1877:$H$3085,C1877:$C$3085,$C1876),B1876="Insumo",F1876*G1876,B1876="Etapa","")</f>
        <v>258.5</v>
      </c>
      <c r="I1876" s="178"/>
    </row>
    <row r="1877" spans="1:9" hidden="1" outlineLevel="2" x14ac:dyDescent="0.25">
      <c r="A1877" s="175">
        <f t="shared" si="61"/>
        <v>118</v>
      </c>
      <c r="B1877" s="175" t="s">
        <v>327</v>
      </c>
      <c r="C1877" s="175" t="str">
        <f t="shared" si="60"/>
        <v>Revestimento de Piso Porcelanato Matiz Agave MT 30x90 - Eliane Revestimentos</v>
      </c>
      <c r="D1877" s="175" t="s">
        <v>654</v>
      </c>
      <c r="E1877" s="176" t="str">
        <f>_xlfn.XLOOKUP(D1877,Insumos!$B$1:$B$764,Insumos!$C$1:$C$764)</f>
        <v>KG</v>
      </c>
      <c r="F1877" s="196">
        <v>8.8000000000000007</v>
      </c>
      <c r="G1877" s="177">
        <f>IF(B1877="insumo",_xlfn.XLOOKUP($D1877,Insumos!$B$1:$B$764,Insumos!$D$1:$D$764),"")</f>
        <v>2.5499999999999998</v>
      </c>
      <c r="H1877" s="177" cm="1">
        <f t="array" ref="H1877">_xlfn.IFS(B1877="Serviço",SUMIFS(H1878:$H$3085,C1878:$C$3085,$C1877),B1877="Insumo",F1877*G1877,B1877="Etapa","")</f>
        <v>22.44</v>
      </c>
      <c r="I1877" s="178"/>
    </row>
    <row r="1878" spans="1:9" hidden="1" outlineLevel="2" x14ac:dyDescent="0.25">
      <c r="A1878" s="175">
        <f t="shared" si="61"/>
        <v>78</v>
      </c>
      <c r="B1878" s="175" t="s">
        <v>327</v>
      </c>
      <c r="C1878" s="175" t="str">
        <f t="shared" si="60"/>
        <v>Revestimento de Piso Porcelanato Matiz Agave MT 30x90 - Eliane Revestimentos</v>
      </c>
      <c r="D1878" s="175" t="s">
        <v>674</v>
      </c>
      <c r="E1878" s="176" t="str">
        <f>_xlfn.XLOOKUP(D1878,Insumos!$B$1:$B$764,Insumos!$C$1:$C$764)</f>
        <v>UN</v>
      </c>
      <c r="F1878" s="196">
        <v>1</v>
      </c>
      <c r="G1878" s="177">
        <f>IF(B1878="insumo",_xlfn.XLOOKUP($D1878,Insumos!$B$1:$B$764,Insumos!$D$1:$D$764),"")</f>
        <v>0.08</v>
      </c>
      <c r="H1878" s="177" cm="1">
        <f t="array" ref="H1878">_xlfn.IFS(B1878="Serviço",SUMIFS(H1879:$H$3085,C1879:$C$3085,$C1878),B1878="Insumo",F1878*G1878,B1878="Etapa","")</f>
        <v>0.08</v>
      </c>
      <c r="I1878" s="178"/>
    </row>
    <row r="1879" spans="1:9" hidden="1" outlineLevel="2" x14ac:dyDescent="0.25">
      <c r="A1879" s="175">
        <f t="shared" si="61"/>
        <v>71</v>
      </c>
      <c r="B1879" s="175" t="s">
        <v>327</v>
      </c>
      <c r="C1879" s="175" t="str">
        <f t="shared" si="60"/>
        <v>Revestimento de Piso Porcelanato Matiz Agave MT 30x90 - Eliane Revestimentos</v>
      </c>
      <c r="D1879" s="175" t="s">
        <v>675</v>
      </c>
      <c r="E1879" s="176" t="str">
        <f>_xlfn.XLOOKUP(D1879,Insumos!$B$1:$B$764,Insumos!$C$1:$C$764)</f>
        <v>KG</v>
      </c>
      <c r="F1879" s="196">
        <v>0.01</v>
      </c>
      <c r="G1879" s="177">
        <f>IF(B1879="insumo",_xlfn.XLOOKUP($D1879,Insumos!$B$1:$B$764,Insumos!$D$1:$D$764),"")</f>
        <v>11.15</v>
      </c>
      <c r="H1879" s="177" cm="1">
        <f t="array" ref="H1879">_xlfn.IFS(B1879="Serviço",SUMIFS(H1880:$H$3085,C1880:$C$3085,$C1879),B1879="Insumo",F1879*G1879,B1879="Etapa","")</f>
        <v>0.1115</v>
      </c>
      <c r="I1879" s="178"/>
    </row>
    <row r="1880" spans="1:9" outlineLevel="1" collapsed="1" x14ac:dyDescent="0.25">
      <c r="A1880" s="175">
        <f t="shared" si="61"/>
        <v>1</v>
      </c>
      <c r="B1880" s="175" t="s">
        <v>109</v>
      </c>
      <c r="C1880" s="175" t="str">
        <f t="shared" si="60"/>
        <v>Revestimento de Piso Porcelanato preto e branco, Placa 90x90cm</v>
      </c>
      <c r="D1880" s="175" t="s">
        <v>6856</v>
      </c>
      <c r="E1880" s="176" t="s">
        <v>13</v>
      </c>
      <c r="F1880" s="175"/>
      <c r="G1880" s="177" t="str">
        <f>IF(B1880="insumo",_xlfn.XLOOKUP($D1880,Insumos!$B$1:$B$764,Insumos!$D$1:$D$764),"")</f>
        <v/>
      </c>
      <c r="H1880" s="177" cm="1">
        <f t="array" ref="H1880">_xlfn.IFS(B1880="Serviço",SUMIFS(H1881:$H$3085,C1881:$C$3085,$C1880),B1880="Insumo",F1880*G1880,B1880="Etapa","")</f>
        <v>171.13150000000002</v>
      </c>
      <c r="I1880" s="178" t="s">
        <v>195</v>
      </c>
    </row>
    <row r="1881" spans="1:9" hidden="1" outlineLevel="2" x14ac:dyDescent="0.25">
      <c r="A1881" s="175">
        <f t="shared" si="61"/>
        <v>1</v>
      </c>
      <c r="B1881" s="175" t="s">
        <v>327</v>
      </c>
      <c r="C1881" s="175" t="str">
        <f t="shared" si="60"/>
        <v>Revestimento de Piso Porcelanato preto e branco, Placa 90x90cm</v>
      </c>
      <c r="D1881" s="175" t="s">
        <v>6857</v>
      </c>
      <c r="E1881" s="176" t="str">
        <f>_xlfn.XLOOKUP(D1881,Insumos!$B$1:$B$764,Insumos!$C$1:$C$764)</f>
        <v>M2</v>
      </c>
      <c r="F1881" s="196">
        <v>1.1000000000000001</v>
      </c>
      <c r="G1881" s="177">
        <f>IF(B1881="insumo",_xlfn.XLOOKUP($D1881,Insumos!$B$1:$B$764,Insumos!$D$1:$D$764),"")</f>
        <v>135</v>
      </c>
      <c r="H1881" s="177" cm="1">
        <f t="array" ref="H1881">_xlfn.IFS(B1881="Serviço",SUMIFS(H1882:$H$3085,C1882:$C$3085,$C1881),B1881="Insumo",F1881*G1881,B1881="Etapa","")</f>
        <v>148.5</v>
      </c>
      <c r="I1881" s="178"/>
    </row>
    <row r="1882" spans="1:9" hidden="1" outlineLevel="2" x14ac:dyDescent="0.25">
      <c r="A1882" s="175">
        <f t="shared" si="61"/>
        <v>118</v>
      </c>
      <c r="B1882" s="175" t="s">
        <v>327</v>
      </c>
      <c r="C1882" s="175" t="str">
        <f t="shared" si="60"/>
        <v>Revestimento de Piso Porcelanato preto e branco, Placa 90x90cm</v>
      </c>
      <c r="D1882" s="175" t="s">
        <v>654</v>
      </c>
      <c r="E1882" s="176" t="str">
        <f>_xlfn.XLOOKUP(D1882,Insumos!$B$1:$B$764,Insumos!$C$1:$C$764)</f>
        <v>KG</v>
      </c>
      <c r="F1882" s="196">
        <v>8.8000000000000007</v>
      </c>
      <c r="G1882" s="177">
        <f>IF(B1882="insumo",_xlfn.XLOOKUP($D1882,Insumos!$B$1:$B$764,Insumos!$D$1:$D$764),"")</f>
        <v>2.5499999999999998</v>
      </c>
      <c r="H1882" s="177" cm="1">
        <f t="array" ref="H1882">_xlfn.IFS(B1882="Serviço",SUMIFS(H1883:$H$3085,C1883:$C$3085,$C1882),B1882="Insumo",F1882*G1882,B1882="Etapa","")</f>
        <v>22.44</v>
      </c>
      <c r="I1882" s="178"/>
    </row>
    <row r="1883" spans="1:9" hidden="1" outlineLevel="2" x14ac:dyDescent="0.25">
      <c r="A1883" s="175">
        <f t="shared" si="61"/>
        <v>78</v>
      </c>
      <c r="B1883" s="175" t="s">
        <v>327</v>
      </c>
      <c r="C1883" s="175" t="str">
        <f t="shared" si="60"/>
        <v>Revestimento de Piso Porcelanato preto e branco, Placa 90x90cm</v>
      </c>
      <c r="D1883" s="175" t="s">
        <v>674</v>
      </c>
      <c r="E1883" s="176" t="str">
        <f>_xlfn.XLOOKUP(D1883,Insumos!$B$1:$B$764,Insumos!$C$1:$C$764)</f>
        <v>UN</v>
      </c>
      <c r="F1883" s="196">
        <v>1</v>
      </c>
      <c r="G1883" s="177">
        <f>IF(B1883="insumo",_xlfn.XLOOKUP($D1883,Insumos!$B$1:$B$764,Insumos!$D$1:$D$764),"")</f>
        <v>0.08</v>
      </c>
      <c r="H1883" s="177" cm="1">
        <f t="array" ref="H1883">_xlfn.IFS(B1883="Serviço",SUMIFS(H1884:$H$3085,C1884:$C$3085,$C1883),B1883="Insumo",F1883*G1883,B1883="Etapa","")</f>
        <v>0.08</v>
      </c>
      <c r="I1883" s="178"/>
    </row>
    <row r="1884" spans="1:9" hidden="1" outlineLevel="2" x14ac:dyDescent="0.25">
      <c r="A1884" s="175">
        <f t="shared" si="61"/>
        <v>71</v>
      </c>
      <c r="B1884" s="175" t="s">
        <v>327</v>
      </c>
      <c r="C1884" s="175" t="str">
        <f t="shared" si="60"/>
        <v>Revestimento de Piso Porcelanato preto e branco, Placa 90x90cm</v>
      </c>
      <c r="D1884" s="175" t="s">
        <v>675</v>
      </c>
      <c r="E1884" s="176" t="str">
        <f>_xlfn.XLOOKUP(D1884,Insumos!$B$1:$B$764,Insumos!$C$1:$C$764)</f>
        <v>KG</v>
      </c>
      <c r="F1884" s="196">
        <v>0.01</v>
      </c>
      <c r="G1884" s="177">
        <f>IF(B1884="insumo",_xlfn.XLOOKUP($D1884,Insumos!$B$1:$B$764,Insumos!$D$1:$D$764),"")</f>
        <v>11.15</v>
      </c>
      <c r="H1884" s="177" cm="1">
        <f t="array" ref="H1884">_xlfn.IFS(B1884="Serviço",SUMIFS(H1885:$H$3085,C1885:$C$3085,$C1884),B1884="Insumo",F1884*G1884,B1884="Etapa","")</f>
        <v>0.1115</v>
      </c>
      <c r="I1884" s="178"/>
    </row>
    <row r="1885" spans="1:9" outlineLevel="1" collapsed="1" x14ac:dyDescent="0.25">
      <c r="A1885" s="175">
        <f t="shared" si="61"/>
        <v>1</v>
      </c>
      <c r="B1885" s="175" t="s">
        <v>109</v>
      </c>
      <c r="C1885" s="175" t="str">
        <f t="shared" si="60"/>
        <v>Revestimento de Piso Porcelanato Acetinado Mirage, Placa 90x90cm</v>
      </c>
      <c r="D1885" s="175" t="s">
        <v>6854</v>
      </c>
      <c r="E1885" s="176" t="s">
        <v>13</v>
      </c>
      <c r="F1885" s="175"/>
      <c r="G1885" s="177" t="str">
        <f>IF(B1885="insumo",_xlfn.XLOOKUP($D1885,Insumos!$B$1:$B$764,Insumos!$D$1:$D$764),"")</f>
        <v/>
      </c>
      <c r="H1885" s="177" cm="1">
        <f t="array" ref="H1885">_xlfn.IFS(B1885="Serviço",SUMIFS(H1886:$H$3085,C1886:$C$3085,$C1885),B1885="Insumo",F1885*G1885,B1885="Etapa","")</f>
        <v>180.76750000000001</v>
      </c>
      <c r="I1885" s="178" t="s">
        <v>195</v>
      </c>
    </row>
    <row r="1886" spans="1:9" hidden="1" outlineLevel="2" x14ac:dyDescent="0.25">
      <c r="A1886" s="175">
        <f t="shared" si="61"/>
        <v>1</v>
      </c>
      <c r="B1886" s="175" t="s">
        <v>327</v>
      </c>
      <c r="C1886" s="175" t="str">
        <f t="shared" si="60"/>
        <v>Revestimento de Piso Porcelanato Acetinado Mirage, Placa 90x90cm</v>
      </c>
      <c r="D1886" s="175" t="s">
        <v>6855</v>
      </c>
      <c r="E1886" s="176" t="str">
        <f>_xlfn.XLOOKUP(D1886,Insumos!$B$1:$B$764,Insumos!$C$1:$C$764)</f>
        <v>M2</v>
      </c>
      <c r="F1886" s="196">
        <v>1.1000000000000001</v>
      </c>
      <c r="G1886" s="177">
        <f>IF(B1886="insumo",_xlfn.XLOOKUP($D1886,Insumos!$B$1:$B$764,Insumos!$D$1:$D$764),"")</f>
        <v>143.76</v>
      </c>
      <c r="H1886" s="177" cm="1">
        <f t="array" ref="H1886">_xlfn.IFS(B1886="Serviço",SUMIFS(H1887:$H$3085,C1887:$C$3085,$C1886),B1886="Insumo",F1886*G1886,B1886="Etapa","")</f>
        <v>158.136</v>
      </c>
      <c r="I1886" s="178"/>
    </row>
    <row r="1887" spans="1:9" hidden="1" outlineLevel="2" x14ac:dyDescent="0.25">
      <c r="A1887" s="175">
        <f t="shared" si="61"/>
        <v>118</v>
      </c>
      <c r="B1887" s="175" t="s">
        <v>327</v>
      </c>
      <c r="C1887" s="175" t="str">
        <f t="shared" si="60"/>
        <v>Revestimento de Piso Porcelanato Acetinado Mirage, Placa 90x90cm</v>
      </c>
      <c r="D1887" s="175" t="s">
        <v>654</v>
      </c>
      <c r="E1887" s="176" t="str">
        <f>_xlfn.XLOOKUP(D1887,Insumos!$B$1:$B$764,Insumos!$C$1:$C$764)</f>
        <v>KG</v>
      </c>
      <c r="F1887" s="196">
        <v>8.8000000000000007</v>
      </c>
      <c r="G1887" s="177">
        <f>IF(B1887="insumo",_xlfn.XLOOKUP($D1887,Insumos!$B$1:$B$764,Insumos!$D$1:$D$764),"")</f>
        <v>2.5499999999999998</v>
      </c>
      <c r="H1887" s="177" cm="1">
        <f t="array" ref="H1887">_xlfn.IFS(B1887="Serviço",SUMIFS(H1888:$H$3085,C1888:$C$3085,$C1887),B1887="Insumo",F1887*G1887,B1887="Etapa","")</f>
        <v>22.44</v>
      </c>
      <c r="I1887" s="178"/>
    </row>
    <row r="1888" spans="1:9" hidden="1" outlineLevel="2" x14ac:dyDescent="0.25">
      <c r="A1888" s="175">
        <f t="shared" si="61"/>
        <v>78</v>
      </c>
      <c r="B1888" s="175" t="s">
        <v>327</v>
      </c>
      <c r="C1888" s="175" t="str">
        <f t="shared" si="60"/>
        <v>Revestimento de Piso Porcelanato Acetinado Mirage, Placa 90x90cm</v>
      </c>
      <c r="D1888" s="175" t="s">
        <v>674</v>
      </c>
      <c r="E1888" s="176" t="str">
        <f>_xlfn.XLOOKUP(D1888,Insumos!$B$1:$B$764,Insumos!$C$1:$C$764)</f>
        <v>UN</v>
      </c>
      <c r="F1888" s="196">
        <v>1</v>
      </c>
      <c r="G1888" s="177">
        <f>IF(B1888="insumo",_xlfn.XLOOKUP($D1888,Insumos!$B$1:$B$764,Insumos!$D$1:$D$764),"")</f>
        <v>0.08</v>
      </c>
      <c r="H1888" s="177" cm="1">
        <f t="array" ref="H1888">_xlfn.IFS(B1888="Serviço",SUMIFS(H1889:$H$3085,C1889:$C$3085,$C1888),B1888="Insumo",F1888*G1888,B1888="Etapa","")</f>
        <v>0.08</v>
      </c>
      <c r="I1888" s="178"/>
    </row>
    <row r="1889" spans="1:9" hidden="1" outlineLevel="2" x14ac:dyDescent="0.25">
      <c r="A1889" s="175">
        <f t="shared" si="61"/>
        <v>71</v>
      </c>
      <c r="B1889" s="175" t="s">
        <v>327</v>
      </c>
      <c r="C1889" s="175" t="str">
        <f t="shared" si="60"/>
        <v>Revestimento de Piso Porcelanato Acetinado Mirage, Placa 90x90cm</v>
      </c>
      <c r="D1889" s="175" t="s">
        <v>675</v>
      </c>
      <c r="E1889" s="176" t="str">
        <f>_xlfn.XLOOKUP(D1889,Insumos!$B$1:$B$764,Insumos!$C$1:$C$764)</f>
        <v>KG</v>
      </c>
      <c r="F1889" s="196">
        <v>0.01</v>
      </c>
      <c r="G1889" s="177">
        <f>IF(B1889="insumo",_xlfn.XLOOKUP($D1889,Insumos!$B$1:$B$764,Insumos!$D$1:$D$764),"")</f>
        <v>11.15</v>
      </c>
      <c r="H1889" s="177" cm="1">
        <f t="array" ref="H1889">_xlfn.IFS(B1889="Serviço",SUMIFS(H1890:$H$3085,C1890:$C$3085,$C1889),B1889="Insumo",F1889*G1889,B1889="Etapa","")</f>
        <v>0.1115</v>
      </c>
      <c r="I1889" s="178"/>
    </row>
    <row r="1890" spans="1:9" outlineLevel="1" collapsed="1" x14ac:dyDescent="0.25">
      <c r="A1890" s="175">
        <f t="shared" si="61"/>
        <v>1</v>
      </c>
      <c r="B1890" s="175" t="s">
        <v>109</v>
      </c>
      <c r="C1890" s="175" t="str">
        <f t="shared" si="60"/>
        <v>Revestimento de Piso Porcelanato Acetinado, Placa 90x90cm</v>
      </c>
      <c r="D1890" s="175" t="s">
        <v>775</v>
      </c>
      <c r="E1890" s="176" t="s">
        <v>13</v>
      </c>
      <c r="F1890" s="175"/>
      <c r="G1890" s="177" t="str">
        <f>IF(B1890="insumo",_xlfn.XLOOKUP($D1890,Insumos!$B$1:$B$764,Insumos!$D$1:$D$764),"")</f>
        <v/>
      </c>
      <c r="H1890" s="177" cm="1">
        <f t="array" ref="H1890">_xlfn.IFS(B1890="Serviço",SUMIFS(H1891:$H$3085,C1891:$C$3085,$C1890),B1890="Insumo",F1890*G1890,B1890="Etapa","")</f>
        <v>106.01150000000001</v>
      </c>
      <c r="I1890" s="178" t="s">
        <v>195</v>
      </c>
    </row>
    <row r="1891" spans="1:9" hidden="1" outlineLevel="2" x14ac:dyDescent="0.25">
      <c r="A1891" s="175">
        <f t="shared" si="61"/>
        <v>2</v>
      </c>
      <c r="B1891" s="175" t="s">
        <v>327</v>
      </c>
      <c r="C1891" s="175" t="str">
        <f t="shared" si="60"/>
        <v>Revestimento de Piso Porcelanato Acetinado, Placa 90x90cm</v>
      </c>
      <c r="D1891" s="175" t="s">
        <v>772</v>
      </c>
      <c r="E1891" s="176" t="str">
        <f>_xlfn.XLOOKUP(D1891,Insumos!$B$1:$B$764,Insumos!$C$1:$C$764)</f>
        <v>M2</v>
      </c>
      <c r="F1891" s="196">
        <v>1.1000000000000001</v>
      </c>
      <c r="G1891" s="177">
        <f>IF(B1891="insumo",_xlfn.XLOOKUP($D1891,Insumos!$B$1:$B$764,Insumos!$D$1:$D$764),"")</f>
        <v>75.8</v>
      </c>
      <c r="H1891" s="177" cm="1">
        <f t="array" ref="H1891">_xlfn.IFS(B1891="Serviço",SUMIFS(H1892:$H$3085,C1892:$C$3085,$C1891),B1891="Insumo",F1891*G1891,B1891="Etapa","")</f>
        <v>83.38000000000001</v>
      </c>
      <c r="I1891" s="178"/>
    </row>
    <row r="1892" spans="1:9" hidden="1" outlineLevel="2" x14ac:dyDescent="0.25">
      <c r="A1892" s="175">
        <f t="shared" si="61"/>
        <v>118</v>
      </c>
      <c r="B1892" s="175" t="s">
        <v>327</v>
      </c>
      <c r="C1892" s="175" t="str">
        <f t="shared" si="60"/>
        <v>Revestimento de Piso Porcelanato Acetinado, Placa 90x90cm</v>
      </c>
      <c r="D1892" s="175" t="s">
        <v>654</v>
      </c>
      <c r="E1892" s="176" t="str">
        <f>_xlfn.XLOOKUP(D1892,Insumos!$B$1:$B$764,Insumos!$C$1:$C$764)</f>
        <v>KG</v>
      </c>
      <c r="F1892" s="196">
        <v>8.8000000000000007</v>
      </c>
      <c r="G1892" s="177">
        <f>IF(B1892="insumo",_xlfn.XLOOKUP($D1892,Insumos!$B$1:$B$764,Insumos!$D$1:$D$764),"")</f>
        <v>2.5499999999999998</v>
      </c>
      <c r="H1892" s="177" cm="1">
        <f t="array" ref="H1892">_xlfn.IFS(B1892="Serviço",SUMIFS(H1893:$H$3085,C1893:$C$3085,$C1892),B1892="Insumo",F1892*G1892,B1892="Etapa","")</f>
        <v>22.44</v>
      </c>
      <c r="I1892" s="178"/>
    </row>
    <row r="1893" spans="1:9" hidden="1" outlineLevel="2" x14ac:dyDescent="0.25">
      <c r="A1893" s="175">
        <f t="shared" si="61"/>
        <v>78</v>
      </c>
      <c r="B1893" s="175" t="s">
        <v>327</v>
      </c>
      <c r="C1893" s="175" t="str">
        <f t="shared" si="60"/>
        <v>Revestimento de Piso Porcelanato Acetinado, Placa 90x90cm</v>
      </c>
      <c r="D1893" s="175" t="s">
        <v>674</v>
      </c>
      <c r="E1893" s="176" t="str">
        <f>_xlfn.XLOOKUP(D1893,Insumos!$B$1:$B$764,Insumos!$C$1:$C$764)</f>
        <v>UN</v>
      </c>
      <c r="F1893" s="196">
        <v>1</v>
      </c>
      <c r="G1893" s="177">
        <f>IF(B1893="insumo",_xlfn.XLOOKUP($D1893,Insumos!$B$1:$B$764,Insumos!$D$1:$D$764),"")</f>
        <v>0.08</v>
      </c>
      <c r="H1893" s="177" cm="1">
        <f t="array" ref="H1893">_xlfn.IFS(B1893="Serviço",SUMIFS(H1894:$H$3085,C1894:$C$3085,$C1893),B1893="Insumo",F1893*G1893,B1893="Etapa","")</f>
        <v>0.08</v>
      </c>
      <c r="I1893" s="178"/>
    </row>
    <row r="1894" spans="1:9" hidden="1" outlineLevel="2" x14ac:dyDescent="0.25">
      <c r="A1894" s="175">
        <f t="shared" si="61"/>
        <v>71</v>
      </c>
      <c r="B1894" s="175" t="s">
        <v>327</v>
      </c>
      <c r="C1894" s="175" t="str">
        <f t="shared" si="60"/>
        <v>Revestimento de Piso Porcelanato Acetinado, Placa 90x90cm</v>
      </c>
      <c r="D1894" s="175" t="s">
        <v>675</v>
      </c>
      <c r="E1894" s="176" t="str">
        <f>_xlfn.XLOOKUP(D1894,Insumos!$B$1:$B$764,Insumos!$C$1:$C$764)</f>
        <v>KG</v>
      </c>
      <c r="F1894" s="196">
        <v>0.01</v>
      </c>
      <c r="G1894" s="177">
        <f>IF(B1894="insumo",_xlfn.XLOOKUP($D1894,Insumos!$B$1:$B$764,Insumos!$D$1:$D$764),"")</f>
        <v>11.15</v>
      </c>
      <c r="H1894" s="177" cm="1">
        <f t="array" ref="H1894">_xlfn.IFS(B1894="Serviço",SUMIFS(H1895:$H$3085,C1895:$C$3085,$C1894),B1894="Insumo",F1894*G1894,B1894="Etapa","")</f>
        <v>0.1115</v>
      </c>
      <c r="I1894" s="178"/>
    </row>
    <row r="1895" spans="1:9" outlineLevel="1" collapsed="1" x14ac:dyDescent="0.25">
      <c r="A1895" s="175">
        <f t="shared" si="61"/>
        <v>1</v>
      </c>
      <c r="B1895" s="175" t="s">
        <v>109</v>
      </c>
      <c r="C1895" s="175" t="str">
        <f t="shared" si="60"/>
        <v>Revestimento de Piso Porcelanato Acetinado, Placa 120x120cm</v>
      </c>
      <c r="D1895" s="175" t="s">
        <v>776</v>
      </c>
      <c r="E1895" s="176" t="s">
        <v>13</v>
      </c>
      <c r="F1895" s="175"/>
      <c r="G1895" s="177" t="str">
        <f>IF(B1895="insumo",_xlfn.XLOOKUP($D1895,Insumos!$B$1:$B$764,Insumos!$D$1:$D$764),"")</f>
        <v/>
      </c>
      <c r="H1895" s="177" cm="1">
        <f t="array" ref="H1895">_xlfn.IFS(B1895="Serviço",SUMIFS(H1896:$H$3085,C1896:$C$3085,$C1895),B1895="Insumo",F1895*G1895,B1895="Etapa","")</f>
        <v>182.84499999999997</v>
      </c>
      <c r="I1895" s="178" t="s">
        <v>195</v>
      </c>
    </row>
    <row r="1896" spans="1:9" hidden="1" outlineLevel="2" x14ac:dyDescent="0.25">
      <c r="A1896" s="175">
        <f t="shared" si="61"/>
        <v>1</v>
      </c>
      <c r="B1896" s="175" t="s">
        <v>327</v>
      </c>
      <c r="C1896" s="175" t="str">
        <f t="shared" ref="C1896:C1959" si="62">IF(B1896="serviço",D1896,C1895)</f>
        <v>Revestimento de Piso Porcelanato Acetinado, Placa 120x120cm</v>
      </c>
      <c r="D1896" s="175" t="s">
        <v>777</v>
      </c>
      <c r="E1896" s="176" t="str">
        <f>_xlfn.XLOOKUP(D1896,Insumos!$B$1:$B$764,Insumos!$C$1:$C$764)</f>
        <v>M2</v>
      </c>
      <c r="F1896" s="179">
        <v>1.1000000000000001</v>
      </c>
      <c r="G1896" s="177">
        <f>IF(B1896="insumo",_xlfn.XLOOKUP($D1896,Insumos!$B$1:$B$764,Insumos!$D$1:$D$764),"")</f>
        <v>140</v>
      </c>
      <c r="H1896" s="177" cm="1">
        <f t="array" ref="H1896">_xlfn.IFS(B1896="Serviço",SUMIFS(H1897:$H$3085,C1897:$C$3085,$C1896),B1896="Insumo",F1896*G1896,B1896="Etapa","")</f>
        <v>154</v>
      </c>
      <c r="I1896" s="178"/>
    </row>
    <row r="1897" spans="1:9" hidden="1" outlineLevel="2" x14ac:dyDescent="0.25">
      <c r="A1897" s="175">
        <f t="shared" si="61"/>
        <v>118</v>
      </c>
      <c r="B1897" s="175" t="s">
        <v>327</v>
      </c>
      <c r="C1897" s="175" t="str">
        <f t="shared" si="62"/>
        <v>Revestimento de Piso Porcelanato Acetinado, Placa 120x120cm</v>
      </c>
      <c r="D1897" s="175" t="s">
        <v>654</v>
      </c>
      <c r="E1897" s="176" t="str">
        <f>_xlfn.XLOOKUP(D1897,Insumos!$B$1:$B$764,Insumos!$C$1:$C$764)</f>
        <v>KG</v>
      </c>
      <c r="F1897" s="179">
        <v>9</v>
      </c>
      <c r="G1897" s="177">
        <f>IF(B1897="insumo",_xlfn.XLOOKUP($D1897,Insumos!$B$1:$B$764,Insumos!$D$1:$D$764),"")</f>
        <v>2.5499999999999998</v>
      </c>
      <c r="H1897" s="177" cm="1">
        <f t="array" ref="H1897">_xlfn.IFS(B1897="Serviço",SUMIFS(H1898:$H$3085,C1898:$C$3085,$C1897),B1897="Insumo",F1897*G1897,B1897="Etapa","")</f>
        <v>22.95</v>
      </c>
      <c r="I1897" s="178"/>
    </row>
    <row r="1898" spans="1:9" hidden="1" outlineLevel="2" x14ac:dyDescent="0.25">
      <c r="A1898" s="175">
        <f t="shared" si="61"/>
        <v>78</v>
      </c>
      <c r="B1898" s="175" t="s">
        <v>327</v>
      </c>
      <c r="C1898" s="175" t="str">
        <f t="shared" si="62"/>
        <v>Revestimento de Piso Porcelanato Acetinado, Placa 120x120cm</v>
      </c>
      <c r="D1898" s="175" t="s">
        <v>674</v>
      </c>
      <c r="E1898" s="176" t="str">
        <f>_xlfn.XLOOKUP(D1898,Insumos!$B$1:$B$764,Insumos!$C$1:$C$764)</f>
        <v>UN</v>
      </c>
      <c r="F1898" s="179">
        <v>4</v>
      </c>
      <c r="G1898" s="177">
        <f>IF(B1898="insumo",_xlfn.XLOOKUP($D1898,Insumos!$B$1:$B$764,Insumos!$D$1:$D$764),"")</f>
        <v>0.08</v>
      </c>
      <c r="H1898" s="177" cm="1">
        <f t="array" ref="H1898">_xlfn.IFS(B1898="Serviço",SUMIFS(H1899:$H$3085,C1899:$C$3085,$C1898),B1898="Insumo",F1898*G1898,B1898="Etapa","")</f>
        <v>0.32</v>
      </c>
      <c r="I1898" s="178"/>
    </row>
    <row r="1899" spans="1:9" hidden="1" outlineLevel="2" x14ac:dyDescent="0.25">
      <c r="A1899" s="175">
        <f t="shared" si="61"/>
        <v>71</v>
      </c>
      <c r="B1899" s="175" t="s">
        <v>327</v>
      </c>
      <c r="C1899" s="175" t="str">
        <f t="shared" si="62"/>
        <v>Revestimento de Piso Porcelanato Acetinado, Placa 120x120cm</v>
      </c>
      <c r="D1899" s="175" t="s">
        <v>675</v>
      </c>
      <c r="E1899" s="176" t="str">
        <f>_xlfn.XLOOKUP(D1899,Insumos!$B$1:$B$764,Insumos!$C$1:$C$764)</f>
        <v>KG</v>
      </c>
      <c r="F1899" s="179">
        <v>0.5</v>
      </c>
      <c r="G1899" s="177">
        <f>IF(B1899="insumo",_xlfn.XLOOKUP($D1899,Insumos!$B$1:$B$764,Insumos!$D$1:$D$764),"")</f>
        <v>11.15</v>
      </c>
      <c r="H1899" s="177" cm="1">
        <f t="array" ref="H1899">_xlfn.IFS(B1899="Serviço",SUMIFS(H1900:$H$3085,C1900:$C$3085,$C1899),B1899="Insumo",F1899*G1899,B1899="Etapa","")</f>
        <v>5.5750000000000002</v>
      </c>
      <c r="I1899" s="178"/>
    </row>
    <row r="1900" spans="1:9" outlineLevel="1" collapsed="1" x14ac:dyDescent="0.25">
      <c r="A1900" s="175">
        <f t="shared" si="61"/>
        <v>1</v>
      </c>
      <c r="B1900" s="175" t="s">
        <v>109</v>
      </c>
      <c r="C1900" s="175" t="str">
        <f t="shared" si="62"/>
        <v>Revestimento em Cerâmicas Pisos Internos, 45x 45cm com Junta de 3mm</v>
      </c>
      <c r="D1900" s="175" t="s">
        <v>781</v>
      </c>
      <c r="E1900" s="176" t="s">
        <v>13</v>
      </c>
      <c r="F1900" s="175"/>
      <c r="G1900" s="177" t="str">
        <f>IF(B1900="insumo",_xlfn.XLOOKUP($D1900,Insumos!$B$1:$B$764,Insumos!$D$1:$D$764),"")</f>
        <v/>
      </c>
      <c r="H1900" s="177" cm="1">
        <f t="array" ref="H1900">_xlfn.IFS(B1900="Serviço",SUMIFS(H1901:$H$3085,C1901:$C$3085,$C1900),B1900="Insumo",F1900*G1900,B1900="Etapa","")</f>
        <v>58.315000000000005</v>
      </c>
      <c r="I1900" s="178" t="s">
        <v>195</v>
      </c>
    </row>
    <row r="1901" spans="1:9" hidden="1" outlineLevel="2" x14ac:dyDescent="0.25">
      <c r="A1901" s="175">
        <f t="shared" si="61"/>
        <v>4</v>
      </c>
      <c r="B1901" s="175" t="s">
        <v>327</v>
      </c>
      <c r="C1901" s="175" t="str">
        <f t="shared" si="62"/>
        <v>Revestimento em Cerâmicas Pisos Internos, 45x 45cm com Junta de 3mm</v>
      </c>
      <c r="D1901" s="175" t="s">
        <v>782</v>
      </c>
      <c r="E1901" s="176" t="str">
        <f>_xlfn.XLOOKUP(D1901,Insumos!$B$1:$B$764,Insumos!$C$1:$C$764)</f>
        <v>M2</v>
      </c>
      <c r="F1901" s="196">
        <v>1.1000000000000001</v>
      </c>
      <c r="G1901" s="177">
        <f>IF(B1901="insumo",_xlfn.XLOOKUP($D1901,Insumos!$B$1:$B$764,Insumos!$D$1:$D$764),"")</f>
        <v>44.9</v>
      </c>
      <c r="H1901" s="177" cm="1">
        <f t="array" ref="H1901">_xlfn.IFS(B1901="Serviço",SUMIFS(H1902:$H$3085,C1902:$C$3085,$C1901),B1901="Insumo",F1901*G1901,B1901="Etapa","")</f>
        <v>49.39</v>
      </c>
      <c r="I1901" s="178"/>
    </row>
    <row r="1902" spans="1:9" hidden="1" outlineLevel="2" x14ac:dyDescent="0.25">
      <c r="A1902" s="175">
        <f t="shared" si="61"/>
        <v>11</v>
      </c>
      <c r="B1902" s="175" t="s">
        <v>327</v>
      </c>
      <c r="C1902" s="175" t="str">
        <f t="shared" si="62"/>
        <v>Revestimento em Cerâmicas Pisos Internos, 45x 45cm com Junta de 3mm</v>
      </c>
      <c r="D1902" s="175" t="s">
        <v>780</v>
      </c>
      <c r="E1902" s="176" t="str">
        <f>_xlfn.XLOOKUP(D1902,Insumos!$B$1:$B$764,Insumos!$C$1:$C$764)</f>
        <v>KG</v>
      </c>
      <c r="F1902" s="196">
        <v>8.8000000000000007</v>
      </c>
      <c r="G1902" s="177">
        <f>IF(B1902="insumo",_xlfn.XLOOKUP($D1902,Insumos!$B$1:$B$764,Insumos!$D$1:$D$764),"")</f>
        <v>0.97750000000000004</v>
      </c>
      <c r="H1902" s="177" cm="1">
        <f t="array" ref="H1902">_xlfn.IFS(B1902="Serviço",SUMIFS(H1903:$H$3085,C1903:$C$3085,$C1902),B1902="Insumo",F1902*G1902,B1902="Etapa","")</f>
        <v>8.6020000000000003</v>
      </c>
      <c r="I1902" s="178"/>
    </row>
    <row r="1903" spans="1:9" hidden="1" outlineLevel="2" x14ac:dyDescent="0.25">
      <c r="A1903" s="175">
        <f t="shared" si="61"/>
        <v>13</v>
      </c>
      <c r="B1903" s="175" t="s">
        <v>327</v>
      </c>
      <c r="C1903" s="175" t="str">
        <f t="shared" si="62"/>
        <v>Revestimento em Cerâmicas Pisos Internos, 45x 45cm com Junta de 3mm</v>
      </c>
      <c r="D1903" s="175" t="s">
        <v>680</v>
      </c>
      <c r="E1903" s="176" t="str">
        <f>_xlfn.XLOOKUP(D1903,Insumos!$B$1:$B$764,Insumos!$C$1:$C$764)</f>
        <v>UN</v>
      </c>
      <c r="F1903" s="196">
        <v>2</v>
      </c>
      <c r="G1903" s="177">
        <f>IF(B1903="insumo",_xlfn.XLOOKUP($D1903,Insumos!$B$1:$B$764,Insumos!$D$1:$D$764),"")</f>
        <v>0.05</v>
      </c>
      <c r="H1903" s="177" cm="1">
        <f t="array" ref="H1903">_xlfn.IFS(B1903="Serviço",SUMIFS(H1904:$H$3085,C1904:$C$3085,$C1903),B1903="Insumo",F1903*G1903,B1903="Etapa","")</f>
        <v>0.1</v>
      </c>
      <c r="I1903" s="178"/>
    </row>
    <row r="1904" spans="1:9" hidden="1" outlineLevel="2" x14ac:dyDescent="0.25">
      <c r="A1904" s="175">
        <f t="shared" si="61"/>
        <v>71</v>
      </c>
      <c r="B1904" s="175" t="s">
        <v>327</v>
      </c>
      <c r="C1904" s="175" t="str">
        <f t="shared" si="62"/>
        <v>Revestimento em Cerâmicas Pisos Internos, 45x 45cm com Junta de 3mm</v>
      </c>
      <c r="D1904" s="175" t="s">
        <v>675</v>
      </c>
      <c r="E1904" s="176" t="str">
        <f>_xlfn.XLOOKUP(D1904,Insumos!$B$1:$B$764,Insumos!$C$1:$C$764)</f>
        <v>KG</v>
      </c>
      <c r="F1904" s="196">
        <v>0.02</v>
      </c>
      <c r="G1904" s="177">
        <f>IF(B1904="insumo",_xlfn.XLOOKUP($D1904,Insumos!$B$1:$B$764,Insumos!$D$1:$D$764),"")</f>
        <v>11.15</v>
      </c>
      <c r="H1904" s="177" cm="1">
        <f t="array" ref="H1904">_xlfn.IFS(B1904="Serviço",SUMIFS(H1905:$H$3085,C1905:$C$3085,$C1904),B1904="Insumo",F1904*G1904,B1904="Etapa","")</f>
        <v>0.223</v>
      </c>
      <c r="I1904" s="178"/>
    </row>
    <row r="1905" spans="1:9" outlineLevel="1" collapsed="1" x14ac:dyDescent="0.25">
      <c r="A1905" s="175">
        <f t="shared" si="61"/>
        <v>1</v>
      </c>
      <c r="B1905" s="175" t="s">
        <v>109</v>
      </c>
      <c r="C1905" s="175" t="str">
        <f t="shared" si="62"/>
        <v>Revestimento em Porcelanato Piso Externo, 60x 60cm com Junta de 3mm</v>
      </c>
      <c r="D1905" s="175" t="s">
        <v>783</v>
      </c>
      <c r="E1905" s="176" t="s">
        <v>13</v>
      </c>
      <c r="F1905" s="175"/>
      <c r="G1905" s="177" t="str">
        <f>IF(B1905="insumo",_xlfn.XLOOKUP($D1905,Insumos!$B$1:$B$764,Insumos!$D$1:$D$764),"")</f>
        <v/>
      </c>
      <c r="H1905" s="177" cm="1">
        <f t="array" ref="H1905">_xlfn.IFS(B1905="Serviço",SUMIFS(H1906:$H$3085,C1906:$C$3085,$C1905),B1905="Insumo",F1905*G1905,B1905="Etapa","")</f>
        <v>133.41700000000003</v>
      </c>
      <c r="I1905" s="178" t="s">
        <v>195</v>
      </c>
    </row>
    <row r="1906" spans="1:9" hidden="1" outlineLevel="2" x14ac:dyDescent="0.25">
      <c r="A1906" s="175">
        <f t="shared" si="61"/>
        <v>1</v>
      </c>
      <c r="B1906" s="175" t="s">
        <v>327</v>
      </c>
      <c r="C1906" s="175" t="str">
        <f t="shared" si="62"/>
        <v>Revestimento em Porcelanato Piso Externo, 60x 60cm com Junta de 3mm</v>
      </c>
      <c r="D1906" s="485" t="s">
        <v>784</v>
      </c>
      <c r="E1906" s="176" t="str">
        <f>_xlfn.XLOOKUP(D1906,Insumos!$B$1:$B$764,Insumos!$C$1:$C$764)</f>
        <v>M2</v>
      </c>
      <c r="F1906" s="196">
        <v>1.1000000000000001</v>
      </c>
      <c r="G1906" s="177">
        <f>IF(B1906="insumo",_xlfn.XLOOKUP($D1906,Insumos!$B$1:$B$764,Insumos!$D$1:$D$764),"")</f>
        <v>113.22</v>
      </c>
      <c r="H1906" s="177" cm="1">
        <f t="array" ref="H1906">_xlfn.IFS(B1906="Serviço",SUMIFS(H1907:$H$3085,C1907:$C$3085,$C1906),B1906="Insumo",F1906*G1906,B1906="Etapa","")</f>
        <v>124.54200000000002</v>
      </c>
      <c r="I1906" s="178"/>
    </row>
    <row r="1907" spans="1:9" hidden="1" outlineLevel="2" x14ac:dyDescent="0.25">
      <c r="A1907" s="175">
        <f t="shared" si="61"/>
        <v>11</v>
      </c>
      <c r="B1907" s="175" t="s">
        <v>327</v>
      </c>
      <c r="C1907" s="175" t="str">
        <f t="shared" si="62"/>
        <v>Revestimento em Porcelanato Piso Externo, 60x 60cm com Junta de 3mm</v>
      </c>
      <c r="D1907" s="175" t="s">
        <v>780</v>
      </c>
      <c r="E1907" s="176" t="str">
        <f>_xlfn.XLOOKUP(D1907,Insumos!$B$1:$B$764,Insumos!$C$1:$C$764)</f>
        <v>KG</v>
      </c>
      <c r="F1907" s="196">
        <v>8.8000000000000007</v>
      </c>
      <c r="G1907" s="177">
        <f>IF(B1907="insumo",_xlfn.XLOOKUP($D1907,Insumos!$B$1:$B$764,Insumos!$D$1:$D$764),"")</f>
        <v>0.97750000000000004</v>
      </c>
      <c r="H1907" s="177" cm="1">
        <f t="array" ref="H1907">_xlfn.IFS(B1907="Serviço",SUMIFS(H1908:$H$3085,C1908:$C$3085,$C1907),B1907="Insumo",F1907*G1907,B1907="Etapa","")</f>
        <v>8.6020000000000003</v>
      </c>
      <c r="I1907" s="178"/>
    </row>
    <row r="1908" spans="1:9" hidden="1" outlineLevel="2" x14ac:dyDescent="0.25">
      <c r="A1908" s="175">
        <f t="shared" si="61"/>
        <v>13</v>
      </c>
      <c r="B1908" s="175" t="s">
        <v>327</v>
      </c>
      <c r="C1908" s="175" t="str">
        <f t="shared" si="62"/>
        <v>Revestimento em Porcelanato Piso Externo, 60x 60cm com Junta de 3mm</v>
      </c>
      <c r="D1908" s="175" t="s">
        <v>680</v>
      </c>
      <c r="E1908" s="176" t="str">
        <f>_xlfn.XLOOKUP(D1908,Insumos!$B$1:$B$764,Insumos!$C$1:$C$764)</f>
        <v>UN</v>
      </c>
      <c r="F1908" s="196">
        <v>1</v>
      </c>
      <c r="G1908" s="177">
        <f>IF(B1908="insumo",_xlfn.XLOOKUP($D1908,Insumos!$B$1:$B$764,Insumos!$D$1:$D$764),"")</f>
        <v>0.05</v>
      </c>
      <c r="H1908" s="177" cm="1">
        <f t="array" ref="H1908">_xlfn.IFS(B1908="Serviço",SUMIFS(H1909:$H$3085,C1909:$C$3085,$C1908),B1908="Insumo",F1908*G1908,B1908="Etapa","")</f>
        <v>0.05</v>
      </c>
      <c r="I1908" s="178"/>
    </row>
    <row r="1909" spans="1:9" hidden="1" outlineLevel="2" x14ac:dyDescent="0.25">
      <c r="A1909" s="175">
        <f t="shared" si="61"/>
        <v>71</v>
      </c>
      <c r="B1909" s="175" t="s">
        <v>327</v>
      </c>
      <c r="C1909" s="175" t="str">
        <f t="shared" si="62"/>
        <v>Revestimento em Porcelanato Piso Externo, 60x 60cm com Junta de 3mm</v>
      </c>
      <c r="D1909" s="175" t="s">
        <v>675</v>
      </c>
      <c r="E1909" s="176" t="str">
        <f>_xlfn.XLOOKUP(D1909,Insumos!$B$1:$B$764,Insumos!$C$1:$C$764)</f>
        <v>KG</v>
      </c>
      <c r="F1909" s="196">
        <v>0.02</v>
      </c>
      <c r="G1909" s="177">
        <f>IF(B1909="insumo",_xlfn.XLOOKUP($D1909,Insumos!$B$1:$B$764,Insumos!$D$1:$D$764),"")</f>
        <v>11.15</v>
      </c>
      <c r="H1909" s="177" cm="1">
        <f t="array" ref="H1909">_xlfn.IFS(B1909="Serviço",SUMIFS(H1910:$H$3085,C1910:$C$3085,$C1909),B1909="Insumo",F1909*G1909,B1909="Etapa","")</f>
        <v>0.223</v>
      </c>
      <c r="I1909" s="178"/>
    </row>
    <row r="1910" spans="1:9" outlineLevel="1" collapsed="1" x14ac:dyDescent="0.25">
      <c r="A1910" s="175">
        <f t="shared" si="61"/>
        <v>1</v>
      </c>
      <c r="B1910" s="175" t="s">
        <v>109</v>
      </c>
      <c r="C1910" s="175" t="str">
        <f t="shared" si="62"/>
        <v>Revestimento em Pastilha vítrea decorada, padrão customizado, placa 30x30 cm</v>
      </c>
      <c r="D1910" s="175" t="s">
        <v>6883</v>
      </c>
      <c r="E1910" s="176" t="s">
        <v>13</v>
      </c>
      <c r="F1910" s="175"/>
      <c r="G1910" s="177" t="str">
        <f>IF(B1910="insumo",_xlfn.XLOOKUP($D1910,Insumos!$B$1:$B$764,Insumos!$D$1:$D$764),"")</f>
        <v/>
      </c>
      <c r="H1910" s="177" cm="1">
        <f t="array" ref="H1910">_xlfn.IFS(B1910="Serviço",SUMIFS(H1911:$H$3085,C1911:$C$3085,$C1910),B1910="Insumo",F1910*G1910,B1910="Etapa","")</f>
        <v>541.30849999999998</v>
      </c>
      <c r="I1910" s="178" t="s">
        <v>195</v>
      </c>
    </row>
    <row r="1911" spans="1:9" hidden="1" outlineLevel="2" x14ac:dyDescent="0.25">
      <c r="A1911" s="175">
        <f t="shared" si="61"/>
        <v>1</v>
      </c>
      <c r="B1911" s="175" t="s">
        <v>327</v>
      </c>
      <c r="C1911" s="175" t="str">
        <f t="shared" si="62"/>
        <v>Revestimento em Pastilha vítrea decorada, padrão customizado, placa 30x30 cm</v>
      </c>
      <c r="D1911" s="175" t="s">
        <v>6882</v>
      </c>
      <c r="E1911" s="176" t="str">
        <f>_xlfn.XLOOKUP(D1911,Insumos!$B$1:$B$764,Insumos!$C$1:$C$764)</f>
        <v>M2</v>
      </c>
      <c r="F1911" s="196">
        <v>1.1000000000000001</v>
      </c>
      <c r="G1911" s="177">
        <f>IF(B1911="insumo",_xlfn.XLOOKUP($D1911,Insumos!$B$1:$B$764,Insumos!$D$1:$D$764),"")</f>
        <v>480</v>
      </c>
      <c r="H1911" s="177" cm="1">
        <f t="array" ref="H1911">_xlfn.IFS(B1911="Serviço",SUMIFS(H1912:$H$3085,C1912:$C$3085,$C1911),B1911="Insumo",F1911*G1911,B1911="Etapa","")</f>
        <v>528</v>
      </c>
      <c r="I1911" s="178"/>
    </row>
    <row r="1912" spans="1:9" hidden="1" outlineLevel="2" x14ac:dyDescent="0.25">
      <c r="A1912" s="175">
        <f t="shared" si="61"/>
        <v>118</v>
      </c>
      <c r="B1912" s="175" t="s">
        <v>327</v>
      </c>
      <c r="C1912" s="175" t="str">
        <f t="shared" si="62"/>
        <v>Revestimento em Pastilha vítrea decorada, padrão customizado, placa 30x30 cm</v>
      </c>
      <c r="D1912" s="175" t="s">
        <v>654</v>
      </c>
      <c r="E1912" s="176" t="str">
        <f>_xlfn.XLOOKUP(D1912,Insumos!$B$1:$B$764,Insumos!$C$1:$C$764)</f>
        <v>KG</v>
      </c>
      <c r="F1912" s="196">
        <v>4.95</v>
      </c>
      <c r="G1912" s="177">
        <f>IF(B1912="insumo",_xlfn.XLOOKUP($D1912,Insumos!$B$1:$B$764,Insumos!$D$1:$D$764),"")</f>
        <v>2.5499999999999998</v>
      </c>
      <c r="H1912" s="177" cm="1">
        <f t="array" ref="H1912">_xlfn.IFS(B1912="Serviço",SUMIFS(H1913:$H$3085,C1913:$C$3085,$C1912),B1912="Insumo",F1912*G1912,B1912="Etapa","")</f>
        <v>12.622499999999999</v>
      </c>
      <c r="I1912" s="178"/>
    </row>
    <row r="1913" spans="1:9" hidden="1" outlineLevel="2" x14ac:dyDescent="0.25">
      <c r="A1913" s="175">
        <f t="shared" si="61"/>
        <v>78</v>
      </c>
      <c r="B1913" s="175" t="s">
        <v>327</v>
      </c>
      <c r="C1913" s="175" t="str">
        <f t="shared" si="62"/>
        <v>Revestimento em Pastilha vítrea decorada, padrão customizado, placa 30x30 cm</v>
      </c>
      <c r="D1913" s="175" t="s">
        <v>674</v>
      </c>
      <c r="E1913" s="176" t="str">
        <f>_xlfn.XLOOKUP(D1913,Insumos!$B$1:$B$764,Insumos!$C$1:$C$764)</f>
        <v>UN</v>
      </c>
      <c r="F1913" s="196">
        <v>3</v>
      </c>
      <c r="G1913" s="177">
        <f>IF(B1913="insumo",_xlfn.XLOOKUP($D1913,Insumos!$B$1:$B$764,Insumos!$D$1:$D$764),"")</f>
        <v>0.08</v>
      </c>
      <c r="H1913" s="177" cm="1">
        <f t="array" ref="H1913">_xlfn.IFS(B1913="Serviço",SUMIFS(H1914:$H$3085,C1914:$C$3085,$C1913),B1913="Insumo",F1913*G1913,B1913="Etapa","")</f>
        <v>0.24</v>
      </c>
      <c r="I1913" s="178"/>
    </row>
    <row r="1914" spans="1:9" hidden="1" outlineLevel="2" x14ac:dyDescent="0.25">
      <c r="A1914" s="175">
        <f t="shared" si="61"/>
        <v>71</v>
      </c>
      <c r="B1914" s="175" t="s">
        <v>327</v>
      </c>
      <c r="C1914" s="175" t="str">
        <f t="shared" si="62"/>
        <v>Revestimento em Pastilha vítrea decorada, padrão customizado, placa 30x30 cm</v>
      </c>
      <c r="D1914" s="175" t="s">
        <v>675</v>
      </c>
      <c r="E1914" s="176" t="str">
        <f>_xlfn.XLOOKUP(D1914,Insumos!$B$1:$B$764,Insumos!$C$1:$C$764)</f>
        <v>KG</v>
      </c>
      <c r="F1914" s="196">
        <v>0.04</v>
      </c>
      <c r="G1914" s="177">
        <f>IF(B1914="insumo",_xlfn.XLOOKUP($D1914,Insumos!$B$1:$B$764,Insumos!$D$1:$D$764),"")</f>
        <v>11.15</v>
      </c>
      <c r="H1914" s="177" cm="1">
        <f t="array" ref="H1914">_xlfn.IFS(B1914="Serviço",SUMIFS(H1915:$H$3085,C1915:$C$3085,$C1914),B1914="Insumo",F1914*G1914,B1914="Etapa","")</f>
        <v>0.44600000000000001</v>
      </c>
      <c r="I1914" s="178"/>
    </row>
    <row r="1915" spans="1:9" outlineLevel="1" collapsed="1" x14ac:dyDescent="0.25">
      <c r="A1915" s="175">
        <f t="shared" si="61"/>
        <v>1</v>
      </c>
      <c r="B1915" s="175" t="s">
        <v>109</v>
      </c>
      <c r="C1915" s="175" t="str">
        <f t="shared" si="62"/>
        <v xml:space="preserve">Revestimento em Pastilhas Cerâmicas Para Piscinas , 20 x 20cm com Junta de 2mm </v>
      </c>
      <c r="D1915" s="175" t="s">
        <v>785</v>
      </c>
      <c r="E1915" s="176" t="s">
        <v>13</v>
      </c>
      <c r="F1915" s="175"/>
      <c r="G1915" s="177" t="str">
        <f>IF(B1915="insumo",_xlfn.XLOOKUP($D1915,Insumos!$B$1:$B$764,Insumos!$D$1:$D$764),"")</f>
        <v/>
      </c>
      <c r="H1915" s="177" cm="1">
        <f t="array" ref="H1915">_xlfn.IFS(B1915="Serviço",SUMIFS(H1916:$H$3085,C1916:$C$3085,$C1915),B1915="Insumo",F1915*G1915,B1915="Etapa","")</f>
        <v>214.0035</v>
      </c>
      <c r="I1915" s="178" t="s">
        <v>195</v>
      </c>
    </row>
    <row r="1916" spans="1:9" hidden="1" outlineLevel="2" x14ac:dyDescent="0.25">
      <c r="A1916" s="175">
        <f t="shared" si="61"/>
        <v>1</v>
      </c>
      <c r="B1916" s="175" t="s">
        <v>327</v>
      </c>
      <c r="C1916" s="175" t="str">
        <f t="shared" si="62"/>
        <v xml:space="preserve">Revestimento em Pastilhas Cerâmicas Para Piscinas , 20 x 20cm com Junta de 2mm </v>
      </c>
      <c r="D1916" s="175" t="s">
        <v>786</v>
      </c>
      <c r="E1916" s="176" t="str">
        <f>_xlfn.XLOOKUP(D1916,Insumos!$B$1:$B$764,Insumos!$C$1:$C$764)</f>
        <v>M2</v>
      </c>
      <c r="F1916" s="196">
        <v>1.1000000000000001</v>
      </c>
      <c r="G1916" s="177">
        <f>IF(B1916="insumo",_xlfn.XLOOKUP($D1916,Insumos!$B$1:$B$764,Insumos!$D$1:$D$764),"")</f>
        <v>182.45</v>
      </c>
      <c r="H1916" s="177" cm="1">
        <f t="array" ref="H1916">_xlfn.IFS(B1916="Serviço",SUMIFS(H1917:$H$3085,C1917:$C$3085,$C1916),B1916="Insumo",F1916*G1916,B1916="Etapa","")</f>
        <v>200.69499999999999</v>
      </c>
      <c r="I1916" s="178"/>
    </row>
    <row r="1917" spans="1:9" hidden="1" outlineLevel="2" x14ac:dyDescent="0.25">
      <c r="A1917" s="175">
        <f t="shared" si="61"/>
        <v>118</v>
      </c>
      <c r="B1917" s="175" t="s">
        <v>327</v>
      </c>
      <c r="C1917" s="175" t="str">
        <f t="shared" si="62"/>
        <v xml:space="preserve">Revestimento em Pastilhas Cerâmicas Para Piscinas , 20 x 20cm com Junta de 2mm </v>
      </c>
      <c r="D1917" s="175" t="s">
        <v>654</v>
      </c>
      <c r="E1917" s="176" t="str">
        <f>_xlfn.XLOOKUP(D1917,Insumos!$B$1:$B$764,Insumos!$C$1:$C$764)</f>
        <v>KG</v>
      </c>
      <c r="F1917" s="196">
        <v>4.95</v>
      </c>
      <c r="G1917" s="177">
        <f>IF(B1917="insumo",_xlfn.XLOOKUP($D1917,Insumos!$B$1:$B$764,Insumos!$D$1:$D$764),"")</f>
        <v>2.5499999999999998</v>
      </c>
      <c r="H1917" s="177" cm="1">
        <f t="array" ref="H1917">_xlfn.IFS(B1917="Serviço",SUMIFS(H1918:$H$3085,C1918:$C$3085,$C1917),B1917="Insumo",F1917*G1917,B1917="Etapa","")</f>
        <v>12.622499999999999</v>
      </c>
      <c r="I1917" s="178"/>
    </row>
    <row r="1918" spans="1:9" hidden="1" outlineLevel="2" x14ac:dyDescent="0.25">
      <c r="A1918" s="175">
        <f t="shared" si="61"/>
        <v>78</v>
      </c>
      <c r="B1918" s="175" t="s">
        <v>327</v>
      </c>
      <c r="C1918" s="175" t="str">
        <f t="shared" si="62"/>
        <v xml:space="preserve">Revestimento em Pastilhas Cerâmicas Para Piscinas , 20 x 20cm com Junta de 2mm </v>
      </c>
      <c r="D1918" s="175" t="s">
        <v>674</v>
      </c>
      <c r="E1918" s="176" t="str">
        <f>_xlfn.XLOOKUP(D1918,Insumos!$B$1:$B$764,Insumos!$C$1:$C$764)</f>
        <v>UN</v>
      </c>
      <c r="F1918" s="196">
        <v>3</v>
      </c>
      <c r="G1918" s="177">
        <f>IF(B1918="insumo",_xlfn.XLOOKUP($D1918,Insumos!$B$1:$B$764,Insumos!$D$1:$D$764),"")</f>
        <v>0.08</v>
      </c>
      <c r="H1918" s="177" cm="1">
        <f t="array" ref="H1918">_xlfn.IFS(B1918="Serviço",SUMIFS(H1919:$H$3085,C1919:$C$3085,$C1918),B1918="Insumo",F1918*G1918,B1918="Etapa","")</f>
        <v>0.24</v>
      </c>
      <c r="I1918" s="178"/>
    </row>
    <row r="1919" spans="1:9" hidden="1" outlineLevel="2" x14ac:dyDescent="0.25">
      <c r="A1919" s="175">
        <f t="shared" si="61"/>
        <v>71</v>
      </c>
      <c r="B1919" s="175" t="s">
        <v>327</v>
      </c>
      <c r="C1919" s="175" t="str">
        <f t="shared" si="62"/>
        <v xml:space="preserve">Revestimento em Pastilhas Cerâmicas Para Piscinas , 20 x 20cm com Junta de 2mm </v>
      </c>
      <c r="D1919" s="175" t="s">
        <v>675</v>
      </c>
      <c r="E1919" s="176" t="str">
        <f>_xlfn.XLOOKUP(D1919,Insumos!$B$1:$B$764,Insumos!$C$1:$C$764)</f>
        <v>KG</v>
      </c>
      <c r="F1919" s="196">
        <v>0.04</v>
      </c>
      <c r="G1919" s="177">
        <f>IF(B1919="insumo",_xlfn.XLOOKUP($D1919,Insumos!$B$1:$B$764,Insumos!$D$1:$D$764),"")</f>
        <v>11.15</v>
      </c>
      <c r="H1919" s="177" cm="1">
        <f t="array" ref="H1919">_xlfn.IFS(B1919="Serviço",SUMIFS(H1920:$H$3085,C1920:$C$3085,$C1919),B1919="Insumo",F1919*G1919,B1919="Etapa","")</f>
        <v>0.44600000000000001</v>
      </c>
      <c r="I1919" s="178"/>
    </row>
    <row r="1920" spans="1:9" outlineLevel="1" collapsed="1" x14ac:dyDescent="0.25">
      <c r="A1920" s="175">
        <f t="shared" si="61"/>
        <v>1</v>
      </c>
      <c r="B1920" s="175" t="s">
        <v>109</v>
      </c>
      <c r="C1920" s="175" t="str">
        <f t="shared" si="62"/>
        <v>Revestimento em Porcelanato Piso Interno,ELIANE 60X60 BOLD ACETINADO BLEND PLUS GREY, com Junta de 3mm</v>
      </c>
      <c r="D1920" s="175" t="s">
        <v>1254</v>
      </c>
      <c r="E1920" s="176" t="s">
        <v>13</v>
      </c>
      <c r="F1920" s="175"/>
      <c r="G1920" s="197" t="str">
        <f>IF(B1920="insumo",_xlfn.XLOOKUP($D1920,Insumos!$B$1:$B$764,Insumos!$D$1:$D$764),"")</f>
        <v/>
      </c>
      <c r="H1920" s="177" cm="1">
        <f t="array" ref="H1920">_xlfn.IFS(B1920="Serviço",SUMIFS(H1921:$H$3085,C1921:$C$3085,$C1920),B1920="Insumo",F1920*G1920,B1920="Etapa","")</f>
        <v>127.56500000000001</v>
      </c>
      <c r="I1920" s="178" t="s">
        <v>195</v>
      </c>
    </row>
    <row r="1921" spans="1:9" hidden="1" outlineLevel="2" x14ac:dyDescent="0.25">
      <c r="A1921" s="175">
        <f t="shared" si="61"/>
        <v>2</v>
      </c>
      <c r="B1921" s="175" t="s">
        <v>327</v>
      </c>
      <c r="C1921" s="175" t="str">
        <f t="shared" si="62"/>
        <v>Revestimento em Porcelanato Piso Interno,ELIANE 60X60 BOLD ACETINADO BLEND PLUS GREY, com Junta de 3mm</v>
      </c>
      <c r="D1921" s="175" t="s">
        <v>1217</v>
      </c>
      <c r="E1921" s="176" t="str">
        <f>_xlfn.XLOOKUP(D1921,Insumos!$B$1:$B$764,Insumos!$C$1:$C$764)</f>
        <v>M2</v>
      </c>
      <c r="F1921" s="196">
        <v>1.1000000000000001</v>
      </c>
      <c r="G1921" s="197">
        <f>IF(B1921="insumo",_xlfn.XLOOKUP($D1921,Insumos!$B$1:$B$764,Insumos!$D$1:$D$764),"")</f>
        <v>107.9</v>
      </c>
      <c r="H1921" s="177" cm="1">
        <f t="array" ref="H1921">_xlfn.IFS(B1921="Serviço",SUMIFS(H1922:$H$3085,C1922:$C$3085,$C1921),B1921="Insumo",F1921*G1921,B1921="Etapa","")</f>
        <v>118.69000000000001</v>
      </c>
      <c r="I1921" s="178"/>
    </row>
    <row r="1922" spans="1:9" hidden="1" outlineLevel="2" x14ac:dyDescent="0.25">
      <c r="A1922" s="175">
        <f t="shared" ref="A1922:A1985" si="63">COUNTIFS($D$2:$D$3085,D1922,$B$2:$B$3085,B1922)</f>
        <v>11</v>
      </c>
      <c r="B1922" s="175" t="s">
        <v>327</v>
      </c>
      <c r="C1922" s="175" t="str">
        <f t="shared" si="62"/>
        <v>Revestimento em Porcelanato Piso Interno,ELIANE 60X60 BOLD ACETINADO BLEND PLUS GREY, com Junta de 3mm</v>
      </c>
      <c r="D1922" s="175" t="s">
        <v>780</v>
      </c>
      <c r="E1922" s="176" t="str">
        <f>_xlfn.XLOOKUP(D1922,Insumos!$B$1:$B$764,Insumos!$C$1:$C$764)</f>
        <v>KG</v>
      </c>
      <c r="F1922" s="196">
        <v>8.8000000000000007</v>
      </c>
      <c r="G1922" s="197">
        <f>IF(B1922="insumo",_xlfn.XLOOKUP($D1922,Insumos!$B$1:$B$764,Insumos!$D$1:$D$764),"")</f>
        <v>0.97750000000000004</v>
      </c>
      <c r="H1922" s="177" cm="1">
        <f t="array" ref="H1922">_xlfn.IFS(B1922="Serviço",SUMIFS(H1923:$H$3085,C1923:$C$3085,$C1922),B1922="Insumo",F1922*G1922,B1922="Etapa","")</f>
        <v>8.6020000000000003</v>
      </c>
      <c r="I1922" s="178"/>
    </row>
    <row r="1923" spans="1:9" hidden="1" outlineLevel="2" x14ac:dyDescent="0.25">
      <c r="A1923" s="175">
        <f t="shared" si="63"/>
        <v>13</v>
      </c>
      <c r="B1923" s="175" t="s">
        <v>327</v>
      </c>
      <c r="C1923" s="175" t="str">
        <f t="shared" si="62"/>
        <v>Revestimento em Porcelanato Piso Interno,ELIANE 60X60 BOLD ACETINADO BLEND PLUS GREY, com Junta de 3mm</v>
      </c>
      <c r="D1923" s="175" t="s">
        <v>680</v>
      </c>
      <c r="E1923" s="176" t="str">
        <f>_xlfn.XLOOKUP(D1923,Insumos!$B$1:$B$764,Insumos!$C$1:$C$764)</f>
        <v>UN</v>
      </c>
      <c r="F1923" s="196">
        <v>1</v>
      </c>
      <c r="G1923" s="197">
        <f>IF(B1923="insumo",_xlfn.XLOOKUP($D1923,Insumos!$B$1:$B$764,Insumos!$D$1:$D$764),"")</f>
        <v>0.05</v>
      </c>
      <c r="H1923" s="177" cm="1">
        <f t="array" ref="H1923">_xlfn.IFS(B1923="Serviço",SUMIFS(H1924:$H$3085,C1924:$C$3085,$C1923),B1923="Insumo",F1923*G1923,B1923="Etapa","")</f>
        <v>0.05</v>
      </c>
      <c r="I1923" s="178"/>
    </row>
    <row r="1924" spans="1:9" hidden="1" outlineLevel="2" x14ac:dyDescent="0.25">
      <c r="A1924" s="175">
        <f t="shared" si="63"/>
        <v>71</v>
      </c>
      <c r="B1924" s="175" t="s">
        <v>327</v>
      </c>
      <c r="C1924" s="175" t="str">
        <f t="shared" si="62"/>
        <v>Revestimento em Porcelanato Piso Interno,ELIANE 60X60 BOLD ACETINADO BLEND PLUS GREY, com Junta de 3mm</v>
      </c>
      <c r="D1924" s="175" t="s">
        <v>675</v>
      </c>
      <c r="E1924" s="176" t="str">
        <f>_xlfn.XLOOKUP(D1924,Insumos!$B$1:$B$764,Insumos!$C$1:$C$764)</f>
        <v>KG</v>
      </c>
      <c r="F1924" s="196">
        <v>0.02</v>
      </c>
      <c r="G1924" s="197">
        <f>IF(B1924="insumo",_xlfn.XLOOKUP($D1924,Insumos!$B$1:$B$764,Insumos!$D$1:$D$764),"")</f>
        <v>11.15</v>
      </c>
      <c r="H1924" s="177" cm="1">
        <f t="array" ref="H1924">_xlfn.IFS(B1924="Serviço",SUMIFS(H1925:$H$3085,C1925:$C$3085,$C1924),B1924="Insumo",F1924*G1924,B1924="Etapa","")</f>
        <v>0.223</v>
      </c>
      <c r="I1924" s="178"/>
    </row>
    <row r="1925" spans="1:9" outlineLevel="1" collapsed="1" x14ac:dyDescent="0.25">
      <c r="A1925" s="175">
        <f t="shared" si="63"/>
        <v>1</v>
      </c>
      <c r="B1925" s="175" t="s">
        <v>109</v>
      </c>
      <c r="C1925" s="175" t="str">
        <f t="shared" si="62"/>
        <v>Revestimento em Porcelanato Piso Externo,ELIANE 60X60 BOLD ACETINADO BLEND PLUS GREY, com Junta de 3mm</v>
      </c>
      <c r="D1925" s="175" t="s">
        <v>1255</v>
      </c>
      <c r="E1925" s="176" t="s">
        <v>13</v>
      </c>
      <c r="F1925" s="175"/>
      <c r="G1925" s="197" t="str">
        <f>IF(B1925="insumo",_xlfn.XLOOKUP($D1925,Insumos!$B$1:$B$764,Insumos!$D$1:$D$764),"")</f>
        <v/>
      </c>
      <c r="H1925" s="177" cm="1">
        <f t="array" ref="H1925">_xlfn.IFS(B1925="Serviço",SUMIFS(H1926:$H$3085,C1926:$C$3085,$C1925),B1925="Insumo",F1925*G1925,B1925="Etapa","")</f>
        <v>127.56500000000001</v>
      </c>
      <c r="I1925" s="178" t="s">
        <v>195</v>
      </c>
    </row>
    <row r="1926" spans="1:9" hidden="1" outlineLevel="2" x14ac:dyDescent="0.25">
      <c r="A1926" s="175">
        <f t="shared" si="63"/>
        <v>2</v>
      </c>
      <c r="B1926" s="175" t="s">
        <v>327</v>
      </c>
      <c r="C1926" s="175" t="str">
        <f t="shared" si="62"/>
        <v>Revestimento em Porcelanato Piso Externo,ELIANE 60X60 BOLD ACETINADO BLEND PLUS GREY, com Junta de 3mm</v>
      </c>
      <c r="D1926" s="175" t="s">
        <v>1217</v>
      </c>
      <c r="E1926" s="176" t="str">
        <f>_xlfn.XLOOKUP(D1926,Insumos!$B$1:$B$764,Insumos!$C$1:$C$764)</f>
        <v>M2</v>
      </c>
      <c r="F1926" s="196">
        <v>1.1000000000000001</v>
      </c>
      <c r="G1926" s="197">
        <f>IF(B1926="insumo",_xlfn.XLOOKUP($D1926,Insumos!$B$1:$B$764,Insumos!$D$1:$D$764),"")</f>
        <v>107.9</v>
      </c>
      <c r="H1926" s="177" cm="1">
        <f t="array" ref="H1926">_xlfn.IFS(B1926="Serviço",SUMIFS(H1927:$H$3085,C1927:$C$3085,$C1926),B1926="Insumo",F1926*G1926,B1926="Etapa","")</f>
        <v>118.69000000000001</v>
      </c>
      <c r="I1926" s="178"/>
    </row>
    <row r="1927" spans="1:9" hidden="1" outlineLevel="2" x14ac:dyDescent="0.25">
      <c r="A1927" s="175">
        <f t="shared" si="63"/>
        <v>11</v>
      </c>
      <c r="B1927" s="175" t="s">
        <v>327</v>
      </c>
      <c r="C1927" s="175" t="str">
        <f t="shared" si="62"/>
        <v>Revestimento em Porcelanato Piso Externo,ELIANE 60X60 BOLD ACETINADO BLEND PLUS GREY, com Junta de 3mm</v>
      </c>
      <c r="D1927" s="175" t="s">
        <v>780</v>
      </c>
      <c r="E1927" s="176" t="str">
        <f>_xlfn.XLOOKUP(D1927,Insumos!$B$1:$B$764,Insumos!$C$1:$C$764)</f>
        <v>KG</v>
      </c>
      <c r="F1927" s="196">
        <v>8.8000000000000007</v>
      </c>
      <c r="G1927" s="197">
        <f>IF(B1927="insumo",_xlfn.XLOOKUP($D1927,Insumos!$B$1:$B$764,Insumos!$D$1:$D$764),"")</f>
        <v>0.97750000000000004</v>
      </c>
      <c r="H1927" s="177" cm="1">
        <f t="array" ref="H1927">_xlfn.IFS(B1927="Serviço",SUMIFS(H1928:$H$3085,C1928:$C$3085,$C1927),B1927="Insumo",F1927*G1927,B1927="Etapa","")</f>
        <v>8.6020000000000003</v>
      </c>
      <c r="I1927" s="178"/>
    </row>
    <row r="1928" spans="1:9" hidden="1" outlineLevel="2" x14ac:dyDescent="0.25">
      <c r="A1928" s="175">
        <f t="shared" si="63"/>
        <v>13</v>
      </c>
      <c r="B1928" s="175" t="s">
        <v>327</v>
      </c>
      <c r="C1928" s="175" t="str">
        <f t="shared" si="62"/>
        <v>Revestimento em Porcelanato Piso Externo,ELIANE 60X60 BOLD ACETINADO BLEND PLUS GREY, com Junta de 3mm</v>
      </c>
      <c r="D1928" s="175" t="s">
        <v>680</v>
      </c>
      <c r="E1928" s="176" t="str">
        <f>_xlfn.XLOOKUP(D1928,Insumos!$B$1:$B$764,Insumos!$C$1:$C$764)</f>
        <v>UN</v>
      </c>
      <c r="F1928" s="196">
        <v>1</v>
      </c>
      <c r="G1928" s="197">
        <f>IF(B1928="insumo",_xlfn.XLOOKUP($D1928,Insumos!$B$1:$B$764,Insumos!$D$1:$D$764),"")</f>
        <v>0.05</v>
      </c>
      <c r="H1928" s="177" cm="1">
        <f t="array" ref="H1928">_xlfn.IFS(B1928="Serviço",SUMIFS(H1929:$H$3085,C1929:$C$3085,$C1928),B1928="Insumo",F1928*G1928,B1928="Etapa","")</f>
        <v>0.05</v>
      </c>
      <c r="I1928" s="178"/>
    </row>
    <row r="1929" spans="1:9" hidden="1" outlineLevel="2" x14ac:dyDescent="0.25">
      <c r="A1929" s="175">
        <f t="shared" si="63"/>
        <v>71</v>
      </c>
      <c r="B1929" s="175" t="s">
        <v>327</v>
      </c>
      <c r="C1929" s="175" t="str">
        <f t="shared" si="62"/>
        <v>Revestimento em Porcelanato Piso Externo,ELIANE 60X60 BOLD ACETINADO BLEND PLUS GREY, com Junta de 3mm</v>
      </c>
      <c r="D1929" s="175" t="s">
        <v>675</v>
      </c>
      <c r="E1929" s="176" t="str">
        <f>_xlfn.XLOOKUP(D1929,Insumos!$B$1:$B$764,Insumos!$C$1:$C$764)</f>
        <v>KG</v>
      </c>
      <c r="F1929" s="196">
        <v>0.02</v>
      </c>
      <c r="G1929" s="197">
        <f>IF(B1929="insumo",_xlfn.XLOOKUP($D1929,Insumos!$B$1:$B$764,Insumos!$D$1:$D$764),"")</f>
        <v>11.15</v>
      </c>
      <c r="H1929" s="177" cm="1">
        <f t="array" ref="H1929">_xlfn.IFS(B1929="Serviço",SUMIFS(H1930:$H$3085,C1930:$C$3085,$C1929),B1929="Insumo",F1929*G1929,B1929="Etapa","")</f>
        <v>0.223</v>
      </c>
      <c r="I1929" s="178"/>
    </row>
    <row r="1930" spans="1:9" outlineLevel="1" collapsed="1" x14ac:dyDescent="0.25">
      <c r="A1930" s="175">
        <f t="shared" si="63"/>
        <v>1</v>
      </c>
      <c r="B1930" s="175" t="s">
        <v>109</v>
      </c>
      <c r="C1930" s="175" t="str">
        <f t="shared" si="62"/>
        <v>Revestimento de Piso Externo PORCELANATO VILLAGRES 71X71 RETIFICADO ACETINADO MONTREAL FENDI</v>
      </c>
      <c r="D1930" s="175" t="s">
        <v>1256</v>
      </c>
      <c r="E1930" s="176" t="s">
        <v>13</v>
      </c>
      <c r="F1930" s="175"/>
      <c r="G1930" s="197" t="str">
        <f>IF(B1930="insumo",_xlfn.XLOOKUP($D1930,Insumos!$B$1:$B$764,Insumos!$D$1:$D$764),"")</f>
        <v/>
      </c>
      <c r="H1930" s="177" cm="1">
        <f t="array" ref="H1930">_xlfn.IFS(B1930="Serviço",SUMIFS(H1931:$H$3085,C1931:$C$3085,$C1930),B1930="Insumo",F1930*G1930,B1930="Etapa","")</f>
        <v>106.56150000000001</v>
      </c>
      <c r="I1930" s="178" t="s">
        <v>195</v>
      </c>
    </row>
    <row r="1931" spans="1:9" hidden="1" outlineLevel="2" x14ac:dyDescent="0.25">
      <c r="A1931" s="175">
        <f t="shared" si="63"/>
        <v>1</v>
      </c>
      <c r="B1931" s="175" t="s">
        <v>327</v>
      </c>
      <c r="C1931" s="175" t="str">
        <f t="shared" si="62"/>
        <v>Revestimento de Piso Externo PORCELANATO VILLAGRES 71X71 RETIFICADO ACETINADO MONTREAL FENDI</v>
      </c>
      <c r="D1931" s="175" t="s">
        <v>1208</v>
      </c>
      <c r="E1931" s="176" t="str">
        <f>_xlfn.XLOOKUP(D1931,Insumos!$B$1:$B$764,Insumos!$C$1:$C$764)</f>
        <v>M2</v>
      </c>
      <c r="F1931" s="196">
        <v>1.1000000000000001</v>
      </c>
      <c r="G1931" s="197">
        <f>IF(B1931="insumo",_xlfn.XLOOKUP($D1931,Insumos!$B$1:$B$764,Insumos!$D$1:$D$764),"")</f>
        <v>76.3</v>
      </c>
      <c r="H1931" s="177" cm="1">
        <f t="array" ref="H1931">_xlfn.IFS(B1931="Serviço",SUMIFS(H1932:$H$3085,C1932:$C$3085,$C1931),B1931="Insumo",F1931*G1931,B1931="Etapa","")</f>
        <v>83.93</v>
      </c>
      <c r="I1931" s="178"/>
    </row>
    <row r="1932" spans="1:9" hidden="1" outlineLevel="2" x14ac:dyDescent="0.25">
      <c r="A1932" s="175">
        <f t="shared" si="63"/>
        <v>118</v>
      </c>
      <c r="B1932" s="175" t="s">
        <v>327</v>
      </c>
      <c r="C1932" s="175" t="str">
        <f t="shared" si="62"/>
        <v>Revestimento de Piso Externo PORCELANATO VILLAGRES 71X71 RETIFICADO ACETINADO MONTREAL FENDI</v>
      </c>
      <c r="D1932" s="175" t="s">
        <v>654</v>
      </c>
      <c r="E1932" s="176" t="str">
        <f>_xlfn.XLOOKUP(D1932,Insumos!$B$1:$B$764,Insumos!$C$1:$C$764)</f>
        <v>KG</v>
      </c>
      <c r="F1932" s="196">
        <v>8.8000000000000007</v>
      </c>
      <c r="G1932" s="197">
        <f>IF(B1932="insumo",_xlfn.XLOOKUP($D1932,Insumos!$B$1:$B$764,Insumos!$D$1:$D$764),"")</f>
        <v>2.5499999999999998</v>
      </c>
      <c r="H1932" s="177" cm="1">
        <f t="array" ref="H1932">_xlfn.IFS(B1932="Serviço",SUMIFS(H1933:$H$3085,C1933:$C$3085,$C1932),B1932="Insumo",F1932*G1932,B1932="Etapa","")</f>
        <v>22.44</v>
      </c>
      <c r="I1932" s="178"/>
    </row>
    <row r="1933" spans="1:9" hidden="1" outlineLevel="2" x14ac:dyDescent="0.25">
      <c r="A1933" s="175">
        <f t="shared" si="63"/>
        <v>78</v>
      </c>
      <c r="B1933" s="175" t="s">
        <v>327</v>
      </c>
      <c r="C1933" s="175" t="str">
        <f t="shared" si="62"/>
        <v>Revestimento de Piso Externo PORCELANATO VILLAGRES 71X71 RETIFICADO ACETINADO MONTREAL FENDI</v>
      </c>
      <c r="D1933" s="175" t="s">
        <v>674</v>
      </c>
      <c r="E1933" s="176" t="str">
        <f>_xlfn.XLOOKUP(D1933,Insumos!$B$1:$B$764,Insumos!$C$1:$C$764)</f>
        <v>UN</v>
      </c>
      <c r="F1933" s="196">
        <v>1</v>
      </c>
      <c r="G1933" s="197">
        <f>IF(B1933="insumo",_xlfn.XLOOKUP($D1933,Insumos!$B$1:$B$764,Insumos!$D$1:$D$764),"")</f>
        <v>0.08</v>
      </c>
      <c r="H1933" s="177" cm="1">
        <f t="array" ref="H1933">_xlfn.IFS(B1933="Serviço",SUMIFS(H1934:$H$3085,C1934:$C$3085,$C1933),B1933="Insumo",F1933*G1933,B1933="Etapa","")</f>
        <v>0.08</v>
      </c>
      <c r="I1933" s="178"/>
    </row>
    <row r="1934" spans="1:9" hidden="1" outlineLevel="2" x14ac:dyDescent="0.25">
      <c r="A1934" s="175">
        <f t="shared" si="63"/>
        <v>71</v>
      </c>
      <c r="B1934" s="175" t="s">
        <v>327</v>
      </c>
      <c r="C1934" s="175" t="str">
        <f t="shared" si="62"/>
        <v>Revestimento de Piso Externo PORCELANATO VILLAGRES 71X71 RETIFICADO ACETINADO MONTREAL FENDI</v>
      </c>
      <c r="D1934" s="175" t="s">
        <v>675</v>
      </c>
      <c r="E1934" s="176" t="str">
        <f>_xlfn.XLOOKUP(D1934,Insumos!$B$1:$B$764,Insumos!$C$1:$C$764)</f>
        <v>KG</v>
      </c>
      <c r="F1934" s="196">
        <v>0.01</v>
      </c>
      <c r="G1934" s="197">
        <f>IF(B1934="insumo",_xlfn.XLOOKUP($D1934,Insumos!$B$1:$B$764,Insumos!$D$1:$D$764),"")</f>
        <v>11.15</v>
      </c>
      <c r="H1934" s="177" cm="1">
        <f t="array" ref="H1934">_xlfn.IFS(B1934="Serviço",SUMIFS(H1935:$H$3085,C1935:$C$3085,$C1934),B1934="Insumo",F1934*G1934,B1934="Etapa","")</f>
        <v>0.1115</v>
      </c>
      <c r="I1934" s="178"/>
    </row>
    <row r="1935" spans="1:9" outlineLevel="1" collapsed="1" x14ac:dyDescent="0.25">
      <c r="A1935" s="175">
        <f t="shared" si="63"/>
        <v>1</v>
      </c>
      <c r="B1935" s="175" t="s">
        <v>109</v>
      </c>
      <c r="C1935" s="175" t="str">
        <f t="shared" si="62"/>
        <v>Revestimento de Piso Externo PORCELANATO DELTA 73X73 RETIFICADO ACETINADO JUA CLARO 2280-A</v>
      </c>
      <c r="D1935" s="175" t="s">
        <v>1257</v>
      </c>
      <c r="E1935" s="176" t="s">
        <v>13</v>
      </c>
      <c r="F1935" s="175"/>
      <c r="G1935" s="197" t="str">
        <f>IF(B1935="insumo",_xlfn.XLOOKUP($D1935,Insumos!$B$1:$B$764,Insumos!$D$1:$D$764),"")</f>
        <v/>
      </c>
      <c r="H1935" s="177" cm="1">
        <f t="array" ref="H1935">_xlfn.IFS(B1935="Serviço",SUMIFS(H1936:$H$3085,C1936:$C$3085,$C1935),B1935="Insumo",F1935*G1935,B1935="Etapa","")</f>
        <v>98.421500000000009</v>
      </c>
      <c r="I1935" s="178" t="s">
        <v>195</v>
      </c>
    </row>
    <row r="1936" spans="1:9" hidden="1" outlineLevel="2" x14ac:dyDescent="0.25">
      <c r="A1936" s="175">
        <f t="shared" si="63"/>
        <v>1</v>
      </c>
      <c r="B1936" s="175" t="s">
        <v>327</v>
      </c>
      <c r="C1936" s="175" t="str">
        <f t="shared" si="62"/>
        <v>Revestimento de Piso Externo PORCELANATO DELTA 73X73 RETIFICADO ACETINADO JUA CLARO 2280-A</v>
      </c>
      <c r="D1936" s="175" t="s">
        <v>1205</v>
      </c>
      <c r="E1936" s="176" t="str">
        <f>_xlfn.XLOOKUP(D1936,Insumos!$B$1:$B$764,Insumos!$C$1:$C$764)</f>
        <v>M2</v>
      </c>
      <c r="F1936" s="196">
        <v>1.1000000000000001</v>
      </c>
      <c r="G1936" s="197">
        <f>IF(B1936="insumo",_xlfn.XLOOKUP($D1936,Insumos!$B$1:$B$764,Insumos!$D$1:$D$764),"")</f>
        <v>68.900000000000006</v>
      </c>
      <c r="H1936" s="177" cm="1">
        <f t="array" ref="H1936">_xlfn.IFS(B1936="Serviço",SUMIFS(H1937:$H$3085,C1937:$C$3085,$C1936),B1936="Insumo",F1936*G1936,B1936="Etapa","")</f>
        <v>75.790000000000006</v>
      </c>
      <c r="I1936" s="178"/>
    </row>
    <row r="1937" spans="1:10" hidden="1" outlineLevel="2" x14ac:dyDescent="0.25">
      <c r="A1937" s="175">
        <f t="shared" si="63"/>
        <v>118</v>
      </c>
      <c r="B1937" s="175" t="s">
        <v>327</v>
      </c>
      <c r="C1937" s="175" t="str">
        <f t="shared" si="62"/>
        <v>Revestimento de Piso Externo PORCELANATO DELTA 73X73 RETIFICADO ACETINADO JUA CLARO 2280-A</v>
      </c>
      <c r="D1937" s="175" t="s">
        <v>654</v>
      </c>
      <c r="E1937" s="176" t="str">
        <f>_xlfn.XLOOKUP(D1937,Insumos!$B$1:$B$764,Insumos!$C$1:$C$764)</f>
        <v>KG</v>
      </c>
      <c r="F1937" s="196">
        <v>8.8000000000000007</v>
      </c>
      <c r="G1937" s="197">
        <f>IF(B1937="insumo",_xlfn.XLOOKUP($D1937,Insumos!$B$1:$B$764,Insumos!$D$1:$D$764),"")</f>
        <v>2.5499999999999998</v>
      </c>
      <c r="H1937" s="177" cm="1">
        <f t="array" ref="H1937">_xlfn.IFS(B1937="Serviço",SUMIFS(H1938:$H$3085,C1938:$C$3085,$C1937),B1937="Insumo",F1937*G1937,B1937="Etapa","")</f>
        <v>22.44</v>
      </c>
      <c r="I1937" s="178"/>
    </row>
    <row r="1938" spans="1:10" hidden="1" outlineLevel="2" x14ac:dyDescent="0.25">
      <c r="A1938" s="175">
        <f t="shared" si="63"/>
        <v>78</v>
      </c>
      <c r="B1938" s="175" t="s">
        <v>327</v>
      </c>
      <c r="C1938" s="175" t="str">
        <f t="shared" si="62"/>
        <v>Revestimento de Piso Externo PORCELANATO DELTA 73X73 RETIFICADO ACETINADO JUA CLARO 2280-A</v>
      </c>
      <c r="D1938" s="175" t="s">
        <v>674</v>
      </c>
      <c r="E1938" s="176" t="str">
        <f>_xlfn.XLOOKUP(D1938,Insumos!$B$1:$B$764,Insumos!$C$1:$C$764)</f>
        <v>UN</v>
      </c>
      <c r="F1938" s="196">
        <v>1</v>
      </c>
      <c r="G1938" s="197">
        <f>IF(B1938="insumo",_xlfn.XLOOKUP($D1938,Insumos!$B$1:$B$764,Insumos!$D$1:$D$764),"")</f>
        <v>0.08</v>
      </c>
      <c r="H1938" s="177" cm="1">
        <f t="array" ref="H1938">_xlfn.IFS(B1938="Serviço",SUMIFS(H1939:$H$3085,C1939:$C$3085,$C1938),B1938="Insumo",F1938*G1938,B1938="Etapa","")</f>
        <v>0.08</v>
      </c>
      <c r="I1938" s="178"/>
    </row>
    <row r="1939" spans="1:10" hidden="1" outlineLevel="2" x14ac:dyDescent="0.25">
      <c r="A1939" s="175">
        <f t="shared" si="63"/>
        <v>71</v>
      </c>
      <c r="B1939" s="175" t="s">
        <v>327</v>
      </c>
      <c r="C1939" s="175" t="str">
        <f t="shared" si="62"/>
        <v>Revestimento de Piso Externo PORCELANATO DELTA 73X73 RETIFICADO ACETINADO JUA CLARO 2280-A</v>
      </c>
      <c r="D1939" s="175" t="s">
        <v>675</v>
      </c>
      <c r="E1939" s="176" t="str">
        <f>_xlfn.XLOOKUP(D1939,Insumos!$B$1:$B$764,Insumos!$C$1:$C$764)</f>
        <v>KG</v>
      </c>
      <c r="F1939" s="196">
        <v>0.01</v>
      </c>
      <c r="G1939" s="197">
        <f>IF(B1939="insumo",_xlfn.XLOOKUP($D1939,Insumos!$B$1:$B$764,Insumos!$D$1:$D$764),"")</f>
        <v>11.15</v>
      </c>
      <c r="H1939" s="177" cm="1">
        <f t="array" ref="H1939">_xlfn.IFS(B1939="Serviço",SUMIFS(H1940:$H$3085,C1940:$C$3085,$C1939),B1939="Insumo",F1939*G1939,B1939="Etapa","")</f>
        <v>0.1115</v>
      </c>
      <c r="I1939" s="178"/>
    </row>
    <row r="1940" spans="1:10" outlineLevel="1" collapsed="1" x14ac:dyDescent="0.25">
      <c r="A1940" s="175">
        <f t="shared" si="63"/>
        <v>1</v>
      </c>
      <c r="B1940" s="175" t="s">
        <v>109</v>
      </c>
      <c r="C1940" s="175" t="str">
        <f t="shared" si="62"/>
        <v>Revestimento de Piso Porcelanato Interno ELIZABETH EGEU SAND 74x74 A</v>
      </c>
      <c r="D1940" s="175" t="s">
        <v>1258</v>
      </c>
      <c r="E1940" s="176" t="s">
        <v>13</v>
      </c>
      <c r="F1940" s="175"/>
      <c r="G1940" s="197" t="str">
        <f>IF(B1940="insumo",_xlfn.XLOOKUP($D1940,Insumos!$B$1:$B$764,Insumos!$D$1:$D$764),"")</f>
        <v/>
      </c>
      <c r="H1940" s="177" cm="1">
        <f t="array" ref="H1940">_xlfn.IFS(B1940="Serviço",SUMIFS(H1941:$H$3085,C1941:$C$3085,$C1940),B1940="Insumo",F1940*G1940,B1940="Etapa","")</f>
        <v>121.52150000000002</v>
      </c>
      <c r="I1940" s="178" t="s">
        <v>195</v>
      </c>
    </row>
    <row r="1941" spans="1:10" hidden="1" outlineLevel="2" x14ac:dyDescent="0.25">
      <c r="A1941" s="175">
        <f t="shared" si="63"/>
        <v>1</v>
      </c>
      <c r="B1941" s="175" t="s">
        <v>327</v>
      </c>
      <c r="C1941" s="175" t="str">
        <f t="shared" si="62"/>
        <v>Revestimento de Piso Porcelanato Interno ELIZABETH EGEU SAND 74x74 A</v>
      </c>
      <c r="D1941" s="175" t="s">
        <v>1212</v>
      </c>
      <c r="E1941" s="176" t="str">
        <f>_xlfn.XLOOKUP(D1941,Insumos!$B$1:$B$764,Insumos!$C$1:$C$764)</f>
        <v>M2</v>
      </c>
      <c r="F1941" s="196">
        <v>1.1000000000000001</v>
      </c>
      <c r="G1941" s="197">
        <f>IF(B1941="insumo",_xlfn.XLOOKUP($D1941,Insumos!$B$1:$B$764,Insumos!$D$1:$D$764),"")</f>
        <v>89.9</v>
      </c>
      <c r="H1941" s="177" cm="1">
        <f t="array" ref="H1941">_xlfn.IFS(B1941="Serviço",SUMIFS(H1942:$H$3085,C1942:$C$3085,$C1941),B1941="Insumo",F1941*G1941,B1941="Etapa","")</f>
        <v>98.890000000000015</v>
      </c>
      <c r="I1941" s="178"/>
    </row>
    <row r="1942" spans="1:10" hidden="1" outlineLevel="2" x14ac:dyDescent="0.25">
      <c r="A1942" s="175">
        <f t="shared" si="63"/>
        <v>118</v>
      </c>
      <c r="B1942" s="175" t="s">
        <v>327</v>
      </c>
      <c r="C1942" s="175" t="str">
        <f t="shared" si="62"/>
        <v>Revestimento de Piso Porcelanato Interno ELIZABETH EGEU SAND 74x74 A</v>
      </c>
      <c r="D1942" s="175" t="s">
        <v>654</v>
      </c>
      <c r="E1942" s="176" t="str">
        <f>_xlfn.XLOOKUP(D1942,Insumos!$B$1:$B$764,Insumos!$C$1:$C$764)</f>
        <v>KG</v>
      </c>
      <c r="F1942" s="196">
        <v>8.8000000000000007</v>
      </c>
      <c r="G1942" s="197">
        <f>IF(B1942="insumo",_xlfn.XLOOKUP($D1942,Insumos!$B$1:$B$764,Insumos!$D$1:$D$764),"")</f>
        <v>2.5499999999999998</v>
      </c>
      <c r="H1942" s="177" cm="1">
        <f t="array" ref="H1942">_xlfn.IFS(B1942="Serviço",SUMIFS(H1943:$H$3085,C1943:$C$3085,$C1942),B1942="Insumo",F1942*G1942,B1942="Etapa","")</f>
        <v>22.44</v>
      </c>
      <c r="I1942" s="178"/>
    </row>
    <row r="1943" spans="1:10" hidden="1" outlineLevel="2" x14ac:dyDescent="0.25">
      <c r="A1943" s="175">
        <f t="shared" si="63"/>
        <v>78</v>
      </c>
      <c r="B1943" s="175" t="s">
        <v>327</v>
      </c>
      <c r="C1943" s="175" t="str">
        <f t="shared" si="62"/>
        <v>Revestimento de Piso Porcelanato Interno ELIZABETH EGEU SAND 74x74 A</v>
      </c>
      <c r="D1943" s="175" t="s">
        <v>674</v>
      </c>
      <c r="E1943" s="176" t="str">
        <f>_xlfn.XLOOKUP(D1943,Insumos!$B$1:$B$764,Insumos!$C$1:$C$764)</f>
        <v>UN</v>
      </c>
      <c r="F1943" s="196">
        <v>1</v>
      </c>
      <c r="G1943" s="197">
        <f>IF(B1943="insumo",_xlfn.XLOOKUP($D1943,Insumos!$B$1:$B$764,Insumos!$D$1:$D$764),"")</f>
        <v>0.08</v>
      </c>
      <c r="H1943" s="177" cm="1">
        <f t="array" ref="H1943">_xlfn.IFS(B1943="Serviço",SUMIFS(H1944:$H$3085,C1944:$C$3085,$C1943),B1943="Insumo",F1943*G1943,B1943="Etapa","")</f>
        <v>0.08</v>
      </c>
      <c r="I1943" s="178"/>
    </row>
    <row r="1944" spans="1:10" hidden="1" outlineLevel="2" x14ac:dyDescent="0.25">
      <c r="A1944" s="175">
        <f t="shared" si="63"/>
        <v>71</v>
      </c>
      <c r="B1944" s="175" t="s">
        <v>327</v>
      </c>
      <c r="C1944" s="175" t="str">
        <f t="shared" si="62"/>
        <v>Revestimento de Piso Porcelanato Interno ELIZABETH EGEU SAND 74x74 A</v>
      </c>
      <c r="D1944" s="175" t="s">
        <v>675</v>
      </c>
      <c r="E1944" s="176" t="str">
        <f>_xlfn.XLOOKUP(D1944,Insumos!$B$1:$B$764,Insumos!$C$1:$C$764)</f>
        <v>KG</v>
      </c>
      <c r="F1944" s="196">
        <v>0.01</v>
      </c>
      <c r="G1944" s="197">
        <f>IF(B1944="insumo",_xlfn.XLOOKUP($D1944,Insumos!$B$1:$B$764,Insumos!$D$1:$D$764),"")</f>
        <v>11.15</v>
      </c>
      <c r="H1944" s="177" cm="1">
        <f t="array" ref="H1944">_xlfn.IFS(B1944="Serviço",SUMIFS(H1945:$H$3085,C1945:$C$3085,$C1944),B1944="Insumo",F1944*G1944,B1944="Etapa","")</f>
        <v>0.1115</v>
      </c>
      <c r="I1944" s="178"/>
    </row>
    <row r="1945" spans="1:10" outlineLevel="1" collapsed="1" x14ac:dyDescent="0.25">
      <c r="A1945" s="175">
        <f t="shared" si="63"/>
        <v>1</v>
      </c>
      <c r="B1945" s="175" t="s">
        <v>109</v>
      </c>
      <c r="C1945" s="175" t="str">
        <f t="shared" si="62"/>
        <v>Revestimento de Piso Porcelanato Interno Piso 75x75cm Cedasa Retificado Evidence Polido</v>
      </c>
      <c r="D1945" s="175" t="s">
        <v>1259</v>
      </c>
      <c r="E1945" s="176" t="s">
        <v>13</v>
      </c>
      <c r="F1945" s="175"/>
      <c r="G1945" s="197" t="str">
        <f>IF(B1945="insumo",_xlfn.XLOOKUP($D1945,Insumos!$B$1:$B$764,Insumos!$D$1:$D$764),"")</f>
        <v/>
      </c>
      <c r="H1945" s="177" cm="1">
        <f t="array" ref="H1945">_xlfn.IFS(B1945="Serviço",SUMIFS(H1946:$H$3085,C1946:$C$3085,$C1945),B1945="Insumo",F1945*G1945,B1945="Etapa","")</f>
        <v>180.53650000000005</v>
      </c>
      <c r="I1945" s="178" t="s">
        <v>195</v>
      </c>
    </row>
    <row r="1946" spans="1:10" hidden="1" outlineLevel="2" x14ac:dyDescent="0.25">
      <c r="A1946" s="175">
        <f t="shared" si="63"/>
        <v>2</v>
      </c>
      <c r="B1946" s="175" t="s">
        <v>327</v>
      </c>
      <c r="C1946" s="175" t="str">
        <f t="shared" si="62"/>
        <v>Revestimento de Piso Porcelanato Interno Piso 75x75cm Cedasa Retificado Evidence Polido</v>
      </c>
      <c r="D1946" s="175" t="s">
        <v>1215</v>
      </c>
      <c r="E1946" s="176" t="str">
        <f>_xlfn.XLOOKUP(D1946,Insumos!$B$1:$B$764,Insumos!$C$1:$C$764)</f>
        <v>M2</v>
      </c>
      <c r="F1946" s="196">
        <v>1.1000000000000001</v>
      </c>
      <c r="G1946" s="197">
        <f>IF(B1946="insumo",_xlfn.XLOOKUP($D1946,Insumos!$B$1:$B$764,Insumos!$D$1:$D$764),"")</f>
        <v>143.55000000000001</v>
      </c>
      <c r="H1946" s="177" cm="1">
        <f t="array" ref="H1946">_xlfn.IFS(B1946="Serviço",SUMIFS(H1947:$H$3085,C1947:$C$3085,$C1946),B1946="Insumo",F1946*G1946,B1946="Etapa","")</f>
        <v>157.90500000000003</v>
      </c>
      <c r="I1946" s="178"/>
    </row>
    <row r="1947" spans="1:10" hidden="1" outlineLevel="2" x14ac:dyDescent="0.25">
      <c r="A1947" s="175">
        <f t="shared" si="63"/>
        <v>118</v>
      </c>
      <c r="B1947" s="175" t="s">
        <v>327</v>
      </c>
      <c r="C1947" s="175" t="str">
        <f t="shared" si="62"/>
        <v>Revestimento de Piso Porcelanato Interno Piso 75x75cm Cedasa Retificado Evidence Polido</v>
      </c>
      <c r="D1947" s="175" t="s">
        <v>654</v>
      </c>
      <c r="E1947" s="176" t="str">
        <f>_xlfn.XLOOKUP(D1947,Insumos!$B$1:$B$764,Insumos!$C$1:$C$764)</f>
        <v>KG</v>
      </c>
      <c r="F1947" s="196">
        <v>8.8000000000000007</v>
      </c>
      <c r="G1947" s="197">
        <f>IF(B1947="insumo",_xlfn.XLOOKUP($D1947,Insumos!$B$1:$B$764,Insumos!$D$1:$D$764),"")</f>
        <v>2.5499999999999998</v>
      </c>
      <c r="H1947" s="177" cm="1">
        <f t="array" ref="H1947">_xlfn.IFS(B1947="Serviço",SUMIFS(H1948:$H$3085,C1948:$C$3085,$C1947),B1947="Insumo",F1947*G1947,B1947="Etapa","")</f>
        <v>22.44</v>
      </c>
      <c r="I1947" s="178"/>
    </row>
    <row r="1948" spans="1:10" hidden="1" outlineLevel="2" x14ac:dyDescent="0.25">
      <c r="A1948" s="175">
        <f t="shared" si="63"/>
        <v>78</v>
      </c>
      <c r="B1948" s="175" t="s">
        <v>327</v>
      </c>
      <c r="C1948" s="175" t="str">
        <f t="shared" si="62"/>
        <v>Revestimento de Piso Porcelanato Interno Piso 75x75cm Cedasa Retificado Evidence Polido</v>
      </c>
      <c r="D1948" s="175" t="s">
        <v>674</v>
      </c>
      <c r="E1948" s="176" t="str">
        <f>_xlfn.XLOOKUP(D1948,Insumos!$B$1:$B$764,Insumos!$C$1:$C$764)</f>
        <v>UN</v>
      </c>
      <c r="F1948" s="196">
        <v>1</v>
      </c>
      <c r="G1948" s="197">
        <f>IF(B1948="insumo",_xlfn.XLOOKUP($D1948,Insumos!$B$1:$B$764,Insumos!$D$1:$D$764),"")</f>
        <v>0.08</v>
      </c>
      <c r="H1948" s="177" cm="1">
        <f t="array" ref="H1948">_xlfn.IFS(B1948="Serviço",SUMIFS(H1949:$H$3085,C1949:$C$3085,$C1948),B1948="Insumo",F1948*G1948,B1948="Etapa","")</f>
        <v>0.08</v>
      </c>
      <c r="I1948" s="178"/>
    </row>
    <row r="1949" spans="1:10" hidden="1" outlineLevel="2" x14ac:dyDescent="0.25">
      <c r="A1949" s="175">
        <f t="shared" si="63"/>
        <v>71</v>
      </c>
      <c r="B1949" s="175" t="s">
        <v>327</v>
      </c>
      <c r="C1949" s="175" t="str">
        <f t="shared" si="62"/>
        <v>Revestimento de Piso Porcelanato Interno Piso 75x75cm Cedasa Retificado Evidence Polido</v>
      </c>
      <c r="D1949" s="175" t="s">
        <v>675</v>
      </c>
      <c r="E1949" s="176" t="str">
        <f>_xlfn.XLOOKUP(D1949,Insumos!$B$1:$B$764,Insumos!$C$1:$C$764)</f>
        <v>KG</v>
      </c>
      <c r="F1949" s="196">
        <v>0.01</v>
      </c>
      <c r="G1949" s="197">
        <f>IF(B1949="insumo",_xlfn.XLOOKUP($D1949,Insumos!$B$1:$B$764,Insumos!$D$1:$D$764),"")</f>
        <v>11.15</v>
      </c>
      <c r="H1949" s="177" cm="1">
        <f t="array" ref="H1949">_xlfn.IFS(B1949="Serviço",SUMIFS(H1950:$H$3085,C1950:$C$3085,$C1949),B1949="Insumo",F1949*G1949,B1949="Etapa","")</f>
        <v>0.1115</v>
      </c>
      <c r="I1949" s="178"/>
    </row>
    <row r="1950" spans="1:10" outlineLevel="1" collapsed="1" x14ac:dyDescent="0.25">
      <c r="A1950" s="175">
        <f t="shared" si="63"/>
        <v>1</v>
      </c>
      <c r="B1950" s="175" t="s">
        <v>109</v>
      </c>
      <c r="C1950" s="175" t="str">
        <f t="shared" si="62"/>
        <v>Revestimento de Piso emborrachado imitando madeira</v>
      </c>
      <c r="D1950" s="175" t="s">
        <v>6876</v>
      </c>
      <c r="E1950" s="176" t="s">
        <v>13</v>
      </c>
      <c r="F1950" s="175"/>
      <c r="G1950" s="197" t="str">
        <f>IF(B1950="insumo",_xlfn.XLOOKUP($D1950,Insumos!$B$1:$B$764,Insumos!$D$1:$D$764),"")</f>
        <v/>
      </c>
      <c r="H1950" s="177" cm="1">
        <f t="array" ref="H1950">_xlfn.IFS(B1950="Serviço",SUMIFS(H1951:$H$3085,C1951:$C$3085,$C1950),B1950="Insumo",F1950*G1950,B1950="Etapa","")</f>
        <v>529.65000000000009</v>
      </c>
      <c r="I1950" s="178" t="s">
        <v>195</v>
      </c>
      <c r="J1950" s="551"/>
    </row>
    <row r="1951" spans="1:10" hidden="1" outlineLevel="2" x14ac:dyDescent="0.25">
      <c r="A1951" s="175">
        <f t="shared" si="63"/>
        <v>1</v>
      </c>
      <c r="B1951" s="175" t="s">
        <v>327</v>
      </c>
      <c r="C1951" s="175" t="str">
        <f t="shared" si="62"/>
        <v>Revestimento de Piso emborrachado imitando madeira</v>
      </c>
      <c r="D1951" s="175" t="s">
        <v>6876</v>
      </c>
      <c r="E1951" s="176" t="str">
        <f>_xlfn.XLOOKUP(D1951,Insumos!$B$1:$B$764,Insumos!$C$1:$C$764)</f>
        <v>M2</v>
      </c>
      <c r="F1951" s="196">
        <v>1.1000000000000001</v>
      </c>
      <c r="G1951" s="197">
        <f>IF(B1951="insumo",_xlfn.XLOOKUP($D1951,Insumos!$B$1:$B$764,Insumos!$D$1:$D$764),"")</f>
        <v>481.5</v>
      </c>
      <c r="H1951" s="177" cm="1">
        <f t="array" ref="H1951">_xlfn.IFS(B1951="Serviço",SUMIFS(H1952:$H$3085,C1952:$C$3085,$C1951),B1951="Insumo",F1951*G1951,B1951="Etapa","")</f>
        <v>529.65000000000009</v>
      </c>
      <c r="I1951" s="178"/>
    </row>
    <row r="1952" spans="1:10" outlineLevel="1" collapsed="1" x14ac:dyDescent="0.25">
      <c r="A1952" s="175">
        <f t="shared" si="63"/>
        <v>1</v>
      </c>
      <c r="B1952" s="175" t="s">
        <v>109</v>
      </c>
      <c r="C1952" s="175" t="str">
        <f t="shared" si="62"/>
        <v>Revestimento de Piso Porcelanato externo ceres plus pisoforte, 76x76cm, simples</v>
      </c>
      <c r="D1952" s="175" t="s">
        <v>6874</v>
      </c>
      <c r="E1952" s="176" t="s">
        <v>13</v>
      </c>
      <c r="F1952" s="175"/>
      <c r="G1952" s="197" t="str">
        <f>IF(B1952="insumo",_xlfn.XLOOKUP($D1952,Insumos!$B$1:$B$764,Insumos!$D$1:$D$764),"")</f>
        <v/>
      </c>
      <c r="H1952" s="177" cm="1">
        <f t="array" ref="H1952">_xlfn.IFS(B1952="Serviço",SUMIFS(H1953:$H$3085,C1953:$C$3085,$C1952),B1952="Insumo",F1952*G1952,B1952="Etapa","")</f>
        <v>137.03150000000002</v>
      </c>
      <c r="I1952" s="178" t="s">
        <v>195</v>
      </c>
      <c r="J1952" s="551"/>
    </row>
    <row r="1953" spans="1:10" hidden="1" outlineLevel="2" x14ac:dyDescent="0.25">
      <c r="A1953" s="175">
        <f t="shared" si="63"/>
        <v>1</v>
      </c>
      <c r="B1953" s="175" t="s">
        <v>327</v>
      </c>
      <c r="C1953" s="175" t="str">
        <f t="shared" si="62"/>
        <v>Revestimento de Piso Porcelanato externo ceres plus pisoforte, 76x76cm, simples</v>
      </c>
      <c r="D1953" s="175" t="s">
        <v>6875</v>
      </c>
      <c r="E1953" s="176" t="str">
        <f>_xlfn.XLOOKUP(D1953,Insumos!$B$1:$B$764,Insumos!$C$1:$C$764)</f>
        <v>M2</v>
      </c>
      <c r="F1953" s="196">
        <v>1.1000000000000001</v>
      </c>
      <c r="G1953" s="197">
        <f>IF(B1953="insumo",_xlfn.XLOOKUP($D1953,Insumos!$B$1:$B$764,Insumos!$D$1:$D$764),"")</f>
        <v>104</v>
      </c>
      <c r="H1953" s="177" cm="1">
        <f t="array" ref="H1953">_xlfn.IFS(B1953="Serviço",SUMIFS(H1954:$H$3085,C1954:$C$3085,$C1953),B1953="Insumo",F1953*G1953,B1953="Etapa","")</f>
        <v>114.4</v>
      </c>
      <c r="I1953" s="178"/>
    </row>
    <row r="1954" spans="1:10" hidden="1" outlineLevel="2" x14ac:dyDescent="0.25">
      <c r="A1954" s="175">
        <f t="shared" si="63"/>
        <v>118</v>
      </c>
      <c r="B1954" s="175" t="s">
        <v>327</v>
      </c>
      <c r="C1954" s="175" t="str">
        <f t="shared" si="62"/>
        <v>Revestimento de Piso Porcelanato externo ceres plus pisoforte, 76x76cm, simples</v>
      </c>
      <c r="D1954" s="175" t="s">
        <v>654</v>
      </c>
      <c r="E1954" s="176" t="str">
        <f>_xlfn.XLOOKUP(D1954,Insumos!$B$1:$B$764,Insumos!$C$1:$C$764)</f>
        <v>KG</v>
      </c>
      <c r="F1954" s="196">
        <v>8.8000000000000007</v>
      </c>
      <c r="G1954" s="197">
        <f>IF(B1954="insumo",_xlfn.XLOOKUP($D1954,Insumos!$B$1:$B$764,Insumos!$D$1:$D$764),"")</f>
        <v>2.5499999999999998</v>
      </c>
      <c r="H1954" s="177" cm="1">
        <f t="array" ref="H1954">_xlfn.IFS(B1954="Serviço",SUMIFS(H1955:$H$3085,C1955:$C$3085,$C1954),B1954="Insumo",F1954*G1954,B1954="Etapa","")</f>
        <v>22.44</v>
      </c>
      <c r="I1954" s="178"/>
    </row>
    <row r="1955" spans="1:10" hidden="1" outlineLevel="2" x14ac:dyDescent="0.25">
      <c r="A1955" s="175">
        <f t="shared" si="63"/>
        <v>78</v>
      </c>
      <c r="B1955" s="175" t="s">
        <v>327</v>
      </c>
      <c r="C1955" s="175" t="str">
        <f t="shared" si="62"/>
        <v>Revestimento de Piso Porcelanato externo ceres plus pisoforte, 76x76cm, simples</v>
      </c>
      <c r="D1955" s="175" t="s">
        <v>674</v>
      </c>
      <c r="E1955" s="176" t="str">
        <f>_xlfn.XLOOKUP(D1955,Insumos!$B$1:$B$764,Insumos!$C$1:$C$764)</f>
        <v>UN</v>
      </c>
      <c r="F1955" s="196">
        <v>1</v>
      </c>
      <c r="G1955" s="197">
        <f>IF(B1955="insumo",_xlfn.XLOOKUP($D1955,Insumos!$B$1:$B$764,Insumos!$D$1:$D$764),"")</f>
        <v>0.08</v>
      </c>
      <c r="H1955" s="177" cm="1">
        <f t="array" ref="H1955">_xlfn.IFS(B1955="Serviço",SUMIFS(H1956:$H$3085,C1956:$C$3085,$C1955),B1955="Insumo",F1955*G1955,B1955="Etapa","")</f>
        <v>0.08</v>
      </c>
      <c r="I1955" s="178"/>
    </row>
    <row r="1956" spans="1:10" hidden="1" outlineLevel="2" x14ac:dyDescent="0.25">
      <c r="A1956" s="175">
        <f t="shared" si="63"/>
        <v>71</v>
      </c>
      <c r="B1956" s="175" t="s">
        <v>327</v>
      </c>
      <c r="C1956" s="175" t="str">
        <f t="shared" si="62"/>
        <v>Revestimento de Piso Porcelanato externo ceres plus pisoforte, 76x76cm, simples</v>
      </c>
      <c r="D1956" s="175" t="s">
        <v>675</v>
      </c>
      <c r="E1956" s="176" t="str">
        <f>_xlfn.XLOOKUP(D1956,Insumos!$B$1:$B$764,Insumos!$C$1:$C$764)</f>
        <v>KG</v>
      </c>
      <c r="F1956" s="196">
        <v>0.01</v>
      </c>
      <c r="G1956" s="197">
        <f>IF(B1956="insumo",_xlfn.XLOOKUP($D1956,Insumos!$B$1:$B$764,Insumos!$D$1:$D$764),"")</f>
        <v>11.15</v>
      </c>
      <c r="H1956" s="177" cm="1">
        <f t="array" ref="H1956">_xlfn.IFS(B1956="Serviço",SUMIFS(H1957:$H$3085,C1957:$C$3085,$C1956),B1956="Insumo",F1956*G1956,B1956="Etapa","")</f>
        <v>0.1115</v>
      </c>
      <c r="I1956" s="178"/>
    </row>
    <row r="1957" spans="1:10" outlineLevel="1" collapsed="1" x14ac:dyDescent="0.25">
      <c r="A1957" s="175">
        <f t="shared" si="63"/>
        <v>1</v>
      </c>
      <c r="B1957" s="175" t="s">
        <v>109</v>
      </c>
      <c r="C1957" s="175" t="str">
        <f t="shared" si="62"/>
        <v>Revestimento de Piso Porcelanato externo granilhado, 76x76cm, simples</v>
      </c>
      <c r="D1957" s="175" t="s">
        <v>6872</v>
      </c>
      <c r="E1957" s="176" t="s">
        <v>13</v>
      </c>
      <c r="F1957" s="175"/>
      <c r="G1957" s="197" t="str">
        <f>IF(B1957="insumo",_xlfn.XLOOKUP($D1957,Insumos!$B$1:$B$764,Insumos!$D$1:$D$764),"")</f>
        <v/>
      </c>
      <c r="H1957" s="177" cm="1">
        <f t="array" ref="H1957">_xlfn.IFS(B1957="Serviço",SUMIFS(H1958:$H$3085,C1958:$C$3085,$C1957),B1957="Insumo",F1957*G1957,B1957="Etapa","")</f>
        <v>120.53150000000001</v>
      </c>
      <c r="I1957" s="178" t="s">
        <v>195</v>
      </c>
      <c r="J1957" s="551"/>
    </row>
    <row r="1958" spans="1:10" hidden="1" outlineLevel="2" x14ac:dyDescent="0.25">
      <c r="A1958" s="175">
        <f t="shared" si="63"/>
        <v>1</v>
      </c>
      <c r="B1958" s="175" t="s">
        <v>327</v>
      </c>
      <c r="C1958" s="175" t="str">
        <f t="shared" si="62"/>
        <v>Revestimento de Piso Porcelanato externo granilhado, 76x76cm, simples</v>
      </c>
      <c r="D1958" s="175" t="s">
        <v>6873</v>
      </c>
      <c r="E1958" s="176" t="str">
        <f>_xlfn.XLOOKUP(D1958,Insumos!$B$1:$B$764,Insumos!$C$1:$C$764)</f>
        <v>M2</v>
      </c>
      <c r="F1958" s="196">
        <v>1.1000000000000001</v>
      </c>
      <c r="G1958" s="197">
        <f>IF(B1958="insumo",_xlfn.XLOOKUP($D1958,Insumos!$B$1:$B$764,Insumos!$D$1:$D$764),"")</f>
        <v>89</v>
      </c>
      <c r="H1958" s="177" cm="1">
        <f t="array" ref="H1958">_xlfn.IFS(B1958="Serviço",SUMIFS(H1959:$H$3085,C1959:$C$3085,$C1958),B1958="Insumo",F1958*G1958,B1958="Etapa","")</f>
        <v>97.9</v>
      </c>
      <c r="I1958" s="178"/>
    </row>
    <row r="1959" spans="1:10" hidden="1" outlineLevel="2" x14ac:dyDescent="0.25">
      <c r="A1959" s="175">
        <f t="shared" si="63"/>
        <v>118</v>
      </c>
      <c r="B1959" s="175" t="s">
        <v>327</v>
      </c>
      <c r="C1959" s="175" t="str">
        <f t="shared" si="62"/>
        <v>Revestimento de Piso Porcelanato externo granilhado, 76x76cm, simples</v>
      </c>
      <c r="D1959" s="175" t="s">
        <v>654</v>
      </c>
      <c r="E1959" s="176" t="str">
        <f>_xlfn.XLOOKUP(D1959,Insumos!$B$1:$B$764,Insumos!$C$1:$C$764)</f>
        <v>KG</v>
      </c>
      <c r="F1959" s="196">
        <v>8.8000000000000007</v>
      </c>
      <c r="G1959" s="197">
        <f>IF(B1959="insumo",_xlfn.XLOOKUP($D1959,Insumos!$B$1:$B$764,Insumos!$D$1:$D$764),"")</f>
        <v>2.5499999999999998</v>
      </c>
      <c r="H1959" s="177" cm="1">
        <f t="array" ref="H1959">_xlfn.IFS(B1959="Serviço",SUMIFS(H1960:$H$3085,C1960:$C$3085,$C1959),B1959="Insumo",F1959*G1959,B1959="Etapa","")</f>
        <v>22.44</v>
      </c>
      <c r="I1959" s="178"/>
    </row>
    <row r="1960" spans="1:10" hidden="1" outlineLevel="2" x14ac:dyDescent="0.25">
      <c r="A1960" s="175">
        <f t="shared" si="63"/>
        <v>78</v>
      </c>
      <c r="B1960" s="175" t="s">
        <v>327</v>
      </c>
      <c r="C1960" s="175" t="str">
        <f t="shared" ref="C1960:C2023" si="64">IF(B1960="serviço",D1960,C1959)</f>
        <v>Revestimento de Piso Porcelanato externo granilhado, 76x76cm, simples</v>
      </c>
      <c r="D1960" s="175" t="s">
        <v>674</v>
      </c>
      <c r="E1960" s="176" t="str">
        <f>_xlfn.XLOOKUP(D1960,Insumos!$B$1:$B$764,Insumos!$C$1:$C$764)</f>
        <v>UN</v>
      </c>
      <c r="F1960" s="196">
        <v>1</v>
      </c>
      <c r="G1960" s="197">
        <f>IF(B1960="insumo",_xlfn.XLOOKUP($D1960,Insumos!$B$1:$B$764,Insumos!$D$1:$D$764),"")</f>
        <v>0.08</v>
      </c>
      <c r="H1960" s="177" cm="1">
        <f t="array" ref="H1960">_xlfn.IFS(B1960="Serviço",SUMIFS(H1961:$H$3085,C1961:$C$3085,$C1960),B1960="Insumo",F1960*G1960,B1960="Etapa","")</f>
        <v>0.08</v>
      </c>
      <c r="I1960" s="178"/>
    </row>
    <row r="1961" spans="1:10" hidden="1" outlineLevel="2" x14ac:dyDescent="0.25">
      <c r="A1961" s="175">
        <f t="shared" si="63"/>
        <v>71</v>
      </c>
      <c r="B1961" s="175" t="s">
        <v>327</v>
      </c>
      <c r="C1961" s="175" t="str">
        <f t="shared" si="64"/>
        <v>Revestimento de Piso Porcelanato externo granilhado, 76x76cm, simples</v>
      </c>
      <c r="D1961" s="175" t="s">
        <v>675</v>
      </c>
      <c r="E1961" s="176" t="str">
        <f>_xlfn.XLOOKUP(D1961,Insumos!$B$1:$B$764,Insumos!$C$1:$C$764)</f>
        <v>KG</v>
      </c>
      <c r="F1961" s="196">
        <v>0.01</v>
      </c>
      <c r="G1961" s="197">
        <f>IF(B1961="insumo",_xlfn.XLOOKUP($D1961,Insumos!$B$1:$B$764,Insumos!$D$1:$D$764),"")</f>
        <v>11.15</v>
      </c>
      <c r="H1961" s="177" cm="1">
        <f t="array" ref="H1961">_xlfn.IFS(B1961="Serviço",SUMIFS(H1962:$H$3085,C1962:$C$3085,$C1961),B1961="Insumo",F1961*G1961,B1961="Etapa","")</f>
        <v>0.1115</v>
      </c>
      <c r="I1961" s="178"/>
    </row>
    <row r="1962" spans="1:10" outlineLevel="1" collapsed="1" x14ac:dyDescent="0.25">
      <c r="A1962" s="175">
        <f t="shared" si="63"/>
        <v>1</v>
      </c>
      <c r="B1962" s="175" t="s">
        <v>109</v>
      </c>
      <c r="C1962" s="175" t="str">
        <f t="shared" si="64"/>
        <v>Revestimento de Piso Porcelanato, 76x76cm, simples</v>
      </c>
      <c r="D1962" s="175" t="s">
        <v>4248</v>
      </c>
      <c r="E1962" s="176" t="s">
        <v>13</v>
      </c>
      <c r="F1962" s="175"/>
      <c r="G1962" s="197" t="str">
        <f>IF(B1962="insumo",_xlfn.XLOOKUP($D1962,Insumos!$B$1:$B$764,Insumos!$D$1:$D$764),"")</f>
        <v/>
      </c>
      <c r="H1962" s="177" cm="1">
        <f t="array" ref="H1962">_xlfn.IFS(B1962="Serviço",SUMIFS(H1963:$H$3085,C1963:$C$3085,$C1962),B1962="Insumo",F1962*G1962,B1962="Etapa","")</f>
        <v>61.021499999999996</v>
      </c>
      <c r="I1962" s="178" t="s">
        <v>195</v>
      </c>
      <c r="J1962" s="551"/>
    </row>
    <row r="1963" spans="1:10" hidden="1" outlineLevel="2" x14ac:dyDescent="0.25">
      <c r="A1963" s="175">
        <f t="shared" si="63"/>
        <v>2</v>
      </c>
      <c r="B1963" s="175" t="s">
        <v>327</v>
      </c>
      <c r="C1963" s="175" t="str">
        <f t="shared" si="64"/>
        <v>Revestimento de Piso Porcelanato, 76x76cm, simples</v>
      </c>
      <c r="D1963" s="175" t="s">
        <v>1206</v>
      </c>
      <c r="E1963" s="176" t="str">
        <f>_xlfn.XLOOKUP(D1963,Insumos!$B$1:$B$764,Insumos!$C$1:$C$764)</f>
        <v>M2</v>
      </c>
      <c r="F1963" s="196">
        <v>1.1000000000000001</v>
      </c>
      <c r="G1963" s="197">
        <f>IF(B1963="insumo",_xlfn.XLOOKUP($D1963,Insumos!$B$1:$B$764,Insumos!$D$1:$D$764),"")</f>
        <v>34.9</v>
      </c>
      <c r="H1963" s="177" cm="1">
        <f t="array" ref="H1963">_xlfn.IFS(B1963="Serviço",SUMIFS(H1964:$H$3085,C1964:$C$3085,$C1963),B1963="Insumo",F1963*G1963,B1963="Etapa","")</f>
        <v>38.39</v>
      </c>
      <c r="I1963" s="178"/>
    </row>
    <row r="1964" spans="1:10" hidden="1" outlineLevel="2" x14ac:dyDescent="0.25">
      <c r="A1964" s="175">
        <f t="shared" si="63"/>
        <v>118</v>
      </c>
      <c r="B1964" s="175" t="s">
        <v>327</v>
      </c>
      <c r="C1964" s="175" t="str">
        <f t="shared" si="64"/>
        <v>Revestimento de Piso Porcelanato, 76x76cm, simples</v>
      </c>
      <c r="D1964" s="175" t="s">
        <v>654</v>
      </c>
      <c r="E1964" s="176" t="str">
        <f>_xlfn.XLOOKUP(D1964,Insumos!$B$1:$B$764,Insumos!$C$1:$C$764)</f>
        <v>KG</v>
      </c>
      <c r="F1964" s="196">
        <v>8.8000000000000007</v>
      </c>
      <c r="G1964" s="197">
        <f>IF(B1964="insumo",_xlfn.XLOOKUP($D1964,Insumos!$B$1:$B$764,Insumos!$D$1:$D$764),"")</f>
        <v>2.5499999999999998</v>
      </c>
      <c r="H1964" s="177" cm="1">
        <f t="array" ref="H1964">_xlfn.IFS(B1964="Serviço",SUMIFS(H1965:$H$3085,C1965:$C$3085,$C1964),B1964="Insumo",F1964*G1964,B1964="Etapa","")</f>
        <v>22.44</v>
      </c>
      <c r="I1964" s="178"/>
    </row>
    <row r="1965" spans="1:10" hidden="1" outlineLevel="2" x14ac:dyDescent="0.25">
      <c r="A1965" s="175">
        <f t="shared" si="63"/>
        <v>78</v>
      </c>
      <c r="B1965" s="175" t="s">
        <v>327</v>
      </c>
      <c r="C1965" s="175" t="str">
        <f t="shared" si="64"/>
        <v>Revestimento de Piso Porcelanato, 76x76cm, simples</v>
      </c>
      <c r="D1965" s="175" t="s">
        <v>674</v>
      </c>
      <c r="E1965" s="176" t="str">
        <f>_xlfn.XLOOKUP(D1965,Insumos!$B$1:$B$764,Insumos!$C$1:$C$764)</f>
        <v>UN</v>
      </c>
      <c r="F1965" s="196">
        <v>1</v>
      </c>
      <c r="G1965" s="197">
        <f>IF(B1965="insumo",_xlfn.XLOOKUP($D1965,Insumos!$B$1:$B$764,Insumos!$D$1:$D$764),"")</f>
        <v>0.08</v>
      </c>
      <c r="H1965" s="177" cm="1">
        <f t="array" ref="H1965">_xlfn.IFS(B1965="Serviço",SUMIFS(H1966:$H$3085,C1966:$C$3085,$C1965),B1965="Insumo",F1965*G1965,B1965="Etapa","")</f>
        <v>0.08</v>
      </c>
      <c r="I1965" s="178"/>
    </row>
    <row r="1966" spans="1:10" hidden="1" outlineLevel="2" x14ac:dyDescent="0.25">
      <c r="A1966" s="175">
        <f t="shared" si="63"/>
        <v>71</v>
      </c>
      <c r="B1966" s="175" t="s">
        <v>327</v>
      </c>
      <c r="C1966" s="175" t="str">
        <f t="shared" si="64"/>
        <v>Revestimento de Piso Porcelanato, 76x76cm, simples</v>
      </c>
      <c r="D1966" s="175" t="s">
        <v>675</v>
      </c>
      <c r="E1966" s="176" t="str">
        <f>_xlfn.XLOOKUP(D1966,Insumos!$B$1:$B$764,Insumos!$C$1:$C$764)</f>
        <v>KG</v>
      </c>
      <c r="F1966" s="196">
        <v>0.01</v>
      </c>
      <c r="G1966" s="197">
        <f>IF(B1966="insumo",_xlfn.XLOOKUP($D1966,Insumos!$B$1:$B$764,Insumos!$D$1:$D$764),"")</f>
        <v>11.15</v>
      </c>
      <c r="H1966" s="177" cm="1">
        <f t="array" ref="H1966">_xlfn.IFS(B1966="Serviço",SUMIFS(H1967:$H$3085,C1967:$C$3085,$C1966),B1966="Insumo",F1966*G1966,B1966="Etapa","")</f>
        <v>0.1115</v>
      </c>
      <c r="I1966" s="178"/>
    </row>
    <row r="1967" spans="1:10" outlineLevel="1" collapsed="1" x14ac:dyDescent="0.25">
      <c r="A1967" s="175">
        <f t="shared" si="63"/>
        <v>1</v>
      </c>
      <c r="B1967" s="175" t="s">
        <v>109</v>
      </c>
      <c r="C1967" s="175" t="str">
        <f t="shared" si="64"/>
        <v>Revestimento de Piso Porcelanato Interno Retificado Embramaco 76x76cm Acetinado Nevada Mate Plus Retificado</v>
      </c>
      <c r="D1967" s="175" t="s">
        <v>1260</v>
      </c>
      <c r="E1967" s="176" t="s">
        <v>13</v>
      </c>
      <c r="F1967" s="175"/>
      <c r="G1967" s="197" t="str">
        <f>IF(B1967="insumo",_xlfn.XLOOKUP($D1967,Insumos!$B$1:$B$764,Insumos!$D$1:$D$764),"")</f>
        <v/>
      </c>
      <c r="H1967" s="177" cm="1">
        <f t="array" ref="H1967">_xlfn.IFS(B1967="Serviço",SUMIFS(H1968:$H$3085,C1968:$C$3085,$C1967),B1967="Insumo",F1967*G1967,B1967="Etapa","")</f>
        <v>61.021499999999996</v>
      </c>
      <c r="I1967" s="178" t="s">
        <v>195</v>
      </c>
    </row>
    <row r="1968" spans="1:10" hidden="1" outlineLevel="2" x14ac:dyDescent="0.25">
      <c r="A1968" s="175">
        <f t="shared" si="63"/>
        <v>2</v>
      </c>
      <c r="B1968" s="175" t="s">
        <v>327</v>
      </c>
      <c r="C1968" s="175" t="str">
        <f t="shared" si="64"/>
        <v>Revestimento de Piso Porcelanato Interno Retificado Embramaco 76x76cm Acetinado Nevada Mate Plus Retificado</v>
      </c>
      <c r="D1968" s="175" t="s">
        <v>1206</v>
      </c>
      <c r="E1968" s="176" t="str">
        <f>_xlfn.XLOOKUP(D1968,Insumos!$B$1:$B$764,Insumos!$C$1:$C$764)</f>
        <v>M2</v>
      </c>
      <c r="F1968" s="196">
        <v>1.1000000000000001</v>
      </c>
      <c r="G1968" s="197">
        <f>IF(B1968="insumo",_xlfn.XLOOKUP($D1968,Insumos!$B$1:$B$764,Insumos!$D$1:$D$764),"")</f>
        <v>34.9</v>
      </c>
      <c r="H1968" s="177" cm="1">
        <f t="array" ref="H1968">_xlfn.IFS(B1968="Serviço",SUMIFS(H1969:$H$3085,C1969:$C$3085,$C1968),B1968="Insumo",F1968*G1968,B1968="Etapa","")</f>
        <v>38.39</v>
      </c>
      <c r="I1968" s="178"/>
    </row>
    <row r="1969" spans="1:9" hidden="1" outlineLevel="2" x14ac:dyDescent="0.25">
      <c r="A1969" s="175">
        <f t="shared" si="63"/>
        <v>118</v>
      </c>
      <c r="B1969" s="175" t="s">
        <v>327</v>
      </c>
      <c r="C1969" s="175" t="str">
        <f t="shared" si="64"/>
        <v>Revestimento de Piso Porcelanato Interno Retificado Embramaco 76x76cm Acetinado Nevada Mate Plus Retificado</v>
      </c>
      <c r="D1969" s="175" t="s">
        <v>654</v>
      </c>
      <c r="E1969" s="176" t="str">
        <f>_xlfn.XLOOKUP(D1969,Insumos!$B$1:$B$764,Insumos!$C$1:$C$764)</f>
        <v>KG</v>
      </c>
      <c r="F1969" s="196">
        <v>8.8000000000000007</v>
      </c>
      <c r="G1969" s="197">
        <f>IF(B1969="insumo",_xlfn.XLOOKUP($D1969,Insumos!$B$1:$B$764,Insumos!$D$1:$D$764),"")</f>
        <v>2.5499999999999998</v>
      </c>
      <c r="H1969" s="177" cm="1">
        <f t="array" ref="H1969">_xlfn.IFS(B1969="Serviço",SUMIFS(H1970:$H$3085,C1970:$C$3085,$C1969),B1969="Insumo",F1969*G1969,B1969="Etapa","")</f>
        <v>22.44</v>
      </c>
      <c r="I1969" s="178"/>
    </row>
    <row r="1970" spans="1:9" hidden="1" outlineLevel="2" x14ac:dyDescent="0.25">
      <c r="A1970" s="175">
        <f t="shared" si="63"/>
        <v>78</v>
      </c>
      <c r="B1970" s="175" t="s">
        <v>327</v>
      </c>
      <c r="C1970" s="175" t="str">
        <f t="shared" si="64"/>
        <v>Revestimento de Piso Porcelanato Interno Retificado Embramaco 76x76cm Acetinado Nevada Mate Plus Retificado</v>
      </c>
      <c r="D1970" s="175" t="s">
        <v>674</v>
      </c>
      <c r="E1970" s="176" t="str">
        <f>_xlfn.XLOOKUP(D1970,Insumos!$B$1:$B$764,Insumos!$C$1:$C$764)</f>
        <v>UN</v>
      </c>
      <c r="F1970" s="196">
        <v>1</v>
      </c>
      <c r="G1970" s="197">
        <f>IF(B1970="insumo",_xlfn.XLOOKUP($D1970,Insumos!$B$1:$B$764,Insumos!$D$1:$D$764),"")</f>
        <v>0.08</v>
      </c>
      <c r="H1970" s="177" cm="1">
        <f t="array" ref="H1970">_xlfn.IFS(B1970="Serviço",SUMIFS(H1971:$H$3085,C1971:$C$3085,$C1970),B1970="Insumo",F1970*G1970,B1970="Etapa","")</f>
        <v>0.08</v>
      </c>
      <c r="I1970" s="178"/>
    </row>
    <row r="1971" spans="1:9" hidden="1" outlineLevel="2" x14ac:dyDescent="0.25">
      <c r="A1971" s="175">
        <f t="shared" si="63"/>
        <v>71</v>
      </c>
      <c r="B1971" s="175" t="s">
        <v>327</v>
      </c>
      <c r="C1971" s="175" t="str">
        <f t="shared" si="64"/>
        <v>Revestimento de Piso Porcelanato Interno Retificado Embramaco 76x76cm Acetinado Nevada Mate Plus Retificado</v>
      </c>
      <c r="D1971" s="175" t="s">
        <v>675</v>
      </c>
      <c r="E1971" s="176" t="str">
        <f>_xlfn.XLOOKUP(D1971,Insumos!$B$1:$B$764,Insumos!$C$1:$C$764)</f>
        <v>KG</v>
      </c>
      <c r="F1971" s="196">
        <v>0.01</v>
      </c>
      <c r="G1971" s="197">
        <f>IF(B1971="insumo",_xlfn.XLOOKUP($D1971,Insumos!$B$1:$B$764,Insumos!$D$1:$D$764),"")</f>
        <v>11.15</v>
      </c>
      <c r="H1971" s="177" cm="1">
        <f t="array" ref="H1971">_xlfn.IFS(B1971="Serviço",SUMIFS(H1972:$H$3085,C1972:$C$3085,$C1971),B1971="Insumo",F1971*G1971,B1971="Etapa","")</f>
        <v>0.1115</v>
      </c>
      <c r="I1971" s="178"/>
    </row>
    <row r="1972" spans="1:9" outlineLevel="1" collapsed="1" x14ac:dyDescent="0.25">
      <c r="A1972" s="175">
        <f t="shared" si="63"/>
        <v>1</v>
      </c>
      <c r="B1972" s="175" t="s">
        <v>109</v>
      </c>
      <c r="C1972" s="175" t="str">
        <f t="shared" si="64"/>
        <v>Revestimento de Piso Porcelanato Externo Portobello Deck Parquet D Olivier Externo "A" 81x81cm</v>
      </c>
      <c r="D1972" s="175" t="s">
        <v>1261</v>
      </c>
      <c r="E1972" s="176" t="s">
        <v>13</v>
      </c>
      <c r="F1972" s="175"/>
      <c r="G1972" s="197" t="str">
        <f>IF(B1972="insumo",_xlfn.XLOOKUP($D1972,Insumos!$B$1:$B$764,Insumos!$D$1:$D$764),"")</f>
        <v/>
      </c>
      <c r="H1972" s="177" cm="1">
        <f t="array" ref="H1972">_xlfn.IFS(B1972="Serviço",SUMIFS(H1973:$H$3085,C1973:$C$3085,$C1972),B1972="Insumo",F1972*G1972,B1972="Etapa","")</f>
        <v>116.02150000000002</v>
      </c>
      <c r="I1972" s="178" t="s">
        <v>195</v>
      </c>
    </row>
    <row r="1973" spans="1:9" hidden="1" outlineLevel="2" x14ac:dyDescent="0.25">
      <c r="A1973" s="175">
        <f t="shared" si="63"/>
        <v>1</v>
      </c>
      <c r="B1973" s="175" t="s">
        <v>327</v>
      </c>
      <c r="C1973" s="175" t="str">
        <f t="shared" si="64"/>
        <v>Revestimento de Piso Porcelanato Externo Portobello Deck Parquet D Olivier Externo "A" 81x81cm</v>
      </c>
      <c r="D1973" s="175" t="s">
        <v>1204</v>
      </c>
      <c r="E1973" s="176" t="str">
        <f>_xlfn.XLOOKUP(D1973,Insumos!$B$1:$B$764,Insumos!$C$1:$C$764)</f>
        <v>M2</v>
      </c>
      <c r="F1973" s="196">
        <v>1.1000000000000001</v>
      </c>
      <c r="G1973" s="197">
        <f>IF(B1973="insumo",_xlfn.XLOOKUP($D1973,Insumos!$B$1:$B$764,Insumos!$D$1:$D$764),"")</f>
        <v>84.9</v>
      </c>
      <c r="H1973" s="177" cm="1">
        <f t="array" ref="H1973">_xlfn.IFS(B1973="Serviço",SUMIFS(H1974:$H$3085,C1974:$C$3085,$C1973),B1973="Insumo",F1973*G1973,B1973="Etapa","")</f>
        <v>93.390000000000015</v>
      </c>
      <c r="I1973" s="178"/>
    </row>
    <row r="1974" spans="1:9" hidden="1" outlineLevel="2" x14ac:dyDescent="0.25">
      <c r="A1974" s="175">
        <f t="shared" si="63"/>
        <v>118</v>
      </c>
      <c r="B1974" s="175" t="s">
        <v>327</v>
      </c>
      <c r="C1974" s="175" t="str">
        <f t="shared" si="64"/>
        <v>Revestimento de Piso Porcelanato Externo Portobello Deck Parquet D Olivier Externo "A" 81x81cm</v>
      </c>
      <c r="D1974" s="175" t="s">
        <v>654</v>
      </c>
      <c r="E1974" s="176" t="str">
        <f>_xlfn.XLOOKUP(D1974,Insumos!$B$1:$B$764,Insumos!$C$1:$C$764)</f>
        <v>KG</v>
      </c>
      <c r="F1974" s="196">
        <v>8.8000000000000007</v>
      </c>
      <c r="G1974" s="197">
        <f>IF(B1974="insumo",_xlfn.XLOOKUP($D1974,Insumos!$B$1:$B$764,Insumos!$D$1:$D$764),"")</f>
        <v>2.5499999999999998</v>
      </c>
      <c r="H1974" s="177" cm="1">
        <f t="array" ref="H1974">_xlfn.IFS(B1974="Serviço",SUMIFS(H1975:$H$3085,C1975:$C$3085,$C1974),B1974="Insumo",F1974*G1974,B1974="Etapa","")</f>
        <v>22.44</v>
      </c>
      <c r="I1974" s="178"/>
    </row>
    <row r="1975" spans="1:9" hidden="1" outlineLevel="2" x14ac:dyDescent="0.25">
      <c r="A1975" s="175">
        <f t="shared" si="63"/>
        <v>78</v>
      </c>
      <c r="B1975" s="175" t="s">
        <v>327</v>
      </c>
      <c r="C1975" s="175" t="str">
        <f t="shared" si="64"/>
        <v>Revestimento de Piso Porcelanato Externo Portobello Deck Parquet D Olivier Externo "A" 81x81cm</v>
      </c>
      <c r="D1975" s="175" t="s">
        <v>674</v>
      </c>
      <c r="E1975" s="176" t="str">
        <f>_xlfn.XLOOKUP(D1975,Insumos!$B$1:$B$764,Insumos!$C$1:$C$764)</f>
        <v>UN</v>
      </c>
      <c r="F1975" s="196">
        <v>1</v>
      </c>
      <c r="G1975" s="197">
        <f>IF(B1975="insumo",_xlfn.XLOOKUP($D1975,Insumos!$B$1:$B$764,Insumos!$D$1:$D$764),"")</f>
        <v>0.08</v>
      </c>
      <c r="H1975" s="177" cm="1">
        <f t="array" ref="H1975">_xlfn.IFS(B1975="Serviço",SUMIFS(H1976:$H$3085,C1976:$C$3085,$C1975),B1975="Insumo",F1975*G1975,B1975="Etapa","")</f>
        <v>0.08</v>
      </c>
      <c r="I1975" s="178"/>
    </row>
    <row r="1976" spans="1:9" hidden="1" outlineLevel="2" x14ac:dyDescent="0.25">
      <c r="A1976" s="175">
        <f t="shared" si="63"/>
        <v>71</v>
      </c>
      <c r="B1976" s="175" t="s">
        <v>327</v>
      </c>
      <c r="C1976" s="175" t="str">
        <f t="shared" si="64"/>
        <v>Revestimento de Piso Porcelanato Externo Portobello Deck Parquet D Olivier Externo "A" 81x81cm</v>
      </c>
      <c r="D1976" s="175" t="s">
        <v>675</v>
      </c>
      <c r="E1976" s="176" t="str">
        <f>_xlfn.XLOOKUP(D1976,Insumos!$B$1:$B$764,Insumos!$C$1:$C$764)</f>
        <v>KG</v>
      </c>
      <c r="F1976" s="196">
        <v>0.01</v>
      </c>
      <c r="G1976" s="197">
        <f>IF(B1976="insumo",_xlfn.XLOOKUP($D1976,Insumos!$B$1:$B$764,Insumos!$D$1:$D$764),"")</f>
        <v>11.15</v>
      </c>
      <c r="H1976" s="177" cm="1">
        <f t="array" ref="H1976">_xlfn.IFS(B1976="Serviço",SUMIFS(H1977:$H$3085,C1977:$C$3085,$C1976),B1976="Insumo",F1976*G1976,B1976="Etapa","")</f>
        <v>0.1115</v>
      </c>
      <c r="I1976" s="178"/>
    </row>
    <row r="1977" spans="1:9" outlineLevel="1" collapsed="1" x14ac:dyDescent="0.25">
      <c r="A1977" s="175">
        <f t="shared" si="63"/>
        <v>1</v>
      </c>
      <c r="B1977" s="175" t="s">
        <v>109</v>
      </c>
      <c r="C1977" s="175" t="str">
        <f t="shared" si="64"/>
        <v>Revestimento de Piso Porcelanato Externo Porcelanato Pro Concrete Abs 89,5X89,5cm</v>
      </c>
      <c r="D1977" s="175" t="s">
        <v>1262</v>
      </c>
      <c r="E1977" s="176" t="s">
        <v>13</v>
      </c>
      <c r="F1977" s="175"/>
      <c r="G1977" s="197" t="str">
        <f>IF(B1977="insumo",_xlfn.XLOOKUP($D1977,Insumos!$B$1:$B$764,Insumos!$D$1:$D$764),"")</f>
        <v/>
      </c>
      <c r="H1977" s="177" cm="1">
        <f t="array" ref="H1977">_xlfn.IFS(B1977="Serviço",SUMIFS(H1978:$H$3085,C1978:$C$3085,$C1977),B1977="Insumo",F1977*G1977,B1977="Etapa","")</f>
        <v>182.02150000000003</v>
      </c>
      <c r="I1977" s="178" t="s">
        <v>195</v>
      </c>
    </row>
    <row r="1978" spans="1:9" hidden="1" outlineLevel="2" x14ac:dyDescent="0.25">
      <c r="A1978" s="175">
        <f t="shared" si="63"/>
        <v>1</v>
      </c>
      <c r="B1978" s="175" t="s">
        <v>327</v>
      </c>
      <c r="C1978" s="175" t="str">
        <f t="shared" si="64"/>
        <v>Revestimento de Piso Porcelanato Externo Porcelanato Pro Concrete Abs 89,5X89,5cm</v>
      </c>
      <c r="D1978" s="175" t="s">
        <v>1207</v>
      </c>
      <c r="E1978" s="176" t="str">
        <f>_xlfn.XLOOKUP(D1978,Insumos!$B$1:$B$764,Insumos!$C$1:$C$764)</f>
        <v>M2</v>
      </c>
      <c r="F1978" s="196">
        <v>1.1000000000000001</v>
      </c>
      <c r="G1978" s="197">
        <f>IF(B1978="insumo",_xlfn.XLOOKUP($D1978,Insumos!$B$1:$B$764,Insumos!$D$1:$D$764),"")</f>
        <v>144.9</v>
      </c>
      <c r="H1978" s="177" cm="1">
        <f t="array" ref="H1978">_xlfn.IFS(B1978="Serviço",SUMIFS(H1979:$H$3085,C1979:$C$3085,$C1978),B1978="Insumo",F1978*G1978,B1978="Etapa","")</f>
        <v>159.39000000000001</v>
      </c>
      <c r="I1978" s="178"/>
    </row>
    <row r="1979" spans="1:9" hidden="1" outlineLevel="2" x14ac:dyDescent="0.25">
      <c r="A1979" s="175">
        <f t="shared" si="63"/>
        <v>118</v>
      </c>
      <c r="B1979" s="175" t="s">
        <v>327</v>
      </c>
      <c r="C1979" s="175" t="str">
        <f t="shared" si="64"/>
        <v>Revestimento de Piso Porcelanato Externo Porcelanato Pro Concrete Abs 89,5X89,5cm</v>
      </c>
      <c r="D1979" s="175" t="s">
        <v>654</v>
      </c>
      <c r="E1979" s="176" t="str">
        <f>_xlfn.XLOOKUP(D1979,Insumos!$B$1:$B$764,Insumos!$C$1:$C$764)</f>
        <v>KG</v>
      </c>
      <c r="F1979" s="196">
        <v>8.8000000000000007</v>
      </c>
      <c r="G1979" s="197">
        <f>IF(B1979="insumo",_xlfn.XLOOKUP($D1979,Insumos!$B$1:$B$764,Insumos!$D$1:$D$764),"")</f>
        <v>2.5499999999999998</v>
      </c>
      <c r="H1979" s="177" cm="1">
        <f t="array" ref="H1979">_xlfn.IFS(B1979="Serviço",SUMIFS(H1980:$H$3085,C1980:$C$3085,$C1979),B1979="Insumo",F1979*G1979,B1979="Etapa","")</f>
        <v>22.44</v>
      </c>
      <c r="I1979" s="178"/>
    </row>
    <row r="1980" spans="1:9" hidden="1" outlineLevel="2" x14ac:dyDescent="0.25">
      <c r="A1980" s="175">
        <f t="shared" si="63"/>
        <v>78</v>
      </c>
      <c r="B1980" s="175" t="s">
        <v>327</v>
      </c>
      <c r="C1980" s="175" t="str">
        <f t="shared" si="64"/>
        <v>Revestimento de Piso Porcelanato Externo Porcelanato Pro Concrete Abs 89,5X89,5cm</v>
      </c>
      <c r="D1980" s="175" t="s">
        <v>674</v>
      </c>
      <c r="E1980" s="176" t="str">
        <f>_xlfn.XLOOKUP(D1980,Insumos!$B$1:$B$764,Insumos!$C$1:$C$764)</f>
        <v>UN</v>
      </c>
      <c r="F1980" s="196">
        <v>1</v>
      </c>
      <c r="G1980" s="197">
        <f>IF(B1980="insumo",_xlfn.XLOOKUP($D1980,Insumos!$B$1:$B$764,Insumos!$D$1:$D$764),"")</f>
        <v>0.08</v>
      </c>
      <c r="H1980" s="177" cm="1">
        <f t="array" ref="H1980">_xlfn.IFS(B1980="Serviço",SUMIFS(H1981:$H$3085,C1981:$C$3085,$C1980),B1980="Insumo",F1980*G1980,B1980="Etapa","")</f>
        <v>0.08</v>
      </c>
      <c r="I1980" s="178"/>
    </row>
    <row r="1981" spans="1:9" hidden="1" outlineLevel="2" x14ac:dyDescent="0.25">
      <c r="A1981" s="175">
        <f t="shared" si="63"/>
        <v>71</v>
      </c>
      <c r="B1981" s="175" t="s">
        <v>327</v>
      </c>
      <c r="C1981" s="175" t="str">
        <f t="shared" si="64"/>
        <v>Revestimento de Piso Porcelanato Externo Porcelanato Pro Concrete Abs 89,5X89,5cm</v>
      </c>
      <c r="D1981" s="175" t="s">
        <v>675</v>
      </c>
      <c r="E1981" s="176" t="str">
        <f>_xlfn.XLOOKUP(D1981,Insumos!$B$1:$B$764,Insumos!$C$1:$C$764)</f>
        <v>KG</v>
      </c>
      <c r="F1981" s="196">
        <v>0.01</v>
      </c>
      <c r="G1981" s="197">
        <f>IF(B1981="insumo",_xlfn.XLOOKUP($D1981,Insumos!$B$1:$B$764,Insumos!$D$1:$D$764),"")</f>
        <v>11.15</v>
      </c>
      <c r="H1981" s="177" cm="1">
        <f t="array" ref="H1981">_xlfn.IFS(B1981="Serviço",SUMIFS(H1982:$H$3085,C1982:$C$3085,$C1981),B1981="Insumo",F1981*G1981,B1981="Etapa","")</f>
        <v>0.1115</v>
      </c>
      <c r="I1981" s="178"/>
    </row>
    <row r="1982" spans="1:9" outlineLevel="1" collapsed="1" x14ac:dyDescent="0.25">
      <c r="A1982" s="175">
        <f t="shared" si="63"/>
        <v>1</v>
      </c>
      <c r="B1982" s="175" t="s">
        <v>109</v>
      </c>
      <c r="C1982" s="175" t="str">
        <f t="shared" si="64"/>
        <v>Revestimento em Porcelanato Biancogres 20x120 Scala Beige-a Ret , rejunte cimentício, aplicação em áreas comuns internas</v>
      </c>
      <c r="D1982" s="175" t="s">
        <v>1263</v>
      </c>
      <c r="E1982" s="176" t="s">
        <v>13</v>
      </c>
      <c r="F1982" s="175"/>
      <c r="G1982" s="197" t="str">
        <f>IF(B1982="insumo",_xlfn.XLOOKUP($D1982,Insumos!$B$1:$B$764,Insumos!$D$1:$D$764),"")</f>
        <v/>
      </c>
      <c r="H1982" s="177" cm="1">
        <f t="array" ref="H1982">_xlfn.IFS(B1982="Serviço",SUMIFS(H1983:$H$3085,C1983:$C$3085,$C1982),B1982="Insumo",F1982*G1982,B1982="Etapa","")</f>
        <v>132.49300000000002</v>
      </c>
      <c r="I1982" s="178" t="s">
        <v>195</v>
      </c>
    </row>
    <row r="1983" spans="1:9" hidden="1" outlineLevel="2" x14ac:dyDescent="0.25">
      <c r="A1983" s="175">
        <f t="shared" si="63"/>
        <v>1</v>
      </c>
      <c r="B1983" s="175" t="s">
        <v>327</v>
      </c>
      <c r="C1983" s="175" t="str">
        <f t="shared" si="64"/>
        <v>Revestimento em Porcelanato Biancogres 20x120 Scala Beige-a Ret , rejunte cimentício, aplicação em áreas comuns internas</v>
      </c>
      <c r="D1983" s="175" t="s">
        <v>1214</v>
      </c>
      <c r="E1983" s="176" t="str">
        <f>_xlfn.XLOOKUP(D1983,Insumos!$B$1:$B$764,Insumos!$C$1:$C$764)</f>
        <v>M2</v>
      </c>
      <c r="F1983" s="179">
        <v>1.1000000000000001</v>
      </c>
      <c r="G1983" s="197">
        <f>IF(B1983="insumo",_xlfn.XLOOKUP($D1983,Insumos!$B$1:$B$764,Insumos!$D$1:$D$764),"")</f>
        <v>99.7</v>
      </c>
      <c r="H1983" s="177" cm="1">
        <f t="array" ref="H1983">_xlfn.IFS(B1983="Serviço",SUMIFS(H1984:$H$3085,C1984:$C$3085,$C1983),B1983="Insumo",F1983*G1983,B1983="Etapa","")</f>
        <v>109.67000000000002</v>
      </c>
      <c r="I1983" s="178"/>
    </row>
    <row r="1984" spans="1:9" hidden="1" outlineLevel="2" x14ac:dyDescent="0.25">
      <c r="A1984" s="175">
        <f t="shared" si="63"/>
        <v>118</v>
      </c>
      <c r="B1984" s="175" t="s">
        <v>327</v>
      </c>
      <c r="C1984" s="175" t="str">
        <f t="shared" si="64"/>
        <v>Revestimento em Porcelanato Biancogres 20x120 Scala Beige-a Ret , rejunte cimentício, aplicação em áreas comuns internas</v>
      </c>
      <c r="D1984" s="175" t="s">
        <v>654</v>
      </c>
      <c r="E1984" s="176" t="str">
        <f>_xlfn.XLOOKUP(D1984,Insumos!$B$1:$B$764,Insumos!$C$1:$C$764)</f>
        <v>KG</v>
      </c>
      <c r="F1984" s="179">
        <v>8.8000000000000007</v>
      </c>
      <c r="G1984" s="197">
        <f>IF(B1984="insumo",_xlfn.XLOOKUP($D1984,Insumos!$B$1:$B$764,Insumos!$D$1:$D$764),"")</f>
        <v>2.5499999999999998</v>
      </c>
      <c r="H1984" s="177" cm="1">
        <f t="array" ref="H1984">_xlfn.IFS(B1984="Serviço",SUMIFS(H1985:$H$3085,C1985:$C$3085,$C1984),B1984="Insumo",F1984*G1984,B1984="Etapa","")</f>
        <v>22.44</v>
      </c>
      <c r="I1984" s="178"/>
    </row>
    <row r="1985" spans="1:9" hidden="1" outlineLevel="2" x14ac:dyDescent="0.25">
      <c r="A1985" s="175">
        <f t="shared" si="63"/>
        <v>78</v>
      </c>
      <c r="B1985" s="175" t="s">
        <v>327</v>
      </c>
      <c r="C1985" s="175" t="str">
        <f t="shared" si="64"/>
        <v>Revestimento em Porcelanato Biancogres 20x120 Scala Beige-a Ret , rejunte cimentício, aplicação em áreas comuns internas</v>
      </c>
      <c r="D1985" s="175" t="s">
        <v>674</v>
      </c>
      <c r="E1985" s="176" t="str">
        <f>_xlfn.XLOOKUP(D1985,Insumos!$B$1:$B$764,Insumos!$C$1:$C$764)</f>
        <v>UN</v>
      </c>
      <c r="F1985" s="179">
        <v>2</v>
      </c>
      <c r="G1985" s="197">
        <f>IF(B1985="insumo",_xlfn.XLOOKUP($D1985,Insumos!$B$1:$B$764,Insumos!$D$1:$D$764),"")</f>
        <v>0.08</v>
      </c>
      <c r="H1985" s="177" cm="1">
        <f t="array" ref="H1985">_xlfn.IFS(B1985="Serviço",SUMIFS(H1986:$H$3085,C1986:$C$3085,$C1985),B1985="Insumo",F1985*G1985,B1985="Etapa","")</f>
        <v>0.16</v>
      </c>
      <c r="I1985" s="178"/>
    </row>
    <row r="1986" spans="1:9" hidden="1" outlineLevel="2" x14ac:dyDescent="0.25">
      <c r="A1986" s="175">
        <f t="shared" ref="A1986:A2049" si="65">COUNTIFS($D$2:$D$3085,D1986,$B$2:$B$3085,B1986)</f>
        <v>71</v>
      </c>
      <c r="B1986" s="175" t="s">
        <v>327</v>
      </c>
      <c r="C1986" s="175" t="str">
        <f t="shared" si="64"/>
        <v>Revestimento em Porcelanato Biancogres 20x120 Scala Beige-a Ret , rejunte cimentício, aplicação em áreas comuns internas</v>
      </c>
      <c r="D1986" s="175" t="s">
        <v>675</v>
      </c>
      <c r="E1986" s="176" t="str">
        <f>_xlfn.XLOOKUP(D1986,Insumos!$B$1:$B$764,Insumos!$C$1:$C$764)</f>
        <v>KG</v>
      </c>
      <c r="F1986" s="179">
        <v>0.02</v>
      </c>
      <c r="G1986" s="197">
        <f>IF(B1986="insumo",_xlfn.XLOOKUP($D1986,Insumos!$B$1:$B$764,Insumos!$D$1:$D$764),"")</f>
        <v>11.15</v>
      </c>
      <c r="H1986" s="177" cm="1">
        <f t="array" ref="H1986">_xlfn.IFS(B1986="Serviço",SUMIFS(H1987:$H$3085,C1987:$C$3085,$C1986),B1986="Insumo",F1986*G1986,B1986="Etapa","")</f>
        <v>0.223</v>
      </c>
      <c r="I1986" s="178"/>
    </row>
    <row r="1987" spans="1:9" outlineLevel="1" collapsed="1" x14ac:dyDescent="0.25">
      <c r="A1987" s="175">
        <f t="shared" si="65"/>
        <v>1</v>
      </c>
      <c r="B1987" s="175" t="s">
        <v>109</v>
      </c>
      <c r="C1987" s="175" t="str">
        <f t="shared" si="64"/>
        <v>Revestimento em Porcelanato Tipo Argila | Portobello - 120x20 cm, rejunte cimentício, aplicação em áreas comuns internas</v>
      </c>
      <c r="D1987" s="175" t="s">
        <v>1264</v>
      </c>
      <c r="E1987" s="176" t="s">
        <v>13</v>
      </c>
      <c r="F1987" s="175"/>
      <c r="G1987" s="197" t="str">
        <f>IF(B1987="insumo",_xlfn.XLOOKUP($D1987,Insumos!$B$1:$B$764,Insumos!$D$1:$D$764),"")</f>
        <v/>
      </c>
      <c r="H1987" s="177" cm="1">
        <f t="array" ref="H1987">_xlfn.IFS(B1987="Serviço",SUMIFS(H1988:$H$3085,C1988:$C$3085,$C1987),B1987="Insumo",F1987*G1987,B1987="Etapa","")</f>
        <v>198.82300000000001</v>
      </c>
      <c r="I1987" s="178" t="s">
        <v>195</v>
      </c>
    </row>
    <row r="1988" spans="1:9" hidden="1" outlineLevel="2" x14ac:dyDescent="0.25">
      <c r="A1988" s="175">
        <f t="shared" si="65"/>
        <v>1</v>
      </c>
      <c r="B1988" s="175" t="s">
        <v>327</v>
      </c>
      <c r="C1988" s="175" t="str">
        <f t="shared" si="64"/>
        <v>Revestimento em Porcelanato Tipo Argila | Portobello - 120x20 cm, rejunte cimentício, aplicação em áreas comuns internas</v>
      </c>
      <c r="D1988" s="175" t="s">
        <v>1216</v>
      </c>
      <c r="E1988" s="176" t="str">
        <f>_xlfn.XLOOKUP(D1988,Insumos!$B$1:$B$764,Insumos!$C$1:$C$764)</f>
        <v>M2</v>
      </c>
      <c r="F1988" s="179">
        <v>1.1000000000000001</v>
      </c>
      <c r="G1988" s="197">
        <f>IF(B1988="insumo",_xlfn.XLOOKUP($D1988,Insumos!$B$1:$B$764,Insumos!$D$1:$D$764),"")</f>
        <v>160</v>
      </c>
      <c r="H1988" s="177" cm="1">
        <f t="array" ref="H1988">_xlfn.IFS(B1988="Serviço",SUMIFS(H1989:$H$3085,C1989:$C$3085,$C1988),B1988="Insumo",F1988*G1988,B1988="Etapa","")</f>
        <v>176</v>
      </c>
      <c r="I1988" s="178"/>
    </row>
    <row r="1989" spans="1:9" hidden="1" outlineLevel="2" x14ac:dyDescent="0.25">
      <c r="A1989" s="175">
        <f t="shared" si="65"/>
        <v>118</v>
      </c>
      <c r="B1989" s="175" t="s">
        <v>327</v>
      </c>
      <c r="C1989" s="175" t="str">
        <f t="shared" si="64"/>
        <v>Revestimento em Porcelanato Tipo Argila | Portobello - 120x20 cm, rejunte cimentício, aplicação em áreas comuns internas</v>
      </c>
      <c r="D1989" s="175" t="s">
        <v>654</v>
      </c>
      <c r="E1989" s="176" t="str">
        <f>_xlfn.XLOOKUP(D1989,Insumos!$B$1:$B$764,Insumos!$C$1:$C$764)</f>
        <v>KG</v>
      </c>
      <c r="F1989" s="179">
        <v>8.8000000000000007</v>
      </c>
      <c r="G1989" s="197">
        <f>IF(B1989="insumo",_xlfn.XLOOKUP($D1989,Insumos!$B$1:$B$764,Insumos!$D$1:$D$764),"")</f>
        <v>2.5499999999999998</v>
      </c>
      <c r="H1989" s="177" cm="1">
        <f t="array" ref="H1989">_xlfn.IFS(B1989="Serviço",SUMIFS(H1990:$H$3085,C1990:$C$3085,$C1989),B1989="Insumo",F1989*G1989,B1989="Etapa","")</f>
        <v>22.44</v>
      </c>
      <c r="I1989" s="178"/>
    </row>
    <row r="1990" spans="1:9" hidden="1" outlineLevel="2" x14ac:dyDescent="0.25">
      <c r="A1990" s="175">
        <f t="shared" si="65"/>
        <v>78</v>
      </c>
      <c r="B1990" s="175" t="s">
        <v>327</v>
      </c>
      <c r="C1990" s="175" t="str">
        <f t="shared" si="64"/>
        <v>Revestimento em Porcelanato Tipo Argila | Portobello - 120x20 cm, rejunte cimentício, aplicação em áreas comuns internas</v>
      </c>
      <c r="D1990" s="175" t="s">
        <v>674</v>
      </c>
      <c r="E1990" s="176" t="str">
        <f>_xlfn.XLOOKUP(D1990,Insumos!$B$1:$B$764,Insumos!$C$1:$C$764)</f>
        <v>UN</v>
      </c>
      <c r="F1990" s="179">
        <v>2</v>
      </c>
      <c r="G1990" s="197">
        <f>IF(B1990="insumo",_xlfn.XLOOKUP($D1990,Insumos!$B$1:$B$764,Insumos!$D$1:$D$764),"")</f>
        <v>0.08</v>
      </c>
      <c r="H1990" s="177" cm="1">
        <f t="array" ref="H1990">_xlfn.IFS(B1990="Serviço",SUMIFS(H1991:$H$3085,C1991:$C$3085,$C1990),B1990="Insumo",F1990*G1990,B1990="Etapa","")</f>
        <v>0.16</v>
      </c>
      <c r="I1990" s="178"/>
    </row>
    <row r="1991" spans="1:9" hidden="1" outlineLevel="2" x14ac:dyDescent="0.25">
      <c r="A1991" s="175">
        <f t="shared" si="65"/>
        <v>71</v>
      </c>
      <c r="B1991" s="175" t="s">
        <v>327</v>
      </c>
      <c r="C1991" s="175" t="str">
        <f t="shared" si="64"/>
        <v>Revestimento em Porcelanato Tipo Argila | Portobello - 120x20 cm, rejunte cimentício, aplicação em áreas comuns internas</v>
      </c>
      <c r="D1991" s="175" t="s">
        <v>675</v>
      </c>
      <c r="E1991" s="176" t="str">
        <f>_xlfn.XLOOKUP(D1991,Insumos!$B$1:$B$764,Insumos!$C$1:$C$764)</f>
        <v>KG</v>
      </c>
      <c r="F1991" s="179">
        <v>0.02</v>
      </c>
      <c r="G1991" s="197">
        <f>IF(B1991="insumo",_xlfn.XLOOKUP($D1991,Insumos!$B$1:$B$764,Insumos!$D$1:$D$764),"")</f>
        <v>11.15</v>
      </c>
      <c r="H1991" s="177" cm="1">
        <f t="array" ref="H1991">_xlfn.IFS(B1991="Serviço",SUMIFS(H1992:$H$3085,C1992:$C$3085,$C1991),B1991="Insumo",F1991*G1991,B1991="Etapa","")</f>
        <v>0.223</v>
      </c>
      <c r="I1991" s="178"/>
    </row>
    <row r="1992" spans="1:9" outlineLevel="1" collapsed="1" x14ac:dyDescent="0.25">
      <c r="A1992" s="175">
        <f t="shared" si="65"/>
        <v>1</v>
      </c>
      <c r="B1992" s="175" t="s">
        <v>109</v>
      </c>
      <c r="C1992" s="175" t="str">
        <f t="shared" si="64"/>
        <v>Revestimento de Piso Porcelanato Interno Cimentício Acetinado Borda Reta Interno 120x120cm Munari Branco Eliane</v>
      </c>
      <c r="D1992" s="175" t="s">
        <v>1265</v>
      </c>
      <c r="E1992" s="176" t="s">
        <v>13</v>
      </c>
      <c r="F1992" s="175"/>
      <c r="G1992" s="197" t="str">
        <f>IF(B1992="insumo",_xlfn.XLOOKUP($D1992,Insumos!$B$1:$B$764,Insumos!$D$1:$D$764),"")</f>
        <v/>
      </c>
      <c r="H1992" s="177" cm="1">
        <f t="array" ref="H1992">_xlfn.IFS(B1992="Serviço",SUMIFS(H1993:$H$3085,C1993:$C$3085,$C1992),B1992="Insumo",F1992*G1992,B1992="Etapa","")</f>
        <v>230.376</v>
      </c>
      <c r="I1992" s="178" t="s">
        <v>195</v>
      </c>
    </row>
    <row r="1993" spans="1:9" hidden="1" outlineLevel="2" x14ac:dyDescent="0.25">
      <c r="A1993" s="175">
        <f t="shared" si="65"/>
        <v>1</v>
      </c>
      <c r="B1993" s="175" t="s">
        <v>327</v>
      </c>
      <c r="C1993" s="175" t="str">
        <f t="shared" si="64"/>
        <v>Revestimento de Piso Porcelanato Interno Cimentício Acetinado Borda Reta Interno 120x120cm Munari Branco Eliane</v>
      </c>
      <c r="D1993" s="175" t="s">
        <v>1213</v>
      </c>
      <c r="E1993" s="176" t="str">
        <f>_xlfn.XLOOKUP(D1993,Insumos!$B$1:$B$764,Insumos!$C$1:$C$764)</f>
        <v>M2</v>
      </c>
      <c r="F1993" s="179">
        <v>1.1000000000000001</v>
      </c>
      <c r="G1993" s="197">
        <f>IF(B1993="insumo",_xlfn.XLOOKUP($D1993,Insumos!$B$1:$B$764,Insumos!$D$1:$D$764),"")</f>
        <v>183.21</v>
      </c>
      <c r="H1993" s="177" cm="1">
        <f t="array" ref="H1993">_xlfn.IFS(B1993="Serviço",SUMIFS(H1994:$H$3085,C1994:$C$3085,$C1993),B1993="Insumo",F1993*G1993,B1993="Etapa","")</f>
        <v>201.53100000000003</v>
      </c>
      <c r="I1993" s="178"/>
    </row>
    <row r="1994" spans="1:9" hidden="1" outlineLevel="2" x14ac:dyDescent="0.25">
      <c r="A1994" s="175">
        <f t="shared" si="65"/>
        <v>118</v>
      </c>
      <c r="B1994" s="175" t="s">
        <v>327</v>
      </c>
      <c r="C1994" s="175" t="str">
        <f t="shared" si="64"/>
        <v>Revestimento de Piso Porcelanato Interno Cimentício Acetinado Borda Reta Interno 120x120cm Munari Branco Eliane</v>
      </c>
      <c r="D1994" s="175" t="s">
        <v>654</v>
      </c>
      <c r="E1994" s="176" t="str">
        <f>_xlfn.XLOOKUP(D1994,Insumos!$B$1:$B$764,Insumos!$C$1:$C$764)</f>
        <v>KG</v>
      </c>
      <c r="F1994" s="179">
        <v>9</v>
      </c>
      <c r="G1994" s="197">
        <f>IF(B1994="insumo",_xlfn.XLOOKUP($D1994,Insumos!$B$1:$B$764,Insumos!$D$1:$D$764),"")</f>
        <v>2.5499999999999998</v>
      </c>
      <c r="H1994" s="177" cm="1">
        <f t="array" ref="H1994">_xlfn.IFS(B1994="Serviço",SUMIFS(H1995:$H$3085,C1995:$C$3085,$C1994),B1994="Insumo",F1994*G1994,B1994="Etapa","")</f>
        <v>22.95</v>
      </c>
      <c r="I1994" s="178"/>
    </row>
    <row r="1995" spans="1:9" hidden="1" outlineLevel="2" x14ac:dyDescent="0.25">
      <c r="A1995" s="175">
        <f t="shared" si="65"/>
        <v>78</v>
      </c>
      <c r="B1995" s="175" t="s">
        <v>327</v>
      </c>
      <c r="C1995" s="175" t="str">
        <f t="shared" si="64"/>
        <v>Revestimento de Piso Porcelanato Interno Cimentício Acetinado Borda Reta Interno 120x120cm Munari Branco Eliane</v>
      </c>
      <c r="D1995" s="175" t="s">
        <v>674</v>
      </c>
      <c r="E1995" s="176" t="str">
        <f>_xlfn.XLOOKUP(D1995,Insumos!$B$1:$B$764,Insumos!$C$1:$C$764)</f>
        <v>UN</v>
      </c>
      <c r="F1995" s="179">
        <v>4</v>
      </c>
      <c r="G1995" s="197">
        <f>IF(B1995="insumo",_xlfn.XLOOKUP($D1995,Insumos!$B$1:$B$764,Insumos!$D$1:$D$764),"")</f>
        <v>0.08</v>
      </c>
      <c r="H1995" s="177" cm="1">
        <f t="array" ref="H1995">_xlfn.IFS(B1995="Serviço",SUMIFS(H1996:$H$3085,C1996:$C$3085,$C1995),B1995="Insumo",F1995*G1995,B1995="Etapa","")</f>
        <v>0.32</v>
      </c>
      <c r="I1995" s="178"/>
    </row>
    <row r="1996" spans="1:9" hidden="1" outlineLevel="2" x14ac:dyDescent="0.25">
      <c r="A1996" s="175">
        <f t="shared" si="65"/>
        <v>71</v>
      </c>
      <c r="B1996" s="175" t="s">
        <v>327</v>
      </c>
      <c r="C1996" s="175" t="str">
        <f t="shared" si="64"/>
        <v>Revestimento de Piso Porcelanato Interno Cimentício Acetinado Borda Reta Interno 120x120cm Munari Branco Eliane</v>
      </c>
      <c r="D1996" s="175" t="s">
        <v>675</v>
      </c>
      <c r="E1996" s="176" t="str">
        <f>_xlfn.XLOOKUP(D1996,Insumos!$B$1:$B$764,Insumos!$C$1:$C$764)</f>
        <v>KG</v>
      </c>
      <c r="F1996" s="179">
        <v>0.5</v>
      </c>
      <c r="G1996" s="197">
        <f>IF(B1996="insumo",_xlfn.XLOOKUP($D1996,Insumos!$B$1:$B$764,Insumos!$D$1:$D$764),"")</f>
        <v>11.15</v>
      </c>
      <c r="H1996" s="177" cm="1">
        <f t="array" ref="H1996">_xlfn.IFS(B1996="Serviço",SUMIFS(H1997:$H$3085,C1997:$C$3085,$C1996),B1996="Insumo",F1996*G1996,B1996="Etapa","")</f>
        <v>5.5750000000000002</v>
      </c>
      <c r="I1996" s="178"/>
    </row>
    <row r="1997" spans="1:9" outlineLevel="1" collapsed="1" x14ac:dyDescent="0.25">
      <c r="A1997" s="175">
        <f t="shared" si="65"/>
        <v>1</v>
      </c>
      <c r="B1997" s="175" t="s">
        <v>109</v>
      </c>
      <c r="C1997" s="175" t="str">
        <f t="shared" si="64"/>
        <v xml:space="preserve">Revestimento em Pastilhas Cerâmicas Para Piscinas , 14,5 x 14,5cm com Junta de 2mm </v>
      </c>
      <c r="D1997" s="175" t="s">
        <v>229</v>
      </c>
      <c r="E1997" s="176" t="s">
        <v>13</v>
      </c>
      <c r="F1997" s="175"/>
      <c r="G1997" s="177" t="str">
        <f>IF(B1997="insumo",_xlfn.XLOOKUP($D1997,Insumos!$B$1:$B$764,Insumos!$D$1:$D$764),"")</f>
        <v/>
      </c>
      <c r="H1997" s="177" cm="1">
        <f t="array" ref="H1997">_xlfn.IFS(B1997="Serviço",SUMIFS(H1998:$H$3085,C1998:$C$3085,$C1997),B1997="Insumo",F1997*G1997,B1997="Etapa","")</f>
        <v>169.535</v>
      </c>
      <c r="I1997" s="178" t="s">
        <v>195</v>
      </c>
    </row>
    <row r="1998" spans="1:9" hidden="1" outlineLevel="2" x14ac:dyDescent="0.25">
      <c r="A1998" s="175">
        <f t="shared" si="65"/>
        <v>3</v>
      </c>
      <c r="B1998" s="175" t="s">
        <v>327</v>
      </c>
      <c r="C1998" s="175" t="str">
        <f t="shared" si="64"/>
        <v xml:space="preserve">Revestimento em Pastilhas Cerâmicas Para Piscinas , 14,5 x 14,5cm com Junta de 2mm </v>
      </c>
      <c r="D1998" s="175" t="s">
        <v>683</v>
      </c>
      <c r="E1998" s="176" t="str">
        <f>_xlfn.XLOOKUP(D1998,Insumos!$B$1:$B$764,Insumos!$C$1:$C$764)</f>
        <v>M2</v>
      </c>
      <c r="F1998" s="179">
        <v>1.1000000000000001</v>
      </c>
      <c r="G1998" s="177">
        <f>IF(B1998="insumo",_xlfn.XLOOKUP($D1998,Insumos!$B$1:$B$764,Insumos!$D$1:$D$764),"")</f>
        <v>127.9</v>
      </c>
      <c r="H1998" s="177" cm="1">
        <f t="array" ref="H1998">_xlfn.IFS(B1998="Serviço",SUMIFS(H1999:$H$3085,C1999:$C$3085,$C1998),B1998="Insumo",F1998*G1998,B1998="Etapa","")</f>
        <v>140.69000000000003</v>
      </c>
      <c r="I1998" s="178"/>
    </row>
    <row r="1999" spans="1:9" hidden="1" outlineLevel="2" x14ac:dyDescent="0.25">
      <c r="A1999" s="175">
        <f t="shared" si="65"/>
        <v>118</v>
      </c>
      <c r="B1999" s="175" t="s">
        <v>327</v>
      </c>
      <c r="C1999" s="175" t="str">
        <f t="shared" si="64"/>
        <v xml:space="preserve">Revestimento em Pastilhas Cerâmicas Para Piscinas , 14,5 x 14,5cm com Junta de 2mm </v>
      </c>
      <c r="D1999" s="175" t="s">
        <v>654</v>
      </c>
      <c r="E1999" s="176" t="str">
        <f>_xlfn.XLOOKUP(D1999,Insumos!$B$1:$B$764,Insumos!$C$1:$C$764)</f>
        <v>KG</v>
      </c>
      <c r="F1999" s="179">
        <v>9</v>
      </c>
      <c r="G1999" s="177">
        <f>IF(B1999="insumo",_xlfn.XLOOKUP($D1999,Insumos!$B$1:$B$764,Insumos!$D$1:$D$764),"")</f>
        <v>2.5499999999999998</v>
      </c>
      <c r="H1999" s="177" cm="1">
        <f t="array" ref="H1999">_xlfn.IFS(B1999="Serviço",SUMIFS(H2000:$H$3085,C2000:$C$3085,$C1999),B1999="Insumo",F1999*G1999,B1999="Etapa","")</f>
        <v>22.95</v>
      </c>
      <c r="I1999" s="178"/>
    </row>
    <row r="2000" spans="1:9" hidden="1" outlineLevel="2" x14ac:dyDescent="0.25">
      <c r="A2000" s="175">
        <f t="shared" si="65"/>
        <v>78</v>
      </c>
      <c r="B2000" s="175" t="s">
        <v>327</v>
      </c>
      <c r="C2000" s="175" t="str">
        <f t="shared" si="64"/>
        <v xml:space="preserve">Revestimento em Pastilhas Cerâmicas Para Piscinas , 14,5 x 14,5cm com Junta de 2mm </v>
      </c>
      <c r="D2000" s="175" t="s">
        <v>674</v>
      </c>
      <c r="E2000" s="176" t="str">
        <f>_xlfn.XLOOKUP(D2000,Insumos!$B$1:$B$764,Insumos!$C$1:$C$764)</f>
        <v>UN</v>
      </c>
      <c r="F2000" s="179">
        <v>4</v>
      </c>
      <c r="G2000" s="177">
        <f>IF(B2000="insumo",_xlfn.XLOOKUP($D2000,Insumos!$B$1:$B$764,Insumos!$D$1:$D$764),"")</f>
        <v>0.08</v>
      </c>
      <c r="H2000" s="177" cm="1">
        <f t="array" ref="H2000">_xlfn.IFS(B2000="Serviço",SUMIFS(H2001:$H$3085,C2001:$C$3085,$C2000),B2000="Insumo",F2000*G2000,B2000="Etapa","")</f>
        <v>0.32</v>
      </c>
      <c r="I2000" s="178"/>
    </row>
    <row r="2001" spans="1:9" hidden="1" outlineLevel="2" x14ac:dyDescent="0.25">
      <c r="A2001" s="175">
        <f t="shared" si="65"/>
        <v>71</v>
      </c>
      <c r="B2001" s="175" t="s">
        <v>327</v>
      </c>
      <c r="C2001" s="175" t="str">
        <f t="shared" si="64"/>
        <v xml:space="preserve">Revestimento em Pastilhas Cerâmicas Para Piscinas , 14,5 x 14,5cm com Junta de 2mm </v>
      </c>
      <c r="D2001" s="175" t="s">
        <v>675</v>
      </c>
      <c r="E2001" s="176" t="str">
        <f>_xlfn.XLOOKUP(D2001,Insumos!$B$1:$B$764,Insumos!$C$1:$C$764)</f>
        <v>KG</v>
      </c>
      <c r="F2001" s="179">
        <v>0.5</v>
      </c>
      <c r="G2001" s="177">
        <f>IF(B2001="insumo",_xlfn.XLOOKUP($D2001,Insumos!$B$1:$B$764,Insumos!$D$1:$D$764),"")</f>
        <v>11.15</v>
      </c>
      <c r="H2001" s="177" cm="1">
        <f t="array" ref="H2001">_xlfn.IFS(B2001="Serviço",SUMIFS(H2002:$H$3085,C2002:$C$3085,$C2001),B2001="Insumo",F2001*G2001,B2001="Etapa","")</f>
        <v>5.5750000000000002</v>
      </c>
      <c r="I2001" s="178"/>
    </row>
    <row r="2002" spans="1:9" outlineLevel="1" collapsed="1" x14ac:dyDescent="0.25">
      <c r="A2002" s="175">
        <f t="shared" si="65"/>
        <v>1</v>
      </c>
      <c r="B2002" s="175" t="s">
        <v>109</v>
      </c>
      <c r="C2002" s="175" t="str">
        <f t="shared" si="64"/>
        <v>Revestimento emborrachado piso interno (Academia)- Material e Mão de Obra</v>
      </c>
      <c r="D2002" s="175" t="s">
        <v>244</v>
      </c>
      <c r="E2002" s="176" t="s">
        <v>13</v>
      </c>
      <c r="F2002" s="175"/>
      <c r="G2002" s="177" t="str">
        <f>IF(B2002="insumo",_xlfn.XLOOKUP($D2002,Insumos!$B$1:$B$764,Insumos!$D$1:$D$764),"")</f>
        <v/>
      </c>
      <c r="H2002" s="177" cm="1">
        <f t="array" ref="H2002">_xlfn.IFS(B2002="Serviço",SUMIFS(H2003:$H$3085,C2003:$C$3085,$C2002),B2002="Insumo",F2002*G2002,B2002="Etapa","")</f>
        <v>101.998107</v>
      </c>
      <c r="I2002" s="178" t="s">
        <v>195</v>
      </c>
    </row>
    <row r="2003" spans="1:9" hidden="1" outlineLevel="2" x14ac:dyDescent="0.25">
      <c r="A2003" s="175">
        <f t="shared" si="65"/>
        <v>5</v>
      </c>
      <c r="B2003" s="175" t="s">
        <v>327</v>
      </c>
      <c r="C2003" s="175" t="str">
        <f t="shared" si="64"/>
        <v>Revestimento emborrachado piso interno (Academia)- Material e Mão de Obra</v>
      </c>
      <c r="D2003" s="175" t="s">
        <v>787</v>
      </c>
      <c r="E2003" s="176" t="str">
        <f>_xlfn.XLOOKUP(D2003,Insumos!$B$1:$B$764,Insumos!$C$1:$C$764)</f>
        <v>KG</v>
      </c>
      <c r="F2003" s="179">
        <v>0.56369999999999998</v>
      </c>
      <c r="G2003" s="177">
        <f>IF(B2003="insumo",_xlfn.XLOOKUP($D2003,Insumos!$B$1:$B$764,Insumos!$D$1:$D$764),"")</f>
        <v>25.11</v>
      </c>
      <c r="H2003" s="177" cm="1">
        <f t="array" ref="H2003">_xlfn.IFS(B2003="Serviço",SUMIFS(H2004:$H$3085,C2004:$C$3085,$C2003),B2003="Insumo",F2003*G2003,B2003="Etapa","")</f>
        <v>14.154506999999999</v>
      </c>
      <c r="I2003" s="178"/>
    </row>
    <row r="2004" spans="1:9" hidden="1" outlineLevel="2" x14ac:dyDescent="0.25">
      <c r="A2004" s="175">
        <f t="shared" si="65"/>
        <v>1</v>
      </c>
      <c r="B2004" s="175" t="s">
        <v>327</v>
      </c>
      <c r="C2004" s="175" t="str">
        <f t="shared" si="64"/>
        <v>Revestimento emborrachado piso interno (Academia)- Material e Mão de Obra</v>
      </c>
      <c r="D2004" s="175" t="s">
        <v>788</v>
      </c>
      <c r="E2004" s="176" t="str">
        <f>_xlfn.XLOOKUP(D2004,Insumos!$B$1:$B$764,Insumos!$C$1:$C$764)</f>
        <v>M2</v>
      </c>
      <c r="F2004" s="179">
        <v>1.1000000000000001</v>
      </c>
      <c r="G2004" s="177">
        <f>IF(B2004="insumo",_xlfn.XLOOKUP($D2004,Insumos!$B$1:$B$764,Insumos!$D$1:$D$764),"")</f>
        <v>56.675999999999995</v>
      </c>
      <c r="H2004" s="177" cm="1">
        <f t="array" ref="H2004">_xlfn.IFS(B2004="Serviço",SUMIFS(H2005:$H$3085,C2005:$C$3085,$C2004),B2004="Insumo",F2004*G2004,B2004="Etapa","")</f>
        <v>62.343600000000002</v>
      </c>
      <c r="I2004" s="178"/>
    </row>
    <row r="2005" spans="1:9" hidden="1" outlineLevel="2" x14ac:dyDescent="0.25">
      <c r="A2005" s="175">
        <f t="shared" si="65"/>
        <v>1</v>
      </c>
      <c r="B2005" s="175" t="s">
        <v>327</v>
      </c>
      <c r="C2005" s="175" t="str">
        <f t="shared" si="64"/>
        <v>Revestimento emborrachado piso interno (Academia)- Material e Mão de Obra</v>
      </c>
      <c r="D2005" s="175" t="s">
        <v>789</v>
      </c>
      <c r="E2005" s="176" t="str">
        <f>_xlfn.XLOOKUP(D2005,Insumos!$B$1:$B$764,Insumos!$C$1:$C$764)</f>
        <v>M2</v>
      </c>
      <c r="F2005" s="179">
        <v>1</v>
      </c>
      <c r="G2005" s="177">
        <f>IF(B2005="insumo",_xlfn.XLOOKUP($D2005,Insumos!$B$1:$B$764,Insumos!$D$1:$D$764),"")</f>
        <v>25.5</v>
      </c>
      <c r="H2005" s="177" cm="1">
        <f t="array" ref="H2005">_xlfn.IFS(B2005="Serviço",SUMIFS(H2006:$H$3085,C2006:$C$3085,$C2005),B2005="Insumo",F2005*G2005,B2005="Etapa","")</f>
        <v>25.5</v>
      </c>
      <c r="I2005" s="178"/>
    </row>
    <row r="2006" spans="1:9" outlineLevel="1" collapsed="1" x14ac:dyDescent="0.25">
      <c r="A2006" s="175">
        <f t="shared" si="65"/>
        <v>1</v>
      </c>
      <c r="B2006" s="175" t="s">
        <v>109</v>
      </c>
      <c r="C2006" s="175" t="str">
        <f t="shared" si="64"/>
        <v>Revestimento de Granito cinza em Pisos</v>
      </c>
      <c r="D2006" s="175" t="s">
        <v>790</v>
      </c>
      <c r="E2006" s="176" t="s">
        <v>13</v>
      </c>
      <c r="F2006" s="175"/>
      <c r="G2006" s="177" t="str">
        <f>IF(B2006="insumo",_xlfn.XLOOKUP($D2006,Insumos!$B$1:$B$764,Insumos!$D$1:$D$764),"")</f>
        <v/>
      </c>
      <c r="H2006" s="177" cm="1">
        <f t="array" ref="H2006">_xlfn.IFS(B2006="Serviço",SUMIFS(H2007:$H$3085,C2007:$C$3085,$C2006),B2006="Insumo",F2006*G2006,B2006="Etapa","")</f>
        <v>559.61500000000001</v>
      </c>
      <c r="I2006" s="178" t="s">
        <v>195</v>
      </c>
    </row>
    <row r="2007" spans="1:9" hidden="1" outlineLevel="2" x14ac:dyDescent="0.25">
      <c r="A2007" s="175">
        <f t="shared" si="65"/>
        <v>3</v>
      </c>
      <c r="B2007" s="175" t="s">
        <v>327</v>
      </c>
      <c r="C2007" s="175" t="str">
        <f t="shared" si="64"/>
        <v>Revestimento de Granito cinza em Pisos</v>
      </c>
      <c r="D2007" s="175" t="s">
        <v>685</v>
      </c>
      <c r="E2007" s="176" t="str">
        <f>_xlfn.XLOOKUP(D2007,Insumos!$B$1:$B$764,Insumos!$C$1:$C$764)</f>
        <v>M2</v>
      </c>
      <c r="F2007" s="179">
        <v>1.1000000000000001</v>
      </c>
      <c r="G2007" s="177">
        <f>IF(B2007="insumo",_xlfn.XLOOKUP($D2007,Insumos!$B$1:$B$764,Insumos!$D$1:$D$764),"")</f>
        <v>480</v>
      </c>
      <c r="H2007" s="177" cm="1">
        <f t="array" ref="H2007">_xlfn.IFS(B2007="Serviço",SUMIFS(H2008:$H$3085,C2008:$C$3085,$C2007),B2007="Insumo",F2007*G2007,B2007="Etapa","")</f>
        <v>528</v>
      </c>
      <c r="I2007" s="178"/>
    </row>
    <row r="2008" spans="1:9" hidden="1" outlineLevel="2" x14ac:dyDescent="0.25">
      <c r="A2008" s="175">
        <f t="shared" si="65"/>
        <v>118</v>
      </c>
      <c r="B2008" s="175" t="s">
        <v>327</v>
      </c>
      <c r="C2008" s="175" t="str">
        <f t="shared" si="64"/>
        <v>Revestimento de Granito cinza em Pisos</v>
      </c>
      <c r="D2008" s="175" t="s">
        <v>654</v>
      </c>
      <c r="E2008" s="176" t="str">
        <f>_xlfn.XLOOKUP(D2008,Insumos!$B$1:$B$764,Insumos!$C$1:$C$764)</f>
        <v>KG</v>
      </c>
      <c r="F2008" s="179">
        <v>9</v>
      </c>
      <c r="G2008" s="177">
        <f>IF(B2008="insumo",_xlfn.XLOOKUP($D2008,Insumos!$B$1:$B$764,Insumos!$D$1:$D$764),"")</f>
        <v>2.5499999999999998</v>
      </c>
      <c r="H2008" s="177" cm="1">
        <f t="array" ref="H2008">_xlfn.IFS(B2008="Serviço",SUMIFS(H2009:$H$3085,C2009:$C$3085,$C2008),B2008="Insumo",F2008*G2008,B2008="Etapa","")</f>
        <v>22.95</v>
      </c>
      <c r="I2008" s="178"/>
    </row>
    <row r="2009" spans="1:9" hidden="1" outlineLevel="2" x14ac:dyDescent="0.25">
      <c r="A2009" s="175">
        <f t="shared" si="65"/>
        <v>18</v>
      </c>
      <c r="B2009" s="175" t="s">
        <v>327</v>
      </c>
      <c r="C2009" s="175" t="str">
        <f t="shared" si="64"/>
        <v>Revestimento de Granito cinza em Pisos</v>
      </c>
      <c r="D2009" s="175" t="s">
        <v>694</v>
      </c>
      <c r="E2009" s="176" t="str">
        <f>_xlfn.XLOOKUP(D2009,Insumos!$B$1:$B$764,Insumos!$C$1:$C$764)</f>
        <v>UN</v>
      </c>
      <c r="F2009" s="179">
        <v>0.5</v>
      </c>
      <c r="G2009" s="177">
        <f>IF(B2009="insumo",_xlfn.XLOOKUP($D2009,Insumos!$B$1:$B$764,Insumos!$D$1:$D$764),"")</f>
        <v>17.329999999999998</v>
      </c>
      <c r="H2009" s="177" cm="1">
        <f t="array" ref="H2009">_xlfn.IFS(B2009="Serviço",SUMIFS(H2010:$H$3085,C2010:$C$3085,$C2009),B2009="Insumo",F2009*G2009,B2009="Etapa","")</f>
        <v>8.6649999999999991</v>
      </c>
      <c r="I2009" s="178"/>
    </row>
    <row r="2010" spans="1:9" outlineLevel="1" collapsed="1" x14ac:dyDescent="0.25">
      <c r="A2010" s="175">
        <f t="shared" si="65"/>
        <v>1</v>
      </c>
      <c r="B2010" s="175" t="s">
        <v>109</v>
      </c>
      <c r="C2010" s="175" t="str">
        <f t="shared" si="64"/>
        <v>Revestimento de Pedras Naturais em Pisos</v>
      </c>
      <c r="D2010" s="175" t="s">
        <v>791</v>
      </c>
      <c r="E2010" s="176" t="s">
        <v>13</v>
      </c>
      <c r="F2010" s="175"/>
      <c r="G2010" s="177" t="str">
        <f>IF(B2010="insumo",_xlfn.XLOOKUP($D2010,Insumos!$B$1:$B$764,Insumos!$D$1:$D$764),"")</f>
        <v/>
      </c>
      <c r="H2010" s="177" cm="1">
        <f t="array" ref="H2010">_xlfn.IFS(B2010="Serviço",SUMIFS(H2011:$H$3085,C2011:$C$3085,$C2010),B2010="Insumo",F2010*G2010,B2010="Etapa","")</f>
        <v>856.61500000000012</v>
      </c>
      <c r="I2010" s="178" t="s">
        <v>195</v>
      </c>
    </row>
    <row r="2011" spans="1:9" hidden="1" outlineLevel="2" x14ac:dyDescent="0.25">
      <c r="A2011" s="175">
        <f t="shared" si="65"/>
        <v>10</v>
      </c>
      <c r="B2011" s="175" t="s">
        <v>327</v>
      </c>
      <c r="C2011" s="175" t="str">
        <f t="shared" si="64"/>
        <v>Revestimento de Pedras Naturais em Pisos</v>
      </c>
      <c r="D2011" s="175" t="s">
        <v>689</v>
      </c>
      <c r="E2011" s="176" t="str">
        <f>_xlfn.XLOOKUP(D2011,Insumos!$B$1:$B$764,Insumos!$C$1:$C$764)</f>
        <v>M2</v>
      </c>
      <c r="F2011" s="179">
        <v>1.1000000000000001</v>
      </c>
      <c r="G2011" s="177">
        <f>IF(B2011="insumo",_xlfn.XLOOKUP($D2011,Insumos!$B$1:$B$764,Insumos!$D$1:$D$764),"")</f>
        <v>750</v>
      </c>
      <c r="H2011" s="177" cm="1">
        <f t="array" ref="H2011">_xlfn.IFS(B2011="Serviço",SUMIFS(H2012:$H$3085,C2012:$C$3085,$C2011),B2011="Insumo",F2011*G2011,B2011="Etapa","")</f>
        <v>825.00000000000011</v>
      </c>
      <c r="I2011" s="178"/>
    </row>
    <row r="2012" spans="1:9" hidden="1" outlineLevel="2" x14ac:dyDescent="0.25">
      <c r="A2012" s="175">
        <f t="shared" si="65"/>
        <v>118</v>
      </c>
      <c r="B2012" s="175" t="s">
        <v>327</v>
      </c>
      <c r="C2012" s="175" t="str">
        <f t="shared" si="64"/>
        <v>Revestimento de Pedras Naturais em Pisos</v>
      </c>
      <c r="D2012" s="175" t="s">
        <v>654</v>
      </c>
      <c r="E2012" s="176" t="str">
        <f>_xlfn.XLOOKUP(D2012,Insumos!$B$1:$B$764,Insumos!$C$1:$C$764)</f>
        <v>KG</v>
      </c>
      <c r="F2012" s="179">
        <v>9</v>
      </c>
      <c r="G2012" s="177">
        <f>IF(B2012="insumo",_xlfn.XLOOKUP($D2012,Insumos!$B$1:$B$764,Insumos!$D$1:$D$764),"")</f>
        <v>2.5499999999999998</v>
      </c>
      <c r="H2012" s="177" cm="1">
        <f t="array" ref="H2012">_xlfn.IFS(B2012="Serviço",SUMIFS(H2013:$H$3085,C2013:$C$3085,$C2012),B2012="Insumo",F2012*G2012,B2012="Etapa","")</f>
        <v>22.95</v>
      </c>
      <c r="I2012" s="178"/>
    </row>
    <row r="2013" spans="1:9" hidden="1" outlineLevel="2" x14ac:dyDescent="0.25">
      <c r="A2013" s="175">
        <f t="shared" si="65"/>
        <v>18</v>
      </c>
      <c r="B2013" s="175" t="s">
        <v>327</v>
      </c>
      <c r="C2013" s="175" t="str">
        <f t="shared" si="64"/>
        <v>Revestimento de Pedras Naturais em Pisos</v>
      </c>
      <c r="D2013" s="175" t="s">
        <v>694</v>
      </c>
      <c r="E2013" s="176" t="str">
        <f>_xlfn.XLOOKUP(D2013,Insumos!$B$1:$B$764,Insumos!$C$1:$C$764)</f>
        <v>UN</v>
      </c>
      <c r="F2013" s="179">
        <v>0.5</v>
      </c>
      <c r="G2013" s="177">
        <f>IF(B2013="insumo",_xlfn.XLOOKUP($D2013,Insumos!$B$1:$B$764,Insumos!$D$1:$D$764),"")</f>
        <v>17.329999999999998</v>
      </c>
      <c r="H2013" s="177" cm="1">
        <f t="array" ref="H2013">_xlfn.IFS(B2013="Serviço",SUMIFS(H2014:$H$3085,C2014:$C$3085,$C2013),B2013="Insumo",F2013*G2013,B2013="Etapa","")</f>
        <v>8.6649999999999991</v>
      </c>
      <c r="I2013" s="178"/>
    </row>
    <row r="2014" spans="1:9" outlineLevel="1" collapsed="1" x14ac:dyDescent="0.25">
      <c r="A2014" s="175">
        <f t="shared" si="65"/>
        <v>1</v>
      </c>
      <c r="B2014" s="175" t="s">
        <v>109</v>
      </c>
      <c r="C2014" s="175" t="str">
        <f t="shared" si="64"/>
        <v>Revestimento de Piso de granito preto são gabriel</v>
      </c>
      <c r="D2014" s="175" t="s">
        <v>4253</v>
      </c>
      <c r="E2014" s="176" t="s">
        <v>13</v>
      </c>
      <c r="F2014" s="175"/>
      <c r="G2014" s="177" t="str">
        <f>IF(B2014="insumo",_xlfn.XLOOKUP($D2014,Insumos!$B$1:$B$764,Insumos!$D$1:$D$764),"")</f>
        <v/>
      </c>
      <c r="H2014" s="177" cm="1">
        <f t="array" ref="H2014">_xlfn.IFS(B2014="Serviço",SUMIFS(H2015:$H$3085,C2015:$C$3085,$C2014),B2014="Insumo",F2014*G2014,B2014="Etapa","")</f>
        <v>713.09499999999991</v>
      </c>
      <c r="I2014" s="178" t="s">
        <v>195</v>
      </c>
    </row>
    <row r="2015" spans="1:9" hidden="1" outlineLevel="2" x14ac:dyDescent="0.25">
      <c r="A2015" s="175">
        <f t="shared" si="65"/>
        <v>4</v>
      </c>
      <c r="B2015" s="175" t="s">
        <v>327</v>
      </c>
      <c r="C2015" s="175" t="str">
        <f t="shared" si="64"/>
        <v>Revestimento de Piso de granito preto são gabriel</v>
      </c>
      <c r="D2015" s="175" t="s">
        <v>3198</v>
      </c>
      <c r="E2015" s="176" t="str">
        <f>_xlfn.XLOOKUP(D2015,Insumos!$B$1:$B$764,Insumos!$C$1:$C$764)</f>
        <v>M2</v>
      </c>
      <c r="F2015" s="179">
        <v>1.05</v>
      </c>
      <c r="G2015" s="177">
        <f>IF(B2015="insumo",_xlfn.XLOOKUP($D2015,Insumos!$B$1:$B$764,Insumos!$D$1:$D$764),"")</f>
        <v>650</v>
      </c>
      <c r="H2015" s="177" cm="1">
        <f t="array" ref="H2015">_xlfn.IFS(B2015="Serviço",SUMIFS(H2016:$H$3085,C2016:$C$3085,$C2015),B2015="Insumo",F2015*G2015,B2015="Etapa","")</f>
        <v>682.5</v>
      </c>
      <c r="I2015" s="178"/>
    </row>
    <row r="2016" spans="1:9" hidden="1" outlineLevel="2" x14ac:dyDescent="0.25">
      <c r="A2016" s="175">
        <f t="shared" si="65"/>
        <v>118</v>
      </c>
      <c r="B2016" s="175" t="s">
        <v>327</v>
      </c>
      <c r="C2016" s="175" t="str">
        <f t="shared" si="64"/>
        <v>Revestimento de Piso de granito preto são gabriel</v>
      </c>
      <c r="D2016" s="175" t="s">
        <v>654</v>
      </c>
      <c r="E2016" s="176" t="str">
        <f>_xlfn.XLOOKUP(D2016,Insumos!$B$1:$B$764,Insumos!$C$1:$C$764)</f>
        <v>KG</v>
      </c>
      <c r="F2016" s="179">
        <v>8.6</v>
      </c>
      <c r="G2016" s="177">
        <f>IF(B2016="insumo",_xlfn.XLOOKUP($D2016,Insumos!$B$1:$B$764,Insumos!$D$1:$D$764),"")</f>
        <v>2.5499999999999998</v>
      </c>
      <c r="H2016" s="177" cm="1">
        <f t="array" ref="H2016">_xlfn.IFS(B2016="Serviço",SUMIFS(H2017:$H$3085,C2017:$C$3085,$C2016),B2016="Insumo",F2016*G2016,B2016="Etapa","")</f>
        <v>21.929999999999996</v>
      </c>
      <c r="I2016" s="178"/>
    </row>
    <row r="2017" spans="1:9" hidden="1" outlineLevel="2" x14ac:dyDescent="0.25">
      <c r="A2017" s="175">
        <f t="shared" si="65"/>
        <v>18</v>
      </c>
      <c r="B2017" s="175" t="s">
        <v>327</v>
      </c>
      <c r="C2017" s="175" t="str">
        <f t="shared" si="64"/>
        <v>Revestimento de Piso de granito preto são gabriel</v>
      </c>
      <c r="D2017" s="175" t="s">
        <v>694</v>
      </c>
      <c r="E2017" s="176" t="str">
        <f>_xlfn.XLOOKUP(D2017,Insumos!$B$1:$B$764,Insumos!$C$1:$C$764)</f>
        <v>UN</v>
      </c>
      <c r="F2017" s="179">
        <v>0.5</v>
      </c>
      <c r="G2017" s="177">
        <f>IF(B2017="insumo",_xlfn.XLOOKUP($D2017,Insumos!$B$1:$B$764,Insumos!$D$1:$D$764),"")</f>
        <v>17.329999999999998</v>
      </c>
      <c r="H2017" s="177" cm="1">
        <f t="array" ref="H2017">_xlfn.IFS(B2017="Serviço",SUMIFS(H2018:$H$3085,C2018:$C$3085,$C2017),B2017="Insumo",F2017*G2017,B2017="Etapa","")</f>
        <v>8.6649999999999991</v>
      </c>
      <c r="I2017" s="178"/>
    </row>
    <row r="2018" spans="1:9" outlineLevel="1" collapsed="1" x14ac:dyDescent="0.25">
      <c r="A2018" s="175">
        <f t="shared" si="65"/>
        <v>1</v>
      </c>
      <c r="B2018" s="175" t="s">
        <v>109</v>
      </c>
      <c r="C2018" s="175" t="str">
        <f t="shared" si="64"/>
        <v>Revestimento de piso vinilico, nas áreas comuns - Material e Mão de Obra</v>
      </c>
      <c r="D2018" s="175" t="s">
        <v>1765</v>
      </c>
      <c r="E2018" s="176" t="s">
        <v>13</v>
      </c>
      <c r="F2018" s="175"/>
      <c r="G2018" s="177" t="str">
        <f>IF(B2018="insumo",_xlfn.XLOOKUP($D2018,Insumos!$B$1:$B$764,Insumos!$D$1:$D$764),"")</f>
        <v/>
      </c>
      <c r="H2018" s="177" cm="1">
        <f t="array" ref="H2018">_xlfn.IFS(B2018="Serviço",SUMIFS(H2019:$H$3085,C2019:$C$3085,$C2018),B2018="Insumo",F2018*G2018,B2018="Etapa","")</f>
        <v>150</v>
      </c>
      <c r="I2018" s="178" t="s">
        <v>195</v>
      </c>
    </row>
    <row r="2019" spans="1:9" hidden="1" outlineLevel="2" x14ac:dyDescent="0.25">
      <c r="A2019" s="175">
        <f t="shared" si="65"/>
        <v>3</v>
      </c>
      <c r="B2019" s="175" t="s">
        <v>327</v>
      </c>
      <c r="C2019" s="175" t="str">
        <f t="shared" si="64"/>
        <v>Revestimento de piso vinilico, nas áreas comuns - Material e Mão de Obra</v>
      </c>
      <c r="D2019" s="175" t="s">
        <v>792</v>
      </c>
      <c r="E2019" s="176" t="str">
        <f>_xlfn.XLOOKUP(D2019,Insumos!$B$1:$B$764,Insumos!$C$1:$C$764)</f>
        <v>M2</v>
      </c>
      <c r="F2019" s="179">
        <v>1</v>
      </c>
      <c r="G2019" s="177">
        <f>IF(B2019="insumo",_xlfn.XLOOKUP($D2019,Insumos!$B$1:$B$764,Insumos!$D$1:$D$764),"")</f>
        <v>150</v>
      </c>
      <c r="H2019" s="177" cm="1">
        <f t="array" ref="H2019">_xlfn.IFS(B2019="Serviço",SUMIFS(H2020:$H$3085,C2020:$C$3085,$C2019),B2019="Insumo",F2019*G2019,B2019="Etapa","")</f>
        <v>150</v>
      </c>
      <c r="I2019" s="178"/>
    </row>
    <row r="2020" spans="1:9" outlineLevel="1" collapsed="1" x14ac:dyDescent="0.25">
      <c r="A2020" s="175">
        <f t="shared" si="65"/>
        <v>1</v>
      </c>
      <c r="B2020" s="175" t="s">
        <v>109</v>
      </c>
      <c r="C2020" s="175" t="str">
        <f t="shared" si="64"/>
        <v>Revestimento de piso laminado acústico, nas áreas privativas - Material e Mão de Obra</v>
      </c>
      <c r="D2020" s="175" t="s">
        <v>2857</v>
      </c>
      <c r="E2020" s="176" t="s">
        <v>13</v>
      </c>
      <c r="F2020" s="175"/>
      <c r="G2020" s="177" t="str">
        <f>IF(B2020="insumo",_xlfn.XLOOKUP($D2020,Insumos!$B$1:$B$764,Insumos!$D$1:$D$764),"")</f>
        <v/>
      </c>
      <c r="H2020" s="177" cm="1">
        <f t="array" ref="H2020">_xlfn.IFS(B2020="Serviço",SUMIFS(H2021:$H$3085,C2021:$C$3085,$C2020),B2020="Insumo",F2020*G2020,B2020="Etapa","")</f>
        <v>177</v>
      </c>
      <c r="I2020" s="178" t="s">
        <v>195</v>
      </c>
    </row>
    <row r="2021" spans="1:9" hidden="1" outlineLevel="2" x14ac:dyDescent="0.25">
      <c r="A2021" s="175">
        <f t="shared" si="65"/>
        <v>1</v>
      </c>
      <c r="B2021" s="175" t="s">
        <v>327</v>
      </c>
      <c r="C2021" s="175" t="str">
        <f t="shared" si="64"/>
        <v>Revestimento de piso laminado acústico, nas áreas privativas - Material e Mão de Obra</v>
      </c>
      <c r="D2021" s="175" t="s">
        <v>2857</v>
      </c>
      <c r="E2021" s="176" t="str">
        <f>_xlfn.XLOOKUP(D2021,Insumos!$B$1:$B$764,Insumos!$C$1:$C$764)</f>
        <v>M2</v>
      </c>
      <c r="F2021" s="179">
        <v>1</v>
      </c>
      <c r="G2021" s="177">
        <f>IF(B2021="insumo",_xlfn.XLOOKUP($D2021,Insumos!$B$1:$B$764,Insumos!$D$1:$D$764),"")</f>
        <v>177</v>
      </c>
      <c r="H2021" s="177" cm="1">
        <f t="array" ref="H2021">_xlfn.IFS(B2021="Serviço",SUMIFS(H2022:$H$3085,C2022:$C$3085,$C2021),B2021="Insumo",F2021*G2021,B2021="Etapa","")</f>
        <v>177</v>
      </c>
      <c r="I2021" s="178"/>
    </row>
    <row r="2022" spans="1:9" outlineLevel="1" x14ac:dyDescent="0.25">
      <c r="A2022" s="175">
        <f t="shared" si="65"/>
        <v>1</v>
      </c>
      <c r="B2022" s="175" t="s">
        <v>109</v>
      </c>
      <c r="C2022" s="175" t="str">
        <f t="shared" si="64"/>
        <v>Revestimento de piso vinilico, nas áreas privativas - Material e Mão de Obra</v>
      </c>
      <c r="D2022" s="175" t="s">
        <v>245</v>
      </c>
      <c r="E2022" s="176" t="s">
        <v>13</v>
      </c>
      <c r="F2022" s="175"/>
      <c r="G2022" s="177" t="str">
        <f>IF(B2022="insumo",_xlfn.XLOOKUP($D2022,Insumos!$B$1:$B$764,Insumos!$D$1:$D$764),"")</f>
        <v/>
      </c>
      <c r="H2022" s="177" cm="1">
        <f t="array" ref="H2022">_xlfn.IFS(B2022="Serviço",SUMIFS(H2023:$H$3085,C2023:$C$3085,$C2022),B2022="Insumo",F2022*G2022,B2022="Etapa","")</f>
        <v>150</v>
      </c>
      <c r="I2022" s="178" t="s">
        <v>195</v>
      </c>
    </row>
    <row r="2023" spans="1:9" outlineLevel="2" x14ac:dyDescent="0.25">
      <c r="A2023" s="175">
        <f t="shared" si="65"/>
        <v>3</v>
      </c>
      <c r="B2023" s="175" t="s">
        <v>327</v>
      </c>
      <c r="C2023" s="175" t="str">
        <f t="shared" si="64"/>
        <v>Revestimento de piso vinilico, nas áreas privativas - Material e Mão de Obra</v>
      </c>
      <c r="D2023" s="175" t="s">
        <v>792</v>
      </c>
      <c r="E2023" s="176" t="str">
        <f>_xlfn.XLOOKUP(D2023,Insumos!$B$1:$B$764,Insumos!$C$1:$C$764)</f>
        <v>M2</v>
      </c>
      <c r="F2023" s="179">
        <v>1</v>
      </c>
      <c r="G2023" s="177">
        <f>IF(B2023="insumo",_xlfn.XLOOKUP($D2023,Insumos!$B$1:$B$764,Insumos!$D$1:$D$764),"")</f>
        <v>150</v>
      </c>
      <c r="H2023" s="177" cm="1">
        <f t="array" ref="H2023">_xlfn.IFS(B2023="Serviço",SUMIFS(H2024:$H$3085,C2024:$C$3085,$C2023),B2023="Insumo",F2023*G2023,B2023="Etapa","")</f>
        <v>150</v>
      </c>
      <c r="I2023" s="178"/>
    </row>
    <row r="2024" spans="1:9" outlineLevel="1" x14ac:dyDescent="0.25">
      <c r="A2024" s="175">
        <f t="shared" si="65"/>
        <v>1</v>
      </c>
      <c r="B2024" s="175" t="s">
        <v>109</v>
      </c>
      <c r="C2024" s="175" t="str">
        <f t="shared" ref="C2024:C2087" si="66">IF(B2024="serviço",D2024,C2023)</f>
        <v>Revestimento de Pedra natural em batente de elevador</v>
      </c>
      <c r="D2024" s="175" t="s">
        <v>1235</v>
      </c>
      <c r="E2024" s="176" t="s">
        <v>25</v>
      </c>
      <c r="F2024" s="175"/>
      <c r="G2024" s="177" t="str">
        <f>IF(B2024="insumo",_xlfn.XLOOKUP($D2024,Insumos!$B$1:$B$764,Insumos!$D$1:$D$764),"")</f>
        <v/>
      </c>
      <c r="H2024" s="177" cm="1">
        <f t="array" ref="H2024">_xlfn.IFS(B2024="Serviço",SUMIFS(H2025:$H$3085,C2025:$C$3085,$C2024),B2024="Insumo",F2024*G2024,B2024="Etapa","")</f>
        <v>856.10500000000013</v>
      </c>
      <c r="I2024" s="178" t="s">
        <v>195</v>
      </c>
    </row>
    <row r="2025" spans="1:9" outlineLevel="2" x14ac:dyDescent="0.25">
      <c r="A2025" s="175">
        <f t="shared" si="65"/>
        <v>10</v>
      </c>
      <c r="B2025" s="175" t="s">
        <v>327</v>
      </c>
      <c r="C2025" s="175" t="str">
        <f t="shared" si="66"/>
        <v>Revestimento de Pedra natural em batente de elevador</v>
      </c>
      <c r="D2025" s="175" t="s">
        <v>689</v>
      </c>
      <c r="E2025" s="176" t="str">
        <f>_xlfn.XLOOKUP(D2025,Insumos!$B$1:$B$764,Insumos!$C$1:$C$764)</f>
        <v>M2</v>
      </c>
      <c r="F2025" s="196">
        <v>1.1000000000000001</v>
      </c>
      <c r="G2025" s="177">
        <f>IF(B2025="insumo",_xlfn.XLOOKUP($D2025,Insumos!$B$1:$B$764,Insumos!$D$1:$D$764),"")</f>
        <v>750</v>
      </c>
      <c r="H2025" s="177" cm="1">
        <f t="array" ref="H2025">_xlfn.IFS(B2025="Serviço",SUMIFS(H2026:$H$3085,C2026:$C$3085,$C2025),B2025="Insumo",F2025*G2025,B2025="Etapa","")</f>
        <v>825.00000000000011</v>
      </c>
      <c r="I2025" s="178"/>
    </row>
    <row r="2026" spans="1:9" outlineLevel="2" x14ac:dyDescent="0.25">
      <c r="A2026" s="175">
        <f t="shared" si="65"/>
        <v>118</v>
      </c>
      <c r="B2026" s="175" t="s">
        <v>327</v>
      </c>
      <c r="C2026" s="175" t="str">
        <f t="shared" si="66"/>
        <v>Revestimento de Pedra natural em batente de elevador</v>
      </c>
      <c r="D2026" s="175" t="s">
        <v>654</v>
      </c>
      <c r="E2026" s="176" t="str">
        <f>_xlfn.XLOOKUP(D2026,Insumos!$B$1:$B$764,Insumos!$C$1:$C$764)</f>
        <v>KG</v>
      </c>
      <c r="F2026" s="196">
        <v>8.8000000000000007</v>
      </c>
      <c r="G2026" s="177">
        <f>IF(B2026="insumo",_xlfn.XLOOKUP($D2026,Insumos!$B$1:$B$764,Insumos!$D$1:$D$764),"")</f>
        <v>2.5499999999999998</v>
      </c>
      <c r="H2026" s="177" cm="1">
        <f t="array" ref="H2026">_xlfn.IFS(B2026="Serviço",SUMIFS(H2027:$H$3085,C2027:$C$3085,$C2026),B2026="Insumo",F2026*G2026,B2026="Etapa","")</f>
        <v>22.44</v>
      </c>
      <c r="I2026" s="178"/>
    </row>
    <row r="2027" spans="1:9" outlineLevel="2" x14ac:dyDescent="0.25">
      <c r="A2027" s="175">
        <f t="shared" si="65"/>
        <v>18</v>
      </c>
      <c r="B2027" s="175" t="s">
        <v>327</v>
      </c>
      <c r="C2027" s="175" t="str">
        <f t="shared" si="66"/>
        <v>Revestimento de Pedra natural em batente de elevador</v>
      </c>
      <c r="D2027" s="175" t="s">
        <v>694</v>
      </c>
      <c r="E2027" s="176" t="str">
        <f>_xlfn.XLOOKUP(D2027,Insumos!$B$1:$B$764,Insumos!$C$1:$C$764)</f>
        <v>UN</v>
      </c>
      <c r="F2027" s="196">
        <v>0.5</v>
      </c>
      <c r="G2027" s="177">
        <f>IF(B2027="insumo",_xlfn.XLOOKUP($D2027,Insumos!$B$1:$B$764,Insumos!$D$1:$D$764),"")</f>
        <v>17.329999999999998</v>
      </c>
      <c r="H2027" s="177" cm="1">
        <f t="array" ref="H2027">_xlfn.IFS(B2027="Serviço",SUMIFS(H2028:$H$3085,C2028:$C$3085,$C2027),B2027="Insumo",F2027*G2027,B2027="Etapa","")</f>
        <v>8.6649999999999991</v>
      </c>
      <c r="I2027" s="178"/>
    </row>
    <row r="2028" spans="1:9" outlineLevel="1" collapsed="1" x14ac:dyDescent="0.25">
      <c r="A2028" s="175">
        <f t="shared" si="65"/>
        <v>1</v>
      </c>
      <c r="B2028" s="175" t="s">
        <v>109</v>
      </c>
      <c r="C2028" s="175" t="str">
        <f t="shared" si="66"/>
        <v>Rodapé de MDF h=5cm</v>
      </c>
      <c r="D2028" s="175" t="s">
        <v>246</v>
      </c>
      <c r="E2028" s="176" t="s">
        <v>25</v>
      </c>
      <c r="F2028" s="175"/>
      <c r="G2028" s="177" t="str">
        <f>IF(B2028="insumo",_xlfn.XLOOKUP($D2028,Insumos!$B$1:$B$764,Insumos!$D$1:$D$764),"")</f>
        <v/>
      </c>
      <c r="H2028" s="177" cm="1">
        <f t="array" ref="H2028">_xlfn.IFS(B2028="Serviço",SUMIFS(H2029:$H$3085,C2029:$C$3085,$C2028),B2028="Insumo",F2028*G2028,B2028="Etapa","")</f>
        <v>20.021439000000001</v>
      </c>
      <c r="I2028" s="178" t="s">
        <v>195</v>
      </c>
    </row>
    <row r="2029" spans="1:9" hidden="1" outlineLevel="2" x14ac:dyDescent="0.25">
      <c r="A2029" s="175">
        <f t="shared" si="65"/>
        <v>1</v>
      </c>
      <c r="B2029" s="175" t="s">
        <v>327</v>
      </c>
      <c r="C2029" s="175" t="str">
        <f t="shared" si="66"/>
        <v>Rodapé de MDF h=5cm</v>
      </c>
      <c r="D2029" s="175" t="s">
        <v>793</v>
      </c>
      <c r="E2029" s="176" t="str">
        <f>_xlfn.XLOOKUP(D2029,Insumos!$B$1:$B$764,Insumos!$C$1:$C$764)</f>
        <v>KG</v>
      </c>
      <c r="F2029" s="179">
        <v>4.0300000000000002E-2</v>
      </c>
      <c r="G2029" s="177">
        <f>IF(B2029="insumo",_xlfn.XLOOKUP($D2029,Insumos!$B$1:$B$764,Insumos!$D$1:$D$764),"")</f>
        <v>29.13</v>
      </c>
      <c r="H2029" s="177" cm="1">
        <f t="array" ref="H2029">_xlfn.IFS(B2029="Serviço",SUMIFS(H2030:$H$3085,C2030:$C$3085,$C2029),B2029="Insumo",F2029*G2029,B2029="Etapa","")</f>
        <v>1.1739390000000001</v>
      </c>
      <c r="I2029" s="178"/>
    </row>
    <row r="2030" spans="1:9" hidden="1" outlineLevel="2" x14ac:dyDescent="0.25">
      <c r="A2030" s="175">
        <f t="shared" si="65"/>
        <v>1</v>
      </c>
      <c r="B2030" s="175" t="s">
        <v>327</v>
      </c>
      <c r="C2030" s="175" t="str">
        <f t="shared" si="66"/>
        <v>Rodapé de MDF h=5cm</v>
      </c>
      <c r="D2030" s="175" t="s">
        <v>246</v>
      </c>
      <c r="E2030" s="176" t="str">
        <f>_xlfn.XLOOKUP(D2030,Insumos!$B$1:$B$764,Insumos!$C$1:$C$764)</f>
        <v>M2</v>
      </c>
      <c r="F2030" s="179">
        <v>1.05</v>
      </c>
      <c r="G2030" s="177">
        <f>IF(B2030="insumo",_xlfn.XLOOKUP($D2030,Insumos!$B$1:$B$764,Insumos!$D$1:$D$764),"")</f>
        <v>17.95</v>
      </c>
      <c r="H2030" s="177" cm="1">
        <f t="array" ref="H2030">_xlfn.IFS(B2030="Serviço",SUMIFS(H2031:$H$3085,C2031:$C$3085,$C2030),B2030="Insumo",F2030*G2030,B2030="Etapa","")</f>
        <v>18.8475</v>
      </c>
      <c r="I2030" s="178"/>
    </row>
    <row r="2031" spans="1:9" outlineLevel="1" collapsed="1" x14ac:dyDescent="0.25">
      <c r="A2031" s="175">
        <f t="shared" si="65"/>
        <v>1</v>
      </c>
      <c r="B2031" s="175" t="s">
        <v>109</v>
      </c>
      <c r="C2031" s="175" t="str">
        <f t="shared" si="66"/>
        <v>Rodapé de Pedra Natural h=5cm</v>
      </c>
      <c r="D2031" s="175" t="s">
        <v>247</v>
      </c>
      <c r="E2031" s="176" t="s">
        <v>25</v>
      </c>
      <c r="F2031" s="175"/>
      <c r="G2031" s="177" t="str">
        <f>IF(B2031="insumo",_xlfn.XLOOKUP($D2031,Insumos!$B$1:$B$764,Insumos!$D$1:$D$764),"")</f>
        <v/>
      </c>
      <c r="H2031" s="177" cm="1">
        <f t="array" ref="H2031">_xlfn.IFS(B2031="Serviço",SUMIFS(H2032:$H$3085,C2032:$C$3085,$C2031),B2031="Insumo",F2031*G2031,B2031="Etapa","")</f>
        <v>42.830750000000009</v>
      </c>
      <c r="I2031" s="178" t="s">
        <v>195</v>
      </c>
    </row>
    <row r="2032" spans="1:9" hidden="1" outlineLevel="2" x14ac:dyDescent="0.25">
      <c r="A2032" s="175">
        <f t="shared" si="65"/>
        <v>10</v>
      </c>
      <c r="B2032" s="175" t="s">
        <v>327</v>
      </c>
      <c r="C2032" s="175" t="str">
        <f t="shared" si="66"/>
        <v>Rodapé de Pedra Natural h=5cm</v>
      </c>
      <c r="D2032" s="175" t="s">
        <v>689</v>
      </c>
      <c r="E2032" s="176" t="str">
        <f>_xlfn.XLOOKUP(D2032,Insumos!$B$1:$B$764,Insumos!$C$1:$C$764)</f>
        <v>M2</v>
      </c>
      <c r="F2032" s="179">
        <v>5.5000000000000007E-2</v>
      </c>
      <c r="G2032" s="177">
        <f>IF(B2032="insumo",_xlfn.XLOOKUP($D2032,Insumos!$B$1:$B$764,Insumos!$D$1:$D$764),"")</f>
        <v>750</v>
      </c>
      <c r="H2032" s="177" cm="1">
        <f t="array" ref="H2032">_xlfn.IFS(B2032="Serviço",SUMIFS(H2033:$H$3085,C2033:$C$3085,$C2032),B2032="Insumo",F2032*G2032,B2032="Etapa","")</f>
        <v>41.250000000000007</v>
      </c>
      <c r="I2032" s="178"/>
    </row>
    <row r="2033" spans="1:9" hidden="1" outlineLevel="2" x14ac:dyDescent="0.25">
      <c r="A2033" s="175">
        <f t="shared" si="65"/>
        <v>118</v>
      </c>
      <c r="B2033" s="175" t="s">
        <v>327</v>
      </c>
      <c r="C2033" s="175" t="str">
        <f t="shared" si="66"/>
        <v>Rodapé de Pedra Natural h=5cm</v>
      </c>
      <c r="D2033" s="175" t="s">
        <v>654</v>
      </c>
      <c r="E2033" s="176" t="str">
        <f>_xlfn.XLOOKUP(D2033,Insumos!$B$1:$B$764,Insumos!$C$1:$C$764)</f>
        <v>KG</v>
      </c>
      <c r="F2033" s="179">
        <v>0.45</v>
      </c>
      <c r="G2033" s="177">
        <f>IF(B2033="insumo",_xlfn.XLOOKUP($D2033,Insumos!$B$1:$B$764,Insumos!$D$1:$D$764),"")</f>
        <v>2.5499999999999998</v>
      </c>
      <c r="H2033" s="177" cm="1">
        <f t="array" ref="H2033">_xlfn.IFS(B2033="Serviço",SUMIFS(H2034:$H$3085,C2034:$C$3085,$C2033),B2033="Insumo",F2033*G2033,B2033="Etapa","")</f>
        <v>1.1475</v>
      </c>
      <c r="I2033" s="178"/>
    </row>
    <row r="2034" spans="1:9" hidden="1" outlineLevel="2" x14ac:dyDescent="0.25">
      <c r="A2034" s="175">
        <f t="shared" si="65"/>
        <v>18</v>
      </c>
      <c r="B2034" s="175" t="s">
        <v>327</v>
      </c>
      <c r="C2034" s="175" t="str">
        <f t="shared" si="66"/>
        <v>Rodapé de Pedra Natural h=5cm</v>
      </c>
      <c r="D2034" s="175" t="s">
        <v>694</v>
      </c>
      <c r="E2034" s="176" t="str">
        <f>_xlfn.XLOOKUP(D2034,Insumos!$B$1:$B$764,Insumos!$C$1:$C$764)</f>
        <v>UN</v>
      </c>
      <c r="F2034" s="179">
        <v>2.5000000000000001E-2</v>
      </c>
      <c r="G2034" s="177">
        <f>IF(B2034="insumo",_xlfn.XLOOKUP($D2034,Insumos!$B$1:$B$764,Insumos!$D$1:$D$764),"")</f>
        <v>17.329999999999998</v>
      </c>
      <c r="H2034" s="177" cm="1">
        <f t="array" ref="H2034">_xlfn.IFS(B2034="Serviço",SUMIFS(H2035:$H$3085,C2035:$C$3085,$C2034),B2034="Insumo",F2034*G2034,B2034="Etapa","")</f>
        <v>0.43324999999999997</v>
      </c>
      <c r="I2034" s="178"/>
    </row>
    <row r="2035" spans="1:9" outlineLevel="1" collapsed="1" x14ac:dyDescent="0.25">
      <c r="A2035" s="175">
        <f t="shared" si="65"/>
        <v>1</v>
      </c>
      <c r="B2035" s="175" t="s">
        <v>109</v>
      </c>
      <c r="C2035" s="175" t="str">
        <f t="shared" si="66"/>
        <v>Rodapé de Pedra Natural h=15cm</v>
      </c>
      <c r="D2035" s="175" t="s">
        <v>794</v>
      </c>
      <c r="E2035" s="176" t="s">
        <v>25</v>
      </c>
      <c r="F2035" s="175"/>
      <c r="G2035" s="177" t="str">
        <f>IF(B2035="insumo",_xlfn.XLOOKUP($D2035,Insumos!$B$1:$B$764,Insumos!$D$1:$D$764),"")</f>
        <v/>
      </c>
      <c r="H2035" s="177" cm="1">
        <f t="array" ref="H2035">_xlfn.IFS(B2035="Serviço",SUMIFS(H2036:$H$3085,C2036:$C$3085,$C2035),B2035="Insumo",F2035*G2035,B2035="Etapa","")</f>
        <v>128.49224999999998</v>
      </c>
      <c r="I2035" s="178" t="s">
        <v>195</v>
      </c>
    </row>
    <row r="2036" spans="1:9" hidden="1" outlineLevel="2" x14ac:dyDescent="0.25">
      <c r="A2036" s="175">
        <f t="shared" si="65"/>
        <v>10</v>
      </c>
      <c r="B2036" s="175" t="s">
        <v>327</v>
      </c>
      <c r="C2036" s="175" t="str">
        <f t="shared" si="66"/>
        <v>Rodapé de Pedra Natural h=15cm</v>
      </c>
      <c r="D2036" s="175" t="s">
        <v>689</v>
      </c>
      <c r="E2036" s="176" t="str">
        <f>_xlfn.XLOOKUP(D2036,Insumos!$B$1:$B$764,Insumos!$C$1:$C$764)</f>
        <v>M2</v>
      </c>
      <c r="F2036" s="179">
        <v>0.16500000000000001</v>
      </c>
      <c r="G2036" s="177">
        <f>IF(B2036="insumo",_xlfn.XLOOKUP($D2036,Insumos!$B$1:$B$764,Insumos!$D$1:$D$764),"")</f>
        <v>750</v>
      </c>
      <c r="H2036" s="177" cm="1">
        <f t="array" ref="H2036">_xlfn.IFS(B2036="Serviço",SUMIFS(H2037:$H$3085,C2037:$C$3085,$C2036),B2036="Insumo",F2036*G2036,B2036="Etapa","")</f>
        <v>123.75</v>
      </c>
      <c r="I2036" s="178"/>
    </row>
    <row r="2037" spans="1:9" hidden="1" outlineLevel="2" x14ac:dyDescent="0.25">
      <c r="A2037" s="175">
        <f t="shared" si="65"/>
        <v>118</v>
      </c>
      <c r="B2037" s="175" t="s">
        <v>327</v>
      </c>
      <c r="C2037" s="175" t="str">
        <f t="shared" si="66"/>
        <v>Rodapé de Pedra Natural h=15cm</v>
      </c>
      <c r="D2037" s="175" t="s">
        <v>654</v>
      </c>
      <c r="E2037" s="176" t="str">
        <f>_xlfn.XLOOKUP(D2037,Insumos!$B$1:$B$764,Insumos!$C$1:$C$764)</f>
        <v>KG</v>
      </c>
      <c r="F2037" s="179">
        <v>1.3499999999999999</v>
      </c>
      <c r="G2037" s="177">
        <f>IF(B2037="insumo",_xlfn.XLOOKUP($D2037,Insumos!$B$1:$B$764,Insumos!$D$1:$D$764),"")</f>
        <v>2.5499999999999998</v>
      </c>
      <c r="H2037" s="177" cm="1">
        <f t="array" ref="H2037">_xlfn.IFS(B2037="Serviço",SUMIFS(H2038:$H$3085,C2038:$C$3085,$C2037),B2037="Insumo",F2037*G2037,B2037="Etapa","")</f>
        <v>3.4424999999999994</v>
      </c>
      <c r="I2037" s="178"/>
    </row>
    <row r="2038" spans="1:9" hidden="1" outlineLevel="2" x14ac:dyDescent="0.25">
      <c r="A2038" s="175">
        <f t="shared" si="65"/>
        <v>18</v>
      </c>
      <c r="B2038" s="175" t="s">
        <v>327</v>
      </c>
      <c r="C2038" s="175" t="str">
        <f t="shared" si="66"/>
        <v>Rodapé de Pedra Natural h=15cm</v>
      </c>
      <c r="D2038" s="175" t="s">
        <v>694</v>
      </c>
      <c r="E2038" s="176" t="str">
        <f>_xlfn.XLOOKUP(D2038,Insumos!$B$1:$B$764,Insumos!$C$1:$C$764)</f>
        <v>UN</v>
      </c>
      <c r="F2038" s="179">
        <v>7.4999999999999997E-2</v>
      </c>
      <c r="G2038" s="177">
        <f>IF(B2038="insumo",_xlfn.XLOOKUP($D2038,Insumos!$B$1:$B$764,Insumos!$D$1:$D$764),"")</f>
        <v>17.329999999999998</v>
      </c>
      <c r="H2038" s="177" cm="1">
        <f t="array" ref="H2038">_xlfn.IFS(B2038="Serviço",SUMIFS(H2039:$H$3085,C2039:$C$3085,$C2038),B2038="Insumo",F2038*G2038,B2038="Etapa","")</f>
        <v>1.2997499999999997</v>
      </c>
      <c r="I2038" s="178"/>
    </row>
    <row r="2039" spans="1:9" outlineLevel="1" collapsed="1" x14ac:dyDescent="0.25">
      <c r="A2039" s="175">
        <f t="shared" si="65"/>
        <v>1</v>
      </c>
      <c r="B2039" s="175" t="s">
        <v>109</v>
      </c>
      <c r="C2039" s="175" t="str">
        <f t="shared" si="66"/>
        <v>Rodapé de Pedra Natural h=30cm</v>
      </c>
      <c r="D2039" s="175" t="s">
        <v>795</v>
      </c>
      <c r="E2039" s="176" t="s">
        <v>25</v>
      </c>
      <c r="F2039" s="175"/>
      <c r="G2039" s="177" t="str">
        <f>IF(B2039="insumo",_xlfn.XLOOKUP($D2039,Insumos!$B$1:$B$764,Insumos!$D$1:$D$764),"")</f>
        <v/>
      </c>
      <c r="H2039" s="177" cm="1">
        <f t="array" ref="H2039">_xlfn.IFS(B2039="Serviço",SUMIFS(H2040:$H$3085,C2040:$C$3085,$C2039),B2039="Insumo",F2039*G2039,B2039="Etapa","")</f>
        <v>244.43474999999998</v>
      </c>
      <c r="I2039" s="178" t="s">
        <v>195</v>
      </c>
    </row>
    <row r="2040" spans="1:9" hidden="1" outlineLevel="2" x14ac:dyDescent="0.25">
      <c r="A2040" s="175">
        <f t="shared" si="65"/>
        <v>10</v>
      </c>
      <c r="B2040" s="175" t="s">
        <v>327</v>
      </c>
      <c r="C2040" s="175" t="str">
        <f t="shared" si="66"/>
        <v>Rodapé de Pedra Natural h=30cm</v>
      </c>
      <c r="D2040" s="175" t="s">
        <v>689</v>
      </c>
      <c r="E2040" s="176" t="str">
        <f>_xlfn.XLOOKUP(D2040,Insumos!$B$1:$B$764,Insumos!$C$1:$C$764)</f>
        <v>M2</v>
      </c>
      <c r="F2040" s="179">
        <f>0.3*1.05</f>
        <v>0.315</v>
      </c>
      <c r="G2040" s="177">
        <f>IF(B2040="insumo",_xlfn.XLOOKUP($D2040,Insumos!$B$1:$B$764,Insumos!$D$1:$D$764),"")</f>
        <v>750</v>
      </c>
      <c r="H2040" s="177" cm="1">
        <f t="array" ref="H2040">_xlfn.IFS(B2040="Serviço",SUMIFS(H2041:$H$3085,C2041:$C$3085,$C2040),B2040="Insumo",F2040*G2040,B2040="Etapa","")</f>
        <v>236.25</v>
      </c>
      <c r="I2040" s="178"/>
    </row>
    <row r="2041" spans="1:9" hidden="1" outlineLevel="2" x14ac:dyDescent="0.25">
      <c r="A2041" s="175">
        <f t="shared" si="65"/>
        <v>118</v>
      </c>
      <c r="B2041" s="175" t="s">
        <v>327</v>
      </c>
      <c r="C2041" s="175" t="str">
        <f t="shared" si="66"/>
        <v>Rodapé de Pedra Natural h=30cm</v>
      </c>
      <c r="D2041" s="175" t="s">
        <v>654</v>
      </c>
      <c r="E2041" s="176" t="str">
        <f>_xlfn.XLOOKUP(D2041,Insumos!$B$1:$B$764,Insumos!$C$1:$C$764)</f>
        <v>KG</v>
      </c>
      <c r="F2041" s="179">
        <f>9*0.3</f>
        <v>2.6999999999999997</v>
      </c>
      <c r="G2041" s="177">
        <f>IF(B2041="insumo",_xlfn.XLOOKUP($D2041,Insumos!$B$1:$B$764,Insumos!$D$1:$D$764),"")</f>
        <v>2.5499999999999998</v>
      </c>
      <c r="H2041" s="177" cm="1">
        <f t="array" ref="H2041">_xlfn.IFS(B2041="Serviço",SUMIFS(H2042:$H$3085,C2042:$C$3085,$C2041),B2041="Insumo",F2041*G2041,B2041="Etapa","")</f>
        <v>6.8849999999999989</v>
      </c>
      <c r="I2041" s="178"/>
    </row>
    <row r="2042" spans="1:9" hidden="1" outlineLevel="2" x14ac:dyDescent="0.25">
      <c r="A2042" s="175">
        <f t="shared" si="65"/>
        <v>18</v>
      </c>
      <c r="B2042" s="175" t="s">
        <v>327</v>
      </c>
      <c r="C2042" s="175" t="str">
        <f t="shared" si="66"/>
        <v>Rodapé de Pedra Natural h=30cm</v>
      </c>
      <c r="D2042" s="175" t="s">
        <v>694</v>
      </c>
      <c r="E2042" s="176" t="str">
        <f>_xlfn.XLOOKUP(D2042,Insumos!$B$1:$B$764,Insumos!$C$1:$C$764)</f>
        <v>UN</v>
      </c>
      <c r="F2042" s="179">
        <v>7.4999999999999997E-2</v>
      </c>
      <c r="G2042" s="177">
        <f>IF(B2042="insumo",_xlfn.XLOOKUP($D2042,Insumos!$B$1:$B$764,Insumos!$D$1:$D$764),"")</f>
        <v>17.329999999999998</v>
      </c>
      <c r="H2042" s="177" cm="1">
        <f t="array" ref="H2042">_xlfn.IFS(B2042="Serviço",SUMIFS(H2043:$H$3085,C2043:$C$3085,$C2042),B2042="Insumo",F2042*G2042,B2042="Etapa","")</f>
        <v>1.2997499999999997</v>
      </c>
      <c r="I2042" s="178"/>
    </row>
    <row r="2043" spans="1:9" outlineLevel="1" collapsed="1" x14ac:dyDescent="0.25">
      <c r="A2043" s="175">
        <f t="shared" si="65"/>
        <v>1</v>
      </c>
      <c r="B2043" s="175" t="s">
        <v>109</v>
      </c>
      <c r="C2043" s="175" t="str">
        <f t="shared" si="66"/>
        <v>Rodapé de Poliestireno h=15cm</v>
      </c>
      <c r="D2043" s="175" t="s">
        <v>796</v>
      </c>
      <c r="E2043" s="176" t="s">
        <v>25</v>
      </c>
      <c r="F2043" s="175"/>
      <c r="G2043" s="177" t="str">
        <f>IF(B2043="insumo",_xlfn.XLOOKUP($D2043,Insumos!$B$1:$B$764,Insumos!$D$1:$D$764),"")</f>
        <v/>
      </c>
      <c r="H2043" s="177" cm="1">
        <f t="array" ref="H2043">_xlfn.IFS(B2043="Serviço",SUMIFS(H2044:$H$3085,C2044:$C$3085,$C2043),B2043="Insumo",F2043*G2043,B2043="Etapa","")</f>
        <v>43.820583333333332</v>
      </c>
      <c r="I2043" s="178" t="s">
        <v>195</v>
      </c>
    </row>
    <row r="2044" spans="1:9" hidden="1" outlineLevel="2" x14ac:dyDescent="0.25">
      <c r="A2044" s="175">
        <f t="shared" si="65"/>
        <v>1</v>
      </c>
      <c r="B2044" s="175" t="s">
        <v>327</v>
      </c>
      <c r="C2044" s="175" t="str">
        <f t="shared" si="66"/>
        <v>Rodapé de Poliestireno h=15cm</v>
      </c>
      <c r="D2044" s="175" t="s">
        <v>797</v>
      </c>
      <c r="E2044" s="176" t="str">
        <f>_xlfn.XLOOKUP(D2044,Insumos!$B$1:$B$764,Insumos!$C$1:$C$764)</f>
        <v>M</v>
      </c>
      <c r="F2044" s="179">
        <v>1.34</v>
      </c>
      <c r="G2044" s="177">
        <f>IF(B2044="insumo",_xlfn.XLOOKUP($D2044,Insumos!$B$1:$B$764,Insumos!$D$1:$D$764),"")</f>
        <v>28.954166666666666</v>
      </c>
      <c r="H2044" s="177" cm="1">
        <f t="array" ref="H2044">_xlfn.IFS(B2044="Serviço",SUMIFS(H2045:$H$3085,C2045:$C$3085,$C2044),B2044="Insumo",F2044*G2044,B2044="Etapa","")</f>
        <v>38.798583333333333</v>
      </c>
      <c r="I2044" s="178"/>
    </row>
    <row r="2045" spans="1:9" hidden="1" outlineLevel="2" x14ac:dyDescent="0.25">
      <c r="A2045" s="175">
        <f t="shared" si="65"/>
        <v>5</v>
      </c>
      <c r="B2045" s="175" t="s">
        <v>327</v>
      </c>
      <c r="C2045" s="175" t="str">
        <f t="shared" si="66"/>
        <v>Rodapé de Poliestireno h=15cm</v>
      </c>
      <c r="D2045" s="175" t="s">
        <v>787</v>
      </c>
      <c r="E2045" s="176" t="str">
        <f>_xlfn.XLOOKUP(D2045,Insumos!$B$1:$B$764,Insumos!$C$1:$C$764)</f>
        <v>KG</v>
      </c>
      <c r="F2045" s="179">
        <v>0.2</v>
      </c>
      <c r="G2045" s="177">
        <f>IF(B2045="insumo",_xlfn.XLOOKUP($D2045,Insumos!$B$1:$B$764,Insumos!$D$1:$D$764),"")</f>
        <v>25.11</v>
      </c>
      <c r="H2045" s="177" cm="1">
        <f t="array" ref="H2045">_xlfn.IFS(B2045="Serviço",SUMIFS(H2046:$H$3085,C2046:$C$3085,$C2045),B2045="Insumo",F2045*G2045,B2045="Etapa","")</f>
        <v>5.0220000000000002</v>
      </c>
      <c r="I2045" s="178"/>
    </row>
    <row r="2046" spans="1:9" outlineLevel="1" collapsed="1" x14ac:dyDescent="0.25">
      <c r="A2046" s="175">
        <f t="shared" si="65"/>
        <v>1</v>
      </c>
      <c r="B2046" s="175" t="s">
        <v>109</v>
      </c>
      <c r="C2046" s="175" t="str">
        <f t="shared" si="66"/>
        <v>Rodapé de Poliestireno h=20cm</v>
      </c>
      <c r="D2046" s="175" t="s">
        <v>798</v>
      </c>
      <c r="E2046" s="176" t="s">
        <v>25</v>
      </c>
      <c r="F2046" s="175"/>
      <c r="G2046" s="177" t="str">
        <f>IF(B2046="insumo",_xlfn.XLOOKUP($D2046,Insumos!$B$1:$B$764,Insumos!$D$1:$D$764),"")</f>
        <v/>
      </c>
      <c r="H2046" s="177" cm="1">
        <f t="array" ref="H2046">_xlfn.IFS(B2046="Serviço",SUMIFS(H2047:$H$3085,C2047:$C$3085,$C2046),B2046="Insumo",F2046*G2046,B2046="Etapa","")</f>
        <v>72.357000000000014</v>
      </c>
      <c r="I2046" s="178" t="s">
        <v>195</v>
      </c>
    </row>
    <row r="2047" spans="1:9" hidden="1" outlineLevel="2" x14ac:dyDescent="0.25">
      <c r="A2047" s="175">
        <f t="shared" si="65"/>
        <v>1</v>
      </c>
      <c r="B2047" s="175" t="s">
        <v>327</v>
      </c>
      <c r="C2047" s="175" t="str">
        <f t="shared" si="66"/>
        <v>Rodapé de Poliestireno h=20cm</v>
      </c>
      <c r="D2047" s="175" t="s">
        <v>799</v>
      </c>
      <c r="E2047" s="176" t="str">
        <f>_xlfn.XLOOKUP(D2047,Insumos!$B$1:$B$764,Insumos!$C$1:$C$764)</f>
        <v>M</v>
      </c>
      <c r="F2047" s="179">
        <v>1.34</v>
      </c>
      <c r="G2047" s="177">
        <f>IF(B2047="insumo",_xlfn.XLOOKUP($D2047,Insumos!$B$1:$B$764,Insumos!$D$1:$D$764),"")</f>
        <v>50.25</v>
      </c>
      <c r="H2047" s="177" cm="1">
        <f t="array" ref="H2047">_xlfn.IFS(B2047="Serviço",SUMIFS(H2048:$H$3085,C2048:$C$3085,$C2047),B2047="Insumo",F2047*G2047,B2047="Etapa","")</f>
        <v>67.335000000000008</v>
      </c>
      <c r="I2047" s="178"/>
    </row>
    <row r="2048" spans="1:9" hidden="1" outlineLevel="2" x14ac:dyDescent="0.25">
      <c r="A2048" s="175">
        <f t="shared" si="65"/>
        <v>5</v>
      </c>
      <c r="B2048" s="175" t="s">
        <v>327</v>
      </c>
      <c r="C2048" s="175" t="str">
        <f t="shared" si="66"/>
        <v>Rodapé de Poliestireno h=20cm</v>
      </c>
      <c r="D2048" s="175" t="s">
        <v>787</v>
      </c>
      <c r="E2048" s="176" t="str">
        <f>_xlfn.XLOOKUP(D2048,Insumos!$B$1:$B$764,Insumos!$C$1:$C$764)</f>
        <v>KG</v>
      </c>
      <c r="F2048" s="179">
        <v>0.2</v>
      </c>
      <c r="G2048" s="177">
        <f>IF(B2048="insumo",_xlfn.XLOOKUP($D2048,Insumos!$B$1:$B$764,Insumos!$D$1:$D$764),"")</f>
        <v>25.11</v>
      </c>
      <c r="H2048" s="177" cm="1">
        <f t="array" ref="H2048">_xlfn.IFS(B2048="Serviço",SUMIFS(H2049:$H$3085,C2049:$C$3085,$C2048),B2048="Insumo",F2048*G2048,B2048="Etapa","")</f>
        <v>5.0220000000000002</v>
      </c>
      <c r="I2048" s="178"/>
    </row>
    <row r="2049" spans="1:9" outlineLevel="1" x14ac:dyDescent="0.25">
      <c r="A2049" s="175">
        <f t="shared" si="65"/>
        <v>1</v>
      </c>
      <c r="B2049" s="175" t="s">
        <v>109</v>
      </c>
      <c r="C2049" s="175" t="str">
        <f t="shared" si="66"/>
        <v>Rodapé de Marmore cinza h=15cm</v>
      </c>
      <c r="D2049" s="175" t="s">
        <v>800</v>
      </c>
      <c r="E2049" s="176" t="s">
        <v>25</v>
      </c>
      <c r="F2049" s="175"/>
      <c r="G2049" s="177" t="str">
        <f>IF(B2049="insumo",_xlfn.XLOOKUP($D2049,Insumos!$B$1:$B$764,Insumos!$D$1:$D$764),"")</f>
        <v/>
      </c>
      <c r="H2049" s="177" cm="1">
        <f t="array" ref="H2049">_xlfn.IFS(B2049="Serviço",SUMIFS(H2050:$H$3085,C2050:$C$3085,$C2049),B2049="Insumo",F2049*G2049,B2049="Etapa","")</f>
        <v>83.942250000000001</v>
      </c>
      <c r="I2049" s="178" t="s">
        <v>195</v>
      </c>
    </row>
    <row r="2050" spans="1:9" outlineLevel="2" x14ac:dyDescent="0.25">
      <c r="A2050" s="175">
        <f t="shared" ref="A2050:A2113" si="67">COUNTIFS($D$2:$D$3085,D2050,$B$2:$B$3085,B2050)</f>
        <v>3</v>
      </c>
      <c r="B2050" s="175" t="s">
        <v>327</v>
      </c>
      <c r="C2050" s="175" t="str">
        <f t="shared" si="66"/>
        <v>Rodapé de Marmore cinza h=15cm</v>
      </c>
      <c r="D2050" s="175" t="s">
        <v>685</v>
      </c>
      <c r="E2050" s="176" t="str">
        <f>_xlfn.XLOOKUP(D2050,Insumos!$B$1:$B$764,Insumos!$C$1:$C$764)</f>
        <v>M2</v>
      </c>
      <c r="F2050" s="179">
        <v>0.16500000000000001</v>
      </c>
      <c r="G2050" s="177">
        <f>IF(B2050="insumo",_xlfn.XLOOKUP($D2050,Insumos!$B$1:$B$764,Insumos!$D$1:$D$764),"")</f>
        <v>480</v>
      </c>
      <c r="H2050" s="177" cm="1">
        <f t="array" ref="H2050">_xlfn.IFS(B2050="Serviço",SUMIFS(H2051:$H$3085,C2051:$C$3085,$C2050),B2050="Insumo",F2050*G2050,B2050="Etapa","")</f>
        <v>79.2</v>
      </c>
      <c r="I2050" s="178"/>
    </row>
    <row r="2051" spans="1:9" outlineLevel="2" x14ac:dyDescent="0.25">
      <c r="A2051" s="175">
        <f t="shared" si="67"/>
        <v>118</v>
      </c>
      <c r="B2051" s="175" t="s">
        <v>327</v>
      </c>
      <c r="C2051" s="175" t="str">
        <f t="shared" si="66"/>
        <v>Rodapé de Marmore cinza h=15cm</v>
      </c>
      <c r="D2051" s="175" t="s">
        <v>654</v>
      </c>
      <c r="E2051" s="176" t="str">
        <f>_xlfn.XLOOKUP(D2051,Insumos!$B$1:$B$764,Insumos!$C$1:$C$764)</f>
        <v>KG</v>
      </c>
      <c r="F2051" s="179">
        <v>1.3499999999999999</v>
      </c>
      <c r="G2051" s="177">
        <f>IF(B2051="insumo",_xlfn.XLOOKUP($D2051,Insumos!$B$1:$B$764,Insumos!$D$1:$D$764),"")</f>
        <v>2.5499999999999998</v>
      </c>
      <c r="H2051" s="177" cm="1">
        <f t="array" ref="H2051">_xlfn.IFS(B2051="Serviço",SUMIFS(H2052:$H$3085,C2052:$C$3085,$C2051),B2051="Insumo",F2051*G2051,B2051="Etapa","")</f>
        <v>3.4424999999999994</v>
      </c>
      <c r="I2051" s="178"/>
    </row>
    <row r="2052" spans="1:9" outlineLevel="2" x14ac:dyDescent="0.25">
      <c r="A2052" s="175">
        <f t="shared" si="67"/>
        <v>18</v>
      </c>
      <c r="B2052" s="175" t="s">
        <v>327</v>
      </c>
      <c r="C2052" s="175" t="str">
        <f t="shared" si="66"/>
        <v>Rodapé de Marmore cinza h=15cm</v>
      </c>
      <c r="D2052" s="175" t="s">
        <v>694</v>
      </c>
      <c r="E2052" s="176" t="str">
        <f>_xlfn.XLOOKUP(D2052,Insumos!$B$1:$B$764,Insumos!$C$1:$C$764)</f>
        <v>UN</v>
      </c>
      <c r="F2052" s="179">
        <v>7.4999999999999997E-2</v>
      </c>
      <c r="G2052" s="177">
        <f>IF(B2052="insumo",_xlfn.XLOOKUP($D2052,Insumos!$B$1:$B$764,Insumos!$D$1:$D$764),"")</f>
        <v>17.329999999999998</v>
      </c>
      <c r="H2052" s="177" cm="1">
        <f t="array" ref="H2052">_xlfn.IFS(B2052="Serviço",SUMIFS(H2053:$H$3085,C2053:$C$3085,$C2052),B2052="Insumo",F2052*G2052,B2052="Etapa","")</f>
        <v>1.2997499999999997</v>
      </c>
      <c r="I2052" s="178"/>
    </row>
    <row r="2053" spans="1:9" outlineLevel="1" x14ac:dyDescent="0.25">
      <c r="A2053" s="175">
        <f t="shared" si="67"/>
        <v>1</v>
      </c>
      <c r="B2053" s="175" t="s">
        <v>109</v>
      </c>
      <c r="C2053" s="175" t="str">
        <f t="shared" si="66"/>
        <v>Rodapé de poliestireno h=10cm</v>
      </c>
      <c r="D2053" s="175" t="s">
        <v>248</v>
      </c>
      <c r="E2053" s="176" t="s">
        <v>25</v>
      </c>
      <c r="F2053" s="175"/>
      <c r="G2053" s="177" t="str">
        <f>IF(B2053="insumo",_xlfn.XLOOKUP($D2053,Insumos!$B$1:$B$764,Insumos!$D$1:$D$764),"")</f>
        <v/>
      </c>
      <c r="H2053" s="177" cm="1">
        <f t="array" ref="H2053">_xlfn.IFS(B2053="Serviço",SUMIFS(H2054:$H$3085,C2054:$C$3085,$C2053),B2053="Insumo",F2053*G2053,B2053="Etapa","")</f>
        <v>33.872200000000007</v>
      </c>
      <c r="I2053" s="178" t="s">
        <v>195</v>
      </c>
    </row>
    <row r="2054" spans="1:9" outlineLevel="2" x14ac:dyDescent="0.25">
      <c r="A2054" s="175">
        <f t="shared" si="67"/>
        <v>5</v>
      </c>
      <c r="B2054" s="175" t="s">
        <v>327</v>
      </c>
      <c r="C2054" s="175" t="str">
        <f t="shared" si="66"/>
        <v>Rodapé de poliestireno h=10cm</v>
      </c>
      <c r="D2054" s="175" t="s">
        <v>787</v>
      </c>
      <c r="E2054" s="176" t="str">
        <f>_xlfn.XLOOKUP(D2054,Insumos!$B$1:$B$764,Insumos!$C$1:$C$764)</f>
        <v>KG</v>
      </c>
      <c r="F2054" s="179">
        <v>0.2</v>
      </c>
      <c r="G2054" s="177">
        <f>IF(B2054="insumo",_xlfn.XLOOKUP($D2054,Insumos!$B$1:$B$764,Insumos!$D$1:$D$764),"")</f>
        <v>25.11</v>
      </c>
      <c r="H2054" s="177" cm="1">
        <f t="array" ref="H2054">_xlfn.IFS(B2054="Serviço",SUMIFS(H2055:$H$3085,C2055:$C$3085,$C2054),B2054="Insumo",F2054*G2054,B2054="Etapa","")</f>
        <v>5.0220000000000002</v>
      </c>
      <c r="I2054" s="178"/>
    </row>
    <row r="2055" spans="1:9" outlineLevel="2" x14ac:dyDescent="0.25">
      <c r="A2055" s="175">
        <f t="shared" si="67"/>
        <v>1</v>
      </c>
      <c r="B2055" s="175" t="s">
        <v>327</v>
      </c>
      <c r="C2055" s="175" t="str">
        <f t="shared" si="66"/>
        <v>Rodapé de poliestireno h=10cm</v>
      </c>
      <c r="D2055" s="175" t="s">
        <v>801</v>
      </c>
      <c r="E2055" s="176" t="str">
        <f>_xlfn.XLOOKUP(D2055,Insumos!$B$1:$B$764,Insumos!$C$1:$C$764)</f>
        <v>M</v>
      </c>
      <c r="F2055" s="179">
        <v>1.34</v>
      </c>
      <c r="G2055" s="177">
        <f>IF(B2055="insumo",_xlfn.XLOOKUP($D2055,Insumos!$B$1:$B$764,Insumos!$D$1:$D$764),"")</f>
        <v>21.53</v>
      </c>
      <c r="H2055" s="177" cm="1">
        <f t="array" ref="H2055">_xlfn.IFS(B2055="Serviço",SUMIFS(H2056:$H$3085,C2056:$C$3085,$C2055),B2055="Insumo",F2055*G2055,B2055="Etapa","")</f>
        <v>28.850200000000005</v>
      </c>
      <c r="I2055" s="178"/>
    </row>
    <row r="2056" spans="1:9" ht="16.5" customHeight="1" outlineLevel="1" x14ac:dyDescent="0.25">
      <c r="A2056" s="175">
        <f t="shared" si="67"/>
        <v>1</v>
      </c>
      <c r="B2056" s="175" t="s">
        <v>109</v>
      </c>
      <c r="C2056" s="175" t="str">
        <f t="shared" si="66"/>
        <v>Rodapé de poliestireno h=7cm</v>
      </c>
      <c r="D2056" s="175" t="s">
        <v>183</v>
      </c>
      <c r="E2056" s="176" t="s">
        <v>25</v>
      </c>
      <c r="F2056" s="175"/>
      <c r="G2056" s="177" t="str">
        <f>IF(B2056="insumo",_xlfn.XLOOKUP($D2056,Insumos!$B$1:$B$764,Insumos!$D$1:$D$764),"")</f>
        <v/>
      </c>
      <c r="H2056" s="177" cm="1">
        <f t="array" ref="H2056">_xlfn.IFS(B2056="Serviço",SUMIFS(H2057:$H$3085,C2057:$C$3085,$C2056),B2056="Insumo",F2056*G2056,B2056="Etapa","")</f>
        <v>27.926352000000001</v>
      </c>
      <c r="I2056" s="178" t="s">
        <v>195</v>
      </c>
    </row>
    <row r="2057" spans="1:9" outlineLevel="2" x14ac:dyDescent="0.25">
      <c r="A2057" s="175">
        <f t="shared" si="67"/>
        <v>5</v>
      </c>
      <c r="B2057" s="175" t="s">
        <v>327</v>
      </c>
      <c r="C2057" s="175" t="str">
        <f t="shared" si="66"/>
        <v>Rodapé de poliestireno h=7cm</v>
      </c>
      <c r="D2057" s="175" t="s">
        <v>787</v>
      </c>
      <c r="E2057" s="176" t="str">
        <f>_xlfn.XLOOKUP(D2057,Insumos!$B$1:$B$764,Insumos!$C$1:$C$764)</f>
        <v>KG</v>
      </c>
      <c r="F2057" s="179">
        <v>0.2</v>
      </c>
      <c r="G2057" s="177">
        <f>IF(B2057="insumo",_xlfn.XLOOKUP($D2057,Insumos!$B$1:$B$764,Insumos!$D$1:$D$764),"")</f>
        <v>25.11</v>
      </c>
      <c r="H2057" s="177" cm="1">
        <f t="array" ref="H2057">_xlfn.IFS(B2057="Serviço",SUMIFS(H2058:$H$3085,C2058:$C$3085,$C2057),B2057="Insumo",F2057*G2057,B2057="Etapa","")</f>
        <v>5.0220000000000002</v>
      </c>
      <c r="I2057" s="178"/>
    </row>
    <row r="2058" spans="1:9" outlineLevel="2" x14ac:dyDescent="0.25">
      <c r="A2058" s="175">
        <f t="shared" si="67"/>
        <v>1</v>
      </c>
      <c r="B2058" s="175" t="s">
        <v>327</v>
      </c>
      <c r="C2058" s="175" t="str">
        <f t="shared" si="66"/>
        <v>Rodapé de poliestireno h=7cm</v>
      </c>
      <c r="D2058" s="175" t="s">
        <v>802</v>
      </c>
      <c r="E2058" s="176" t="str">
        <f>_xlfn.XLOOKUP(D2058,Insumos!$B$1:$B$764,Insumos!$C$1:$C$764)</f>
        <v>UN</v>
      </c>
      <c r="F2058" s="179">
        <v>1.34</v>
      </c>
      <c r="G2058" s="177">
        <f>IF(B2058="insumo",_xlfn.XLOOKUP($D2058,Insumos!$B$1:$B$764,Insumos!$D$1:$D$764),"")</f>
        <v>17.0928</v>
      </c>
      <c r="H2058" s="177" cm="1">
        <f t="array" ref="H2058">_xlfn.IFS(B2058="Serviço",SUMIFS(H2059:$H$3085,C2059:$C$3085,$C2058),B2058="Insumo",F2058*G2058,B2058="Etapa","")</f>
        <v>22.904352000000003</v>
      </c>
      <c r="I2058" s="178"/>
    </row>
    <row r="2059" spans="1:9" outlineLevel="1" x14ac:dyDescent="0.25">
      <c r="A2059" s="175">
        <f t="shared" si="67"/>
        <v>1</v>
      </c>
      <c r="B2059" s="175" t="s">
        <v>109</v>
      </c>
      <c r="C2059" s="175" t="str">
        <f t="shared" si="66"/>
        <v>Rodapé de cerâmico h=10cm</v>
      </c>
      <c r="D2059" s="175" t="s">
        <v>1976</v>
      </c>
      <c r="E2059" s="176" t="s">
        <v>25</v>
      </c>
      <c r="F2059" s="175"/>
      <c r="G2059" s="177" t="str">
        <f>IF(B2059="insumo",_xlfn.XLOOKUP($D2059,Insumos!$B$1:$B$764,Insumos!$D$1:$D$764),"")</f>
        <v/>
      </c>
      <c r="H2059" s="177" cm="1">
        <f t="array" ref="H2059">_xlfn.IFS(B2059="Serviço",SUMIFS(H2060:$H$3085,C2060:$C$3085,$C2059),B2059="Insumo",F2059*G2059,B2059="Etapa","")</f>
        <v>9.4559999999999995</v>
      </c>
      <c r="I2059" s="178" t="s">
        <v>195</v>
      </c>
    </row>
    <row r="2060" spans="1:9" outlineLevel="2" x14ac:dyDescent="0.25">
      <c r="A2060" s="175">
        <f t="shared" si="67"/>
        <v>4</v>
      </c>
      <c r="B2060" s="175" t="s">
        <v>327</v>
      </c>
      <c r="C2060" s="175" t="str">
        <f t="shared" si="66"/>
        <v>Rodapé de cerâmico h=10cm</v>
      </c>
      <c r="D2060" s="175" t="s">
        <v>782</v>
      </c>
      <c r="E2060" s="176" t="str">
        <f>_xlfn.XLOOKUP(D2060,Insumos!$B$1:$B$764,Insumos!$C$1:$C$764)</f>
        <v>M2</v>
      </c>
      <c r="F2060" s="179">
        <v>0.11000000000000001</v>
      </c>
      <c r="G2060" s="177">
        <f>IF(B2060="insumo",_xlfn.XLOOKUP($D2060,Insumos!$B$1:$B$764,Insumos!$D$1:$D$764),"")</f>
        <v>44.9</v>
      </c>
      <c r="H2060" s="177" cm="1">
        <f t="array" ref="H2060">_xlfn.IFS(B2060="Serviço",SUMIFS(H2061:$H$3085,C2061:$C$3085,$C2060),B2060="Insumo",F2060*G2060,B2060="Etapa","")</f>
        <v>4.9390000000000001</v>
      </c>
      <c r="I2060" s="178"/>
    </row>
    <row r="2061" spans="1:9" outlineLevel="2" x14ac:dyDescent="0.25">
      <c r="A2061" s="175">
        <f t="shared" si="67"/>
        <v>118</v>
      </c>
      <c r="B2061" s="175" t="s">
        <v>327</v>
      </c>
      <c r="C2061" s="175" t="str">
        <f t="shared" si="66"/>
        <v>Rodapé de cerâmico h=10cm</v>
      </c>
      <c r="D2061" s="175" t="s">
        <v>654</v>
      </c>
      <c r="E2061" s="176" t="str">
        <f>_xlfn.XLOOKUP(D2061,Insumos!$B$1:$B$764,Insumos!$C$1:$C$764)</f>
        <v>KG</v>
      </c>
      <c r="F2061" s="179">
        <v>0.9</v>
      </c>
      <c r="G2061" s="177">
        <f>IF(B2061="insumo",_xlfn.XLOOKUP($D2061,Insumos!$B$1:$B$764,Insumos!$D$1:$D$764),"")</f>
        <v>2.5499999999999998</v>
      </c>
      <c r="H2061" s="177" cm="1">
        <f t="array" ref="H2061">_xlfn.IFS(B2061="Serviço",SUMIFS(H2062:$H$3085,C2062:$C$3085,$C2061),B2061="Insumo",F2061*G2061,B2061="Etapa","")</f>
        <v>2.2949999999999999</v>
      </c>
      <c r="I2061" s="178"/>
    </row>
    <row r="2062" spans="1:9" outlineLevel="2" x14ac:dyDescent="0.25">
      <c r="A2062" s="175">
        <f t="shared" si="67"/>
        <v>78</v>
      </c>
      <c r="B2062" s="175" t="s">
        <v>327</v>
      </c>
      <c r="C2062" s="175" t="str">
        <f t="shared" si="66"/>
        <v>Rodapé de cerâmico h=10cm</v>
      </c>
      <c r="D2062" s="175" t="s">
        <v>674</v>
      </c>
      <c r="E2062" s="176" t="str">
        <f>_xlfn.XLOOKUP(D2062,Insumos!$B$1:$B$764,Insumos!$C$1:$C$764)</f>
        <v>UN</v>
      </c>
      <c r="F2062" s="179">
        <v>0.4</v>
      </c>
      <c r="G2062" s="177">
        <f>IF(B2062="insumo",_xlfn.XLOOKUP($D2062,Insumos!$B$1:$B$764,Insumos!$D$1:$D$764),"")</f>
        <v>0.08</v>
      </c>
      <c r="H2062" s="177" cm="1">
        <f t="array" ref="H2062">_xlfn.IFS(B2062="Serviço",SUMIFS(H2063:$H$3085,C2063:$C$3085,$C2062),B2062="Insumo",F2062*G2062,B2062="Etapa","")</f>
        <v>3.2000000000000001E-2</v>
      </c>
      <c r="I2062" s="178"/>
    </row>
    <row r="2063" spans="1:9" outlineLevel="2" x14ac:dyDescent="0.25">
      <c r="A2063" s="175">
        <f t="shared" si="67"/>
        <v>19</v>
      </c>
      <c r="B2063" s="175" t="s">
        <v>327</v>
      </c>
      <c r="C2063" s="175" t="str">
        <f t="shared" si="66"/>
        <v>Rodapé de cerâmico h=10cm</v>
      </c>
      <c r="D2063" s="175" t="s">
        <v>1962</v>
      </c>
      <c r="E2063" s="176" t="str">
        <f>_xlfn.XLOOKUP(D2063,Insumos!$B$1:$B$764,Insumos!$C$1:$C$764)</f>
        <v>KG</v>
      </c>
      <c r="F2063" s="179">
        <v>0.05</v>
      </c>
      <c r="G2063" s="177">
        <f>IF(B2063="insumo",_xlfn.XLOOKUP($D2063,Insumos!$B$1:$B$764,Insumos!$D$1:$D$764),"")</f>
        <v>43.8</v>
      </c>
      <c r="H2063" s="177" cm="1">
        <f t="array" ref="H2063">_xlfn.IFS(B2063="Serviço",SUMIFS(H2064:$H$3085,C2064:$C$3085,$C2063),B2063="Insumo",F2063*G2063,B2063="Etapa","")</f>
        <v>2.19</v>
      </c>
      <c r="I2063" s="178"/>
    </row>
    <row r="2064" spans="1:9" outlineLevel="1" collapsed="1" x14ac:dyDescent="0.25">
      <c r="A2064" s="175">
        <f t="shared" si="67"/>
        <v>1</v>
      </c>
      <c r="B2064" s="175" t="s">
        <v>109</v>
      </c>
      <c r="C2064" s="175" t="str">
        <f t="shared" si="66"/>
        <v>Rodapé de cerâmico h=15cm</v>
      </c>
      <c r="D2064" s="175" t="s">
        <v>4395</v>
      </c>
      <c r="E2064" s="176" t="s">
        <v>25</v>
      </c>
      <c r="F2064" s="175"/>
      <c r="G2064" s="177" t="str">
        <f>IF(B2064="insumo",_xlfn.XLOOKUP($D2064,Insumos!$B$1:$B$764,Insumos!$D$1:$D$764),"")</f>
        <v/>
      </c>
      <c r="H2064" s="177" cm="1">
        <f t="array" ref="H2064">_xlfn.IFS(B2064="Serviço",SUMIFS(H2065:$H$3085,C2065:$C$3085,$C2064),B2064="Insumo",F2064*G2064,B2064="Etapa","")</f>
        <v>14.183999999999999</v>
      </c>
      <c r="I2064" s="178" t="s">
        <v>195</v>
      </c>
    </row>
    <row r="2065" spans="1:9" hidden="1" outlineLevel="2" x14ac:dyDescent="0.25">
      <c r="A2065" s="175">
        <f t="shared" si="67"/>
        <v>4</v>
      </c>
      <c r="B2065" s="175" t="s">
        <v>327</v>
      </c>
      <c r="C2065" s="175" t="str">
        <f t="shared" si="66"/>
        <v>Rodapé de cerâmico h=15cm</v>
      </c>
      <c r="D2065" s="175" t="s">
        <v>782</v>
      </c>
      <c r="E2065" s="176" t="str">
        <f>_xlfn.XLOOKUP(D2065,Insumos!$B$1:$B$764,Insumos!$C$1:$C$764)</f>
        <v>M2</v>
      </c>
      <c r="F2065" s="179">
        <f>0.11*15/10</f>
        <v>0.16499999999999998</v>
      </c>
      <c r="G2065" s="177">
        <f>IF(B2065="insumo",_xlfn.XLOOKUP($D2065,Insumos!$B$1:$B$764,Insumos!$D$1:$D$764),"")</f>
        <v>44.9</v>
      </c>
      <c r="H2065" s="177" cm="1">
        <f t="array" ref="H2065">_xlfn.IFS(B2065="Serviço",SUMIFS(H2066:$H$3085,C2066:$C$3085,$C2065),B2065="Insumo",F2065*G2065,B2065="Etapa","")</f>
        <v>7.4084999999999992</v>
      </c>
      <c r="I2065" s="178"/>
    </row>
    <row r="2066" spans="1:9" hidden="1" outlineLevel="2" x14ac:dyDescent="0.25">
      <c r="A2066" s="175">
        <f t="shared" si="67"/>
        <v>118</v>
      </c>
      <c r="B2066" s="175" t="s">
        <v>327</v>
      </c>
      <c r="C2066" s="175" t="str">
        <f t="shared" si="66"/>
        <v>Rodapé de cerâmico h=15cm</v>
      </c>
      <c r="D2066" s="175" t="s">
        <v>654</v>
      </c>
      <c r="E2066" s="176" t="str">
        <f>_xlfn.XLOOKUP(D2066,Insumos!$B$1:$B$764,Insumos!$C$1:$C$764)</f>
        <v>KG</v>
      </c>
      <c r="F2066" s="179">
        <f>0.9*15/10</f>
        <v>1.35</v>
      </c>
      <c r="G2066" s="177">
        <f>IF(B2066="insumo",_xlfn.XLOOKUP($D2066,Insumos!$B$1:$B$764,Insumos!$D$1:$D$764),"")</f>
        <v>2.5499999999999998</v>
      </c>
      <c r="H2066" s="177" cm="1">
        <f t="array" ref="H2066">_xlfn.IFS(B2066="Serviço",SUMIFS(H2067:$H$3085,C2067:$C$3085,$C2066),B2066="Insumo",F2066*G2066,B2066="Etapa","")</f>
        <v>3.4424999999999999</v>
      </c>
      <c r="I2066" s="178"/>
    </row>
    <row r="2067" spans="1:9" hidden="1" outlineLevel="2" x14ac:dyDescent="0.25">
      <c r="A2067" s="175">
        <f t="shared" si="67"/>
        <v>78</v>
      </c>
      <c r="B2067" s="175" t="s">
        <v>327</v>
      </c>
      <c r="C2067" s="175" t="str">
        <f t="shared" si="66"/>
        <v>Rodapé de cerâmico h=15cm</v>
      </c>
      <c r="D2067" s="175" t="s">
        <v>674</v>
      </c>
      <c r="E2067" s="176" t="str">
        <f>_xlfn.XLOOKUP(D2067,Insumos!$B$1:$B$764,Insumos!$C$1:$C$764)</f>
        <v>UN</v>
      </c>
      <c r="F2067" s="179">
        <f>0.4*1.5</f>
        <v>0.60000000000000009</v>
      </c>
      <c r="G2067" s="177">
        <f>IF(B2067="insumo",_xlfn.XLOOKUP($D2067,Insumos!$B$1:$B$764,Insumos!$D$1:$D$764),"")</f>
        <v>0.08</v>
      </c>
      <c r="H2067" s="177" cm="1">
        <f t="array" ref="H2067">_xlfn.IFS(B2067="Serviço",SUMIFS(H2068:$H$3085,C2068:$C$3085,$C2067),B2067="Insumo",F2067*G2067,B2067="Etapa","")</f>
        <v>4.8000000000000008E-2</v>
      </c>
      <c r="I2067" s="178"/>
    </row>
    <row r="2068" spans="1:9" hidden="1" outlineLevel="2" x14ac:dyDescent="0.25">
      <c r="A2068" s="175">
        <f t="shared" si="67"/>
        <v>19</v>
      </c>
      <c r="B2068" s="175" t="s">
        <v>327</v>
      </c>
      <c r="C2068" s="175" t="str">
        <f t="shared" si="66"/>
        <v>Rodapé de cerâmico h=15cm</v>
      </c>
      <c r="D2068" s="175" t="s">
        <v>1962</v>
      </c>
      <c r="E2068" s="176" t="str">
        <f>_xlfn.XLOOKUP(D2068,Insumos!$B$1:$B$764,Insumos!$C$1:$C$764)</f>
        <v>KG</v>
      </c>
      <c r="F2068" s="179">
        <f>0.05*1.5</f>
        <v>7.5000000000000011E-2</v>
      </c>
      <c r="G2068" s="177">
        <f>IF(B2068="insumo",_xlfn.XLOOKUP($D2068,Insumos!$B$1:$B$764,Insumos!$D$1:$D$764),"")</f>
        <v>43.8</v>
      </c>
      <c r="H2068" s="177" cm="1">
        <f t="array" ref="H2068">_xlfn.IFS(B2068="Serviço",SUMIFS(H2069:$H$3085,C2069:$C$3085,$C2068),B2068="Insumo",F2068*G2068,B2068="Etapa","")</f>
        <v>3.2850000000000001</v>
      </c>
      <c r="I2068" s="178"/>
    </row>
    <row r="2069" spans="1:9" outlineLevel="1" collapsed="1" x14ac:dyDescent="0.25">
      <c r="A2069" s="175">
        <f t="shared" si="67"/>
        <v>1</v>
      </c>
      <c r="B2069" s="175" t="s">
        <v>109</v>
      </c>
      <c r="C2069" s="175" t="str">
        <f t="shared" si="66"/>
        <v>Rodapé de porcelanato h=10cm</v>
      </c>
      <c r="D2069" s="175" t="s">
        <v>249</v>
      </c>
      <c r="E2069" s="176" t="s">
        <v>25</v>
      </c>
      <c r="F2069" s="175"/>
      <c r="G2069" s="177" t="str">
        <f>IF(B2069="insumo",_xlfn.XLOOKUP($D2069,Insumos!$B$1:$B$764,Insumos!$D$1:$D$764),"")</f>
        <v/>
      </c>
      <c r="H2069" s="177" cm="1">
        <f t="array" ref="H2069">_xlfn.IFS(B2069="Serviço",SUMIFS(H2070:$H$3085,C2070:$C$3085,$C2069),B2069="Insumo",F2069*G2069,B2069="Etapa","")</f>
        <v>13.537000000000001</v>
      </c>
      <c r="I2069" s="178" t="s">
        <v>195</v>
      </c>
    </row>
    <row r="2070" spans="1:9" hidden="1" outlineLevel="2" x14ac:dyDescent="0.25">
      <c r="A2070" s="175">
        <f t="shared" si="67"/>
        <v>5</v>
      </c>
      <c r="B2070" s="175" t="s">
        <v>327</v>
      </c>
      <c r="C2070" s="175" t="str">
        <f t="shared" si="66"/>
        <v>Rodapé de porcelanato h=10cm</v>
      </c>
      <c r="D2070" s="175" t="s">
        <v>768</v>
      </c>
      <c r="E2070" s="176" t="str">
        <f>_xlfn.XLOOKUP(D2070,Insumos!$B$1:$B$764,Insumos!$C$1:$C$764)</f>
        <v>M2</v>
      </c>
      <c r="F2070" s="179">
        <v>0.11000000000000001</v>
      </c>
      <c r="G2070" s="177">
        <f>IF(B2070="insumo",_xlfn.XLOOKUP($D2070,Insumos!$B$1:$B$764,Insumos!$D$1:$D$764),"")</f>
        <v>82</v>
      </c>
      <c r="H2070" s="177" cm="1">
        <f t="array" ref="H2070">_xlfn.IFS(B2070="Serviço",SUMIFS(H2071:$H$3085,C2071:$C$3085,$C2070),B2070="Insumo",F2070*G2070,B2070="Etapa","")</f>
        <v>9.0200000000000014</v>
      </c>
      <c r="I2070" s="178"/>
    </row>
    <row r="2071" spans="1:9" hidden="1" outlineLevel="2" x14ac:dyDescent="0.25">
      <c r="A2071" s="175">
        <f t="shared" si="67"/>
        <v>118</v>
      </c>
      <c r="B2071" s="175" t="s">
        <v>327</v>
      </c>
      <c r="C2071" s="175" t="str">
        <f t="shared" si="66"/>
        <v>Rodapé de porcelanato h=10cm</v>
      </c>
      <c r="D2071" s="175" t="s">
        <v>654</v>
      </c>
      <c r="E2071" s="176" t="str">
        <f>_xlfn.XLOOKUP(D2071,Insumos!$B$1:$B$764,Insumos!$C$1:$C$764)</f>
        <v>KG</v>
      </c>
      <c r="F2071" s="179">
        <v>0.9</v>
      </c>
      <c r="G2071" s="177">
        <f>IF(B2071="insumo",_xlfn.XLOOKUP($D2071,Insumos!$B$1:$B$764,Insumos!$D$1:$D$764),"")</f>
        <v>2.5499999999999998</v>
      </c>
      <c r="H2071" s="177" cm="1">
        <f t="array" ref="H2071">_xlfn.IFS(B2071="Serviço",SUMIFS(H2072:$H$3085,C2072:$C$3085,$C2071),B2071="Insumo",F2071*G2071,B2071="Etapa","")</f>
        <v>2.2949999999999999</v>
      </c>
      <c r="I2071" s="178"/>
    </row>
    <row r="2072" spans="1:9" hidden="1" outlineLevel="2" x14ac:dyDescent="0.25">
      <c r="A2072" s="175">
        <f t="shared" si="67"/>
        <v>78</v>
      </c>
      <c r="B2072" s="175" t="s">
        <v>327</v>
      </c>
      <c r="C2072" s="175" t="str">
        <f t="shared" si="66"/>
        <v>Rodapé de porcelanato h=10cm</v>
      </c>
      <c r="D2072" s="175" t="s">
        <v>674</v>
      </c>
      <c r="E2072" s="176" t="str">
        <f>_xlfn.XLOOKUP(D2072,Insumos!$B$1:$B$764,Insumos!$C$1:$C$764)</f>
        <v>UN</v>
      </c>
      <c r="F2072" s="179">
        <v>0.4</v>
      </c>
      <c r="G2072" s="177">
        <f>IF(B2072="insumo",_xlfn.XLOOKUP($D2072,Insumos!$B$1:$B$764,Insumos!$D$1:$D$764),"")</f>
        <v>0.08</v>
      </c>
      <c r="H2072" s="177" cm="1">
        <f t="array" ref="H2072">_xlfn.IFS(B2072="Serviço",SUMIFS(H2073:$H$3085,C2073:$C$3085,$C2072),B2072="Insumo",F2072*G2072,B2072="Etapa","")</f>
        <v>3.2000000000000001E-2</v>
      </c>
      <c r="I2072" s="178"/>
    </row>
    <row r="2073" spans="1:9" hidden="1" outlineLevel="2" x14ac:dyDescent="0.25">
      <c r="A2073" s="175">
        <f t="shared" si="67"/>
        <v>19</v>
      </c>
      <c r="B2073" s="175" t="s">
        <v>327</v>
      </c>
      <c r="C2073" s="175" t="str">
        <f t="shared" si="66"/>
        <v>Rodapé de porcelanato h=10cm</v>
      </c>
      <c r="D2073" s="175" t="s">
        <v>1962</v>
      </c>
      <c r="E2073" s="176" t="str">
        <f>_xlfn.XLOOKUP(D2073,Insumos!$B$1:$B$764,Insumos!$C$1:$C$764)</f>
        <v>KG</v>
      </c>
      <c r="F2073" s="179">
        <v>0.05</v>
      </c>
      <c r="G2073" s="177">
        <f>IF(B2073="insumo",_xlfn.XLOOKUP($D2073,Insumos!$B$1:$B$764,Insumos!$D$1:$D$764),"")</f>
        <v>43.8</v>
      </c>
      <c r="H2073" s="177" cm="1">
        <f t="array" ref="H2073">_xlfn.IFS(B2073="Serviço",SUMIFS(H2074:$H$3085,C2074:$C$3085,$C2073),B2073="Insumo",F2073*G2073,B2073="Etapa","")</f>
        <v>2.19</v>
      </c>
      <c r="I2073" s="178"/>
    </row>
    <row r="2074" spans="1:9" outlineLevel="1" x14ac:dyDescent="0.25">
      <c r="A2074" s="175">
        <f t="shared" si="67"/>
        <v>1</v>
      </c>
      <c r="B2074" s="175" t="s">
        <v>109</v>
      </c>
      <c r="C2074" s="175" t="str">
        <f t="shared" si="66"/>
        <v>Rodapé de cerâmico h=43cm</v>
      </c>
      <c r="D2074" s="175" t="s">
        <v>1977</v>
      </c>
      <c r="E2074" s="176" t="s">
        <v>25</v>
      </c>
      <c r="F2074" s="175"/>
      <c r="G2074" s="177" t="str">
        <f>IF(B2074="insumo",_xlfn.XLOOKUP($D2074,Insumos!$B$1:$B$764,Insumos!$D$1:$D$764),"")</f>
        <v/>
      </c>
      <c r="H2074" s="177" cm="1">
        <f t="array" ref="H2074">_xlfn.IFS(B2074="Serviço",SUMIFS(H2075:$H$3085,C2075:$C$3085,$C2074),B2074="Insumo",F2074*G2074,B2074="Etapa","")</f>
        <v>23.823999999999998</v>
      </c>
      <c r="I2074" s="178" t="s">
        <v>195</v>
      </c>
    </row>
    <row r="2075" spans="1:9" outlineLevel="2" x14ac:dyDescent="0.25">
      <c r="A2075" s="175">
        <f t="shared" si="67"/>
        <v>4</v>
      </c>
      <c r="B2075" s="175" t="s">
        <v>327</v>
      </c>
      <c r="C2075" s="175" t="str">
        <f t="shared" si="66"/>
        <v>Rodapé de cerâmico h=43cm</v>
      </c>
      <c r="D2075" s="175" t="s">
        <v>782</v>
      </c>
      <c r="E2075" s="176" t="str">
        <f>_xlfn.XLOOKUP(D2075,Insumos!$B$1:$B$764,Insumos!$C$1:$C$764)</f>
        <v>M2</v>
      </c>
      <c r="F2075" s="179">
        <f>1*0.43</f>
        <v>0.43</v>
      </c>
      <c r="G2075" s="177">
        <f>IF(B2075="insumo",_xlfn.XLOOKUP($D2075,Insumos!$B$1:$B$764,Insumos!$D$1:$D$764),"")</f>
        <v>44.9</v>
      </c>
      <c r="H2075" s="177" cm="1">
        <f t="array" ref="H2075">_xlfn.IFS(B2075="Serviço",SUMIFS(H2076:$H$3085,C2076:$C$3085,$C2075),B2075="Insumo",F2075*G2075,B2075="Etapa","")</f>
        <v>19.306999999999999</v>
      </c>
      <c r="I2075" s="178"/>
    </row>
    <row r="2076" spans="1:9" outlineLevel="2" x14ac:dyDescent="0.25">
      <c r="A2076" s="175">
        <f t="shared" si="67"/>
        <v>118</v>
      </c>
      <c r="B2076" s="175" t="s">
        <v>327</v>
      </c>
      <c r="C2076" s="175" t="str">
        <f t="shared" si="66"/>
        <v>Rodapé de cerâmico h=43cm</v>
      </c>
      <c r="D2076" s="175" t="s">
        <v>654</v>
      </c>
      <c r="E2076" s="176" t="str">
        <f>_xlfn.XLOOKUP(D2076,Insumos!$B$1:$B$764,Insumos!$C$1:$C$764)</f>
        <v>KG</v>
      </c>
      <c r="F2076" s="179">
        <v>0.9</v>
      </c>
      <c r="G2076" s="177">
        <f>IF(B2076="insumo",_xlfn.XLOOKUP($D2076,Insumos!$B$1:$B$764,Insumos!$D$1:$D$764),"")</f>
        <v>2.5499999999999998</v>
      </c>
      <c r="H2076" s="177" cm="1">
        <f t="array" ref="H2076">_xlfn.IFS(B2076="Serviço",SUMIFS(H2077:$H$3085,C2077:$C$3085,$C2076),B2076="Insumo",F2076*G2076,B2076="Etapa","")</f>
        <v>2.2949999999999999</v>
      </c>
      <c r="I2076" s="178"/>
    </row>
    <row r="2077" spans="1:9" outlineLevel="2" x14ac:dyDescent="0.25">
      <c r="A2077" s="175">
        <f t="shared" si="67"/>
        <v>78</v>
      </c>
      <c r="B2077" s="175" t="s">
        <v>327</v>
      </c>
      <c r="C2077" s="175" t="str">
        <f t="shared" si="66"/>
        <v>Rodapé de cerâmico h=43cm</v>
      </c>
      <c r="D2077" s="175" t="s">
        <v>674</v>
      </c>
      <c r="E2077" s="176" t="str">
        <f>_xlfn.XLOOKUP(D2077,Insumos!$B$1:$B$764,Insumos!$C$1:$C$764)</f>
        <v>UN</v>
      </c>
      <c r="F2077" s="179">
        <v>0.4</v>
      </c>
      <c r="G2077" s="177">
        <f>IF(B2077="insumo",_xlfn.XLOOKUP($D2077,Insumos!$B$1:$B$764,Insumos!$D$1:$D$764),"")</f>
        <v>0.08</v>
      </c>
      <c r="H2077" s="177" cm="1">
        <f t="array" ref="H2077">_xlfn.IFS(B2077="Serviço",SUMIFS(H2078:$H$3085,C2078:$C$3085,$C2077),B2077="Insumo",F2077*G2077,B2077="Etapa","")</f>
        <v>3.2000000000000001E-2</v>
      </c>
      <c r="I2077" s="178"/>
    </row>
    <row r="2078" spans="1:9" outlineLevel="2" x14ac:dyDescent="0.25">
      <c r="A2078" s="175">
        <f t="shared" si="67"/>
        <v>19</v>
      </c>
      <c r="B2078" s="175" t="s">
        <v>327</v>
      </c>
      <c r="C2078" s="175" t="str">
        <f t="shared" si="66"/>
        <v>Rodapé de cerâmico h=43cm</v>
      </c>
      <c r="D2078" s="175" t="s">
        <v>1962</v>
      </c>
      <c r="E2078" s="176" t="str">
        <f>_xlfn.XLOOKUP(D2078,Insumos!$B$1:$B$764,Insumos!$C$1:$C$764)</f>
        <v>KG</v>
      </c>
      <c r="F2078" s="179">
        <v>0.05</v>
      </c>
      <c r="G2078" s="177">
        <f>IF(B2078="insumo",_xlfn.XLOOKUP($D2078,Insumos!$B$1:$B$764,Insumos!$D$1:$D$764),"")</f>
        <v>43.8</v>
      </c>
      <c r="H2078" s="177" cm="1">
        <f t="array" ref="H2078">_xlfn.IFS(B2078="Serviço",SUMIFS(H2079:$H$3085,C2079:$C$3085,$C2078),B2078="Insumo",F2078*G2078,B2078="Etapa","")</f>
        <v>2.19</v>
      </c>
      <c r="I2078" s="178"/>
    </row>
    <row r="2079" spans="1:9" outlineLevel="1" x14ac:dyDescent="0.25">
      <c r="A2079" s="175">
        <f t="shared" si="67"/>
        <v>1</v>
      </c>
      <c r="B2079" s="175" t="s">
        <v>109</v>
      </c>
      <c r="C2079" s="175" t="str">
        <f t="shared" si="66"/>
        <v>Rodapé de porcelanato h=15cm, Padrão Nobre</v>
      </c>
      <c r="D2079" s="175" t="s">
        <v>4396</v>
      </c>
      <c r="E2079" s="176" t="s">
        <v>25</v>
      </c>
      <c r="F2079" s="175"/>
      <c r="G2079" s="177" t="str">
        <f>IF(B2079="insumo",_xlfn.XLOOKUP($D2079,Insumos!$B$1:$B$764,Insumos!$D$1:$D$764),"")</f>
        <v/>
      </c>
      <c r="H2079" s="177" cm="1">
        <f t="array" ref="H2079">_xlfn.IFS(B2079="Serviço",SUMIFS(H2080:$H$3085,C2080:$C$3085,$C2079),B2079="Insumo",F2079*G2079,B2079="Etapa","")</f>
        <v>24.125099999999996</v>
      </c>
      <c r="I2079" s="178" t="s">
        <v>195</v>
      </c>
    </row>
    <row r="2080" spans="1:9" outlineLevel="2" x14ac:dyDescent="0.25">
      <c r="A2080" s="175">
        <f t="shared" si="67"/>
        <v>2</v>
      </c>
      <c r="B2080" s="175" t="s">
        <v>327</v>
      </c>
      <c r="C2080" s="175" t="str">
        <f t="shared" si="66"/>
        <v>Rodapé de porcelanato h=15cm, Padrão Nobre</v>
      </c>
      <c r="D2080" s="175" t="s">
        <v>4247</v>
      </c>
      <c r="E2080" s="176" t="str">
        <f>_xlfn.XLOOKUP(D2080,Insumos!$B$1:$B$764,Insumos!$C$1:$C$764)</f>
        <v>M2</v>
      </c>
      <c r="F2080" s="179">
        <v>0.16500000000000001</v>
      </c>
      <c r="G2080" s="177">
        <f>IF(B2080="insumo",_xlfn.XLOOKUP($D2080,Insumos!$B$1:$B$764,Insumos!$D$1:$D$764),"")</f>
        <v>119.99</v>
      </c>
      <c r="H2080" s="177" cm="1">
        <f t="array" ref="H2080">_xlfn.IFS(B2080="Serviço",SUMIFS(H2081:$H$3085,C2081:$C$3085,$C2080),B2080="Insumo",F2080*G2080,B2080="Etapa","")</f>
        <v>19.798349999999999</v>
      </c>
      <c r="I2080" s="178"/>
    </row>
    <row r="2081" spans="1:9" outlineLevel="2" x14ac:dyDescent="0.25">
      <c r="A2081" s="175">
        <f t="shared" si="67"/>
        <v>118</v>
      </c>
      <c r="B2081" s="175" t="s">
        <v>327</v>
      </c>
      <c r="C2081" s="175" t="str">
        <f t="shared" si="66"/>
        <v>Rodapé de porcelanato h=15cm, Padrão Nobre</v>
      </c>
      <c r="D2081" s="175" t="s">
        <v>654</v>
      </c>
      <c r="E2081" s="176" t="str">
        <f>_xlfn.XLOOKUP(D2081,Insumos!$B$1:$B$764,Insumos!$C$1:$C$764)</f>
        <v>KG</v>
      </c>
      <c r="F2081" s="179">
        <v>1.3499999999999999</v>
      </c>
      <c r="G2081" s="177">
        <f>IF(B2081="insumo",_xlfn.XLOOKUP($D2081,Insumos!$B$1:$B$764,Insumos!$D$1:$D$764),"")</f>
        <v>2.5499999999999998</v>
      </c>
      <c r="H2081" s="177" cm="1">
        <f t="array" ref="H2081">_xlfn.IFS(B2081="Serviço",SUMIFS(H2082:$H$3085,C2082:$C$3085,$C2081),B2081="Insumo",F2081*G2081,B2081="Etapa","")</f>
        <v>3.4424999999999994</v>
      </c>
      <c r="I2081" s="178"/>
    </row>
    <row r="2082" spans="1:9" outlineLevel="2" x14ac:dyDescent="0.25">
      <c r="A2082" s="175">
        <f t="shared" si="67"/>
        <v>78</v>
      </c>
      <c r="B2082" s="175" t="s">
        <v>327</v>
      </c>
      <c r="C2082" s="175" t="str">
        <f t="shared" si="66"/>
        <v>Rodapé de porcelanato h=15cm, Padrão Nobre</v>
      </c>
      <c r="D2082" s="175" t="s">
        <v>674</v>
      </c>
      <c r="E2082" s="176" t="str">
        <f>_xlfn.XLOOKUP(D2082,Insumos!$B$1:$B$764,Insumos!$C$1:$C$764)</f>
        <v>UN</v>
      </c>
      <c r="F2082" s="179">
        <v>0.6</v>
      </c>
      <c r="G2082" s="177">
        <f>IF(B2082="insumo",_xlfn.XLOOKUP($D2082,Insumos!$B$1:$B$764,Insumos!$D$1:$D$764),"")</f>
        <v>0.08</v>
      </c>
      <c r="H2082" s="177" cm="1">
        <f t="array" ref="H2082">_xlfn.IFS(B2082="Serviço",SUMIFS(H2083:$H$3085,C2083:$C$3085,$C2082),B2082="Insumo",F2082*G2082,B2082="Etapa","")</f>
        <v>4.8000000000000001E-2</v>
      </c>
      <c r="I2082" s="178"/>
    </row>
    <row r="2083" spans="1:9" outlineLevel="2" x14ac:dyDescent="0.25">
      <c r="A2083" s="175">
        <f t="shared" si="67"/>
        <v>71</v>
      </c>
      <c r="B2083" s="175" t="s">
        <v>327</v>
      </c>
      <c r="C2083" s="175" t="str">
        <f t="shared" si="66"/>
        <v>Rodapé de porcelanato h=15cm, Padrão Nobre</v>
      </c>
      <c r="D2083" s="175" t="s">
        <v>675</v>
      </c>
      <c r="E2083" s="176" t="str">
        <f>_xlfn.XLOOKUP(D2083,Insumos!$B$1:$B$764,Insumos!$C$1:$C$764)</f>
        <v>KG</v>
      </c>
      <c r="F2083" s="179">
        <v>7.4999999999999997E-2</v>
      </c>
      <c r="G2083" s="177">
        <f>IF(B2083="insumo",_xlfn.XLOOKUP($D2083,Insumos!$B$1:$B$764,Insumos!$D$1:$D$764),"")</f>
        <v>11.15</v>
      </c>
      <c r="H2083" s="177" cm="1">
        <f t="array" ref="H2083">_xlfn.IFS(B2083="Serviço",SUMIFS(H2084:$H$3085,C2084:$C$3085,$C2083),B2083="Insumo",F2083*G2083,B2083="Etapa","")</f>
        <v>0.83625000000000005</v>
      </c>
      <c r="I2083" s="178"/>
    </row>
    <row r="2084" spans="1:9" outlineLevel="1" collapsed="1" x14ac:dyDescent="0.25">
      <c r="A2084" s="175">
        <f t="shared" si="67"/>
        <v>1</v>
      </c>
      <c r="B2084" s="175" t="s">
        <v>109</v>
      </c>
      <c r="C2084" s="175" t="str">
        <f t="shared" si="66"/>
        <v>Rodapé de porcelanato h=15cm</v>
      </c>
      <c r="D2084" s="175" t="s">
        <v>250</v>
      </c>
      <c r="E2084" s="176" t="s">
        <v>25</v>
      </c>
      <c r="F2084" s="175"/>
      <c r="G2084" s="177" t="str">
        <f>IF(B2084="insumo",_xlfn.XLOOKUP($D2084,Insumos!$B$1:$B$764,Insumos!$D$1:$D$764),"")</f>
        <v/>
      </c>
      <c r="H2084" s="177" cm="1">
        <f t="array" ref="H2084">_xlfn.IFS(B2084="Serviço",SUMIFS(H2085:$H$3085,C2085:$C$3085,$C2084),B2084="Insumo",F2084*G2084,B2084="Etapa","")</f>
        <v>17.856749999999998</v>
      </c>
      <c r="I2084" s="178" t="s">
        <v>195</v>
      </c>
    </row>
    <row r="2085" spans="1:9" hidden="1" outlineLevel="2" x14ac:dyDescent="0.25">
      <c r="A2085" s="175">
        <f t="shared" si="67"/>
        <v>5</v>
      </c>
      <c r="B2085" s="175" t="s">
        <v>327</v>
      </c>
      <c r="C2085" s="175" t="str">
        <f t="shared" si="66"/>
        <v>Rodapé de porcelanato h=15cm</v>
      </c>
      <c r="D2085" s="175" t="s">
        <v>768</v>
      </c>
      <c r="E2085" s="176" t="str">
        <f>_xlfn.XLOOKUP(D2085,Insumos!$B$1:$B$764,Insumos!$C$1:$C$764)</f>
        <v>M2</v>
      </c>
      <c r="F2085" s="179">
        <v>0.16500000000000001</v>
      </c>
      <c r="G2085" s="177">
        <f>IF(B2085="insumo",_xlfn.XLOOKUP($D2085,Insumos!$B$1:$B$764,Insumos!$D$1:$D$764),"")</f>
        <v>82</v>
      </c>
      <c r="H2085" s="177" cm="1">
        <f t="array" ref="H2085">_xlfn.IFS(B2085="Serviço",SUMIFS(H2086:$H$3085,C2086:$C$3085,$C2085),B2085="Insumo",F2085*G2085,B2085="Etapa","")</f>
        <v>13.530000000000001</v>
      </c>
      <c r="I2085" s="178"/>
    </row>
    <row r="2086" spans="1:9" hidden="1" outlineLevel="2" x14ac:dyDescent="0.25">
      <c r="A2086" s="175">
        <f t="shared" si="67"/>
        <v>118</v>
      </c>
      <c r="B2086" s="175" t="s">
        <v>327</v>
      </c>
      <c r="C2086" s="175" t="str">
        <f t="shared" si="66"/>
        <v>Rodapé de porcelanato h=15cm</v>
      </c>
      <c r="D2086" s="175" t="s">
        <v>654</v>
      </c>
      <c r="E2086" s="176" t="str">
        <f>_xlfn.XLOOKUP(D2086,Insumos!$B$1:$B$764,Insumos!$C$1:$C$764)</f>
        <v>KG</v>
      </c>
      <c r="F2086" s="179">
        <v>1.3499999999999999</v>
      </c>
      <c r="G2086" s="177">
        <f>IF(B2086="insumo",_xlfn.XLOOKUP($D2086,Insumos!$B$1:$B$764,Insumos!$D$1:$D$764),"")</f>
        <v>2.5499999999999998</v>
      </c>
      <c r="H2086" s="177" cm="1">
        <f t="array" ref="H2086">_xlfn.IFS(B2086="Serviço",SUMIFS(H2087:$H$3085,C2087:$C$3085,$C2086),B2086="Insumo",F2086*G2086,B2086="Etapa","")</f>
        <v>3.4424999999999994</v>
      </c>
      <c r="I2086" s="178"/>
    </row>
    <row r="2087" spans="1:9" hidden="1" outlineLevel="2" x14ac:dyDescent="0.25">
      <c r="A2087" s="175">
        <f t="shared" si="67"/>
        <v>78</v>
      </c>
      <c r="B2087" s="175" t="s">
        <v>327</v>
      </c>
      <c r="C2087" s="175" t="str">
        <f t="shared" si="66"/>
        <v>Rodapé de porcelanato h=15cm</v>
      </c>
      <c r="D2087" s="175" t="s">
        <v>674</v>
      </c>
      <c r="E2087" s="176" t="str">
        <f>_xlfn.XLOOKUP(D2087,Insumos!$B$1:$B$764,Insumos!$C$1:$C$764)</f>
        <v>UN</v>
      </c>
      <c r="F2087" s="179">
        <v>0.6</v>
      </c>
      <c r="G2087" s="177">
        <f>IF(B2087="insumo",_xlfn.XLOOKUP($D2087,Insumos!$B$1:$B$764,Insumos!$D$1:$D$764),"")</f>
        <v>0.08</v>
      </c>
      <c r="H2087" s="177" cm="1">
        <f t="array" ref="H2087">_xlfn.IFS(B2087="Serviço",SUMIFS(H2088:$H$3085,C2088:$C$3085,$C2087),B2087="Insumo",F2087*G2087,B2087="Etapa","")</f>
        <v>4.8000000000000001E-2</v>
      </c>
      <c r="I2087" s="178"/>
    </row>
    <row r="2088" spans="1:9" hidden="1" outlineLevel="2" x14ac:dyDescent="0.25">
      <c r="A2088" s="175">
        <f t="shared" si="67"/>
        <v>71</v>
      </c>
      <c r="B2088" s="175" t="s">
        <v>327</v>
      </c>
      <c r="C2088" s="175" t="str">
        <f t="shared" ref="C2088:C2151" si="68">IF(B2088="serviço",D2088,C2087)</f>
        <v>Rodapé de porcelanato h=15cm</v>
      </c>
      <c r="D2088" s="175" t="s">
        <v>675</v>
      </c>
      <c r="E2088" s="176" t="str">
        <f>_xlfn.XLOOKUP(D2088,Insumos!$B$1:$B$764,Insumos!$C$1:$C$764)</f>
        <v>KG</v>
      </c>
      <c r="F2088" s="179">
        <v>7.4999999999999997E-2</v>
      </c>
      <c r="G2088" s="177">
        <f>IF(B2088="insumo",_xlfn.XLOOKUP($D2088,Insumos!$B$1:$B$764,Insumos!$D$1:$D$764),"")</f>
        <v>11.15</v>
      </c>
      <c r="H2088" s="177" cm="1">
        <f t="array" ref="H2088">_xlfn.IFS(B2088="Serviço",SUMIFS(H2089:$H$3085,C2089:$C$3085,$C2088),B2088="Insumo",F2088*G2088,B2088="Etapa","")</f>
        <v>0.83625000000000005</v>
      </c>
      <c r="I2088" s="178"/>
    </row>
    <row r="2089" spans="1:9" outlineLevel="1" collapsed="1" x14ac:dyDescent="0.25">
      <c r="A2089" s="175">
        <f t="shared" si="67"/>
        <v>1</v>
      </c>
      <c r="B2089" s="175" t="s">
        <v>109</v>
      </c>
      <c r="C2089" s="175" t="str">
        <f t="shared" si="68"/>
        <v>Rodapé de porcelanato h=16,5cm</v>
      </c>
      <c r="D2089" s="175" t="s">
        <v>803</v>
      </c>
      <c r="E2089" s="176" t="s">
        <v>25</v>
      </c>
      <c r="F2089" s="175"/>
      <c r="G2089" s="177" t="str">
        <f>IF(B2089="insumo",_xlfn.XLOOKUP($D2089,Insumos!$B$1:$B$764,Insumos!$D$1:$D$764),"")</f>
        <v/>
      </c>
      <c r="H2089" s="177" cm="1">
        <f t="array" ref="H2089">_xlfn.IFS(B2089="Serviço",SUMIFS(H2090:$H$3085,C2090:$C$3085,$C2089),B2089="Insumo",F2089*G2089,B2089="Etapa","")</f>
        <v>19.642425000000006</v>
      </c>
      <c r="I2089" s="178" t="s">
        <v>195</v>
      </c>
    </row>
    <row r="2090" spans="1:9" hidden="1" outlineLevel="2" x14ac:dyDescent="0.25">
      <c r="A2090" s="175">
        <f t="shared" si="67"/>
        <v>5</v>
      </c>
      <c r="B2090" s="175" t="s">
        <v>327</v>
      </c>
      <c r="C2090" s="175" t="str">
        <f t="shared" si="68"/>
        <v>Rodapé de porcelanato h=16,5cm</v>
      </c>
      <c r="D2090" s="175" t="s">
        <v>768</v>
      </c>
      <c r="E2090" s="176" t="str">
        <f>_xlfn.XLOOKUP(D2090,Insumos!$B$1:$B$764,Insumos!$C$1:$C$764)</f>
        <v>M2</v>
      </c>
      <c r="F2090" s="179">
        <v>0.18150000000000002</v>
      </c>
      <c r="G2090" s="177">
        <f>IF(B2090="insumo",_xlfn.XLOOKUP($D2090,Insumos!$B$1:$B$764,Insumos!$D$1:$D$764),"")</f>
        <v>82</v>
      </c>
      <c r="H2090" s="177" cm="1">
        <f t="array" ref="H2090">_xlfn.IFS(B2090="Serviço",SUMIFS(H2091:$H$3085,C2091:$C$3085,$C2090),B2090="Insumo",F2090*G2090,B2090="Etapa","")</f>
        <v>14.883000000000003</v>
      </c>
      <c r="I2090" s="178"/>
    </row>
    <row r="2091" spans="1:9" hidden="1" outlineLevel="2" x14ac:dyDescent="0.25">
      <c r="A2091" s="175">
        <f t="shared" si="67"/>
        <v>118</v>
      </c>
      <c r="B2091" s="175" t="s">
        <v>327</v>
      </c>
      <c r="C2091" s="175" t="str">
        <f t="shared" si="68"/>
        <v>Rodapé de porcelanato h=16,5cm</v>
      </c>
      <c r="D2091" s="175" t="s">
        <v>654</v>
      </c>
      <c r="E2091" s="176" t="str">
        <f>_xlfn.XLOOKUP(D2091,Insumos!$B$1:$B$764,Insumos!$C$1:$C$764)</f>
        <v>KG</v>
      </c>
      <c r="F2091" s="179">
        <v>1.4850000000000001</v>
      </c>
      <c r="G2091" s="177">
        <f>IF(B2091="insumo",_xlfn.XLOOKUP($D2091,Insumos!$B$1:$B$764,Insumos!$D$1:$D$764),"")</f>
        <v>2.5499999999999998</v>
      </c>
      <c r="H2091" s="177" cm="1">
        <f t="array" ref="H2091">_xlfn.IFS(B2091="Serviço",SUMIFS(H2092:$H$3085,C2092:$C$3085,$C2091),B2091="Insumo",F2091*G2091,B2091="Etapa","")</f>
        <v>3.7867500000000001</v>
      </c>
      <c r="I2091" s="178"/>
    </row>
    <row r="2092" spans="1:9" hidden="1" outlineLevel="2" x14ac:dyDescent="0.25">
      <c r="A2092" s="175">
        <f t="shared" si="67"/>
        <v>78</v>
      </c>
      <c r="B2092" s="175" t="s">
        <v>327</v>
      </c>
      <c r="C2092" s="175" t="str">
        <f t="shared" si="68"/>
        <v>Rodapé de porcelanato h=16,5cm</v>
      </c>
      <c r="D2092" s="175" t="s">
        <v>674</v>
      </c>
      <c r="E2092" s="176" t="str">
        <f>_xlfn.XLOOKUP(D2092,Insumos!$B$1:$B$764,Insumos!$C$1:$C$764)</f>
        <v>UN</v>
      </c>
      <c r="F2092" s="179">
        <v>0.66</v>
      </c>
      <c r="G2092" s="177">
        <f>IF(B2092="insumo",_xlfn.XLOOKUP($D2092,Insumos!$B$1:$B$764,Insumos!$D$1:$D$764),"")</f>
        <v>0.08</v>
      </c>
      <c r="H2092" s="177" cm="1">
        <f t="array" ref="H2092">_xlfn.IFS(B2092="Serviço",SUMIFS(H2093:$H$3085,C2093:$C$3085,$C2092),B2092="Insumo",F2092*G2092,B2092="Etapa","")</f>
        <v>5.2800000000000007E-2</v>
      </c>
      <c r="I2092" s="178"/>
    </row>
    <row r="2093" spans="1:9" hidden="1" outlineLevel="2" x14ac:dyDescent="0.25">
      <c r="A2093" s="175">
        <f t="shared" si="67"/>
        <v>71</v>
      </c>
      <c r="B2093" s="175" t="s">
        <v>327</v>
      </c>
      <c r="C2093" s="175" t="str">
        <f t="shared" si="68"/>
        <v>Rodapé de porcelanato h=16,5cm</v>
      </c>
      <c r="D2093" s="175" t="s">
        <v>675</v>
      </c>
      <c r="E2093" s="176" t="str">
        <f>_xlfn.XLOOKUP(D2093,Insumos!$B$1:$B$764,Insumos!$C$1:$C$764)</f>
        <v>KG</v>
      </c>
      <c r="F2093" s="179">
        <v>8.2500000000000004E-2</v>
      </c>
      <c r="G2093" s="177">
        <f>IF(B2093="insumo",_xlfn.XLOOKUP($D2093,Insumos!$B$1:$B$764,Insumos!$D$1:$D$764),"")</f>
        <v>11.15</v>
      </c>
      <c r="H2093" s="177" cm="1">
        <f t="array" ref="H2093">_xlfn.IFS(B2093="Serviço",SUMIFS(H2094:$H$3085,C2094:$C$3085,$C2093),B2093="Insumo",F2093*G2093,B2093="Etapa","")</f>
        <v>0.91987500000000011</v>
      </c>
      <c r="I2093" s="178"/>
    </row>
    <row r="2094" spans="1:9" outlineLevel="1" collapsed="1" x14ac:dyDescent="0.25">
      <c r="A2094" s="175">
        <f t="shared" si="67"/>
        <v>1</v>
      </c>
      <c r="B2094" s="175" t="s">
        <v>109</v>
      </c>
      <c r="C2094" s="175" t="str">
        <f t="shared" si="68"/>
        <v>Soleira em Porcelanato, largura 7cm - espessura 2cm</v>
      </c>
      <c r="D2094" s="175" t="s">
        <v>804</v>
      </c>
      <c r="E2094" s="176" t="s">
        <v>1</v>
      </c>
      <c r="F2094" s="175"/>
      <c r="G2094" s="177" t="str">
        <f>IF(B2094="insumo",_xlfn.XLOOKUP($D2094,Insumos!$B$1:$B$764,Insumos!$D$1:$D$764),"")</f>
        <v/>
      </c>
      <c r="H2094" s="177" cm="1">
        <f t="array" ref="H2094">_xlfn.IFS(B2094="Serviço",SUMIFS(H2095:$H$3085,C2095:$C$3085,$C2094),B2094="Insumo",F2094*G2094,B2094="Etapa","")</f>
        <v>166.17449999999999</v>
      </c>
      <c r="I2094" s="178" t="s">
        <v>195</v>
      </c>
    </row>
    <row r="2095" spans="1:9" hidden="1" outlineLevel="2" x14ac:dyDescent="0.25">
      <c r="A2095" s="175">
        <f t="shared" si="67"/>
        <v>2</v>
      </c>
      <c r="B2095" s="175" t="s">
        <v>327</v>
      </c>
      <c r="C2095" s="175" t="str">
        <f t="shared" si="68"/>
        <v>Soleira em Porcelanato, largura 7cm - espessura 2cm</v>
      </c>
      <c r="D2095" s="175" t="s">
        <v>770</v>
      </c>
      <c r="E2095" s="176" t="str">
        <f>_xlfn.XLOOKUP(D2095,Insumos!$B$1:$B$764,Insumos!$C$1:$C$764)</f>
        <v>M2</v>
      </c>
      <c r="F2095" s="179">
        <f>1.05</f>
        <v>1.05</v>
      </c>
      <c r="G2095" s="177">
        <f>IF(B2095="insumo",_xlfn.XLOOKUP($D2095,Insumos!$B$1:$B$764,Insumos!$D$1:$D$764),"")</f>
        <v>136.88999999999999</v>
      </c>
      <c r="H2095" s="177" cm="1">
        <f t="array" ref="H2095">_xlfn.IFS(B2095="Serviço",SUMIFS(H2096:$H$3085,C2096:$C$3085,$C2095),B2095="Insumo",F2095*G2095,B2095="Etapa","")</f>
        <v>143.7345</v>
      </c>
      <c r="I2095" s="178"/>
    </row>
    <row r="2096" spans="1:9" hidden="1" outlineLevel="2" x14ac:dyDescent="0.25">
      <c r="A2096" s="175">
        <f t="shared" si="67"/>
        <v>118</v>
      </c>
      <c r="B2096" s="175" t="s">
        <v>327</v>
      </c>
      <c r="C2096" s="175" t="str">
        <f t="shared" si="68"/>
        <v>Soleira em Porcelanato, largura 7cm - espessura 2cm</v>
      </c>
      <c r="D2096" s="175" t="s">
        <v>654</v>
      </c>
      <c r="E2096" s="176" t="str">
        <f>_xlfn.XLOOKUP(D2096,Insumos!$B$1:$B$764,Insumos!$C$1:$C$764)</f>
        <v>KG</v>
      </c>
      <c r="F2096" s="179">
        <v>8.8000000000000007</v>
      </c>
      <c r="G2096" s="177">
        <f>IF(B2096="insumo",_xlfn.XLOOKUP($D2096,Insumos!$B$1:$B$764,Insumos!$D$1:$D$764),"")</f>
        <v>2.5499999999999998</v>
      </c>
      <c r="H2096" s="177" cm="1">
        <f t="array" ref="H2096">_xlfn.IFS(B2096="Serviço",SUMIFS(H2097:$H$3085,C2097:$C$3085,$C2096),B2096="Insumo",F2096*G2096,B2096="Etapa","")</f>
        <v>22.44</v>
      </c>
      <c r="I2096" s="178"/>
    </row>
    <row r="2097" spans="1:9" outlineLevel="1" x14ac:dyDescent="0.25">
      <c r="A2097" s="175">
        <f t="shared" si="67"/>
        <v>1</v>
      </c>
      <c r="B2097" s="175" t="s">
        <v>109</v>
      </c>
      <c r="C2097" s="175" t="str">
        <f t="shared" si="68"/>
        <v>Soleira em granito preto são gabriel</v>
      </c>
      <c r="D2097" s="175" t="s">
        <v>4440</v>
      </c>
      <c r="E2097" s="176" t="s">
        <v>1</v>
      </c>
      <c r="F2097" s="175"/>
      <c r="G2097" s="177" t="str">
        <f>IF(B2097="insumo",_xlfn.XLOOKUP($D2097,Insumos!$B$1:$B$764,Insumos!$D$1:$D$764),"")</f>
        <v/>
      </c>
      <c r="H2097" s="177" cm="1">
        <f t="array" ref="H2097">_xlfn.IFS(B2097="Serviço",SUMIFS(H2098:$H$3085,C2098:$C$3085,$C2097),B2097="Insumo",F2097*G2097,B2097="Etapa","")</f>
        <v>704.94</v>
      </c>
      <c r="I2097" s="178" t="s">
        <v>195</v>
      </c>
    </row>
    <row r="2098" spans="1:9" outlineLevel="2" x14ac:dyDescent="0.25">
      <c r="A2098" s="175">
        <f t="shared" si="67"/>
        <v>4</v>
      </c>
      <c r="B2098" s="175" t="s">
        <v>327</v>
      </c>
      <c r="C2098" s="175" t="str">
        <f t="shared" si="68"/>
        <v>Soleira em granito preto são gabriel</v>
      </c>
      <c r="D2098" s="175" t="s">
        <v>3198</v>
      </c>
      <c r="E2098" s="176" t="str">
        <f>_xlfn.XLOOKUP(D2098,Insumos!$B$1:$B$764,Insumos!$C$1:$C$764)</f>
        <v>M2</v>
      </c>
      <c r="F2098" s="179">
        <f>1.05</f>
        <v>1.05</v>
      </c>
      <c r="G2098" s="177">
        <f>IF(B2098="insumo",_xlfn.XLOOKUP($D2098,Insumos!$B$1:$B$764,Insumos!$D$1:$D$764),"")</f>
        <v>650</v>
      </c>
      <c r="H2098" s="177" cm="1">
        <f t="array" ref="H2098">_xlfn.IFS(B2098="Serviço",SUMIFS(H2099:$H$3085,C2099:$C$3085,$C2098),B2098="Insumo",F2098*G2098,B2098="Etapa","")</f>
        <v>682.5</v>
      </c>
      <c r="I2098" s="178"/>
    </row>
    <row r="2099" spans="1:9" outlineLevel="2" x14ac:dyDescent="0.25">
      <c r="A2099" s="175">
        <f t="shared" si="67"/>
        <v>118</v>
      </c>
      <c r="B2099" s="175" t="s">
        <v>327</v>
      </c>
      <c r="C2099" s="175" t="str">
        <f t="shared" si="68"/>
        <v>Soleira em granito preto são gabriel</v>
      </c>
      <c r="D2099" s="175" t="s">
        <v>654</v>
      </c>
      <c r="E2099" s="176" t="str">
        <f>_xlfn.XLOOKUP(D2099,Insumos!$B$1:$B$764,Insumos!$C$1:$C$764)</f>
        <v>KG</v>
      </c>
      <c r="F2099" s="179">
        <v>8.8000000000000007</v>
      </c>
      <c r="G2099" s="177">
        <f>IF(B2099="insumo",_xlfn.XLOOKUP($D2099,Insumos!$B$1:$B$764,Insumos!$D$1:$D$764),"")</f>
        <v>2.5499999999999998</v>
      </c>
      <c r="H2099" s="177" cm="1">
        <f t="array" ref="H2099">_xlfn.IFS(B2099="Serviço",SUMIFS(H2100:$H$3085,C2100:$C$3085,$C2099),B2099="Insumo",F2099*G2099,B2099="Etapa","")</f>
        <v>22.44</v>
      </c>
      <c r="I2099" s="178"/>
    </row>
    <row r="2100" spans="1:9" outlineLevel="1" collapsed="1" x14ac:dyDescent="0.25">
      <c r="A2100" s="175">
        <f t="shared" si="67"/>
        <v>1</v>
      </c>
      <c r="B2100" s="175" t="s">
        <v>109</v>
      </c>
      <c r="C2100" s="175" t="str">
        <f t="shared" si="68"/>
        <v>Soleira em granito, largura 15cm - espessura 2cm</v>
      </c>
      <c r="D2100" s="175" t="s">
        <v>2858</v>
      </c>
      <c r="E2100" s="176" t="s">
        <v>1</v>
      </c>
      <c r="F2100" s="175"/>
      <c r="G2100" s="177" t="str">
        <f>IF(B2100="insumo",_xlfn.XLOOKUP($D2100,Insumos!$B$1:$B$764,Insumos!$D$1:$D$764),"")</f>
        <v/>
      </c>
      <c r="H2100" s="177" cm="1">
        <f t="array" ref="H2100">_xlfn.IFS(B2100="Serviço",SUMIFS(H2101:$H$3085,C2101:$C$3085,$C2100),B2100="Insumo",F2100*G2100,B2100="Etapa","")</f>
        <v>809.94</v>
      </c>
      <c r="I2100" s="178" t="s">
        <v>195</v>
      </c>
    </row>
    <row r="2101" spans="1:9" hidden="1" outlineLevel="2" x14ac:dyDescent="0.25">
      <c r="A2101" s="175">
        <f t="shared" si="67"/>
        <v>3</v>
      </c>
      <c r="B2101" s="175" t="s">
        <v>327</v>
      </c>
      <c r="C2101" s="175" t="str">
        <f t="shared" si="68"/>
        <v>Soleira em granito, largura 15cm - espessura 2cm</v>
      </c>
      <c r="D2101" s="175" t="s">
        <v>687</v>
      </c>
      <c r="E2101" s="176" t="str">
        <f>_xlfn.XLOOKUP(D2101,Insumos!$B$1:$B$764,Insumos!$C$1:$C$764)</f>
        <v>M2</v>
      </c>
      <c r="F2101" s="179">
        <f>1.05</f>
        <v>1.05</v>
      </c>
      <c r="G2101" s="177">
        <f>IF(B2101="insumo",_xlfn.XLOOKUP($D2101,Insumos!$B$1:$B$764,Insumos!$D$1:$D$764),"")</f>
        <v>750</v>
      </c>
      <c r="H2101" s="177" cm="1">
        <f t="array" ref="H2101">_xlfn.IFS(B2101="Serviço",SUMIFS(H2102:$H$3085,C2102:$C$3085,$C2101),B2101="Insumo",F2101*G2101,B2101="Etapa","")</f>
        <v>787.5</v>
      </c>
      <c r="I2101" s="178"/>
    </row>
    <row r="2102" spans="1:9" hidden="1" outlineLevel="2" x14ac:dyDescent="0.25">
      <c r="A2102" s="175">
        <f t="shared" si="67"/>
        <v>118</v>
      </c>
      <c r="B2102" s="175" t="s">
        <v>327</v>
      </c>
      <c r="C2102" s="175" t="str">
        <f t="shared" si="68"/>
        <v>Soleira em granito, largura 15cm - espessura 2cm</v>
      </c>
      <c r="D2102" s="175" t="s">
        <v>654</v>
      </c>
      <c r="E2102" s="176" t="str">
        <f>_xlfn.XLOOKUP(D2102,Insumos!$B$1:$B$764,Insumos!$C$1:$C$764)</f>
        <v>KG</v>
      </c>
      <c r="F2102" s="179">
        <v>8.8000000000000007</v>
      </c>
      <c r="G2102" s="177">
        <f>IF(B2102="insumo",_xlfn.XLOOKUP($D2102,Insumos!$B$1:$B$764,Insumos!$D$1:$D$764),"")</f>
        <v>2.5499999999999998</v>
      </c>
      <c r="H2102" s="177" cm="1">
        <f t="array" ref="H2102">_xlfn.IFS(B2102="Serviço",SUMIFS(H2103:$H$3085,C2103:$C$3085,$C2102),B2102="Insumo",F2102*G2102,B2102="Etapa","")</f>
        <v>22.44</v>
      </c>
      <c r="I2102" s="178"/>
    </row>
    <row r="2103" spans="1:9" outlineLevel="1" collapsed="1" x14ac:dyDescent="0.25">
      <c r="A2103" s="175">
        <f t="shared" si="67"/>
        <v>1</v>
      </c>
      <c r="B2103" s="175" t="s">
        <v>109</v>
      </c>
      <c r="C2103" s="175" t="str">
        <f t="shared" si="68"/>
        <v>Soleira em pedra natural, largura 15cm - espessura 2cm</v>
      </c>
      <c r="D2103" s="175" t="s">
        <v>805</v>
      </c>
      <c r="E2103" s="176" t="s">
        <v>1</v>
      </c>
      <c r="F2103" s="175"/>
      <c r="G2103" s="177" t="str">
        <f>IF(B2103="insumo",_xlfn.XLOOKUP($D2103,Insumos!$B$1:$B$764,Insumos!$D$1:$D$764),"")</f>
        <v/>
      </c>
      <c r="H2103" s="177" cm="1">
        <f t="array" ref="H2103">_xlfn.IFS(B2103="Serviço",SUMIFS(H2104:$H$3085,C2104:$C$3085,$C2103),B2103="Insumo",F2103*G2103,B2103="Etapa","")</f>
        <v>809.94</v>
      </c>
      <c r="I2103" s="178" t="s">
        <v>195</v>
      </c>
    </row>
    <row r="2104" spans="1:9" hidden="1" outlineLevel="2" x14ac:dyDescent="0.25">
      <c r="A2104" s="175">
        <f t="shared" si="67"/>
        <v>10</v>
      </c>
      <c r="B2104" s="175" t="s">
        <v>327</v>
      </c>
      <c r="C2104" s="175" t="str">
        <f t="shared" si="68"/>
        <v>Soleira em pedra natural, largura 15cm - espessura 2cm</v>
      </c>
      <c r="D2104" s="175" t="s">
        <v>689</v>
      </c>
      <c r="E2104" s="176" t="str">
        <f>_xlfn.XLOOKUP(D2104,Insumos!$B$1:$B$764,Insumos!$C$1:$C$764)</f>
        <v>M2</v>
      </c>
      <c r="F2104" s="179">
        <f>1.05</f>
        <v>1.05</v>
      </c>
      <c r="G2104" s="177">
        <f>IF(B2104="insumo",_xlfn.XLOOKUP($D2104,Insumos!$B$1:$B$764,Insumos!$D$1:$D$764),"")</f>
        <v>750</v>
      </c>
      <c r="H2104" s="177" cm="1">
        <f t="array" ref="H2104">_xlfn.IFS(B2104="Serviço",SUMIFS(H2105:$H$3085,C2105:$C$3085,$C2104),B2104="Insumo",F2104*G2104,B2104="Etapa","")</f>
        <v>787.5</v>
      </c>
      <c r="I2104" s="178"/>
    </row>
    <row r="2105" spans="1:9" hidden="1" outlineLevel="2" x14ac:dyDescent="0.25">
      <c r="A2105" s="175">
        <f t="shared" si="67"/>
        <v>118</v>
      </c>
      <c r="B2105" s="175" t="s">
        <v>327</v>
      </c>
      <c r="C2105" s="175" t="str">
        <f t="shared" si="68"/>
        <v>Soleira em pedra natural, largura 15cm - espessura 2cm</v>
      </c>
      <c r="D2105" s="175" t="s">
        <v>654</v>
      </c>
      <c r="E2105" s="176" t="str">
        <f>_xlfn.XLOOKUP(D2105,Insumos!$B$1:$B$764,Insumos!$C$1:$C$764)</f>
        <v>KG</v>
      </c>
      <c r="F2105" s="179">
        <v>8.8000000000000007</v>
      </c>
      <c r="G2105" s="177">
        <f>IF(B2105="insumo",_xlfn.XLOOKUP($D2105,Insumos!$B$1:$B$764,Insumos!$D$1:$D$764),"")</f>
        <v>2.5499999999999998</v>
      </c>
      <c r="H2105" s="177" cm="1">
        <f t="array" ref="H2105">_xlfn.IFS(B2105="Serviço",SUMIFS(H2106:$H$3085,C2106:$C$3085,$C2105),B2105="Insumo",F2105*G2105,B2105="Etapa","")</f>
        <v>22.44</v>
      </c>
      <c r="I2105" s="178"/>
    </row>
    <row r="2106" spans="1:9" outlineLevel="1" x14ac:dyDescent="0.25">
      <c r="A2106" s="175">
        <f t="shared" si="67"/>
        <v>1</v>
      </c>
      <c r="B2106" s="175" t="s">
        <v>109</v>
      </c>
      <c r="C2106" s="175" t="str">
        <f t="shared" si="68"/>
        <v>Piso Petit Pave</v>
      </c>
      <c r="D2106" s="175" t="s">
        <v>806</v>
      </c>
      <c r="E2106" s="176" t="s">
        <v>13</v>
      </c>
      <c r="F2106" s="175"/>
      <c r="G2106" s="177" t="str">
        <f>IF(B2106="insumo",_xlfn.XLOOKUP($D2106,Insumos!$B$1:$B$764,Insumos!$D$1:$D$764),"")</f>
        <v/>
      </c>
      <c r="H2106" s="177" cm="1">
        <f t="array" ref="H2106">_xlfn.IFS(B2106="Serviço",SUMIFS(H2107:$H$3085,C2107:$C$3085,$C2106),B2106="Insumo",F2106*G2106,B2106="Etapa","")</f>
        <v>91.883686000000012</v>
      </c>
      <c r="I2106" s="178" t="s">
        <v>195</v>
      </c>
    </row>
    <row r="2107" spans="1:9" outlineLevel="2" x14ac:dyDescent="0.25">
      <c r="A2107" s="175">
        <f t="shared" si="67"/>
        <v>1</v>
      </c>
      <c r="B2107" s="175" t="s">
        <v>327</v>
      </c>
      <c r="C2107" s="175" t="str">
        <f t="shared" si="68"/>
        <v>Piso Petit Pave</v>
      </c>
      <c r="D2107" s="175" t="s">
        <v>807</v>
      </c>
      <c r="E2107" s="176" t="str">
        <f>_xlfn.XLOOKUP(D2107,Insumos!$B$1:$B$764,Insumos!$C$1:$C$764)</f>
        <v>M2</v>
      </c>
      <c r="F2107" s="179">
        <v>1.05</v>
      </c>
      <c r="G2107" s="177">
        <f>IF(B2107="insumo",_xlfn.XLOOKUP($D2107,Insumos!$B$1:$B$764,Insumos!$D$1:$D$764),"")</f>
        <v>79</v>
      </c>
      <c r="H2107" s="177" cm="1">
        <f t="array" ref="H2107">_xlfn.IFS(B2107="Serviço",SUMIFS(H2108:$H$3085,C2108:$C$3085,$C2107),B2107="Insumo",F2107*G2107,B2107="Etapa","")</f>
        <v>82.95</v>
      </c>
      <c r="I2107" s="178"/>
    </row>
    <row r="2108" spans="1:9" outlineLevel="2" x14ac:dyDescent="0.25">
      <c r="A2108" s="175">
        <f t="shared" si="67"/>
        <v>5</v>
      </c>
      <c r="B2108" s="175" t="s">
        <v>327</v>
      </c>
      <c r="C2108" s="175" t="str">
        <f t="shared" si="68"/>
        <v>Piso Petit Pave</v>
      </c>
      <c r="D2108" s="175" t="s">
        <v>808</v>
      </c>
      <c r="E2108" s="176" t="str">
        <f>_xlfn.XLOOKUP(D2108,Insumos!$B$1:$B$764,Insumos!$C$1:$C$764)</f>
        <v>M3</v>
      </c>
      <c r="F2108" s="179">
        <v>6.6E-3</v>
      </c>
      <c r="G2108" s="177">
        <f>IF(B2108="insumo",_xlfn.XLOOKUP($D2108,Insumos!$B$1:$B$764,Insumos!$D$1:$D$764),"")</f>
        <v>105.71</v>
      </c>
      <c r="H2108" s="177" cm="1">
        <f t="array" ref="H2108">_xlfn.IFS(B2108="Serviço",SUMIFS(H2109:$H$3085,C2109:$C$3085,$C2108),B2108="Insumo",F2108*G2108,B2108="Etapa","")</f>
        <v>0.69768599999999992</v>
      </c>
      <c r="I2108" s="178"/>
    </row>
    <row r="2109" spans="1:9" outlineLevel="2" x14ac:dyDescent="0.25">
      <c r="A2109" s="175">
        <f t="shared" si="67"/>
        <v>7</v>
      </c>
      <c r="B2109" s="175" t="s">
        <v>327</v>
      </c>
      <c r="C2109" s="175" t="str">
        <f t="shared" si="68"/>
        <v>Piso Petit Pave</v>
      </c>
      <c r="D2109" s="175" t="s">
        <v>624</v>
      </c>
      <c r="E2109" s="176" t="str">
        <f>_xlfn.XLOOKUP(D2109,Insumos!$B$1:$B$764,Insumos!$C$1:$C$764)</f>
        <v>M3</v>
      </c>
      <c r="F2109" s="179">
        <v>5.6800000000000003E-2</v>
      </c>
      <c r="G2109" s="177">
        <f>IF(B2109="insumo",_xlfn.XLOOKUP($D2109,Insumos!$B$1:$B$764,Insumos!$D$1:$D$764),"")</f>
        <v>145</v>
      </c>
      <c r="H2109" s="177" cm="1">
        <f t="array" ref="H2109">_xlfn.IFS(B2109="Serviço",SUMIFS(H2110:$H$3085,C2110:$C$3085,$C2109),B2109="Insumo",F2109*G2109,B2109="Etapa","")</f>
        <v>8.2360000000000007</v>
      </c>
      <c r="I2109" s="178"/>
    </row>
    <row r="2110" spans="1:9" outlineLevel="1" x14ac:dyDescent="0.25">
      <c r="A2110" s="175">
        <f t="shared" si="67"/>
        <v>1</v>
      </c>
      <c r="B2110" s="175" t="s">
        <v>109</v>
      </c>
      <c r="C2110" s="175" t="str">
        <f t="shared" si="68"/>
        <v>Pavimentação em Piso drenante 45x45 cm</v>
      </c>
      <c r="D2110" s="175" t="s">
        <v>6614</v>
      </c>
      <c r="E2110" s="176" t="s">
        <v>13</v>
      </c>
      <c r="F2110" s="175"/>
      <c r="G2110" s="177" t="str">
        <f>IF(B2110="insumo",_xlfn.XLOOKUP($D2110,Insumos!$B$1:$B$764,Insumos!$D$1:$D$764),"")</f>
        <v/>
      </c>
      <c r="H2110" s="177" cm="1">
        <f t="array" ref="H2110">_xlfn.IFS(B2110="Serviço",SUMIFS(H2111:$H$3085,C2111:$C$3085,$C2110),B2110="Insumo",F2110*G2110,B2110="Etapa","")</f>
        <v>138.04479711111111</v>
      </c>
      <c r="I2110" s="178" t="s">
        <v>195</v>
      </c>
    </row>
    <row r="2111" spans="1:9" outlineLevel="2" x14ac:dyDescent="0.25">
      <c r="A2111" s="175">
        <f t="shared" si="67"/>
        <v>1</v>
      </c>
      <c r="B2111" s="175" t="s">
        <v>327</v>
      </c>
      <c r="C2111" s="175" t="str">
        <f t="shared" si="68"/>
        <v>Pavimentação em Piso drenante 45x45 cm</v>
      </c>
      <c r="D2111" s="175" t="s">
        <v>809</v>
      </c>
      <c r="E2111" s="176" t="str">
        <f>_xlfn.XLOOKUP(D2111,Insumos!$B$1:$B$764,Insumos!$C$1:$C$764)</f>
        <v>M2</v>
      </c>
      <c r="F2111" s="179">
        <v>1.05</v>
      </c>
      <c r="G2111" s="177">
        <f>IF(B2111="insumo",_xlfn.XLOOKUP($D2111,Insumos!$B$1:$B$764,Insumos!$D$1:$D$764),"")</f>
        <v>122.96296296296295</v>
      </c>
      <c r="H2111" s="177" cm="1">
        <f t="array" ref="H2111">_xlfn.IFS(B2111="Serviço",SUMIFS(H2112:$H$3085,C2112:$C$3085,$C2111),B2111="Insumo",F2111*G2111,B2111="Etapa","")</f>
        <v>129.11111111111111</v>
      </c>
      <c r="I2111" s="178"/>
    </row>
    <row r="2112" spans="1:9" outlineLevel="2" x14ac:dyDescent="0.25">
      <c r="A2112" s="175">
        <f t="shared" si="67"/>
        <v>5</v>
      </c>
      <c r="B2112" s="175" t="s">
        <v>327</v>
      </c>
      <c r="C2112" s="175" t="str">
        <f t="shared" si="68"/>
        <v>Pavimentação em Piso drenante 45x45 cm</v>
      </c>
      <c r="D2112" s="175" t="s">
        <v>808</v>
      </c>
      <c r="E2112" s="176" t="str">
        <f>_xlfn.XLOOKUP(D2112,Insumos!$B$1:$B$764,Insumos!$C$1:$C$764)</f>
        <v>M3</v>
      </c>
      <c r="F2112" s="179">
        <v>6.6E-3</v>
      </c>
      <c r="G2112" s="177">
        <f>IF(B2112="insumo",_xlfn.XLOOKUP($D2112,Insumos!$B$1:$B$764,Insumos!$D$1:$D$764),"")</f>
        <v>105.71</v>
      </c>
      <c r="H2112" s="177" cm="1">
        <f t="array" ref="H2112">_xlfn.IFS(B2112="Serviço",SUMIFS(H2113:$H$3085,C2113:$C$3085,$C2112),B2112="Insumo",F2112*G2112,B2112="Etapa","")</f>
        <v>0.69768599999999992</v>
      </c>
      <c r="I2112" s="178"/>
    </row>
    <row r="2113" spans="1:9" outlineLevel="2" x14ac:dyDescent="0.25">
      <c r="A2113" s="175">
        <f t="shared" si="67"/>
        <v>7</v>
      </c>
      <c r="B2113" s="175" t="s">
        <v>327</v>
      </c>
      <c r="C2113" s="175" t="str">
        <f t="shared" si="68"/>
        <v>Pavimentação em Piso drenante 45x45 cm</v>
      </c>
      <c r="D2113" s="175" t="s">
        <v>624</v>
      </c>
      <c r="E2113" s="176" t="str">
        <f>_xlfn.XLOOKUP(D2113,Insumos!$B$1:$B$764,Insumos!$C$1:$C$764)</f>
        <v>M3</v>
      </c>
      <c r="F2113" s="179">
        <v>5.6800000000000003E-2</v>
      </c>
      <c r="G2113" s="177">
        <f>IF(B2113="insumo",_xlfn.XLOOKUP($D2113,Insumos!$B$1:$B$764,Insumos!$D$1:$D$764),"")</f>
        <v>145</v>
      </c>
      <c r="H2113" s="177" cm="1">
        <f t="array" ref="H2113">_xlfn.IFS(B2113="Serviço",SUMIFS(H2114:$H$3085,C2114:$C$3085,$C2113),B2113="Insumo",F2113*G2113,B2113="Etapa","")</f>
        <v>8.2360000000000007</v>
      </c>
      <c r="I2113" s="178"/>
    </row>
    <row r="2114" spans="1:9" outlineLevel="1" x14ac:dyDescent="0.25">
      <c r="A2114" s="175">
        <f t="shared" ref="A2114:A2177" si="69">COUNTIFS($D$2:$D$3085,D2114,$B$2:$B$3085,B2114)</f>
        <v>1</v>
      </c>
      <c r="B2114" s="175" t="s">
        <v>109</v>
      </c>
      <c r="C2114" s="175" t="str">
        <f t="shared" si="68"/>
        <v>Piso em concreto intertravado</v>
      </c>
      <c r="D2114" s="175" t="s">
        <v>810</v>
      </c>
      <c r="E2114" s="176" t="s">
        <v>13</v>
      </c>
      <c r="F2114" s="175"/>
      <c r="G2114" s="177" t="str">
        <f>IF(B2114="insumo",_xlfn.XLOOKUP($D2114,Insumos!$B$1:$B$764,Insumos!$D$1:$D$764),"")</f>
        <v/>
      </c>
      <c r="H2114" s="177" cm="1">
        <f t="array" ref="H2114">_xlfn.IFS(B2114="Serviço",SUMIFS(H2115:$H$3085,C2115:$C$3085,$C2114),B2114="Insumo",F2114*G2114,B2114="Etapa","")</f>
        <v>78.128686000000016</v>
      </c>
      <c r="I2114" s="178" t="s">
        <v>195</v>
      </c>
    </row>
    <row r="2115" spans="1:9" outlineLevel="2" x14ac:dyDescent="0.25">
      <c r="A2115" s="175">
        <f t="shared" si="69"/>
        <v>2</v>
      </c>
      <c r="B2115" s="175" t="s">
        <v>327</v>
      </c>
      <c r="C2115" s="175" t="str">
        <f t="shared" si="68"/>
        <v>Piso em concreto intertravado</v>
      </c>
      <c r="D2115" s="175" t="s">
        <v>811</v>
      </c>
      <c r="E2115" s="176" t="str">
        <f>_xlfn.XLOOKUP(D2115,Insumos!$B$1:$B$764,Insumos!$C$1:$C$764)</f>
        <v>M2</v>
      </c>
      <c r="F2115" s="179">
        <v>1.05</v>
      </c>
      <c r="G2115" s="177">
        <f>IF(B2115="insumo",_xlfn.XLOOKUP($D2115,Insumos!$B$1:$B$764,Insumos!$D$1:$D$764),"")</f>
        <v>65.900000000000006</v>
      </c>
      <c r="H2115" s="177" cm="1">
        <f t="array" ref="H2115">_xlfn.IFS(B2115="Serviço",SUMIFS(H2116:$H$3085,C2116:$C$3085,$C2115),B2115="Insumo",F2115*G2115,B2115="Etapa","")</f>
        <v>69.195000000000007</v>
      </c>
      <c r="I2115" s="178"/>
    </row>
    <row r="2116" spans="1:9" outlineLevel="2" x14ac:dyDescent="0.25">
      <c r="A2116" s="175">
        <f t="shared" si="69"/>
        <v>5</v>
      </c>
      <c r="B2116" s="175" t="s">
        <v>327</v>
      </c>
      <c r="C2116" s="175" t="str">
        <f t="shared" si="68"/>
        <v>Piso em concreto intertravado</v>
      </c>
      <c r="D2116" s="175" t="s">
        <v>808</v>
      </c>
      <c r="E2116" s="176" t="str">
        <f>_xlfn.XLOOKUP(D2116,Insumos!$B$1:$B$764,Insumos!$C$1:$C$764)</f>
        <v>M3</v>
      </c>
      <c r="F2116" s="179">
        <v>6.6E-3</v>
      </c>
      <c r="G2116" s="177">
        <f>IF(B2116="insumo",_xlfn.XLOOKUP($D2116,Insumos!$B$1:$B$764,Insumos!$D$1:$D$764),"")</f>
        <v>105.71</v>
      </c>
      <c r="H2116" s="177" cm="1">
        <f t="array" ref="H2116">_xlfn.IFS(B2116="Serviço",SUMIFS(H2117:$H$3085,C2117:$C$3085,$C2116),B2116="Insumo",F2116*G2116,B2116="Etapa","")</f>
        <v>0.69768599999999992</v>
      </c>
      <c r="I2116" s="178"/>
    </row>
    <row r="2117" spans="1:9" outlineLevel="2" x14ac:dyDescent="0.25">
      <c r="A2117" s="175">
        <f t="shared" si="69"/>
        <v>7</v>
      </c>
      <c r="B2117" s="175" t="s">
        <v>327</v>
      </c>
      <c r="C2117" s="175" t="str">
        <f t="shared" si="68"/>
        <v>Piso em concreto intertravado</v>
      </c>
      <c r="D2117" s="175" t="s">
        <v>624</v>
      </c>
      <c r="E2117" s="176" t="str">
        <f>_xlfn.XLOOKUP(D2117,Insumos!$B$1:$B$764,Insumos!$C$1:$C$764)</f>
        <v>M3</v>
      </c>
      <c r="F2117" s="179">
        <v>5.6800000000000003E-2</v>
      </c>
      <c r="G2117" s="177">
        <f>IF(B2117="insumo",_xlfn.XLOOKUP($D2117,Insumos!$B$1:$B$764,Insumos!$D$1:$D$764),"")</f>
        <v>145</v>
      </c>
      <c r="H2117" s="177" cm="1">
        <f t="array" ref="H2117">_xlfn.IFS(B2117="Serviço",SUMIFS(H2118:$H$3085,C2118:$C$3085,$C2117),B2117="Insumo",F2117*G2117,B2117="Etapa","")</f>
        <v>8.2360000000000007</v>
      </c>
      <c r="I2117" s="178"/>
    </row>
    <row r="2118" spans="1:9" outlineLevel="1" collapsed="1" x14ac:dyDescent="0.25">
      <c r="A2118" s="175">
        <f t="shared" si="69"/>
        <v>1</v>
      </c>
      <c r="B2118" s="175" t="s">
        <v>109</v>
      </c>
      <c r="C2118" s="175" t="str">
        <f t="shared" si="68"/>
        <v>Mão de obra execução regularização de Piso</v>
      </c>
      <c r="D2118" s="175" t="s">
        <v>252</v>
      </c>
      <c r="E2118" s="176" t="s">
        <v>13</v>
      </c>
      <c r="F2118" s="175"/>
      <c r="G2118" s="177" t="str">
        <f>IF(B2118="insumo",_xlfn.XLOOKUP($D2118,Insumos!$B$1:$B$764,Insumos!$D$1:$D$764),"")</f>
        <v/>
      </c>
      <c r="H2118" s="177" cm="1">
        <f t="array" ref="H2118">_xlfn.IFS(B2118="Serviço",SUMIFS(H2119:$H$3085,C2119:$C$3085,$C2118),B2118="Insumo",F2118*G2118,B2118="Etapa","")</f>
        <v>40</v>
      </c>
      <c r="I2118" s="178" t="s">
        <v>195</v>
      </c>
    </row>
    <row r="2119" spans="1:9" hidden="1" outlineLevel="2" x14ac:dyDescent="0.25">
      <c r="A2119" s="175">
        <f t="shared" si="69"/>
        <v>1</v>
      </c>
      <c r="B2119" s="175" t="s">
        <v>327</v>
      </c>
      <c r="C2119" s="175" t="str">
        <f t="shared" si="68"/>
        <v>Mão de obra execução regularização de Piso</v>
      </c>
      <c r="D2119" s="175" t="s">
        <v>252</v>
      </c>
      <c r="E2119" s="176" t="str">
        <f>_xlfn.XLOOKUP(D2119,Insumos!$B$1:$B$764,Insumos!$C$1:$C$764)</f>
        <v>M2</v>
      </c>
      <c r="F2119" s="179">
        <v>1</v>
      </c>
      <c r="G2119" s="177">
        <f>IF(B2119="insumo",_xlfn.XLOOKUP($D2119,Insumos!$B$1:$B$764,Insumos!$D$1:$D$764),"")</f>
        <v>40</v>
      </c>
      <c r="H2119" s="177" cm="1">
        <f t="array" ref="H2119">_xlfn.IFS(B2119="Serviço",SUMIFS(H2120:$H$3085,C2120:$C$3085,$C2119),B2119="Insumo",F2119*G2119,B2119="Etapa","")</f>
        <v>40</v>
      </c>
      <c r="I2119" s="178"/>
    </row>
    <row r="2120" spans="1:9" outlineLevel="1" collapsed="1" x14ac:dyDescent="0.25">
      <c r="A2120" s="175">
        <f t="shared" si="69"/>
        <v>1</v>
      </c>
      <c r="B2120" s="175" t="s">
        <v>109</v>
      </c>
      <c r="C2120" s="175" t="str">
        <f t="shared" si="68"/>
        <v>Mão de obra execução de contrapiso comum e Acústico</v>
      </c>
      <c r="D2120" s="175" t="s">
        <v>251</v>
      </c>
      <c r="E2120" s="176" t="s">
        <v>13</v>
      </c>
      <c r="F2120" s="179"/>
      <c r="G2120" s="177" t="str">
        <f>IF(B2120="insumo",_xlfn.XLOOKUP($D2120,Insumos!$B$1:$B$764,Insumos!$D$1:$D$764),"")</f>
        <v/>
      </c>
      <c r="H2120" s="177" cm="1">
        <f t="array" ref="H2120">_xlfn.IFS(B2120="Serviço",SUMIFS(H2121:$H$3085,C2121:$C$3085,$C2120),B2120="Insumo",F2120*G2120,B2120="Etapa","")</f>
        <v>40</v>
      </c>
      <c r="I2120" s="178" t="s">
        <v>195</v>
      </c>
    </row>
    <row r="2121" spans="1:9" hidden="1" outlineLevel="2" x14ac:dyDescent="0.25">
      <c r="A2121" s="175">
        <f t="shared" si="69"/>
        <v>1</v>
      </c>
      <c r="B2121" s="175" t="s">
        <v>327</v>
      </c>
      <c r="C2121" s="175" t="str">
        <f t="shared" si="68"/>
        <v>Mão de obra execução de contrapiso comum e Acústico</v>
      </c>
      <c r="D2121" s="175" t="s">
        <v>251</v>
      </c>
      <c r="E2121" s="176" t="str">
        <f>_xlfn.XLOOKUP(D2121,Insumos!$B$1:$B$764,Insumos!$C$1:$C$764)</f>
        <v>M2</v>
      </c>
      <c r="F2121" s="179">
        <v>1</v>
      </c>
      <c r="G2121" s="177">
        <f>IF(B2121="insumo",_xlfn.XLOOKUP($D2121,Insumos!$B$1:$B$764,Insumos!$D$1:$D$764),"")</f>
        <v>40</v>
      </c>
      <c r="H2121" s="177" cm="1">
        <f t="array" ref="H2121">_xlfn.IFS(B2121="Serviço",SUMIFS(H2122:$H$3085,C2122:$C$3085,$C2121),B2121="Insumo",F2121*G2121,B2121="Etapa","")</f>
        <v>40</v>
      </c>
      <c r="I2121" s="178"/>
    </row>
    <row r="2122" spans="1:9" outlineLevel="1" collapsed="1" x14ac:dyDescent="0.25">
      <c r="A2122" s="175">
        <f t="shared" si="69"/>
        <v>1</v>
      </c>
      <c r="B2122" s="175" t="s">
        <v>109</v>
      </c>
      <c r="C2122" s="175" t="str">
        <f t="shared" si="68"/>
        <v>Mão de obra execução Piso cimentado</v>
      </c>
      <c r="D2122" s="175" t="s">
        <v>1749</v>
      </c>
      <c r="E2122" s="176" t="s">
        <v>13</v>
      </c>
      <c r="F2122" s="179"/>
      <c r="G2122" s="177" t="str">
        <f>IF(B2122="insumo",_xlfn.XLOOKUP($D2122,Insumos!$B$1:$B$764,Insumos!$D$1:$D$764),"")</f>
        <v/>
      </c>
      <c r="H2122" s="177" cm="1">
        <f t="array" ref="H2122">_xlfn.IFS(B2122="Serviço",SUMIFS(H2123:$H$3085,C2123:$C$3085,$C2122),B2122="Insumo",F2122*G2122,B2122="Etapa","")</f>
        <v>40</v>
      </c>
      <c r="I2122" s="178" t="s">
        <v>195</v>
      </c>
    </row>
    <row r="2123" spans="1:9" hidden="1" outlineLevel="2" x14ac:dyDescent="0.25">
      <c r="A2123" s="175">
        <f t="shared" si="69"/>
        <v>1</v>
      </c>
      <c r="B2123" s="175" t="s">
        <v>327</v>
      </c>
      <c r="C2123" s="175" t="str">
        <f t="shared" si="68"/>
        <v>Mão de obra execução Piso cimentado</v>
      </c>
      <c r="D2123" s="175" t="s">
        <v>1749</v>
      </c>
      <c r="E2123" s="176" t="str">
        <f>_xlfn.XLOOKUP(D2123,Insumos!$B$1:$B$764,Insumos!$C$1:$C$764)</f>
        <v>M2</v>
      </c>
      <c r="F2123" s="179">
        <v>1</v>
      </c>
      <c r="G2123" s="177">
        <f>IF(B2123="insumo",_xlfn.XLOOKUP($D2123,Insumos!$B$1:$B$764,Insumos!$D$1:$D$764),"")</f>
        <v>40</v>
      </c>
      <c r="H2123" s="177" cm="1">
        <f t="array" ref="H2123">_xlfn.IFS(B2123="Serviço",SUMIFS(H2124:$H$3085,C2124:$C$3085,$C2123),B2123="Insumo",F2123*G2123,B2123="Etapa","")</f>
        <v>40</v>
      </c>
      <c r="I2123" s="178"/>
    </row>
    <row r="2124" spans="1:9" outlineLevel="1" collapsed="1" x14ac:dyDescent="0.25">
      <c r="A2124" s="175">
        <f t="shared" si="69"/>
        <v>1</v>
      </c>
      <c r="B2124" s="175" t="s">
        <v>109</v>
      </c>
      <c r="C2124" s="175" t="str">
        <f t="shared" si="68"/>
        <v>Mão de obra execução Piso de concreto polido</v>
      </c>
      <c r="D2124" s="175" t="s">
        <v>1750</v>
      </c>
      <c r="E2124" s="176" t="s">
        <v>13</v>
      </c>
      <c r="F2124" s="179"/>
      <c r="G2124" s="177" t="str">
        <f>IF(B2124="insumo",_xlfn.XLOOKUP($D2124,Insumos!$B$1:$B$764,Insumos!$D$1:$D$764),"")</f>
        <v/>
      </c>
      <c r="H2124" s="177" cm="1">
        <f t="array" ref="H2124">_xlfn.IFS(B2124="Serviço",SUMIFS(H2125:$H$3085,C2125:$C$3085,$C2124),B2124="Insumo",F2124*G2124,B2124="Etapa","")</f>
        <v>20</v>
      </c>
      <c r="I2124" s="178" t="s">
        <v>195</v>
      </c>
    </row>
    <row r="2125" spans="1:9" hidden="1" outlineLevel="2" x14ac:dyDescent="0.25">
      <c r="A2125" s="175">
        <f t="shared" si="69"/>
        <v>1</v>
      </c>
      <c r="B2125" s="175" t="s">
        <v>327</v>
      </c>
      <c r="C2125" s="175" t="str">
        <f t="shared" si="68"/>
        <v>Mão de obra execução Piso de concreto polido</v>
      </c>
      <c r="D2125" s="175" t="s">
        <v>1750</v>
      </c>
      <c r="E2125" s="176" t="str">
        <f>_xlfn.XLOOKUP(D2125,Insumos!$B$1:$B$764,Insumos!$C$1:$C$764)</f>
        <v>M2</v>
      </c>
      <c r="F2125" s="179">
        <v>1</v>
      </c>
      <c r="G2125" s="177">
        <f>IF(B2125="insumo",_xlfn.XLOOKUP($D2125,Insumos!$B$1:$B$764,Insumos!$D$1:$D$764),"")</f>
        <v>20</v>
      </c>
      <c r="H2125" s="177" cm="1">
        <f t="array" ref="H2125">_xlfn.IFS(B2125="Serviço",SUMIFS(H2126:$H$3085,C2126:$C$3085,$C2125),B2125="Insumo",F2125*G2125,B2125="Etapa","")</f>
        <v>20</v>
      </c>
      <c r="I2125" s="178"/>
    </row>
    <row r="2126" spans="1:9" outlineLevel="1" collapsed="1" x14ac:dyDescent="0.25">
      <c r="A2126" s="175">
        <f t="shared" si="69"/>
        <v>1</v>
      </c>
      <c r="B2126" s="175" t="s">
        <v>109</v>
      </c>
      <c r="C2126" s="175" t="str">
        <f t="shared" si="68"/>
        <v>Mão de obra execução Piso Lapidado</v>
      </c>
      <c r="D2126" s="175" t="s">
        <v>1974</v>
      </c>
      <c r="E2126" s="176" t="s">
        <v>13</v>
      </c>
      <c r="F2126" s="179"/>
      <c r="G2126" s="177" t="str">
        <f>IF(B2126="insumo",_xlfn.XLOOKUP($D2126,Insumos!$B$1:$B$764,Insumos!$D$1:$D$764),"")</f>
        <v/>
      </c>
      <c r="H2126" s="177" cm="1">
        <f t="array" ref="H2126">_xlfn.IFS(B2126="Serviço",SUMIFS(H2127:$H$3085,C2127:$C$3085,$C2126),B2126="Insumo",F2126*G2126,B2126="Etapa","")</f>
        <v>40</v>
      </c>
      <c r="I2126" s="178" t="s">
        <v>195</v>
      </c>
    </row>
    <row r="2127" spans="1:9" hidden="1" outlineLevel="2" x14ac:dyDescent="0.25">
      <c r="A2127" s="175">
        <f t="shared" si="69"/>
        <v>1</v>
      </c>
      <c r="B2127" s="175" t="s">
        <v>327</v>
      </c>
      <c r="C2127" s="175" t="str">
        <f t="shared" si="68"/>
        <v>Mão de obra execução Piso Lapidado</v>
      </c>
      <c r="D2127" s="175" t="s">
        <v>1974</v>
      </c>
      <c r="E2127" s="176" t="str">
        <f>_xlfn.XLOOKUP(D2127,Insumos!$B$1:$B$764,Insumos!$C$1:$C$764)</f>
        <v>M2</v>
      </c>
      <c r="F2127" s="179">
        <v>1</v>
      </c>
      <c r="G2127" s="177">
        <f>IF(B2127="insumo",_xlfn.XLOOKUP($D2127,Insumos!$B$1:$B$764,Insumos!$D$1:$D$764),"")</f>
        <v>40</v>
      </c>
      <c r="H2127" s="177" cm="1">
        <f t="array" ref="H2127">_xlfn.IFS(B2127="Serviço",SUMIFS(H2128:$H$3085,C2128:$C$3085,$C2127),B2127="Insumo",F2127*G2127,B2127="Etapa","")</f>
        <v>40</v>
      </c>
      <c r="I2127" s="178"/>
    </row>
    <row r="2128" spans="1:9" outlineLevel="1" collapsed="1" x14ac:dyDescent="0.25">
      <c r="A2128" s="175">
        <f t="shared" si="69"/>
        <v>1</v>
      </c>
      <c r="B2128" s="175" t="s">
        <v>109</v>
      </c>
      <c r="C2128" s="175" t="str">
        <f t="shared" si="68"/>
        <v>Mão de Obra Piso Porcenato/ Cerâmico</v>
      </c>
      <c r="D2128" s="175" t="s">
        <v>149</v>
      </c>
      <c r="E2128" s="176" t="s">
        <v>13</v>
      </c>
      <c r="F2128" s="179"/>
      <c r="G2128" s="177" t="str">
        <f>IF(B2128="insumo",_xlfn.XLOOKUP($D2128,Insumos!$B$1:$B$764,Insumos!$D$1:$D$764),"")</f>
        <v/>
      </c>
      <c r="H2128" s="177" cm="1">
        <f t="array" ref="H2128">_xlfn.IFS(B2128="Serviço",SUMIFS(H2129:$H$3085,C2129:$C$3085,$C2128),B2128="Insumo",F2128*G2128,B2128="Etapa","")</f>
        <v>75</v>
      </c>
      <c r="I2128" s="178" t="s">
        <v>195</v>
      </c>
    </row>
    <row r="2129" spans="1:9" hidden="1" outlineLevel="2" x14ac:dyDescent="0.25">
      <c r="A2129" s="175">
        <f t="shared" si="69"/>
        <v>1</v>
      </c>
      <c r="B2129" s="175" t="s">
        <v>327</v>
      </c>
      <c r="C2129" s="175" t="str">
        <f t="shared" si="68"/>
        <v>Mão de Obra Piso Porcenato/ Cerâmico</v>
      </c>
      <c r="D2129" s="175" t="s">
        <v>149</v>
      </c>
      <c r="E2129" s="176" t="str">
        <f>_xlfn.XLOOKUP(D2129,Insumos!$B$1:$B$764,Insumos!$C$1:$C$764)</f>
        <v>UN</v>
      </c>
      <c r="F2129" s="179">
        <v>1</v>
      </c>
      <c r="G2129" s="177">
        <f>IF(B2129="insumo",_xlfn.XLOOKUP($D2129,Insumos!$B$1:$B$764,Insumos!$D$1:$D$764),"")</f>
        <v>75</v>
      </c>
      <c r="H2129" s="177" cm="1">
        <f t="array" ref="H2129">_xlfn.IFS(B2129="Serviço",SUMIFS(H2130:$H$3085,C2130:$C$3085,$C2129),B2129="Insumo",F2129*G2129,B2129="Etapa","")</f>
        <v>75</v>
      </c>
      <c r="I2129" s="178"/>
    </row>
    <row r="2130" spans="1:9" outlineLevel="1" collapsed="1" x14ac:dyDescent="0.25">
      <c r="A2130" s="175">
        <f t="shared" si="69"/>
        <v>1</v>
      </c>
      <c r="B2130" s="175" t="s">
        <v>109</v>
      </c>
      <c r="C2130" s="175" t="str">
        <f t="shared" si="68"/>
        <v>Mão de obra execução Piso drenantes</v>
      </c>
      <c r="D2130" s="175" t="s">
        <v>812</v>
      </c>
      <c r="E2130" s="176" t="s">
        <v>13</v>
      </c>
      <c r="F2130" s="179"/>
      <c r="G2130" s="177" t="str">
        <f>IF(B2130="insumo",_xlfn.XLOOKUP($D2130,Insumos!$B$1:$B$764,Insumos!$D$1:$D$764),"")</f>
        <v/>
      </c>
      <c r="H2130" s="177" cm="1">
        <f t="array" ref="H2130">_xlfn.IFS(B2130="Serviço",SUMIFS(H2131:$H$3085,C2131:$C$3085,$C2130),B2130="Insumo",F2130*G2130,B2130="Etapa","")</f>
        <v>25</v>
      </c>
      <c r="I2130" s="178" t="s">
        <v>195</v>
      </c>
    </row>
    <row r="2131" spans="1:9" hidden="1" outlineLevel="2" x14ac:dyDescent="0.25">
      <c r="A2131" s="175">
        <f t="shared" si="69"/>
        <v>1</v>
      </c>
      <c r="B2131" s="175" t="s">
        <v>327</v>
      </c>
      <c r="C2131" s="175" t="str">
        <f t="shared" si="68"/>
        <v>Mão de obra execução Piso drenantes</v>
      </c>
      <c r="D2131" s="175" t="s">
        <v>812</v>
      </c>
      <c r="E2131" s="176" t="str">
        <f>_xlfn.XLOOKUP(D2131,Insumos!$B$1:$B$764,Insumos!$C$1:$C$764)</f>
        <v>UN</v>
      </c>
      <c r="F2131" s="179">
        <v>1</v>
      </c>
      <c r="G2131" s="177">
        <f>IF(B2131="insumo",_xlfn.XLOOKUP($D2131,Insumos!$B$1:$B$764,Insumos!$D$1:$D$764),"")</f>
        <v>25</v>
      </c>
      <c r="H2131" s="177" cm="1">
        <f t="array" ref="H2131">_xlfn.IFS(B2131="Serviço",SUMIFS(H2132:$H$3085,C2132:$C$3085,$C2131),B2131="Insumo",F2131*G2131,B2131="Etapa","")</f>
        <v>25</v>
      </c>
      <c r="I2131" s="178"/>
    </row>
    <row r="2132" spans="1:9" outlineLevel="1" collapsed="1" x14ac:dyDescent="0.25">
      <c r="A2132" s="175">
        <f t="shared" si="69"/>
        <v>1</v>
      </c>
      <c r="B2132" s="175" t="s">
        <v>109</v>
      </c>
      <c r="C2132" s="175" t="str">
        <f t="shared" si="68"/>
        <v>Mão de obra execução Piso Intertravado</v>
      </c>
      <c r="D2132" s="175" t="s">
        <v>813</v>
      </c>
      <c r="E2132" s="176" t="s">
        <v>13</v>
      </c>
      <c r="F2132" s="179"/>
      <c r="G2132" s="177" t="str">
        <f>IF(B2132="insumo",_xlfn.XLOOKUP($D2132,Insumos!$B$1:$B$764,Insumos!$D$1:$D$764),"")</f>
        <v/>
      </c>
      <c r="H2132" s="177" cm="1">
        <f t="array" ref="H2132">_xlfn.IFS(B2132="Serviço",SUMIFS(H2133:$H$3085,C2133:$C$3085,$C2132),B2132="Insumo",F2132*G2132,B2132="Etapa","")</f>
        <v>25</v>
      </c>
      <c r="I2132" s="178" t="s">
        <v>195</v>
      </c>
    </row>
    <row r="2133" spans="1:9" hidden="1" outlineLevel="2" x14ac:dyDescent="0.25">
      <c r="A2133" s="175">
        <f t="shared" si="69"/>
        <v>1</v>
      </c>
      <c r="B2133" s="175" t="s">
        <v>327</v>
      </c>
      <c r="C2133" s="175" t="str">
        <f t="shared" si="68"/>
        <v>Mão de obra execução Piso Intertravado</v>
      </c>
      <c r="D2133" s="175" t="s">
        <v>813</v>
      </c>
      <c r="E2133" s="176" t="str">
        <f>_xlfn.XLOOKUP(D2133,Insumos!$B$1:$B$764,Insumos!$C$1:$C$764)</f>
        <v>UN</v>
      </c>
      <c r="F2133" s="179">
        <v>1</v>
      </c>
      <c r="G2133" s="177">
        <f>IF(B2133="insumo",_xlfn.XLOOKUP($D2133,Insumos!$B$1:$B$764,Insumos!$D$1:$D$764),"")</f>
        <v>25</v>
      </c>
      <c r="H2133" s="177" cm="1">
        <f t="array" ref="H2133">_xlfn.IFS(B2133="Serviço",SUMIFS(H2134:$H$3085,C2134:$C$3085,$C2133),B2133="Insumo",F2133*G2133,B2133="Etapa","")</f>
        <v>25</v>
      </c>
      <c r="I2133" s="178"/>
    </row>
    <row r="2134" spans="1:9" outlineLevel="1" collapsed="1" x14ac:dyDescent="0.25">
      <c r="A2134" s="175">
        <f t="shared" si="69"/>
        <v>1</v>
      </c>
      <c r="B2134" s="175" t="s">
        <v>109</v>
      </c>
      <c r="C2134" s="175" t="str">
        <f t="shared" si="68"/>
        <v>Mão de obra execução Piso de concreto</v>
      </c>
      <c r="D2134" s="175" t="s">
        <v>814</v>
      </c>
      <c r="E2134" s="176" t="s">
        <v>13</v>
      </c>
      <c r="F2134" s="179"/>
      <c r="G2134" s="177" t="str">
        <f>IF(B2134="insumo",_xlfn.XLOOKUP($D2134,Insumos!$B$1:$B$764,Insumos!$D$1:$D$764),"")</f>
        <v/>
      </c>
      <c r="H2134" s="177" cm="1">
        <f t="array" ref="H2134">_xlfn.IFS(B2134="Serviço",SUMIFS(H2135:$H$3085,C2135:$C$3085,$C2134),B2134="Insumo",F2134*G2134,B2134="Etapa","")</f>
        <v>40</v>
      </c>
      <c r="I2134" s="178" t="s">
        <v>195</v>
      </c>
    </row>
    <row r="2135" spans="1:9" hidden="1" outlineLevel="2" x14ac:dyDescent="0.25">
      <c r="A2135" s="175">
        <f t="shared" si="69"/>
        <v>1</v>
      </c>
      <c r="B2135" s="175" t="s">
        <v>327</v>
      </c>
      <c r="C2135" s="175" t="str">
        <f t="shared" si="68"/>
        <v>Mão de obra execução Piso de concreto</v>
      </c>
      <c r="D2135" s="175" t="s">
        <v>814</v>
      </c>
      <c r="E2135" s="176" t="str">
        <f>_xlfn.XLOOKUP(D2135,Insumos!$B$1:$B$764,Insumos!$C$1:$C$764)</f>
        <v>M2</v>
      </c>
      <c r="F2135" s="179">
        <v>1</v>
      </c>
      <c r="G2135" s="177">
        <f>IF(B2135="insumo",_xlfn.XLOOKUP($D2135,Insumos!$B$1:$B$764,Insumos!$D$1:$D$764),"")</f>
        <v>40</v>
      </c>
      <c r="H2135" s="177" cm="1">
        <f t="array" ref="H2135">_xlfn.IFS(B2135="Serviço",SUMIFS(H2136:$H$3085,C2136:$C$3085,$C2135),B2135="Insumo",F2135*G2135,B2135="Etapa","")</f>
        <v>40</v>
      </c>
      <c r="I2135" s="178"/>
    </row>
    <row r="2136" spans="1:9" outlineLevel="1" collapsed="1" x14ac:dyDescent="0.25">
      <c r="A2136" s="175">
        <f t="shared" si="69"/>
        <v>1</v>
      </c>
      <c r="B2136" s="175" t="s">
        <v>109</v>
      </c>
      <c r="C2136" s="175" t="str">
        <f t="shared" si="68"/>
        <v>Mão de obra de rodapé Pedra Natural</v>
      </c>
      <c r="D2136" s="175" t="s">
        <v>254</v>
      </c>
      <c r="E2136" s="176" t="s">
        <v>13</v>
      </c>
      <c r="F2136" s="179"/>
      <c r="G2136" s="177" t="str">
        <f>IF(B2136="insumo",_xlfn.XLOOKUP($D2136,Insumos!$B$1:$B$764,Insumos!$D$1:$D$764),"")</f>
        <v/>
      </c>
      <c r="H2136" s="177" cm="1">
        <f t="array" ref="H2136">_xlfn.IFS(B2136="Serviço",SUMIFS(H2137:$H$3085,C2137:$C$3085,$C2136),B2136="Insumo",F2136*G2136,B2136="Etapa","")</f>
        <v>22</v>
      </c>
      <c r="I2136" s="178" t="s">
        <v>195</v>
      </c>
    </row>
    <row r="2137" spans="1:9" hidden="1" outlineLevel="2" x14ac:dyDescent="0.25">
      <c r="A2137" s="175">
        <f t="shared" si="69"/>
        <v>1</v>
      </c>
      <c r="B2137" s="175" t="s">
        <v>327</v>
      </c>
      <c r="C2137" s="175" t="str">
        <f t="shared" si="68"/>
        <v>Mão de obra de rodapé Pedra Natural</v>
      </c>
      <c r="D2137" s="175" t="s">
        <v>254</v>
      </c>
      <c r="E2137" s="176" t="str">
        <f>_xlfn.XLOOKUP(D2137,Insumos!$B$1:$B$764,Insumos!$C$1:$C$764)</f>
        <v>UN</v>
      </c>
      <c r="F2137" s="179">
        <v>1</v>
      </c>
      <c r="G2137" s="177">
        <f>IF(B2137="insumo",_xlfn.XLOOKUP($D2137,Insumos!$B$1:$B$764,Insumos!$D$1:$D$764),"")</f>
        <v>22</v>
      </c>
      <c r="H2137" s="177" cm="1">
        <f t="array" ref="H2137">_xlfn.IFS(B2137="Serviço",SUMIFS(H2138:$H$3085,C2138:$C$3085,$C2137),B2137="Insumo",F2137*G2137,B2137="Etapa","")</f>
        <v>22</v>
      </c>
      <c r="I2137" s="178"/>
    </row>
    <row r="2138" spans="1:9" outlineLevel="1" collapsed="1" x14ac:dyDescent="0.25">
      <c r="A2138" s="175">
        <f t="shared" si="69"/>
        <v>1</v>
      </c>
      <c r="B2138" s="175" t="s">
        <v>109</v>
      </c>
      <c r="C2138" s="175" t="str">
        <f t="shared" si="68"/>
        <v>Mão de obra de rodapé Poliestireno</v>
      </c>
      <c r="D2138" s="175" t="s">
        <v>181</v>
      </c>
      <c r="E2138" s="176" t="s">
        <v>13</v>
      </c>
      <c r="F2138" s="179"/>
      <c r="G2138" s="177" t="str">
        <f>IF(B2138="insumo",_xlfn.XLOOKUP($D2138,Insumos!$B$1:$B$764,Insumos!$D$1:$D$764),"")</f>
        <v/>
      </c>
      <c r="H2138" s="177" cm="1">
        <f t="array" ref="H2138">_xlfn.IFS(B2138="Serviço",SUMIFS(H2139:$H$3085,C2139:$C$3085,$C2138),B2138="Insumo",F2138*G2138,B2138="Etapa","")</f>
        <v>22</v>
      </c>
      <c r="I2138" s="178" t="s">
        <v>195</v>
      </c>
    </row>
    <row r="2139" spans="1:9" hidden="1" outlineLevel="2" x14ac:dyDescent="0.25">
      <c r="A2139" s="175">
        <f t="shared" si="69"/>
        <v>1</v>
      </c>
      <c r="B2139" s="175" t="s">
        <v>327</v>
      </c>
      <c r="C2139" s="175" t="str">
        <f t="shared" si="68"/>
        <v>Mão de obra de rodapé Poliestireno</v>
      </c>
      <c r="D2139" s="175" t="s">
        <v>181</v>
      </c>
      <c r="E2139" s="176" t="str">
        <f>_xlfn.XLOOKUP(D2139,Insumos!$B$1:$B$764,Insumos!$C$1:$C$764)</f>
        <v>UN</v>
      </c>
      <c r="F2139" s="179">
        <v>1</v>
      </c>
      <c r="G2139" s="177">
        <f>IF(B2139="insumo",_xlfn.XLOOKUP($D2139,Insumos!$B$1:$B$764,Insumos!$D$1:$D$764),"")</f>
        <v>22</v>
      </c>
      <c r="H2139" s="177" cm="1">
        <f t="array" ref="H2139">_xlfn.IFS(B2139="Serviço",SUMIFS(H2140:$H$3085,C2140:$C$3085,$C2139),B2139="Insumo",F2139*G2139,B2139="Etapa","")</f>
        <v>22</v>
      </c>
      <c r="I2139" s="178"/>
    </row>
    <row r="2140" spans="1:9" outlineLevel="1" collapsed="1" x14ac:dyDescent="0.25">
      <c r="A2140" s="175">
        <f t="shared" si="69"/>
        <v>1</v>
      </c>
      <c r="B2140" s="175" t="s">
        <v>109</v>
      </c>
      <c r="C2140" s="175" t="str">
        <f t="shared" si="68"/>
        <v>Mão de obra de rodapé Porcelanato</v>
      </c>
      <c r="D2140" s="175" t="s">
        <v>255</v>
      </c>
      <c r="E2140" s="176" t="s">
        <v>13</v>
      </c>
      <c r="F2140" s="179"/>
      <c r="G2140" s="177" t="str">
        <f>IF(B2140="insumo",_xlfn.XLOOKUP($D2140,Insumos!$B$1:$B$764,Insumos!$D$1:$D$764),"")</f>
        <v/>
      </c>
      <c r="H2140" s="177" cm="1">
        <f t="array" ref="H2140">_xlfn.IFS(B2140="Serviço",SUMIFS(H2141:$H$3085,C2141:$C$3085,$C2140),B2140="Insumo",F2140*G2140,B2140="Etapa","")</f>
        <v>22</v>
      </c>
      <c r="I2140" s="178" t="s">
        <v>195</v>
      </c>
    </row>
    <row r="2141" spans="1:9" hidden="1" outlineLevel="2" x14ac:dyDescent="0.25">
      <c r="A2141" s="175">
        <f t="shared" si="69"/>
        <v>1</v>
      </c>
      <c r="B2141" s="175" t="s">
        <v>327</v>
      </c>
      <c r="C2141" s="175" t="str">
        <f t="shared" si="68"/>
        <v>Mão de obra de rodapé Porcelanato</v>
      </c>
      <c r="D2141" s="175" t="s">
        <v>255</v>
      </c>
      <c r="E2141" s="176" t="str">
        <f>_xlfn.XLOOKUP(D2141,Insumos!$B$1:$B$764,Insumos!$C$1:$C$764)</f>
        <v>UN</v>
      </c>
      <c r="F2141" s="179">
        <v>1</v>
      </c>
      <c r="G2141" s="177">
        <f>IF(B2141="insumo",_xlfn.XLOOKUP($D2141,Insumos!$B$1:$B$764,Insumos!$D$1:$D$764),"")</f>
        <v>22</v>
      </c>
      <c r="H2141" s="177" cm="1">
        <f t="array" ref="H2141">_xlfn.IFS(B2141="Serviço",SUMIFS(H2142:$H$3085,C2142:$C$3085,$C2141),B2141="Insumo",F2141*G2141,B2141="Etapa","")</f>
        <v>22</v>
      </c>
      <c r="I2141" s="178"/>
    </row>
    <row r="2142" spans="1:9" outlineLevel="1" collapsed="1" x14ac:dyDescent="0.25">
      <c r="A2142" s="175">
        <f t="shared" si="69"/>
        <v>1</v>
      </c>
      <c r="B2142" s="175" t="s">
        <v>109</v>
      </c>
      <c r="C2142" s="175" t="str">
        <f t="shared" si="68"/>
        <v>Mão de obra de colocação de soleira em porcelanato</v>
      </c>
      <c r="D2142" s="175" t="s">
        <v>815</v>
      </c>
      <c r="E2142" s="176" t="s">
        <v>13</v>
      </c>
      <c r="F2142" s="179"/>
      <c r="G2142" s="177" t="str">
        <f>IF(B2142="insumo",_xlfn.XLOOKUP($D2142,Insumos!$B$1:$B$764,Insumos!$D$1:$D$764),"")</f>
        <v/>
      </c>
      <c r="H2142" s="177" cm="1">
        <f t="array" ref="H2142">_xlfn.IFS(B2142="Serviço",SUMIFS(H2143:$H$3085,C2143:$C$3085,$C2142),B2142="Insumo",F2142*G2142,B2142="Etapa","")</f>
        <v>50</v>
      </c>
      <c r="I2142" s="178" t="s">
        <v>195</v>
      </c>
    </row>
    <row r="2143" spans="1:9" hidden="1" outlineLevel="2" x14ac:dyDescent="0.25">
      <c r="A2143" s="175">
        <f t="shared" si="69"/>
        <v>1</v>
      </c>
      <c r="B2143" s="175" t="s">
        <v>327</v>
      </c>
      <c r="C2143" s="175" t="str">
        <f t="shared" si="68"/>
        <v>Mão de obra de colocação de soleira em porcelanato</v>
      </c>
      <c r="D2143" s="175" t="s">
        <v>815</v>
      </c>
      <c r="E2143" s="176" t="str">
        <f>_xlfn.XLOOKUP(D2143,Insumos!$B$1:$B$764,Insumos!$C$1:$C$764)</f>
        <v>UN</v>
      </c>
      <c r="F2143" s="179">
        <v>1</v>
      </c>
      <c r="G2143" s="177">
        <f>IF(B2143="insumo",_xlfn.XLOOKUP($D2143,Insumos!$B$1:$B$764,Insumos!$D$1:$D$764),"")</f>
        <v>50</v>
      </c>
      <c r="H2143" s="177" cm="1">
        <f t="array" ref="H2143">_xlfn.IFS(B2143="Serviço",SUMIFS(H2144:$H$3085,C2144:$C$3085,$C2143),B2143="Insumo",F2143*G2143,B2143="Etapa","")</f>
        <v>50</v>
      </c>
      <c r="I2143" s="178"/>
    </row>
    <row r="2144" spans="1:9" outlineLevel="1" collapsed="1" x14ac:dyDescent="0.25">
      <c r="A2144" s="175">
        <f t="shared" si="69"/>
        <v>1</v>
      </c>
      <c r="B2144" s="175" t="s">
        <v>109</v>
      </c>
      <c r="C2144" s="175" t="str">
        <f t="shared" si="68"/>
        <v>Mão de obra de colocação de soleira em pedra natural</v>
      </c>
      <c r="D2144" s="175" t="s">
        <v>816</v>
      </c>
      <c r="E2144" s="176" t="s">
        <v>13</v>
      </c>
      <c r="F2144" s="179"/>
      <c r="G2144" s="177" t="str">
        <f>IF(B2144="insumo",_xlfn.XLOOKUP($D2144,Insumos!$B$1:$B$764,Insumos!$D$1:$D$764),"")</f>
        <v/>
      </c>
      <c r="H2144" s="177" cm="1">
        <f t="array" ref="H2144">_xlfn.IFS(B2144="Serviço",SUMIFS(H2145:$H$3085,C2145:$C$3085,$C2144),B2144="Insumo",F2144*G2144,B2144="Etapa","")</f>
        <v>22</v>
      </c>
      <c r="I2144" s="178" t="s">
        <v>195</v>
      </c>
    </row>
    <row r="2145" spans="1:9" hidden="1" outlineLevel="2" x14ac:dyDescent="0.25">
      <c r="A2145" s="175">
        <f t="shared" si="69"/>
        <v>1</v>
      </c>
      <c r="B2145" s="175" t="s">
        <v>327</v>
      </c>
      <c r="C2145" s="175" t="str">
        <f t="shared" si="68"/>
        <v>Mão de obra de colocação de soleira em pedra natural</v>
      </c>
      <c r="D2145" s="175" t="s">
        <v>816</v>
      </c>
      <c r="E2145" s="176" t="str">
        <f>_xlfn.XLOOKUP(D2145,Insumos!$B$1:$B$764,Insumos!$C$1:$C$764)</f>
        <v>UN</v>
      </c>
      <c r="F2145" s="179">
        <v>1</v>
      </c>
      <c r="G2145" s="177">
        <f>IF(B2145="insumo",_xlfn.XLOOKUP($D2145,Insumos!$B$1:$B$764,Insumos!$D$1:$D$764),"")</f>
        <v>22</v>
      </c>
      <c r="H2145" s="177" cm="1">
        <f t="array" ref="H2145">_xlfn.IFS(B2145="Serviço",SUMIFS(H2146:$H$3085,C2146:$C$3085,$C2145),B2145="Insumo",F2145*G2145,B2145="Etapa","")</f>
        <v>22</v>
      </c>
      <c r="I2145" s="178"/>
    </row>
    <row r="2146" spans="1:9" outlineLevel="1" collapsed="1" x14ac:dyDescent="0.25">
      <c r="A2146" s="175">
        <f t="shared" si="69"/>
        <v>1</v>
      </c>
      <c r="B2146" s="175" t="s">
        <v>109</v>
      </c>
      <c r="C2146" s="175" t="str">
        <f t="shared" si="68"/>
        <v>Mão de obra de colocação de soleira em granito</v>
      </c>
      <c r="D2146" s="175" t="s">
        <v>182</v>
      </c>
      <c r="E2146" s="176" t="s">
        <v>13</v>
      </c>
      <c r="F2146" s="179"/>
      <c r="G2146" s="177" t="str">
        <f>IF(B2146="insumo",_xlfn.XLOOKUP($D2146,Insumos!$B$1:$B$764,Insumos!$D$1:$D$764),"")</f>
        <v/>
      </c>
      <c r="H2146" s="177" cm="1">
        <f t="array" ref="H2146">_xlfn.IFS(B2146="Serviço",SUMIFS(H2147:$H$3085,C2147:$C$3085,$C2146),B2146="Insumo",F2146*G2146,B2146="Etapa","")</f>
        <v>22</v>
      </c>
      <c r="I2146" s="178" t="s">
        <v>195</v>
      </c>
    </row>
    <row r="2147" spans="1:9" hidden="1" outlineLevel="2" x14ac:dyDescent="0.25">
      <c r="A2147" s="175">
        <f t="shared" si="69"/>
        <v>1</v>
      </c>
      <c r="B2147" s="175" t="s">
        <v>327</v>
      </c>
      <c r="C2147" s="175" t="str">
        <f t="shared" si="68"/>
        <v>Mão de obra de colocação de soleira em granito</v>
      </c>
      <c r="D2147" s="175" t="s">
        <v>182</v>
      </c>
      <c r="E2147" s="176" t="str">
        <f>_xlfn.XLOOKUP(D2147,Insumos!$B$1:$B$764,Insumos!$C$1:$C$764)</f>
        <v>UN</v>
      </c>
      <c r="F2147" s="179">
        <v>1</v>
      </c>
      <c r="G2147" s="177">
        <f>IF(B2147="insumo",_xlfn.XLOOKUP($D2147,Insumos!$B$1:$B$764,Insumos!$D$1:$D$764),"")</f>
        <v>22</v>
      </c>
      <c r="H2147" s="177" cm="1">
        <f t="array" ref="H2147">_xlfn.IFS(B2147="Serviço",SUMIFS(H2148:$H$3085,C2148:$C$3085,$C2147),B2147="Insumo",F2147*G2147,B2147="Etapa","")</f>
        <v>22</v>
      </c>
      <c r="I2147" s="178"/>
    </row>
    <row r="2148" spans="1:9" x14ac:dyDescent="0.25">
      <c r="A2148" s="172">
        <f t="shared" si="69"/>
        <v>1</v>
      </c>
      <c r="B2148" s="172" t="s">
        <v>107</v>
      </c>
      <c r="C2148" s="172"/>
      <c r="D2148" s="172" t="s">
        <v>58</v>
      </c>
      <c r="E2148" s="173"/>
      <c r="F2148" s="174"/>
      <c r="G2148" s="180" t="str">
        <f>IF(B2148="insumo",_xlfn.XLOOKUP($D2148,Insumos!$B$1:$B$764,Insumos!$D$1:$D$764),"")</f>
        <v/>
      </c>
      <c r="H2148" s="177" t="str" cm="1">
        <f t="array" ref="H2148">_xlfn.IFS(B2148="Serviço",SUMIFS(H2149:$H$3085,C2149:$C$3085,$C2148),B2148="Insumo",F2148*G2148,B2148="Etapa","")</f>
        <v/>
      </c>
      <c r="I2148" s="174"/>
    </row>
    <row r="2149" spans="1:9" outlineLevel="1" x14ac:dyDescent="0.25">
      <c r="A2149" s="175">
        <f t="shared" si="69"/>
        <v>1</v>
      </c>
      <c r="B2149" s="175" t="s">
        <v>109</v>
      </c>
      <c r="C2149" s="175" t="str">
        <f t="shared" si="68"/>
        <v>PINTURA DE RODAPÉ COM TINTA EPÓXI, APLICAÇÃO MANUAL, 2 DEMÃOS, INCLUSÃO PRIMER EPÓXI</v>
      </c>
      <c r="D2149" s="175" t="s">
        <v>817</v>
      </c>
      <c r="E2149" s="176" t="s">
        <v>13</v>
      </c>
      <c r="F2149" s="175"/>
      <c r="G2149" s="177" t="str">
        <f>IF(B2149="insumo",_xlfn.XLOOKUP($D2149,Insumos!$B$1:$B$764,Insumos!$D$1:$D$764),"")</f>
        <v/>
      </c>
      <c r="H2149" s="177" cm="1">
        <f t="array" ref="H2149">_xlfn.IFS(B2149="Serviço",SUMIFS(H2150:$H$3085,C2150:$C$3085,$C2149),B2149="Insumo",F2149*G2149,B2149="Etapa","")</f>
        <v>80.215224000000006</v>
      </c>
      <c r="I2149" s="178" t="s">
        <v>195</v>
      </c>
    </row>
    <row r="2150" spans="1:9" outlineLevel="2" x14ac:dyDescent="0.25">
      <c r="A2150" s="175">
        <f t="shared" si="69"/>
        <v>5</v>
      </c>
      <c r="B2150" s="175" t="s">
        <v>327</v>
      </c>
      <c r="C2150" s="175" t="str">
        <f t="shared" si="68"/>
        <v>PINTURA DE RODAPÉ COM TINTA EPÓXI, APLICAÇÃO MANUAL, 2 DEMÃOS, INCLUSÃO PRIMER EPÓXI</v>
      </c>
      <c r="D2150" s="175" t="s">
        <v>818</v>
      </c>
      <c r="E2150" s="176" t="str">
        <f>_xlfn.XLOOKUP(D2150,Insumos!$B$1:$B$764,Insumos!$C$1:$C$764)</f>
        <v>L</v>
      </c>
      <c r="F2150" s="179">
        <v>6.4000000000000001E-2</v>
      </c>
      <c r="G2150" s="177">
        <f>IF(B2150="insumo",_xlfn.XLOOKUP($D2150,Insumos!$B$1:$B$764,Insumos!$D$1:$D$764),"")</f>
        <v>50.12</v>
      </c>
      <c r="H2150" s="177" cm="1">
        <f t="array" ref="H2150">_xlfn.IFS(B2150="Serviço",SUMIFS(H2151:$H$3085,C2151:$C$3085,$C2150),B2150="Insumo",F2150*G2150,B2150="Etapa","")</f>
        <v>3.2076799999999999</v>
      </c>
      <c r="I2150" s="178"/>
    </row>
    <row r="2151" spans="1:9" outlineLevel="2" x14ac:dyDescent="0.25">
      <c r="A2151" s="175">
        <f t="shared" si="69"/>
        <v>13</v>
      </c>
      <c r="B2151" s="175" t="s">
        <v>327</v>
      </c>
      <c r="C2151" s="175" t="str">
        <f t="shared" si="68"/>
        <v>PINTURA DE RODAPÉ COM TINTA EPÓXI, APLICAÇÃO MANUAL, 2 DEMÃOS, INCLUSÃO PRIMER EPÓXI</v>
      </c>
      <c r="D2151" s="175" t="s">
        <v>819</v>
      </c>
      <c r="E2151" s="176" t="str">
        <f>_xlfn.XLOOKUP(D2151,Insumos!$B$1:$B$764,Insumos!$C$1:$C$764)</f>
        <v>UN</v>
      </c>
      <c r="F2151" s="179">
        <v>0.01</v>
      </c>
      <c r="G2151" s="177">
        <f>IF(B2151="insumo",_xlfn.XLOOKUP($D2151,Insumos!$B$1:$B$764,Insumos!$D$1:$D$764),"")</f>
        <v>11.26</v>
      </c>
      <c r="H2151" s="177" cm="1">
        <f t="array" ref="H2151">_xlfn.IFS(B2151="Serviço",SUMIFS(H2152:$H$3085,C2152:$C$3085,$C2151),B2151="Insumo",F2151*G2151,B2151="Etapa","")</f>
        <v>0.11260000000000001</v>
      </c>
      <c r="I2151" s="178"/>
    </row>
    <row r="2152" spans="1:9" outlineLevel="2" x14ac:dyDescent="0.25">
      <c r="A2152" s="175">
        <f t="shared" si="69"/>
        <v>4</v>
      </c>
      <c r="B2152" s="175" t="s">
        <v>327</v>
      </c>
      <c r="C2152" s="175" t="str">
        <f t="shared" ref="C2152:C2215" si="70">IF(B2152="serviço",D2152,C2151)</f>
        <v>PINTURA DE RODAPÉ COM TINTA EPÓXI, APLICAÇÃO MANUAL, 2 DEMÃOS, INCLUSÃO PRIMER EPÓXI</v>
      </c>
      <c r="D2152" s="175" t="s">
        <v>820</v>
      </c>
      <c r="E2152" s="176" t="str">
        <f>_xlfn.XLOOKUP(D2152,Insumos!$B$1:$B$764,Insumos!$C$1:$C$764)</f>
        <v>L</v>
      </c>
      <c r="F2152" s="179">
        <v>0.2016</v>
      </c>
      <c r="G2152" s="177">
        <f>IF(B2152="insumo",_xlfn.XLOOKUP($D2152,Insumos!$B$1:$B$764,Insumos!$D$1:$D$764),"")</f>
        <v>137.24</v>
      </c>
      <c r="H2152" s="177" cm="1">
        <f t="array" ref="H2152">_xlfn.IFS(B2152="Serviço",SUMIFS(H2153:$H$3085,C2153:$C$3085,$C2152),B2152="Insumo",F2152*G2152,B2152="Etapa","")</f>
        <v>27.667584000000002</v>
      </c>
      <c r="I2152" s="178"/>
    </row>
    <row r="2153" spans="1:9" outlineLevel="2" x14ac:dyDescent="0.25">
      <c r="A2153" s="175">
        <f t="shared" si="69"/>
        <v>5</v>
      </c>
      <c r="B2153" s="175" t="s">
        <v>327</v>
      </c>
      <c r="C2153" s="175" t="str">
        <f t="shared" si="70"/>
        <v>PINTURA DE RODAPÉ COM TINTA EPÓXI, APLICAÇÃO MANUAL, 2 DEMÃOS, INCLUSÃO PRIMER EPÓXI</v>
      </c>
      <c r="D2153" s="175" t="s">
        <v>821</v>
      </c>
      <c r="E2153" s="176" t="str">
        <f>_xlfn.XLOOKUP(D2153,Insumos!$B$1:$B$764,Insumos!$C$1:$C$764)</f>
        <v>L</v>
      </c>
      <c r="F2153" s="179">
        <v>0.48299999999999998</v>
      </c>
      <c r="G2153" s="177">
        <f>IF(B2153="insumo",_xlfn.XLOOKUP($D2153,Insumos!$B$1:$B$764,Insumos!$D$1:$D$764),"")</f>
        <v>101.92</v>
      </c>
      <c r="H2153" s="177" cm="1">
        <f t="array" ref="H2153">_xlfn.IFS(B2153="Serviço",SUMIFS(H2154:$H$3085,C2154:$C$3085,$C2153),B2153="Insumo",F2153*G2153,B2153="Etapa","")</f>
        <v>49.227359999999997</v>
      </c>
      <c r="I2153" s="178"/>
    </row>
    <row r="2154" spans="1:9" outlineLevel="1" x14ac:dyDescent="0.25">
      <c r="A2154" s="175">
        <f t="shared" si="69"/>
        <v>1</v>
      </c>
      <c r="B2154" s="175" t="s">
        <v>109</v>
      </c>
      <c r="C2154" s="175" t="str">
        <f t="shared" si="70"/>
        <v>Pintura em Tinta piso em Rodapé, Aplicação Manual, 2 Demãos</v>
      </c>
      <c r="D2154" s="175" t="s">
        <v>2407</v>
      </c>
      <c r="E2154" s="176" t="s">
        <v>25</v>
      </c>
      <c r="F2154" s="175"/>
      <c r="G2154" s="177" t="str">
        <f>IF(B2154="insumo",_xlfn.XLOOKUP($D2154,Insumos!$B$1:$B$764,Insumos!$D$1:$D$764),"")</f>
        <v/>
      </c>
      <c r="H2154" s="177" cm="1">
        <f t="array" ref="H2154">_xlfn.IFS(B2154="Serviço",SUMIFS(H2155:$H$3085,C2155:$C$3085,$C2154),B2154="Insumo",F2154*G2154,B2154="Etapa","")</f>
        <v>0.97726000000000013</v>
      </c>
      <c r="I2154" s="178" t="s">
        <v>195</v>
      </c>
    </row>
    <row r="2155" spans="1:9" outlineLevel="2" x14ac:dyDescent="0.25">
      <c r="A2155" s="175">
        <f t="shared" si="69"/>
        <v>13</v>
      </c>
      <c r="B2155" s="175" t="s">
        <v>327</v>
      </c>
      <c r="C2155" s="175" t="str">
        <f t="shared" si="70"/>
        <v>Pintura em Tinta piso em Rodapé, Aplicação Manual, 2 Demãos</v>
      </c>
      <c r="D2155" s="175" t="s">
        <v>819</v>
      </c>
      <c r="E2155" s="176" t="str">
        <f>_xlfn.XLOOKUP(D2155,Insumos!$B$1:$B$764,Insumos!$C$1:$C$764)</f>
        <v>UN</v>
      </c>
      <c r="F2155" s="179">
        <f>0.01*0.1</f>
        <v>1E-3</v>
      </c>
      <c r="G2155" s="177">
        <f>IF(B2155="insumo",_xlfn.XLOOKUP($D2155,Insumos!$B$1:$B$764,Insumos!$D$1:$D$764),"")</f>
        <v>11.26</v>
      </c>
      <c r="H2155" s="177" cm="1">
        <f t="array" ref="H2155">_xlfn.IFS(B2155="Serviço",SUMIFS(H2156:$H$3085,C2156:$C$3085,$C2155),B2155="Insumo",F2155*G2155,B2155="Etapa","")</f>
        <v>1.1259999999999999E-2</v>
      </c>
      <c r="I2155" s="178"/>
    </row>
    <row r="2156" spans="1:9" outlineLevel="2" x14ac:dyDescent="0.25">
      <c r="A2156" s="175">
        <f t="shared" si="69"/>
        <v>2</v>
      </c>
      <c r="B2156" s="175" t="s">
        <v>327</v>
      </c>
      <c r="C2156" s="175" t="str">
        <f t="shared" si="70"/>
        <v>Pintura em Tinta piso em Rodapé, Aplicação Manual, 2 Demãos</v>
      </c>
      <c r="D2156" s="175" t="s">
        <v>2409</v>
      </c>
      <c r="E2156" s="176" t="str">
        <f>_xlfn.XLOOKUP(D2156,Insumos!$B$1:$B$764,Insumos!$C$1:$C$764)</f>
        <v>L</v>
      </c>
      <c r="F2156" s="179">
        <f>0.483*0.1</f>
        <v>4.8300000000000003E-2</v>
      </c>
      <c r="G2156" s="177">
        <f>IF(B2156="insumo",_xlfn.XLOOKUP($D2156,Insumos!$B$1:$B$764,Insumos!$D$1:$D$764),"")</f>
        <v>20</v>
      </c>
      <c r="H2156" s="177" cm="1">
        <f t="array" ref="H2156">_xlfn.IFS(B2156="Serviço",SUMIFS(H2157:$H$3085,C2157:$C$3085,$C2156),B2156="Insumo",F2156*G2156,B2156="Etapa","")</f>
        <v>0.96600000000000008</v>
      </c>
      <c r="I2156" s="178"/>
    </row>
    <row r="2157" spans="1:9" outlineLevel="1" x14ac:dyDescent="0.25">
      <c r="A2157" s="175">
        <f t="shared" si="69"/>
        <v>1</v>
      </c>
      <c r="B2157" s="175" t="s">
        <v>109</v>
      </c>
      <c r="C2157" s="175" t="str">
        <f t="shared" si="70"/>
        <v>Pintura em Resina em Rodapé, Aplicação Manual, 2 Demãos</v>
      </c>
      <c r="D2157" s="175" t="s">
        <v>822</v>
      </c>
      <c r="E2157" s="176" t="s">
        <v>25</v>
      </c>
      <c r="F2157" s="175"/>
      <c r="G2157" s="177" t="str">
        <f>IF(B2157="insumo",_xlfn.XLOOKUP($D2157,Insumos!$B$1:$B$764,Insumos!$D$1:$D$764),"")</f>
        <v/>
      </c>
      <c r="H2157" s="177" cm="1">
        <f t="array" ref="H2157">_xlfn.IFS(B2157="Serviço",SUMIFS(H2158:$H$3085,C2158:$C$3085,$C2157),B2157="Insumo",F2157*G2157,B2157="Etapa","")</f>
        <v>8.0215224000000021</v>
      </c>
      <c r="I2157" s="178" t="s">
        <v>195</v>
      </c>
    </row>
    <row r="2158" spans="1:9" outlineLevel="2" x14ac:dyDescent="0.25">
      <c r="A2158" s="175">
        <f t="shared" si="69"/>
        <v>5</v>
      </c>
      <c r="B2158" s="175" t="s">
        <v>327</v>
      </c>
      <c r="C2158" s="175" t="str">
        <f t="shared" si="70"/>
        <v>Pintura em Resina em Rodapé, Aplicação Manual, 2 Demãos</v>
      </c>
      <c r="D2158" s="175" t="s">
        <v>818</v>
      </c>
      <c r="E2158" s="187" t="str">
        <f>_xlfn.XLOOKUP(D2158,Insumos!$B$1:$B$764,Insumos!$C$1:$C$764)</f>
        <v>L</v>
      </c>
      <c r="F2158" s="179">
        <f>0.064*0.1</f>
        <v>6.4000000000000003E-3</v>
      </c>
      <c r="G2158" s="177">
        <f>IF(B2158="insumo",_xlfn.XLOOKUP($D2158,Insumos!$B$1:$B$764,Insumos!$D$1:$D$764),"")</f>
        <v>50.12</v>
      </c>
      <c r="H2158" s="177" cm="1">
        <f t="array" ref="H2158">_xlfn.IFS(B2158="Serviço",SUMIFS(H2159:$H$3085,C2159:$C$3085,$C2158),B2158="Insumo",F2158*G2158,B2158="Etapa","")</f>
        <v>0.320768</v>
      </c>
      <c r="I2158" s="178"/>
    </row>
    <row r="2159" spans="1:9" outlineLevel="2" x14ac:dyDescent="0.25">
      <c r="A2159" s="175">
        <f t="shared" si="69"/>
        <v>13</v>
      </c>
      <c r="B2159" s="175" t="s">
        <v>327</v>
      </c>
      <c r="C2159" s="175" t="str">
        <f t="shared" si="70"/>
        <v>Pintura em Resina em Rodapé, Aplicação Manual, 2 Demãos</v>
      </c>
      <c r="D2159" s="175" t="s">
        <v>819</v>
      </c>
      <c r="E2159" s="176" t="str">
        <f>_xlfn.XLOOKUP(D2159,Insumos!$B$1:$B$764,Insumos!$C$1:$C$764)</f>
        <v>UN</v>
      </c>
      <c r="F2159" s="179">
        <f>0.01*0.1</f>
        <v>1E-3</v>
      </c>
      <c r="G2159" s="177">
        <f>IF(B2159="insumo",_xlfn.XLOOKUP($D2159,Insumos!$B$1:$B$764,Insumos!$D$1:$D$764),"")</f>
        <v>11.26</v>
      </c>
      <c r="H2159" s="177" cm="1">
        <f t="array" ref="H2159">_xlfn.IFS(B2159="Serviço",SUMIFS(H2160:$H$3085,C2160:$C$3085,$C2159),B2159="Insumo",F2159*G2159,B2159="Etapa","")</f>
        <v>1.1259999999999999E-2</v>
      </c>
      <c r="I2159" s="178"/>
    </row>
    <row r="2160" spans="1:9" outlineLevel="2" x14ac:dyDescent="0.25">
      <c r="A2160" s="175">
        <f t="shared" si="69"/>
        <v>4</v>
      </c>
      <c r="B2160" s="175" t="s">
        <v>327</v>
      </c>
      <c r="C2160" s="175" t="str">
        <f t="shared" si="70"/>
        <v>Pintura em Resina em Rodapé, Aplicação Manual, 2 Demãos</v>
      </c>
      <c r="D2160" s="175" t="s">
        <v>820</v>
      </c>
      <c r="E2160" s="176" t="str">
        <f>_xlfn.XLOOKUP(D2160,Insumos!$B$1:$B$764,Insumos!$C$1:$C$764)</f>
        <v>L</v>
      </c>
      <c r="F2160" s="179">
        <f>0.2016*0.1</f>
        <v>2.0160000000000001E-2</v>
      </c>
      <c r="G2160" s="177">
        <f>IF(B2160="insumo",_xlfn.XLOOKUP($D2160,Insumos!$B$1:$B$764,Insumos!$D$1:$D$764),"")</f>
        <v>137.24</v>
      </c>
      <c r="H2160" s="177" cm="1">
        <f t="array" ref="H2160">_xlfn.IFS(B2160="Serviço",SUMIFS(H2161:$H$3085,C2161:$C$3085,$C2160),B2160="Insumo",F2160*G2160,B2160="Etapa","")</f>
        <v>2.7667584000000005</v>
      </c>
      <c r="I2160" s="178"/>
    </row>
    <row r="2161" spans="1:9" outlineLevel="2" x14ac:dyDescent="0.25">
      <c r="A2161" s="175">
        <f t="shared" si="69"/>
        <v>5</v>
      </c>
      <c r="B2161" s="175" t="s">
        <v>327</v>
      </c>
      <c r="C2161" s="175" t="str">
        <f t="shared" si="70"/>
        <v>Pintura em Resina em Rodapé, Aplicação Manual, 2 Demãos</v>
      </c>
      <c r="D2161" s="175" t="s">
        <v>821</v>
      </c>
      <c r="E2161" s="176" t="str">
        <f>_xlfn.XLOOKUP(D2161,Insumos!$B$1:$B$764,Insumos!$C$1:$C$764)</f>
        <v>L</v>
      </c>
      <c r="F2161" s="179">
        <f>0.483*0.1</f>
        <v>4.8300000000000003E-2</v>
      </c>
      <c r="G2161" s="177">
        <f>IF(B2161="insumo",_xlfn.XLOOKUP($D2161,Insumos!$B$1:$B$764,Insumos!$D$1:$D$764),"")</f>
        <v>101.92</v>
      </c>
      <c r="H2161" s="177" cm="1">
        <f t="array" ref="H2161">_xlfn.IFS(B2161="Serviço",SUMIFS(H2162:$H$3085,C2162:$C$3085,$C2161),B2161="Insumo",F2161*G2161,B2161="Etapa","")</f>
        <v>4.9227360000000004</v>
      </c>
      <c r="I2161" s="178"/>
    </row>
    <row r="2162" spans="1:9" outlineLevel="1" collapsed="1" x14ac:dyDescent="0.25">
      <c r="A2162" s="175">
        <f t="shared" si="69"/>
        <v>1</v>
      </c>
      <c r="B2162" s="175" t="s">
        <v>109</v>
      </c>
      <c r="C2162" s="175" t="str">
        <f t="shared" si="70"/>
        <v>Pintura em Epóxi em Piso, Aplicação Manual, 2 Demãos</v>
      </c>
      <c r="D2162" s="175" t="s">
        <v>256</v>
      </c>
      <c r="E2162" s="176" t="s">
        <v>13</v>
      </c>
      <c r="F2162" s="175"/>
      <c r="G2162" s="177" t="str">
        <f>IF(B2162="insumo",_xlfn.XLOOKUP($D2162,Insumos!$B$1:$B$764,Insumos!$D$1:$D$764),"")</f>
        <v/>
      </c>
      <c r="H2162" s="177" cm="1">
        <f t="array" ref="H2162">_xlfn.IFS(B2162="Serviço",SUMIFS(H2163:$H$3085,C2163:$C$3085,$C2162),B2162="Insumo",F2162*G2162,B2162="Etapa","")</f>
        <v>80.215224000000006</v>
      </c>
      <c r="I2162" s="178" t="s">
        <v>195</v>
      </c>
    </row>
    <row r="2163" spans="1:9" hidden="1" outlineLevel="2" x14ac:dyDescent="0.25">
      <c r="A2163" s="175">
        <f t="shared" si="69"/>
        <v>5</v>
      </c>
      <c r="B2163" s="175" t="s">
        <v>327</v>
      </c>
      <c r="C2163" s="175" t="str">
        <f t="shared" si="70"/>
        <v>Pintura em Epóxi em Piso, Aplicação Manual, 2 Demãos</v>
      </c>
      <c r="D2163" s="175" t="s">
        <v>818</v>
      </c>
      <c r="E2163" s="176" t="str">
        <f>_xlfn.XLOOKUP(D2163,Insumos!$B$1:$B$764,Insumos!$C$1:$C$764)</f>
        <v>L</v>
      </c>
      <c r="F2163" s="179">
        <v>6.4000000000000001E-2</v>
      </c>
      <c r="G2163" s="177">
        <f>IF(B2163="insumo",_xlfn.XLOOKUP($D2163,Insumos!$B$1:$B$764,Insumos!$D$1:$D$764),"")</f>
        <v>50.12</v>
      </c>
      <c r="H2163" s="177" cm="1">
        <f t="array" ref="H2163">_xlfn.IFS(B2163="Serviço",SUMIFS(H2164:$H$3085,C2164:$C$3085,$C2163),B2163="Insumo",F2163*G2163,B2163="Etapa","")</f>
        <v>3.2076799999999999</v>
      </c>
      <c r="I2163" s="178"/>
    </row>
    <row r="2164" spans="1:9" hidden="1" outlineLevel="2" x14ac:dyDescent="0.25">
      <c r="A2164" s="175">
        <f t="shared" si="69"/>
        <v>13</v>
      </c>
      <c r="B2164" s="175" t="s">
        <v>327</v>
      </c>
      <c r="C2164" s="175" t="str">
        <f t="shared" si="70"/>
        <v>Pintura em Epóxi em Piso, Aplicação Manual, 2 Demãos</v>
      </c>
      <c r="D2164" s="175" t="s">
        <v>819</v>
      </c>
      <c r="E2164" s="176" t="str">
        <f>_xlfn.XLOOKUP(D2164,Insumos!$B$1:$B$764,Insumos!$C$1:$C$764)</f>
        <v>UN</v>
      </c>
      <c r="F2164" s="179">
        <v>0.01</v>
      </c>
      <c r="G2164" s="177">
        <f>IF(B2164="insumo",_xlfn.XLOOKUP($D2164,Insumos!$B$1:$B$764,Insumos!$D$1:$D$764),"")</f>
        <v>11.26</v>
      </c>
      <c r="H2164" s="177" cm="1">
        <f t="array" ref="H2164">_xlfn.IFS(B2164="Serviço",SUMIFS(H2165:$H$3085,C2165:$C$3085,$C2164),B2164="Insumo",F2164*G2164,B2164="Etapa","")</f>
        <v>0.11260000000000001</v>
      </c>
      <c r="I2164" s="178"/>
    </row>
    <row r="2165" spans="1:9" hidden="1" outlineLevel="2" x14ac:dyDescent="0.25">
      <c r="A2165" s="175">
        <f t="shared" si="69"/>
        <v>4</v>
      </c>
      <c r="B2165" s="175" t="s">
        <v>327</v>
      </c>
      <c r="C2165" s="175" t="str">
        <f t="shared" si="70"/>
        <v>Pintura em Epóxi em Piso, Aplicação Manual, 2 Demãos</v>
      </c>
      <c r="D2165" s="175" t="s">
        <v>820</v>
      </c>
      <c r="E2165" s="176" t="str">
        <f>_xlfn.XLOOKUP(D2165,Insumos!$B$1:$B$764,Insumos!$C$1:$C$764)</f>
        <v>L</v>
      </c>
      <c r="F2165" s="179">
        <v>0.2016</v>
      </c>
      <c r="G2165" s="177">
        <f>IF(B2165="insumo",_xlfn.XLOOKUP($D2165,Insumos!$B$1:$B$764,Insumos!$D$1:$D$764),"")</f>
        <v>137.24</v>
      </c>
      <c r="H2165" s="177" cm="1">
        <f t="array" ref="H2165">_xlfn.IFS(B2165="Serviço",SUMIFS(H2166:$H$3085,C2166:$C$3085,$C2165),B2165="Insumo",F2165*G2165,B2165="Etapa","")</f>
        <v>27.667584000000002</v>
      </c>
      <c r="I2165" s="178"/>
    </row>
    <row r="2166" spans="1:9" hidden="1" outlineLevel="2" x14ac:dyDescent="0.25">
      <c r="A2166" s="175">
        <f t="shared" si="69"/>
        <v>5</v>
      </c>
      <c r="B2166" s="175" t="s">
        <v>327</v>
      </c>
      <c r="C2166" s="175" t="str">
        <f t="shared" si="70"/>
        <v>Pintura em Epóxi em Piso, Aplicação Manual, 2 Demãos</v>
      </c>
      <c r="D2166" s="175" t="s">
        <v>821</v>
      </c>
      <c r="E2166" s="176" t="str">
        <f>_xlfn.XLOOKUP(D2166,Insumos!$B$1:$B$764,Insumos!$C$1:$C$764)</f>
        <v>L</v>
      </c>
      <c r="F2166" s="179">
        <v>0.48299999999999998</v>
      </c>
      <c r="G2166" s="177">
        <f>IF(B2166="insumo",_xlfn.XLOOKUP($D2166,Insumos!$B$1:$B$764,Insumos!$D$1:$D$764),"")</f>
        <v>101.92</v>
      </c>
      <c r="H2166" s="177" cm="1">
        <f t="array" ref="H2166">_xlfn.IFS(B2166="Serviço",SUMIFS(H2167:$H$3085,C2167:$C$3085,$C2166),B2166="Insumo",F2166*G2166,B2166="Etapa","")</f>
        <v>49.227359999999997</v>
      </c>
      <c r="I2166" s="178"/>
    </row>
    <row r="2167" spans="1:9" outlineLevel="1" collapsed="1" x14ac:dyDescent="0.25">
      <c r="A2167" s="175">
        <f t="shared" si="69"/>
        <v>1</v>
      </c>
      <c r="B2167" s="175" t="s">
        <v>109</v>
      </c>
      <c r="C2167" s="175" t="str">
        <f t="shared" si="70"/>
        <v>Pintura em Resina para demarcação de vagas em piso, 1 demão</v>
      </c>
      <c r="D2167" s="175" t="s">
        <v>257</v>
      </c>
      <c r="E2167" s="176" t="s">
        <v>13</v>
      </c>
      <c r="F2167" s="175"/>
      <c r="G2167" s="177" t="str">
        <f>IF(B2167="insumo",_xlfn.XLOOKUP($D2167,Insumos!$B$1:$B$764,Insumos!$D$1:$D$764),"")</f>
        <v/>
      </c>
      <c r="H2167" s="177" cm="1">
        <f t="array" ref="H2167">_xlfn.IFS(B2167="Serviço",SUMIFS(H2168:$H$3085,C2168:$C$3085,$C2167),B2167="Insumo",F2167*G2167,B2167="Etapa","")</f>
        <v>6.0553933333333338</v>
      </c>
      <c r="I2167" s="178" t="s">
        <v>195</v>
      </c>
    </row>
    <row r="2168" spans="1:9" hidden="1" outlineLevel="2" x14ac:dyDescent="0.25">
      <c r="A2168" s="175">
        <f t="shared" si="69"/>
        <v>6</v>
      </c>
      <c r="B2168" s="175" t="s">
        <v>327</v>
      </c>
      <c r="C2168" s="175" t="str">
        <f t="shared" si="70"/>
        <v>Pintura em Resina para demarcação de vagas em piso, 1 demão</v>
      </c>
      <c r="D2168" s="175" t="s">
        <v>823</v>
      </c>
      <c r="E2168" s="176" t="str">
        <f>_xlfn.XLOOKUP(D2168,Insumos!$B$1:$B$764,Insumos!$C$1:$C$764)</f>
        <v>L</v>
      </c>
      <c r="F2168" s="179">
        <v>2.1000000000000001E-2</v>
      </c>
      <c r="G2168" s="177">
        <f>IF(B2168="insumo",_xlfn.XLOOKUP($D2168,Insumos!$B$1:$B$764,Insumos!$D$1:$D$764),"")</f>
        <v>21.99</v>
      </c>
      <c r="H2168" s="177" cm="1">
        <f t="array" ref="H2168">_xlfn.IFS(B2168="Serviço",SUMIFS(H2169:$H$3085,C2169:$C$3085,$C2168),B2168="Insumo",F2168*G2168,B2168="Etapa","")</f>
        <v>0.46178999999999998</v>
      </c>
      <c r="I2168" s="178"/>
    </row>
    <row r="2169" spans="1:9" hidden="1" outlineLevel="2" x14ac:dyDescent="0.25">
      <c r="A2169" s="175">
        <f t="shared" si="69"/>
        <v>13</v>
      </c>
      <c r="B2169" s="175" t="s">
        <v>327</v>
      </c>
      <c r="C2169" s="175" t="str">
        <f t="shared" si="70"/>
        <v>Pintura em Resina para demarcação de vagas em piso, 1 demão</v>
      </c>
      <c r="D2169" s="175" t="s">
        <v>819</v>
      </c>
      <c r="E2169" s="176" t="str">
        <f>_xlfn.XLOOKUP(D2169,Insumos!$B$1:$B$764,Insumos!$C$1:$C$764)</f>
        <v>UN</v>
      </c>
      <c r="F2169" s="179">
        <v>1.2E-2</v>
      </c>
      <c r="G2169" s="177">
        <f>IF(B2169="insumo",_xlfn.XLOOKUP($D2169,Insumos!$B$1:$B$764,Insumos!$D$1:$D$764),"")</f>
        <v>11.26</v>
      </c>
      <c r="H2169" s="177" cm="1">
        <f t="array" ref="H2169">_xlfn.IFS(B2169="Serviço",SUMIFS(H2170:$H$3085,C2170:$C$3085,$C2169),B2169="Insumo",F2169*G2169,B2169="Etapa","")</f>
        <v>0.13511999999999999</v>
      </c>
      <c r="I2169" s="178"/>
    </row>
    <row r="2170" spans="1:9" hidden="1" outlineLevel="2" x14ac:dyDescent="0.25">
      <c r="A2170" s="175">
        <f t="shared" si="69"/>
        <v>2</v>
      </c>
      <c r="B2170" s="175" t="s">
        <v>327</v>
      </c>
      <c r="C2170" s="175" t="str">
        <f t="shared" si="70"/>
        <v>Pintura em Resina para demarcação de vagas em piso, 1 demão</v>
      </c>
      <c r="D2170" s="175" t="s">
        <v>362</v>
      </c>
      <c r="E2170" s="176" t="str">
        <f>_xlfn.XLOOKUP(D2170,Insumos!$B$1:$B$764,Insumos!$C$1:$C$764)</f>
        <v>L</v>
      </c>
      <c r="F2170" s="179">
        <v>0.23722222222222222</v>
      </c>
      <c r="G2170" s="177">
        <f>IF(B2170="insumo",_xlfn.XLOOKUP($D2170,Insumos!$B$1:$B$764,Insumos!$D$1:$D$764),"")</f>
        <v>23.01</v>
      </c>
      <c r="H2170" s="177" cm="1">
        <f t="array" ref="H2170">_xlfn.IFS(B2170="Serviço",SUMIFS(H2171:$H$3085,C2171:$C$3085,$C2170),B2170="Insumo",F2170*G2170,B2170="Etapa","")</f>
        <v>5.4584833333333336</v>
      </c>
      <c r="I2170" s="178"/>
    </row>
    <row r="2171" spans="1:9" outlineLevel="1" collapsed="1" x14ac:dyDescent="0.25">
      <c r="A2171" s="175">
        <f t="shared" si="69"/>
        <v>1</v>
      </c>
      <c r="B2171" s="175" t="s">
        <v>109</v>
      </c>
      <c r="C2171" s="175" t="str">
        <f t="shared" si="70"/>
        <v>Pintura em Epóxi para demarcação de vagas em piso, 1 demão</v>
      </c>
      <c r="D2171" s="175" t="s">
        <v>824</v>
      </c>
      <c r="E2171" s="176" t="s">
        <v>13</v>
      </c>
      <c r="F2171" s="175"/>
      <c r="G2171" s="177" t="str">
        <f>IF(B2171="insumo",_xlfn.XLOOKUP($D2171,Insumos!$B$1:$B$764,Insumos!$D$1:$D$764),"")</f>
        <v/>
      </c>
      <c r="H2171" s="177" cm="1">
        <f t="array" ref="H2171">_xlfn.IFS(B2171="Serviço",SUMIFS(H2172:$H$3085,C2172:$C$3085,$C2171),B2171="Insumo",F2171*G2171,B2171="Etapa","")</f>
        <v>53.032912888888887</v>
      </c>
      <c r="I2171" s="178" t="s">
        <v>195</v>
      </c>
    </row>
    <row r="2172" spans="1:9" hidden="1" outlineLevel="2" x14ac:dyDescent="0.25">
      <c r="A2172" s="175">
        <f t="shared" si="69"/>
        <v>5</v>
      </c>
      <c r="B2172" s="175" t="s">
        <v>327</v>
      </c>
      <c r="C2172" s="175" t="str">
        <f t="shared" si="70"/>
        <v>Pintura em Epóxi para demarcação de vagas em piso, 1 demão</v>
      </c>
      <c r="D2172" s="175" t="s">
        <v>818</v>
      </c>
      <c r="E2172" s="176" t="str">
        <f>_xlfn.XLOOKUP(D2172,Insumos!$B$1:$B$764,Insumos!$C$1:$C$764)</f>
        <v>L</v>
      </c>
      <c r="F2172" s="179">
        <v>2.1000000000000001E-2</v>
      </c>
      <c r="G2172" s="177">
        <f>IF(B2172="insumo",_xlfn.XLOOKUP($D2172,Insumos!$B$1:$B$764,Insumos!$D$1:$D$764),"")</f>
        <v>50.12</v>
      </c>
      <c r="H2172" s="177" cm="1">
        <f t="array" ref="H2172">_xlfn.IFS(B2172="Serviço",SUMIFS(H2173:$H$3085,C2173:$C$3085,$C2172),B2172="Insumo",F2172*G2172,B2172="Etapa","")</f>
        <v>1.0525200000000001</v>
      </c>
      <c r="I2172" s="178"/>
    </row>
    <row r="2173" spans="1:9" hidden="1" outlineLevel="2" x14ac:dyDescent="0.25">
      <c r="A2173" s="175">
        <f t="shared" si="69"/>
        <v>13</v>
      </c>
      <c r="B2173" s="175" t="s">
        <v>327</v>
      </c>
      <c r="C2173" s="175" t="str">
        <f t="shared" si="70"/>
        <v>Pintura em Epóxi para demarcação de vagas em piso, 1 demão</v>
      </c>
      <c r="D2173" s="175" t="s">
        <v>819</v>
      </c>
      <c r="E2173" s="176" t="str">
        <f>_xlfn.XLOOKUP(D2173,Insumos!$B$1:$B$764,Insumos!$C$1:$C$764)</f>
        <v>UN</v>
      </c>
      <c r="F2173" s="179">
        <v>1.2E-2</v>
      </c>
      <c r="G2173" s="177">
        <f>IF(B2173="insumo",_xlfn.XLOOKUP($D2173,Insumos!$B$1:$B$764,Insumos!$D$1:$D$764),"")</f>
        <v>11.26</v>
      </c>
      <c r="H2173" s="177" cm="1">
        <f t="array" ref="H2173">_xlfn.IFS(B2173="Serviço",SUMIFS(H2174:$H$3085,C2174:$C$3085,$C2173),B2173="Insumo",F2173*G2173,B2173="Etapa","")</f>
        <v>0.13511999999999999</v>
      </c>
      <c r="I2173" s="178"/>
    </row>
    <row r="2174" spans="1:9" hidden="1" outlineLevel="2" x14ac:dyDescent="0.25">
      <c r="A2174" s="175">
        <f t="shared" si="69"/>
        <v>4</v>
      </c>
      <c r="B2174" s="175" t="s">
        <v>327</v>
      </c>
      <c r="C2174" s="175" t="str">
        <f t="shared" si="70"/>
        <v>Pintura em Epóxi para demarcação de vagas em piso, 1 demão</v>
      </c>
      <c r="D2174" s="175" t="s">
        <v>820</v>
      </c>
      <c r="E2174" s="176" t="str">
        <f>_xlfn.XLOOKUP(D2174,Insumos!$B$1:$B$764,Insumos!$C$1:$C$764)</f>
        <v>L</v>
      </c>
      <c r="F2174" s="179">
        <v>0.2016</v>
      </c>
      <c r="G2174" s="177">
        <f>IF(B2174="insumo",_xlfn.XLOOKUP($D2174,Insumos!$B$1:$B$764,Insumos!$D$1:$D$764),"")</f>
        <v>137.24</v>
      </c>
      <c r="H2174" s="177" cm="1">
        <f t="array" ref="H2174">_xlfn.IFS(B2174="Serviço",SUMIFS(H2175:$H$3085,C2175:$C$3085,$C2174),B2174="Insumo",F2174*G2174,B2174="Etapa","")</f>
        <v>27.667584000000002</v>
      </c>
      <c r="I2174" s="178"/>
    </row>
    <row r="2175" spans="1:9" hidden="1" outlineLevel="2" x14ac:dyDescent="0.25">
      <c r="A2175" s="175">
        <f t="shared" si="69"/>
        <v>5</v>
      </c>
      <c r="B2175" s="175" t="s">
        <v>327</v>
      </c>
      <c r="C2175" s="175" t="str">
        <f t="shared" si="70"/>
        <v>Pintura em Epóxi para demarcação de vagas em piso, 1 demão</v>
      </c>
      <c r="D2175" s="175" t="s">
        <v>821</v>
      </c>
      <c r="E2175" s="176" t="str">
        <f>_xlfn.XLOOKUP(D2175,Insumos!$B$1:$B$764,Insumos!$C$1:$C$764)</f>
        <v>L</v>
      </c>
      <c r="F2175" s="179">
        <v>0.23722222222222222</v>
      </c>
      <c r="G2175" s="177">
        <f>IF(B2175="insumo",_xlfn.XLOOKUP($D2175,Insumos!$B$1:$B$764,Insumos!$D$1:$D$764),"")</f>
        <v>101.92</v>
      </c>
      <c r="H2175" s="177" cm="1">
        <f t="array" ref="H2175">_xlfn.IFS(B2175="Serviço",SUMIFS(H2176:$H$3085,C2176:$C$3085,$C2175),B2175="Insumo",F2175*G2175,B2175="Etapa","")</f>
        <v>24.177688888888888</v>
      </c>
      <c r="I2175" s="178"/>
    </row>
    <row r="2176" spans="1:9" outlineLevel="1" collapsed="1" x14ac:dyDescent="0.25">
      <c r="A2176" s="175">
        <f t="shared" si="69"/>
        <v>1</v>
      </c>
      <c r="B2176" s="175" t="s">
        <v>109</v>
      </c>
      <c r="C2176" s="175" t="str">
        <f t="shared" si="70"/>
        <v>Pintura em Esmalte em Piso Amarelo, Aplicação Manual, 2 Demãos</v>
      </c>
      <c r="D2176" s="175" t="s">
        <v>1239</v>
      </c>
      <c r="E2176" s="176" t="s">
        <v>13</v>
      </c>
      <c r="F2176" s="175"/>
      <c r="G2176" s="177" t="str">
        <f>IF(B2176="insumo",_xlfn.XLOOKUP($D2176,Insumos!$B$1:$B$764,Insumos!$D$1:$D$764),"")</f>
        <v/>
      </c>
      <c r="H2176" s="177" cm="1">
        <f t="array" ref="H2176">_xlfn.IFS(B2176="Serviço",SUMIFS(H2177:$H$3085,C2177:$C$3085,$C2176),B2176="Insumo",F2176*G2176,B2176="Etapa","")</f>
        <v>14.311766666666667</v>
      </c>
      <c r="I2176" s="178" t="s">
        <v>195</v>
      </c>
    </row>
    <row r="2177" spans="1:9" hidden="1" outlineLevel="2" x14ac:dyDescent="0.25">
      <c r="A2177" s="175">
        <f t="shared" si="69"/>
        <v>13</v>
      </c>
      <c r="B2177" s="175" t="s">
        <v>327</v>
      </c>
      <c r="C2177" s="175" t="str">
        <f t="shared" si="70"/>
        <v>Pintura em Esmalte em Piso Amarelo, Aplicação Manual, 2 Demãos</v>
      </c>
      <c r="D2177" s="175" t="s">
        <v>819</v>
      </c>
      <c r="E2177" s="176" t="str">
        <f>_xlfn.XLOOKUP(D2177,Insumos!$B$1:$B$764,Insumos!$C$1:$C$764)</f>
        <v>UN</v>
      </c>
      <c r="F2177" s="179">
        <v>0.01</v>
      </c>
      <c r="G2177" s="177">
        <f>IF(B2177="insumo",_xlfn.XLOOKUP($D2177,Insumos!$B$1:$B$764,Insumos!$D$1:$D$764),"")</f>
        <v>11.26</v>
      </c>
      <c r="H2177" s="177" cm="1">
        <f t="array" ref="H2177">_xlfn.IFS(B2177="Serviço",SUMIFS(H2178:$H$3085,C2178:$C$3085,$C2177),B2177="Insumo",F2177*G2177,B2177="Etapa","")</f>
        <v>0.11260000000000001</v>
      </c>
      <c r="I2177" s="178"/>
    </row>
    <row r="2178" spans="1:9" hidden="1" outlineLevel="2" x14ac:dyDescent="0.25">
      <c r="A2178" s="175">
        <f t="shared" ref="A2178:A2241" si="71">COUNTIFS($D$2:$D$3085,D2178,$B$2:$B$3085,B2178)</f>
        <v>1</v>
      </c>
      <c r="B2178" s="175" t="s">
        <v>327</v>
      </c>
      <c r="C2178" s="175" t="str">
        <f t="shared" si="70"/>
        <v>Pintura em Esmalte em Piso Amarelo, Aplicação Manual, 2 Demãos</v>
      </c>
      <c r="D2178" s="175" t="s">
        <v>1201</v>
      </c>
      <c r="E2178" s="176" t="str">
        <f>_xlfn.XLOOKUP(D2178,Insumos!$B$1:$B$764,Insumos!$C$1:$C$764)</f>
        <v>L</v>
      </c>
      <c r="F2178" s="179">
        <v>0.33</v>
      </c>
      <c r="G2178" s="177">
        <f>IF(B2178="insumo",_xlfn.XLOOKUP($D2178,Insumos!$B$1:$B$764,Insumos!$D$1:$D$764),"")</f>
        <v>43.027777777777779</v>
      </c>
      <c r="H2178" s="177" cm="1">
        <f t="array" ref="H2178">_xlfn.IFS(B2178="Serviço",SUMIFS(H2179:$H$3085,C2179:$C$3085,$C2178),B2178="Insumo",F2178*G2178,B2178="Etapa","")</f>
        <v>14.199166666666667</v>
      </c>
      <c r="I2178" s="178"/>
    </row>
    <row r="2179" spans="1:9" outlineLevel="1" collapsed="1" x14ac:dyDescent="0.25">
      <c r="A2179" s="175">
        <f t="shared" si="71"/>
        <v>1</v>
      </c>
      <c r="B2179" s="175" t="s">
        <v>109</v>
      </c>
      <c r="C2179" s="175" t="str">
        <f t="shared" si="70"/>
        <v>Pintura em Esmalte em Piso, Aplicação Manual, 2 Demãos</v>
      </c>
      <c r="D2179" s="175" t="s">
        <v>825</v>
      </c>
      <c r="E2179" s="176" t="s">
        <v>13</v>
      </c>
      <c r="F2179" s="175"/>
      <c r="G2179" s="177" t="str">
        <f>IF(B2179="insumo",_xlfn.XLOOKUP($D2179,Insumos!$B$1:$B$764,Insumos!$D$1:$D$764),"")</f>
        <v/>
      </c>
      <c r="H2179" s="177" cm="1">
        <f t="array" ref="H2179">_xlfn.IFS(B2179="Serviço",SUMIFS(H2180:$H$3085,C2180:$C$3085,$C2179),B2179="Insumo",F2179*G2179,B2179="Etapa","")</f>
        <v>20.960709999999999</v>
      </c>
      <c r="I2179" s="178" t="s">
        <v>195</v>
      </c>
    </row>
    <row r="2180" spans="1:9" hidden="1" outlineLevel="2" x14ac:dyDescent="0.25">
      <c r="A2180" s="175">
        <f t="shared" si="71"/>
        <v>6</v>
      </c>
      <c r="B2180" s="175" t="s">
        <v>327</v>
      </c>
      <c r="C2180" s="175" t="str">
        <f t="shared" si="70"/>
        <v>Pintura em Esmalte em Piso, Aplicação Manual, 2 Demãos</v>
      </c>
      <c r="D2180" s="175" t="s">
        <v>823</v>
      </c>
      <c r="E2180" s="176" t="str">
        <f>_xlfn.XLOOKUP(D2180,Insumos!$B$1:$B$764,Insumos!$C$1:$C$764)</f>
        <v>L</v>
      </c>
      <c r="F2180" s="179">
        <v>6.4000000000000001E-2</v>
      </c>
      <c r="G2180" s="177">
        <f>IF(B2180="insumo",_xlfn.XLOOKUP($D2180,Insumos!$B$1:$B$764,Insumos!$D$1:$D$764),"")</f>
        <v>21.99</v>
      </c>
      <c r="H2180" s="177" cm="1">
        <f t="array" ref="H2180">_xlfn.IFS(B2180="Serviço",SUMIFS(H2181:$H$3085,C2181:$C$3085,$C2180),B2180="Insumo",F2180*G2180,B2180="Etapa","")</f>
        <v>1.4073599999999999</v>
      </c>
      <c r="I2180" s="178"/>
    </row>
    <row r="2181" spans="1:9" hidden="1" outlineLevel="2" x14ac:dyDescent="0.25">
      <c r="A2181" s="175">
        <f t="shared" si="71"/>
        <v>13</v>
      </c>
      <c r="B2181" s="175" t="s">
        <v>327</v>
      </c>
      <c r="C2181" s="175" t="str">
        <f t="shared" si="70"/>
        <v>Pintura em Esmalte em Piso, Aplicação Manual, 2 Demãos</v>
      </c>
      <c r="D2181" s="175" t="s">
        <v>819</v>
      </c>
      <c r="E2181" s="176" t="str">
        <f>_xlfn.XLOOKUP(D2181,Insumos!$B$1:$B$764,Insumos!$C$1:$C$764)</f>
        <v>UN</v>
      </c>
      <c r="F2181" s="179">
        <v>0.01</v>
      </c>
      <c r="G2181" s="177">
        <f>IF(B2181="insumo",_xlfn.XLOOKUP($D2181,Insumos!$B$1:$B$764,Insumos!$D$1:$D$764),"")</f>
        <v>11.26</v>
      </c>
      <c r="H2181" s="177" cm="1">
        <f t="array" ref="H2181">_xlfn.IFS(B2181="Serviço",SUMIFS(H2182:$H$3085,C2182:$C$3085,$C2181),B2181="Insumo",F2181*G2181,B2181="Etapa","")</f>
        <v>0.11260000000000001</v>
      </c>
      <c r="I2181" s="178"/>
    </row>
    <row r="2182" spans="1:9" hidden="1" outlineLevel="2" x14ac:dyDescent="0.25">
      <c r="A2182" s="175">
        <f t="shared" si="71"/>
        <v>1</v>
      </c>
      <c r="B2182" s="175" t="s">
        <v>327</v>
      </c>
      <c r="C2182" s="175" t="str">
        <f t="shared" si="70"/>
        <v>Pintura em Esmalte em Piso, Aplicação Manual, 2 Demãos</v>
      </c>
      <c r="D2182" s="175" t="s">
        <v>826</v>
      </c>
      <c r="E2182" s="176" t="str">
        <f>_xlfn.XLOOKUP(D2182,Insumos!$B$1:$B$764,Insumos!$C$1:$C$764)</f>
        <v>L</v>
      </c>
      <c r="F2182" s="179">
        <v>0.48299999999999998</v>
      </c>
      <c r="G2182" s="177">
        <f>IF(B2182="insumo",_xlfn.XLOOKUP($D2182,Insumos!$B$1:$B$764,Insumos!$D$1:$D$764),"")</f>
        <v>40.25</v>
      </c>
      <c r="H2182" s="177" cm="1">
        <f t="array" ref="H2182">_xlfn.IFS(B2182="Serviço",SUMIFS(H2183:$H$3085,C2183:$C$3085,$C2182),B2182="Insumo",F2182*G2182,B2182="Etapa","")</f>
        <v>19.440749999999998</v>
      </c>
      <c r="I2182" s="178"/>
    </row>
    <row r="2183" spans="1:9" outlineLevel="1" collapsed="1" x14ac:dyDescent="0.25">
      <c r="A2183" s="175">
        <f t="shared" si="71"/>
        <v>1</v>
      </c>
      <c r="B2183" s="175" t="s">
        <v>109</v>
      </c>
      <c r="C2183" s="175" t="str">
        <f t="shared" si="70"/>
        <v>Pintura em tinta para piso, Aplicação Manual, 2 Demãos</v>
      </c>
      <c r="D2183" s="175" t="s">
        <v>2408</v>
      </c>
      <c r="E2183" s="176" t="s">
        <v>13</v>
      </c>
      <c r="F2183" s="175"/>
      <c r="G2183" s="177" t="str">
        <f>IF(B2183="insumo",_xlfn.XLOOKUP($D2183,Insumos!$B$1:$B$764,Insumos!$D$1:$D$764),"")</f>
        <v/>
      </c>
      <c r="H2183" s="177" cm="1">
        <f t="array" ref="H2183">_xlfn.IFS(B2183="Serviço",SUMIFS(H2184:$H$3085,C2184:$C$3085,$C2183),B2183="Insumo",F2183*G2183,B2183="Etapa","")</f>
        <v>9.7726000000000006</v>
      </c>
      <c r="I2183" s="178" t="s">
        <v>195</v>
      </c>
    </row>
    <row r="2184" spans="1:9" hidden="1" outlineLevel="2" x14ac:dyDescent="0.25">
      <c r="A2184" s="175">
        <f t="shared" si="71"/>
        <v>13</v>
      </c>
      <c r="B2184" s="175" t="s">
        <v>327</v>
      </c>
      <c r="C2184" s="175" t="str">
        <f t="shared" si="70"/>
        <v>Pintura em tinta para piso, Aplicação Manual, 2 Demãos</v>
      </c>
      <c r="D2184" s="175" t="s">
        <v>819</v>
      </c>
      <c r="E2184" s="176" t="str">
        <f>_xlfn.XLOOKUP(D2184,Insumos!$B$1:$B$764,Insumos!$C$1:$C$764)</f>
        <v>UN</v>
      </c>
      <c r="F2184" s="179">
        <v>0.01</v>
      </c>
      <c r="G2184" s="177">
        <f>IF(B2184="insumo",_xlfn.XLOOKUP($D2184,Insumos!$B$1:$B$764,Insumos!$D$1:$D$764),"")</f>
        <v>11.26</v>
      </c>
      <c r="H2184" s="177" cm="1">
        <f t="array" ref="H2184">_xlfn.IFS(B2184="Serviço",SUMIFS(H2185:$H$3085,C2185:$C$3085,$C2184),B2184="Insumo",F2184*G2184,B2184="Etapa","")</f>
        <v>0.11260000000000001</v>
      </c>
      <c r="I2184" s="178"/>
    </row>
    <row r="2185" spans="1:9" hidden="1" outlineLevel="2" x14ac:dyDescent="0.25">
      <c r="A2185" s="175">
        <f t="shared" si="71"/>
        <v>2</v>
      </c>
      <c r="B2185" s="175" t="s">
        <v>327</v>
      </c>
      <c r="C2185" s="175" t="str">
        <f t="shared" si="70"/>
        <v>Pintura em tinta para piso, Aplicação Manual, 2 Demãos</v>
      </c>
      <c r="D2185" s="175" t="s">
        <v>2409</v>
      </c>
      <c r="E2185" s="176" t="str">
        <f>_xlfn.XLOOKUP(D2185,Insumos!$B$1:$B$764,Insumos!$C$1:$C$764)</f>
        <v>L</v>
      </c>
      <c r="F2185" s="179">
        <v>0.48299999999999998</v>
      </c>
      <c r="G2185" s="177">
        <f>IF(B2185="insumo",_xlfn.XLOOKUP($D2185,Insumos!$B$1:$B$764,Insumos!$D$1:$D$764),"")</f>
        <v>20</v>
      </c>
      <c r="H2185" s="177" cm="1">
        <f t="array" ref="H2185">_xlfn.IFS(B2185="Serviço",SUMIFS(H2186:$H$3085,C2186:$C$3085,$C2185),B2185="Insumo",F2185*G2185,B2185="Etapa","")</f>
        <v>9.66</v>
      </c>
      <c r="I2185" s="178"/>
    </row>
    <row r="2186" spans="1:9" outlineLevel="1" collapsed="1" x14ac:dyDescent="0.25">
      <c r="A2186" s="175">
        <f t="shared" si="71"/>
        <v>1</v>
      </c>
      <c r="B2186" s="175" t="s">
        <v>109</v>
      </c>
      <c r="C2186" s="175" t="str">
        <f t="shared" si="70"/>
        <v>Pintura em Resina em Piso, Aplicação Manual, 2 Demãos</v>
      </c>
      <c r="D2186" s="175" t="s">
        <v>258</v>
      </c>
      <c r="E2186" s="176" t="s">
        <v>13</v>
      </c>
      <c r="F2186" s="175"/>
      <c r="G2186" s="177" t="str">
        <f>IF(B2186="insumo",_xlfn.XLOOKUP($D2186,Insumos!$B$1:$B$764,Insumos!$D$1:$D$764),"")</f>
        <v/>
      </c>
      <c r="H2186" s="177" cm="1">
        <f t="array" ref="H2186">_xlfn.IFS(B2186="Serviço",SUMIFS(H2187:$H$3085,C2187:$C$3085,$C2186),B2186="Insumo",F2186*G2186,B2186="Etapa","")</f>
        <v>52.547639999999994</v>
      </c>
      <c r="I2186" s="178" t="s">
        <v>195</v>
      </c>
    </row>
    <row r="2187" spans="1:9" hidden="1" outlineLevel="2" x14ac:dyDescent="0.25">
      <c r="A2187" s="175">
        <f t="shared" si="71"/>
        <v>5</v>
      </c>
      <c r="B2187" s="175" t="s">
        <v>327</v>
      </c>
      <c r="C2187" s="175" t="str">
        <f t="shared" si="70"/>
        <v>Pintura em Resina em Piso, Aplicação Manual, 2 Demãos</v>
      </c>
      <c r="D2187" s="175" t="s">
        <v>818</v>
      </c>
      <c r="E2187" s="176" t="str">
        <f>_xlfn.XLOOKUP(D2187,Insumos!$B$1:$B$764,Insumos!$C$1:$C$764)</f>
        <v>L</v>
      </c>
      <c r="F2187" s="179">
        <v>6.4000000000000001E-2</v>
      </c>
      <c r="G2187" s="177">
        <f>IF(B2187="insumo",_xlfn.XLOOKUP($D2187,Insumos!$B$1:$B$764,Insumos!$D$1:$D$764),"")</f>
        <v>50.12</v>
      </c>
      <c r="H2187" s="177" cm="1">
        <f t="array" ref="H2187">_xlfn.IFS(B2187="Serviço",SUMIFS(H2188:$H$3085,C2188:$C$3085,$C2187),B2187="Insumo",F2187*G2187,B2187="Etapa","")</f>
        <v>3.2076799999999999</v>
      </c>
      <c r="I2187" s="178"/>
    </row>
    <row r="2188" spans="1:9" hidden="1" outlineLevel="2" x14ac:dyDescent="0.25">
      <c r="A2188" s="175">
        <f t="shared" si="71"/>
        <v>13</v>
      </c>
      <c r="B2188" s="175" t="s">
        <v>327</v>
      </c>
      <c r="C2188" s="175" t="str">
        <f t="shared" si="70"/>
        <v>Pintura em Resina em Piso, Aplicação Manual, 2 Demãos</v>
      </c>
      <c r="D2188" s="175" t="s">
        <v>819</v>
      </c>
      <c r="E2188" s="176" t="str">
        <f>_xlfn.XLOOKUP(D2188,Insumos!$B$1:$B$764,Insumos!$C$1:$C$764)</f>
        <v>UN</v>
      </c>
      <c r="F2188" s="179">
        <v>0.01</v>
      </c>
      <c r="G2188" s="177">
        <f>IF(B2188="insumo",_xlfn.XLOOKUP($D2188,Insumos!$B$1:$B$764,Insumos!$D$1:$D$764),"")</f>
        <v>11.26</v>
      </c>
      <c r="H2188" s="177" cm="1">
        <f t="array" ref="H2188">_xlfn.IFS(B2188="Serviço",SUMIFS(H2189:$H$3085,C2189:$C$3085,$C2188),B2188="Insumo",F2188*G2188,B2188="Etapa","")</f>
        <v>0.11260000000000001</v>
      </c>
      <c r="I2188" s="178"/>
    </row>
    <row r="2189" spans="1:9" hidden="1" outlineLevel="2" x14ac:dyDescent="0.25">
      <c r="A2189" s="175">
        <f t="shared" si="71"/>
        <v>5</v>
      </c>
      <c r="B2189" s="175" t="s">
        <v>327</v>
      </c>
      <c r="C2189" s="175" t="str">
        <f t="shared" si="70"/>
        <v>Pintura em Resina em Piso, Aplicação Manual, 2 Demãos</v>
      </c>
      <c r="D2189" s="175" t="s">
        <v>821</v>
      </c>
      <c r="E2189" s="176" t="str">
        <f>_xlfn.XLOOKUP(D2189,Insumos!$B$1:$B$764,Insumos!$C$1:$C$764)</f>
        <v>L</v>
      </c>
      <c r="F2189" s="179">
        <v>0.48299999999999998</v>
      </c>
      <c r="G2189" s="177">
        <f>IF(B2189="insumo",_xlfn.XLOOKUP($D2189,Insumos!$B$1:$B$764,Insumos!$D$1:$D$764),"")</f>
        <v>101.92</v>
      </c>
      <c r="H2189" s="177" cm="1">
        <f t="array" ref="H2189">_xlfn.IFS(B2189="Serviço",SUMIFS(H2190:$H$3085,C2190:$C$3085,$C2189),B2189="Insumo",F2189*G2189,B2189="Etapa","")</f>
        <v>49.227359999999997</v>
      </c>
      <c r="I2189" s="178"/>
    </row>
    <row r="2190" spans="1:9" outlineLevel="1" x14ac:dyDescent="0.25">
      <c r="A2190" s="175">
        <f t="shared" si="71"/>
        <v>1</v>
      </c>
      <c r="B2190" s="175" t="s">
        <v>109</v>
      </c>
      <c r="C2190" s="175" t="str">
        <f t="shared" si="70"/>
        <v>Pintura em Látex Acrilica para demarcação de vagas em piso, 1 demão</v>
      </c>
      <c r="D2190" s="175" t="s">
        <v>827</v>
      </c>
      <c r="E2190" s="176" t="s">
        <v>13</v>
      </c>
      <c r="F2190" s="175"/>
      <c r="G2190" s="177" t="str">
        <f>IF(B2190="insumo",_xlfn.XLOOKUP($D2190,Insumos!$B$1:$B$764,Insumos!$D$1:$D$764),"")</f>
        <v/>
      </c>
      <c r="H2190" s="177" cm="1">
        <f t="array" ref="H2190">_xlfn.IFS(B2190="Serviço",SUMIFS(H2191:$H$3085,C2191:$C$3085,$C2190),B2190="Insumo",F2190*G2190,B2190="Etapa","")</f>
        <v>5.5982500000000002</v>
      </c>
      <c r="I2190" s="178" t="s">
        <v>195</v>
      </c>
    </row>
    <row r="2191" spans="1:9" outlineLevel="2" x14ac:dyDescent="0.25">
      <c r="A2191" s="175">
        <f t="shared" si="71"/>
        <v>14</v>
      </c>
      <c r="B2191" s="175" t="s">
        <v>327</v>
      </c>
      <c r="C2191" s="175" t="str">
        <f t="shared" si="70"/>
        <v>Pintura em Látex Acrilica para demarcação de vagas em piso, 1 demão</v>
      </c>
      <c r="D2191" s="175" t="s">
        <v>828</v>
      </c>
      <c r="E2191" s="176" t="str">
        <f>_xlfn.XLOOKUP(D2191,Insumos!$B$1:$B$764,Insumos!$C$1:$C$764)</f>
        <v>L</v>
      </c>
      <c r="F2191" s="179">
        <v>0.22850000000000001</v>
      </c>
      <c r="G2191" s="177">
        <f>IF(B2191="insumo",_xlfn.XLOOKUP($D2191,Insumos!$B$1:$B$764,Insumos!$D$1:$D$764),"")</f>
        <v>24.5</v>
      </c>
      <c r="H2191" s="177" cm="1">
        <f t="array" ref="H2191">_xlfn.IFS(B2191="Serviço",SUMIFS(H2192:$H$3085,C2192:$C$3085,$C2191),B2191="Insumo",F2191*G2191,B2191="Etapa","")</f>
        <v>5.5982500000000002</v>
      </c>
      <c r="I2191" s="178"/>
    </row>
    <row r="2192" spans="1:9" outlineLevel="1" collapsed="1" x14ac:dyDescent="0.25">
      <c r="A2192" s="175">
        <f t="shared" si="71"/>
        <v>1</v>
      </c>
      <c r="B2192" s="175" t="s">
        <v>109</v>
      </c>
      <c r="C2192" s="175" t="str">
        <f t="shared" si="70"/>
        <v>Pintura Com Tinta Latex Acrilica com selador e massa em Paredes Internas, 3 Demaos</v>
      </c>
      <c r="D2192" s="175" t="s">
        <v>829</v>
      </c>
      <c r="E2192" s="176" t="s">
        <v>13</v>
      </c>
      <c r="F2192" s="175"/>
      <c r="G2192" s="177" t="str">
        <f>IF(B2192="insumo",_xlfn.XLOOKUP($D2192,Insumos!$B$1:$B$764,Insumos!$D$1:$D$764),"")</f>
        <v/>
      </c>
      <c r="H2192" s="177" cm="1">
        <f t="array" ref="H2192">_xlfn.IFS(B2192="Serviço",SUMIFS(H2193:$H$3085,C2193:$C$3085,$C2192),B2192="Insumo",F2192*G2192,B2192="Etapa","")</f>
        <v>20.700715666666667</v>
      </c>
      <c r="I2192" s="178" t="s">
        <v>195</v>
      </c>
    </row>
    <row r="2193" spans="1:9" hidden="1" outlineLevel="2" x14ac:dyDescent="0.25">
      <c r="A2193" s="175">
        <f t="shared" si="71"/>
        <v>26</v>
      </c>
      <c r="B2193" s="175" t="s">
        <v>327</v>
      </c>
      <c r="C2193" s="175" t="str">
        <f t="shared" si="70"/>
        <v>Pintura Com Tinta Latex Acrilica com selador e massa em Paredes Internas, 3 Demaos</v>
      </c>
      <c r="D2193" s="175" t="s">
        <v>358</v>
      </c>
      <c r="E2193" s="176" t="str">
        <f>_xlfn.XLOOKUP(D2193,Insumos!$B$1:$B$764,Insumos!$C$1:$C$764)</f>
        <v>UN</v>
      </c>
      <c r="F2193" s="179">
        <v>0.1</v>
      </c>
      <c r="G2193" s="177">
        <f>IF(B2193="insumo",_xlfn.XLOOKUP($D2193,Insumos!$B$1:$B$764,Insumos!$D$1:$D$764),"")</f>
        <v>1.89</v>
      </c>
      <c r="H2193" s="177" cm="1">
        <f t="array" ref="H2193">_xlfn.IFS(B2193="Serviço",SUMIFS(H2194:$H$3085,C2194:$C$3085,$C2193),B2193="Insumo",F2193*G2193,B2193="Etapa","")</f>
        <v>0.189</v>
      </c>
      <c r="I2193" s="178"/>
    </row>
    <row r="2194" spans="1:9" hidden="1" outlineLevel="2" x14ac:dyDescent="0.25">
      <c r="A2194" s="175">
        <f t="shared" si="71"/>
        <v>20</v>
      </c>
      <c r="B2194" s="175" t="s">
        <v>327</v>
      </c>
      <c r="C2194" s="175" t="str">
        <f t="shared" si="70"/>
        <v>Pintura Com Tinta Latex Acrilica com selador e massa em Paredes Internas, 3 Demaos</v>
      </c>
      <c r="D2194" s="175" t="s">
        <v>830</v>
      </c>
      <c r="E2194" s="176" t="str">
        <f>_xlfn.XLOOKUP(D2194,Insumos!$B$1:$B$764,Insumos!$C$1:$C$764)</f>
        <v>KG</v>
      </c>
      <c r="F2194" s="179">
        <v>0.86670000000000003</v>
      </c>
      <c r="G2194" s="177">
        <f>IF(B2194="insumo",_xlfn.XLOOKUP($D2194,Insumos!$B$1:$B$764,Insumos!$D$1:$D$764),"")</f>
        <v>6.47</v>
      </c>
      <c r="H2194" s="177" cm="1">
        <f t="array" ref="H2194">_xlfn.IFS(B2194="Serviço",SUMIFS(H2195:$H$3085,C2195:$C$3085,$C2194),B2194="Insumo",F2194*G2194,B2194="Etapa","")</f>
        <v>5.6075489999999997</v>
      </c>
      <c r="I2194" s="178"/>
    </row>
    <row r="2195" spans="1:9" hidden="1" outlineLevel="2" x14ac:dyDescent="0.25">
      <c r="A2195" s="175">
        <f t="shared" si="71"/>
        <v>13</v>
      </c>
      <c r="B2195" s="175" t="s">
        <v>327</v>
      </c>
      <c r="C2195" s="175" t="str">
        <f t="shared" si="70"/>
        <v>Pintura Com Tinta Latex Acrilica com selador e massa em Paredes Internas, 3 Demaos</v>
      </c>
      <c r="D2195" s="175" t="s">
        <v>831</v>
      </c>
      <c r="E2195" s="176" t="str">
        <f>_xlfn.XLOOKUP(D2195,Insumos!$B$1:$B$764,Insumos!$C$1:$C$764)</f>
        <v>L</v>
      </c>
      <c r="F2195" s="179">
        <v>0.1666</v>
      </c>
      <c r="G2195" s="177">
        <f>IF(B2195="insumo",_xlfn.XLOOKUP($D2195,Insumos!$B$1:$B$764,Insumos!$D$1:$D$764),"")</f>
        <v>16.666666666666668</v>
      </c>
      <c r="H2195" s="177" cm="1">
        <f t="array" ref="H2195">_xlfn.IFS(B2195="Serviço",SUMIFS(H2196:$H$3085,C2196:$C$3085,$C2195),B2195="Insumo",F2195*G2195,B2195="Etapa","")</f>
        <v>2.7766666666666668</v>
      </c>
      <c r="I2195" s="178"/>
    </row>
    <row r="2196" spans="1:9" hidden="1" outlineLevel="2" x14ac:dyDescent="0.25">
      <c r="A2196" s="175">
        <f t="shared" si="71"/>
        <v>14</v>
      </c>
      <c r="B2196" s="175" t="s">
        <v>327</v>
      </c>
      <c r="C2196" s="175" t="str">
        <f t="shared" si="70"/>
        <v>Pintura Com Tinta Latex Acrilica com selador e massa em Paredes Internas, 3 Demaos</v>
      </c>
      <c r="D2196" s="175" t="s">
        <v>828</v>
      </c>
      <c r="E2196" s="176" t="str">
        <f>_xlfn.XLOOKUP(D2196,Insumos!$B$1:$B$764,Insumos!$C$1:$C$764)</f>
        <v>L</v>
      </c>
      <c r="F2196" s="179">
        <v>0.495</v>
      </c>
      <c r="G2196" s="177">
        <f>IF(B2196="insumo",_xlfn.XLOOKUP($D2196,Insumos!$B$1:$B$764,Insumos!$D$1:$D$764),"")</f>
        <v>24.5</v>
      </c>
      <c r="H2196" s="177" cm="1">
        <f t="array" ref="H2196">_xlfn.IFS(B2196="Serviço",SUMIFS(H2197:$H$3085,C2197:$C$3085,$C2196),B2196="Insumo",F2196*G2196,B2196="Etapa","")</f>
        <v>12.1275</v>
      </c>
      <c r="I2196" s="178"/>
    </row>
    <row r="2197" spans="1:9" outlineLevel="1" collapsed="1" x14ac:dyDescent="0.25">
      <c r="A2197" s="175">
        <f t="shared" si="71"/>
        <v>1</v>
      </c>
      <c r="B2197" s="175" t="s">
        <v>109</v>
      </c>
      <c r="C2197" s="175" t="str">
        <f t="shared" si="70"/>
        <v>Textura acrílica aplicação em paredes internas, 1 demão (sem selador)</v>
      </c>
      <c r="D2197" s="175" t="s">
        <v>2033</v>
      </c>
      <c r="E2197" s="176" t="s">
        <v>13</v>
      </c>
      <c r="F2197" s="175"/>
      <c r="G2197" s="177" t="str">
        <f>IF(B2197="insumo",_xlfn.XLOOKUP($D2197,Insumos!$B$1:$B$764,Insumos!$D$1:$D$764),"")</f>
        <v/>
      </c>
      <c r="H2197" s="177" cm="1">
        <f t="array" ref="H2197">_xlfn.IFS(B2197="Serviço",SUMIFS(H2198:$H$3085,C2198:$C$3085,$C2197),B2197="Insumo",F2197*G2197,B2197="Etapa","")</f>
        <v>9.1349999999999998</v>
      </c>
      <c r="I2197" s="178" t="s">
        <v>195</v>
      </c>
    </row>
    <row r="2198" spans="1:9" hidden="1" outlineLevel="2" x14ac:dyDescent="0.25">
      <c r="A2198" s="175">
        <f t="shared" si="71"/>
        <v>4</v>
      </c>
      <c r="B2198" s="175" t="s">
        <v>327</v>
      </c>
      <c r="C2198" s="175" t="str">
        <f t="shared" si="70"/>
        <v>Textura acrílica aplicação em paredes internas, 1 demão (sem selador)</v>
      </c>
      <c r="D2198" s="175" t="s">
        <v>832</v>
      </c>
      <c r="E2198" s="176" t="str">
        <f>_xlfn.XLOOKUP(D2198,Insumos!$B$1:$B$764,Insumos!$C$1:$C$764)</f>
        <v>KG</v>
      </c>
      <c r="F2198" s="179">
        <v>1.5</v>
      </c>
      <c r="G2198" s="177">
        <f>IF(B2198="insumo",_xlfn.XLOOKUP($D2198,Insumos!$B$1:$B$764,Insumos!$D$1:$D$764),"")</f>
        <v>6.09</v>
      </c>
      <c r="H2198" s="177" cm="1">
        <f t="array" ref="H2198">_xlfn.IFS(B2198="Serviço",SUMIFS(H2199:$H$3085,C2199:$C$3085,$C2198),B2198="Insumo",F2198*G2198,B2198="Etapa","")</f>
        <v>9.1349999999999998</v>
      </c>
      <c r="I2198" s="178"/>
    </row>
    <row r="2199" spans="1:9" outlineLevel="1" collapsed="1" x14ac:dyDescent="0.25">
      <c r="A2199" s="175">
        <f t="shared" si="71"/>
        <v>1</v>
      </c>
      <c r="B2199" s="175" t="s">
        <v>109</v>
      </c>
      <c r="C2199" s="175" t="str">
        <f t="shared" si="70"/>
        <v>Pintura em Látex Acrilica para faixa de garagem, em parede, 2 demão</v>
      </c>
      <c r="D2199" s="175" t="s">
        <v>2381</v>
      </c>
      <c r="E2199" s="176" t="s">
        <v>13</v>
      </c>
      <c r="F2199" s="175"/>
      <c r="G2199" s="177" t="str">
        <f>IF(B2199="insumo",_xlfn.XLOOKUP($D2199,Insumos!$B$1:$B$764,Insumos!$D$1:$D$764),"")</f>
        <v/>
      </c>
      <c r="H2199" s="177" cm="1">
        <f t="array" ref="H2199">_xlfn.IFS(B2199="Serviço",SUMIFS(H2200:$H$3085,C2200:$C$3085,$C2199),B2199="Insumo",F2199*G2199,B2199="Etapa","")</f>
        <v>16.186626666666665</v>
      </c>
      <c r="I2199" s="178" t="s">
        <v>195</v>
      </c>
    </row>
    <row r="2200" spans="1:9" hidden="1" outlineLevel="2" x14ac:dyDescent="0.25">
      <c r="A2200" s="175">
        <f t="shared" si="71"/>
        <v>13</v>
      </c>
      <c r="B2200" s="175" t="s">
        <v>327</v>
      </c>
      <c r="C2200" s="175" t="str">
        <f t="shared" si="70"/>
        <v>Pintura em Látex Acrilica para faixa de garagem, em parede, 2 demão</v>
      </c>
      <c r="D2200" s="175" t="s">
        <v>819</v>
      </c>
      <c r="E2200" s="176" t="str">
        <f>_xlfn.XLOOKUP(D2200,Insumos!$B$1:$B$764,Insumos!$C$1:$C$764)</f>
        <v>UN</v>
      </c>
      <c r="F2200" s="179">
        <v>0.01</v>
      </c>
      <c r="G2200" s="177">
        <f>IF(B2200="insumo",_xlfn.XLOOKUP($D2200,Insumos!$B$1:$B$764,Insumos!$D$1:$D$764),"")</f>
        <v>11.26</v>
      </c>
      <c r="H2200" s="177" cm="1">
        <f t="array" ref="H2200">_xlfn.IFS(B2200="Serviço",SUMIFS(H2201:$H$3085,C2201:$C$3085,$C2200),B2200="Insumo",F2200*G2200,B2200="Etapa","")</f>
        <v>0.11260000000000001</v>
      </c>
      <c r="I2200" s="178"/>
    </row>
    <row r="2201" spans="1:9" hidden="1" outlineLevel="2" x14ac:dyDescent="0.25">
      <c r="A2201" s="175">
        <f t="shared" si="71"/>
        <v>6</v>
      </c>
      <c r="B2201" s="175" t="s">
        <v>327</v>
      </c>
      <c r="C2201" s="175" t="str">
        <f t="shared" si="70"/>
        <v>Pintura em Látex Acrilica para faixa de garagem, em parede, 2 demão</v>
      </c>
      <c r="D2201" s="175" t="s">
        <v>823</v>
      </c>
      <c r="E2201" s="176" t="str">
        <f>_xlfn.XLOOKUP(D2201,Insumos!$B$1:$B$764,Insumos!$C$1:$C$764)</f>
        <v>L</v>
      </c>
      <c r="F2201" s="179">
        <v>6.4000000000000001E-2</v>
      </c>
      <c r="G2201" s="177">
        <f>IF(B2201="insumo",_xlfn.XLOOKUP($D2201,Insumos!$B$1:$B$764,Insumos!$D$1:$D$764),"")</f>
        <v>21.99</v>
      </c>
      <c r="H2201" s="177" cm="1">
        <f t="array" ref="H2201">_xlfn.IFS(B2201="Serviço",SUMIFS(H2202:$H$3085,C2202:$C$3085,$C2201),B2201="Insumo",F2201*G2201,B2201="Etapa","")</f>
        <v>1.4073599999999999</v>
      </c>
      <c r="I2201" s="178"/>
    </row>
    <row r="2202" spans="1:9" hidden="1" outlineLevel="2" x14ac:dyDescent="0.25">
      <c r="A2202" s="175">
        <f t="shared" si="71"/>
        <v>2</v>
      </c>
      <c r="B2202" s="175" t="s">
        <v>327</v>
      </c>
      <c r="C2202" s="175" t="str">
        <f t="shared" si="70"/>
        <v>Pintura em Látex Acrilica para faixa de garagem, em parede, 2 demão</v>
      </c>
      <c r="D2202" s="175" t="s">
        <v>1759</v>
      </c>
      <c r="E2202" s="176" t="str">
        <f>_xlfn.XLOOKUP(D2202,Insumos!$B$1:$B$764,Insumos!$C$1:$C$764)</f>
        <v>L</v>
      </c>
      <c r="F2202" s="179">
        <f>0.33/2</f>
        <v>0.16500000000000001</v>
      </c>
      <c r="G2202" s="177">
        <f>IF(B2202="insumo",_xlfn.XLOOKUP($D2202,Insumos!$B$1:$B$764,Insumos!$D$1:$D$764),"")</f>
        <v>69.444444444444443</v>
      </c>
      <c r="H2202" s="177" cm="1">
        <f t="array" ref="H2202">_xlfn.IFS(B2202="Serviço",SUMIFS(H2203:$H$3085,C2203:$C$3085,$C2202),B2202="Insumo",F2202*G2202,B2202="Etapa","")</f>
        <v>11.458333333333334</v>
      </c>
      <c r="I2202" s="178"/>
    </row>
    <row r="2203" spans="1:9" hidden="1" outlineLevel="2" x14ac:dyDescent="0.25">
      <c r="A2203" s="175">
        <f t="shared" si="71"/>
        <v>1</v>
      </c>
      <c r="B2203" s="175" t="s">
        <v>327</v>
      </c>
      <c r="C2203" s="175" t="str">
        <f t="shared" si="70"/>
        <v>Pintura em Látex Acrilica para faixa de garagem, em parede, 2 demão</v>
      </c>
      <c r="D2203" s="175" t="s">
        <v>2382</v>
      </c>
      <c r="E2203" s="176" t="str">
        <f>_xlfn.XLOOKUP(D2203,Insumos!$B$1:$B$764,Insumos!$C$1:$C$764)</f>
        <v>L</v>
      </c>
      <c r="F2203" s="179">
        <f>0.33/2</f>
        <v>0.16500000000000001</v>
      </c>
      <c r="G2203" s="177">
        <f>IF(B2203="insumo",_xlfn.XLOOKUP($D2203,Insumos!$B$1:$B$764,Insumos!$D$1:$D$764),"")</f>
        <v>19.444444444444443</v>
      </c>
      <c r="H2203" s="177" cm="1">
        <f t="array" ref="H2203">_xlfn.IFS(B2203="Serviço",SUMIFS(H2204:$H$3085,C2204:$C$3085,$C2203),B2203="Insumo",F2203*G2203,B2203="Etapa","")</f>
        <v>3.208333333333333</v>
      </c>
      <c r="I2203" s="178"/>
    </row>
    <row r="2204" spans="1:9" outlineLevel="1" collapsed="1" x14ac:dyDescent="0.25">
      <c r="A2204" s="175">
        <f t="shared" si="71"/>
        <v>1</v>
      </c>
      <c r="B2204" s="175" t="s">
        <v>109</v>
      </c>
      <c r="C2204" s="175" t="str">
        <f t="shared" si="70"/>
        <v>Pintura em caiação, em parede, 1 demão</v>
      </c>
      <c r="D2204" s="175" t="s">
        <v>5086</v>
      </c>
      <c r="E2204" s="176" t="s">
        <v>13</v>
      </c>
      <c r="F2204" s="175"/>
      <c r="G2204" s="177" t="str">
        <f>IF(B2204="insumo",_xlfn.XLOOKUP($D2204,Insumos!$B$1:$B$764,Insumos!$D$1:$D$764),"")</f>
        <v/>
      </c>
      <c r="H2204" s="177" cm="1">
        <f t="array" ref="H2204">_xlfn.IFS(B2204="Serviço",SUMIFS(H2205:$H$3085,C2205:$C$3085,$C2204),B2204="Insumo",F2204*G2204,B2204="Etapa","")</f>
        <v>0.91500000000000004</v>
      </c>
      <c r="I2204" s="178" t="s">
        <v>195</v>
      </c>
    </row>
    <row r="2205" spans="1:9" hidden="1" outlineLevel="2" x14ac:dyDescent="0.25">
      <c r="A2205" s="175">
        <f t="shared" si="71"/>
        <v>1</v>
      </c>
      <c r="B2205" s="175" t="s">
        <v>327</v>
      </c>
      <c r="C2205" s="175" t="str">
        <f t="shared" si="70"/>
        <v>Pintura em caiação, em parede, 1 demão</v>
      </c>
      <c r="D2205" s="175" t="s">
        <v>5087</v>
      </c>
      <c r="E2205" s="176" t="str">
        <f>_xlfn.XLOOKUP(D2205,Insumos!$B$1:$B$764,Insumos!$C$1:$C$764)</f>
        <v>KG</v>
      </c>
      <c r="F2205" s="179">
        <v>0.3</v>
      </c>
      <c r="G2205" s="177">
        <f>IF(B2205="insumo",_xlfn.XLOOKUP($D2205,Insumos!$B$1:$B$764,Insumos!$D$1:$D$764),"")</f>
        <v>0.45</v>
      </c>
      <c r="H2205" s="177" cm="1">
        <f t="array" ref="H2205">_xlfn.IFS(B2205="Serviço",SUMIFS(H2206:$H$3085,C2206:$C$3085,$C2205),B2205="Insumo",F2205*G2205,B2205="Etapa","")</f>
        <v>0.13500000000000001</v>
      </c>
      <c r="I2205" s="178"/>
    </row>
    <row r="2206" spans="1:9" hidden="1" outlineLevel="2" x14ac:dyDescent="0.25">
      <c r="A2206" s="175">
        <f t="shared" si="71"/>
        <v>1</v>
      </c>
      <c r="B2206" s="175" t="s">
        <v>327</v>
      </c>
      <c r="C2206" s="175" t="str">
        <f t="shared" si="70"/>
        <v>Pintura em caiação, em parede, 1 demão</v>
      </c>
      <c r="D2206" s="175" t="s">
        <v>5088</v>
      </c>
      <c r="E2206" s="176" t="str">
        <f>_xlfn.XLOOKUP(D2206,Insumos!$B$1:$B$764,Insumos!$C$1:$C$764)</f>
        <v>KG</v>
      </c>
      <c r="F2206" s="179">
        <v>0.01</v>
      </c>
      <c r="G2206" s="177">
        <f>IF(B2206="insumo",_xlfn.XLOOKUP($D2206,Insumos!$B$1:$B$764,Insumos!$D$1:$D$764),"")</f>
        <v>18</v>
      </c>
      <c r="H2206" s="177" cm="1">
        <f t="array" ref="H2206">_xlfn.IFS(B2206="Serviço",SUMIFS(H2207:$H$3085,C2207:$C$3085,$C2206),B2206="Insumo",F2206*G2206,B2206="Etapa","")</f>
        <v>0.18</v>
      </c>
      <c r="I2206" s="178"/>
    </row>
    <row r="2207" spans="1:9" hidden="1" outlineLevel="2" x14ac:dyDescent="0.25">
      <c r="A2207" s="175">
        <f t="shared" si="71"/>
        <v>1</v>
      </c>
      <c r="B2207" s="175" t="s">
        <v>327</v>
      </c>
      <c r="C2207" s="175" t="str">
        <f t="shared" si="70"/>
        <v>Pintura em caiação, em parede, 1 demão</v>
      </c>
      <c r="D2207" s="175" t="s">
        <v>5089</v>
      </c>
      <c r="E2207" s="176" t="str">
        <f>_xlfn.XLOOKUP(D2207,Insumos!$B$1:$B$764,Insumos!$C$1:$C$764)</f>
        <v>L</v>
      </c>
      <c r="F2207" s="179">
        <v>0.05</v>
      </c>
      <c r="G2207" s="177">
        <f>IF(B2207="insumo",_xlfn.XLOOKUP($D2207,Insumos!$B$1:$B$764,Insumos!$D$1:$D$764),"")</f>
        <v>12</v>
      </c>
      <c r="H2207" s="177" cm="1">
        <f t="array" ref="H2207">_xlfn.IFS(B2207="Serviço",SUMIFS(H2208:$H$3085,C2208:$C$3085,$C2207),B2207="Insumo",F2207*G2207,B2207="Etapa","")</f>
        <v>0.60000000000000009</v>
      </c>
      <c r="I2207" s="178"/>
    </row>
    <row r="2208" spans="1:9" outlineLevel="1" collapsed="1" x14ac:dyDescent="0.25">
      <c r="A2208" s="175">
        <f t="shared" si="71"/>
        <v>1</v>
      </c>
      <c r="B2208" s="175" t="s">
        <v>109</v>
      </c>
      <c r="C2208" s="175" t="str">
        <f t="shared" si="70"/>
        <v>Massa corrida em Paredes Internas</v>
      </c>
      <c r="D2208" s="175" t="s">
        <v>5091</v>
      </c>
      <c r="E2208" s="176" t="s">
        <v>13</v>
      </c>
      <c r="F2208" s="175"/>
      <c r="G2208" s="177" t="str">
        <f>IF(B2208="insumo",_xlfn.XLOOKUP($D2208,Insumos!$B$1:$B$764,Insumos!$D$1:$D$764),"")</f>
        <v/>
      </c>
      <c r="H2208" s="177" cm="1">
        <f t="array" ref="H2208">_xlfn.IFS(B2208="Serviço",SUMIFS(H2209:$H$3085,C2209:$C$3085,$C2208),B2208="Insumo",F2208*G2208,B2208="Etapa","")</f>
        <v>5.7965489999999997</v>
      </c>
      <c r="I2208" s="178" t="s">
        <v>195</v>
      </c>
    </row>
    <row r="2209" spans="1:9" hidden="1" outlineLevel="2" x14ac:dyDescent="0.25">
      <c r="A2209" s="175">
        <f t="shared" si="71"/>
        <v>26</v>
      </c>
      <c r="B2209" s="175" t="s">
        <v>327</v>
      </c>
      <c r="C2209" s="175" t="str">
        <f t="shared" si="70"/>
        <v>Massa corrida em Paredes Internas</v>
      </c>
      <c r="D2209" s="175" t="s">
        <v>358</v>
      </c>
      <c r="E2209" s="176" t="str">
        <f>_xlfn.XLOOKUP(D2209,Insumos!$B$1:$B$764,Insumos!$C$1:$C$764)</f>
        <v>UN</v>
      </c>
      <c r="F2209" s="179">
        <v>0.1</v>
      </c>
      <c r="G2209" s="177">
        <f>IF(B2209="insumo",_xlfn.XLOOKUP($D2209,Insumos!$B$1:$B$764,Insumos!$D$1:$D$764),"")</f>
        <v>1.89</v>
      </c>
      <c r="H2209" s="177" cm="1">
        <f t="array" ref="H2209">_xlfn.IFS(B2209="Serviço",SUMIFS(H2210:$H$3085,C2210:$C$3085,$C2209),B2209="Insumo",F2209*G2209,B2209="Etapa","")</f>
        <v>0.189</v>
      </c>
      <c r="I2209" s="178"/>
    </row>
    <row r="2210" spans="1:9" hidden="1" outlineLevel="2" x14ac:dyDescent="0.25">
      <c r="A2210" s="175">
        <f t="shared" si="71"/>
        <v>20</v>
      </c>
      <c r="B2210" s="175" t="s">
        <v>327</v>
      </c>
      <c r="C2210" s="175" t="str">
        <f t="shared" si="70"/>
        <v>Massa corrida em Paredes Internas</v>
      </c>
      <c r="D2210" s="175" t="s">
        <v>830</v>
      </c>
      <c r="E2210" s="176" t="str">
        <f>_xlfn.XLOOKUP(D2210,Insumos!$B$1:$B$764,Insumos!$C$1:$C$764)</f>
        <v>KG</v>
      </c>
      <c r="F2210" s="179">
        <v>0.86670000000000003</v>
      </c>
      <c r="G2210" s="177">
        <f>IF(B2210="insumo",_xlfn.XLOOKUP($D2210,Insumos!$B$1:$B$764,Insumos!$D$1:$D$764),"")</f>
        <v>6.47</v>
      </c>
      <c r="H2210" s="177" cm="1">
        <f t="array" ref="H2210">_xlfn.IFS(B2210="Serviço",SUMIFS(H2211:$H$3085,C2211:$C$3085,$C2210),B2210="Insumo",F2210*G2210,B2210="Etapa","")</f>
        <v>5.6075489999999997</v>
      </c>
      <c r="I2210" s="178"/>
    </row>
    <row r="2211" spans="1:9" outlineLevel="1" collapsed="1" x14ac:dyDescent="0.25">
      <c r="A2211" s="175">
        <f t="shared" si="71"/>
        <v>1</v>
      </c>
      <c r="B2211" s="175" t="s">
        <v>109</v>
      </c>
      <c r="C2211" s="175" t="str">
        <f t="shared" si="70"/>
        <v>Pintura em Látex Acrilica para demarcação de vagas em parede, 2 demão</v>
      </c>
      <c r="D2211" s="175" t="s">
        <v>1240</v>
      </c>
      <c r="E2211" s="176" t="s">
        <v>13</v>
      </c>
      <c r="F2211" s="175"/>
      <c r="G2211" s="177" t="str">
        <f>IF(B2211="insumo",_xlfn.XLOOKUP($D2211,Insumos!$B$1:$B$764,Insumos!$D$1:$D$764),"")</f>
        <v/>
      </c>
      <c r="H2211" s="177" cm="1">
        <f t="array" ref="H2211">_xlfn.IFS(B2211="Serviço",SUMIFS(H2212:$H$3085,C2212:$C$3085,$C2211),B2211="Insumo",F2211*G2211,B2211="Etapa","")</f>
        <v>9.6049600000000002</v>
      </c>
      <c r="I2211" s="178" t="s">
        <v>195</v>
      </c>
    </row>
    <row r="2212" spans="1:9" hidden="1" outlineLevel="2" x14ac:dyDescent="0.25">
      <c r="A2212" s="175">
        <f t="shared" si="71"/>
        <v>13</v>
      </c>
      <c r="B2212" s="175" t="s">
        <v>327</v>
      </c>
      <c r="C2212" s="175" t="str">
        <f t="shared" si="70"/>
        <v>Pintura em Látex Acrilica para demarcação de vagas em parede, 2 demão</v>
      </c>
      <c r="D2212" s="175" t="s">
        <v>819</v>
      </c>
      <c r="E2212" s="176" t="str">
        <f>_xlfn.XLOOKUP(D2212,Insumos!$B$1:$B$764,Insumos!$C$1:$C$764)</f>
        <v>UN</v>
      </c>
      <c r="F2212" s="179">
        <v>0.01</v>
      </c>
      <c r="G2212" s="177">
        <f>IF(B2212="insumo",_xlfn.XLOOKUP($D2212,Insumos!$B$1:$B$764,Insumos!$D$1:$D$764),"")</f>
        <v>11.26</v>
      </c>
      <c r="H2212" s="177" cm="1">
        <f t="array" ref="H2212">_xlfn.IFS(B2212="Serviço",SUMIFS(H2213:$H$3085,C2213:$C$3085,$C2212),B2212="Insumo",F2212*G2212,B2212="Etapa","")</f>
        <v>0.11260000000000001</v>
      </c>
      <c r="I2212" s="178"/>
    </row>
    <row r="2213" spans="1:9" hidden="1" outlineLevel="2" x14ac:dyDescent="0.25">
      <c r="A2213" s="175">
        <f t="shared" si="71"/>
        <v>6</v>
      </c>
      <c r="B2213" s="175" t="s">
        <v>327</v>
      </c>
      <c r="C2213" s="175" t="str">
        <f t="shared" si="70"/>
        <v>Pintura em Látex Acrilica para demarcação de vagas em parede, 2 demão</v>
      </c>
      <c r="D2213" s="175" t="s">
        <v>823</v>
      </c>
      <c r="E2213" s="176" t="str">
        <f>_xlfn.XLOOKUP(D2213,Insumos!$B$1:$B$764,Insumos!$C$1:$C$764)</f>
        <v>L</v>
      </c>
      <c r="F2213" s="179">
        <v>6.4000000000000001E-2</v>
      </c>
      <c r="G2213" s="177">
        <f>IF(B2213="insumo",_xlfn.XLOOKUP($D2213,Insumos!$B$1:$B$764,Insumos!$D$1:$D$764),"")</f>
        <v>21.99</v>
      </c>
      <c r="H2213" s="177" cm="1">
        <f t="array" ref="H2213">_xlfn.IFS(B2213="Serviço",SUMIFS(H2214:$H$3085,C2214:$C$3085,$C2213),B2213="Insumo",F2213*G2213,B2213="Etapa","")</f>
        <v>1.4073599999999999</v>
      </c>
      <c r="I2213" s="178"/>
    </row>
    <row r="2214" spans="1:9" hidden="1" outlineLevel="2" x14ac:dyDescent="0.25">
      <c r="A2214" s="175">
        <f t="shared" si="71"/>
        <v>14</v>
      </c>
      <c r="B2214" s="175" t="s">
        <v>327</v>
      </c>
      <c r="C2214" s="175" t="str">
        <f t="shared" si="70"/>
        <v>Pintura em Látex Acrilica para demarcação de vagas em parede, 2 demão</v>
      </c>
      <c r="D2214" s="175" t="s">
        <v>828</v>
      </c>
      <c r="E2214" s="176" t="str">
        <f>_xlfn.XLOOKUP(D2214,Insumos!$B$1:$B$764,Insumos!$C$1:$C$764)</f>
        <v>L</v>
      </c>
      <c r="F2214" s="179">
        <v>0.33</v>
      </c>
      <c r="G2214" s="177">
        <f>IF(B2214="insumo",_xlfn.XLOOKUP($D2214,Insumos!$B$1:$B$764,Insumos!$D$1:$D$764),"")</f>
        <v>24.5</v>
      </c>
      <c r="H2214" s="177" cm="1">
        <f t="array" ref="H2214">_xlfn.IFS(B2214="Serviço",SUMIFS(H2215:$H$3085,C2215:$C$3085,$C2214),B2214="Insumo",F2214*G2214,B2214="Etapa","")</f>
        <v>8.0850000000000009</v>
      </c>
      <c r="I2214" s="178"/>
    </row>
    <row r="2215" spans="1:9" outlineLevel="1" collapsed="1" x14ac:dyDescent="0.25">
      <c r="A2215" s="175">
        <f t="shared" si="71"/>
        <v>1</v>
      </c>
      <c r="B2215" s="175" t="s">
        <v>109</v>
      </c>
      <c r="C2215" s="175" t="str">
        <f t="shared" si="70"/>
        <v>Textura Acrílica aplicação em tetos, 1 demão</v>
      </c>
      <c r="D2215" s="175" t="s">
        <v>259</v>
      </c>
      <c r="E2215" s="176" t="s">
        <v>13</v>
      </c>
      <c r="F2215" s="175"/>
      <c r="G2215" s="177" t="str">
        <f>IF(B2215="insumo",_xlfn.XLOOKUP($D2215,Insumos!$B$1:$B$764,Insumos!$D$1:$D$764),"")</f>
        <v/>
      </c>
      <c r="H2215" s="177" cm="1">
        <f t="array" ref="H2215">_xlfn.IFS(B2215="Serviço",SUMIFS(H2216:$H$3085,C2216:$C$3085,$C2215),B2215="Insumo",F2215*G2215,B2215="Etapa","")</f>
        <v>10.212902</v>
      </c>
      <c r="I2215" s="178" t="s">
        <v>195</v>
      </c>
    </row>
    <row r="2216" spans="1:9" hidden="1" outlineLevel="2" x14ac:dyDescent="0.25">
      <c r="A2216" s="175">
        <f t="shared" si="71"/>
        <v>29</v>
      </c>
      <c r="B2216" s="175" t="s">
        <v>327</v>
      </c>
      <c r="C2216" s="175" t="str">
        <f t="shared" ref="C2216:C2279" si="72">IF(B2216="serviço",D2216,C2215)</f>
        <v>Textura Acrílica aplicação em tetos, 1 demão</v>
      </c>
      <c r="D2216" s="175" t="s">
        <v>1199</v>
      </c>
      <c r="E2216" s="176" t="str">
        <f>_xlfn.XLOOKUP(D2216,Insumos!$B$1:$B$764,Insumos!$C$1:$C$764)</f>
        <v>L</v>
      </c>
      <c r="F2216" s="196">
        <v>0.1666</v>
      </c>
      <c r="G2216" s="177">
        <f>IF(B2216="insumo",_xlfn.XLOOKUP($D2216,Insumos!$B$1:$B$764,Insumos!$D$1:$D$764),"")</f>
        <v>6.47</v>
      </c>
      <c r="H2216" s="177" cm="1">
        <f t="array" ref="H2216">_xlfn.IFS(B2216="Serviço",SUMIFS(H2217:$H$3085,C2217:$C$3085,$C2216),B2216="Insumo",F2216*G2216,B2216="Etapa","")</f>
        <v>1.0779019999999999</v>
      </c>
      <c r="I2216" s="178"/>
    </row>
    <row r="2217" spans="1:9" hidden="1" outlineLevel="2" x14ac:dyDescent="0.25">
      <c r="A2217" s="175">
        <f t="shared" si="71"/>
        <v>4</v>
      </c>
      <c r="B2217" s="175" t="s">
        <v>327</v>
      </c>
      <c r="C2217" s="175" t="str">
        <f t="shared" si="72"/>
        <v>Textura Acrílica aplicação em tetos, 1 demão</v>
      </c>
      <c r="D2217" s="175" t="s">
        <v>832</v>
      </c>
      <c r="E2217" s="176" t="str">
        <f>_xlfn.XLOOKUP(D2217,Insumos!$B$1:$B$764,Insumos!$C$1:$C$764)</f>
        <v>KG</v>
      </c>
      <c r="F2217" s="179">
        <v>1.5</v>
      </c>
      <c r="G2217" s="177">
        <f>IF(B2217="insumo",_xlfn.XLOOKUP($D2217,Insumos!$B$1:$B$764,Insumos!$D$1:$D$764),"")</f>
        <v>6.09</v>
      </c>
      <c r="H2217" s="177" cm="1">
        <f t="array" ref="H2217">_xlfn.IFS(B2217="Serviço",SUMIFS(H2218:$H$3085,C2218:$C$3085,$C2217),B2217="Insumo",F2217*G2217,B2217="Etapa","")</f>
        <v>9.1349999999999998</v>
      </c>
      <c r="I2217" s="178"/>
    </row>
    <row r="2218" spans="1:9" ht="26.25" customHeight="1" outlineLevel="1" collapsed="1" x14ac:dyDescent="0.25">
      <c r="A2218" s="175">
        <f t="shared" si="71"/>
        <v>1</v>
      </c>
      <c r="B2218" s="175" t="s">
        <v>109</v>
      </c>
      <c r="C2218" s="175" t="str">
        <f t="shared" si="72"/>
        <v xml:space="preserve">Pintura com tinta látex acrílica com selador em tetos, 3 demãos </v>
      </c>
      <c r="D2218" s="175" t="s">
        <v>2383</v>
      </c>
      <c r="E2218" s="176" t="s">
        <v>13</v>
      </c>
      <c r="F2218" s="175"/>
      <c r="G2218" s="177" t="str">
        <f>IF(B2218="insumo",_xlfn.XLOOKUP($D2218,Insumos!$B$1:$B$764,Insumos!$D$1:$D$764),"")</f>
        <v/>
      </c>
      <c r="H2218" s="177" cm="1">
        <f t="array" ref="H2218">_xlfn.IFS(B2218="Serviço",SUMIFS(H2219:$H$3085,C2219:$C$3085,$C2218),B2218="Insumo",F2218*G2218,B2218="Etapa","")</f>
        <v>14.904166666666667</v>
      </c>
      <c r="I2218" s="178" t="s">
        <v>195</v>
      </c>
    </row>
    <row r="2219" spans="1:9" hidden="1" outlineLevel="2" x14ac:dyDescent="0.25">
      <c r="A2219" s="175">
        <f t="shared" si="71"/>
        <v>13</v>
      </c>
      <c r="B2219" s="175" t="s">
        <v>327</v>
      </c>
      <c r="C2219" s="175" t="str">
        <f t="shared" si="72"/>
        <v xml:space="preserve">Pintura com tinta látex acrílica com selador em tetos, 3 demãos </v>
      </c>
      <c r="D2219" s="175" t="s">
        <v>831</v>
      </c>
      <c r="E2219" s="176" t="str">
        <f>_xlfn.XLOOKUP(D2219,Insumos!$B$1:$B$764,Insumos!$C$1:$C$764)</f>
        <v>L</v>
      </c>
      <c r="F2219" s="179">
        <v>0.1666</v>
      </c>
      <c r="G2219" s="177">
        <f>IF(B2219="insumo",_xlfn.XLOOKUP($D2219,Insumos!$B$1:$B$764,Insumos!$D$1:$D$764),"")</f>
        <v>16.666666666666668</v>
      </c>
      <c r="H2219" s="177" cm="1">
        <f t="array" ref="H2219">_xlfn.IFS(B2219="Serviço",SUMIFS(H2220:$H$3085,C2220:$C$3085,$C2219),B2219="Insumo",F2219*G2219,B2219="Etapa","")</f>
        <v>2.7766666666666668</v>
      </c>
      <c r="I2219" s="178"/>
    </row>
    <row r="2220" spans="1:9" hidden="1" outlineLevel="2" x14ac:dyDescent="0.25">
      <c r="A2220" s="175">
        <f t="shared" si="71"/>
        <v>14</v>
      </c>
      <c r="B2220" s="175" t="s">
        <v>327</v>
      </c>
      <c r="C2220" s="175" t="str">
        <f t="shared" si="72"/>
        <v xml:space="preserve">Pintura com tinta látex acrílica com selador em tetos, 3 demãos </v>
      </c>
      <c r="D2220" s="175" t="s">
        <v>828</v>
      </c>
      <c r="E2220" s="176" t="str">
        <f>_xlfn.XLOOKUP(D2220,Insumos!$B$1:$B$764,Insumos!$C$1:$C$764)</f>
        <v>L</v>
      </c>
      <c r="F2220" s="179">
        <v>0.495</v>
      </c>
      <c r="G2220" s="177">
        <f>IF(B2220="insumo",_xlfn.XLOOKUP($D2220,Insumos!$B$1:$B$764,Insumos!$D$1:$D$764),"")</f>
        <v>24.5</v>
      </c>
      <c r="H2220" s="177" cm="1">
        <f t="array" ref="H2220">_xlfn.IFS(B2220="Serviço",SUMIFS(H2221:$H$3085,C2221:$C$3085,$C2220),B2220="Insumo",F2220*G2220,B2220="Etapa","")</f>
        <v>12.1275</v>
      </c>
      <c r="I2220" s="178"/>
    </row>
    <row r="2221" spans="1:9" ht="26.25" customHeight="1" outlineLevel="1" collapsed="1" x14ac:dyDescent="0.25">
      <c r="A2221" s="175">
        <f t="shared" si="71"/>
        <v>1</v>
      </c>
      <c r="B2221" s="175" t="s">
        <v>109</v>
      </c>
      <c r="C2221" s="175" t="str">
        <f t="shared" si="72"/>
        <v xml:space="preserve">Pintura com tinta látex acrílica com selador e massa em tetos, 3 demãos </v>
      </c>
      <c r="D2221" s="175" t="s">
        <v>833</v>
      </c>
      <c r="E2221" s="176" t="s">
        <v>13</v>
      </c>
      <c r="F2221" s="175"/>
      <c r="G2221" s="177" t="str">
        <f>IF(B2221="insumo",_xlfn.XLOOKUP($D2221,Insumos!$B$1:$B$764,Insumos!$D$1:$D$764),"")</f>
        <v/>
      </c>
      <c r="H2221" s="177" cm="1">
        <f t="array" ref="H2221">_xlfn.IFS(B2221="Serviço",SUMIFS(H2222:$H$3085,C2222:$C$3085,$C2221),B2221="Insumo",F2221*G2221,B2221="Etapa","")</f>
        <v>20.700715666666667</v>
      </c>
      <c r="I2221" s="178" t="s">
        <v>195</v>
      </c>
    </row>
    <row r="2222" spans="1:9" hidden="1" outlineLevel="2" x14ac:dyDescent="0.25">
      <c r="A2222" s="175">
        <f t="shared" si="71"/>
        <v>26</v>
      </c>
      <c r="B2222" s="175" t="s">
        <v>327</v>
      </c>
      <c r="C2222" s="175" t="str">
        <f t="shared" si="72"/>
        <v xml:space="preserve">Pintura com tinta látex acrílica com selador e massa em tetos, 3 demãos </v>
      </c>
      <c r="D2222" s="175" t="s">
        <v>358</v>
      </c>
      <c r="E2222" s="176" t="str">
        <f>_xlfn.XLOOKUP(D2222,Insumos!$B$1:$B$764,Insumos!$C$1:$C$764)</f>
        <v>UN</v>
      </c>
      <c r="F2222" s="179">
        <v>0.1</v>
      </c>
      <c r="G2222" s="177">
        <f>IF(B2222="insumo",_xlfn.XLOOKUP($D2222,Insumos!$B$1:$B$764,Insumos!$D$1:$D$764),"")</f>
        <v>1.89</v>
      </c>
      <c r="H2222" s="177" cm="1">
        <f t="array" ref="H2222">_xlfn.IFS(B2222="Serviço",SUMIFS(H2223:$H$3085,C2223:$C$3085,$C2222),B2222="Insumo",F2222*G2222,B2222="Etapa","")</f>
        <v>0.189</v>
      </c>
      <c r="I2222" s="178"/>
    </row>
    <row r="2223" spans="1:9" hidden="1" outlineLevel="2" x14ac:dyDescent="0.25">
      <c r="A2223" s="175">
        <f t="shared" si="71"/>
        <v>20</v>
      </c>
      <c r="B2223" s="175" t="s">
        <v>327</v>
      </c>
      <c r="C2223" s="175" t="str">
        <f t="shared" si="72"/>
        <v xml:space="preserve">Pintura com tinta látex acrílica com selador e massa em tetos, 3 demãos </v>
      </c>
      <c r="D2223" s="175" t="s">
        <v>830</v>
      </c>
      <c r="E2223" s="176" t="str">
        <f>_xlfn.XLOOKUP(D2223,Insumos!$B$1:$B$764,Insumos!$C$1:$C$764)</f>
        <v>KG</v>
      </c>
      <c r="F2223" s="179">
        <v>0.86670000000000003</v>
      </c>
      <c r="G2223" s="177">
        <f>IF(B2223="insumo",_xlfn.XLOOKUP($D2223,Insumos!$B$1:$B$764,Insumos!$D$1:$D$764),"")</f>
        <v>6.47</v>
      </c>
      <c r="H2223" s="177" cm="1">
        <f t="array" ref="H2223">_xlfn.IFS(B2223="Serviço",SUMIFS(H2224:$H$3085,C2224:$C$3085,$C2223),B2223="Insumo",F2223*G2223,B2223="Etapa","")</f>
        <v>5.6075489999999997</v>
      </c>
      <c r="I2223" s="178"/>
    </row>
    <row r="2224" spans="1:9" hidden="1" outlineLevel="2" x14ac:dyDescent="0.25">
      <c r="A2224" s="175">
        <f t="shared" si="71"/>
        <v>13</v>
      </c>
      <c r="B2224" s="175" t="s">
        <v>327</v>
      </c>
      <c r="C2224" s="175" t="str">
        <f t="shared" si="72"/>
        <v xml:space="preserve">Pintura com tinta látex acrílica com selador e massa em tetos, 3 demãos </v>
      </c>
      <c r="D2224" s="175" t="s">
        <v>831</v>
      </c>
      <c r="E2224" s="176" t="str">
        <f>_xlfn.XLOOKUP(D2224,Insumos!$B$1:$B$764,Insumos!$C$1:$C$764)</f>
        <v>L</v>
      </c>
      <c r="F2224" s="179">
        <v>0.1666</v>
      </c>
      <c r="G2224" s="177">
        <f>IF(B2224="insumo",_xlfn.XLOOKUP($D2224,Insumos!$B$1:$B$764,Insumos!$D$1:$D$764),"")</f>
        <v>16.666666666666668</v>
      </c>
      <c r="H2224" s="177" cm="1">
        <f t="array" ref="H2224">_xlfn.IFS(B2224="Serviço",SUMIFS(H2225:$H$3085,C2225:$C$3085,$C2224),B2224="Insumo",F2224*G2224,B2224="Etapa","")</f>
        <v>2.7766666666666668</v>
      </c>
      <c r="I2224" s="178"/>
    </row>
    <row r="2225" spans="1:9" hidden="1" outlineLevel="2" x14ac:dyDescent="0.25">
      <c r="A2225" s="175">
        <f t="shared" si="71"/>
        <v>14</v>
      </c>
      <c r="B2225" s="175" t="s">
        <v>327</v>
      </c>
      <c r="C2225" s="175" t="str">
        <f t="shared" si="72"/>
        <v xml:space="preserve">Pintura com tinta látex acrílica com selador e massa em tetos, 3 demãos </v>
      </c>
      <c r="D2225" s="175" t="s">
        <v>828</v>
      </c>
      <c r="E2225" s="176" t="str">
        <f>_xlfn.XLOOKUP(D2225,Insumos!$B$1:$B$764,Insumos!$C$1:$C$764)</f>
        <v>L</v>
      </c>
      <c r="F2225" s="179">
        <v>0.495</v>
      </c>
      <c r="G2225" s="177">
        <f>IF(B2225="insumo",_xlfn.XLOOKUP($D2225,Insumos!$B$1:$B$764,Insumos!$D$1:$D$764),"")</f>
        <v>24.5</v>
      </c>
      <c r="H2225" s="177" cm="1">
        <f t="array" ref="H2225">_xlfn.IFS(B2225="Serviço",SUMIFS(H2226:$H$3085,C2226:$C$3085,$C2225),B2225="Insumo",F2225*G2225,B2225="Etapa","")</f>
        <v>12.1275</v>
      </c>
      <c r="I2225" s="178"/>
    </row>
    <row r="2226" spans="1:9" outlineLevel="1" collapsed="1" x14ac:dyDescent="0.25">
      <c r="A2226" s="175">
        <f t="shared" si="71"/>
        <v>1</v>
      </c>
      <c r="B2226" s="175" t="s">
        <v>109</v>
      </c>
      <c r="C2226" s="175" t="str">
        <f t="shared" si="72"/>
        <v>Textura acrílica aplicação rolada em paredes internas, 1 demão</v>
      </c>
      <c r="D2226" s="175" t="s">
        <v>5094</v>
      </c>
      <c r="E2226" s="176" t="s">
        <v>13</v>
      </c>
      <c r="F2226" s="175"/>
      <c r="G2226" s="177" t="str">
        <f>IF(B2226="insumo",_xlfn.XLOOKUP($D2226,Insumos!$B$1:$B$764,Insumos!$D$1:$D$764),"")</f>
        <v/>
      </c>
      <c r="H2226" s="177" cm="1">
        <f t="array" ref="H2226">_xlfn.IFS(B2226="Serviço",SUMIFS(H2227:$H$3085,C2227:$C$3085,$C2226),B2226="Insumo",F2226*G2226,B2226="Etapa","")</f>
        <v>13.671902000000001</v>
      </c>
      <c r="I2226" s="178" t="s">
        <v>195</v>
      </c>
    </row>
    <row r="2227" spans="1:9" hidden="1" outlineLevel="2" x14ac:dyDescent="0.25">
      <c r="A2227" s="175">
        <f t="shared" si="71"/>
        <v>29</v>
      </c>
      <c r="B2227" s="175" t="s">
        <v>327</v>
      </c>
      <c r="C2227" s="175" t="str">
        <f t="shared" si="72"/>
        <v>Textura acrílica aplicação rolada em paredes internas, 1 demão</v>
      </c>
      <c r="D2227" s="175" t="s">
        <v>1199</v>
      </c>
      <c r="E2227" s="176" t="str">
        <f>_xlfn.XLOOKUP(D2227,Insumos!$B$1:$B$764,Insumos!$C$1:$C$764)</f>
        <v>L</v>
      </c>
      <c r="F2227" s="196">
        <v>0.1666</v>
      </c>
      <c r="G2227" s="177">
        <f>IF(B2227="insumo",_xlfn.XLOOKUP($D2227,Insumos!$B$1:$B$764,Insumos!$D$1:$D$764),"")</f>
        <v>6.47</v>
      </c>
      <c r="H2227" s="177" cm="1">
        <f t="array" ref="H2227">_xlfn.IFS(B2227="Serviço",SUMIFS(H2228:$H$3085,C2228:$C$3085,$C2227),B2227="Insumo",F2227*G2227,B2227="Etapa","")</f>
        <v>1.0779019999999999</v>
      </c>
      <c r="I2227" s="178"/>
    </row>
    <row r="2228" spans="1:9" hidden="1" outlineLevel="2" x14ac:dyDescent="0.25">
      <c r="A2228" s="175">
        <f t="shared" si="71"/>
        <v>5</v>
      </c>
      <c r="B2228" s="175" t="s">
        <v>327</v>
      </c>
      <c r="C2228" s="175" t="str">
        <f t="shared" si="72"/>
        <v>Textura acrílica aplicação rolada em paredes internas, 1 demão</v>
      </c>
      <c r="D2228" s="175" t="s">
        <v>911</v>
      </c>
      <c r="E2228" s="176" t="str">
        <f>_xlfn.XLOOKUP(D2228,Insumos!$B$1:$B$764,Insumos!$C$1:$C$764)</f>
        <v>KG</v>
      </c>
      <c r="F2228" s="196">
        <v>1.5</v>
      </c>
      <c r="G2228" s="177">
        <f>IF(B2228="insumo",_xlfn.XLOOKUP($D2228,Insumos!$B$1:$B$764,Insumos!$D$1:$D$764),"")</f>
        <v>8.3960000000000008</v>
      </c>
      <c r="H2228" s="177" cm="1">
        <f t="array" ref="H2228">_xlfn.IFS(B2228="Serviço",SUMIFS(H2229:$H$3085,C2229:$C$3085,$C2228),B2228="Insumo",F2228*G2228,B2228="Etapa","")</f>
        <v>12.594000000000001</v>
      </c>
      <c r="I2228" s="178"/>
    </row>
    <row r="2229" spans="1:9" outlineLevel="1" collapsed="1" x14ac:dyDescent="0.25">
      <c r="A2229" s="175">
        <f t="shared" si="71"/>
        <v>1</v>
      </c>
      <c r="B2229" s="175" t="s">
        <v>109</v>
      </c>
      <c r="C2229" s="175" t="str">
        <f t="shared" si="72"/>
        <v>Textura acrílica pigmentada aplicação em paredes internas, 1 demão</v>
      </c>
      <c r="D2229" s="175" t="s">
        <v>5092</v>
      </c>
      <c r="E2229" s="176" t="s">
        <v>13</v>
      </c>
      <c r="F2229" s="175"/>
      <c r="G2229" s="177" t="str">
        <f>IF(B2229="insumo",_xlfn.XLOOKUP($D2229,Insumos!$B$1:$B$764,Insumos!$D$1:$D$764),"")</f>
        <v/>
      </c>
      <c r="H2229" s="177" cm="1">
        <f t="array" ref="H2229">_xlfn.IFS(B2229="Serviço",SUMIFS(H2230:$H$3085,C2230:$C$3085,$C2229),B2229="Insumo",F2229*G2229,B2229="Etapa","")</f>
        <v>24.477902</v>
      </c>
      <c r="I2229" s="178" t="s">
        <v>195</v>
      </c>
    </row>
    <row r="2230" spans="1:9" hidden="1" outlineLevel="2" x14ac:dyDescent="0.25">
      <c r="A2230" s="175">
        <f t="shared" si="71"/>
        <v>29</v>
      </c>
      <c r="B2230" s="175" t="s">
        <v>327</v>
      </c>
      <c r="C2230" s="175" t="str">
        <f t="shared" si="72"/>
        <v>Textura acrílica pigmentada aplicação em paredes internas, 1 demão</v>
      </c>
      <c r="D2230" s="175" t="s">
        <v>1199</v>
      </c>
      <c r="E2230" s="176" t="str">
        <f>_xlfn.XLOOKUP(D2230,Insumos!$B$1:$B$764,Insumos!$C$1:$C$764)</f>
        <v>L</v>
      </c>
      <c r="F2230" s="196">
        <v>0.1666</v>
      </c>
      <c r="G2230" s="177">
        <f>IF(B2230="insumo",_xlfn.XLOOKUP($D2230,Insumos!$B$1:$B$764,Insumos!$D$1:$D$764),"")</f>
        <v>6.47</v>
      </c>
      <c r="H2230" s="177" cm="1">
        <f t="array" ref="H2230">_xlfn.IFS(B2230="Serviço",SUMIFS(H2231:$H$3085,C2231:$C$3085,$C2230),B2230="Insumo",F2230*G2230,B2230="Etapa","")</f>
        <v>1.0779019999999999</v>
      </c>
      <c r="I2230" s="178"/>
    </row>
    <row r="2231" spans="1:9" hidden="1" outlineLevel="2" x14ac:dyDescent="0.25">
      <c r="A2231" s="175">
        <f t="shared" si="71"/>
        <v>1</v>
      </c>
      <c r="B2231" s="175" t="s">
        <v>327</v>
      </c>
      <c r="C2231" s="175" t="str">
        <f t="shared" si="72"/>
        <v>Textura acrílica pigmentada aplicação em paredes internas, 1 demão</v>
      </c>
      <c r="D2231" s="175" t="s">
        <v>5093</v>
      </c>
      <c r="E2231" s="176" t="str">
        <f>_xlfn.XLOOKUP(D2231,Insumos!$B$1:$B$764,Insumos!$C$1:$C$764)</f>
        <v>KG</v>
      </c>
      <c r="F2231" s="196">
        <v>1.8</v>
      </c>
      <c r="G2231" s="177">
        <f>IF(B2231="insumo",_xlfn.XLOOKUP($D2231,Insumos!$B$1:$B$764,Insumos!$D$1:$D$764),"")</f>
        <v>13</v>
      </c>
      <c r="H2231" s="177" cm="1">
        <f t="array" ref="H2231">_xlfn.IFS(B2231="Serviço",SUMIFS(H2232:$H$3085,C2232:$C$3085,$C2231),B2231="Insumo",F2231*G2231,B2231="Etapa","")</f>
        <v>23.400000000000002</v>
      </c>
      <c r="I2231" s="178"/>
    </row>
    <row r="2232" spans="1:9" outlineLevel="1" collapsed="1" x14ac:dyDescent="0.25">
      <c r="A2232" s="175">
        <f t="shared" si="71"/>
        <v>1</v>
      </c>
      <c r="B2232" s="175" t="s">
        <v>109</v>
      </c>
      <c r="C2232" s="175" t="str">
        <f t="shared" si="72"/>
        <v>Textura acrílica aplicação em paredes internas, 1 demão</v>
      </c>
      <c r="D2232" s="175" t="s">
        <v>184</v>
      </c>
      <c r="E2232" s="176" t="s">
        <v>13</v>
      </c>
      <c r="F2232" s="175"/>
      <c r="G2232" s="177" t="str">
        <f>IF(B2232="insumo",_xlfn.XLOOKUP($D2232,Insumos!$B$1:$B$764,Insumos!$D$1:$D$764),"")</f>
        <v/>
      </c>
      <c r="H2232" s="177" cm="1">
        <f t="array" ref="H2232">_xlfn.IFS(B2232="Serviço",SUMIFS(H2233:$H$3085,C2233:$C$3085,$C2232),B2232="Insumo",F2232*G2232,B2232="Etapa","")</f>
        <v>10.212902</v>
      </c>
      <c r="I2232" s="178" t="s">
        <v>195</v>
      </c>
    </row>
    <row r="2233" spans="1:9" hidden="1" outlineLevel="2" x14ac:dyDescent="0.25">
      <c r="A2233" s="175">
        <f t="shared" si="71"/>
        <v>29</v>
      </c>
      <c r="B2233" s="175" t="s">
        <v>327</v>
      </c>
      <c r="C2233" s="175" t="str">
        <f t="shared" si="72"/>
        <v>Textura acrílica aplicação em paredes internas, 1 demão</v>
      </c>
      <c r="D2233" s="175" t="s">
        <v>1199</v>
      </c>
      <c r="E2233" s="176" t="str">
        <f>_xlfn.XLOOKUP(D2233,Insumos!$B$1:$B$764,Insumos!$C$1:$C$764)</f>
        <v>L</v>
      </c>
      <c r="F2233" s="196">
        <v>0.1666</v>
      </c>
      <c r="G2233" s="177">
        <f>IF(B2233="insumo",_xlfn.XLOOKUP($D2233,Insumos!$B$1:$B$764,Insumos!$D$1:$D$764),"")</f>
        <v>6.47</v>
      </c>
      <c r="H2233" s="177" cm="1">
        <f t="array" ref="H2233">_xlfn.IFS(B2233="Serviço",SUMIFS(H2234:$H$3085,C2234:$C$3085,$C2233),B2233="Insumo",F2233*G2233,B2233="Etapa","")</f>
        <v>1.0779019999999999</v>
      </c>
      <c r="I2233" s="178"/>
    </row>
    <row r="2234" spans="1:9" hidden="1" outlineLevel="2" x14ac:dyDescent="0.25">
      <c r="A2234" s="175">
        <f t="shared" si="71"/>
        <v>4</v>
      </c>
      <c r="B2234" s="175" t="s">
        <v>327</v>
      </c>
      <c r="C2234" s="175" t="str">
        <f t="shared" si="72"/>
        <v>Textura acrílica aplicação em paredes internas, 1 demão</v>
      </c>
      <c r="D2234" s="175" t="s">
        <v>832</v>
      </c>
      <c r="E2234" s="176" t="str">
        <f>_xlfn.XLOOKUP(D2234,Insumos!$B$1:$B$764,Insumos!$C$1:$C$764)</f>
        <v>KG</v>
      </c>
      <c r="F2234" s="179">
        <v>1.5</v>
      </c>
      <c r="G2234" s="177">
        <f>IF(B2234="insumo",_xlfn.XLOOKUP($D2234,Insumos!$B$1:$B$764,Insumos!$D$1:$D$764),"")</f>
        <v>6.09</v>
      </c>
      <c r="H2234" s="177" cm="1">
        <f t="array" ref="H2234">_xlfn.IFS(B2234="Serviço",SUMIFS(H2235:$H$3085,C2235:$C$3085,$C2234),B2234="Insumo",F2234*G2234,B2234="Etapa","")</f>
        <v>9.1349999999999998</v>
      </c>
      <c r="I2234" s="178"/>
    </row>
    <row r="2235" spans="1:9" outlineLevel="1" collapsed="1" x14ac:dyDescent="0.25">
      <c r="A2235" s="175">
        <f t="shared" si="71"/>
        <v>1</v>
      </c>
      <c r="B2235" s="175" t="s">
        <v>109</v>
      </c>
      <c r="C2235" s="175" t="str">
        <f t="shared" si="72"/>
        <v>Selador acrilico em Paredes Internas</v>
      </c>
      <c r="D2235" s="175" t="s">
        <v>1980</v>
      </c>
      <c r="E2235" s="176" t="s">
        <v>13</v>
      </c>
      <c r="F2235" s="175"/>
      <c r="G2235" s="177" t="str">
        <f>IF(B2235="insumo",_xlfn.XLOOKUP($D2235,Insumos!$B$1:$B$764,Insumos!$D$1:$D$764),"")</f>
        <v/>
      </c>
      <c r="H2235" s="177" cm="1">
        <f t="array" ref="H2235">_xlfn.IFS(B2235="Serviço",SUMIFS(H2236:$H$3085,C2236:$C$3085,$C2235),B2235="Insumo",F2235*G2235,B2235="Etapa","")</f>
        <v>1.0779019999999999</v>
      </c>
      <c r="I2235" s="178" t="s">
        <v>195</v>
      </c>
    </row>
    <row r="2236" spans="1:9" hidden="1" outlineLevel="2" x14ac:dyDescent="0.25">
      <c r="A2236" s="175">
        <f t="shared" si="71"/>
        <v>29</v>
      </c>
      <c r="B2236" s="175" t="s">
        <v>327</v>
      </c>
      <c r="C2236" s="175" t="str">
        <f t="shared" si="72"/>
        <v>Selador acrilico em Paredes Internas</v>
      </c>
      <c r="D2236" s="175" t="s">
        <v>1199</v>
      </c>
      <c r="E2236" s="176" t="str">
        <f>_xlfn.XLOOKUP(D2236,Insumos!$B$1:$B$764,Insumos!$C$1:$C$764)</f>
        <v>L</v>
      </c>
      <c r="F2236" s="196">
        <v>0.1666</v>
      </c>
      <c r="G2236" s="407">
        <f>IF(B2236="insumo",_xlfn.XLOOKUP($D2236,Insumos!$B$1:$B$764,Insumos!$D$1:$D$764),"")</f>
        <v>6.47</v>
      </c>
      <c r="H2236" s="177" cm="1">
        <f t="array" ref="H2236">_xlfn.IFS(B2236="Serviço",SUMIFS(H2237:$H$3085,C2237:$C$3085,$C2236),B2236="Insumo",F2236*G2236,B2236="Etapa","")</f>
        <v>1.0779019999999999</v>
      </c>
      <c r="I2236" s="178"/>
    </row>
    <row r="2237" spans="1:9" outlineLevel="1" collapsed="1" x14ac:dyDescent="0.25">
      <c r="A2237" s="175">
        <f t="shared" si="71"/>
        <v>1</v>
      </c>
      <c r="B2237" s="175" t="s">
        <v>109</v>
      </c>
      <c r="C2237" s="175" t="str">
        <f t="shared" si="72"/>
        <v>Pintura Com Tinta Latex Acrilica em Paredes Internas, 3 Demaos (Somente tinta e fundo) - verde claro</v>
      </c>
      <c r="D2237" s="175" t="s">
        <v>6916</v>
      </c>
      <c r="E2237" s="176" t="s">
        <v>13</v>
      </c>
      <c r="F2237" s="175"/>
      <c r="G2237" s="177" t="str">
        <f>IF(B2237="insumo",_xlfn.XLOOKUP($D2237,Insumos!$B$1:$B$764,Insumos!$D$1:$D$764),"")</f>
        <v/>
      </c>
      <c r="H2237" s="177" cm="1">
        <f t="array" ref="H2237">_xlfn.IFS(B2237="Serviço",SUMIFS(H2238:$H$3085,C2238:$C$3085,$C2237),B2237="Insumo",F2237*G2237,B2237="Etapa","")</f>
        <v>36.759667624999999</v>
      </c>
      <c r="I2237" s="178" t="s">
        <v>195</v>
      </c>
    </row>
    <row r="2238" spans="1:9" hidden="1" outlineLevel="2" x14ac:dyDescent="0.25">
      <c r="A2238" s="175">
        <f t="shared" si="71"/>
        <v>1</v>
      </c>
      <c r="B2238" s="175" t="s">
        <v>327</v>
      </c>
      <c r="C2238" s="175" t="str">
        <f t="shared" si="72"/>
        <v>Pintura Com Tinta Latex Acrilica em Paredes Internas, 3 Demaos (Somente tinta e fundo) - verde claro</v>
      </c>
      <c r="D2238" s="175" t="s">
        <v>1228</v>
      </c>
      <c r="E2238" s="176" t="str">
        <f>_xlfn.XLOOKUP(D2238,Insumos!$B$1:$B$764,Insumos!$C$1:$C$764)</f>
        <v>L</v>
      </c>
      <c r="F2238" s="196">
        <v>0.495</v>
      </c>
      <c r="G2238" s="177">
        <f>IF(B2238="insumo",_xlfn.XLOOKUP($D2238,Insumos!$B$1:$B$764,Insumos!$D$1:$D$764),"")</f>
        <v>72.084374999999994</v>
      </c>
      <c r="H2238" s="177" cm="1">
        <f t="array" ref="H2238">_xlfn.IFS(B2238="Serviço",SUMIFS(H2239:$H$3085,C2239:$C$3085,$C2238),B2238="Insumo",F2238*G2238,B2238="Etapa","")</f>
        <v>35.681765624999997</v>
      </c>
      <c r="I2238" s="178"/>
    </row>
    <row r="2239" spans="1:9" hidden="1" outlineLevel="2" x14ac:dyDescent="0.25">
      <c r="A2239" s="175">
        <f t="shared" si="71"/>
        <v>29</v>
      </c>
      <c r="B2239" s="175" t="s">
        <v>327</v>
      </c>
      <c r="C2239" s="175" t="str">
        <f t="shared" si="72"/>
        <v>Pintura Com Tinta Latex Acrilica em Paredes Internas, 3 Demaos (Somente tinta e fundo) - verde claro</v>
      </c>
      <c r="D2239" s="175" t="s">
        <v>1199</v>
      </c>
      <c r="E2239" s="176" t="str">
        <f>_xlfn.XLOOKUP(D2239,Insumos!$B$1:$B$764,Insumos!$C$1:$C$764)</f>
        <v>L</v>
      </c>
      <c r="F2239" s="196">
        <v>0.1666</v>
      </c>
      <c r="G2239" s="177">
        <f>IF(B2239="insumo",_xlfn.XLOOKUP($D2239,Insumos!$B$1:$B$764,Insumos!$D$1:$D$764),"")</f>
        <v>6.47</v>
      </c>
      <c r="H2239" s="177" cm="1">
        <f t="array" ref="H2239">_xlfn.IFS(B2239="Serviço",SUMIFS(H2240:$H$3085,C2240:$C$3085,$C2239),B2239="Insumo",F2239*G2239,B2239="Etapa","")</f>
        <v>1.0779019999999999</v>
      </c>
      <c r="I2239" s="178"/>
    </row>
    <row r="2240" spans="1:9" outlineLevel="1" collapsed="1" x14ac:dyDescent="0.25">
      <c r="A2240" s="175">
        <f t="shared" si="71"/>
        <v>1</v>
      </c>
      <c r="B2240" s="175" t="s">
        <v>109</v>
      </c>
      <c r="C2240" s="175" t="str">
        <f t="shared" si="72"/>
        <v>Pintura Com Tinta Latex Acrilica em Paredes Internas, 3 Demaos (Somente tinta e fundo) - areia</v>
      </c>
      <c r="D2240" s="175" t="s">
        <v>6901</v>
      </c>
      <c r="E2240" s="176" t="s">
        <v>13</v>
      </c>
      <c r="F2240" s="175"/>
      <c r="G2240" s="177" t="str">
        <f>IF(B2240="insumo",_xlfn.XLOOKUP($D2240,Insumos!$B$1:$B$764,Insumos!$D$1:$D$764),"")</f>
        <v/>
      </c>
      <c r="H2240" s="177" cm="1">
        <f t="array" ref="H2240">_xlfn.IFS(B2240="Serviço",SUMIFS(H2241:$H$3085,C2241:$C$3085,$C2240),B2240="Insumo",F2240*G2240,B2240="Etapa","")</f>
        <v>13.865402</v>
      </c>
      <c r="I2240" s="178" t="s">
        <v>195</v>
      </c>
    </row>
    <row r="2241" spans="1:9" hidden="1" outlineLevel="2" x14ac:dyDescent="0.25">
      <c r="A2241" s="175">
        <f t="shared" si="71"/>
        <v>1</v>
      </c>
      <c r="B2241" s="175" t="s">
        <v>327</v>
      </c>
      <c r="C2241" s="175" t="str">
        <f t="shared" si="72"/>
        <v>Pintura Com Tinta Latex Acrilica em Paredes Internas, 3 Demaos (Somente tinta e fundo) - areia</v>
      </c>
      <c r="D2241" s="175" t="s">
        <v>1229</v>
      </c>
      <c r="E2241" s="176" t="str">
        <f>_xlfn.XLOOKUP(D2241,Insumos!$B$1:$B$764,Insumos!$C$1:$C$764)</f>
        <v>L</v>
      </c>
      <c r="F2241" s="196">
        <v>0.495</v>
      </c>
      <c r="G2241" s="177">
        <f>IF(B2241="insumo",_xlfn.XLOOKUP($D2241,Insumos!$B$1:$B$764,Insumos!$D$1:$D$764),"")</f>
        <v>25.833333333333332</v>
      </c>
      <c r="H2241" s="177" cm="1">
        <f t="array" ref="H2241">_xlfn.IFS(B2241="Serviço",SUMIFS(H2242:$H$3085,C2242:$C$3085,$C2241),B2241="Insumo",F2241*G2241,B2241="Etapa","")</f>
        <v>12.7875</v>
      </c>
      <c r="I2241" s="178"/>
    </row>
    <row r="2242" spans="1:9" hidden="1" outlineLevel="2" x14ac:dyDescent="0.25">
      <c r="A2242" s="175">
        <f t="shared" ref="A2242:A2305" si="73">COUNTIFS($D$2:$D$3085,D2242,$B$2:$B$3085,B2242)</f>
        <v>29</v>
      </c>
      <c r="B2242" s="175" t="s">
        <v>327</v>
      </c>
      <c r="C2242" s="175" t="str">
        <f t="shared" si="72"/>
        <v>Pintura Com Tinta Latex Acrilica em Paredes Internas, 3 Demaos (Somente tinta e fundo) - areia</v>
      </c>
      <c r="D2242" s="175" t="s">
        <v>1199</v>
      </c>
      <c r="E2242" s="176" t="str">
        <f>_xlfn.XLOOKUP(D2242,Insumos!$B$1:$B$764,Insumos!$C$1:$C$764)</f>
        <v>L</v>
      </c>
      <c r="F2242" s="196">
        <v>0.1666</v>
      </c>
      <c r="G2242" s="177">
        <f>IF(B2242="insumo",_xlfn.XLOOKUP($D2242,Insumos!$B$1:$B$764,Insumos!$D$1:$D$764),"")</f>
        <v>6.47</v>
      </c>
      <c r="H2242" s="177" cm="1">
        <f t="array" ref="H2242">_xlfn.IFS(B2242="Serviço",SUMIFS(H2243:$H$3085,C2243:$C$3085,$C2242),B2242="Insumo",F2242*G2242,B2242="Etapa","")</f>
        <v>1.0779019999999999</v>
      </c>
      <c r="I2242" s="178"/>
    </row>
    <row r="2243" spans="1:9" outlineLevel="1" collapsed="1" x14ac:dyDescent="0.25">
      <c r="A2243" s="175">
        <f t="shared" si="73"/>
        <v>1</v>
      </c>
      <c r="B2243" s="175" t="s">
        <v>109</v>
      </c>
      <c r="C2243" s="175" t="str">
        <f t="shared" si="72"/>
        <v>Pintura Com Tinta Latex Acrilica em Paredes Internas, 3 Demaos (Somente tinta e fundo) - marrom</v>
      </c>
      <c r="D2243" s="175" t="s">
        <v>6887</v>
      </c>
      <c r="E2243" s="176" t="s">
        <v>13</v>
      </c>
      <c r="F2243" s="175"/>
      <c r="G2243" s="177" t="str">
        <f>IF(B2243="insumo",_xlfn.XLOOKUP($D2243,Insumos!$B$1:$B$764,Insumos!$D$1:$D$764),"")</f>
        <v/>
      </c>
      <c r="H2243" s="177" cm="1">
        <f t="array" ref="H2243">_xlfn.IFS(B2243="Serviço",SUMIFS(H2244:$H$3085,C2244:$C$3085,$C2243),B2243="Insumo",F2243*G2243,B2243="Etapa","")</f>
        <v>44.767839499999994</v>
      </c>
      <c r="I2243" s="178" t="s">
        <v>195</v>
      </c>
    </row>
    <row r="2244" spans="1:9" hidden="1" outlineLevel="2" x14ac:dyDescent="0.25">
      <c r="A2244" s="175">
        <f t="shared" si="73"/>
        <v>1</v>
      </c>
      <c r="B2244" s="175" t="s">
        <v>327</v>
      </c>
      <c r="C2244" s="175" t="str">
        <f t="shared" si="72"/>
        <v>Pintura Com Tinta Latex Acrilica em Paredes Internas, 3 Demaos (Somente tinta e fundo) - marrom</v>
      </c>
      <c r="D2244" s="175" t="s">
        <v>1230</v>
      </c>
      <c r="E2244" s="176" t="str">
        <f>_xlfn.XLOOKUP(D2244,Insumos!$B$1:$B$764,Insumos!$C$1:$C$764)</f>
        <v>L</v>
      </c>
      <c r="F2244" s="196">
        <v>0.495</v>
      </c>
      <c r="G2244" s="177">
        <f>IF(B2244="insumo",_xlfn.XLOOKUP($D2244,Insumos!$B$1:$B$764,Insumos!$D$1:$D$764),"")</f>
        <v>88.262499999999989</v>
      </c>
      <c r="H2244" s="177" cm="1">
        <f t="array" ref="H2244">_xlfn.IFS(B2244="Serviço",SUMIFS(H2245:$H$3085,C2245:$C$3085,$C2244),B2244="Insumo",F2244*G2244,B2244="Etapa","")</f>
        <v>43.689937499999992</v>
      </c>
      <c r="I2244" s="178"/>
    </row>
    <row r="2245" spans="1:9" hidden="1" outlineLevel="2" x14ac:dyDescent="0.25">
      <c r="A2245" s="175">
        <f t="shared" si="73"/>
        <v>29</v>
      </c>
      <c r="B2245" s="175" t="s">
        <v>327</v>
      </c>
      <c r="C2245" s="175" t="str">
        <f t="shared" si="72"/>
        <v>Pintura Com Tinta Latex Acrilica em Paredes Internas, 3 Demaos (Somente tinta e fundo) - marrom</v>
      </c>
      <c r="D2245" s="175" t="s">
        <v>1199</v>
      </c>
      <c r="E2245" s="176" t="str">
        <f>_xlfn.XLOOKUP(D2245,Insumos!$B$1:$B$764,Insumos!$C$1:$C$764)</f>
        <v>L</v>
      </c>
      <c r="F2245" s="196">
        <v>0.1666</v>
      </c>
      <c r="G2245" s="177">
        <f>IF(B2245="insumo",_xlfn.XLOOKUP($D2245,Insumos!$B$1:$B$764,Insumos!$D$1:$D$764),"")</f>
        <v>6.47</v>
      </c>
      <c r="H2245" s="177" cm="1">
        <f t="array" ref="H2245">_xlfn.IFS(B2245="Serviço",SUMIFS(H2246:$H$3085,C2246:$C$3085,$C2245),B2245="Insumo",F2245*G2245,B2245="Etapa","")</f>
        <v>1.0779019999999999</v>
      </c>
      <c r="I2245" s="178"/>
    </row>
    <row r="2246" spans="1:9" outlineLevel="1" collapsed="1" x14ac:dyDescent="0.25">
      <c r="A2246" s="175">
        <f t="shared" si="73"/>
        <v>1</v>
      </c>
      <c r="B2246" s="175" t="s">
        <v>109</v>
      </c>
      <c r="C2246" s="175" t="str">
        <f t="shared" si="72"/>
        <v>Pintura Com Tinta Latex Acrilica em Paredes Internas, 3 Demaos (Somente tinta e fundo) - concreto queimado</v>
      </c>
      <c r="D2246" s="175" t="s">
        <v>6878</v>
      </c>
      <c r="E2246" s="176" t="s">
        <v>13</v>
      </c>
      <c r="F2246" s="175"/>
      <c r="G2246" s="177" t="str">
        <f>IF(B2246="insumo",_xlfn.XLOOKUP($D2246,Insumos!$B$1:$B$764,Insumos!$D$1:$D$764),"")</f>
        <v/>
      </c>
      <c r="H2246" s="177" cm="1">
        <f t="array" ref="H2246">_xlfn.IFS(B2246="Serviço",SUMIFS(H2247:$H$3085,C2247:$C$3085,$C2246),B2246="Insumo",F2246*G2246,B2246="Etapa","")</f>
        <v>20.025402</v>
      </c>
      <c r="I2246" s="178" t="s">
        <v>195</v>
      </c>
    </row>
    <row r="2247" spans="1:9" hidden="1" outlineLevel="2" x14ac:dyDescent="0.25">
      <c r="A2247" s="175">
        <f t="shared" si="73"/>
        <v>2</v>
      </c>
      <c r="B2247" s="175" t="s">
        <v>327</v>
      </c>
      <c r="C2247" s="175" t="str">
        <f t="shared" si="72"/>
        <v>Pintura Com Tinta Latex Acrilica em Paredes Internas, 3 Demaos (Somente tinta e fundo) - concreto queimado</v>
      </c>
      <c r="D2247" s="175" t="s">
        <v>1233</v>
      </c>
      <c r="E2247" s="176" t="str">
        <f>_xlfn.XLOOKUP(D2247,Insumos!$B$1:$B$764,Insumos!$C$1:$C$764)</f>
        <v>L</v>
      </c>
      <c r="F2247" s="196">
        <v>0.495</v>
      </c>
      <c r="G2247" s="177">
        <f>IF(B2247="insumo",_xlfn.XLOOKUP($D2247,Insumos!$B$1:$B$764,Insumos!$D$1:$D$764),"")</f>
        <v>38.277777777777779</v>
      </c>
      <c r="H2247" s="177" cm="1">
        <f t="array" ref="H2247">_xlfn.IFS(B2247="Serviço",SUMIFS(H2248:$H$3085,C2248:$C$3085,$C2247),B2247="Insumo",F2247*G2247,B2247="Etapa","")</f>
        <v>18.947500000000002</v>
      </c>
      <c r="I2247" s="178"/>
    </row>
    <row r="2248" spans="1:9" hidden="1" outlineLevel="2" x14ac:dyDescent="0.25">
      <c r="A2248" s="175">
        <f t="shared" si="73"/>
        <v>29</v>
      </c>
      <c r="B2248" s="175" t="s">
        <v>327</v>
      </c>
      <c r="C2248" s="175" t="str">
        <f t="shared" si="72"/>
        <v>Pintura Com Tinta Latex Acrilica em Paredes Internas, 3 Demaos (Somente tinta e fundo) - concreto queimado</v>
      </c>
      <c r="D2248" s="175" t="s">
        <v>1199</v>
      </c>
      <c r="E2248" s="176" t="str">
        <f>_xlfn.XLOOKUP(D2248,Insumos!$B$1:$B$764,Insumos!$C$1:$C$764)</f>
        <v>L</v>
      </c>
      <c r="F2248" s="196">
        <v>0.1666</v>
      </c>
      <c r="G2248" s="177">
        <f>IF(B2248="insumo",_xlfn.XLOOKUP($D2248,Insumos!$B$1:$B$764,Insumos!$D$1:$D$764),"")</f>
        <v>6.47</v>
      </c>
      <c r="H2248" s="177" cm="1">
        <f t="array" ref="H2248">_xlfn.IFS(B2248="Serviço",SUMIFS(H2249:$H$3085,C2249:$C$3085,$C2248),B2248="Insumo",F2248*G2248,B2248="Etapa","")</f>
        <v>1.0779019999999999</v>
      </c>
      <c r="I2248" s="178"/>
    </row>
    <row r="2249" spans="1:9" outlineLevel="1" collapsed="1" x14ac:dyDescent="0.25">
      <c r="A2249" s="175">
        <f t="shared" si="73"/>
        <v>1</v>
      </c>
      <c r="B2249" s="175" t="s">
        <v>109</v>
      </c>
      <c r="C2249" s="175" t="str">
        <f t="shared" si="72"/>
        <v>Pintura Com Tinta Latex Acrilica em Paredes Internas, 3 Demaos (Somente tinta e fundo) - Laranja</v>
      </c>
      <c r="D2249" s="175" t="s">
        <v>6871</v>
      </c>
      <c r="E2249" s="176" t="s">
        <v>13</v>
      </c>
      <c r="F2249" s="175"/>
      <c r="G2249" s="177" t="str">
        <f>IF(B2249="insumo",_xlfn.XLOOKUP($D2249,Insumos!$B$1:$B$764,Insumos!$D$1:$D$764),"")</f>
        <v/>
      </c>
      <c r="H2249" s="177" cm="1">
        <f t="array" ref="H2249">_xlfn.IFS(B2249="Serviço",SUMIFS(H2250:$H$3085,C2250:$C$3085,$C2249),B2249="Insumo",F2249*G2249,B2249="Etapa","")</f>
        <v>30.232783249999997</v>
      </c>
      <c r="I2249" s="178" t="s">
        <v>195</v>
      </c>
    </row>
    <row r="2250" spans="1:9" hidden="1" outlineLevel="2" x14ac:dyDescent="0.25">
      <c r="A2250" s="175">
        <f t="shared" si="73"/>
        <v>1</v>
      </c>
      <c r="B2250" s="175" t="s">
        <v>327</v>
      </c>
      <c r="C2250" s="175" t="str">
        <f t="shared" si="72"/>
        <v>Pintura Com Tinta Latex Acrilica em Paredes Internas, 3 Demaos (Somente tinta e fundo) - Laranja</v>
      </c>
      <c r="D2250" s="175" t="s">
        <v>1226</v>
      </c>
      <c r="E2250" s="176" t="str">
        <f>_xlfn.XLOOKUP(D2250,Insumos!$B$1:$B$764,Insumos!$C$1:$C$764)</f>
        <v>L</v>
      </c>
      <c r="F2250" s="196">
        <v>0.495</v>
      </c>
      <c r="G2250" s="177">
        <f>IF(B2250="insumo",_xlfn.XLOOKUP($D2250,Insumos!$B$1:$B$764,Insumos!$D$1:$D$764),"")</f>
        <v>58.89875</v>
      </c>
      <c r="H2250" s="177" cm="1">
        <f t="array" ref="H2250">_xlfn.IFS(B2250="Serviço",SUMIFS(H2251:$H$3085,C2251:$C$3085,$C2250),B2250="Insumo",F2250*G2250,B2250="Etapa","")</f>
        <v>29.154881249999999</v>
      </c>
      <c r="I2250" s="178"/>
    </row>
    <row r="2251" spans="1:9" hidden="1" outlineLevel="2" x14ac:dyDescent="0.25">
      <c r="A2251" s="175">
        <f t="shared" si="73"/>
        <v>29</v>
      </c>
      <c r="B2251" s="175" t="s">
        <v>327</v>
      </c>
      <c r="C2251" s="175" t="str">
        <f t="shared" si="72"/>
        <v>Pintura Com Tinta Latex Acrilica em Paredes Internas, 3 Demaos (Somente tinta e fundo) - Laranja</v>
      </c>
      <c r="D2251" s="175" t="s">
        <v>1199</v>
      </c>
      <c r="E2251" s="176" t="str">
        <f>_xlfn.XLOOKUP(D2251,Insumos!$B$1:$B$764,Insumos!$C$1:$C$764)</f>
        <v>L</v>
      </c>
      <c r="F2251" s="196">
        <v>0.1666</v>
      </c>
      <c r="G2251" s="177">
        <f>IF(B2251="insumo",_xlfn.XLOOKUP($D2251,Insumos!$B$1:$B$764,Insumos!$D$1:$D$764),"")</f>
        <v>6.47</v>
      </c>
      <c r="H2251" s="177" cm="1">
        <f t="array" ref="H2251">_xlfn.IFS(B2251="Serviço",SUMIFS(H2252:$H$3085,C2252:$C$3085,$C2251),B2251="Insumo",F2251*G2251,B2251="Etapa","")</f>
        <v>1.0779019999999999</v>
      </c>
      <c r="I2251" s="178"/>
    </row>
    <row r="2252" spans="1:9" outlineLevel="1" collapsed="1" x14ac:dyDescent="0.25">
      <c r="A2252" s="175">
        <f t="shared" si="73"/>
        <v>1</v>
      </c>
      <c r="B2252" s="175" t="s">
        <v>109</v>
      </c>
      <c r="C2252" s="175" t="str">
        <f t="shared" si="72"/>
        <v>Pintura Com Tinta Latex Acrilica em Paredes Internas, 3 Demaos (Somente tinta e fundo) - Azul</v>
      </c>
      <c r="D2252" s="175" t="s">
        <v>6860</v>
      </c>
      <c r="E2252" s="176" t="s">
        <v>13</v>
      </c>
      <c r="F2252" s="175"/>
      <c r="G2252" s="177" t="str">
        <f>IF(B2252="insumo",_xlfn.XLOOKUP($D2252,Insumos!$B$1:$B$764,Insumos!$D$1:$D$764),"")</f>
        <v/>
      </c>
      <c r="H2252" s="177" cm="1">
        <f t="array" ref="H2252">_xlfn.IFS(B2252="Serviço",SUMIFS(H2253:$H$3085,C2253:$C$3085,$C2252),B2252="Insumo",F2252*G2252,B2252="Etapa","")</f>
        <v>18.093527000000002</v>
      </c>
      <c r="I2252" s="178" t="s">
        <v>195</v>
      </c>
    </row>
    <row r="2253" spans="1:9" hidden="1" outlineLevel="2" x14ac:dyDescent="0.25">
      <c r="A2253" s="175">
        <f t="shared" si="73"/>
        <v>1</v>
      </c>
      <c r="B2253" s="175" t="s">
        <v>327</v>
      </c>
      <c r="C2253" s="175" t="str">
        <f t="shared" si="72"/>
        <v>Pintura Com Tinta Latex Acrilica em Paredes Internas, 3 Demaos (Somente tinta e fundo) - Azul</v>
      </c>
      <c r="D2253" s="175" t="s">
        <v>6861</v>
      </c>
      <c r="E2253" s="176" t="str">
        <f>_xlfn.XLOOKUP(D2253,Insumos!$B$1:$B$764,Insumos!$C$1:$C$764)</f>
        <v>L</v>
      </c>
      <c r="F2253" s="196">
        <v>0.495</v>
      </c>
      <c r="G2253" s="177">
        <f>IF(B2253="insumo",_xlfn.XLOOKUP($D2253,Insumos!$B$1:$B$764,Insumos!$D$1:$D$764),"")</f>
        <v>34.375</v>
      </c>
      <c r="H2253" s="177" cm="1">
        <f t="array" ref="H2253">_xlfn.IFS(B2253="Serviço",SUMIFS(H2254:$H$3085,C2254:$C$3085,$C2253),B2253="Insumo",F2253*G2253,B2253="Etapa","")</f>
        <v>17.015625</v>
      </c>
      <c r="I2253" s="178"/>
    </row>
    <row r="2254" spans="1:9" hidden="1" outlineLevel="2" x14ac:dyDescent="0.25">
      <c r="A2254" s="175">
        <f t="shared" si="73"/>
        <v>29</v>
      </c>
      <c r="B2254" s="175" t="s">
        <v>327</v>
      </c>
      <c r="C2254" s="175" t="str">
        <f t="shared" si="72"/>
        <v>Pintura Com Tinta Latex Acrilica em Paredes Internas, 3 Demaos (Somente tinta e fundo) - Azul</v>
      </c>
      <c r="D2254" s="175" t="s">
        <v>1199</v>
      </c>
      <c r="E2254" s="176" t="str">
        <f>_xlfn.XLOOKUP(D2254,Insumos!$B$1:$B$764,Insumos!$C$1:$C$764)</f>
        <v>L</v>
      </c>
      <c r="F2254" s="196">
        <v>0.1666</v>
      </c>
      <c r="G2254" s="177">
        <f>IF(B2254="insumo",_xlfn.XLOOKUP($D2254,Insumos!$B$1:$B$764,Insumos!$D$1:$D$764),"")</f>
        <v>6.47</v>
      </c>
      <c r="H2254" s="177" cm="1">
        <f t="array" ref="H2254">_xlfn.IFS(B2254="Serviço",SUMIFS(H2255:$H$3085,C2255:$C$3085,$C2254),B2254="Insumo",F2254*G2254,B2254="Etapa","")</f>
        <v>1.0779019999999999</v>
      </c>
      <c r="I2254" s="178"/>
    </row>
    <row r="2255" spans="1:9" outlineLevel="1" collapsed="1" x14ac:dyDescent="0.25">
      <c r="A2255" s="175">
        <f t="shared" si="73"/>
        <v>1</v>
      </c>
      <c r="B2255" s="175" t="s">
        <v>109</v>
      </c>
      <c r="C2255" s="175" t="str">
        <f t="shared" si="72"/>
        <v>Pintura Com Tinta Latex Acrilica em Paredes Internas, 3 Demaos (Somente tinta e fundo)</v>
      </c>
      <c r="D2255" s="175" t="s">
        <v>1241</v>
      </c>
      <c r="E2255" s="176" t="s">
        <v>13</v>
      </c>
      <c r="F2255" s="175"/>
      <c r="G2255" s="177" t="str">
        <f>IF(B2255="insumo",_xlfn.XLOOKUP($D2255,Insumos!$B$1:$B$764,Insumos!$D$1:$D$764),"")</f>
        <v/>
      </c>
      <c r="H2255" s="177" cm="1">
        <f t="array" ref="H2255">_xlfn.IFS(B2255="Serviço",SUMIFS(H2256:$H$3085,C2256:$C$3085,$C2255),B2255="Insumo",F2255*G2255,B2255="Etapa","")</f>
        <v>13.205401999999999</v>
      </c>
      <c r="I2255" s="178" t="s">
        <v>195</v>
      </c>
    </row>
    <row r="2256" spans="1:9" hidden="1" outlineLevel="2" x14ac:dyDescent="0.25">
      <c r="A2256" s="175">
        <f t="shared" si="73"/>
        <v>14</v>
      </c>
      <c r="B2256" s="175" t="s">
        <v>327</v>
      </c>
      <c r="C2256" s="175" t="str">
        <f t="shared" si="72"/>
        <v>Pintura Com Tinta Latex Acrilica em Paredes Internas, 3 Demaos (Somente tinta e fundo)</v>
      </c>
      <c r="D2256" s="175" t="s">
        <v>828</v>
      </c>
      <c r="E2256" s="176" t="str">
        <f>_xlfn.XLOOKUP(D2256,Insumos!$B$1:$B$764,Insumos!$C$1:$C$764)</f>
        <v>L</v>
      </c>
      <c r="F2256" s="196">
        <v>0.495</v>
      </c>
      <c r="G2256" s="177">
        <f>IF(B2256="insumo",_xlfn.XLOOKUP($D2256,Insumos!$B$1:$B$764,Insumos!$D$1:$D$764),"")</f>
        <v>24.5</v>
      </c>
      <c r="H2256" s="177" cm="1">
        <f t="array" ref="H2256">_xlfn.IFS(B2256="Serviço",SUMIFS(H2257:$H$3085,C2257:$C$3085,$C2256),B2256="Insumo",F2256*G2256,B2256="Etapa","")</f>
        <v>12.1275</v>
      </c>
      <c r="I2256" s="178"/>
    </row>
    <row r="2257" spans="1:9" hidden="1" outlineLevel="2" x14ac:dyDescent="0.25">
      <c r="A2257" s="175">
        <f t="shared" si="73"/>
        <v>29</v>
      </c>
      <c r="B2257" s="175" t="s">
        <v>327</v>
      </c>
      <c r="C2257" s="175" t="str">
        <f t="shared" si="72"/>
        <v>Pintura Com Tinta Latex Acrilica em Paredes Internas, 3 Demaos (Somente tinta e fundo)</v>
      </c>
      <c r="D2257" s="175" t="s">
        <v>1199</v>
      </c>
      <c r="E2257" s="176" t="str">
        <f>_xlfn.XLOOKUP(D2257,Insumos!$B$1:$B$764,Insumos!$C$1:$C$764)</f>
        <v>L</v>
      </c>
      <c r="F2257" s="196">
        <v>0.1666</v>
      </c>
      <c r="G2257" s="177">
        <f>IF(B2257="insumo",_xlfn.XLOOKUP($D2257,Insumos!$B$1:$B$764,Insumos!$D$1:$D$764),"")</f>
        <v>6.47</v>
      </c>
      <c r="H2257" s="177" cm="1">
        <f t="array" ref="H2257">_xlfn.IFS(B2257="Serviço",SUMIFS(H2258:$H$3085,C2258:$C$3085,$C2257),B2257="Insumo",F2257*G2257,B2257="Etapa","")</f>
        <v>1.0779019999999999</v>
      </c>
      <c r="I2257" s="178"/>
    </row>
    <row r="2258" spans="1:9" outlineLevel="1" collapsed="1" x14ac:dyDescent="0.25">
      <c r="A2258" s="175">
        <f t="shared" si="73"/>
        <v>1</v>
      </c>
      <c r="B2258" s="175" t="s">
        <v>109</v>
      </c>
      <c r="C2258" s="175" t="str">
        <f t="shared" si="72"/>
        <v>Pintura Com Tinta Latex Acrilica em Paredes Internas, 3 Demaos (Somente tinta)</v>
      </c>
      <c r="D2258" s="175" t="s">
        <v>1755</v>
      </c>
      <c r="E2258" s="176" t="s">
        <v>13</v>
      </c>
      <c r="F2258" s="175"/>
      <c r="G2258" s="177" t="str">
        <f>IF(B2258="insumo",_xlfn.XLOOKUP($D2258,Insumos!$B$1:$B$764,Insumos!$D$1:$D$764),"")</f>
        <v/>
      </c>
      <c r="H2258" s="177" cm="1">
        <f t="array" ref="H2258">_xlfn.IFS(B2258="Serviço",SUMIFS(H2259:$H$3085,C2259:$C$3085,$C2258),B2258="Insumo",F2258*G2258,B2258="Etapa","")</f>
        <v>12.1275</v>
      </c>
      <c r="I2258" s="178" t="s">
        <v>195</v>
      </c>
    </row>
    <row r="2259" spans="1:9" hidden="1" outlineLevel="2" x14ac:dyDescent="0.25">
      <c r="A2259" s="175">
        <f t="shared" si="73"/>
        <v>14</v>
      </c>
      <c r="B2259" s="175" t="s">
        <v>327</v>
      </c>
      <c r="C2259" s="175" t="str">
        <f t="shared" si="72"/>
        <v>Pintura Com Tinta Latex Acrilica em Paredes Internas, 3 Demaos (Somente tinta)</v>
      </c>
      <c r="D2259" s="175" t="s">
        <v>828</v>
      </c>
      <c r="E2259" s="176" t="str">
        <f>_xlfn.XLOOKUP(D2259,Insumos!$B$1:$B$764,Insumos!$C$1:$C$764)</f>
        <v>L</v>
      </c>
      <c r="F2259" s="196">
        <v>0.495</v>
      </c>
      <c r="G2259" s="177">
        <f>IF(B2259="insumo",_xlfn.XLOOKUP($D2259,Insumos!$B$1:$B$764,Insumos!$D$1:$D$764),"")</f>
        <v>24.5</v>
      </c>
      <c r="H2259" s="177" cm="1">
        <f t="array" ref="H2259">_xlfn.IFS(B2259="Serviço",SUMIFS(H2260:$H$3085,C2260:$C$3085,$C2259),B2259="Insumo",F2259*G2259,B2259="Etapa","")</f>
        <v>12.1275</v>
      </c>
      <c r="I2259" s="178"/>
    </row>
    <row r="2260" spans="1:9" outlineLevel="1" x14ac:dyDescent="0.25">
      <c r="A2260" s="175">
        <f t="shared" si="73"/>
        <v>1</v>
      </c>
      <c r="B2260" s="175" t="s">
        <v>109</v>
      </c>
      <c r="C2260" s="175" t="str">
        <f t="shared" si="72"/>
        <v>Pintura Com Tinta Latex Acrilica em Paredes Internas, 3 Demaos (Incluso fundo e massa)</v>
      </c>
      <c r="D2260" s="175" t="s">
        <v>1242</v>
      </c>
      <c r="E2260" s="176" t="s">
        <v>13</v>
      </c>
      <c r="F2260" s="175"/>
      <c r="G2260" s="177" t="str">
        <f>IF(B2260="insumo",_xlfn.XLOOKUP($D2260,Insumos!$B$1:$B$764,Insumos!$D$1:$D$764),"")</f>
        <v/>
      </c>
      <c r="H2260" s="177" cm="1">
        <f t="array" ref="H2260">_xlfn.IFS(B2260="Serviço",SUMIFS(H2261:$H$3085,C2261:$C$3085,$C2260),B2260="Insumo",F2260*G2260,B2260="Etapa","")</f>
        <v>19.001950999999998</v>
      </c>
      <c r="I2260" s="178" t="s">
        <v>195</v>
      </c>
    </row>
    <row r="2261" spans="1:9" outlineLevel="2" x14ac:dyDescent="0.25">
      <c r="A2261" s="175">
        <f t="shared" si="73"/>
        <v>26</v>
      </c>
      <c r="B2261" s="175" t="s">
        <v>327</v>
      </c>
      <c r="C2261" s="175" t="str">
        <f t="shared" si="72"/>
        <v>Pintura Com Tinta Latex Acrilica em Paredes Internas, 3 Demaos (Incluso fundo e massa)</v>
      </c>
      <c r="D2261" s="175" t="s">
        <v>358</v>
      </c>
      <c r="E2261" s="176" t="str">
        <f>_xlfn.XLOOKUP(D2261,Insumos!$B$1:$B$764,Insumos!$C$1:$C$764)</f>
        <v>UN</v>
      </c>
      <c r="F2261" s="179">
        <v>0.1</v>
      </c>
      <c r="G2261" s="177">
        <f>IF(B2261="insumo",_xlfn.XLOOKUP($D2261,Insumos!$B$1:$B$764,Insumos!$D$1:$D$764),"")</f>
        <v>1.89</v>
      </c>
      <c r="H2261" s="177" cm="1">
        <f t="array" ref="H2261">_xlfn.IFS(B2261="Serviço",SUMIFS(H2262:$H$3085,C2262:$C$3085,$C2261),B2261="Insumo",F2261*G2261,B2261="Etapa","")</f>
        <v>0.189</v>
      </c>
      <c r="I2261" s="178"/>
    </row>
    <row r="2262" spans="1:9" outlineLevel="2" x14ac:dyDescent="0.25">
      <c r="A2262" s="175">
        <f t="shared" si="73"/>
        <v>20</v>
      </c>
      <c r="B2262" s="175" t="s">
        <v>327</v>
      </c>
      <c r="C2262" s="175" t="str">
        <f t="shared" si="72"/>
        <v>Pintura Com Tinta Latex Acrilica em Paredes Internas, 3 Demaos (Incluso fundo e massa)</v>
      </c>
      <c r="D2262" s="175" t="s">
        <v>830</v>
      </c>
      <c r="E2262" s="176" t="str">
        <f>_xlfn.XLOOKUP(D2262,Insumos!$B$1:$B$764,Insumos!$C$1:$C$764)</f>
        <v>KG</v>
      </c>
      <c r="F2262" s="179">
        <v>0.86670000000000003</v>
      </c>
      <c r="G2262" s="177">
        <f>IF(B2262="insumo",_xlfn.XLOOKUP($D2262,Insumos!$B$1:$B$764,Insumos!$D$1:$D$764),"")</f>
        <v>6.47</v>
      </c>
      <c r="H2262" s="177" cm="1">
        <f t="array" ref="H2262">_xlfn.IFS(B2262="Serviço",SUMIFS(H2263:$H$3085,C2263:$C$3085,$C2262),B2262="Insumo",F2262*G2262,B2262="Etapa","")</f>
        <v>5.6075489999999997</v>
      </c>
      <c r="I2262" s="178"/>
    </row>
    <row r="2263" spans="1:9" outlineLevel="2" x14ac:dyDescent="0.25">
      <c r="A2263" s="175">
        <f t="shared" si="73"/>
        <v>29</v>
      </c>
      <c r="B2263" s="175" t="s">
        <v>327</v>
      </c>
      <c r="C2263" s="175" t="str">
        <f t="shared" si="72"/>
        <v>Pintura Com Tinta Latex Acrilica em Paredes Internas, 3 Demaos (Incluso fundo e massa)</v>
      </c>
      <c r="D2263" s="175" t="s">
        <v>1199</v>
      </c>
      <c r="E2263" s="176" t="str">
        <f>_xlfn.XLOOKUP(D2263,Insumos!$B$1:$B$764,Insumos!$C$1:$C$764)</f>
        <v>L</v>
      </c>
      <c r="F2263" s="179">
        <v>0.1666</v>
      </c>
      <c r="G2263" s="177">
        <f>IF(B2263="insumo",_xlfn.XLOOKUP($D2263,Insumos!$B$1:$B$764,Insumos!$D$1:$D$764),"")</f>
        <v>6.47</v>
      </c>
      <c r="H2263" s="177" cm="1">
        <f t="array" ref="H2263">_xlfn.IFS(B2263="Serviço",SUMIFS(H2264:$H$3085,C2264:$C$3085,$C2263),B2263="Insumo",F2263*G2263,B2263="Etapa","")</f>
        <v>1.0779019999999999</v>
      </c>
      <c r="I2263" s="178"/>
    </row>
    <row r="2264" spans="1:9" outlineLevel="2" x14ac:dyDescent="0.25">
      <c r="A2264" s="175">
        <f t="shared" si="73"/>
        <v>14</v>
      </c>
      <c r="B2264" s="175" t="s">
        <v>327</v>
      </c>
      <c r="C2264" s="175" t="str">
        <f t="shared" si="72"/>
        <v>Pintura Com Tinta Latex Acrilica em Paredes Internas, 3 Demaos (Incluso fundo e massa)</v>
      </c>
      <c r="D2264" s="175" t="s">
        <v>828</v>
      </c>
      <c r="E2264" s="176" t="str">
        <f>_xlfn.XLOOKUP(D2264,Insumos!$B$1:$B$764,Insumos!$C$1:$C$764)</f>
        <v>L</v>
      </c>
      <c r="F2264" s="179">
        <v>0.495</v>
      </c>
      <c r="G2264" s="177">
        <f>IF(B2264="insumo",_xlfn.XLOOKUP($D2264,Insumos!$B$1:$B$764,Insumos!$D$1:$D$764),"")</f>
        <v>24.5</v>
      </c>
      <c r="H2264" s="177" cm="1">
        <f t="array" ref="H2264">_xlfn.IFS(B2264="Serviço",SUMIFS(H2265:$H$3085,C2265:$C$3085,$C2264),B2264="Insumo",F2264*G2264,B2264="Etapa","")</f>
        <v>12.1275</v>
      </c>
      <c r="I2264" s="178"/>
    </row>
    <row r="2265" spans="1:9" outlineLevel="1" collapsed="1" x14ac:dyDescent="0.25">
      <c r="A2265" s="175">
        <f t="shared" si="73"/>
        <v>1</v>
      </c>
      <c r="B2265" s="175" t="s">
        <v>109</v>
      </c>
      <c r="C2265" s="175" t="str">
        <f t="shared" si="72"/>
        <v>Pintura Com Tinta Latex Acrilica em tetos, 3 Demaos (Somente tinta e fundo)</v>
      </c>
      <c r="D2265" s="175" t="s">
        <v>5543</v>
      </c>
      <c r="E2265" s="176" t="s">
        <v>13</v>
      </c>
      <c r="F2265" s="175"/>
      <c r="G2265" s="177" t="str">
        <f>IF(B2265="insumo",_xlfn.XLOOKUP($D2265,Insumos!$B$1:$B$764,Insumos!$D$1:$D$764),"")</f>
        <v/>
      </c>
      <c r="H2265" s="177" cm="1">
        <f t="array" ref="H2265">_xlfn.IFS(B2265="Serviço",SUMIFS(H2266:$H$3085,C2266:$C$3085,$C2265),B2265="Insumo",F2265*G2265,B2265="Etapa","")</f>
        <v>13.205401999999999</v>
      </c>
      <c r="I2265" s="178" t="s">
        <v>195</v>
      </c>
    </row>
    <row r="2266" spans="1:9" hidden="1" outlineLevel="2" x14ac:dyDescent="0.25">
      <c r="A2266" s="175">
        <f t="shared" si="73"/>
        <v>14</v>
      </c>
      <c r="B2266" s="175" t="s">
        <v>327</v>
      </c>
      <c r="C2266" s="175" t="str">
        <f t="shared" si="72"/>
        <v>Pintura Com Tinta Latex Acrilica em tetos, 3 Demaos (Somente tinta e fundo)</v>
      </c>
      <c r="D2266" s="175" t="s">
        <v>828</v>
      </c>
      <c r="E2266" s="176" t="str">
        <f>_xlfn.XLOOKUP(D2266,Insumos!$B$1:$B$764,Insumos!$C$1:$C$764)</f>
        <v>L</v>
      </c>
      <c r="F2266" s="196">
        <v>0.495</v>
      </c>
      <c r="G2266" s="177">
        <f>IF(B2266="insumo",_xlfn.XLOOKUP($D2266,Insumos!$B$1:$B$764,Insumos!$D$1:$D$764),"")</f>
        <v>24.5</v>
      </c>
      <c r="H2266" s="177" cm="1">
        <f t="array" ref="H2266">_xlfn.IFS(B2266="Serviço",SUMIFS(H2267:$H$3085,C2267:$C$3085,$C2266),B2266="Insumo",F2266*G2266,B2266="Etapa","")</f>
        <v>12.1275</v>
      </c>
      <c r="I2266" s="178"/>
    </row>
    <row r="2267" spans="1:9" hidden="1" outlineLevel="2" x14ac:dyDescent="0.25">
      <c r="A2267" s="175">
        <f t="shared" si="73"/>
        <v>29</v>
      </c>
      <c r="B2267" s="175" t="s">
        <v>327</v>
      </c>
      <c r="C2267" s="175" t="str">
        <f t="shared" si="72"/>
        <v>Pintura Com Tinta Latex Acrilica em tetos, 3 Demaos (Somente tinta e fundo)</v>
      </c>
      <c r="D2267" s="175" t="s">
        <v>1199</v>
      </c>
      <c r="E2267" s="176" t="str">
        <f>_xlfn.XLOOKUP(D2267,Insumos!$B$1:$B$764,Insumos!$C$1:$C$764)</f>
        <v>L</v>
      </c>
      <c r="F2267" s="196">
        <v>0.1666</v>
      </c>
      <c r="G2267" s="177">
        <f>IF(B2267="insumo",_xlfn.XLOOKUP($D2267,Insumos!$B$1:$B$764,Insumos!$D$1:$D$764),"")</f>
        <v>6.47</v>
      </c>
      <c r="H2267" s="177" cm="1">
        <f t="array" ref="H2267">_xlfn.IFS(B2267="Serviço",SUMIFS(H2268:$H$3085,C2268:$C$3085,$C2267),B2267="Insumo",F2267*G2267,B2267="Etapa","")</f>
        <v>1.0779019999999999</v>
      </c>
      <c r="I2267" s="178"/>
    </row>
    <row r="2268" spans="1:9" outlineLevel="1" collapsed="1" x14ac:dyDescent="0.25">
      <c r="A2268" s="175">
        <f t="shared" si="73"/>
        <v>1</v>
      </c>
      <c r="B2268" s="175" t="s">
        <v>109</v>
      </c>
      <c r="C2268" s="175" t="str">
        <f t="shared" si="72"/>
        <v>Massa corrida em tetos</v>
      </c>
      <c r="D2268" s="175" t="s">
        <v>5542</v>
      </c>
      <c r="E2268" s="176" t="s">
        <v>13</v>
      </c>
      <c r="F2268" s="175"/>
      <c r="G2268" s="177" t="str">
        <f>IF(B2268="insumo",_xlfn.XLOOKUP($D2268,Insumos!$B$1:$B$764,Insumos!$D$1:$D$764),"")</f>
        <v/>
      </c>
      <c r="H2268" s="177" cm="1">
        <f t="array" ref="H2268">_xlfn.IFS(B2268="Serviço",SUMIFS(H2269:$H$3085,C2269:$C$3085,$C2268),B2268="Insumo",F2268*G2268,B2268="Etapa","")</f>
        <v>5.7965489999999997</v>
      </c>
      <c r="I2268" s="178" t="s">
        <v>195</v>
      </c>
    </row>
    <row r="2269" spans="1:9" hidden="1" outlineLevel="2" x14ac:dyDescent="0.25">
      <c r="A2269" s="175">
        <f t="shared" si="73"/>
        <v>26</v>
      </c>
      <c r="B2269" s="175" t="s">
        <v>327</v>
      </c>
      <c r="C2269" s="175" t="str">
        <f t="shared" si="72"/>
        <v>Massa corrida em tetos</v>
      </c>
      <c r="D2269" s="175" t="s">
        <v>358</v>
      </c>
      <c r="E2269" s="176" t="str">
        <f>_xlfn.XLOOKUP(D2269,Insumos!$B$1:$B$764,Insumos!$C$1:$C$764)</f>
        <v>UN</v>
      </c>
      <c r="F2269" s="179">
        <v>0.1</v>
      </c>
      <c r="G2269" s="177">
        <f>IF(B2269="insumo",_xlfn.XLOOKUP($D2269,Insumos!$B$1:$B$764,Insumos!$D$1:$D$764),"")</f>
        <v>1.89</v>
      </c>
      <c r="H2269" s="177" cm="1">
        <f t="array" ref="H2269">_xlfn.IFS(B2269="Serviço",SUMIFS(H2270:$H$3085,C2270:$C$3085,$C2269),B2269="Insumo",F2269*G2269,B2269="Etapa","")</f>
        <v>0.189</v>
      </c>
      <c r="I2269" s="178"/>
    </row>
    <row r="2270" spans="1:9" hidden="1" outlineLevel="2" x14ac:dyDescent="0.25">
      <c r="A2270" s="175">
        <f t="shared" si="73"/>
        <v>20</v>
      </c>
      <c r="B2270" s="175" t="s">
        <v>327</v>
      </c>
      <c r="C2270" s="175" t="str">
        <f t="shared" si="72"/>
        <v>Massa corrida em tetos</v>
      </c>
      <c r="D2270" s="175" t="s">
        <v>830</v>
      </c>
      <c r="E2270" s="176" t="str">
        <f>_xlfn.XLOOKUP(D2270,Insumos!$B$1:$B$764,Insumos!$C$1:$C$764)</f>
        <v>KG</v>
      </c>
      <c r="F2270" s="179">
        <v>0.86670000000000003</v>
      </c>
      <c r="G2270" s="177">
        <f>IF(B2270="insumo",_xlfn.XLOOKUP($D2270,Insumos!$B$1:$B$764,Insumos!$D$1:$D$764),"")</f>
        <v>6.47</v>
      </c>
      <c r="H2270" s="177" cm="1">
        <f t="array" ref="H2270">_xlfn.IFS(B2270="Serviço",SUMIFS(H2271:$H$3085,C2271:$C$3085,$C2270),B2270="Insumo",F2270*G2270,B2270="Etapa","")</f>
        <v>5.6075489999999997</v>
      </c>
      <c r="I2270" s="178"/>
    </row>
    <row r="2271" spans="1:9" outlineLevel="1" x14ac:dyDescent="0.25">
      <c r="A2271" s="175">
        <f t="shared" si="73"/>
        <v>1</v>
      </c>
      <c r="B2271" s="175" t="s">
        <v>109</v>
      </c>
      <c r="C2271" s="175" t="str">
        <f t="shared" si="72"/>
        <v>Textura acrílica aplicação rolada em tetos, 1 demão</v>
      </c>
      <c r="D2271" s="175" t="s">
        <v>5541</v>
      </c>
      <c r="E2271" s="176" t="s">
        <v>13</v>
      </c>
      <c r="F2271" s="175"/>
      <c r="G2271" s="177" t="str">
        <f>IF(B2271="insumo",_xlfn.XLOOKUP($D2271,Insumos!$B$1:$B$764,Insumos!$D$1:$D$764),"")</f>
        <v/>
      </c>
      <c r="H2271" s="177" cm="1">
        <f t="array" ref="H2271">_xlfn.IFS(B2271="Serviço",SUMIFS(H2272:$H$3085,C2272:$C$3085,$C2271),B2271="Insumo",F2271*G2271,B2271="Etapa","")</f>
        <v>13.671902000000001</v>
      </c>
      <c r="I2271" s="178" t="s">
        <v>195</v>
      </c>
    </row>
    <row r="2272" spans="1:9" outlineLevel="2" x14ac:dyDescent="0.25">
      <c r="A2272" s="175">
        <f t="shared" si="73"/>
        <v>29</v>
      </c>
      <c r="B2272" s="175" t="s">
        <v>327</v>
      </c>
      <c r="C2272" s="175" t="str">
        <f t="shared" si="72"/>
        <v>Textura acrílica aplicação rolada em tetos, 1 demão</v>
      </c>
      <c r="D2272" s="175" t="s">
        <v>1199</v>
      </c>
      <c r="E2272" s="176" t="str">
        <f>_xlfn.XLOOKUP(D2272,Insumos!$B$1:$B$764,Insumos!$C$1:$C$764)</f>
        <v>L</v>
      </c>
      <c r="F2272" s="196">
        <v>0.1666</v>
      </c>
      <c r="G2272" s="177">
        <f>IF(B2272="insumo",_xlfn.XLOOKUP($D2272,Insumos!$B$1:$B$764,Insumos!$D$1:$D$764),"")</f>
        <v>6.47</v>
      </c>
      <c r="H2272" s="177" cm="1">
        <f t="array" ref="H2272">_xlfn.IFS(B2272="Serviço",SUMIFS(H2273:$H$3085,C2273:$C$3085,$C2272),B2272="Insumo",F2272*G2272,B2272="Etapa","")</f>
        <v>1.0779019999999999</v>
      </c>
      <c r="I2272" s="178"/>
    </row>
    <row r="2273" spans="1:9" outlineLevel="2" x14ac:dyDescent="0.25">
      <c r="A2273" s="175">
        <f t="shared" si="73"/>
        <v>5</v>
      </c>
      <c r="B2273" s="175" t="s">
        <v>327</v>
      </c>
      <c r="C2273" s="175" t="str">
        <f t="shared" si="72"/>
        <v>Textura acrílica aplicação rolada em tetos, 1 demão</v>
      </c>
      <c r="D2273" s="175" t="s">
        <v>911</v>
      </c>
      <c r="E2273" s="176" t="str">
        <f>_xlfn.XLOOKUP(D2273,Insumos!$B$1:$B$764,Insumos!$C$1:$C$764)</f>
        <v>KG</v>
      </c>
      <c r="F2273" s="196">
        <v>1.5</v>
      </c>
      <c r="G2273" s="177">
        <f>IF(B2273="insumo",_xlfn.XLOOKUP($D2273,Insumos!$B$1:$B$764,Insumos!$D$1:$D$764),"")</f>
        <v>8.3960000000000008</v>
      </c>
      <c r="H2273" s="177" cm="1">
        <f t="array" ref="H2273">_xlfn.IFS(B2273="Serviço",SUMIFS(H2274:$H$3085,C2274:$C$3085,$C2273),B2273="Insumo",F2273*G2273,B2273="Etapa","")</f>
        <v>12.594000000000001</v>
      </c>
      <c r="I2273" s="178"/>
    </row>
    <row r="2274" spans="1:9" outlineLevel="1" collapsed="1" x14ac:dyDescent="0.25">
      <c r="A2274" s="175">
        <f t="shared" si="73"/>
        <v>1</v>
      </c>
      <c r="B2274" s="175" t="s">
        <v>109</v>
      </c>
      <c r="C2274" s="175" t="str">
        <f t="shared" si="72"/>
        <v>Calçadada/passeio em concreto intertravado</v>
      </c>
      <c r="D2274" s="175" t="s">
        <v>282</v>
      </c>
      <c r="E2274" s="176" t="s">
        <v>13</v>
      </c>
      <c r="F2274" s="175"/>
      <c r="G2274" s="177" t="str">
        <f>IF(B2274="insumo",_xlfn.XLOOKUP($D2274,Insumos!$B$1:$B$764,Insumos!$D$1:$D$764),"")</f>
        <v/>
      </c>
      <c r="H2274" s="177" cm="1">
        <f t="array" ref="H2274">_xlfn.IFS(B2274="Serviço",SUMIFS(H2275:$H$3085,C2275:$C$3085,$C2274),B2274="Insumo",F2274*G2274,B2274="Etapa","")</f>
        <v>78.128686000000016</v>
      </c>
      <c r="I2274" s="178" t="s">
        <v>195</v>
      </c>
    </row>
    <row r="2275" spans="1:9" hidden="1" outlineLevel="2" x14ac:dyDescent="0.25">
      <c r="A2275" s="175">
        <f t="shared" si="73"/>
        <v>2</v>
      </c>
      <c r="B2275" s="175" t="s">
        <v>327</v>
      </c>
      <c r="C2275" s="175" t="str">
        <f t="shared" si="72"/>
        <v>Calçadada/passeio em concreto intertravado</v>
      </c>
      <c r="D2275" s="175" t="s">
        <v>811</v>
      </c>
      <c r="E2275" s="176" t="str">
        <f>_xlfn.XLOOKUP(D2275,Insumos!$B$1:$B$764,Insumos!$C$1:$C$764)</f>
        <v>M2</v>
      </c>
      <c r="F2275" s="179">
        <v>1.05</v>
      </c>
      <c r="G2275" s="177">
        <f>IF(B2275="insumo",_xlfn.XLOOKUP($D2275,Insumos!$B$1:$B$764,Insumos!$D$1:$D$764),"")</f>
        <v>65.900000000000006</v>
      </c>
      <c r="H2275" s="177" cm="1">
        <f t="array" ref="H2275">_xlfn.IFS(B2275="Serviço",SUMIFS(H2276:$H$3085,C2276:$C$3085,$C2275),B2275="Insumo",F2275*G2275,B2275="Etapa","")</f>
        <v>69.195000000000007</v>
      </c>
      <c r="I2275" s="178"/>
    </row>
    <row r="2276" spans="1:9" hidden="1" outlineLevel="2" x14ac:dyDescent="0.25">
      <c r="A2276" s="175">
        <f t="shared" si="73"/>
        <v>5</v>
      </c>
      <c r="B2276" s="175" t="s">
        <v>327</v>
      </c>
      <c r="C2276" s="175" t="str">
        <f t="shared" si="72"/>
        <v>Calçadada/passeio em concreto intertravado</v>
      </c>
      <c r="D2276" s="175" t="s">
        <v>808</v>
      </c>
      <c r="E2276" s="176" t="str">
        <f>_xlfn.XLOOKUP(D2276,Insumos!$B$1:$B$764,Insumos!$C$1:$C$764)</f>
        <v>M3</v>
      </c>
      <c r="F2276" s="179">
        <v>6.6E-3</v>
      </c>
      <c r="G2276" s="177">
        <f>IF(B2276="insumo",_xlfn.XLOOKUP($D2276,Insumos!$B$1:$B$764,Insumos!$D$1:$D$764),"")</f>
        <v>105.71</v>
      </c>
      <c r="H2276" s="177" cm="1">
        <f t="array" ref="H2276">_xlfn.IFS(B2276="Serviço",SUMIFS(H2277:$H$3085,C2277:$C$3085,$C2276),B2276="Insumo",F2276*G2276,B2276="Etapa","")</f>
        <v>0.69768599999999992</v>
      </c>
      <c r="I2276" s="178"/>
    </row>
    <row r="2277" spans="1:9" hidden="1" outlineLevel="2" x14ac:dyDescent="0.25">
      <c r="A2277" s="175">
        <f t="shared" si="73"/>
        <v>7</v>
      </c>
      <c r="B2277" s="175" t="s">
        <v>327</v>
      </c>
      <c r="C2277" s="175" t="str">
        <f t="shared" si="72"/>
        <v>Calçadada/passeio em concreto intertravado</v>
      </c>
      <c r="D2277" s="175" t="s">
        <v>624</v>
      </c>
      <c r="E2277" s="176" t="str">
        <f>_xlfn.XLOOKUP(D2277,Insumos!$B$1:$B$764,Insumos!$C$1:$C$764)</f>
        <v>M3</v>
      </c>
      <c r="F2277" s="179">
        <v>5.6800000000000003E-2</v>
      </c>
      <c r="G2277" s="177">
        <f>IF(B2277="insumo",_xlfn.XLOOKUP($D2277,Insumos!$B$1:$B$764,Insumos!$D$1:$D$764),"")</f>
        <v>145</v>
      </c>
      <c r="H2277" s="177" cm="1">
        <f t="array" ref="H2277">_xlfn.IFS(B2277="Serviço",SUMIFS(H2278:$H$3085,C2278:$C$3085,$C2277),B2277="Insumo",F2277*G2277,B2277="Etapa","")</f>
        <v>8.2360000000000007</v>
      </c>
      <c r="I2277" s="178"/>
    </row>
    <row r="2278" spans="1:9" outlineLevel="1" x14ac:dyDescent="0.25">
      <c r="A2278" s="175">
        <f t="shared" si="73"/>
        <v>1</v>
      </c>
      <c r="B2278" s="175" t="s">
        <v>109</v>
      </c>
      <c r="C2278" s="175" t="str">
        <f t="shared" si="72"/>
        <v xml:space="preserve">Calçadada/passeio em Podotátil </v>
      </c>
      <c r="D2278" s="175" t="s">
        <v>283</v>
      </c>
      <c r="E2278" s="176" t="s">
        <v>13</v>
      </c>
      <c r="F2278" s="175"/>
      <c r="G2278" s="177" t="str">
        <f>IF(B2278="insumo",_xlfn.XLOOKUP($D2278,Insumos!$B$1:$B$764,Insumos!$D$1:$D$764),"")</f>
        <v/>
      </c>
      <c r="H2278" s="177" cm="1">
        <f t="array" ref="H2278">_xlfn.IFS(B2278="Serviço",SUMIFS(H2279:$H$3085,C2279:$C$3085,$C2278),B2278="Insumo",F2278*G2278,B2278="Etapa","")</f>
        <v>116.97868600000002</v>
      </c>
      <c r="I2278" s="178" t="s">
        <v>195</v>
      </c>
    </row>
    <row r="2279" spans="1:9" outlineLevel="2" x14ac:dyDescent="0.25">
      <c r="A2279" s="175">
        <f t="shared" si="73"/>
        <v>1</v>
      </c>
      <c r="B2279" s="175" t="s">
        <v>327</v>
      </c>
      <c r="C2279" s="175" t="str">
        <f t="shared" si="72"/>
        <v xml:space="preserve">Calçadada/passeio em Podotátil </v>
      </c>
      <c r="D2279" s="175" t="s">
        <v>834</v>
      </c>
      <c r="E2279" s="176" t="str">
        <f>_xlfn.XLOOKUP(D2279,Insumos!$B$1:$B$764,Insumos!$C$1:$C$764)</f>
        <v>M2</v>
      </c>
      <c r="F2279" s="179">
        <v>1.05</v>
      </c>
      <c r="G2279" s="177">
        <f>IF(B2279="insumo",_xlfn.XLOOKUP($D2279,Insumos!$B$1:$B$764,Insumos!$D$1:$D$764),"")</f>
        <v>102.9</v>
      </c>
      <c r="H2279" s="177" cm="1">
        <f t="array" ref="H2279">_xlfn.IFS(B2279="Serviço",SUMIFS(H2280:$H$3085,C2280:$C$3085,$C2279),B2279="Insumo",F2279*G2279,B2279="Etapa","")</f>
        <v>108.04500000000002</v>
      </c>
      <c r="I2279" s="178"/>
    </row>
    <row r="2280" spans="1:9" outlineLevel="2" x14ac:dyDescent="0.25">
      <c r="A2280" s="175">
        <f t="shared" si="73"/>
        <v>5</v>
      </c>
      <c r="B2280" s="175" t="s">
        <v>327</v>
      </c>
      <c r="C2280" s="175" t="str">
        <f t="shared" ref="C2280:C2349" si="74">IF(B2280="serviço",D2280,C2279)</f>
        <v xml:space="preserve">Calçadada/passeio em Podotátil </v>
      </c>
      <c r="D2280" s="175" t="s">
        <v>808</v>
      </c>
      <c r="E2280" s="176" t="str">
        <f>_xlfn.XLOOKUP(D2280,Insumos!$B$1:$B$764,Insumos!$C$1:$C$764)</f>
        <v>M3</v>
      </c>
      <c r="F2280" s="179">
        <v>6.6E-3</v>
      </c>
      <c r="G2280" s="177">
        <f>IF(B2280="insumo",_xlfn.XLOOKUP($D2280,Insumos!$B$1:$B$764,Insumos!$D$1:$D$764),"")</f>
        <v>105.71</v>
      </c>
      <c r="H2280" s="177" cm="1">
        <f t="array" ref="H2280">_xlfn.IFS(B2280="Serviço",SUMIFS(H2281:$H$3085,C2281:$C$3085,$C2280),B2280="Insumo",F2280*G2280,B2280="Etapa","")</f>
        <v>0.69768599999999992</v>
      </c>
      <c r="I2280" s="178"/>
    </row>
    <row r="2281" spans="1:9" outlineLevel="2" x14ac:dyDescent="0.25">
      <c r="A2281" s="175">
        <f t="shared" si="73"/>
        <v>7</v>
      </c>
      <c r="B2281" s="175" t="s">
        <v>327</v>
      </c>
      <c r="C2281" s="175" t="str">
        <f t="shared" si="74"/>
        <v xml:space="preserve">Calçadada/passeio em Podotátil </v>
      </c>
      <c r="D2281" s="175" t="s">
        <v>624</v>
      </c>
      <c r="E2281" s="176" t="str">
        <f>_xlfn.XLOOKUP(D2281,Insumos!$B$1:$B$764,Insumos!$C$1:$C$764)</f>
        <v>M3</v>
      </c>
      <c r="F2281" s="179">
        <v>5.6800000000000003E-2</v>
      </c>
      <c r="G2281" s="177">
        <f>IF(B2281="insumo",_xlfn.XLOOKUP($D2281,Insumos!$B$1:$B$764,Insumos!$D$1:$D$764),"")</f>
        <v>145</v>
      </c>
      <c r="H2281" s="177" cm="1">
        <f t="array" ref="H2281">_xlfn.IFS(B2281="Serviço",SUMIFS(H2282:$H$3085,C2282:$C$3085,$C2281),B2281="Insumo",F2281*G2281,B2281="Etapa","")</f>
        <v>8.2360000000000007</v>
      </c>
      <c r="I2281" s="178"/>
    </row>
    <row r="2282" spans="1:9" outlineLevel="1" collapsed="1" x14ac:dyDescent="0.25">
      <c r="A2282" s="175">
        <f t="shared" si="73"/>
        <v>1</v>
      </c>
      <c r="B2282" s="175" t="s">
        <v>109</v>
      </c>
      <c r="C2282" s="175" t="str">
        <f t="shared" si="74"/>
        <v>Mão de obra para pintura em pisos , 2 demãos</v>
      </c>
      <c r="D2282" s="175" t="s">
        <v>835</v>
      </c>
      <c r="E2282" s="176" t="s">
        <v>13</v>
      </c>
      <c r="F2282" s="179"/>
      <c r="G2282" s="177" t="str">
        <f>IF(B2282="insumo",_xlfn.XLOOKUP($D2282,Insumos!$B$1:$B$764,Insumos!$D$1:$D$764),"")</f>
        <v/>
      </c>
      <c r="H2282" s="177" cm="1">
        <f t="array" ref="H2282">_xlfn.IFS(B2282="Serviço",SUMIFS(H2283:$H$3085,C2283:$C$3085,$C2282),B2282="Insumo",F2282*G2282,B2282="Etapa","")</f>
        <v>55</v>
      </c>
      <c r="I2282" s="178" t="s">
        <v>195</v>
      </c>
    </row>
    <row r="2283" spans="1:9" hidden="1" outlineLevel="2" x14ac:dyDescent="0.25">
      <c r="A2283" s="175">
        <f t="shared" si="73"/>
        <v>1</v>
      </c>
      <c r="B2283" s="175" t="s">
        <v>327</v>
      </c>
      <c r="C2283" s="175" t="str">
        <f t="shared" si="74"/>
        <v>Mão de obra para pintura em pisos , 2 demãos</v>
      </c>
      <c r="D2283" s="175" t="s">
        <v>835</v>
      </c>
      <c r="E2283" s="176" t="str">
        <f>_xlfn.XLOOKUP(D2283,Insumos!$B$1:$B$764,Insumos!$C$1:$C$764)</f>
        <v>M2</v>
      </c>
      <c r="F2283" s="179">
        <v>1</v>
      </c>
      <c r="G2283" s="177">
        <f>IF(B2283="insumo",_xlfn.XLOOKUP($D2283,Insumos!$B$1:$B$764,Insumos!$D$1:$D$764),"")</f>
        <v>55</v>
      </c>
      <c r="H2283" s="177" cm="1">
        <f t="array" ref="H2283">_xlfn.IFS(B2283="Serviço",SUMIFS(H2284:$H$3085,C2284:$C$3085,$C2283),B2283="Insumo",F2283*G2283,B2283="Etapa","")</f>
        <v>55</v>
      </c>
      <c r="I2283" s="178"/>
    </row>
    <row r="2284" spans="1:9" outlineLevel="1" collapsed="1" x14ac:dyDescent="0.25">
      <c r="A2284" s="175">
        <f t="shared" si="73"/>
        <v>1</v>
      </c>
      <c r="B2284" s="175" t="s">
        <v>109</v>
      </c>
      <c r="C2284" s="175" t="str">
        <f t="shared" si="74"/>
        <v>Mão de obra para pintura em rodapés, 3 demãos</v>
      </c>
      <c r="D2284" s="175" t="s">
        <v>836</v>
      </c>
      <c r="E2284" s="176" t="s">
        <v>13</v>
      </c>
      <c r="F2284" s="179"/>
      <c r="G2284" s="177" t="str">
        <f>IF(B2284="insumo",_xlfn.XLOOKUP($D2284,Insumos!$B$1:$B$764,Insumos!$D$1:$D$764),"")</f>
        <v/>
      </c>
      <c r="H2284" s="177" cm="1">
        <f t="array" ref="H2284">_xlfn.IFS(B2284="Serviço",SUMIFS(H2285:$H$3085,C2285:$C$3085,$C2284),B2284="Insumo",F2284*G2284,B2284="Etapa","")</f>
        <v>55</v>
      </c>
      <c r="I2284" s="178" t="s">
        <v>195</v>
      </c>
    </row>
    <row r="2285" spans="1:9" hidden="1" outlineLevel="2" x14ac:dyDescent="0.25">
      <c r="A2285" s="175">
        <f t="shared" si="73"/>
        <v>1</v>
      </c>
      <c r="B2285" s="175" t="s">
        <v>327</v>
      </c>
      <c r="C2285" s="175" t="str">
        <f t="shared" si="74"/>
        <v>Mão de obra para pintura em rodapés, 3 demãos</v>
      </c>
      <c r="D2285" s="175" t="s">
        <v>836</v>
      </c>
      <c r="E2285" s="176" t="str">
        <f>_xlfn.XLOOKUP(D2285,Insumos!$B$1:$B$764,Insumos!$C$1:$C$764)</f>
        <v>M2</v>
      </c>
      <c r="F2285" s="179">
        <v>1</v>
      </c>
      <c r="G2285" s="177">
        <f>IF(B2285="insumo",_xlfn.XLOOKUP($D2285,Insumos!$B$1:$B$764,Insumos!$D$1:$D$764),"")</f>
        <v>55</v>
      </c>
      <c r="H2285" s="177" cm="1">
        <f t="array" ref="H2285">_xlfn.IFS(B2285="Serviço",SUMIFS(H2286:$H$3085,C2286:$C$3085,$C2285),B2285="Insumo",F2285*G2285,B2285="Etapa","")</f>
        <v>55</v>
      </c>
      <c r="I2285" s="178"/>
    </row>
    <row r="2286" spans="1:9" outlineLevel="1" collapsed="1" x14ac:dyDescent="0.25">
      <c r="A2286" s="175">
        <f t="shared" si="73"/>
        <v>1</v>
      </c>
      <c r="B2286" s="175" t="s">
        <v>109</v>
      </c>
      <c r="C2286" s="175" t="str">
        <f t="shared" si="74"/>
        <v>Mão de obra para demarcação de vagas em piso, 2 demãos</v>
      </c>
      <c r="D2286" s="175" t="s">
        <v>2013</v>
      </c>
      <c r="E2286" s="176" t="s">
        <v>13</v>
      </c>
      <c r="F2286" s="179"/>
      <c r="G2286" s="177" t="str">
        <f>IF(B2286="insumo",_xlfn.XLOOKUP($D2286,Insumos!$B$1:$B$764,Insumos!$D$1:$D$764),"")</f>
        <v/>
      </c>
      <c r="H2286" s="177" cm="1">
        <f t="array" ref="H2286">_xlfn.IFS(B2286="Serviço",SUMIFS(H2287:$H$3085,C2287:$C$3085,$C2286),B2286="Insumo",F2286*G2286,B2286="Etapa","")</f>
        <v>23</v>
      </c>
      <c r="I2286" s="178" t="s">
        <v>195</v>
      </c>
    </row>
    <row r="2287" spans="1:9" hidden="1" outlineLevel="2" x14ac:dyDescent="0.25">
      <c r="A2287" s="175">
        <f t="shared" si="73"/>
        <v>3</v>
      </c>
      <c r="B2287" s="175" t="s">
        <v>327</v>
      </c>
      <c r="C2287" s="175" t="str">
        <f t="shared" si="74"/>
        <v>Mão de obra para demarcação de vagas em piso, 2 demãos</v>
      </c>
      <c r="D2287" s="175" t="s">
        <v>837</v>
      </c>
      <c r="E2287" s="176" t="str">
        <f>_xlfn.XLOOKUP(D2287,Insumos!$B$1:$B$764,Insumos!$C$1:$C$764)</f>
        <v>M2</v>
      </c>
      <c r="F2287" s="179">
        <v>1</v>
      </c>
      <c r="G2287" s="177">
        <f>IF(B2287="insumo",_xlfn.XLOOKUP($D2287,Insumos!$B$1:$B$764,Insumos!$D$1:$D$764),"")</f>
        <v>23</v>
      </c>
      <c r="H2287" s="177" cm="1">
        <f t="array" ref="H2287">_xlfn.IFS(B2287="Serviço",SUMIFS(H2288:$H$3085,C2288:$C$3085,$C2287),B2287="Insumo",F2287*G2287,B2287="Etapa","")</f>
        <v>23</v>
      </c>
      <c r="I2287" s="178"/>
    </row>
    <row r="2288" spans="1:9" outlineLevel="1" collapsed="1" x14ac:dyDescent="0.25">
      <c r="A2288" s="175">
        <f t="shared" si="73"/>
        <v>1</v>
      </c>
      <c r="B2288" s="175" t="s">
        <v>109</v>
      </c>
      <c r="C2288" s="175" t="str">
        <f t="shared" si="74"/>
        <v>Mão de obra para demarcação de vagas em parede, 2 demãos</v>
      </c>
      <c r="D2288" s="175" t="s">
        <v>2014</v>
      </c>
      <c r="E2288" s="176" t="s">
        <v>13</v>
      </c>
      <c r="F2288" s="179"/>
      <c r="G2288" s="177" t="str">
        <f>IF(B2288="insumo",_xlfn.XLOOKUP($D2288,Insumos!$B$1:$B$764,Insumos!$D$1:$D$764),"")</f>
        <v/>
      </c>
      <c r="H2288" s="177" cm="1">
        <f t="array" ref="H2288">_xlfn.IFS(B2288="Serviço",SUMIFS(H2289:$H$3085,C2289:$C$3085,$C2288),B2288="Insumo",F2288*G2288,B2288="Etapa","")</f>
        <v>23</v>
      </c>
      <c r="I2288" s="178" t="s">
        <v>195</v>
      </c>
    </row>
    <row r="2289" spans="1:9" hidden="1" outlineLevel="2" x14ac:dyDescent="0.25">
      <c r="A2289" s="175">
        <f t="shared" si="73"/>
        <v>3</v>
      </c>
      <c r="B2289" s="175" t="s">
        <v>327</v>
      </c>
      <c r="C2289" s="175" t="str">
        <f t="shared" si="74"/>
        <v>Mão de obra para demarcação de vagas em parede, 2 demãos</v>
      </c>
      <c r="D2289" s="175" t="s">
        <v>837</v>
      </c>
      <c r="E2289" s="176" t="str">
        <f>_xlfn.XLOOKUP(D2289,Insumos!$B$1:$B$764,Insumos!$C$1:$C$764)</f>
        <v>M2</v>
      </c>
      <c r="F2289" s="179">
        <v>1</v>
      </c>
      <c r="G2289" s="177">
        <f>IF(B2289="insumo",_xlfn.XLOOKUP($D2289,Insumos!$B$1:$B$764,Insumos!$D$1:$D$764),"")</f>
        <v>23</v>
      </c>
      <c r="H2289" s="177" cm="1">
        <f t="array" ref="H2289">_xlfn.IFS(B2289="Serviço",SUMIFS(H2290:$H$3085,C2290:$C$3085,$C2289),B2289="Insumo",F2289*G2289,B2289="Etapa","")</f>
        <v>23</v>
      </c>
      <c r="I2289" s="178"/>
    </row>
    <row r="2290" spans="1:9" outlineLevel="1" collapsed="1" x14ac:dyDescent="0.25">
      <c r="A2290" s="175">
        <f t="shared" si="73"/>
        <v>1</v>
      </c>
      <c r="B2290" s="175" t="s">
        <v>109</v>
      </c>
      <c r="C2290" s="175" t="str">
        <f t="shared" si="74"/>
        <v>Mão de obra para demarcação de vagas, 3 demãos</v>
      </c>
      <c r="D2290" s="175" t="s">
        <v>837</v>
      </c>
      <c r="E2290" s="176" t="s">
        <v>13</v>
      </c>
      <c r="F2290" s="179"/>
      <c r="G2290" s="177" t="str">
        <f>IF(B2290="insumo",_xlfn.XLOOKUP($D2290,Insumos!$B$1:$B$764,Insumos!$D$1:$D$764),"")</f>
        <v/>
      </c>
      <c r="H2290" s="177" cm="1">
        <f t="array" ref="H2290">_xlfn.IFS(B2290="Serviço",SUMIFS(H2291:$H$3085,C2291:$C$3085,$C2290),B2290="Insumo",F2290*G2290,B2290="Etapa","")</f>
        <v>23</v>
      </c>
      <c r="I2290" s="178" t="s">
        <v>195</v>
      </c>
    </row>
    <row r="2291" spans="1:9" hidden="1" outlineLevel="2" x14ac:dyDescent="0.25">
      <c r="A2291" s="175">
        <f t="shared" si="73"/>
        <v>3</v>
      </c>
      <c r="B2291" s="175" t="s">
        <v>327</v>
      </c>
      <c r="C2291" s="175" t="str">
        <f t="shared" si="74"/>
        <v>Mão de obra para demarcação de vagas, 3 demãos</v>
      </c>
      <c r="D2291" s="175" t="s">
        <v>837</v>
      </c>
      <c r="E2291" s="176" t="str">
        <f>_xlfn.XLOOKUP(D2291,Insumos!$B$1:$B$764,Insumos!$C$1:$C$764)</f>
        <v>M2</v>
      </c>
      <c r="F2291" s="179">
        <v>1</v>
      </c>
      <c r="G2291" s="177">
        <f>IF(B2291="insumo",_xlfn.XLOOKUP($D2291,Insumos!$B$1:$B$764,Insumos!$D$1:$D$764),"")</f>
        <v>23</v>
      </c>
      <c r="H2291" s="177" cm="1">
        <f t="array" ref="H2291">_xlfn.IFS(B2291="Serviço",SUMIFS(H2292:$H$3085,C2292:$C$3085,$C2291),B2291="Insumo",F2291*G2291,B2291="Etapa","")</f>
        <v>23</v>
      </c>
      <c r="I2291" s="178"/>
    </row>
    <row r="2292" spans="1:9" outlineLevel="1" collapsed="1" x14ac:dyDescent="0.25">
      <c r="A2292" s="175">
        <f t="shared" si="73"/>
        <v>1</v>
      </c>
      <c r="B2292" s="175" t="s">
        <v>109</v>
      </c>
      <c r="C2292" s="175" t="str">
        <f t="shared" si="74"/>
        <v>Mão de obra para Textura em paredes internas, 1 demãos</v>
      </c>
      <c r="D2292" s="175" t="s">
        <v>838</v>
      </c>
      <c r="E2292" s="176" t="s">
        <v>13</v>
      </c>
      <c r="F2292" s="179"/>
      <c r="G2292" s="177" t="str">
        <f>IF(B2292="insumo",_xlfn.XLOOKUP($D2292,Insumos!$B$1:$B$764,Insumos!$D$1:$D$764),"")</f>
        <v/>
      </c>
      <c r="H2292" s="177" cm="1">
        <f t="array" ref="H2292">_xlfn.IFS(B2292="Serviço",SUMIFS(H2293:$H$3085,C2293:$C$3085,$C2292),B2292="Insumo",F2292*G2292,B2292="Etapa","")</f>
        <v>45</v>
      </c>
      <c r="I2292" s="178" t="s">
        <v>195</v>
      </c>
    </row>
    <row r="2293" spans="1:9" hidden="1" outlineLevel="2" x14ac:dyDescent="0.25">
      <c r="A2293" s="175">
        <f t="shared" si="73"/>
        <v>1</v>
      </c>
      <c r="B2293" s="175" t="s">
        <v>327</v>
      </c>
      <c r="C2293" s="175" t="str">
        <f t="shared" si="74"/>
        <v>Mão de obra para Textura em paredes internas, 1 demãos</v>
      </c>
      <c r="D2293" s="175" t="s">
        <v>838</v>
      </c>
      <c r="E2293" s="176" t="str">
        <f>_xlfn.XLOOKUP(D2293,Insumos!$B$1:$B$764,Insumos!$C$1:$C$764)</f>
        <v>M2</v>
      </c>
      <c r="F2293" s="179">
        <v>1</v>
      </c>
      <c r="G2293" s="177">
        <f>IF(B2293="insumo",_xlfn.XLOOKUP($D2293,Insumos!$B$1:$B$764,Insumos!$D$1:$D$764),"")</f>
        <v>45</v>
      </c>
      <c r="H2293" s="177" cm="1">
        <f t="array" ref="H2293">_xlfn.IFS(B2293="Serviço",SUMIFS(H2294:$H$3085,C2294:$C$3085,$C2293),B2293="Insumo",F2293*G2293,B2293="Etapa","")</f>
        <v>45</v>
      </c>
      <c r="I2293" s="178"/>
    </row>
    <row r="2294" spans="1:9" outlineLevel="1" collapsed="1" x14ac:dyDescent="0.25">
      <c r="A2294" s="175">
        <f t="shared" si="73"/>
        <v>1</v>
      </c>
      <c r="B2294" s="175" t="s">
        <v>109</v>
      </c>
      <c r="C2294" s="175" t="str">
        <f t="shared" si="74"/>
        <v>Mão de obra para selador nos dutos em paredes internas, 1 demãos</v>
      </c>
      <c r="D2294" s="175" t="s">
        <v>2015</v>
      </c>
      <c r="E2294" s="176" t="s">
        <v>13</v>
      </c>
      <c r="F2294" s="179"/>
      <c r="G2294" s="177" t="str">
        <f>IF(B2294="insumo",_xlfn.XLOOKUP($D2294,Insumos!$B$1:$B$764,Insumos!$D$1:$D$764),"")</f>
        <v/>
      </c>
      <c r="H2294" s="177" cm="1">
        <f t="array" ref="H2294">_xlfn.IFS(B2294="Serviço",SUMIFS(H2295:$H$3085,C2295:$C$3085,$C2294),B2294="Insumo",F2294*G2294,B2294="Etapa","")</f>
        <v>6</v>
      </c>
      <c r="I2294" s="178" t="s">
        <v>195</v>
      </c>
    </row>
    <row r="2295" spans="1:9" hidden="1" outlineLevel="2" x14ac:dyDescent="0.25">
      <c r="A2295" s="175">
        <f t="shared" si="73"/>
        <v>1</v>
      </c>
      <c r="B2295" s="175" t="s">
        <v>327</v>
      </c>
      <c r="C2295" s="175" t="str">
        <f t="shared" si="74"/>
        <v>Mão de obra para selador nos dutos em paredes internas, 1 demãos</v>
      </c>
      <c r="D2295" s="175" t="s">
        <v>2015</v>
      </c>
      <c r="E2295" s="176" t="str">
        <f>_xlfn.XLOOKUP(D2295,Insumos!$B$1:$B$764,Insumos!$C$1:$C$764)</f>
        <v>M2</v>
      </c>
      <c r="F2295" s="179">
        <v>1</v>
      </c>
      <c r="G2295" s="177">
        <f>IF(B2295="insumo",_xlfn.XLOOKUP($D2295,Insumos!$B$1:$B$764,Insumos!$D$1:$D$764),"")</f>
        <v>6</v>
      </c>
      <c r="H2295" s="177" cm="1">
        <f t="array" ref="H2295">_xlfn.IFS(B2295="Serviço",SUMIFS(H2296:$H$3085,C2296:$C$3085,$C2295),B2295="Insumo",F2295*G2295,B2295="Etapa","")</f>
        <v>6</v>
      </c>
      <c r="I2295" s="178"/>
    </row>
    <row r="2296" spans="1:9" outlineLevel="1" collapsed="1" x14ac:dyDescent="0.25">
      <c r="A2296" s="175">
        <f t="shared" si="73"/>
        <v>1</v>
      </c>
      <c r="B2296" s="175" t="s">
        <v>109</v>
      </c>
      <c r="C2296" s="175" t="str">
        <f t="shared" si="74"/>
        <v>Mão de obra para pintura em paredes internas, 3 demãos</v>
      </c>
      <c r="D2296" s="175" t="s">
        <v>839</v>
      </c>
      <c r="E2296" s="176" t="s">
        <v>13</v>
      </c>
      <c r="F2296" s="179"/>
      <c r="G2296" s="177" t="str">
        <f>IF(B2296="insumo",_xlfn.XLOOKUP($D2296,Insumos!$B$1:$B$764,Insumos!$D$1:$D$764),"")</f>
        <v/>
      </c>
      <c r="H2296" s="177" cm="1">
        <f t="array" ref="H2296">_xlfn.IFS(B2296="Serviço",SUMIFS(H2297:$H$3085,C2297:$C$3085,$C2296),B2296="Insumo",F2296*G2296,B2296="Etapa","")</f>
        <v>45</v>
      </c>
      <c r="I2296" s="178" t="s">
        <v>195</v>
      </c>
    </row>
    <row r="2297" spans="1:9" hidden="1" outlineLevel="2" x14ac:dyDescent="0.25">
      <c r="A2297" s="175">
        <f t="shared" si="73"/>
        <v>1</v>
      </c>
      <c r="B2297" s="175" t="s">
        <v>327</v>
      </c>
      <c r="C2297" s="175" t="str">
        <f t="shared" si="74"/>
        <v>Mão de obra para pintura em paredes internas, 3 demãos</v>
      </c>
      <c r="D2297" s="175" t="s">
        <v>839</v>
      </c>
      <c r="E2297" s="176" t="str">
        <f>_xlfn.XLOOKUP(D2297,Insumos!$B$1:$B$764,Insumos!$C$1:$C$764)</f>
        <v>UN</v>
      </c>
      <c r="F2297" s="179">
        <v>1</v>
      </c>
      <c r="G2297" s="177">
        <f>IF(B2297="insumo",_xlfn.XLOOKUP($D2297,Insumos!$B$1:$B$764,Insumos!$D$1:$D$764),"")</f>
        <v>45</v>
      </c>
      <c r="H2297" s="177" cm="1">
        <f t="array" ref="H2297">_xlfn.IFS(B2297="Serviço",SUMIFS(H2298:$H$3085,C2298:$C$3085,$C2297),B2297="Insumo",F2297*G2297,B2297="Etapa","")</f>
        <v>45</v>
      </c>
      <c r="I2297" s="178"/>
    </row>
    <row r="2298" spans="1:9" outlineLevel="1" collapsed="1" x14ac:dyDescent="0.25">
      <c r="A2298" s="175">
        <f t="shared" si="73"/>
        <v>1</v>
      </c>
      <c r="B2298" s="175" t="s">
        <v>109</v>
      </c>
      <c r="C2298" s="175" t="str">
        <f t="shared" si="74"/>
        <v>Mão de obra para pintura em teto, 3 demãos</v>
      </c>
      <c r="D2298" s="175" t="s">
        <v>840</v>
      </c>
      <c r="E2298" s="176" t="s">
        <v>13</v>
      </c>
      <c r="F2298" s="179"/>
      <c r="G2298" s="177" t="str">
        <f>IF(B2298="insumo",_xlfn.XLOOKUP($D2298,Insumos!$B$1:$B$764,Insumos!$D$1:$D$764),"")</f>
        <v/>
      </c>
      <c r="H2298" s="177" cm="1">
        <f t="array" ref="H2298">_xlfn.IFS(B2298="Serviço",SUMIFS(H2299:$H$3085,C2299:$C$3085,$C2298),B2298="Insumo",F2298*G2298,B2298="Etapa","")</f>
        <v>45</v>
      </c>
      <c r="I2298" s="178" t="s">
        <v>195</v>
      </c>
    </row>
    <row r="2299" spans="1:9" hidden="1" outlineLevel="2" x14ac:dyDescent="0.25">
      <c r="A2299" s="175">
        <f t="shared" si="73"/>
        <v>1</v>
      </c>
      <c r="B2299" s="175" t="s">
        <v>327</v>
      </c>
      <c r="C2299" s="175" t="str">
        <f t="shared" si="74"/>
        <v>Mão de obra para pintura em teto, 3 demãos</v>
      </c>
      <c r="D2299" s="175" t="s">
        <v>840</v>
      </c>
      <c r="E2299" s="176" t="str">
        <f>_xlfn.XLOOKUP(D2299,Insumos!$B$1:$B$764,Insumos!$C$1:$C$764)</f>
        <v>UN</v>
      </c>
      <c r="F2299" s="179">
        <v>1</v>
      </c>
      <c r="G2299" s="177">
        <f>IF(B2299="insumo",_xlfn.XLOOKUP($D2299,Insumos!$B$1:$B$764,Insumos!$D$1:$D$764),"")</f>
        <v>45</v>
      </c>
      <c r="H2299" s="177" cm="1">
        <f t="array" ref="H2299">_xlfn.IFS(B2299="Serviço",SUMIFS(H2300:$H$3085,C2300:$C$3085,$C2299),B2299="Insumo",F2299*G2299,B2299="Etapa","")</f>
        <v>45</v>
      </c>
      <c r="I2299" s="178"/>
    </row>
    <row r="2300" spans="1:9" outlineLevel="1" collapsed="1" x14ac:dyDescent="0.25">
      <c r="A2300" s="175">
        <f t="shared" si="73"/>
        <v>1</v>
      </c>
      <c r="B2300" s="175" t="s">
        <v>109</v>
      </c>
      <c r="C2300" s="175" t="str">
        <f t="shared" si="74"/>
        <v>Mão de obra para textura em teto, 1 demão</v>
      </c>
      <c r="D2300" s="175" t="s">
        <v>841</v>
      </c>
      <c r="E2300" s="176" t="s">
        <v>13</v>
      </c>
      <c r="F2300" s="179"/>
      <c r="G2300" s="177" t="str">
        <f>IF(B2300="insumo",_xlfn.XLOOKUP($D2300,Insumos!$B$1:$B$764,Insumos!$D$1:$D$764),"")</f>
        <v/>
      </c>
      <c r="H2300" s="177" cm="1">
        <f t="array" ref="H2300">_xlfn.IFS(B2300="Serviço",SUMIFS(H2301:$H$3085,C2301:$C$3085,$C2300),B2300="Insumo",F2300*G2300,B2300="Etapa","")</f>
        <v>45</v>
      </c>
      <c r="I2300" s="178" t="s">
        <v>195</v>
      </c>
    </row>
    <row r="2301" spans="1:9" hidden="1" outlineLevel="2" x14ac:dyDescent="0.25">
      <c r="A2301" s="175">
        <f t="shared" si="73"/>
        <v>1</v>
      </c>
      <c r="B2301" s="175" t="s">
        <v>327</v>
      </c>
      <c r="C2301" s="175" t="str">
        <f t="shared" si="74"/>
        <v>Mão de obra para textura em teto, 1 demão</v>
      </c>
      <c r="D2301" s="175" t="s">
        <v>841</v>
      </c>
      <c r="E2301" s="176" t="str">
        <f>_xlfn.XLOOKUP(D2301,Insumos!$B$1:$B$764,Insumos!$C$1:$C$764)</f>
        <v>M2</v>
      </c>
      <c r="F2301" s="179">
        <v>1</v>
      </c>
      <c r="G2301" s="177">
        <f>IF(B2301="insumo",_xlfn.XLOOKUP($D2301,Insumos!$B$1:$B$764,Insumos!$D$1:$D$764),"")</f>
        <v>45</v>
      </c>
      <c r="H2301" s="177" cm="1">
        <f t="array" ref="H2301">_xlfn.IFS(B2301="Serviço",SUMIFS(H2302:$H$3085,C2302:$C$3085,$C2301),B2301="Insumo",F2301*G2301,B2301="Etapa","")</f>
        <v>45</v>
      </c>
      <c r="I2301" s="178"/>
    </row>
    <row r="2302" spans="1:9" x14ac:dyDescent="0.25">
      <c r="A2302" s="172">
        <f t="shared" si="73"/>
        <v>1</v>
      </c>
      <c r="B2302" s="172" t="s">
        <v>107</v>
      </c>
      <c r="C2302" s="172"/>
      <c r="D2302" s="172" t="s">
        <v>842</v>
      </c>
      <c r="E2302" s="173"/>
      <c r="F2302" s="174"/>
      <c r="G2302" s="180" t="str">
        <f>IF(B2302="insumo",_xlfn.XLOOKUP($D2302,Insumos!$B$1:$B$764,Insumos!$D$1:$D$764),"")</f>
        <v/>
      </c>
      <c r="H2302" s="177" t="str" cm="1">
        <f t="array" ref="H2302">_xlfn.IFS(B2302="Serviço",SUMIFS(H2309:$H$3085,C2309:$C$3085,$C2302),B2302="Insumo",F2302*G2302,B2302="Etapa","")</f>
        <v/>
      </c>
      <c r="I2302" s="174"/>
    </row>
    <row r="2303" spans="1:9" outlineLevel="1" x14ac:dyDescent="0.25">
      <c r="A2303" s="175">
        <f t="shared" si="73"/>
        <v>1</v>
      </c>
      <c r="B2303" s="175" t="s">
        <v>109</v>
      </c>
      <c r="C2303" s="175" t="str">
        <f>IF(B2303="serviço",D2303,C2298)</f>
        <v>Esquadrias de Alumínio do duplex - fornecimento e instalação</v>
      </c>
      <c r="D2303" s="175" t="s">
        <v>6954</v>
      </c>
      <c r="E2303" s="176" t="s">
        <v>13</v>
      </c>
      <c r="F2303" s="175"/>
      <c r="G2303" s="177" t="str">
        <f>IF(B2303="insumo",_xlfn.XLOOKUP($D2303,Insumos!$B$1:$B$764,Insumos!$D$1:$D$764),"")</f>
        <v/>
      </c>
      <c r="H2303" s="177" cm="1">
        <f t="array" ref="H2303">_xlfn.IFS(B2303="Serviço",SUMIFS(H2304:$H$3085,C2304:$C$3085,$C2303),B2303="Insumo",F2303*G2303,B2303="Etapa","")</f>
        <v>1350</v>
      </c>
      <c r="I2303" s="178" t="s">
        <v>195</v>
      </c>
    </row>
    <row r="2304" spans="1:9" outlineLevel="2" x14ac:dyDescent="0.25">
      <c r="A2304" s="175">
        <f t="shared" si="73"/>
        <v>1</v>
      </c>
      <c r="B2304" s="175" t="s">
        <v>327</v>
      </c>
      <c r="C2304" s="175" t="str">
        <f t="shared" ref="C2304" si="75">IF(B2304="serviço",D2304,C2303)</f>
        <v>Esquadrias de Alumínio do duplex - fornecimento e instalação</v>
      </c>
      <c r="D2304" s="175" t="s">
        <v>6954</v>
      </c>
      <c r="E2304" s="176" t="str">
        <f>_xlfn.XLOOKUP(D2304,Insumos!$B$1:$B$764,Insumos!$C$1:$C$764)</f>
        <v>M2</v>
      </c>
      <c r="F2304" s="179">
        <v>1</v>
      </c>
      <c r="G2304" s="177">
        <f>IF(B2304="insumo",_xlfn.XLOOKUP($D2304,Insumos!$B$1:$B$764,Insumos!$D$1:$D$764),"")</f>
        <v>1350</v>
      </c>
      <c r="H2304" s="177" cm="1">
        <f t="array" ref="H2304">_xlfn.IFS(B2304="Serviço",SUMIFS(H2305:$H$3085,C2305:$C$3085,$C2304),B2304="Insumo",F2304*G2304,B2304="Etapa","")</f>
        <v>1350</v>
      </c>
      <c r="I2304" s="178"/>
    </row>
    <row r="2305" spans="1:9" outlineLevel="1" x14ac:dyDescent="0.25">
      <c r="A2305" s="175">
        <f t="shared" si="73"/>
        <v>1</v>
      </c>
      <c r="B2305" s="175" t="s">
        <v>109</v>
      </c>
      <c r="C2305" s="175" t="str">
        <f>IF(B2305="serviço",D2305,C2300)</f>
        <v>Esquadrias de Alumínio, linha 25 supreme - fornecimento e instalação</v>
      </c>
      <c r="D2305" s="175" t="s">
        <v>6956</v>
      </c>
      <c r="E2305" s="176" t="s">
        <v>13</v>
      </c>
      <c r="F2305" s="175"/>
      <c r="G2305" s="177" t="str">
        <f>IF(B2305="insumo",_xlfn.XLOOKUP($D2305,Insumos!$B$1:$B$764,Insumos!$D$1:$D$764),"")</f>
        <v/>
      </c>
      <c r="H2305" s="177" cm="1">
        <f t="array" ref="H2305">_xlfn.IFS(B2305="Serviço",SUMIFS(H2306:$H$3085,C2306:$C$3085,$C2305),B2305="Insumo",F2305*G2305,B2305="Etapa","")</f>
        <v>980</v>
      </c>
      <c r="I2305" s="178" t="s">
        <v>195</v>
      </c>
    </row>
    <row r="2306" spans="1:9" outlineLevel="2" x14ac:dyDescent="0.25">
      <c r="A2306" s="175">
        <f t="shared" ref="A2306:A2369" si="76">COUNTIFS($D$2:$D$3085,D2306,$B$2:$B$3085,B2306)</f>
        <v>1</v>
      </c>
      <c r="B2306" s="175" t="s">
        <v>327</v>
      </c>
      <c r="C2306" s="175" t="str">
        <f t="shared" ref="C2306" si="77">IF(B2306="serviço",D2306,C2305)</f>
        <v>Esquadrias de Alumínio, linha 25 supreme - fornecimento e instalação</v>
      </c>
      <c r="D2306" s="175" t="s">
        <v>6956</v>
      </c>
      <c r="E2306" s="176" t="str">
        <f>_xlfn.XLOOKUP(D2306,Insumos!$B$1:$B$764,Insumos!$C$1:$C$764)</f>
        <v>M2</v>
      </c>
      <c r="F2306" s="179">
        <v>1</v>
      </c>
      <c r="G2306" s="177">
        <f>IF(B2306="insumo",_xlfn.XLOOKUP($D2306,Insumos!$B$1:$B$764,Insumos!$D$1:$D$764),"")</f>
        <v>980</v>
      </c>
      <c r="H2306" s="177" cm="1">
        <f t="array" ref="H2306">_xlfn.IFS(B2306="Serviço",SUMIFS(H2309:$H$3085,C2309:$C$3085,$C2306),B2306="Insumo",F2306*G2306,B2306="Etapa","")</f>
        <v>980</v>
      </c>
      <c r="I2306" s="178"/>
    </row>
    <row r="2307" spans="1:9" outlineLevel="1" x14ac:dyDescent="0.25">
      <c r="A2307" s="175">
        <f t="shared" si="76"/>
        <v>1</v>
      </c>
      <c r="B2307" s="175" t="s">
        <v>109</v>
      </c>
      <c r="C2307" s="175" t="str">
        <f>IF(B2307="serviço",D2307,C2300)</f>
        <v>Esquadrias de Alumínio, linha 32 gold - fornecimento e instalação</v>
      </c>
      <c r="D2307" s="175" t="s">
        <v>6957</v>
      </c>
      <c r="E2307" s="176" t="s">
        <v>13</v>
      </c>
      <c r="F2307" s="175"/>
      <c r="G2307" s="177" t="str">
        <f>IF(B2307="insumo",_xlfn.XLOOKUP($D2307,Insumos!$B$1:$B$764,Insumos!$D$1:$D$764),"")</f>
        <v/>
      </c>
      <c r="H2307" s="177" cm="1">
        <f t="array" ref="H2307">_xlfn.IFS(B2307="Serviço",SUMIFS(H2308:$H$3085,C2308:$C$3085,$C2307),B2307="Insumo",F2307*G2307,B2307="Etapa","")</f>
        <v>1350</v>
      </c>
      <c r="I2307" s="178" t="s">
        <v>195</v>
      </c>
    </row>
    <row r="2308" spans="1:9" outlineLevel="2" x14ac:dyDescent="0.25">
      <c r="A2308" s="175">
        <f t="shared" si="76"/>
        <v>1</v>
      </c>
      <c r="B2308" s="175" t="s">
        <v>327</v>
      </c>
      <c r="C2308" s="175" t="str">
        <f t="shared" ref="C2308" si="78">IF(B2308="serviço",D2308,C2307)</f>
        <v>Esquadrias de Alumínio, linha 32 gold - fornecimento e instalação</v>
      </c>
      <c r="D2308" s="175" t="s">
        <v>6957</v>
      </c>
      <c r="E2308" s="176" t="str">
        <f>_xlfn.XLOOKUP(D2308,Insumos!$B$1:$B$764,Insumos!$C$1:$C$764)</f>
        <v>M2</v>
      </c>
      <c r="F2308" s="179">
        <v>1</v>
      </c>
      <c r="G2308" s="177">
        <f>IF(B2308="insumo",_xlfn.XLOOKUP($D2308,Insumos!$B$1:$B$764,Insumos!$D$1:$D$764),"")</f>
        <v>1350</v>
      </c>
      <c r="H2308" s="177" cm="1">
        <f t="array" ref="H2308">_xlfn.IFS(B2308="Serviço",SUMIFS(H2309:$H$3085,C2309:$C$3085,$C2308),B2308="Insumo",F2308*G2308,B2308="Etapa","")</f>
        <v>1350</v>
      </c>
      <c r="I2308" s="178"/>
    </row>
    <row r="2309" spans="1:9" outlineLevel="1" x14ac:dyDescent="0.25">
      <c r="A2309" s="175">
        <f t="shared" si="76"/>
        <v>1</v>
      </c>
      <c r="B2309" s="175" t="s">
        <v>109</v>
      </c>
      <c r="C2309" s="175" t="str">
        <f>IF(B2309="serviço",D2309,C2302)</f>
        <v>Esquadrias de Alumínio - fornecimento e instalação</v>
      </c>
      <c r="D2309" s="175" t="s">
        <v>63</v>
      </c>
      <c r="E2309" s="176" t="s">
        <v>13</v>
      </c>
      <c r="F2309" s="175"/>
      <c r="G2309" s="177" t="str">
        <f>IF(B2309="insumo",_xlfn.XLOOKUP($D2309,Insumos!$B$1:$B$764,Insumos!$D$1:$D$764),"")</f>
        <v/>
      </c>
      <c r="H2309" s="177" cm="1">
        <f t="array" ref="H2309">_xlfn.IFS(B2309="Serviço",SUMIFS(H2310:$H$3085,C2310:$C$3085,$C2309),B2309="Insumo",F2309*G2309,B2309="Etapa","")</f>
        <v>1350</v>
      </c>
      <c r="I2309" s="178" t="s">
        <v>195</v>
      </c>
    </row>
    <row r="2310" spans="1:9" outlineLevel="2" x14ac:dyDescent="0.25">
      <c r="A2310" s="175">
        <f t="shared" si="76"/>
        <v>1</v>
      </c>
      <c r="B2310" s="175" t="s">
        <v>327</v>
      </c>
      <c r="C2310" s="175" t="str">
        <f t="shared" si="74"/>
        <v>Esquadrias de Alumínio - fornecimento e instalação</v>
      </c>
      <c r="D2310" s="175" t="s">
        <v>63</v>
      </c>
      <c r="E2310" s="176" t="str">
        <f>_xlfn.XLOOKUP(D2310,Insumos!$B$1:$B$764,Insumos!$C$1:$C$764)</f>
        <v>M2</v>
      </c>
      <c r="F2310" s="179">
        <v>1</v>
      </c>
      <c r="G2310" s="177">
        <f>IF(B2310="insumo",_xlfn.XLOOKUP($D2310,Insumos!$B$1:$B$764,Insumos!$D$1:$D$764),"")</f>
        <v>1350</v>
      </c>
      <c r="H2310" s="177" cm="1">
        <f t="array" ref="H2310">_xlfn.IFS(B2310="Serviço",SUMIFS(H2311:$H$3085,C2311:$C$3085,$C2310),B2310="Insumo",F2310*G2310,B2310="Etapa","")</f>
        <v>1350</v>
      </c>
      <c r="I2310" s="178"/>
    </row>
    <row r="2311" spans="1:9" outlineLevel="1" collapsed="1" x14ac:dyDescent="0.25">
      <c r="A2311" s="175">
        <f t="shared" si="76"/>
        <v>1</v>
      </c>
      <c r="B2311" s="175" t="s">
        <v>109</v>
      </c>
      <c r="C2311" s="175" t="str">
        <f t="shared" si="74"/>
        <v>Contramarco de aço galvanizado Fixados com Argamassa</v>
      </c>
      <c r="D2311" s="175" t="s">
        <v>150</v>
      </c>
      <c r="E2311" s="176" t="s">
        <v>3</v>
      </c>
      <c r="F2311" s="175"/>
      <c r="G2311" s="177" t="str">
        <f>IF(B2311="insumo",_xlfn.XLOOKUP($D2311,Insumos!$B$1:$B$764,Insumos!$D$1:$D$764),"")</f>
        <v/>
      </c>
      <c r="H2311" s="177" cm="1">
        <f t="array" ref="H2311">_xlfn.IFS(B2311="Serviço",SUMIFS(H2312:$H$3085,C2312:$C$3085,$C2311),B2311="Insumo",F2311*G2311,B2311="Etapa","")</f>
        <v>36.85</v>
      </c>
      <c r="I2311" s="178" t="s">
        <v>195</v>
      </c>
    </row>
    <row r="2312" spans="1:9" hidden="1" outlineLevel="2" x14ac:dyDescent="0.25">
      <c r="A2312" s="175">
        <f t="shared" si="76"/>
        <v>1</v>
      </c>
      <c r="B2312" s="175" t="s">
        <v>327</v>
      </c>
      <c r="C2312" s="175" t="str">
        <f t="shared" si="74"/>
        <v>Contramarco de aço galvanizado Fixados com Argamassa</v>
      </c>
      <c r="D2312" s="175" t="s">
        <v>1249</v>
      </c>
      <c r="E2312" s="176" t="str">
        <f>_xlfn.XLOOKUP(D2312,Insumos!$B$1:$B$764,Insumos!$C$1:$C$764)</f>
        <v>M</v>
      </c>
      <c r="F2312" s="179">
        <v>1</v>
      </c>
      <c r="G2312" s="177">
        <f>IF(B2312="insumo",_xlfn.XLOOKUP($D2312,Insumos!$B$1:$B$764,Insumos!$D$1:$D$764),"")</f>
        <v>36</v>
      </c>
      <c r="H2312" s="177" cm="1">
        <f t="array" ref="H2312">_xlfn.IFS(B2312="Serviço",SUMIFS(H2313:$H$3085,C2313:$C$3085,$C2312),B2312="Insumo",F2312*G2312,B2312="Etapa","")</f>
        <v>36</v>
      </c>
      <c r="I2312" s="178"/>
    </row>
    <row r="2313" spans="1:9" hidden="1" outlineLevel="2" x14ac:dyDescent="0.25">
      <c r="A2313" s="175">
        <f t="shared" si="76"/>
        <v>15</v>
      </c>
      <c r="B2313" s="175" t="s">
        <v>327</v>
      </c>
      <c r="C2313" s="175" t="str">
        <f t="shared" si="74"/>
        <v>Contramarco de aço galvanizado Fixados com Argamassa</v>
      </c>
      <c r="D2313" s="175" t="s">
        <v>551</v>
      </c>
      <c r="E2313" s="176" t="str">
        <f>_xlfn.XLOOKUP(D2313,Insumos!$B$1:$B$764,Insumos!$C$1:$C$764)</f>
        <v>M3</v>
      </c>
      <c r="F2313" s="179">
        <v>2E-3</v>
      </c>
      <c r="G2313" s="177">
        <f>IF(B2313="insumo",_xlfn.XLOOKUP($D2313,Insumos!$B$1:$B$764,Insumos!$D$1:$D$764),"")</f>
        <v>425</v>
      </c>
      <c r="H2313" s="177" cm="1">
        <f t="array" ref="H2313">_xlfn.IFS(B2313="Serviço",SUMIFS(H2314:$H$3085,C2314:$C$3085,$C2313),B2313="Insumo",F2313*G2313,B2313="Etapa","")</f>
        <v>0.85</v>
      </c>
      <c r="I2313" s="178"/>
    </row>
    <row r="2314" spans="1:9" outlineLevel="1" collapsed="1" x14ac:dyDescent="0.25">
      <c r="A2314" s="175">
        <f t="shared" si="76"/>
        <v>1</v>
      </c>
      <c r="B2314" s="175" t="s">
        <v>109</v>
      </c>
      <c r="C2314" s="175" t="str">
        <f t="shared" si="74"/>
        <v>Contramarco de Alumínio, Fixação com Argamassa</v>
      </c>
      <c r="D2314" s="175" t="s">
        <v>260</v>
      </c>
      <c r="E2314" s="176" t="s">
        <v>3</v>
      </c>
      <c r="F2314" s="175"/>
      <c r="G2314" s="177" t="str">
        <f>IF(B2314="insumo",_xlfn.XLOOKUP($D2314,Insumos!$B$1:$B$764,Insumos!$D$1:$D$764),"")</f>
        <v/>
      </c>
      <c r="H2314" s="177" cm="1">
        <f t="array" ref="H2314">_xlfn.IFS(B2314="Serviço",SUMIFS(H2315:$H$3085,C2315:$C$3085,$C2314),B2314="Insumo",F2314*G2314,B2314="Etapa","")</f>
        <v>8.24</v>
      </c>
      <c r="I2314" s="178" t="s">
        <v>195</v>
      </c>
    </row>
    <row r="2315" spans="1:9" hidden="1" outlineLevel="2" x14ac:dyDescent="0.25">
      <c r="A2315" s="175">
        <f t="shared" si="76"/>
        <v>1</v>
      </c>
      <c r="B2315" s="175" t="s">
        <v>327</v>
      </c>
      <c r="C2315" s="175" t="str">
        <f t="shared" si="74"/>
        <v>Contramarco de Alumínio, Fixação com Argamassa</v>
      </c>
      <c r="D2315" s="175" t="s">
        <v>845</v>
      </c>
      <c r="E2315" s="176" t="str">
        <f>_xlfn.XLOOKUP(D2315,Insumos!$B$1:$B$764,Insumos!$C$1:$C$764)</f>
        <v>M</v>
      </c>
      <c r="F2315" s="179">
        <v>1</v>
      </c>
      <c r="G2315" s="177">
        <f>IF(B2315="insumo",_xlfn.XLOOKUP($D2315,Insumos!$B$1:$B$764,Insumos!$D$1:$D$764),"")</f>
        <v>7.39</v>
      </c>
      <c r="H2315" s="177" cm="1">
        <f t="array" ref="H2315">_xlfn.IFS(B2315="Serviço",SUMIFS(H2316:$H$3085,C2316:$C$3085,$C2315),B2315="Insumo",F2315*G2315,B2315="Etapa","")</f>
        <v>7.39</v>
      </c>
      <c r="I2315" s="178"/>
    </row>
    <row r="2316" spans="1:9" hidden="1" outlineLevel="2" x14ac:dyDescent="0.25">
      <c r="A2316" s="175">
        <f t="shared" si="76"/>
        <v>15</v>
      </c>
      <c r="B2316" s="175" t="s">
        <v>327</v>
      </c>
      <c r="C2316" s="175" t="str">
        <f t="shared" si="74"/>
        <v>Contramarco de Alumínio, Fixação com Argamassa</v>
      </c>
      <c r="D2316" s="175" t="s">
        <v>551</v>
      </c>
      <c r="E2316" s="176" t="str">
        <f>_xlfn.XLOOKUP(D2316,Insumos!$B$1:$B$764,Insumos!$C$1:$C$764)</f>
        <v>M3</v>
      </c>
      <c r="F2316" s="179">
        <v>2E-3</v>
      </c>
      <c r="G2316" s="177">
        <f>IF(B2316="insumo",_xlfn.XLOOKUP($D2316,Insumos!$B$1:$B$764,Insumos!$D$1:$D$764),"")</f>
        <v>425</v>
      </c>
      <c r="H2316" s="177" cm="1">
        <f t="array" ref="H2316">_xlfn.IFS(B2316="Serviço",SUMIFS(H2317:$H$3085,C2317:$C$3085,$C2316),B2316="Insumo",F2316*G2316,B2316="Etapa","")</f>
        <v>0.85</v>
      </c>
      <c r="I2316" s="178"/>
    </row>
    <row r="2317" spans="1:9" outlineLevel="1" collapsed="1" x14ac:dyDescent="0.25">
      <c r="A2317" s="175">
        <f t="shared" si="76"/>
        <v>1</v>
      </c>
      <c r="B2317" s="175" t="s">
        <v>109</v>
      </c>
      <c r="C2317" s="175" t="str">
        <f t="shared" si="74"/>
        <v>Contramarco pequeno de Alumínio, Fixação com Argamassa</v>
      </c>
      <c r="D2317" s="175" t="s">
        <v>2058</v>
      </c>
      <c r="E2317" s="176" t="s">
        <v>131</v>
      </c>
      <c r="F2317" s="175"/>
      <c r="G2317" s="177" t="str">
        <f>IF(B2317="insumo",_xlfn.XLOOKUP($D2317,Insumos!$B$1:$B$764,Insumos!$D$1:$D$764),"")</f>
        <v/>
      </c>
      <c r="H2317" s="177" cm="1">
        <f t="array" ref="H2317">_xlfn.IFS(B2317="Serviço",SUMIFS(H2318:$H$3085,C2318:$C$3085,$C2317),B2317="Insumo",F2317*G2317,B2317="Etapa","")</f>
        <v>67.040000000000006</v>
      </c>
      <c r="I2317" s="178" t="s">
        <v>195</v>
      </c>
    </row>
    <row r="2318" spans="1:9" hidden="1" outlineLevel="2" x14ac:dyDescent="0.25">
      <c r="A2318" s="175">
        <f t="shared" si="76"/>
        <v>1</v>
      </c>
      <c r="B2318" s="175" t="s">
        <v>327</v>
      </c>
      <c r="C2318" s="175" t="str">
        <f t="shared" si="74"/>
        <v>Contramarco pequeno de Alumínio, Fixação com Argamassa</v>
      </c>
      <c r="D2318" s="175" t="s">
        <v>2355</v>
      </c>
      <c r="E2318" s="176" t="str">
        <f>_xlfn.XLOOKUP(D2318,Insumos!$B$1:$B$764,Insumos!$C$1:$C$764)</f>
        <v>Un</v>
      </c>
      <c r="F2318" s="179">
        <v>1</v>
      </c>
      <c r="G2318" s="177">
        <f>IF(B2318="insumo",_xlfn.XLOOKUP($D2318,Insumos!$B$1:$B$764,Insumos!$D$1:$D$764),"")</f>
        <v>65</v>
      </c>
      <c r="H2318" s="177" cm="1">
        <f t="array" ref="H2318">_xlfn.IFS(B2318="Serviço",SUMIFS(H2319:$H$3085,C2319:$C$3085,$C2318),B2318="Insumo",F2318*G2318,B2318="Etapa","")</f>
        <v>65</v>
      </c>
      <c r="I2318" s="178"/>
    </row>
    <row r="2319" spans="1:9" hidden="1" outlineLevel="2" x14ac:dyDescent="0.25">
      <c r="A2319" s="175">
        <f t="shared" si="76"/>
        <v>15</v>
      </c>
      <c r="B2319" s="175" t="s">
        <v>327</v>
      </c>
      <c r="C2319" s="175" t="str">
        <f t="shared" si="74"/>
        <v>Contramarco pequeno de Alumínio, Fixação com Argamassa</v>
      </c>
      <c r="D2319" s="175" t="s">
        <v>551</v>
      </c>
      <c r="E2319" s="176" t="str">
        <f>_xlfn.XLOOKUP(D2319,Insumos!$B$1:$B$764,Insumos!$C$1:$C$764)</f>
        <v>M3</v>
      </c>
      <c r="F2319" s="179">
        <f>0.002*2.4</f>
        <v>4.7999999999999996E-3</v>
      </c>
      <c r="G2319" s="177">
        <f>IF(B2319="insumo",_xlfn.XLOOKUP($D2319,Insumos!$B$1:$B$764,Insumos!$D$1:$D$764),"")</f>
        <v>425</v>
      </c>
      <c r="H2319" s="177" cm="1">
        <f t="array" ref="H2319">_xlfn.IFS(B2319="Serviço",SUMIFS(H2320:$H$3085,C2320:$C$3085,$C2319),B2319="Insumo",F2319*G2319,B2319="Etapa","")</f>
        <v>2.04</v>
      </c>
      <c r="I2319" s="178"/>
    </row>
    <row r="2320" spans="1:9" outlineLevel="1" x14ac:dyDescent="0.25">
      <c r="A2320" s="175">
        <f t="shared" si="76"/>
        <v>1</v>
      </c>
      <c r="B2320" s="175" t="s">
        <v>109</v>
      </c>
      <c r="C2320" s="175" t="str">
        <f t="shared" si="74"/>
        <v>Contramarco grande de Alumínio, Fixação com Argamassa</v>
      </c>
      <c r="D2320" s="175" t="s">
        <v>2404</v>
      </c>
      <c r="E2320" s="176" t="s">
        <v>131</v>
      </c>
      <c r="F2320" s="175"/>
      <c r="G2320" s="177" t="str">
        <f>IF(B2320="insumo",_xlfn.XLOOKUP($D2320,Insumos!$B$1:$B$764,Insumos!$D$1:$D$764),"")</f>
        <v/>
      </c>
      <c r="H2320" s="177" cm="1">
        <f t="array" ref="H2320">_xlfn.IFS(B2320="Serviço",SUMIFS(H2321:$H$3085,C2321:$C$3085,$C2320),B2320="Insumo",F2320*G2320,B2320="Etapa","")</f>
        <v>157.04</v>
      </c>
      <c r="I2320" s="178" t="s">
        <v>195</v>
      </c>
    </row>
    <row r="2321" spans="1:9" outlineLevel="2" x14ac:dyDescent="0.25">
      <c r="A2321" s="175">
        <f t="shared" si="76"/>
        <v>1</v>
      </c>
      <c r="B2321" s="175" t="s">
        <v>327</v>
      </c>
      <c r="C2321" s="175" t="str">
        <f t="shared" si="74"/>
        <v>Contramarco grande de Alumínio, Fixação com Argamassa</v>
      </c>
      <c r="D2321" s="175" t="s">
        <v>2406</v>
      </c>
      <c r="E2321" s="176" t="str">
        <f>_xlfn.XLOOKUP(D2321,Insumos!$B$1:$B$764,Insumos!$C$1:$C$764)</f>
        <v>Un</v>
      </c>
      <c r="F2321" s="179">
        <v>1</v>
      </c>
      <c r="G2321" s="177">
        <f>IF(B2321="insumo",_xlfn.XLOOKUP($D2321,Insumos!$B$1:$B$764,Insumos!$D$1:$D$764),"")</f>
        <v>155</v>
      </c>
      <c r="H2321" s="177" cm="1">
        <f t="array" ref="H2321">_xlfn.IFS(B2321="Serviço",SUMIFS(H2322:$H$3085,C2322:$C$3085,$C2321),B2321="Insumo",F2321*G2321,B2321="Etapa","")</f>
        <v>155</v>
      </c>
      <c r="I2321" s="178"/>
    </row>
    <row r="2322" spans="1:9" outlineLevel="2" x14ac:dyDescent="0.25">
      <c r="A2322" s="175">
        <f t="shared" si="76"/>
        <v>15</v>
      </c>
      <c r="B2322" s="175" t="s">
        <v>327</v>
      </c>
      <c r="C2322" s="175" t="str">
        <f t="shared" si="74"/>
        <v>Contramarco grande de Alumínio, Fixação com Argamassa</v>
      </c>
      <c r="D2322" s="175" t="s">
        <v>551</v>
      </c>
      <c r="E2322" s="176" t="str">
        <f>_xlfn.XLOOKUP(D2322,Insumos!$B$1:$B$764,Insumos!$C$1:$C$764)</f>
        <v>M3</v>
      </c>
      <c r="F2322" s="179">
        <f>0.002*2.4</f>
        <v>4.7999999999999996E-3</v>
      </c>
      <c r="G2322" s="177">
        <f>IF(B2322="insumo",_xlfn.XLOOKUP($D2322,Insumos!$B$1:$B$764,Insumos!$D$1:$D$764),"")</f>
        <v>425</v>
      </c>
      <c r="H2322" s="177" cm="1">
        <f t="array" ref="H2322">_xlfn.IFS(B2322="Serviço",SUMIFS(H2323:$H$3085,C2323:$C$3085,$C2322),B2322="Insumo",F2322*G2322,B2322="Etapa","")</f>
        <v>2.04</v>
      </c>
      <c r="I2322" s="178"/>
    </row>
    <row r="2323" spans="1:9" outlineLevel="1" x14ac:dyDescent="0.25">
      <c r="A2323" s="175">
        <f t="shared" si="76"/>
        <v>1</v>
      </c>
      <c r="B2323" s="175" t="s">
        <v>109</v>
      </c>
      <c r="C2323" s="175" t="str">
        <f t="shared" si="74"/>
        <v>Brise de Alumínio - Decoração Fachada</v>
      </c>
      <c r="D2323" s="175" t="s">
        <v>261</v>
      </c>
      <c r="E2323" s="176" t="s">
        <v>13</v>
      </c>
      <c r="F2323" s="175"/>
      <c r="G2323" s="177" t="str">
        <f>IF(B2323="insumo",_xlfn.XLOOKUP($D2323,Insumos!$B$1:$B$764,Insumos!$D$1:$D$764),"")</f>
        <v/>
      </c>
      <c r="H2323" s="177" cm="1">
        <f t="array" ref="H2323">_xlfn.IFS(B2323="Serviço",SUMIFS(H2324:$H$3085,C2324:$C$3085,$C2323),B2323="Insumo",F2323*G2323,B2323="Etapa","")</f>
        <v>1415.0275930380642</v>
      </c>
      <c r="I2323" s="178" t="s">
        <v>195</v>
      </c>
    </row>
    <row r="2324" spans="1:9" outlineLevel="2" x14ac:dyDescent="0.25">
      <c r="A2324" s="175">
        <f t="shared" si="76"/>
        <v>2</v>
      </c>
      <c r="B2324" s="175" t="s">
        <v>327</v>
      </c>
      <c r="C2324" s="175" t="str">
        <f t="shared" si="74"/>
        <v>Brise de Alumínio - Decoração Fachada</v>
      </c>
      <c r="D2324" s="175" t="s">
        <v>846</v>
      </c>
      <c r="E2324" s="176" t="str">
        <f>_xlfn.XLOOKUP(D2324,Insumos!$B$1:$B$764,Insumos!$C$1:$C$764)</f>
        <v>M2</v>
      </c>
      <c r="F2324" s="179">
        <v>1</v>
      </c>
      <c r="G2324" s="177">
        <f>IF(B2324="insumo",_xlfn.XLOOKUP($D2324,Insumos!$B$1:$B$764,Insumos!$D$1:$D$764),"")</f>
        <v>1415.0275930380642</v>
      </c>
      <c r="H2324" s="177" cm="1">
        <f t="array" ref="H2324">_xlfn.IFS(B2324="Serviço",SUMIFS(H2325:$H$3085,C2325:$C$3085,$C2324),B2324="Insumo",F2324*G2324,B2324="Etapa","")</f>
        <v>1415.0275930380642</v>
      </c>
      <c r="I2324" s="178"/>
    </row>
    <row r="2325" spans="1:9" outlineLevel="1" collapsed="1" x14ac:dyDescent="0.25">
      <c r="A2325" s="175">
        <f t="shared" si="76"/>
        <v>1</v>
      </c>
      <c r="B2325" s="175" t="s">
        <v>109</v>
      </c>
      <c r="C2325" s="175" t="str">
        <f t="shared" si="74"/>
        <v>Brise de Madeira - Decoração Fachada</v>
      </c>
      <c r="D2325" s="175" t="s">
        <v>1847</v>
      </c>
      <c r="E2325" s="176" t="s">
        <v>13</v>
      </c>
      <c r="F2325" s="175"/>
      <c r="G2325" s="177" t="str">
        <f>IF(B2325="insumo",_xlfn.XLOOKUP($D2325,Insumos!$B$1:$B$764,Insumos!$D$1:$D$764),"")</f>
        <v/>
      </c>
      <c r="H2325" s="177" cm="1">
        <f t="array" ref="H2325">_xlfn.IFS(B2325="Serviço",SUMIFS(H2326:$H$3085,C2326:$C$3085,$C2325),B2325="Insumo",F2325*G2325,B2325="Etapa","")</f>
        <v>1031.7460317460318</v>
      </c>
      <c r="I2325" s="178" t="s">
        <v>195</v>
      </c>
    </row>
    <row r="2326" spans="1:9" hidden="1" outlineLevel="2" x14ac:dyDescent="0.25">
      <c r="A2326" s="175">
        <f t="shared" si="76"/>
        <v>1</v>
      </c>
      <c r="B2326" s="175" t="s">
        <v>327</v>
      </c>
      <c r="C2326" s="175" t="str">
        <f t="shared" si="74"/>
        <v>Brise de Madeira - Decoração Fachada</v>
      </c>
      <c r="D2326" s="175" t="s">
        <v>1847</v>
      </c>
      <c r="E2326" s="176" t="str">
        <f>_xlfn.XLOOKUP(D2326,Insumos!$B$1:$B$764,Insumos!$C$1:$C$764)</f>
        <v>M2</v>
      </c>
      <c r="F2326" s="179">
        <v>1</v>
      </c>
      <c r="G2326" s="177">
        <f>IF(B2326="insumo",_xlfn.XLOOKUP($D2326,Insumos!$B$1:$B$764,Insumos!$D$1:$D$764),"")</f>
        <v>1031.7460317460318</v>
      </c>
      <c r="H2326" s="177" cm="1">
        <f t="array" ref="H2326">_xlfn.IFS(B2326="Serviço",SUMIFS(H2327:$H$3085,C2327:$C$3085,$C2326),B2326="Insumo",F2326*G2326,B2326="Etapa","")</f>
        <v>1031.7460317460318</v>
      </c>
      <c r="I2326" s="178"/>
    </row>
    <row r="2327" spans="1:9" outlineLevel="1" x14ac:dyDescent="0.25">
      <c r="A2327" s="175">
        <f t="shared" si="76"/>
        <v>1</v>
      </c>
      <c r="B2327" s="175" t="s">
        <v>109</v>
      </c>
      <c r="C2327" s="175" t="str">
        <f t="shared" si="74"/>
        <v>Guarda Corpo de Vidro - fornecimento e instalação</v>
      </c>
      <c r="D2327" s="175" t="s">
        <v>4779</v>
      </c>
      <c r="E2327" s="176" t="s">
        <v>13</v>
      </c>
      <c r="F2327" s="175"/>
      <c r="G2327" s="177" t="str">
        <f>IF(B2327="insumo",_xlfn.XLOOKUP($D2327,Insumos!$B$1:$B$764,Insumos!$D$1:$D$764),"")</f>
        <v/>
      </c>
      <c r="H2327" s="177" cm="1">
        <f t="array" ref="H2327">_xlfn.IFS(B2327="Serviço",SUMIFS(H2328:$H$3085,C2328:$C$3085,$C2327),B2327="Insumo",F2327*G2327,B2327="Etapa","")</f>
        <v>850</v>
      </c>
      <c r="I2327" s="178" t="s">
        <v>195</v>
      </c>
    </row>
    <row r="2328" spans="1:9" outlineLevel="2" x14ac:dyDescent="0.25">
      <c r="A2328" s="175">
        <f t="shared" si="76"/>
        <v>1</v>
      </c>
      <c r="B2328" s="175" t="s">
        <v>327</v>
      </c>
      <c r="C2328" s="175" t="str">
        <f t="shared" si="74"/>
        <v>Guarda Corpo de Vidro - fornecimento e instalação</v>
      </c>
      <c r="D2328" s="175" t="s">
        <v>4779</v>
      </c>
      <c r="E2328" s="176" t="str">
        <f>_xlfn.XLOOKUP(D2328,Insumos!$B$1:$B$764,Insumos!$C$1:$C$764)</f>
        <v>M2</v>
      </c>
      <c r="F2328" s="179">
        <v>1</v>
      </c>
      <c r="G2328" s="177">
        <f>IF(B2328="insumo",_xlfn.XLOOKUP($D2328,Insumos!$B$1:$B$764,Insumos!$D$1:$D$764),"")</f>
        <v>850</v>
      </c>
      <c r="H2328" s="177" cm="1">
        <f t="array" ref="H2328">_xlfn.IFS(B2328="Serviço",SUMIFS(H2329:$H$3085,C2329:$C$3085,$C2328),B2328="Insumo",F2328*G2328,B2328="Etapa","")</f>
        <v>850</v>
      </c>
      <c r="I2328" s="178"/>
    </row>
    <row r="2329" spans="1:9" outlineLevel="1" collapsed="1" x14ac:dyDescent="0.25">
      <c r="A2329" s="175">
        <f t="shared" si="76"/>
        <v>1</v>
      </c>
      <c r="B2329" s="175" t="s">
        <v>109</v>
      </c>
      <c r="C2329" s="175" t="str">
        <f t="shared" si="74"/>
        <v>Guarda Corpo de Vidro e Aluminio - fornecimento e instalação</v>
      </c>
      <c r="D2329" s="175" t="s">
        <v>847</v>
      </c>
      <c r="E2329" s="176" t="s">
        <v>13</v>
      </c>
      <c r="F2329" s="175"/>
      <c r="G2329" s="177" t="str">
        <f>IF(B2329="insumo",_xlfn.XLOOKUP($D2329,Insumos!$B$1:$B$764,Insumos!$D$1:$D$764),"")</f>
        <v/>
      </c>
      <c r="H2329" s="177" cm="1">
        <f t="array" ref="H2329">_xlfn.IFS(B2329="Serviço",SUMIFS(H2330:$H$3085,C2330:$C$3085,$C2329),B2329="Insumo",F2329*G2329,B2329="Etapa","")</f>
        <v>935.99</v>
      </c>
      <c r="I2329" s="178" t="s">
        <v>195</v>
      </c>
    </row>
    <row r="2330" spans="1:9" hidden="1" outlineLevel="2" x14ac:dyDescent="0.25">
      <c r="A2330" s="175">
        <f t="shared" si="76"/>
        <v>1</v>
      </c>
      <c r="B2330" s="175" t="s">
        <v>327</v>
      </c>
      <c r="C2330" s="175" t="str">
        <f t="shared" si="74"/>
        <v>Guarda Corpo de Vidro e Aluminio - fornecimento e instalação</v>
      </c>
      <c r="D2330" s="175" t="s">
        <v>847</v>
      </c>
      <c r="E2330" s="176" t="str">
        <f>_xlfn.XLOOKUP(D2330,Insumos!$B$1:$B$764,Insumos!$C$1:$C$764)</f>
        <v>M2</v>
      </c>
      <c r="F2330" s="179">
        <v>1</v>
      </c>
      <c r="G2330" s="177">
        <f>IF(B2330="insumo",_xlfn.XLOOKUP($D2330,Insumos!$B$1:$B$764,Insumos!$D$1:$D$764),"")</f>
        <v>935.99</v>
      </c>
      <c r="H2330" s="177" cm="1">
        <f t="array" ref="H2330">_xlfn.IFS(B2330="Serviço",SUMIFS(H2331:$H$3085,C2331:$C$3085,$C2330),B2330="Insumo",F2330*G2330,B2330="Etapa","")</f>
        <v>935.99</v>
      </c>
      <c r="I2330" s="178"/>
    </row>
    <row r="2331" spans="1:9" outlineLevel="1" collapsed="1" x14ac:dyDescent="0.25">
      <c r="A2331" s="175">
        <f t="shared" si="76"/>
        <v>1</v>
      </c>
      <c r="B2331" s="175" t="s">
        <v>109</v>
      </c>
      <c r="C2331" s="175" t="str">
        <f t="shared" si="74"/>
        <v>Guarda Corpo de aluminio (gradil) - fornecimento e instalação</v>
      </c>
      <c r="D2331" s="175" t="s">
        <v>848</v>
      </c>
      <c r="E2331" s="176" t="s">
        <v>13</v>
      </c>
      <c r="F2331" s="175"/>
      <c r="G2331" s="177" t="str">
        <f>IF(B2331="insumo",_xlfn.XLOOKUP($D2331,Insumos!$B$1:$B$764,Insumos!$D$1:$D$764),"")</f>
        <v/>
      </c>
      <c r="H2331" s="177" cm="1">
        <f t="array" ref="H2331">_xlfn.IFS(B2331="Serviço",SUMIFS(H2332:$H$3085,C2332:$C$3085,$C2331),B2331="Insumo",F2331*G2331,B2331="Etapa","")</f>
        <v>599.91</v>
      </c>
      <c r="I2331" s="178" t="s">
        <v>195</v>
      </c>
    </row>
    <row r="2332" spans="1:9" hidden="1" outlineLevel="2" x14ac:dyDescent="0.25">
      <c r="A2332" s="175">
        <f t="shared" si="76"/>
        <v>2</v>
      </c>
      <c r="B2332" s="175" t="s">
        <v>327</v>
      </c>
      <c r="C2332" s="175" t="str">
        <f t="shared" si="74"/>
        <v>Guarda Corpo de aluminio (gradil) - fornecimento e instalação</v>
      </c>
      <c r="D2332" s="175" t="s">
        <v>848</v>
      </c>
      <c r="E2332" s="176" t="str">
        <f>_xlfn.XLOOKUP(D2332,Insumos!$B$1:$B$764,Insumos!$C$1:$C$764)</f>
        <v>M2</v>
      </c>
      <c r="F2332" s="179">
        <v>1</v>
      </c>
      <c r="G2332" s="177">
        <f>IF(B2332="insumo",_xlfn.XLOOKUP($D2332,Insumos!$B$1:$B$764,Insumos!$D$1:$D$764),"")</f>
        <v>599.91</v>
      </c>
      <c r="H2332" s="177" cm="1">
        <f t="array" ref="H2332">_xlfn.IFS(B2332="Serviço",SUMIFS(H2333:$H$3085,C2333:$C$3085,$C2332),B2332="Insumo",F2332*G2332,B2332="Etapa","")</f>
        <v>599.91</v>
      </c>
      <c r="I2332" s="178"/>
    </row>
    <row r="2333" spans="1:9" outlineLevel="1" collapsed="1" x14ac:dyDescent="0.25">
      <c r="A2333" s="175">
        <f t="shared" si="76"/>
        <v>1</v>
      </c>
      <c r="B2333" s="175" t="s">
        <v>109</v>
      </c>
      <c r="C2333" s="175" t="str">
        <f t="shared" si="74"/>
        <v>Gradil - fornecimento e instalação</v>
      </c>
      <c r="D2333" s="175" t="s">
        <v>2862</v>
      </c>
      <c r="E2333" s="176" t="s">
        <v>13</v>
      </c>
      <c r="F2333" s="175"/>
      <c r="G2333" s="177" t="str">
        <f>IF(B2333="insumo",_xlfn.XLOOKUP($D2333,Insumos!$B$1:$B$764,Insumos!$D$1:$D$764),"")</f>
        <v/>
      </c>
      <c r="H2333" s="177" cm="1">
        <f t="array" ref="H2333">_xlfn.IFS(B2333="Serviço",SUMIFS(H2334:$H$3085,C2334:$C$3085,$C2333),B2333="Insumo",F2333*G2333,B2333="Etapa","")</f>
        <v>599.91</v>
      </c>
      <c r="I2333" s="178" t="s">
        <v>195</v>
      </c>
    </row>
    <row r="2334" spans="1:9" hidden="1" outlineLevel="2" x14ac:dyDescent="0.25">
      <c r="A2334" s="175">
        <f t="shared" si="76"/>
        <v>2</v>
      </c>
      <c r="B2334" s="175" t="s">
        <v>327</v>
      </c>
      <c r="C2334" s="175" t="str">
        <f t="shared" si="74"/>
        <v>Gradil - fornecimento e instalação</v>
      </c>
      <c r="D2334" s="175" t="s">
        <v>848</v>
      </c>
      <c r="E2334" s="176" t="str">
        <f>_xlfn.XLOOKUP(D2334,Insumos!$B$1:$B$764,Insumos!$C$1:$C$764)</f>
        <v>M2</v>
      </c>
      <c r="F2334" s="179">
        <v>1</v>
      </c>
      <c r="G2334" s="177">
        <f>IF(B2334="insumo",_xlfn.XLOOKUP($D2334,Insumos!$B$1:$B$764,Insumos!$D$1:$D$764),"")</f>
        <v>599.91</v>
      </c>
      <c r="H2334" s="177" cm="1">
        <f t="array" ref="H2334">_xlfn.IFS(B2334="Serviço",SUMIFS(H2335:$H$3085,C2335:$C$3085,$C2334),B2334="Insumo",F2334*G2334,B2334="Etapa","")</f>
        <v>599.91</v>
      </c>
      <c r="I2334" s="178"/>
    </row>
    <row r="2335" spans="1:9" outlineLevel="1" x14ac:dyDescent="0.25">
      <c r="A2335" s="175">
        <f t="shared" si="76"/>
        <v>1</v>
      </c>
      <c r="B2335" s="175" t="s">
        <v>109</v>
      </c>
      <c r="C2335" s="175" t="str">
        <f t="shared" si="74"/>
        <v>Guarda Corpo metálico (gradil) - fornecimento e instalação</v>
      </c>
      <c r="D2335" s="175" t="s">
        <v>5117</v>
      </c>
      <c r="E2335" s="176" t="s">
        <v>13</v>
      </c>
      <c r="F2335" s="175"/>
      <c r="G2335" s="177" t="str">
        <f>IF(B2335="insumo",_xlfn.XLOOKUP($D2335,Insumos!$B$1:$B$764,Insumos!$D$1:$D$764),"")</f>
        <v/>
      </c>
      <c r="H2335" s="177" cm="1">
        <f t="array" ref="H2335">_xlfn.IFS(B2335="Serviço",SUMIFS(H2336:$H$3085,C2336:$C$3085,$C2335),B2335="Insumo",F2335*G2335,B2335="Etapa","")</f>
        <v>600</v>
      </c>
      <c r="I2335" s="178" t="s">
        <v>195</v>
      </c>
    </row>
    <row r="2336" spans="1:9" outlineLevel="2" x14ac:dyDescent="0.25">
      <c r="A2336" s="175">
        <f t="shared" si="76"/>
        <v>1</v>
      </c>
      <c r="B2336" s="175" t="s">
        <v>327</v>
      </c>
      <c r="C2336" s="175" t="str">
        <f t="shared" si="74"/>
        <v>Guarda Corpo metálico (gradil) - fornecimento e instalação</v>
      </c>
      <c r="D2336" s="175" t="s">
        <v>5117</v>
      </c>
      <c r="E2336" s="176" t="str">
        <f>_xlfn.XLOOKUP(D2336,Insumos!$B$1:$B$764,Insumos!$C$1:$C$764)</f>
        <v>M2</v>
      </c>
      <c r="F2336" s="179">
        <v>1</v>
      </c>
      <c r="G2336" s="177">
        <f>IF(B2336="insumo",_xlfn.XLOOKUP($D2336,Insumos!$B$1:$B$764,Insumos!$D$1:$D$764),"")</f>
        <v>600</v>
      </c>
      <c r="H2336" s="177" cm="1">
        <f t="array" ref="H2336">_xlfn.IFS(B2336="Serviço",SUMIFS(H2337:$H$3085,C2337:$C$3085,$C2336),B2336="Insumo",F2336*G2336,B2336="Etapa","")</f>
        <v>600</v>
      </c>
      <c r="I2336" s="178"/>
    </row>
    <row r="2337" spans="1:9" outlineLevel="1" collapsed="1" x14ac:dyDescent="0.25">
      <c r="A2337" s="175">
        <f t="shared" si="76"/>
        <v>1</v>
      </c>
      <c r="B2337" s="175" t="s">
        <v>109</v>
      </c>
      <c r="C2337" s="175" t="str">
        <f t="shared" si="74"/>
        <v>Pele de vidro</v>
      </c>
      <c r="D2337" s="175" t="s">
        <v>262</v>
      </c>
      <c r="E2337" s="176" t="s">
        <v>13</v>
      </c>
      <c r="F2337" s="175"/>
      <c r="G2337" s="177" t="str">
        <f>IF(B2337="insumo",_xlfn.XLOOKUP($D2337,Insumos!$B$1:$B$764,Insumos!$D$1:$D$764),"")</f>
        <v/>
      </c>
      <c r="H2337" s="177" cm="1">
        <f t="array" ref="H2337">_xlfn.IFS(B2337="Serviço",SUMIFS(H2338:$H$3085,C2338:$C$3085,$C2337),B2337="Insumo",F2337*G2337,B2337="Etapa","")</f>
        <v>1533.99</v>
      </c>
      <c r="I2337" s="178" t="s">
        <v>195</v>
      </c>
    </row>
    <row r="2338" spans="1:9" hidden="1" outlineLevel="2" x14ac:dyDescent="0.25">
      <c r="A2338" s="175">
        <f t="shared" si="76"/>
        <v>1</v>
      </c>
      <c r="B2338" s="175" t="s">
        <v>327</v>
      </c>
      <c r="C2338" s="175" t="str">
        <f t="shared" si="74"/>
        <v>Pele de vidro</v>
      </c>
      <c r="D2338" s="175" t="s">
        <v>262</v>
      </c>
      <c r="E2338" s="176" t="str">
        <f>_xlfn.XLOOKUP(D2338,Insumos!$B$1:$B$764,Insumos!$C$1:$C$764)</f>
        <v>M2</v>
      </c>
      <c r="F2338" s="179">
        <v>1</v>
      </c>
      <c r="G2338" s="177">
        <f>IF(B2338="insumo",_xlfn.XLOOKUP($D2338,Insumos!$B$1:$B$764,Insumos!$D$1:$D$764),"")</f>
        <v>1533.99</v>
      </c>
      <c r="H2338" s="177" cm="1">
        <f t="array" ref="H2338">_xlfn.IFS(B2338="Serviço",SUMIFS(H2339:$H$3085,C2339:$C$3085,$C2338),B2338="Insumo",F2338*G2338,B2338="Etapa","")</f>
        <v>1533.99</v>
      </c>
      <c r="I2338" s="178"/>
    </row>
    <row r="2339" spans="1:9" outlineLevel="1" collapsed="1" x14ac:dyDescent="0.25">
      <c r="A2339" s="175">
        <f t="shared" si="76"/>
        <v>1</v>
      </c>
      <c r="B2339" s="175" t="s">
        <v>109</v>
      </c>
      <c r="C2339" s="175" t="str">
        <f t="shared" si="74"/>
        <v>Alçapão de aluminio</v>
      </c>
      <c r="D2339" s="175" t="s">
        <v>849</v>
      </c>
      <c r="E2339" s="176" t="s">
        <v>13</v>
      </c>
      <c r="F2339" s="175"/>
      <c r="G2339" s="177" t="str">
        <f>IF(B2339="insumo",_xlfn.XLOOKUP($D2339,Insumos!$B$1:$B$764,Insumos!$D$1:$D$764),"")</f>
        <v/>
      </c>
      <c r="H2339" s="177" cm="1">
        <f t="array" ref="H2339">_xlfn.IFS(B2339="Serviço",SUMIFS(H2340:$H$3085,C2340:$C$3085,$C2339),B2339="Insumo",F2339*G2339,B2339="Etapa","")</f>
        <v>1014</v>
      </c>
      <c r="I2339" s="178" t="s">
        <v>195</v>
      </c>
    </row>
    <row r="2340" spans="1:9" hidden="1" outlineLevel="2" x14ac:dyDescent="0.25">
      <c r="A2340" s="175">
        <f t="shared" si="76"/>
        <v>1</v>
      </c>
      <c r="B2340" s="175" t="s">
        <v>327</v>
      </c>
      <c r="C2340" s="175" t="str">
        <f t="shared" si="74"/>
        <v>Alçapão de aluminio</v>
      </c>
      <c r="D2340" s="175" t="s">
        <v>849</v>
      </c>
      <c r="E2340" s="176" t="str">
        <f>_xlfn.XLOOKUP(D2340,Insumos!$B$1:$B$764,Insumos!$C$1:$C$764)</f>
        <v>un</v>
      </c>
      <c r="F2340" s="179">
        <v>1</v>
      </c>
      <c r="G2340" s="177">
        <f>IF(B2340="insumo",_xlfn.XLOOKUP($D2340,Insumos!$B$1:$B$764,Insumos!$D$1:$D$764),"")</f>
        <v>1014</v>
      </c>
      <c r="H2340" s="177" cm="1">
        <f t="array" ref="H2340">_xlfn.IFS(B2340="Serviço",SUMIFS(H2341:$H$3085,C2341:$C$3085,$C2340),B2340="Insumo",F2340*G2340,B2340="Etapa","")</f>
        <v>1014</v>
      </c>
      <c r="I2340" s="178"/>
    </row>
    <row r="2341" spans="1:9" outlineLevel="1" collapsed="1" x14ac:dyDescent="0.25">
      <c r="A2341" s="175">
        <f t="shared" si="76"/>
        <v>1</v>
      </c>
      <c r="B2341" s="175" t="s">
        <v>109</v>
      </c>
      <c r="C2341" s="175" t="str">
        <f t="shared" si="74"/>
        <v>Portão de vidro - 85x280 cm</v>
      </c>
      <c r="D2341" s="175" t="s">
        <v>850</v>
      </c>
      <c r="E2341" s="176" t="s">
        <v>13</v>
      </c>
      <c r="F2341" s="175"/>
      <c r="G2341" s="177" t="str">
        <f>IF(B2341="insumo",_xlfn.XLOOKUP($D2341,Insumos!$B$1:$B$764,Insumos!$D$1:$D$764),"")</f>
        <v/>
      </c>
      <c r="H2341" s="177" cm="1">
        <f t="array" ref="H2341">_xlfn.IFS(B2341="Serviço",SUMIFS(H2342:$H$3085,C2342:$C$3085,$C2341),B2341="Insumo",F2341*G2341,B2341="Etapa","")</f>
        <v>3893.2833333333333</v>
      </c>
      <c r="I2341" s="178" t="s">
        <v>195</v>
      </c>
    </row>
    <row r="2342" spans="1:9" hidden="1" outlineLevel="2" x14ac:dyDescent="0.25">
      <c r="A2342" s="175">
        <f t="shared" si="76"/>
        <v>1</v>
      </c>
      <c r="B2342" s="175" t="s">
        <v>327</v>
      </c>
      <c r="C2342" s="175" t="str">
        <f t="shared" si="74"/>
        <v>Portão de vidro - 85x280 cm</v>
      </c>
      <c r="D2342" s="175" t="s">
        <v>850</v>
      </c>
      <c r="E2342" s="176" t="str">
        <f>_xlfn.XLOOKUP(D2342,Insumos!$B$1:$B$764,Insumos!$C$1:$C$764)</f>
        <v>M2</v>
      </c>
      <c r="F2342" s="179">
        <v>1</v>
      </c>
      <c r="G2342" s="177">
        <f>IF(B2342="insumo",_xlfn.XLOOKUP($D2342,Insumos!$B$1:$B$764,Insumos!$D$1:$D$764),"")</f>
        <v>3893.2833333333333</v>
      </c>
      <c r="H2342" s="177" cm="1">
        <f t="array" ref="H2342">_xlfn.IFS(B2342="Serviço",SUMIFS(H2343:$H$3085,C2343:$C$3085,$C2342),B2342="Insumo",F2342*G2342,B2342="Etapa","")</f>
        <v>3893.2833333333333</v>
      </c>
      <c r="I2342" s="178"/>
    </row>
    <row r="2343" spans="1:9" outlineLevel="1" collapsed="1" x14ac:dyDescent="0.25">
      <c r="A2343" s="175">
        <f t="shared" si="76"/>
        <v>1</v>
      </c>
      <c r="B2343" s="175" t="s">
        <v>109</v>
      </c>
      <c r="C2343" s="175" t="str">
        <f t="shared" si="74"/>
        <v>Moldura em alumínio para churrasqueiras - fornecimento e instalação</v>
      </c>
      <c r="D2343" s="175" t="s">
        <v>851</v>
      </c>
      <c r="E2343" s="176" t="s">
        <v>25</v>
      </c>
      <c r="F2343" s="175"/>
      <c r="G2343" s="177" t="str">
        <f>IF(B2343="insumo",_xlfn.XLOOKUP($D2343,Insumos!$B$1:$B$764,Insumos!$D$1:$D$764),"")</f>
        <v/>
      </c>
      <c r="H2343" s="177" cm="1">
        <f t="array" ref="H2343">_xlfn.IFS(B2343="Serviço",SUMIFS(H2344:$H$3085,C2344:$C$3085,$C2343),B2343="Insumo",F2343*G2343,B2343="Etapa","")</f>
        <v>530</v>
      </c>
      <c r="I2343" s="178" t="s">
        <v>195</v>
      </c>
    </row>
    <row r="2344" spans="1:9" hidden="1" outlineLevel="2" x14ac:dyDescent="0.25">
      <c r="A2344" s="175">
        <f t="shared" si="76"/>
        <v>1</v>
      </c>
      <c r="B2344" s="175" t="s">
        <v>327</v>
      </c>
      <c r="C2344" s="175" t="str">
        <f t="shared" si="74"/>
        <v>Moldura em alumínio para churrasqueiras - fornecimento e instalação</v>
      </c>
      <c r="D2344" s="175" t="s">
        <v>851</v>
      </c>
      <c r="E2344" s="176" t="str">
        <f>_xlfn.XLOOKUP(D2344,Insumos!$B$1:$B$764,Insumos!$C$1:$C$764)</f>
        <v>M</v>
      </c>
      <c r="F2344" s="179">
        <v>1</v>
      </c>
      <c r="G2344" s="177">
        <f>IF(B2344="insumo",_xlfn.XLOOKUP($D2344,Insumos!$B$1:$B$764,Insumos!$D$1:$D$764),"")</f>
        <v>530</v>
      </c>
      <c r="H2344" s="177" cm="1">
        <f t="array" ref="H2344">_xlfn.IFS(B2344="Serviço",SUMIFS(H2345:$H$3085,C2345:$C$3085,$C2344),B2344="Insumo",F2344*G2344,B2344="Etapa","")</f>
        <v>530</v>
      </c>
      <c r="I2344" s="178"/>
    </row>
    <row r="2345" spans="1:9" outlineLevel="1" x14ac:dyDescent="0.25">
      <c r="A2345" s="175">
        <f t="shared" si="76"/>
        <v>1</v>
      </c>
      <c r="B2345" s="175" t="s">
        <v>109</v>
      </c>
      <c r="C2345" s="175" t="str">
        <f t="shared" si="74"/>
        <v>Enchimento - Esquadrias</v>
      </c>
      <c r="D2345" s="175" t="s">
        <v>852</v>
      </c>
      <c r="E2345" s="176" t="s">
        <v>390</v>
      </c>
      <c r="F2345" s="175"/>
      <c r="G2345" s="177" t="str">
        <f>IF(B2345="insumo",_xlfn.XLOOKUP($D2345,Insumos!$B$1:$B$764,Insumos!$D$1:$D$764),"")</f>
        <v/>
      </c>
      <c r="H2345" s="177" cm="1">
        <f t="array" ref="H2345">_xlfn.IFS(B2345="Serviço",SUMIFS(H2346:$H$3085,C2346:$C$3085,$C2345),B2345="Insumo",F2345*G2345,B2345="Etapa","")</f>
        <v>1478.7500000000002</v>
      </c>
      <c r="I2345" s="178" t="s">
        <v>195</v>
      </c>
    </row>
    <row r="2346" spans="1:9" outlineLevel="2" x14ac:dyDescent="0.25">
      <c r="A2346" s="175">
        <f t="shared" si="76"/>
        <v>23</v>
      </c>
      <c r="B2346" s="175" t="s">
        <v>327</v>
      </c>
      <c r="C2346" s="175" t="str">
        <f t="shared" si="74"/>
        <v>Enchimento - Esquadrias</v>
      </c>
      <c r="D2346" s="175" t="s">
        <v>536</v>
      </c>
      <c r="E2346" s="176" t="str">
        <f>_xlfn.XLOOKUP(D2346,Insumos!$B$1:$B$764,Insumos!$C$1:$C$764)</f>
        <v>M3</v>
      </c>
      <c r="F2346" s="179">
        <v>0.35</v>
      </c>
      <c r="G2346" s="177">
        <f>IF(B2346="insumo",_xlfn.XLOOKUP($D2346,Insumos!$B$1:$B$764,Insumos!$D$1:$D$764),"")</f>
        <v>425</v>
      </c>
      <c r="H2346" s="177" cm="1">
        <f t="array" ref="H2346">_xlfn.IFS(B2346="Serviço",SUMIFS(H2347:$H$3085,C2347:$C$3085,$C2346),B2346="Insumo",F2346*G2346,B2346="Etapa","")</f>
        <v>148.75</v>
      </c>
      <c r="I2346" s="178"/>
    </row>
    <row r="2347" spans="1:9" outlineLevel="2" x14ac:dyDescent="0.25">
      <c r="A2347" s="175">
        <f t="shared" si="76"/>
        <v>3</v>
      </c>
      <c r="B2347" s="175" t="s">
        <v>327</v>
      </c>
      <c r="C2347" s="175" t="str">
        <f t="shared" si="74"/>
        <v>Enchimento - Esquadrias</v>
      </c>
      <c r="D2347" s="175" t="s">
        <v>584</v>
      </c>
      <c r="E2347" s="176" t="str">
        <f>_xlfn.XLOOKUP(D2347,Insumos!$B$1:$B$764,Insumos!$C$1:$C$764)</f>
        <v>KG</v>
      </c>
      <c r="F2347" s="179">
        <v>7.0000000000000009</v>
      </c>
      <c r="G2347" s="177">
        <f>IF(B2347="insumo",_xlfn.XLOOKUP($D2347,Insumos!$B$1:$B$764,Insumos!$D$1:$D$764),"")</f>
        <v>190</v>
      </c>
      <c r="H2347" s="177" cm="1">
        <f t="array" ref="H2347">_xlfn.IFS(B2347="Serviço",SUMIFS(H2348:$H$3085,C2348:$C$3085,$C2347),B2347="Insumo",F2347*G2347,B2347="Etapa","")</f>
        <v>1330.0000000000002</v>
      </c>
      <c r="I2347" s="178"/>
    </row>
    <row r="2348" spans="1:9" outlineLevel="1" collapsed="1" x14ac:dyDescent="0.25">
      <c r="A2348" s="175">
        <f t="shared" si="76"/>
        <v>1</v>
      </c>
      <c r="B2348" s="175" t="s">
        <v>109</v>
      </c>
      <c r="C2348" s="175" t="str">
        <f t="shared" si="74"/>
        <v>Corrimão de Madeira - fornecimento e instalação</v>
      </c>
      <c r="D2348" s="175" t="s">
        <v>853</v>
      </c>
      <c r="E2348" s="176" t="s">
        <v>25</v>
      </c>
      <c r="F2348" s="175"/>
      <c r="G2348" s="177" t="str">
        <f>IF(B2348="insumo",_xlfn.XLOOKUP($D2348,Insumos!$B$1:$B$764,Insumos!$D$1:$D$764),"")</f>
        <v/>
      </c>
      <c r="H2348" s="177" cm="1">
        <f t="array" ref="H2348">_xlfn.IFS(B2348="Serviço",SUMIFS(H2349:$H$3085,C2349:$C$3085,$C2348),B2348="Insumo",F2348*G2348,B2348="Etapa","")</f>
        <v>80</v>
      </c>
      <c r="I2348" s="178" t="s">
        <v>195</v>
      </c>
    </row>
    <row r="2349" spans="1:9" hidden="1" outlineLevel="2" x14ac:dyDescent="0.25">
      <c r="A2349" s="175">
        <f t="shared" si="76"/>
        <v>1</v>
      </c>
      <c r="B2349" s="175" t="s">
        <v>327</v>
      </c>
      <c r="C2349" s="175" t="str">
        <f t="shared" si="74"/>
        <v>Corrimão de Madeira - fornecimento e instalação</v>
      </c>
      <c r="D2349" s="175" t="s">
        <v>853</v>
      </c>
      <c r="E2349" s="176" t="str">
        <f>_xlfn.XLOOKUP(D2349,Insumos!$B$1:$B$764,Insumos!$C$1:$C$764)</f>
        <v>M</v>
      </c>
      <c r="F2349" s="179">
        <v>1</v>
      </c>
      <c r="G2349" s="177">
        <f>IF(B2349="insumo",_xlfn.XLOOKUP($D2349,Insumos!$B$1:$B$764,Insumos!$D$1:$D$764),"")</f>
        <v>80</v>
      </c>
      <c r="H2349" s="177" cm="1">
        <f t="array" ref="H2349">_xlfn.IFS(B2349="Serviço",SUMIFS(H2352:$H$3085,C2352:$C$3085,$C2349),B2349="Insumo",F2349*G2349,B2349="Etapa","")</f>
        <v>80</v>
      </c>
      <c r="I2349" s="178"/>
    </row>
    <row r="2350" spans="1:9" outlineLevel="1" x14ac:dyDescent="0.25">
      <c r="A2350" s="175">
        <f t="shared" si="76"/>
        <v>1</v>
      </c>
      <c r="B2350" s="175" t="s">
        <v>109</v>
      </c>
      <c r="C2350" s="175" t="str">
        <f t="shared" ref="C2350:C2357" si="79">IF(B2350="serviço",D2350,C2349)</f>
        <v>Corrimão Metálico Duplo - fornecimento e instalação</v>
      </c>
      <c r="D2350" s="175" t="s">
        <v>6930</v>
      </c>
      <c r="E2350" s="176" t="s">
        <v>25</v>
      </c>
      <c r="F2350" s="175"/>
      <c r="G2350" s="177" t="str">
        <f>IF(B2350="insumo",_xlfn.XLOOKUP($D2350,Insumos!$B$1:$B$764,Insumos!$D$1:$D$764),"")</f>
        <v/>
      </c>
      <c r="H2350" s="177" cm="1">
        <f t="array" ref="H2350">_xlfn.IFS(B2350="Serviço",SUMIFS(H2351:$H$3085,C2351:$C$3085,$C2350),B2350="Insumo",F2350*G2350,B2350="Etapa","")</f>
        <v>98.79</v>
      </c>
      <c r="I2350" s="178" t="s">
        <v>195</v>
      </c>
    </row>
    <row r="2351" spans="1:9" outlineLevel="2" x14ac:dyDescent="0.25">
      <c r="A2351" s="175">
        <f t="shared" si="76"/>
        <v>1</v>
      </c>
      <c r="B2351" s="175" t="s">
        <v>327</v>
      </c>
      <c r="C2351" s="175" t="str">
        <f t="shared" si="79"/>
        <v>Corrimão Metálico Duplo - fornecimento e instalação</v>
      </c>
      <c r="D2351" s="175" t="s">
        <v>6930</v>
      </c>
      <c r="E2351" s="176" t="str">
        <f>_xlfn.XLOOKUP(D2351,Insumos!$B$1:$B$764,Insumos!$C$1:$C$764)</f>
        <v>M</v>
      </c>
      <c r="F2351" s="179">
        <v>1</v>
      </c>
      <c r="G2351" s="177">
        <f>IF(B2351="insumo",_xlfn.XLOOKUP($D2351,Insumos!$B$1:$B$764,Insumos!$D$1:$D$764),"")</f>
        <v>98.79</v>
      </c>
      <c r="H2351" s="177" cm="1">
        <f t="array" ref="H2351">_xlfn.IFS(B2351="Serviço",SUMIFS(H2352:$H$3085,C2352:$C$3085,$C2351),B2351="Insumo",F2351*G2351,B2351="Etapa","")</f>
        <v>98.79</v>
      </c>
      <c r="I2351" s="178"/>
    </row>
    <row r="2352" spans="1:9" outlineLevel="1" x14ac:dyDescent="0.25">
      <c r="A2352" s="175">
        <f t="shared" si="76"/>
        <v>1</v>
      </c>
      <c r="B2352" s="175" t="s">
        <v>109</v>
      </c>
      <c r="C2352" s="175" t="str">
        <f t="shared" si="79"/>
        <v>Corrimão de inox - fornecimento e instalação</v>
      </c>
      <c r="D2352" s="175" t="s">
        <v>854</v>
      </c>
      <c r="E2352" s="176" t="s">
        <v>25</v>
      </c>
      <c r="F2352" s="175"/>
      <c r="G2352" s="177" t="str">
        <f>IF(B2352="insumo",_xlfn.XLOOKUP($D2352,Insumos!$B$1:$B$764,Insumos!$D$1:$D$764),"")</f>
        <v/>
      </c>
      <c r="H2352" s="177" cm="1">
        <f t="array" ref="H2352">_xlfn.IFS(B2352="Serviço",SUMIFS(H2353:$H$3085,C2353:$C$3085,$C2352),B2352="Insumo",F2352*G2352,B2352="Etapa","")</f>
        <v>650</v>
      </c>
      <c r="I2352" s="178" t="s">
        <v>195</v>
      </c>
    </row>
    <row r="2353" spans="1:9" outlineLevel="2" x14ac:dyDescent="0.25">
      <c r="A2353" s="175">
        <f t="shared" si="76"/>
        <v>1</v>
      </c>
      <c r="B2353" s="175" t="s">
        <v>327</v>
      </c>
      <c r="C2353" s="175" t="str">
        <f t="shared" si="79"/>
        <v>Corrimão de inox - fornecimento e instalação</v>
      </c>
      <c r="D2353" s="175" t="s">
        <v>854</v>
      </c>
      <c r="E2353" s="176" t="str">
        <f>_xlfn.XLOOKUP(D2353,Insumos!$B$1:$B$764,Insumos!$C$1:$C$764)</f>
        <v>M</v>
      </c>
      <c r="F2353" s="179">
        <v>1</v>
      </c>
      <c r="G2353" s="177">
        <f>IF(B2353="insumo",_xlfn.XLOOKUP($D2353,Insumos!$B$1:$B$764,Insumos!$D$1:$D$764),"")</f>
        <v>650</v>
      </c>
      <c r="H2353" s="177" cm="1">
        <f t="array" ref="H2353">_xlfn.IFS(B2353="Serviço",SUMIFS(H2354:$H$3085,C2354:$C$3085,$C2353),B2353="Insumo",F2353*G2353,B2353="Etapa","")</f>
        <v>650</v>
      </c>
      <c r="I2353" s="178"/>
    </row>
    <row r="2354" spans="1:9" outlineLevel="1" collapsed="1" x14ac:dyDescent="0.25">
      <c r="A2354" s="175">
        <f t="shared" si="76"/>
        <v>1</v>
      </c>
      <c r="B2354" s="175" t="s">
        <v>109</v>
      </c>
      <c r="C2354" s="175" t="str">
        <f t="shared" si="79"/>
        <v>Porta de madeira de abrir - 60x150cm (kit completo) - fixação com espuma expansiva</v>
      </c>
      <c r="D2354" s="175" t="s">
        <v>1984</v>
      </c>
      <c r="E2354" s="176" t="s">
        <v>13</v>
      </c>
      <c r="F2354" s="175"/>
      <c r="G2354" s="177" t="str">
        <f>IF(B2354="insumo",_xlfn.XLOOKUP($D2354,Insumos!$B$1:$B$764,Insumos!$D$1:$D$764),"")</f>
        <v/>
      </c>
      <c r="H2354" s="177" cm="1">
        <f t="array" ref="H2354">_xlfn.IFS(B2354="Serviço",SUMIFS(H2355:$H$3085,C2355:$C$3085,$C2354),B2354="Insumo",F2354*G2354,B2354="Etapa","")</f>
        <v>1055</v>
      </c>
      <c r="I2354" s="178" t="s">
        <v>195</v>
      </c>
    </row>
    <row r="2355" spans="1:9" hidden="1" outlineLevel="2" x14ac:dyDescent="0.25">
      <c r="A2355" s="175">
        <f t="shared" si="76"/>
        <v>1</v>
      </c>
      <c r="B2355" s="175" t="s">
        <v>327</v>
      </c>
      <c r="C2355" s="175" t="str">
        <f t="shared" si="79"/>
        <v>Porta de madeira de abrir - 60x150cm (kit completo) - fixação com espuma expansiva</v>
      </c>
      <c r="D2355" s="175" t="s">
        <v>1985</v>
      </c>
      <c r="E2355" s="176" t="str">
        <f>_xlfn.XLOOKUP(D2355,Insumos!$B$1:$B$764,Insumos!$C$1:$C$764)</f>
        <v>M2</v>
      </c>
      <c r="F2355" s="179">
        <v>1</v>
      </c>
      <c r="G2355" s="177">
        <f>IF(B2355="insumo",_xlfn.XLOOKUP($D2355,Insumos!$B$1:$B$764,Insumos!$D$1:$D$764),"")</f>
        <v>1000</v>
      </c>
      <c r="H2355" s="177" cm="1">
        <f t="array" ref="H2355">_xlfn.IFS(B2355="Serviço",SUMIFS(H2356:$H$3085,C2356:$C$3085,$C2355),B2355="Insumo",F2355*G2355,B2355="Etapa","")</f>
        <v>1000</v>
      </c>
      <c r="I2355" s="178"/>
    </row>
    <row r="2356" spans="1:9" hidden="1" outlineLevel="2" x14ac:dyDescent="0.25">
      <c r="A2356" s="175">
        <f t="shared" si="76"/>
        <v>21</v>
      </c>
      <c r="B2356" s="175" t="s">
        <v>327</v>
      </c>
      <c r="C2356" s="175" t="str">
        <f t="shared" si="79"/>
        <v>Porta de madeira de abrir - 60x150cm (kit completo) - fixação com espuma expansiva</v>
      </c>
      <c r="D2356" s="175" t="s">
        <v>857</v>
      </c>
      <c r="E2356" s="176" t="str">
        <f>_xlfn.XLOOKUP(D2356,Insumos!$B$1:$B$764,Insumos!$C$1:$C$764)</f>
        <v>un</v>
      </c>
      <c r="F2356" s="179">
        <v>1</v>
      </c>
      <c r="G2356" s="177">
        <f>IF(B2356="insumo",_xlfn.XLOOKUP($D2356,Insumos!$B$1:$B$764,Insumos!$D$1:$D$764),"")</f>
        <v>55</v>
      </c>
      <c r="H2356" s="177" cm="1">
        <f t="array" ref="H2356">_xlfn.IFS(B2356="Serviço",SUMIFS(H2357:$H$3085,C2357:$C$3085,$C2356),B2356="Insumo",F2356*G2356,B2356="Etapa","")</f>
        <v>55</v>
      </c>
      <c r="I2356" s="178"/>
    </row>
    <row r="2357" spans="1:9" outlineLevel="1" collapsed="1" x14ac:dyDescent="0.25">
      <c r="A2357" s="175">
        <f t="shared" si="76"/>
        <v>1</v>
      </c>
      <c r="B2357" s="175" t="s">
        <v>109</v>
      </c>
      <c r="C2357" s="175" t="str">
        <f t="shared" si="79"/>
        <v>Porta de madeira de abrir - 60x215cm (kit completo) - fixação com espuma expansiva</v>
      </c>
      <c r="D2357" s="175" t="s">
        <v>855</v>
      </c>
      <c r="E2357" s="176" t="s">
        <v>13</v>
      </c>
      <c r="F2357" s="175"/>
      <c r="G2357" s="177" t="str">
        <f>IF(B2357="insumo",_xlfn.XLOOKUP($D2357,Insumos!$B$1:$B$764,Insumos!$D$1:$D$764),"")</f>
        <v/>
      </c>
      <c r="H2357" s="177" cm="1">
        <f t="array" ref="H2357">_xlfn.IFS(B2357="Serviço",SUMIFS(H2358:$H$3085,C2358:$C$3085,$C2357),B2357="Insumo",F2357*G2357,B2357="Etapa","")</f>
        <v>1355</v>
      </c>
      <c r="I2357" s="178" t="s">
        <v>195</v>
      </c>
    </row>
    <row r="2358" spans="1:9" hidden="1" outlineLevel="2" x14ac:dyDescent="0.25">
      <c r="A2358" s="175">
        <f t="shared" si="76"/>
        <v>1</v>
      </c>
      <c r="B2358" s="175" t="s">
        <v>327</v>
      </c>
      <c r="C2358" s="175" t="str">
        <f t="shared" ref="C2358:C2415" si="80">IF(B2358="serviço",D2358,C2357)</f>
        <v>Porta de madeira de abrir - 60x215cm (kit completo) - fixação com espuma expansiva</v>
      </c>
      <c r="D2358" s="175" t="s">
        <v>856</v>
      </c>
      <c r="E2358" s="176" t="str">
        <f>_xlfn.XLOOKUP(D2358,Insumos!$B$1:$B$764,Insumos!$C$1:$C$764)</f>
        <v>M2</v>
      </c>
      <c r="F2358" s="179">
        <v>1</v>
      </c>
      <c r="G2358" s="177">
        <f>IF(B2358="insumo",_xlfn.XLOOKUP($D2358,Insumos!$B$1:$B$764,Insumos!$D$1:$D$764),"")</f>
        <v>1300</v>
      </c>
      <c r="H2358" s="177" cm="1">
        <f t="array" ref="H2358">_xlfn.IFS(B2358="Serviço",SUMIFS(H2359:$H$3085,C2359:$C$3085,$C2358),B2358="Insumo",F2358*G2358,B2358="Etapa","")</f>
        <v>1300</v>
      </c>
      <c r="I2358" s="178"/>
    </row>
    <row r="2359" spans="1:9" hidden="1" outlineLevel="2" x14ac:dyDescent="0.25">
      <c r="A2359" s="175">
        <f t="shared" si="76"/>
        <v>21</v>
      </c>
      <c r="B2359" s="175" t="s">
        <v>327</v>
      </c>
      <c r="C2359" s="175" t="str">
        <f t="shared" si="80"/>
        <v>Porta de madeira de abrir - 60x215cm (kit completo) - fixação com espuma expansiva</v>
      </c>
      <c r="D2359" s="175" t="s">
        <v>857</v>
      </c>
      <c r="E2359" s="176" t="str">
        <f>_xlfn.XLOOKUP(D2359,Insumos!$B$1:$B$764,Insumos!$C$1:$C$764)</f>
        <v>un</v>
      </c>
      <c r="F2359" s="179">
        <v>1</v>
      </c>
      <c r="G2359" s="177">
        <f>IF(B2359="insumo",_xlfn.XLOOKUP($D2359,Insumos!$B$1:$B$764,Insumos!$D$1:$D$764),"")</f>
        <v>55</v>
      </c>
      <c r="H2359" s="177" cm="1">
        <f t="array" ref="H2359">_xlfn.IFS(B2359="Serviço",SUMIFS(H2360:$H$3085,C2360:$C$3085,$C2359),B2359="Insumo",F2359*G2359,B2359="Etapa","")</f>
        <v>55</v>
      </c>
      <c r="I2359" s="178"/>
    </row>
    <row r="2360" spans="1:9" outlineLevel="1" collapsed="1" x14ac:dyDescent="0.25">
      <c r="A2360" s="175">
        <f t="shared" si="76"/>
        <v>1</v>
      </c>
      <c r="B2360" s="175" t="s">
        <v>109</v>
      </c>
      <c r="C2360" s="175" t="str">
        <f t="shared" si="80"/>
        <v>Porta de madeira de abrir - 70x210cm (kit completo) - fixação com espuma expansiva</v>
      </c>
      <c r="D2360" s="175" t="s">
        <v>858</v>
      </c>
      <c r="E2360" s="176" t="s">
        <v>13</v>
      </c>
      <c r="F2360" s="175"/>
      <c r="G2360" s="177" t="str">
        <f>IF(B2360="insumo",_xlfn.XLOOKUP($D2360,Insumos!$B$1:$B$764,Insumos!$D$1:$D$764),"")</f>
        <v/>
      </c>
      <c r="H2360" s="177" cm="1">
        <f t="array" ref="H2360">_xlfn.IFS(B2360="Serviço",SUMIFS(H2361:$H$3085,C2361:$C$3085,$C2360),B2360="Insumo",F2360*G2360,B2360="Etapa","")</f>
        <v>1355</v>
      </c>
      <c r="I2360" s="178" t="s">
        <v>195</v>
      </c>
    </row>
    <row r="2361" spans="1:9" hidden="1" outlineLevel="2" x14ac:dyDescent="0.25">
      <c r="A2361" s="175">
        <f t="shared" si="76"/>
        <v>1</v>
      </c>
      <c r="B2361" s="175" t="s">
        <v>327</v>
      </c>
      <c r="C2361" s="175" t="str">
        <f t="shared" si="80"/>
        <v>Porta de madeira de abrir - 70x210cm (kit completo) - fixação com espuma expansiva</v>
      </c>
      <c r="D2361" s="175" t="s">
        <v>859</v>
      </c>
      <c r="E2361" s="176" t="str">
        <f>_xlfn.XLOOKUP(D2361,Insumos!$B$1:$B$764,Insumos!$C$1:$C$764)</f>
        <v>M2</v>
      </c>
      <c r="F2361" s="179">
        <v>1</v>
      </c>
      <c r="G2361" s="177">
        <f>IF(B2361="insumo",_xlfn.XLOOKUP($D2361,Insumos!$B$1:$B$764,Insumos!$D$1:$D$764),"")</f>
        <v>1300</v>
      </c>
      <c r="H2361" s="177" cm="1">
        <f t="array" ref="H2361">_xlfn.IFS(B2361="Serviço",SUMIFS(H2362:$H$3085,C2362:$C$3085,$C2361),B2361="Insumo",F2361*G2361,B2361="Etapa","")</f>
        <v>1300</v>
      </c>
      <c r="I2361" s="178"/>
    </row>
    <row r="2362" spans="1:9" hidden="1" outlineLevel="2" x14ac:dyDescent="0.25">
      <c r="A2362" s="175">
        <f t="shared" si="76"/>
        <v>21</v>
      </c>
      <c r="B2362" s="175" t="s">
        <v>327</v>
      </c>
      <c r="C2362" s="175" t="str">
        <f t="shared" si="80"/>
        <v>Porta de madeira de abrir - 70x210cm (kit completo) - fixação com espuma expansiva</v>
      </c>
      <c r="D2362" s="175" t="s">
        <v>857</v>
      </c>
      <c r="E2362" s="176" t="str">
        <f>_xlfn.XLOOKUP(D2362,Insumos!$B$1:$B$764,Insumos!$C$1:$C$764)</f>
        <v>un</v>
      </c>
      <c r="F2362" s="179">
        <v>1</v>
      </c>
      <c r="G2362" s="177">
        <f>IF(B2362="insumo",_xlfn.XLOOKUP($D2362,Insumos!$B$1:$B$764,Insumos!$D$1:$D$764),"")</f>
        <v>55</v>
      </c>
      <c r="H2362" s="177" cm="1">
        <f t="array" ref="H2362">_xlfn.IFS(B2362="Serviço",SUMIFS(H2363:$H$3085,C2363:$C$3085,$C2362),B2362="Insumo",F2362*G2362,B2362="Etapa","")</f>
        <v>55</v>
      </c>
      <c r="I2362" s="178"/>
    </row>
    <row r="2363" spans="1:9" outlineLevel="1" collapsed="1" x14ac:dyDescent="0.25">
      <c r="A2363" s="175">
        <f t="shared" si="76"/>
        <v>1</v>
      </c>
      <c r="B2363" s="175" t="s">
        <v>109</v>
      </c>
      <c r="C2363" s="175" t="str">
        <f t="shared" si="80"/>
        <v>Porta de madeira de abrir - 76x210cm (kit completo) - fixação com espuma expansiva</v>
      </c>
      <c r="D2363" s="175" t="s">
        <v>860</v>
      </c>
      <c r="E2363" s="176" t="s">
        <v>13</v>
      </c>
      <c r="F2363" s="175"/>
      <c r="G2363" s="177" t="str">
        <f>IF(B2363="insumo",_xlfn.XLOOKUP($D2363,Insumos!$B$1:$B$764,Insumos!$D$1:$D$764),"")</f>
        <v/>
      </c>
      <c r="H2363" s="177" cm="1">
        <f t="array" ref="H2363">_xlfn.IFS(B2363="Serviço",SUMIFS(H2364:$H$3085,C2364:$C$3085,$C2363),B2363="Insumo",F2363*G2363,B2363="Etapa","")</f>
        <v>1355</v>
      </c>
      <c r="I2363" s="178" t="s">
        <v>195</v>
      </c>
    </row>
    <row r="2364" spans="1:9" hidden="1" outlineLevel="2" x14ac:dyDescent="0.25">
      <c r="A2364" s="175">
        <f t="shared" si="76"/>
        <v>1</v>
      </c>
      <c r="B2364" s="175" t="s">
        <v>327</v>
      </c>
      <c r="C2364" s="175" t="str">
        <f t="shared" si="80"/>
        <v>Porta de madeira de abrir - 76x210cm (kit completo) - fixação com espuma expansiva</v>
      </c>
      <c r="D2364" s="175" t="s">
        <v>861</v>
      </c>
      <c r="E2364" s="176" t="str">
        <f>_xlfn.XLOOKUP(D2364,Insumos!$B$1:$B$764,Insumos!$C$1:$C$764)</f>
        <v>M2</v>
      </c>
      <c r="F2364" s="179">
        <v>1</v>
      </c>
      <c r="G2364" s="177">
        <f>IF(B2364="insumo",_xlfn.XLOOKUP($D2364,Insumos!$B$1:$B$764,Insumos!$D$1:$D$764),"")</f>
        <v>1300</v>
      </c>
      <c r="H2364" s="177" cm="1">
        <f t="array" ref="H2364">_xlfn.IFS(B2364="Serviço",SUMIFS(H2365:$H$3085,C2365:$C$3085,$C2364),B2364="Insumo",F2364*G2364,B2364="Etapa","")</f>
        <v>1300</v>
      </c>
      <c r="I2364" s="178"/>
    </row>
    <row r="2365" spans="1:9" hidden="1" outlineLevel="2" x14ac:dyDescent="0.25">
      <c r="A2365" s="175">
        <f t="shared" si="76"/>
        <v>21</v>
      </c>
      <c r="B2365" s="175" t="s">
        <v>327</v>
      </c>
      <c r="C2365" s="175" t="str">
        <f t="shared" si="80"/>
        <v>Porta de madeira de abrir - 76x210cm (kit completo) - fixação com espuma expansiva</v>
      </c>
      <c r="D2365" s="175" t="s">
        <v>857</v>
      </c>
      <c r="E2365" s="176" t="str">
        <f>_xlfn.XLOOKUP(D2365,Insumos!$B$1:$B$764,Insumos!$C$1:$C$764)</f>
        <v>un</v>
      </c>
      <c r="F2365" s="179">
        <v>1</v>
      </c>
      <c r="G2365" s="177">
        <f>IF(B2365="insumo",_xlfn.XLOOKUP($D2365,Insumos!$B$1:$B$764,Insumos!$D$1:$D$764),"")</f>
        <v>55</v>
      </c>
      <c r="H2365" s="177" cm="1">
        <f t="array" ref="H2365">_xlfn.IFS(B2365="Serviço",SUMIFS(H2366:$H$3085,C2366:$C$3085,$C2365),B2365="Insumo",F2365*G2365,B2365="Etapa","")</f>
        <v>55</v>
      </c>
      <c r="I2365" s="178"/>
    </row>
    <row r="2366" spans="1:9" outlineLevel="1" collapsed="1" x14ac:dyDescent="0.25">
      <c r="A2366" s="175">
        <f t="shared" si="76"/>
        <v>1</v>
      </c>
      <c r="B2366" s="175" t="s">
        <v>109</v>
      </c>
      <c r="C2366" s="175" t="str">
        <f t="shared" si="80"/>
        <v>Porta de madeira de abrir - 80x215cm (kit completo) - fixação com espuma expansiva</v>
      </c>
      <c r="D2366" s="175" t="s">
        <v>862</v>
      </c>
      <c r="E2366" s="176" t="s">
        <v>13</v>
      </c>
      <c r="F2366" s="175"/>
      <c r="G2366" s="177" t="str">
        <f>IF(B2366="insumo",_xlfn.XLOOKUP($D2366,Insumos!$B$1:$B$764,Insumos!$D$1:$D$764),"")</f>
        <v/>
      </c>
      <c r="H2366" s="177" cm="1">
        <f t="array" ref="H2366">_xlfn.IFS(B2366="Serviço",SUMIFS(H2367:$H$3085,C2367:$C$3085,$C2366),B2366="Insumo",F2366*G2366,B2366="Etapa","")</f>
        <v>1355</v>
      </c>
      <c r="I2366" s="178" t="s">
        <v>195</v>
      </c>
    </row>
    <row r="2367" spans="1:9" hidden="1" outlineLevel="2" x14ac:dyDescent="0.25">
      <c r="A2367" s="175">
        <f t="shared" si="76"/>
        <v>1</v>
      </c>
      <c r="B2367" s="175" t="s">
        <v>327</v>
      </c>
      <c r="C2367" s="175" t="str">
        <f t="shared" si="80"/>
        <v>Porta de madeira de abrir - 80x215cm (kit completo) - fixação com espuma expansiva</v>
      </c>
      <c r="D2367" s="175" t="s">
        <v>863</v>
      </c>
      <c r="E2367" s="176" t="str">
        <f>_xlfn.XLOOKUP(D2367,Insumos!$B$1:$B$764,Insumos!$C$1:$C$764)</f>
        <v>M2</v>
      </c>
      <c r="F2367" s="179">
        <v>1</v>
      </c>
      <c r="G2367" s="177">
        <f>IF(B2367="insumo",_xlfn.XLOOKUP($D2367,Insumos!$B$1:$B$764,Insumos!$D$1:$D$764),"")</f>
        <v>1300</v>
      </c>
      <c r="H2367" s="177" cm="1">
        <f t="array" ref="H2367">_xlfn.IFS(B2367="Serviço",SUMIFS(H2368:$H$3085,C2368:$C$3085,$C2367),B2367="Insumo",F2367*G2367,B2367="Etapa","")</f>
        <v>1300</v>
      </c>
      <c r="I2367" s="178"/>
    </row>
    <row r="2368" spans="1:9" hidden="1" outlineLevel="2" x14ac:dyDescent="0.25">
      <c r="A2368" s="175">
        <f t="shared" si="76"/>
        <v>21</v>
      </c>
      <c r="B2368" s="175" t="s">
        <v>327</v>
      </c>
      <c r="C2368" s="175" t="str">
        <f t="shared" si="80"/>
        <v>Porta de madeira de abrir - 80x215cm (kit completo) - fixação com espuma expansiva</v>
      </c>
      <c r="D2368" s="175" t="s">
        <v>857</v>
      </c>
      <c r="E2368" s="176" t="str">
        <f>_xlfn.XLOOKUP(D2368,Insumos!$B$1:$B$764,Insumos!$C$1:$C$764)</f>
        <v>un</v>
      </c>
      <c r="F2368" s="179">
        <v>1</v>
      </c>
      <c r="G2368" s="177">
        <f>IF(B2368="insumo",_xlfn.XLOOKUP($D2368,Insumos!$B$1:$B$764,Insumos!$D$1:$D$764),"")</f>
        <v>55</v>
      </c>
      <c r="H2368" s="177" cm="1">
        <f t="array" ref="H2368">_xlfn.IFS(B2368="Serviço",SUMIFS(H2369:$H$3085,C2369:$C$3085,$C2368),B2368="Insumo",F2368*G2368,B2368="Etapa","")</f>
        <v>55</v>
      </c>
      <c r="I2368" s="178"/>
    </row>
    <row r="2369" spans="1:9" outlineLevel="1" collapsed="1" x14ac:dyDescent="0.25">
      <c r="A2369" s="175">
        <f t="shared" si="76"/>
        <v>1</v>
      </c>
      <c r="B2369" s="175" t="s">
        <v>109</v>
      </c>
      <c r="C2369" s="175" t="str">
        <f t="shared" si="80"/>
        <v>Porta de madeira de abrir - 60x210cm (kit completo) - fixação com espuma expansiva</v>
      </c>
      <c r="D2369" s="175" t="s">
        <v>864</v>
      </c>
      <c r="E2369" s="176" t="s">
        <v>13</v>
      </c>
      <c r="F2369" s="175"/>
      <c r="G2369" s="177" t="str">
        <f>IF(B2369="insumo",_xlfn.XLOOKUP($D2369,Insumos!$B$1:$B$764,Insumos!$D$1:$D$764),"")</f>
        <v/>
      </c>
      <c r="H2369" s="177" cm="1">
        <f t="array" ref="H2369">_xlfn.IFS(B2369="Serviço",SUMIFS(H2370:$H$3085,C2370:$C$3085,$C2369),B2369="Insumo",F2369*G2369,B2369="Etapa","")</f>
        <v>1355</v>
      </c>
      <c r="I2369" s="178" t="s">
        <v>195</v>
      </c>
    </row>
    <row r="2370" spans="1:9" hidden="1" outlineLevel="2" x14ac:dyDescent="0.25">
      <c r="A2370" s="175">
        <f t="shared" ref="A2370:A2433" si="81">COUNTIFS($D$2:$D$3085,D2370,$B$2:$B$3085,B2370)</f>
        <v>1</v>
      </c>
      <c r="B2370" s="175" t="s">
        <v>327</v>
      </c>
      <c r="C2370" s="175" t="str">
        <f t="shared" si="80"/>
        <v>Porta de madeira de abrir - 60x210cm (kit completo) - fixação com espuma expansiva</v>
      </c>
      <c r="D2370" s="175" t="s">
        <v>865</v>
      </c>
      <c r="E2370" s="176" t="str">
        <f>_xlfn.XLOOKUP(D2370,Insumos!$B$1:$B$764,Insumos!$C$1:$C$764)</f>
        <v>M2</v>
      </c>
      <c r="F2370" s="179">
        <v>1</v>
      </c>
      <c r="G2370" s="177">
        <f>IF(B2370="insumo",_xlfn.XLOOKUP($D2370,Insumos!$B$1:$B$764,Insumos!$D$1:$D$764),"")</f>
        <v>1300</v>
      </c>
      <c r="H2370" s="177" cm="1">
        <f t="array" ref="H2370">_xlfn.IFS(B2370="Serviço",SUMIFS(H2371:$H$3085,C2371:$C$3085,$C2370),B2370="Insumo",F2370*G2370,B2370="Etapa","")</f>
        <v>1300</v>
      </c>
      <c r="I2370" s="178"/>
    </row>
    <row r="2371" spans="1:9" hidden="1" outlineLevel="2" x14ac:dyDescent="0.25">
      <c r="A2371" s="175">
        <f t="shared" si="81"/>
        <v>21</v>
      </c>
      <c r="B2371" s="175" t="s">
        <v>327</v>
      </c>
      <c r="C2371" s="175" t="str">
        <f t="shared" si="80"/>
        <v>Porta de madeira de abrir - 60x210cm (kit completo) - fixação com espuma expansiva</v>
      </c>
      <c r="D2371" s="175" t="s">
        <v>857</v>
      </c>
      <c r="E2371" s="176" t="str">
        <f>_xlfn.XLOOKUP(D2371,Insumos!$B$1:$B$764,Insumos!$C$1:$C$764)</f>
        <v>un</v>
      </c>
      <c r="F2371" s="179">
        <v>1</v>
      </c>
      <c r="G2371" s="177">
        <f>IF(B2371="insumo",_xlfn.XLOOKUP($D2371,Insumos!$B$1:$B$764,Insumos!$D$1:$D$764),"")</f>
        <v>55</v>
      </c>
      <c r="H2371" s="177" cm="1">
        <f t="array" ref="H2371">_xlfn.IFS(B2371="Serviço",SUMIFS(H2372:$H$3085,C2372:$C$3085,$C2371),B2371="Insumo",F2371*G2371,B2371="Etapa","")</f>
        <v>55</v>
      </c>
      <c r="I2371" s="178"/>
    </row>
    <row r="2372" spans="1:9" outlineLevel="1" collapsed="1" x14ac:dyDescent="0.25">
      <c r="A2372" s="175">
        <f t="shared" si="81"/>
        <v>1</v>
      </c>
      <c r="B2372" s="175" t="s">
        <v>109</v>
      </c>
      <c r="C2372" s="175" t="str">
        <f t="shared" si="80"/>
        <v>Porta de madeira de abrir - 80x210cm (kit completo) - fixação com espuma expansiva</v>
      </c>
      <c r="D2372" s="175" t="s">
        <v>866</v>
      </c>
      <c r="E2372" s="176" t="s">
        <v>13</v>
      </c>
      <c r="F2372" s="175"/>
      <c r="G2372" s="177" t="str">
        <f>IF(B2372="insumo",_xlfn.XLOOKUP($D2372,Insumos!$B$1:$B$764,Insumos!$D$1:$D$764),"")</f>
        <v/>
      </c>
      <c r="H2372" s="177" cm="1">
        <f t="array" ref="H2372">_xlfn.IFS(B2372="Serviço",SUMIFS(H2373:$H$3085,C2373:$C$3085,$C2372),B2372="Insumo",F2372*G2372,B2372="Etapa","")</f>
        <v>1355</v>
      </c>
      <c r="I2372" s="178" t="s">
        <v>195</v>
      </c>
    </row>
    <row r="2373" spans="1:9" hidden="1" outlineLevel="2" x14ac:dyDescent="0.25">
      <c r="A2373" s="175">
        <f t="shared" si="81"/>
        <v>1</v>
      </c>
      <c r="B2373" s="175" t="s">
        <v>327</v>
      </c>
      <c r="C2373" s="175" t="str">
        <f t="shared" si="80"/>
        <v>Porta de madeira de abrir - 80x210cm (kit completo) - fixação com espuma expansiva</v>
      </c>
      <c r="D2373" s="175" t="s">
        <v>867</v>
      </c>
      <c r="E2373" s="176" t="str">
        <f>_xlfn.XLOOKUP(D2373,Insumos!$B$1:$B$764,Insumos!$C$1:$C$764)</f>
        <v>M2</v>
      </c>
      <c r="F2373" s="179">
        <v>1</v>
      </c>
      <c r="G2373" s="177">
        <f>IF(B2373="insumo",_xlfn.XLOOKUP($D2373,Insumos!$B$1:$B$764,Insumos!$D$1:$D$764),"")</f>
        <v>1300</v>
      </c>
      <c r="H2373" s="177" cm="1">
        <f t="array" ref="H2373">_xlfn.IFS(B2373="Serviço",SUMIFS(H2374:$H$3085,C2374:$C$3085,$C2373),B2373="Insumo",F2373*G2373,B2373="Etapa","")</f>
        <v>1300</v>
      </c>
      <c r="I2373" s="178"/>
    </row>
    <row r="2374" spans="1:9" hidden="1" outlineLevel="2" x14ac:dyDescent="0.25">
      <c r="A2374" s="175">
        <f t="shared" si="81"/>
        <v>21</v>
      </c>
      <c r="B2374" s="175" t="s">
        <v>327</v>
      </c>
      <c r="C2374" s="175" t="str">
        <f t="shared" si="80"/>
        <v>Porta de madeira de abrir - 80x210cm (kit completo) - fixação com espuma expansiva</v>
      </c>
      <c r="D2374" s="175" t="s">
        <v>857</v>
      </c>
      <c r="E2374" s="176" t="str">
        <f>_xlfn.XLOOKUP(D2374,Insumos!$B$1:$B$764,Insumos!$C$1:$C$764)</f>
        <v>un</v>
      </c>
      <c r="F2374" s="179">
        <v>1</v>
      </c>
      <c r="G2374" s="177">
        <f>IF(B2374="insumo",_xlfn.XLOOKUP($D2374,Insumos!$B$1:$B$764,Insumos!$D$1:$D$764),"")</f>
        <v>55</v>
      </c>
      <c r="H2374" s="177" cm="1">
        <f t="array" ref="H2374">_xlfn.IFS(B2374="Serviço",SUMIFS(H2375:$H$3085,C2375:$C$3085,$C2374),B2374="Insumo",F2374*G2374,B2374="Etapa","")</f>
        <v>55</v>
      </c>
      <c r="I2374" s="178"/>
    </row>
    <row r="2375" spans="1:9" outlineLevel="1" collapsed="1" x14ac:dyDescent="0.25">
      <c r="A2375" s="175">
        <f t="shared" si="81"/>
        <v>1</v>
      </c>
      <c r="B2375" s="175" t="s">
        <v>109</v>
      </c>
      <c r="C2375" s="175" t="str">
        <f t="shared" si="80"/>
        <v>Porta de madeira de abrir - 90x210cm (kit completo) - fixação com espuma expansiva</v>
      </c>
      <c r="D2375" s="175" t="s">
        <v>868</v>
      </c>
      <c r="E2375" s="176" t="s">
        <v>13</v>
      </c>
      <c r="F2375" s="175"/>
      <c r="G2375" s="177" t="str">
        <f>IF(B2375="insumo",_xlfn.XLOOKUP($D2375,Insumos!$B$1:$B$764,Insumos!$D$1:$D$764),"")</f>
        <v/>
      </c>
      <c r="H2375" s="177" cm="1">
        <f t="array" ref="H2375">_xlfn.IFS(B2375="Serviço",SUMIFS(H2376:$H$3085,C2376:$C$3085,$C2375),B2375="Insumo",F2375*G2375,B2375="Etapa","")</f>
        <v>1355</v>
      </c>
      <c r="I2375" s="178" t="s">
        <v>195</v>
      </c>
    </row>
    <row r="2376" spans="1:9" hidden="1" outlineLevel="2" x14ac:dyDescent="0.25">
      <c r="A2376" s="175">
        <f t="shared" si="81"/>
        <v>1</v>
      </c>
      <c r="B2376" s="175" t="s">
        <v>327</v>
      </c>
      <c r="C2376" s="175" t="str">
        <f t="shared" si="80"/>
        <v>Porta de madeira de abrir - 90x210cm (kit completo) - fixação com espuma expansiva</v>
      </c>
      <c r="D2376" s="175" t="s">
        <v>869</v>
      </c>
      <c r="E2376" s="176" t="str">
        <f>_xlfn.XLOOKUP(D2376,Insumos!$B$1:$B$764,Insumos!$C$1:$C$764)</f>
        <v>M2</v>
      </c>
      <c r="F2376" s="179">
        <v>1</v>
      </c>
      <c r="G2376" s="177">
        <f>IF(B2376="insumo",_xlfn.XLOOKUP($D2376,Insumos!$B$1:$B$764,Insumos!$D$1:$D$764),"")</f>
        <v>1300</v>
      </c>
      <c r="H2376" s="177" cm="1">
        <f t="array" ref="H2376">_xlfn.IFS(B2376="Serviço",SUMIFS(H2377:$H$3085,C2377:$C$3085,$C2376),B2376="Insumo",F2376*G2376,B2376="Etapa","")</f>
        <v>1300</v>
      </c>
      <c r="I2376" s="178"/>
    </row>
    <row r="2377" spans="1:9" hidden="1" outlineLevel="2" x14ac:dyDescent="0.25">
      <c r="A2377" s="175">
        <f t="shared" si="81"/>
        <v>21</v>
      </c>
      <c r="B2377" s="175" t="s">
        <v>327</v>
      </c>
      <c r="C2377" s="175" t="str">
        <f t="shared" si="80"/>
        <v>Porta de madeira de abrir - 90x210cm (kit completo) - fixação com espuma expansiva</v>
      </c>
      <c r="D2377" s="175" t="s">
        <v>857</v>
      </c>
      <c r="E2377" s="176" t="str">
        <f>_xlfn.XLOOKUP(D2377,Insumos!$B$1:$B$764,Insumos!$C$1:$C$764)</f>
        <v>un</v>
      </c>
      <c r="F2377" s="179">
        <v>1</v>
      </c>
      <c r="G2377" s="177">
        <f>IF(B2377="insumo",_xlfn.XLOOKUP($D2377,Insumos!$B$1:$B$764,Insumos!$D$1:$D$764),"")</f>
        <v>55</v>
      </c>
      <c r="H2377" s="177" cm="1">
        <f t="array" ref="H2377">_xlfn.IFS(B2377="Serviço",SUMIFS(H2378:$H$3085,C2378:$C$3085,$C2377),B2377="Insumo",F2377*G2377,B2377="Etapa","")</f>
        <v>55</v>
      </c>
      <c r="I2377" s="178"/>
    </row>
    <row r="2378" spans="1:9" outlineLevel="1" collapsed="1" x14ac:dyDescent="0.25">
      <c r="A2378" s="175">
        <f t="shared" si="81"/>
        <v>1</v>
      </c>
      <c r="B2378" s="175" t="s">
        <v>109</v>
      </c>
      <c r="C2378" s="175" t="str">
        <f t="shared" si="80"/>
        <v>Porta de madeira de abrir - 90x215cm (kit completo) - fixação com espuma expansiva</v>
      </c>
      <c r="D2378" s="175" t="s">
        <v>870</v>
      </c>
      <c r="E2378" s="176" t="s">
        <v>13</v>
      </c>
      <c r="F2378" s="175"/>
      <c r="G2378" s="177" t="str">
        <f>IF(B2378="insumo",_xlfn.XLOOKUP($D2378,Insumos!$B$1:$B$764,Insumos!$D$1:$D$764),"")</f>
        <v/>
      </c>
      <c r="H2378" s="177" cm="1">
        <f t="array" ref="H2378">_xlfn.IFS(B2378="Serviço",SUMIFS(H2379:$H$3085,C2379:$C$3085,$C2378),B2378="Insumo",F2378*G2378,B2378="Etapa","")</f>
        <v>1355</v>
      </c>
      <c r="I2378" s="178" t="s">
        <v>195</v>
      </c>
    </row>
    <row r="2379" spans="1:9" hidden="1" outlineLevel="2" x14ac:dyDescent="0.25">
      <c r="A2379" s="175">
        <f t="shared" si="81"/>
        <v>1</v>
      </c>
      <c r="B2379" s="175" t="s">
        <v>327</v>
      </c>
      <c r="C2379" s="175" t="str">
        <f t="shared" si="80"/>
        <v>Porta de madeira de abrir - 90x215cm (kit completo) - fixação com espuma expansiva</v>
      </c>
      <c r="D2379" s="175" t="s">
        <v>871</v>
      </c>
      <c r="E2379" s="176" t="str">
        <f>_xlfn.XLOOKUP(D2379,Insumos!$B$1:$B$764,Insumos!$C$1:$C$764)</f>
        <v>M2</v>
      </c>
      <c r="F2379" s="179">
        <v>1</v>
      </c>
      <c r="G2379" s="177">
        <f>IF(B2379="insumo",_xlfn.XLOOKUP($D2379,Insumos!$B$1:$B$764,Insumos!$D$1:$D$764),"")</f>
        <v>1300</v>
      </c>
      <c r="H2379" s="177" cm="1">
        <f t="array" ref="H2379">_xlfn.IFS(B2379="Serviço",SUMIFS(H2380:$H$3085,C2380:$C$3085,$C2379),B2379="Insumo",F2379*G2379,B2379="Etapa","")</f>
        <v>1300</v>
      </c>
      <c r="I2379" s="178"/>
    </row>
    <row r="2380" spans="1:9" hidden="1" outlineLevel="2" x14ac:dyDescent="0.25">
      <c r="A2380" s="175">
        <f t="shared" si="81"/>
        <v>21</v>
      </c>
      <c r="B2380" s="175" t="s">
        <v>327</v>
      </c>
      <c r="C2380" s="175" t="str">
        <f t="shared" si="80"/>
        <v>Porta de madeira de abrir - 90x215cm (kit completo) - fixação com espuma expansiva</v>
      </c>
      <c r="D2380" s="175" t="s">
        <v>857</v>
      </c>
      <c r="E2380" s="176" t="str">
        <f>_xlfn.XLOOKUP(D2380,Insumos!$B$1:$B$764,Insumos!$C$1:$C$764)</f>
        <v>un</v>
      </c>
      <c r="F2380" s="179">
        <v>1</v>
      </c>
      <c r="G2380" s="177">
        <f>IF(B2380="insumo",_xlfn.XLOOKUP($D2380,Insumos!$B$1:$B$764,Insumos!$D$1:$D$764),"")</f>
        <v>55</v>
      </c>
      <c r="H2380" s="177" cm="1">
        <f t="array" ref="H2380">_xlfn.IFS(B2380="Serviço",SUMIFS(H2381:$H$3085,C2381:$C$3085,$C2380),B2380="Insumo",F2380*G2380,B2380="Etapa","")</f>
        <v>55</v>
      </c>
      <c r="I2380" s="178"/>
    </row>
    <row r="2381" spans="1:9" outlineLevel="1" collapsed="1" x14ac:dyDescent="0.25">
      <c r="A2381" s="175">
        <f t="shared" si="81"/>
        <v>1</v>
      </c>
      <c r="B2381" s="175" t="s">
        <v>109</v>
      </c>
      <c r="C2381" s="175" t="str">
        <f t="shared" si="80"/>
        <v>Porta de madeira de abrir - 100x210cm (kit completo) - fixação com espuma expansiva</v>
      </c>
      <c r="D2381" s="175" t="s">
        <v>1843</v>
      </c>
      <c r="E2381" s="176" t="s">
        <v>13</v>
      </c>
      <c r="F2381" s="175"/>
      <c r="G2381" s="177" t="str">
        <f>IF(B2381="insumo",_xlfn.XLOOKUP($D2381,Insumos!$B$1:$B$764,Insumos!$D$1:$D$764),"")</f>
        <v/>
      </c>
      <c r="H2381" s="177" cm="1">
        <f t="array" ref="H2381">_xlfn.IFS(B2381="Serviço",SUMIFS(H2382:$H$3085,C2382:$C$3085,$C2381),B2381="Insumo",F2381*G2381,B2381="Etapa","")</f>
        <v>1355</v>
      </c>
      <c r="I2381" s="178" t="s">
        <v>195</v>
      </c>
    </row>
    <row r="2382" spans="1:9" hidden="1" outlineLevel="2" x14ac:dyDescent="0.25">
      <c r="A2382" s="175">
        <f t="shared" si="81"/>
        <v>1</v>
      </c>
      <c r="B2382" s="175" t="s">
        <v>327</v>
      </c>
      <c r="C2382" s="175" t="str">
        <f t="shared" si="80"/>
        <v>Porta de madeira de abrir - 100x210cm (kit completo) - fixação com espuma expansiva</v>
      </c>
      <c r="D2382" s="175" t="s">
        <v>1844</v>
      </c>
      <c r="E2382" s="176" t="str">
        <f>_xlfn.XLOOKUP(D2382,Insumos!$B$1:$B$764,Insumos!$C$1:$C$764)</f>
        <v>M2</v>
      </c>
      <c r="F2382" s="179">
        <v>1</v>
      </c>
      <c r="G2382" s="177">
        <f>IF(B2382="insumo",_xlfn.XLOOKUP($D2382,Insumos!$B$1:$B$764,Insumos!$D$1:$D$764),"")</f>
        <v>1300</v>
      </c>
      <c r="H2382" s="177" cm="1">
        <f t="array" ref="H2382">_xlfn.IFS(B2382="Serviço",SUMIFS(H2383:$H$3085,C2383:$C$3085,$C2382),B2382="Insumo",F2382*G2382,B2382="Etapa","")</f>
        <v>1300</v>
      </c>
      <c r="I2382" s="178"/>
    </row>
    <row r="2383" spans="1:9" hidden="1" outlineLevel="2" x14ac:dyDescent="0.25">
      <c r="A2383" s="175">
        <f t="shared" si="81"/>
        <v>21</v>
      </c>
      <c r="B2383" s="175" t="s">
        <v>327</v>
      </c>
      <c r="C2383" s="175" t="str">
        <f t="shared" si="80"/>
        <v>Porta de madeira de abrir - 100x210cm (kit completo) - fixação com espuma expansiva</v>
      </c>
      <c r="D2383" s="175" t="s">
        <v>857</v>
      </c>
      <c r="E2383" s="176" t="str">
        <f>_xlfn.XLOOKUP(D2383,Insumos!$B$1:$B$764,Insumos!$C$1:$C$764)</f>
        <v>un</v>
      </c>
      <c r="F2383" s="179">
        <v>1</v>
      </c>
      <c r="G2383" s="177">
        <f>IF(B2383="insumo",_xlfn.XLOOKUP($D2383,Insumos!$B$1:$B$764,Insumos!$D$1:$D$764),"")</f>
        <v>55</v>
      </c>
      <c r="H2383" s="177" cm="1">
        <f t="array" ref="H2383">_xlfn.IFS(B2383="Serviço",SUMIFS(H2384:$H$3085,C2384:$C$3085,$C2383),B2383="Insumo",F2383*G2383,B2383="Etapa","")</f>
        <v>55</v>
      </c>
      <c r="I2383" s="178"/>
    </row>
    <row r="2384" spans="1:9" outlineLevel="1" collapsed="1" x14ac:dyDescent="0.25">
      <c r="A2384" s="175">
        <f t="shared" si="81"/>
        <v>1</v>
      </c>
      <c r="B2384" s="175" t="s">
        <v>109</v>
      </c>
      <c r="C2384" s="175" t="str">
        <f t="shared" si="80"/>
        <v>Porta de madeira de abrir - 105x215cm (kit completo) - fixação com espuma expansiva</v>
      </c>
      <c r="D2384" s="175" t="s">
        <v>872</v>
      </c>
      <c r="E2384" s="176" t="s">
        <v>13</v>
      </c>
      <c r="F2384" s="175"/>
      <c r="G2384" s="177" t="str">
        <f>IF(B2384="insumo",_xlfn.XLOOKUP($D2384,Insumos!$B$1:$B$764,Insumos!$D$1:$D$764),"")</f>
        <v/>
      </c>
      <c r="H2384" s="177" cm="1">
        <f t="array" ref="H2384">_xlfn.IFS(B2384="Serviço",SUMIFS(H2385:$H$3085,C2385:$C$3085,$C2384),B2384="Insumo",F2384*G2384,B2384="Etapa","")</f>
        <v>1355</v>
      </c>
      <c r="I2384" s="178" t="s">
        <v>195</v>
      </c>
    </row>
    <row r="2385" spans="1:9" hidden="1" outlineLevel="2" x14ac:dyDescent="0.25">
      <c r="A2385" s="175">
        <f t="shared" si="81"/>
        <v>2</v>
      </c>
      <c r="B2385" s="175" t="s">
        <v>327</v>
      </c>
      <c r="C2385" s="175" t="str">
        <f t="shared" si="80"/>
        <v>Porta de madeira de abrir - 105x215cm (kit completo) - fixação com espuma expansiva</v>
      </c>
      <c r="D2385" s="175" t="s">
        <v>873</v>
      </c>
      <c r="E2385" s="176" t="str">
        <f>_xlfn.XLOOKUP(D2385,Insumos!$B$1:$B$764,Insumos!$C$1:$C$764)</f>
        <v>M2</v>
      </c>
      <c r="F2385" s="179">
        <v>1</v>
      </c>
      <c r="G2385" s="177">
        <f>IF(B2385="insumo",_xlfn.XLOOKUP($D2385,Insumos!$B$1:$B$764,Insumos!$D$1:$D$764),"")</f>
        <v>1300</v>
      </c>
      <c r="H2385" s="177" cm="1">
        <f t="array" ref="H2385">_xlfn.IFS(B2385="Serviço",SUMIFS(H2386:$H$3085,C2386:$C$3085,$C2385),B2385="Insumo",F2385*G2385,B2385="Etapa","")</f>
        <v>1300</v>
      </c>
      <c r="I2385" s="178"/>
    </row>
    <row r="2386" spans="1:9" hidden="1" outlineLevel="2" x14ac:dyDescent="0.25">
      <c r="A2386" s="175">
        <f t="shared" si="81"/>
        <v>21</v>
      </c>
      <c r="B2386" s="175" t="s">
        <v>327</v>
      </c>
      <c r="C2386" s="175" t="str">
        <f t="shared" si="80"/>
        <v>Porta de madeira de abrir - 105x215cm (kit completo) - fixação com espuma expansiva</v>
      </c>
      <c r="D2386" s="175" t="s">
        <v>857</v>
      </c>
      <c r="E2386" s="176" t="str">
        <f>_xlfn.XLOOKUP(D2386,Insumos!$B$1:$B$764,Insumos!$C$1:$C$764)</f>
        <v>un</v>
      </c>
      <c r="F2386" s="179">
        <v>1</v>
      </c>
      <c r="G2386" s="177">
        <f>IF(B2386="insumo",_xlfn.XLOOKUP($D2386,Insumos!$B$1:$B$764,Insumos!$D$1:$D$764),"")</f>
        <v>55</v>
      </c>
      <c r="H2386" s="177" cm="1">
        <f t="array" ref="H2386">_xlfn.IFS(B2386="Serviço",SUMIFS(H2387:$H$3085,C2387:$C$3085,$C2386),B2386="Insumo",F2386*G2386,B2386="Etapa","")</f>
        <v>55</v>
      </c>
      <c r="I2386" s="178"/>
    </row>
    <row r="2387" spans="1:9" outlineLevel="1" collapsed="1" x14ac:dyDescent="0.25">
      <c r="A2387" s="175">
        <f t="shared" si="81"/>
        <v>1</v>
      </c>
      <c r="B2387" s="175" t="s">
        <v>109</v>
      </c>
      <c r="C2387" s="175" t="str">
        <f t="shared" si="80"/>
        <v>Porta de madeira de abrir - 110x210cm (kit completo) - fixação com espuma expansiva</v>
      </c>
      <c r="D2387" s="175" t="s">
        <v>4837</v>
      </c>
      <c r="E2387" s="176" t="s">
        <v>13</v>
      </c>
      <c r="F2387" s="175"/>
      <c r="G2387" s="177" t="str">
        <f>IF(B2387="insumo",_xlfn.XLOOKUP($D2387,Insumos!$B$1:$B$764,Insumos!$D$1:$D$764),"")</f>
        <v/>
      </c>
      <c r="H2387" s="177" cm="1">
        <f t="array" ref="H2387">_xlfn.IFS(B2387="Serviço",SUMIFS(H2388:$H$3085,C2388:$C$3085,$C2387),B2387="Insumo",F2387*G2387,B2387="Etapa","")</f>
        <v>1355</v>
      </c>
      <c r="I2387" s="178" t="s">
        <v>195</v>
      </c>
    </row>
    <row r="2388" spans="1:9" hidden="1" outlineLevel="2" x14ac:dyDescent="0.25">
      <c r="A2388" s="175">
        <f t="shared" si="81"/>
        <v>2</v>
      </c>
      <c r="B2388" s="175" t="s">
        <v>327</v>
      </c>
      <c r="C2388" s="175" t="str">
        <f t="shared" si="80"/>
        <v>Porta de madeira de abrir - 110x210cm (kit completo) - fixação com espuma expansiva</v>
      </c>
      <c r="D2388" s="175" t="s">
        <v>873</v>
      </c>
      <c r="E2388" s="176" t="str">
        <f>_xlfn.XLOOKUP(D2388,Insumos!$B$1:$B$764,Insumos!$C$1:$C$764)</f>
        <v>M2</v>
      </c>
      <c r="F2388" s="179">
        <v>1</v>
      </c>
      <c r="G2388" s="177">
        <f>IF(B2388="insumo",_xlfn.XLOOKUP($D2388,Insumos!$B$1:$B$764,Insumos!$D$1:$D$764),"")</f>
        <v>1300</v>
      </c>
      <c r="H2388" s="177" cm="1">
        <f t="array" ref="H2388">_xlfn.IFS(B2388="Serviço",SUMIFS(H2389:$H$3085,C2389:$C$3085,$C2388),B2388="Insumo",F2388*G2388,B2388="Etapa","")</f>
        <v>1300</v>
      </c>
      <c r="I2388" s="178"/>
    </row>
    <row r="2389" spans="1:9" hidden="1" outlineLevel="2" x14ac:dyDescent="0.25">
      <c r="A2389" s="175">
        <f t="shared" si="81"/>
        <v>21</v>
      </c>
      <c r="B2389" s="175" t="s">
        <v>327</v>
      </c>
      <c r="C2389" s="175" t="str">
        <f t="shared" si="80"/>
        <v>Porta de madeira de abrir - 110x210cm (kit completo) - fixação com espuma expansiva</v>
      </c>
      <c r="D2389" s="175" t="s">
        <v>857</v>
      </c>
      <c r="E2389" s="176" t="str">
        <f>_xlfn.XLOOKUP(D2389,Insumos!$B$1:$B$764,Insumos!$C$1:$C$764)</f>
        <v>un</v>
      </c>
      <c r="F2389" s="179">
        <v>1</v>
      </c>
      <c r="G2389" s="177">
        <f>IF(B2389="insumo",_xlfn.XLOOKUP($D2389,Insumos!$B$1:$B$764,Insumos!$D$1:$D$764),"")</f>
        <v>55</v>
      </c>
      <c r="H2389" s="177" cm="1">
        <f t="array" ref="H2389">_xlfn.IFS(B2389="Serviço",SUMIFS(H2390:$H$3085,C2390:$C$3085,$C2389),B2389="Insumo",F2389*G2389,B2389="Etapa","")</f>
        <v>55</v>
      </c>
      <c r="I2389" s="178"/>
    </row>
    <row r="2390" spans="1:9" outlineLevel="1" collapsed="1" x14ac:dyDescent="0.25">
      <c r="A2390" s="175">
        <f t="shared" si="81"/>
        <v>1</v>
      </c>
      <c r="B2390" s="175" t="s">
        <v>109</v>
      </c>
      <c r="C2390" s="175" t="str">
        <f t="shared" si="80"/>
        <v>Porta de madeira de abrir - 140x210cm (kit completo) - fixação com espuma expansiva</v>
      </c>
      <c r="D2390" s="175" t="s">
        <v>874</v>
      </c>
      <c r="E2390" s="176" t="s">
        <v>13</v>
      </c>
      <c r="F2390" s="175"/>
      <c r="G2390" s="177" t="str">
        <f>IF(B2390="insumo",_xlfn.XLOOKUP($D2390,Insumos!$B$1:$B$764,Insumos!$D$1:$D$764),"")</f>
        <v/>
      </c>
      <c r="H2390" s="177" cm="1">
        <f t="array" ref="H2390">_xlfn.IFS(B2390="Serviço",SUMIFS(H2391:$H$3085,C2391:$C$3085,$C2390),B2390="Insumo",F2390*G2390,B2390="Etapa","")</f>
        <v>1355</v>
      </c>
      <c r="I2390" s="178" t="s">
        <v>195</v>
      </c>
    </row>
    <row r="2391" spans="1:9" hidden="1" outlineLevel="2" x14ac:dyDescent="0.25">
      <c r="A2391" s="175">
        <f t="shared" si="81"/>
        <v>1</v>
      </c>
      <c r="B2391" s="175" t="s">
        <v>327</v>
      </c>
      <c r="C2391" s="175" t="str">
        <f t="shared" si="80"/>
        <v>Porta de madeira de abrir - 140x210cm (kit completo) - fixação com espuma expansiva</v>
      </c>
      <c r="D2391" s="175" t="s">
        <v>1109</v>
      </c>
      <c r="E2391" s="176" t="str">
        <f>_xlfn.XLOOKUP(D2391,Insumos!$B$1:$B$764,Insumos!$C$1:$C$764)</f>
        <v>M2</v>
      </c>
      <c r="F2391" s="179">
        <v>1</v>
      </c>
      <c r="G2391" s="177">
        <f>IF(B2391="insumo",_xlfn.XLOOKUP($D2391,Insumos!$B$1:$B$764,Insumos!$D$1:$D$764),"")</f>
        <v>1300</v>
      </c>
      <c r="H2391" s="177" cm="1">
        <f t="array" ref="H2391">_xlfn.IFS(B2391="Serviço",SUMIFS(H2392:$H$3085,C2392:$C$3085,$C2391),B2391="Insumo",F2391*G2391,B2391="Etapa","")</f>
        <v>1300</v>
      </c>
      <c r="I2391" s="178"/>
    </row>
    <row r="2392" spans="1:9" hidden="1" outlineLevel="2" x14ac:dyDescent="0.25">
      <c r="A2392" s="175">
        <f t="shared" si="81"/>
        <v>21</v>
      </c>
      <c r="B2392" s="175" t="s">
        <v>327</v>
      </c>
      <c r="C2392" s="175" t="str">
        <f t="shared" si="80"/>
        <v>Porta de madeira de abrir - 140x210cm (kit completo) - fixação com espuma expansiva</v>
      </c>
      <c r="D2392" s="175" t="s">
        <v>857</v>
      </c>
      <c r="E2392" s="176" t="str">
        <f>_xlfn.XLOOKUP(D2392,Insumos!$B$1:$B$764,Insumos!$C$1:$C$764)</f>
        <v>un</v>
      </c>
      <c r="F2392" s="179">
        <v>1</v>
      </c>
      <c r="G2392" s="177">
        <f>IF(B2392="insumo",_xlfn.XLOOKUP($D2392,Insumos!$B$1:$B$764,Insumos!$D$1:$D$764),"")</f>
        <v>55</v>
      </c>
      <c r="H2392" s="177" cm="1">
        <f t="array" ref="H2392">_xlfn.IFS(B2392="Serviço",SUMIFS(H2393:$H$3085,C2393:$C$3085,$C2392),B2392="Insumo",F2392*G2392,B2392="Etapa","")</f>
        <v>55</v>
      </c>
      <c r="I2392" s="178"/>
    </row>
    <row r="2393" spans="1:9" outlineLevel="1" collapsed="1" x14ac:dyDescent="0.25">
      <c r="A2393" s="175">
        <f t="shared" si="81"/>
        <v>1</v>
      </c>
      <c r="B2393" s="175" t="s">
        <v>109</v>
      </c>
      <c r="C2393" s="175" t="str">
        <f t="shared" si="80"/>
        <v>Porta de madeira de Correr - 60x210cm (kit completo) - fixação com espuma expansiva</v>
      </c>
      <c r="D2393" s="175" t="s">
        <v>875</v>
      </c>
      <c r="E2393" s="176" t="s">
        <v>13</v>
      </c>
      <c r="F2393" s="175"/>
      <c r="G2393" s="177" t="str">
        <f>IF(B2393="insumo",_xlfn.XLOOKUP($D2393,Insumos!$B$1:$B$764,Insumos!$D$1:$D$764),"")</f>
        <v/>
      </c>
      <c r="H2393" s="177" cm="1">
        <f t="array" ref="H2393">_xlfn.IFS(B2393="Serviço",SUMIFS(H2394:$H$3085,C2394:$C$3085,$C2393),B2393="Insumo",F2393*G2393,B2393="Etapa","")</f>
        <v>1413.5</v>
      </c>
      <c r="I2393" s="178" t="s">
        <v>195</v>
      </c>
    </row>
    <row r="2394" spans="1:9" hidden="1" outlineLevel="2" x14ac:dyDescent="0.25">
      <c r="A2394" s="175">
        <f t="shared" si="81"/>
        <v>1</v>
      </c>
      <c r="B2394" s="175" t="s">
        <v>327</v>
      </c>
      <c r="C2394" s="175" t="str">
        <f t="shared" si="80"/>
        <v>Porta de madeira de Correr - 60x210cm (kit completo) - fixação com espuma expansiva</v>
      </c>
      <c r="D2394" s="175" t="s">
        <v>876</v>
      </c>
      <c r="E2394" s="176" t="str">
        <f>_xlfn.XLOOKUP(D2394,Insumos!$B$1:$B$764,Insumos!$C$1:$C$764)</f>
        <v>M2</v>
      </c>
      <c r="F2394" s="179">
        <v>1</v>
      </c>
      <c r="G2394" s="177">
        <f>IF(B2394="insumo",_xlfn.XLOOKUP($D2394,Insumos!$B$1:$B$764,Insumos!$D$1:$D$764),"")</f>
        <v>1358.5</v>
      </c>
      <c r="H2394" s="177" cm="1">
        <f t="array" ref="H2394">_xlfn.IFS(B2394="Serviço",SUMIFS(H2395:$H$3085,C2395:$C$3085,$C2394),B2394="Insumo",F2394*G2394,B2394="Etapa","")</f>
        <v>1358.5</v>
      </c>
      <c r="I2394" s="178"/>
    </row>
    <row r="2395" spans="1:9" hidden="1" outlineLevel="2" x14ac:dyDescent="0.25">
      <c r="A2395" s="175">
        <f t="shared" si="81"/>
        <v>21</v>
      </c>
      <c r="B2395" s="175" t="s">
        <v>327</v>
      </c>
      <c r="C2395" s="175" t="str">
        <f t="shared" si="80"/>
        <v>Porta de madeira de Correr - 60x210cm (kit completo) - fixação com espuma expansiva</v>
      </c>
      <c r="D2395" s="175" t="s">
        <v>857</v>
      </c>
      <c r="E2395" s="176" t="str">
        <f>_xlfn.XLOOKUP(D2395,Insumos!$B$1:$B$764,Insumos!$C$1:$C$764)</f>
        <v>un</v>
      </c>
      <c r="F2395" s="179">
        <v>1</v>
      </c>
      <c r="G2395" s="177">
        <f>IF(B2395="insumo",_xlfn.XLOOKUP($D2395,Insumos!$B$1:$B$764,Insumos!$D$1:$D$764),"")</f>
        <v>55</v>
      </c>
      <c r="H2395" s="177" cm="1">
        <f t="array" ref="H2395">_xlfn.IFS(B2395="Serviço",SUMIFS(H2396:$H$3085,C2396:$C$3085,$C2395),B2395="Insumo",F2395*G2395,B2395="Etapa","")</f>
        <v>55</v>
      </c>
      <c r="I2395" s="178"/>
    </row>
    <row r="2396" spans="1:9" outlineLevel="1" collapsed="1" x14ac:dyDescent="0.25">
      <c r="A2396" s="175">
        <f t="shared" si="81"/>
        <v>1</v>
      </c>
      <c r="B2396" s="175" t="s">
        <v>109</v>
      </c>
      <c r="C2396" s="175" t="str">
        <f t="shared" si="80"/>
        <v>Porta de madeira de Correr - 70x210cm (kit completo) - fixação com espuma expansiva</v>
      </c>
      <c r="D2396" s="175" t="s">
        <v>2867</v>
      </c>
      <c r="E2396" s="176" t="s">
        <v>13</v>
      </c>
      <c r="F2396" s="175"/>
      <c r="G2396" s="177" t="str">
        <f>IF(B2396="insumo",_xlfn.XLOOKUP($D2396,Insumos!$B$1:$B$764,Insumos!$D$1:$D$764),"")</f>
        <v/>
      </c>
      <c r="H2396" s="177" cm="1">
        <f t="array" ref="H2396">_xlfn.IFS(B2396="Serviço",SUMIFS(H2397:$H$3085,C2397:$C$3085,$C2396),B2396="Insumo",F2396*G2396,B2396="Etapa","")</f>
        <v>1413.5</v>
      </c>
      <c r="I2396" s="178" t="s">
        <v>195</v>
      </c>
    </row>
    <row r="2397" spans="1:9" hidden="1" outlineLevel="2" x14ac:dyDescent="0.25">
      <c r="A2397" s="175">
        <f t="shared" si="81"/>
        <v>1</v>
      </c>
      <c r="B2397" s="175" t="s">
        <v>327</v>
      </c>
      <c r="C2397" s="175" t="str">
        <f t="shared" si="80"/>
        <v>Porta de madeira de Correr - 70x210cm (kit completo) - fixação com espuma expansiva</v>
      </c>
      <c r="D2397" s="175" t="s">
        <v>2868</v>
      </c>
      <c r="E2397" s="176" t="str">
        <f>_xlfn.XLOOKUP(D2397,Insumos!$B$1:$B$764,Insumos!$C$1:$C$764)</f>
        <v>M2</v>
      </c>
      <c r="F2397" s="179">
        <v>1</v>
      </c>
      <c r="G2397" s="177">
        <f>IF(B2397="insumo",_xlfn.XLOOKUP($D2397,Insumos!$B$1:$B$764,Insumos!$D$1:$D$764),"")</f>
        <v>1358.5</v>
      </c>
      <c r="H2397" s="177" cm="1">
        <f t="array" ref="H2397">_xlfn.IFS(B2397="Serviço",SUMIFS(H2398:$H$3085,C2398:$C$3085,$C2397),B2397="Insumo",F2397*G2397,B2397="Etapa","")</f>
        <v>1358.5</v>
      </c>
      <c r="I2397" s="178"/>
    </row>
    <row r="2398" spans="1:9" hidden="1" outlineLevel="2" x14ac:dyDescent="0.25">
      <c r="A2398" s="175">
        <f t="shared" si="81"/>
        <v>21</v>
      </c>
      <c r="B2398" s="175" t="s">
        <v>327</v>
      </c>
      <c r="C2398" s="175" t="str">
        <f t="shared" si="80"/>
        <v>Porta de madeira de Correr - 70x210cm (kit completo) - fixação com espuma expansiva</v>
      </c>
      <c r="D2398" s="175" t="s">
        <v>857</v>
      </c>
      <c r="E2398" s="176" t="str">
        <f>_xlfn.XLOOKUP(D2398,Insumos!$B$1:$B$764,Insumos!$C$1:$C$764)</f>
        <v>un</v>
      </c>
      <c r="F2398" s="179">
        <v>1</v>
      </c>
      <c r="G2398" s="177">
        <f>IF(B2398="insumo",_xlfn.XLOOKUP($D2398,Insumos!$B$1:$B$764,Insumos!$D$1:$D$764),"")</f>
        <v>55</v>
      </c>
      <c r="H2398" s="177" cm="1">
        <f t="array" ref="H2398">_xlfn.IFS(B2398="Serviço",SUMIFS(H2399:$H$3085,C2399:$C$3085,$C2398),B2398="Insumo",F2398*G2398,B2398="Etapa","")</f>
        <v>55</v>
      </c>
      <c r="I2398" s="178"/>
    </row>
    <row r="2399" spans="1:9" outlineLevel="1" collapsed="1" x14ac:dyDescent="0.25">
      <c r="A2399" s="175">
        <f t="shared" si="81"/>
        <v>1</v>
      </c>
      <c r="B2399" s="175" t="s">
        <v>109</v>
      </c>
      <c r="C2399" s="175" t="str">
        <f t="shared" si="80"/>
        <v>Porta de madeira de Correr - 80x210cm (kit completo) - fixação com espuma expansiva</v>
      </c>
      <c r="D2399" s="175" t="s">
        <v>1845</v>
      </c>
      <c r="E2399" s="176" t="s">
        <v>13</v>
      </c>
      <c r="F2399" s="175"/>
      <c r="G2399" s="177" t="str">
        <f>IF(B2399="insumo",_xlfn.XLOOKUP($D2399,Insumos!$B$1:$B$764,Insumos!$D$1:$D$764),"")</f>
        <v/>
      </c>
      <c r="H2399" s="177" cm="1">
        <f t="array" ref="H2399">_xlfn.IFS(B2399="Serviço",SUMIFS(H2400:$H$3085,C2400:$C$3085,$C2399),B2399="Insumo",F2399*G2399,B2399="Etapa","")</f>
        <v>1413.5</v>
      </c>
      <c r="I2399" s="178" t="s">
        <v>195</v>
      </c>
    </row>
    <row r="2400" spans="1:9" hidden="1" outlineLevel="2" x14ac:dyDescent="0.25">
      <c r="A2400" s="175">
        <f t="shared" si="81"/>
        <v>2</v>
      </c>
      <c r="B2400" s="175" t="s">
        <v>327</v>
      </c>
      <c r="C2400" s="175" t="str">
        <f t="shared" si="80"/>
        <v>Porta de madeira de Correr - 80x210cm (kit completo) - fixação com espuma expansiva</v>
      </c>
      <c r="D2400" s="175" t="s">
        <v>1846</v>
      </c>
      <c r="E2400" s="176" t="str">
        <f>_xlfn.XLOOKUP(D2400,Insumos!$B$1:$B$764,Insumos!$C$1:$C$764)</f>
        <v>M2</v>
      </c>
      <c r="F2400" s="179">
        <v>1</v>
      </c>
      <c r="G2400" s="177">
        <f>IF(B2400="insumo",_xlfn.XLOOKUP($D2400,Insumos!$B$1:$B$764,Insumos!$D$1:$D$764),"")</f>
        <v>1358.5</v>
      </c>
      <c r="H2400" s="177" cm="1">
        <f t="array" ref="H2400">_xlfn.IFS(B2400="Serviço",SUMIFS(H2401:$H$3085,C2401:$C$3085,$C2400),B2400="Insumo",F2400*G2400,B2400="Etapa","")</f>
        <v>1358.5</v>
      </c>
      <c r="I2400" s="178"/>
    </row>
    <row r="2401" spans="1:9" hidden="1" outlineLevel="2" x14ac:dyDescent="0.25">
      <c r="A2401" s="175">
        <f t="shared" si="81"/>
        <v>21</v>
      </c>
      <c r="B2401" s="175" t="s">
        <v>327</v>
      </c>
      <c r="C2401" s="175" t="str">
        <f t="shared" si="80"/>
        <v>Porta de madeira de Correr - 80x210cm (kit completo) - fixação com espuma expansiva</v>
      </c>
      <c r="D2401" s="175" t="s">
        <v>857</v>
      </c>
      <c r="E2401" s="176" t="str">
        <f>_xlfn.XLOOKUP(D2401,Insumos!$B$1:$B$764,Insumos!$C$1:$C$764)</f>
        <v>un</v>
      </c>
      <c r="F2401" s="179">
        <v>1</v>
      </c>
      <c r="G2401" s="177">
        <f>IF(B2401="insumo",_xlfn.XLOOKUP($D2401,Insumos!$B$1:$B$764,Insumos!$D$1:$D$764),"")</f>
        <v>55</v>
      </c>
      <c r="H2401" s="177" cm="1">
        <f t="array" ref="H2401">_xlfn.IFS(B2401="Serviço",SUMIFS(H2402:$H$3085,C2402:$C$3085,$C2401),B2401="Insumo",F2401*G2401,B2401="Etapa","")</f>
        <v>55</v>
      </c>
      <c r="I2401" s="178"/>
    </row>
    <row r="2402" spans="1:9" outlineLevel="1" collapsed="1" x14ac:dyDescent="0.25">
      <c r="A2402" s="175">
        <f t="shared" si="81"/>
        <v>1</v>
      </c>
      <c r="B2402" s="175" t="s">
        <v>109</v>
      </c>
      <c r="C2402" s="175" t="str">
        <f t="shared" si="80"/>
        <v>Porta de madeira de Correr - 90x210cm (kit completo) - fixação com espuma expansiva</v>
      </c>
      <c r="D2402" s="175" t="s">
        <v>4838</v>
      </c>
      <c r="E2402" s="176" t="s">
        <v>13</v>
      </c>
      <c r="F2402" s="175"/>
      <c r="G2402" s="177" t="str">
        <f>IF(B2402="insumo",_xlfn.XLOOKUP($D2402,Insumos!$B$1:$B$764,Insumos!$D$1:$D$764),"")</f>
        <v/>
      </c>
      <c r="H2402" s="177" cm="1">
        <f t="array" ref="H2402">_xlfn.IFS(B2402="Serviço",SUMIFS(H2403:$H$3085,C2403:$C$3085,$C2402),B2402="Insumo",F2402*G2402,B2402="Etapa","")</f>
        <v>1413.5</v>
      </c>
      <c r="I2402" s="178" t="s">
        <v>195</v>
      </c>
    </row>
    <row r="2403" spans="1:9" hidden="1" outlineLevel="2" x14ac:dyDescent="0.25">
      <c r="A2403" s="175">
        <f t="shared" si="81"/>
        <v>2</v>
      </c>
      <c r="B2403" s="175" t="s">
        <v>327</v>
      </c>
      <c r="C2403" s="175" t="str">
        <f t="shared" si="80"/>
        <v>Porta de madeira de Correr - 90x210cm (kit completo) - fixação com espuma expansiva</v>
      </c>
      <c r="D2403" s="175" t="s">
        <v>1846</v>
      </c>
      <c r="E2403" s="176" t="str">
        <f>_xlfn.XLOOKUP(D2403,Insumos!$B$1:$B$764,Insumos!$C$1:$C$764)</f>
        <v>M2</v>
      </c>
      <c r="F2403" s="179">
        <v>1</v>
      </c>
      <c r="G2403" s="177">
        <f>IF(B2403="insumo",_xlfn.XLOOKUP($D2403,Insumos!$B$1:$B$764,Insumos!$D$1:$D$764),"")</f>
        <v>1358.5</v>
      </c>
      <c r="H2403" s="177" cm="1">
        <f t="array" ref="H2403">_xlfn.IFS(B2403="Serviço",SUMIFS(H2404:$H$3085,C2404:$C$3085,$C2403),B2403="Insumo",F2403*G2403,B2403="Etapa","")</f>
        <v>1358.5</v>
      </c>
      <c r="I2403" s="178"/>
    </row>
    <row r="2404" spans="1:9" hidden="1" outlineLevel="2" x14ac:dyDescent="0.25">
      <c r="A2404" s="175">
        <f t="shared" si="81"/>
        <v>21</v>
      </c>
      <c r="B2404" s="175" t="s">
        <v>327</v>
      </c>
      <c r="C2404" s="175" t="str">
        <f t="shared" si="80"/>
        <v>Porta de madeira de Correr - 90x210cm (kit completo) - fixação com espuma expansiva</v>
      </c>
      <c r="D2404" s="175" t="s">
        <v>857</v>
      </c>
      <c r="E2404" s="176" t="str">
        <f>_xlfn.XLOOKUP(D2404,Insumos!$B$1:$B$764,Insumos!$C$1:$C$764)</f>
        <v>un</v>
      </c>
      <c r="F2404" s="179">
        <v>1</v>
      </c>
      <c r="G2404" s="177">
        <f>IF(B2404="insumo",_xlfn.XLOOKUP($D2404,Insumos!$B$1:$B$764,Insumos!$D$1:$D$764),"")</f>
        <v>55</v>
      </c>
      <c r="H2404" s="177" cm="1">
        <f t="array" ref="H2404">_xlfn.IFS(B2404="Serviço",SUMIFS(H2405:$H$3085,C2405:$C$3085,$C2404),B2404="Insumo",F2404*G2404,B2404="Etapa","")</f>
        <v>55</v>
      </c>
      <c r="I2404" s="178"/>
    </row>
    <row r="2405" spans="1:9" outlineLevel="1" collapsed="1" x14ac:dyDescent="0.25">
      <c r="A2405" s="175">
        <f t="shared" si="81"/>
        <v>1</v>
      </c>
      <c r="B2405" s="175" t="s">
        <v>109</v>
      </c>
      <c r="C2405" s="175" t="str">
        <f t="shared" si="80"/>
        <v>Porta de madeira de Correr - 110x210cm (kit completo) - fixação com espuma expansiva</v>
      </c>
      <c r="D2405" s="175" t="s">
        <v>2869</v>
      </c>
      <c r="E2405" s="176" t="s">
        <v>13</v>
      </c>
      <c r="F2405" s="175"/>
      <c r="G2405" s="177" t="str">
        <f>IF(B2405="insumo",_xlfn.XLOOKUP($D2405,Insumos!$B$1:$B$764,Insumos!$D$1:$D$764),"")</f>
        <v/>
      </c>
      <c r="H2405" s="177" cm="1">
        <f t="array" ref="H2405">_xlfn.IFS(B2405="Serviço",SUMIFS(H2406:$H$3085,C2406:$C$3085,$C2405),B2405="Insumo",F2405*G2405,B2405="Etapa","")</f>
        <v>1549.3500000000001</v>
      </c>
      <c r="I2405" s="178" t="s">
        <v>195</v>
      </c>
    </row>
    <row r="2406" spans="1:9" hidden="1" outlineLevel="2" x14ac:dyDescent="0.25">
      <c r="A2406" s="175">
        <f t="shared" si="81"/>
        <v>1</v>
      </c>
      <c r="B2406" s="175" t="s">
        <v>327</v>
      </c>
      <c r="C2406" s="175" t="str">
        <f t="shared" si="80"/>
        <v>Porta de madeira de Correr - 110x210cm (kit completo) - fixação com espuma expansiva</v>
      </c>
      <c r="D2406" s="175" t="s">
        <v>2871</v>
      </c>
      <c r="E2406" s="176" t="str">
        <f>_xlfn.XLOOKUP(D2406,Insumos!$B$1:$B$764,Insumos!$C$1:$C$764)</f>
        <v>M2</v>
      </c>
      <c r="F2406" s="179">
        <v>1</v>
      </c>
      <c r="G2406" s="177">
        <f>IF(B2406="insumo",_xlfn.XLOOKUP($D2406,Insumos!$B$1:$B$764,Insumos!$D$1:$D$764),"")</f>
        <v>1494.3500000000001</v>
      </c>
      <c r="H2406" s="177" cm="1">
        <f t="array" ref="H2406">_xlfn.IFS(B2406="Serviço",SUMIFS(H2407:$H$3085,C2407:$C$3085,$C2406),B2406="Insumo",F2406*G2406,B2406="Etapa","")</f>
        <v>1494.3500000000001</v>
      </c>
      <c r="I2406" s="178"/>
    </row>
    <row r="2407" spans="1:9" hidden="1" outlineLevel="2" x14ac:dyDescent="0.25">
      <c r="A2407" s="175">
        <f t="shared" si="81"/>
        <v>21</v>
      </c>
      <c r="B2407" s="175" t="s">
        <v>327</v>
      </c>
      <c r="C2407" s="175" t="str">
        <f t="shared" si="80"/>
        <v>Porta de madeira de Correr - 110x210cm (kit completo) - fixação com espuma expansiva</v>
      </c>
      <c r="D2407" s="175" t="s">
        <v>857</v>
      </c>
      <c r="E2407" s="176" t="str">
        <f>_xlfn.XLOOKUP(D2407,Insumos!$B$1:$B$764,Insumos!$C$1:$C$764)</f>
        <v>un</v>
      </c>
      <c r="F2407" s="179">
        <v>1</v>
      </c>
      <c r="G2407" s="177">
        <f>IF(B2407="insumo",_xlfn.XLOOKUP($D2407,Insumos!$B$1:$B$764,Insumos!$D$1:$D$764),"")</f>
        <v>55</v>
      </c>
      <c r="H2407" s="177" cm="1">
        <f t="array" ref="H2407">_xlfn.IFS(B2407="Serviço",SUMIFS(H2408:$H$3085,C2408:$C$3085,$C2407),B2407="Insumo",F2407*G2407,B2407="Etapa","")</f>
        <v>55</v>
      </c>
      <c r="I2407" s="178"/>
    </row>
    <row r="2408" spans="1:9" outlineLevel="1" collapsed="1" x14ac:dyDescent="0.25">
      <c r="A2408" s="175">
        <f t="shared" si="81"/>
        <v>1</v>
      </c>
      <c r="B2408" s="175" t="s">
        <v>109</v>
      </c>
      <c r="C2408" s="175" t="str">
        <f t="shared" si="80"/>
        <v>Porta de madeira de Correr - 120x210cm (kit completo) - fixação com espuma expansiva</v>
      </c>
      <c r="D2408" s="175" t="s">
        <v>2870</v>
      </c>
      <c r="E2408" s="176" t="s">
        <v>13</v>
      </c>
      <c r="F2408" s="175"/>
      <c r="G2408" s="177" t="str">
        <f>IF(B2408="insumo",_xlfn.XLOOKUP($D2408,Insumos!$B$1:$B$764,Insumos!$D$1:$D$764),"")</f>
        <v/>
      </c>
      <c r="H2408" s="177" cm="1">
        <f t="array" ref="H2408">_xlfn.IFS(B2408="Serviço",SUMIFS(H2409:$H$3085,C2409:$C$3085,$C2408),B2408="Insumo",F2408*G2408,B2408="Etapa","")</f>
        <v>1549.3500000000001</v>
      </c>
      <c r="I2408" s="178" t="s">
        <v>195</v>
      </c>
    </row>
    <row r="2409" spans="1:9" hidden="1" outlineLevel="2" x14ac:dyDescent="0.25">
      <c r="A2409" s="175">
        <f t="shared" si="81"/>
        <v>1</v>
      </c>
      <c r="B2409" s="175" t="s">
        <v>327</v>
      </c>
      <c r="C2409" s="175" t="str">
        <f t="shared" si="80"/>
        <v>Porta de madeira de Correr - 120x210cm (kit completo) - fixação com espuma expansiva</v>
      </c>
      <c r="D2409" s="175" t="s">
        <v>2872</v>
      </c>
      <c r="E2409" s="176" t="str">
        <f>_xlfn.XLOOKUP(D2409,Insumos!$B$1:$B$764,Insumos!$C$1:$C$764)</f>
        <v>M2</v>
      </c>
      <c r="F2409" s="179">
        <v>1</v>
      </c>
      <c r="G2409" s="177">
        <f>IF(B2409="insumo",_xlfn.XLOOKUP($D2409,Insumos!$B$1:$B$764,Insumos!$D$1:$D$764),"")</f>
        <v>1494.3500000000001</v>
      </c>
      <c r="H2409" s="177" cm="1">
        <f t="array" ref="H2409">_xlfn.IFS(B2409="Serviço",SUMIFS(H2410:$H$3085,C2410:$C$3085,$C2409),B2409="Insumo",F2409*G2409,B2409="Etapa","")</f>
        <v>1494.3500000000001</v>
      </c>
      <c r="I2409" s="178"/>
    </row>
    <row r="2410" spans="1:9" hidden="1" outlineLevel="2" x14ac:dyDescent="0.25">
      <c r="A2410" s="175">
        <f t="shared" si="81"/>
        <v>21</v>
      </c>
      <c r="B2410" s="175" t="s">
        <v>327</v>
      </c>
      <c r="C2410" s="175" t="str">
        <f t="shared" si="80"/>
        <v>Porta de madeira de Correr - 120x210cm (kit completo) - fixação com espuma expansiva</v>
      </c>
      <c r="D2410" s="175" t="s">
        <v>857</v>
      </c>
      <c r="E2410" s="176" t="str">
        <f>_xlfn.XLOOKUP(D2410,Insumos!$B$1:$B$764,Insumos!$C$1:$C$764)</f>
        <v>un</v>
      </c>
      <c r="F2410" s="179">
        <v>1</v>
      </c>
      <c r="G2410" s="177">
        <f>IF(B2410="insumo",_xlfn.XLOOKUP($D2410,Insumos!$B$1:$B$764,Insumos!$D$1:$D$764),"")</f>
        <v>55</v>
      </c>
      <c r="H2410" s="177" cm="1">
        <f t="array" ref="H2410">_xlfn.IFS(B2410="Serviço",SUMIFS(H2411:$H$3085,C2411:$C$3085,$C2410),B2410="Insumo",F2410*G2410,B2410="Etapa","")</f>
        <v>55</v>
      </c>
      <c r="I2410" s="178"/>
    </row>
    <row r="2411" spans="1:9" outlineLevel="1" collapsed="1" x14ac:dyDescent="0.25">
      <c r="A2411" s="175">
        <f t="shared" si="81"/>
        <v>1</v>
      </c>
      <c r="B2411" s="175" t="s">
        <v>109</v>
      </c>
      <c r="C2411" s="175" t="str">
        <f t="shared" si="80"/>
        <v>Porta de madeira de Correr - 135x210cm (kit completo) - fixação com espuma expansiva</v>
      </c>
      <c r="D2411" s="175" t="s">
        <v>4839</v>
      </c>
      <c r="E2411" s="176" t="s">
        <v>13</v>
      </c>
      <c r="F2411" s="175"/>
      <c r="G2411" s="177" t="str">
        <f>IF(B2411="insumo",_xlfn.XLOOKUP($D2411,Insumos!$B$1:$B$764,Insumos!$D$1:$D$764),"")</f>
        <v/>
      </c>
      <c r="H2411" s="177" cm="1">
        <f t="array" ref="H2411">_xlfn.IFS(B2411="Serviço",SUMIFS(H2412:$H$3085,C2412:$C$3085,$C2411),B2411="Insumo",F2411*G2411,B2411="Etapa","")</f>
        <v>1888.9750000000001</v>
      </c>
      <c r="I2411" s="178" t="s">
        <v>195</v>
      </c>
    </row>
    <row r="2412" spans="1:9" hidden="1" outlineLevel="2" x14ac:dyDescent="0.25">
      <c r="A2412" s="175">
        <f t="shared" si="81"/>
        <v>1</v>
      </c>
      <c r="B2412" s="175" t="s">
        <v>327</v>
      </c>
      <c r="C2412" s="175" t="str">
        <f t="shared" si="80"/>
        <v>Porta de madeira de Correr - 135x210cm (kit completo) - fixação com espuma expansiva</v>
      </c>
      <c r="D2412" s="175" t="s">
        <v>4841</v>
      </c>
      <c r="E2412" s="176" t="str">
        <f>_xlfn.XLOOKUP(D2412,Insumos!$B$1:$B$764,Insumos!$C$1:$C$764)</f>
        <v>M2</v>
      </c>
      <c r="F2412" s="179">
        <v>1</v>
      </c>
      <c r="G2412" s="177">
        <f>IF(B2412="insumo",_xlfn.XLOOKUP($D2412,Insumos!$B$1:$B$764,Insumos!$D$1:$D$764),"")</f>
        <v>1833.9750000000001</v>
      </c>
      <c r="H2412" s="177" cm="1">
        <f t="array" ref="H2412">_xlfn.IFS(B2412="Serviço",SUMIFS(H2413:$H$3085,C2413:$C$3085,$C2412),B2412="Insumo",F2412*G2412,B2412="Etapa","")</f>
        <v>1833.9750000000001</v>
      </c>
      <c r="I2412" s="178"/>
    </row>
    <row r="2413" spans="1:9" hidden="1" outlineLevel="2" x14ac:dyDescent="0.25">
      <c r="A2413" s="175">
        <f t="shared" si="81"/>
        <v>21</v>
      </c>
      <c r="B2413" s="175" t="s">
        <v>327</v>
      </c>
      <c r="C2413" s="175" t="str">
        <f t="shared" si="80"/>
        <v>Porta de madeira de Correr - 135x210cm (kit completo) - fixação com espuma expansiva</v>
      </c>
      <c r="D2413" s="175" t="s">
        <v>857</v>
      </c>
      <c r="E2413" s="176" t="str">
        <f>_xlfn.XLOOKUP(D2413,Insumos!$B$1:$B$764,Insumos!$C$1:$C$764)</f>
        <v>un</v>
      </c>
      <c r="F2413" s="179">
        <v>1</v>
      </c>
      <c r="G2413" s="177">
        <f>IF(B2413="insumo",_xlfn.XLOOKUP($D2413,Insumos!$B$1:$B$764,Insumos!$D$1:$D$764),"")</f>
        <v>55</v>
      </c>
      <c r="H2413" s="177" cm="1">
        <f t="array" ref="H2413">_xlfn.IFS(B2413="Serviço",SUMIFS(H2414:$H$3085,C2414:$C$3085,$C2413),B2413="Insumo",F2413*G2413,B2413="Etapa","")</f>
        <v>55</v>
      </c>
      <c r="I2413" s="178"/>
    </row>
    <row r="2414" spans="1:9" outlineLevel="1" x14ac:dyDescent="0.25">
      <c r="A2414" s="175">
        <f t="shared" si="81"/>
        <v>1</v>
      </c>
      <c r="B2414" s="175" t="s">
        <v>109</v>
      </c>
      <c r="C2414" s="175" t="str">
        <f t="shared" si="80"/>
        <v>Porta de madeira de Correr - 150x210cm (kit completo) - fixação com espuma expansiva</v>
      </c>
      <c r="D2414" s="175" t="s">
        <v>4840</v>
      </c>
      <c r="E2414" s="176" t="s">
        <v>13</v>
      </c>
      <c r="F2414" s="175"/>
      <c r="G2414" s="177" t="str">
        <f>IF(B2414="insumo",_xlfn.XLOOKUP($D2414,Insumos!$B$1:$B$764,Insumos!$D$1:$D$764),"")</f>
        <v/>
      </c>
      <c r="H2414" s="177" cm="1">
        <f t="array" ref="H2414">_xlfn.IFS(B2414="Serviço",SUMIFS(H2415:$H$3085,C2415:$C$3085,$C2414),B2414="Insumo",F2414*G2414,B2414="Etapa","")</f>
        <v>2092.75</v>
      </c>
      <c r="I2414" s="178" t="s">
        <v>195</v>
      </c>
    </row>
    <row r="2415" spans="1:9" outlineLevel="2" x14ac:dyDescent="0.25">
      <c r="A2415" s="175">
        <f t="shared" si="81"/>
        <v>1</v>
      </c>
      <c r="B2415" s="175" t="s">
        <v>327</v>
      </c>
      <c r="C2415" s="175" t="str">
        <f t="shared" si="80"/>
        <v>Porta de madeira de Correr - 150x210cm (kit completo) - fixação com espuma expansiva</v>
      </c>
      <c r="D2415" s="175" t="s">
        <v>4842</v>
      </c>
      <c r="E2415" s="176" t="str">
        <f>_xlfn.XLOOKUP(D2415,Insumos!$B$1:$B$764,Insumos!$C$1:$C$764)</f>
        <v>M2</v>
      </c>
      <c r="F2415" s="179">
        <v>1</v>
      </c>
      <c r="G2415" s="177">
        <f>IF(B2415="insumo",_xlfn.XLOOKUP($D2415,Insumos!$B$1:$B$764,Insumos!$D$1:$D$764),"")</f>
        <v>2037.75</v>
      </c>
      <c r="H2415" s="177" cm="1">
        <f t="array" ref="H2415">_xlfn.IFS(B2415="Serviço",SUMIFS(H2416:$H$3085,C2416:$C$3085,$C2415),B2415="Insumo",F2415*G2415,B2415="Etapa","")</f>
        <v>2037.75</v>
      </c>
      <c r="I2415" s="178"/>
    </row>
    <row r="2416" spans="1:9" outlineLevel="2" x14ac:dyDescent="0.25">
      <c r="A2416" s="175">
        <f t="shared" si="81"/>
        <v>21</v>
      </c>
      <c r="B2416" s="175" t="s">
        <v>327</v>
      </c>
      <c r="C2416" s="175" t="str">
        <f t="shared" ref="C2416:C2478" si="82">IF(B2416="serviço",D2416,C2415)</f>
        <v>Porta de madeira de Correr - 150x210cm (kit completo) - fixação com espuma expansiva</v>
      </c>
      <c r="D2416" s="175" t="s">
        <v>857</v>
      </c>
      <c r="E2416" s="176" t="str">
        <f>_xlfn.XLOOKUP(D2416,Insumos!$B$1:$B$764,Insumos!$C$1:$C$764)</f>
        <v>un</v>
      </c>
      <c r="F2416" s="179">
        <v>1</v>
      </c>
      <c r="G2416" s="177">
        <f>IF(B2416="insumo",_xlfn.XLOOKUP($D2416,Insumos!$B$1:$B$764,Insumos!$D$1:$D$764),"")</f>
        <v>55</v>
      </c>
      <c r="H2416" s="177" cm="1">
        <f t="array" ref="H2416">_xlfn.IFS(B2416="Serviço",SUMIFS(H2417:$H$3085,C2417:$C$3085,$C2416),B2416="Insumo",F2416*G2416,B2416="Etapa","")</f>
        <v>55</v>
      </c>
      <c r="I2416" s="178"/>
    </row>
    <row r="2417" spans="1:9" outlineLevel="1" collapsed="1" x14ac:dyDescent="0.25">
      <c r="A2417" s="175">
        <f t="shared" si="81"/>
        <v>1</v>
      </c>
      <c r="B2417" s="175" t="s">
        <v>109</v>
      </c>
      <c r="C2417" s="175" t="str">
        <f t="shared" si="82"/>
        <v>Fechadura Eletronica</v>
      </c>
      <c r="D2417" s="175" t="s">
        <v>877</v>
      </c>
      <c r="E2417" s="176" t="s">
        <v>13</v>
      </c>
      <c r="F2417" s="175"/>
      <c r="G2417" s="177" t="str">
        <f>IF(B2417="insumo",_xlfn.XLOOKUP($D2417,Insumos!$B$1:$B$764,Insumos!$D$1:$D$764),"")</f>
        <v/>
      </c>
      <c r="H2417" s="177" cm="1">
        <f t="array" ref="H2417">_xlfn.IFS(B2417="Serviço",SUMIFS(H2418:$H$3085,C2418:$C$3085,$C2417),B2417="Insumo",F2417*G2417,B2417="Etapa","")</f>
        <v>1386</v>
      </c>
      <c r="I2417" s="178" t="s">
        <v>195</v>
      </c>
    </row>
    <row r="2418" spans="1:9" hidden="1" outlineLevel="2" x14ac:dyDescent="0.25">
      <c r="A2418" s="175">
        <f t="shared" si="81"/>
        <v>1</v>
      </c>
      <c r="B2418" s="175" t="s">
        <v>327</v>
      </c>
      <c r="C2418" s="175" t="str">
        <f t="shared" si="82"/>
        <v>Fechadura Eletronica</v>
      </c>
      <c r="D2418" s="175" t="s">
        <v>878</v>
      </c>
      <c r="E2418" s="176" t="str">
        <f>_xlfn.XLOOKUP(D2418,Insumos!$B$1:$B$764,Insumos!$C$1:$C$764)</f>
        <v>un</v>
      </c>
      <c r="F2418" s="179">
        <v>1</v>
      </c>
      <c r="G2418" s="177">
        <f>IF(B2418="insumo",_xlfn.XLOOKUP($D2418,Insumos!$B$1:$B$764,Insumos!$D$1:$D$764),"")</f>
        <v>1386</v>
      </c>
      <c r="H2418" s="177" cm="1">
        <f t="array" ref="H2418">_xlfn.IFS(B2418="Serviço",SUMIFS(H2419:$H$3085,C2419:$C$3085,$C2418),B2418="Insumo",F2418*G2418,B2418="Etapa","")</f>
        <v>1386</v>
      </c>
      <c r="I2418" s="178"/>
    </row>
    <row r="2419" spans="1:9" outlineLevel="1" collapsed="1" x14ac:dyDescent="0.25">
      <c r="A2419" s="175">
        <f t="shared" si="81"/>
        <v>1</v>
      </c>
      <c r="B2419" s="175" t="s">
        <v>109</v>
      </c>
      <c r="C2419" s="175" t="str">
        <f t="shared" si="82"/>
        <v xml:space="preserve">Fechadura comum </v>
      </c>
      <c r="D2419" s="175" t="s">
        <v>1266</v>
      </c>
      <c r="E2419" s="176" t="s">
        <v>13</v>
      </c>
      <c r="F2419" s="175"/>
      <c r="G2419" s="197" t="str">
        <f>IF(B2419="insumo",_xlfn.XLOOKUP($D2419,Insumos!$B$1:$B$764,Insumos!$D$1:$D$764),"")</f>
        <v/>
      </c>
      <c r="H2419" s="177" cm="1">
        <f t="array" ref="H2419">_xlfn.IFS(B2419="Serviço",SUMIFS(H2420:$H$3085,C2420:$C$3085,$C2419),B2419="Insumo",F2419*G2419,B2419="Etapa","")</f>
        <v>232.46</v>
      </c>
      <c r="I2419" s="178" t="s">
        <v>195</v>
      </c>
    </row>
    <row r="2420" spans="1:9" hidden="1" outlineLevel="2" x14ac:dyDescent="0.25">
      <c r="A2420" s="175">
        <f t="shared" si="81"/>
        <v>1</v>
      </c>
      <c r="B2420" s="175" t="s">
        <v>327</v>
      </c>
      <c r="C2420" s="175" t="str">
        <f t="shared" si="82"/>
        <v xml:space="preserve">Fechadura comum </v>
      </c>
      <c r="D2420" s="175" t="s">
        <v>1267</v>
      </c>
      <c r="E2420" s="176" t="str">
        <f>_xlfn.XLOOKUP(D2420,Insumos!$B$1:$B$764,Insumos!$C$1:$C$764)</f>
        <v>un</v>
      </c>
      <c r="F2420" s="179">
        <v>1</v>
      </c>
      <c r="G2420" s="197">
        <f>IF(B2420="insumo",_xlfn.XLOOKUP($D2420,Insumos!$B$1:$B$764,Insumos!$D$1:$D$764),"")</f>
        <v>232.46</v>
      </c>
      <c r="H2420" s="177" cm="1">
        <f t="array" ref="H2420">_xlfn.IFS(B2420="Serviço",SUMIFS(H2421:$H$3085,C2421:$C$3085,$C2420),B2420="Insumo",F2420*G2420,B2420="Etapa","")</f>
        <v>232.46</v>
      </c>
      <c r="I2420" s="178"/>
    </row>
    <row r="2421" spans="1:9" outlineLevel="1" collapsed="1" x14ac:dyDescent="0.25">
      <c r="A2421" s="175">
        <f t="shared" si="81"/>
        <v>1</v>
      </c>
      <c r="B2421" s="175" t="s">
        <v>109</v>
      </c>
      <c r="C2421" s="175" t="str">
        <f t="shared" si="82"/>
        <v>Porta corta-fogo, 1 folha, 80x210 cm</v>
      </c>
      <c r="D2421" s="175" t="s">
        <v>265</v>
      </c>
      <c r="E2421" s="176" t="s">
        <v>13</v>
      </c>
      <c r="F2421" s="175"/>
      <c r="G2421" s="177" t="str">
        <f>IF(B2421="insumo",_xlfn.XLOOKUP($D2421,Insumos!$B$1:$B$764,Insumos!$D$1:$D$764),"")</f>
        <v/>
      </c>
      <c r="H2421" s="177" cm="1">
        <f t="array" ref="H2421">_xlfn.IFS(B2421="Serviço",SUMIFS(H2422:$H$3085,C2422:$C$3085,$C2421),B2421="Insumo",F2421*G2421,B2421="Etapa","")</f>
        <v>1100</v>
      </c>
      <c r="I2421" s="178" t="s">
        <v>195</v>
      </c>
    </row>
    <row r="2422" spans="1:9" hidden="1" outlineLevel="2" x14ac:dyDescent="0.25">
      <c r="A2422" s="175">
        <f t="shared" si="81"/>
        <v>1</v>
      </c>
      <c r="B2422" s="175" t="s">
        <v>327</v>
      </c>
      <c r="C2422" s="175" t="str">
        <f t="shared" si="82"/>
        <v>Porta corta-fogo, 1 folha, 80x210 cm</v>
      </c>
      <c r="D2422" s="175" t="s">
        <v>265</v>
      </c>
      <c r="E2422" s="176" t="str">
        <f>_xlfn.XLOOKUP(D2422,Insumos!$B$1:$B$764,Insumos!$C$1:$C$764)</f>
        <v>un</v>
      </c>
      <c r="F2422" s="179">
        <v>1</v>
      </c>
      <c r="G2422" s="177">
        <f>IF(B2422="insumo",_xlfn.XLOOKUP($D2422,Insumos!$B$1:$B$764,Insumos!$D$1:$D$764),"")</f>
        <v>1100</v>
      </c>
      <c r="H2422" s="177" cm="1">
        <f t="array" ref="H2422">_xlfn.IFS(B2422="Serviço",SUMIFS(H2423:$H$3085,C2423:$C$3085,$C2422),B2422="Insumo",F2422*G2422,B2422="Etapa","")</f>
        <v>1100</v>
      </c>
      <c r="I2422" s="178"/>
    </row>
    <row r="2423" spans="1:9" outlineLevel="1" collapsed="1" x14ac:dyDescent="0.25">
      <c r="A2423" s="175">
        <f t="shared" si="81"/>
        <v>1</v>
      </c>
      <c r="B2423" s="175" t="s">
        <v>109</v>
      </c>
      <c r="C2423" s="175" t="str">
        <f t="shared" si="82"/>
        <v>Porta corta-fogo, 1 folha, 90x210 cm</v>
      </c>
      <c r="D2423" s="175" t="s">
        <v>2873</v>
      </c>
      <c r="E2423" s="176" t="s">
        <v>13</v>
      </c>
      <c r="F2423" s="175"/>
      <c r="G2423" s="177" t="str">
        <f>IF(B2423="insumo",_xlfn.XLOOKUP($D2423,Insumos!$B$1:$B$764,Insumos!$D$1:$D$764),"")</f>
        <v/>
      </c>
      <c r="H2423" s="177" cm="1">
        <f t="array" ref="H2423">_xlfn.IFS(B2423="Serviço",SUMIFS(H2424:$H$3085,C2424:$C$3085,$C2423),B2423="Insumo",F2423*G2423,B2423="Etapa","")</f>
        <v>1237.5</v>
      </c>
      <c r="I2423" s="178" t="s">
        <v>195</v>
      </c>
    </row>
    <row r="2424" spans="1:9" hidden="1" outlineLevel="2" x14ac:dyDescent="0.25">
      <c r="A2424" s="175">
        <f t="shared" si="81"/>
        <v>1</v>
      </c>
      <c r="B2424" s="175" t="s">
        <v>327</v>
      </c>
      <c r="C2424" s="175" t="str">
        <f t="shared" si="82"/>
        <v>Porta corta-fogo, 1 folha, 90x210 cm</v>
      </c>
      <c r="D2424" s="175" t="s">
        <v>2873</v>
      </c>
      <c r="E2424" s="176" t="str">
        <f>_xlfn.XLOOKUP(D2424,Insumos!$B$1:$B$764,Insumos!$C$1:$C$764)</f>
        <v>un</v>
      </c>
      <c r="F2424" s="179">
        <v>1</v>
      </c>
      <c r="G2424" s="177">
        <f>IF(B2424="insumo",_xlfn.XLOOKUP($D2424,Insumos!$B$1:$B$764,Insumos!$D$1:$D$764),"")</f>
        <v>1237.5</v>
      </c>
      <c r="H2424" s="177" cm="1">
        <f t="array" ref="H2424">_xlfn.IFS(B2424="Serviço",SUMIFS(H2425:$H$3085,C2425:$C$3085,$C2424),B2424="Insumo",F2424*G2424,B2424="Etapa","")</f>
        <v>1237.5</v>
      </c>
      <c r="I2424" s="178"/>
    </row>
    <row r="2425" spans="1:9" outlineLevel="1" x14ac:dyDescent="0.25">
      <c r="A2425" s="175">
        <f t="shared" si="81"/>
        <v>1</v>
      </c>
      <c r="B2425" s="175" t="s">
        <v>109</v>
      </c>
      <c r="C2425" s="175" t="str">
        <f t="shared" si="82"/>
        <v>Porta corta-fogo, 1 folha, 96x210 cm</v>
      </c>
      <c r="D2425" s="175" t="s">
        <v>1986</v>
      </c>
      <c r="E2425" s="176" t="s">
        <v>13</v>
      </c>
      <c r="F2425" s="175"/>
      <c r="G2425" s="177" t="str">
        <f>IF(B2425="insumo",_xlfn.XLOOKUP($D2425,Insumos!$B$1:$B$764,Insumos!$D$1:$D$764),"")</f>
        <v/>
      </c>
      <c r="H2425" s="177" cm="1">
        <f t="array" ref="H2425">_xlfn.IFS(B2425="Serviço",SUMIFS(H2426:$H$3085,C2426:$C$3085,$C2425),B2425="Insumo",F2425*G2425,B2425="Etapa","")</f>
        <v>2530</v>
      </c>
      <c r="I2425" s="178" t="s">
        <v>195</v>
      </c>
    </row>
    <row r="2426" spans="1:9" outlineLevel="2" x14ac:dyDescent="0.25">
      <c r="A2426" s="175">
        <f t="shared" si="81"/>
        <v>1</v>
      </c>
      <c r="B2426" s="175" t="s">
        <v>327</v>
      </c>
      <c r="C2426" s="175" t="str">
        <f t="shared" si="82"/>
        <v>Porta corta-fogo, 1 folha, 96x210 cm</v>
      </c>
      <c r="D2426" s="175" t="s">
        <v>1986</v>
      </c>
      <c r="E2426" s="176" t="str">
        <f>_xlfn.XLOOKUP(D2426,Insumos!$B$1:$B$764,Insumos!$C$1:$C$764)</f>
        <v>un</v>
      </c>
      <c r="F2426" s="179">
        <v>1</v>
      </c>
      <c r="G2426" s="177">
        <f>IF(B2426="insumo",_xlfn.XLOOKUP($D2426,Insumos!$B$1:$B$764,Insumos!$D$1:$D$764),"")</f>
        <v>2530</v>
      </c>
      <c r="H2426" s="177" cm="1">
        <f t="array" ref="H2426">_xlfn.IFS(B2426="Serviço",SUMIFS(H2427:$H$3085,C2427:$C$3085,$C2426),B2426="Insumo",F2426*G2426,B2426="Etapa","")</f>
        <v>2530</v>
      </c>
      <c r="I2426" s="178"/>
    </row>
    <row r="2427" spans="1:9" outlineLevel="1" collapsed="1" x14ac:dyDescent="0.25">
      <c r="A2427" s="175">
        <f t="shared" si="81"/>
        <v>1</v>
      </c>
      <c r="B2427" s="175" t="s">
        <v>109</v>
      </c>
      <c r="C2427" s="175" t="str">
        <f t="shared" si="82"/>
        <v>Portão, 1 folha, 500x235 cm</v>
      </c>
      <c r="D2427" s="175" t="s">
        <v>879</v>
      </c>
      <c r="E2427" s="176" t="s">
        <v>13</v>
      </c>
      <c r="F2427" s="175"/>
      <c r="G2427" s="177" t="str">
        <f>IF(B2427="insumo",_xlfn.XLOOKUP($D2427,Insumos!$B$1:$B$764,Insumos!$D$1:$D$764),"")</f>
        <v/>
      </c>
      <c r="H2427" s="177" cm="1">
        <f t="array" ref="H2427">_xlfn.IFS(B2427="Serviço",SUMIFS(H2428:$H$3085,C2428:$C$3085,$C2427),B2427="Insumo",F2427*G2427,B2427="Etapa","")</f>
        <v>13011.726190476189</v>
      </c>
      <c r="I2427" s="178" t="s">
        <v>195</v>
      </c>
    </row>
    <row r="2428" spans="1:9" hidden="1" outlineLevel="2" x14ac:dyDescent="0.25">
      <c r="A2428" s="175">
        <f t="shared" si="81"/>
        <v>1</v>
      </c>
      <c r="B2428" s="175" t="s">
        <v>327</v>
      </c>
      <c r="C2428" s="175" t="str">
        <f t="shared" si="82"/>
        <v>Portão, 1 folha, 500x235 cm</v>
      </c>
      <c r="D2428" s="175" t="s">
        <v>879</v>
      </c>
      <c r="E2428" s="176" t="str">
        <f>_xlfn.XLOOKUP(D2428,Insumos!$B$1:$B$764,Insumos!$C$1:$C$764)</f>
        <v>un</v>
      </c>
      <c r="F2428" s="179">
        <v>1</v>
      </c>
      <c r="G2428" s="177">
        <f>IF(B2428="insumo",_xlfn.XLOOKUP($D2428,Insumos!$B$1:$B$764,Insumos!$D$1:$D$764),"")</f>
        <v>13011.726190476189</v>
      </c>
      <c r="H2428" s="177" cm="1">
        <f t="array" ref="H2428">_xlfn.IFS(B2428="Serviço",SUMIFS(H2429:$H$3085,C2429:$C$3085,$C2428),B2428="Insumo",F2428*G2428,B2428="Etapa","")</f>
        <v>13011.726190476189</v>
      </c>
      <c r="I2428" s="178"/>
    </row>
    <row r="2429" spans="1:9" outlineLevel="1" collapsed="1" x14ac:dyDescent="0.25">
      <c r="A2429" s="175">
        <f t="shared" si="81"/>
        <v>1</v>
      </c>
      <c r="B2429" s="175" t="s">
        <v>109</v>
      </c>
      <c r="C2429" s="175" t="str">
        <f t="shared" si="82"/>
        <v>Portão, 1 folha, 320x245 cm</v>
      </c>
      <c r="D2429" s="175" t="s">
        <v>2863</v>
      </c>
      <c r="E2429" s="176" t="s">
        <v>13</v>
      </c>
      <c r="F2429" s="175"/>
      <c r="G2429" s="177" t="str">
        <f>IF(B2429="insumo",_xlfn.XLOOKUP($D2429,Insumos!$B$1:$B$764,Insumos!$D$1:$D$764),"")</f>
        <v/>
      </c>
      <c r="H2429" s="177" cm="1">
        <f t="array" ref="H2429">_xlfn.IFS(B2429="Serviço",SUMIFS(H2430:$H$3085,C2430:$C$3085,$C2429),B2429="Insumo",F2429*G2429,B2429="Etapa","")</f>
        <v>8681.8666666666668</v>
      </c>
      <c r="I2429" s="178" t="s">
        <v>195</v>
      </c>
    </row>
    <row r="2430" spans="1:9" hidden="1" outlineLevel="2" x14ac:dyDescent="0.25">
      <c r="A2430" s="175">
        <f t="shared" si="81"/>
        <v>1</v>
      </c>
      <c r="B2430" s="175" t="s">
        <v>327</v>
      </c>
      <c r="C2430" s="175" t="str">
        <f t="shared" si="82"/>
        <v>Portão, 1 folha, 320x245 cm</v>
      </c>
      <c r="D2430" s="175" t="s">
        <v>2863</v>
      </c>
      <c r="E2430" s="176" t="str">
        <f>_xlfn.XLOOKUP(D2430,Insumos!$B$1:$B$764,Insumos!$C$1:$C$764)</f>
        <v>un</v>
      </c>
      <c r="F2430" s="179">
        <v>1</v>
      </c>
      <c r="G2430" s="177">
        <f>IF(B2430="insumo",_xlfn.XLOOKUP($D2430,Insumos!$B$1:$B$764,Insumos!$D$1:$D$764),"")</f>
        <v>8681.8666666666668</v>
      </c>
      <c r="H2430" s="177" cm="1">
        <f t="array" ref="H2430">_xlfn.IFS(B2430="Serviço",SUMIFS(H2431:$H$3085,C2431:$C$3085,$C2430),B2430="Insumo",F2430*G2430,B2430="Etapa","")</f>
        <v>8681.8666666666668</v>
      </c>
      <c r="I2430" s="178"/>
    </row>
    <row r="2431" spans="1:9" outlineLevel="1" collapsed="1" x14ac:dyDescent="0.25">
      <c r="A2431" s="175">
        <f t="shared" si="81"/>
        <v>1</v>
      </c>
      <c r="B2431" s="175" t="s">
        <v>109</v>
      </c>
      <c r="C2431" s="175" t="str">
        <f t="shared" si="82"/>
        <v>Portão, 1 folha, 320x220 cm</v>
      </c>
      <c r="D2431" s="175" t="s">
        <v>2864</v>
      </c>
      <c r="E2431" s="176" t="s">
        <v>13</v>
      </c>
      <c r="F2431" s="175"/>
      <c r="G2431" s="177" t="str">
        <f>IF(B2431="insumo",_xlfn.XLOOKUP($D2431,Insumos!$B$1:$B$764,Insumos!$D$1:$D$764),"")</f>
        <v/>
      </c>
      <c r="H2431" s="177" cm="1">
        <f t="array" ref="H2431">_xlfn.IFS(B2431="Serviço",SUMIFS(H2432:$H$3085,C2432:$C$3085,$C2431),B2431="Insumo",F2431*G2431,B2431="Etapa","")</f>
        <v>7795.9619047619053</v>
      </c>
      <c r="I2431" s="178" t="s">
        <v>195</v>
      </c>
    </row>
    <row r="2432" spans="1:9" hidden="1" outlineLevel="2" x14ac:dyDescent="0.25">
      <c r="A2432" s="175">
        <f t="shared" si="81"/>
        <v>1</v>
      </c>
      <c r="B2432" s="175" t="s">
        <v>327</v>
      </c>
      <c r="C2432" s="175" t="str">
        <f t="shared" si="82"/>
        <v>Portão, 1 folha, 320x220 cm</v>
      </c>
      <c r="D2432" s="175" t="s">
        <v>2864</v>
      </c>
      <c r="E2432" s="176" t="str">
        <f>_xlfn.XLOOKUP(D2432,Insumos!$B$1:$B$764,Insumos!$C$1:$C$764)</f>
        <v>un</v>
      </c>
      <c r="F2432" s="179">
        <v>1</v>
      </c>
      <c r="G2432" s="177">
        <f>IF(B2432="insumo",_xlfn.XLOOKUP($D2432,Insumos!$B$1:$B$764,Insumos!$D$1:$D$764),"")</f>
        <v>7795.9619047619053</v>
      </c>
      <c r="H2432" s="177" cm="1">
        <f t="array" ref="H2432">_xlfn.IFS(B2432="Serviço",SUMIFS(H2433:$H$3085,C2433:$C$3085,$C2432),B2432="Insumo",F2432*G2432,B2432="Etapa","")</f>
        <v>7795.9619047619053</v>
      </c>
      <c r="I2432" s="178"/>
    </row>
    <row r="2433" spans="1:9" outlineLevel="1" collapsed="1" x14ac:dyDescent="0.25">
      <c r="A2433" s="175">
        <f t="shared" si="81"/>
        <v>1</v>
      </c>
      <c r="B2433" s="175" t="s">
        <v>109</v>
      </c>
      <c r="C2433" s="175" t="str">
        <f t="shared" si="82"/>
        <v>Portão, 1 folha, 90x220 cm</v>
      </c>
      <c r="D2433" s="175" t="s">
        <v>2865</v>
      </c>
      <c r="E2433" s="176" t="s">
        <v>13</v>
      </c>
      <c r="F2433" s="175"/>
      <c r="G2433" s="177" t="str">
        <f>IF(B2433="insumo",_xlfn.XLOOKUP($D2433,Insumos!$B$1:$B$764,Insumos!$D$1:$D$764),"")</f>
        <v/>
      </c>
      <c r="H2433" s="177" cm="1">
        <f t="array" ref="H2433">_xlfn.IFS(B2433="Serviço",SUMIFS(H2434:$H$3085,C2434:$C$3085,$C2433),B2433="Insumo",F2433*G2433,B2433="Etapa","")</f>
        <v>2192.6142857142859</v>
      </c>
      <c r="I2433" s="178" t="s">
        <v>195</v>
      </c>
    </row>
    <row r="2434" spans="1:9" hidden="1" outlineLevel="2" x14ac:dyDescent="0.25">
      <c r="A2434" s="175">
        <f t="shared" ref="A2434:A2497" si="83">COUNTIFS($D$2:$D$3085,D2434,$B$2:$B$3085,B2434)</f>
        <v>1</v>
      </c>
      <c r="B2434" s="175" t="s">
        <v>327</v>
      </c>
      <c r="C2434" s="175" t="str">
        <f t="shared" si="82"/>
        <v>Portão, 1 folha, 90x220 cm</v>
      </c>
      <c r="D2434" s="175" t="s">
        <v>2865</v>
      </c>
      <c r="E2434" s="176" t="str">
        <f>_xlfn.XLOOKUP(D2434,Insumos!$B$1:$B$764,Insumos!$C$1:$C$764)</f>
        <v>un</v>
      </c>
      <c r="F2434" s="179">
        <v>1</v>
      </c>
      <c r="G2434" s="177">
        <f>IF(B2434="insumo",_xlfn.XLOOKUP($D2434,Insumos!$B$1:$B$764,Insumos!$D$1:$D$764),"")</f>
        <v>2192.6142857142859</v>
      </c>
      <c r="H2434" s="177" cm="1">
        <f t="array" ref="H2434">_xlfn.IFS(B2434="Serviço",SUMIFS(H2435:$H$3085,C2435:$C$3085,$C2434),B2434="Insumo",F2434*G2434,B2434="Etapa","")</f>
        <v>2192.6142857142859</v>
      </c>
      <c r="I2434" s="178"/>
    </row>
    <row r="2435" spans="1:9" outlineLevel="1" collapsed="1" x14ac:dyDescent="0.25">
      <c r="A2435" s="175">
        <f t="shared" si="83"/>
        <v>1</v>
      </c>
      <c r="B2435" s="175" t="s">
        <v>109</v>
      </c>
      <c r="C2435" s="175" t="str">
        <f t="shared" si="82"/>
        <v>Portão, 2 folha, 150x112 cm</v>
      </c>
      <c r="D2435" s="175" t="s">
        <v>2866</v>
      </c>
      <c r="E2435" s="176" t="s">
        <v>13</v>
      </c>
      <c r="F2435" s="175"/>
      <c r="G2435" s="177" t="str">
        <f>IF(B2435="insumo",_xlfn.XLOOKUP($D2435,Insumos!$B$1:$B$764,Insumos!$D$1:$D$764),"")</f>
        <v/>
      </c>
      <c r="H2435" s="177" cm="1">
        <f t="array" ref="H2435">_xlfn.IFS(B2435="Serviço",SUMIFS(H2436:$H$3085,C2436:$C$3085,$C2435),B2435="Insumo",F2435*G2435,B2435="Etapa","")</f>
        <v>1860.4</v>
      </c>
      <c r="I2435" s="178" t="s">
        <v>195</v>
      </c>
    </row>
    <row r="2436" spans="1:9" hidden="1" outlineLevel="2" x14ac:dyDescent="0.25">
      <c r="A2436" s="175">
        <f t="shared" si="83"/>
        <v>1</v>
      </c>
      <c r="B2436" s="175" t="s">
        <v>327</v>
      </c>
      <c r="C2436" s="175" t="str">
        <f t="shared" si="82"/>
        <v>Portão, 2 folha, 150x112 cm</v>
      </c>
      <c r="D2436" s="175" t="s">
        <v>2866</v>
      </c>
      <c r="E2436" s="176" t="str">
        <f>_xlfn.XLOOKUP(D2436,Insumos!$B$1:$B$764,Insumos!$C$1:$C$764)</f>
        <v>un</v>
      </c>
      <c r="F2436" s="179">
        <v>1</v>
      </c>
      <c r="G2436" s="177">
        <f>IF(B2436="insumo",_xlfn.XLOOKUP($D2436,Insumos!$B$1:$B$764,Insumos!$D$1:$D$764),"")</f>
        <v>1860.4</v>
      </c>
      <c r="H2436" s="177" cm="1">
        <f t="array" ref="H2436">_xlfn.IFS(B2436="Serviço",SUMIFS(H2437:$H$3085,C2437:$C$3085,$C2436),B2436="Insumo",F2436*G2436,B2436="Etapa","")</f>
        <v>1860.4</v>
      </c>
      <c r="I2436" s="178"/>
    </row>
    <row r="2437" spans="1:9" outlineLevel="1" collapsed="1" x14ac:dyDescent="0.25">
      <c r="A2437" s="175">
        <f t="shared" si="83"/>
        <v>1</v>
      </c>
      <c r="B2437" s="175" t="s">
        <v>109</v>
      </c>
      <c r="C2437" s="175" t="str">
        <f t="shared" si="82"/>
        <v>Portão, 1 folha, 320x295 cm</v>
      </c>
      <c r="D2437" s="175" t="s">
        <v>1983</v>
      </c>
      <c r="E2437" s="176" t="s">
        <v>13</v>
      </c>
      <c r="F2437" s="175"/>
      <c r="G2437" s="177" t="str">
        <f>IF(B2437="insumo",_xlfn.XLOOKUP($D2437,Insumos!$B$1:$B$764,Insumos!$D$1:$D$764),"")</f>
        <v/>
      </c>
      <c r="H2437" s="177" cm="1">
        <f t="array" ref="H2437">_xlfn.IFS(B2437="Serviço",SUMIFS(H2438:$H$3085,C2438:$C$3085,$C2437),B2437="Insumo",F2437*G2437,B2437="Etapa","")</f>
        <v>10453.67619047619</v>
      </c>
      <c r="I2437" s="178" t="s">
        <v>195</v>
      </c>
    </row>
    <row r="2438" spans="1:9" hidden="1" outlineLevel="2" x14ac:dyDescent="0.25">
      <c r="A2438" s="175">
        <f t="shared" si="83"/>
        <v>1</v>
      </c>
      <c r="B2438" s="175" t="s">
        <v>327</v>
      </c>
      <c r="C2438" s="175" t="str">
        <f t="shared" si="82"/>
        <v>Portão, 1 folha, 320x295 cm</v>
      </c>
      <c r="D2438" s="175" t="s">
        <v>1983</v>
      </c>
      <c r="E2438" s="176" t="str">
        <f>_xlfn.XLOOKUP(D2438,Insumos!$B$1:$B$764,Insumos!$C$1:$C$764)</f>
        <v>un</v>
      </c>
      <c r="F2438" s="179">
        <v>1</v>
      </c>
      <c r="G2438" s="177">
        <f>IF(B2438="insumo",_xlfn.XLOOKUP($D2438,Insumos!$B$1:$B$764,Insumos!$D$1:$D$764),"")</f>
        <v>10453.67619047619</v>
      </c>
      <c r="H2438" s="177" cm="1">
        <f t="array" ref="H2438">_xlfn.IFS(B2438="Serviço",SUMIFS(H2439:$H$3085,C2439:$C$3085,$C2438),B2438="Insumo",F2438*G2438,B2438="Etapa","")</f>
        <v>10453.67619047619</v>
      </c>
      <c r="I2438" s="178"/>
    </row>
    <row r="2439" spans="1:9" outlineLevel="1" x14ac:dyDescent="0.25">
      <c r="A2439" s="175">
        <f t="shared" si="83"/>
        <v>1</v>
      </c>
      <c r="B2439" s="175" t="s">
        <v>109</v>
      </c>
      <c r="C2439" s="175" t="str">
        <f t="shared" si="82"/>
        <v>Portão, 1 folha, 350x240 cm</v>
      </c>
      <c r="D2439" s="175" t="s">
        <v>1772</v>
      </c>
      <c r="E2439" s="176" t="s">
        <v>13</v>
      </c>
      <c r="F2439" s="175"/>
      <c r="G2439" s="177" t="str">
        <f>IF(B2439="insumo",_xlfn.XLOOKUP($D2439,Insumos!$B$1:$B$764,Insumos!$D$1:$D$764),"")</f>
        <v/>
      </c>
      <c r="H2439" s="177" cm="1">
        <f t="array" ref="H2439">_xlfn.IFS(B2439="Serviço",SUMIFS(H2440:$H$3085,C2440:$C$3085,$C2439),B2439="Insumo",F2439*G2439,B2439="Etapa","")</f>
        <v>9302</v>
      </c>
      <c r="I2439" s="178" t="s">
        <v>195</v>
      </c>
    </row>
    <row r="2440" spans="1:9" outlineLevel="2" x14ac:dyDescent="0.25">
      <c r="A2440" s="175">
        <f t="shared" si="83"/>
        <v>1</v>
      </c>
      <c r="B2440" s="175" t="s">
        <v>327</v>
      </c>
      <c r="C2440" s="175" t="str">
        <f t="shared" si="82"/>
        <v>Portão, 1 folha, 350x240 cm</v>
      </c>
      <c r="D2440" s="175" t="s">
        <v>1772</v>
      </c>
      <c r="E2440" s="176" t="str">
        <f>_xlfn.XLOOKUP(D2440,Insumos!$B$1:$B$764,Insumos!$C$1:$C$764)</f>
        <v>un</v>
      </c>
      <c r="F2440" s="179">
        <v>1</v>
      </c>
      <c r="G2440" s="177">
        <f>IF(B2440="insumo",_xlfn.XLOOKUP($D2440,Insumos!$B$1:$B$764,Insumos!$D$1:$D$764),"")</f>
        <v>9302</v>
      </c>
      <c r="H2440" s="177" cm="1">
        <f t="array" ref="H2440">_xlfn.IFS(B2440="Serviço",SUMIFS(H2441:$H$3085,C2441:$C$3085,$C2440),B2440="Insumo",F2440*G2440,B2440="Etapa","")</f>
        <v>9302</v>
      </c>
      <c r="I2440" s="178"/>
    </row>
    <row r="2441" spans="1:9" outlineLevel="1" collapsed="1" x14ac:dyDescent="0.25">
      <c r="A2441" s="175">
        <f t="shared" si="83"/>
        <v>1</v>
      </c>
      <c r="B2441" s="175" t="s">
        <v>109</v>
      </c>
      <c r="C2441" s="175" t="str">
        <f t="shared" si="82"/>
        <v>Porta venezianada metálica, 1 folha, 60x80 cm</v>
      </c>
      <c r="D2441" s="175" t="s">
        <v>1773</v>
      </c>
      <c r="E2441" s="176" t="s">
        <v>13</v>
      </c>
      <c r="F2441" s="175"/>
      <c r="G2441" s="177" t="str">
        <f>IF(B2441="insumo",_xlfn.XLOOKUP($D2441,Insumos!$B$1:$B$764,Insumos!$D$1:$D$764),"")</f>
        <v/>
      </c>
      <c r="H2441" s="177" cm="1">
        <f t="array" ref="H2441">_xlfn.IFS(B2441="Serviço",SUMIFS(H2442:$H$3085,C2442:$C$3085,$C2441),B2441="Insumo",F2441*G2441,B2441="Etapa","")</f>
        <v>975</v>
      </c>
      <c r="I2441" s="178" t="s">
        <v>195</v>
      </c>
    </row>
    <row r="2442" spans="1:9" hidden="1" outlineLevel="2" x14ac:dyDescent="0.25">
      <c r="A2442" s="175">
        <f t="shared" si="83"/>
        <v>1</v>
      </c>
      <c r="B2442" s="175" t="s">
        <v>327</v>
      </c>
      <c r="C2442" s="175" t="str">
        <f t="shared" si="82"/>
        <v>Porta venezianada metálica, 1 folha, 60x80 cm</v>
      </c>
      <c r="D2442" s="175" t="s">
        <v>1773</v>
      </c>
      <c r="E2442" s="176" t="str">
        <f>_xlfn.XLOOKUP(D2442,Insumos!$B$1:$B$764,Insumos!$C$1:$C$764)</f>
        <v>un</v>
      </c>
      <c r="F2442" s="179">
        <v>1</v>
      </c>
      <c r="G2442" s="177">
        <f>IF(B2442="insumo",_xlfn.XLOOKUP($D2442,Insumos!$B$1:$B$764,Insumos!$D$1:$D$764),"")</f>
        <v>975</v>
      </c>
      <c r="H2442" s="177" cm="1">
        <f t="array" ref="H2442">_xlfn.IFS(B2442="Serviço",SUMIFS(H2443:$H$3085,C2443:$C$3085,$C2442),B2442="Insumo",F2442*G2442,B2442="Etapa","")</f>
        <v>975</v>
      </c>
      <c r="I2442" s="178"/>
    </row>
    <row r="2443" spans="1:9" outlineLevel="1" collapsed="1" x14ac:dyDescent="0.25">
      <c r="A2443" s="175">
        <f t="shared" si="83"/>
        <v>1</v>
      </c>
      <c r="B2443" s="175" t="s">
        <v>109</v>
      </c>
      <c r="C2443" s="175" t="str">
        <f t="shared" si="82"/>
        <v>Porta metálica, 1 folha, 80x150 cm</v>
      </c>
      <c r="D2443" s="175" t="s">
        <v>1774</v>
      </c>
      <c r="E2443" s="176" t="s">
        <v>13</v>
      </c>
      <c r="F2443" s="175"/>
      <c r="G2443" s="177" t="str">
        <f>IF(B2443="insumo",_xlfn.XLOOKUP($D2443,Insumos!$B$1:$B$764,Insumos!$D$1:$D$764),"")</f>
        <v/>
      </c>
      <c r="H2443" s="177" cm="1">
        <f t="array" ref="H2443">_xlfn.IFS(B2443="Serviço",SUMIFS(H2444:$H$3085,C2444:$C$3085,$C2443),B2443="Insumo",F2443*G2443,B2443="Etapa","")</f>
        <v>2968</v>
      </c>
      <c r="I2443" s="178" t="s">
        <v>195</v>
      </c>
    </row>
    <row r="2444" spans="1:9" hidden="1" outlineLevel="2" x14ac:dyDescent="0.25">
      <c r="A2444" s="175">
        <f t="shared" si="83"/>
        <v>1</v>
      </c>
      <c r="B2444" s="175" t="s">
        <v>327</v>
      </c>
      <c r="C2444" s="175" t="str">
        <f t="shared" si="82"/>
        <v>Porta metálica, 1 folha, 80x150 cm</v>
      </c>
      <c r="D2444" s="175" t="s">
        <v>1774</v>
      </c>
      <c r="E2444" s="176" t="str">
        <f>_xlfn.XLOOKUP(D2444,Insumos!$B$1:$B$764,Insumos!$C$1:$C$764)</f>
        <v>un</v>
      </c>
      <c r="F2444" s="179">
        <v>1</v>
      </c>
      <c r="G2444" s="177">
        <f>IF(B2444="insumo",_xlfn.XLOOKUP($D2444,Insumos!$B$1:$B$764,Insumos!$D$1:$D$764),"")</f>
        <v>2968</v>
      </c>
      <c r="H2444" s="177" cm="1">
        <f t="array" ref="H2444">_xlfn.IFS(B2444="Serviço",SUMIFS(H2445:$H$3085,C2445:$C$3085,$C2444),B2444="Insumo",F2444*G2444,B2444="Etapa","")</f>
        <v>2968</v>
      </c>
      <c r="I2444" s="178"/>
    </row>
    <row r="2445" spans="1:9" outlineLevel="1" collapsed="1" x14ac:dyDescent="0.25">
      <c r="A2445" s="175">
        <f t="shared" si="83"/>
        <v>1</v>
      </c>
      <c r="B2445" s="175" t="s">
        <v>109</v>
      </c>
      <c r="C2445" s="175" t="str">
        <f t="shared" si="82"/>
        <v>Porta corta-fogo, 2 folha, 152x126 cm</v>
      </c>
      <c r="D2445" s="175" t="s">
        <v>880</v>
      </c>
      <c r="E2445" s="176" t="s">
        <v>13</v>
      </c>
      <c r="F2445" s="175"/>
      <c r="G2445" s="177" t="str">
        <f>IF(B2445="insumo",_xlfn.XLOOKUP($D2445,Insumos!$B$1:$B$764,Insumos!$D$1:$D$764),"")</f>
        <v/>
      </c>
      <c r="H2445" s="177" cm="1">
        <f t="array" ref="H2445">_xlfn.IFS(B2445="Serviço",SUMIFS(H2446:$H$3085,C2446:$C$3085,$C2445),B2445="Insumo",F2445*G2445,B2445="Etapa","")</f>
        <v>1089.6084620689658</v>
      </c>
      <c r="I2445" s="178" t="s">
        <v>195</v>
      </c>
    </row>
    <row r="2446" spans="1:9" hidden="1" outlineLevel="2" x14ac:dyDescent="0.25">
      <c r="A2446" s="175">
        <f t="shared" si="83"/>
        <v>1</v>
      </c>
      <c r="B2446" s="175" t="s">
        <v>327</v>
      </c>
      <c r="C2446" s="175" t="str">
        <f t="shared" si="82"/>
        <v>Porta corta-fogo, 2 folha, 152x126 cm</v>
      </c>
      <c r="D2446" s="175" t="s">
        <v>880</v>
      </c>
      <c r="E2446" s="176" t="str">
        <f>_xlfn.XLOOKUP(D2446,Insumos!$B$1:$B$764,Insumos!$C$1:$C$764)</f>
        <v>un</v>
      </c>
      <c r="F2446" s="179">
        <v>1</v>
      </c>
      <c r="G2446" s="177">
        <f>IF(B2446="insumo",_xlfn.XLOOKUP($D2446,Insumos!$B$1:$B$764,Insumos!$D$1:$D$764),"")</f>
        <v>1089.6084620689658</v>
      </c>
      <c r="H2446" s="177" cm="1">
        <f t="array" ref="H2446">_xlfn.IFS(B2446="Serviço",SUMIFS(H2447:$H$3085,C2447:$C$3085,$C2446),B2446="Insumo",F2446*G2446,B2446="Etapa","")</f>
        <v>1089.6084620689658</v>
      </c>
      <c r="I2446" s="178"/>
    </row>
    <row r="2447" spans="1:9" outlineLevel="1" collapsed="1" x14ac:dyDescent="0.25">
      <c r="A2447" s="175">
        <f t="shared" si="83"/>
        <v>1</v>
      </c>
      <c r="B2447" s="175" t="s">
        <v>109</v>
      </c>
      <c r="C2447" s="175" t="str">
        <f t="shared" si="82"/>
        <v>Escada de marinheiro</v>
      </c>
      <c r="D2447" s="175" t="s">
        <v>266</v>
      </c>
      <c r="E2447" s="176" t="s">
        <v>13</v>
      </c>
      <c r="F2447" s="175"/>
      <c r="G2447" s="177" t="str">
        <f>IF(B2447="insumo",_xlfn.XLOOKUP($D2447,Insumos!$B$1:$B$764,Insumos!$D$1:$D$764),"")</f>
        <v/>
      </c>
      <c r="H2447" s="177" cm="1">
        <f t="array" ref="H2447">_xlfn.IFS(B2447="Serviço",SUMIFS(H2448:$H$3085,C2448:$C$3085,$C2447),B2447="Insumo",F2447*G2447,B2447="Etapa","")</f>
        <v>2405</v>
      </c>
      <c r="I2447" s="178" t="s">
        <v>195</v>
      </c>
    </row>
    <row r="2448" spans="1:9" hidden="1" outlineLevel="2" x14ac:dyDescent="0.25">
      <c r="A2448" s="175">
        <f t="shared" si="83"/>
        <v>1</v>
      </c>
      <c r="B2448" s="175" t="s">
        <v>327</v>
      </c>
      <c r="C2448" s="175" t="str">
        <f t="shared" si="82"/>
        <v>Escada de marinheiro</v>
      </c>
      <c r="D2448" s="175" t="s">
        <v>266</v>
      </c>
      <c r="E2448" s="176" t="str">
        <f>_xlfn.XLOOKUP(D2448,Insumos!$B$1:$B$764,Insumos!$C$1:$C$764)</f>
        <v>un</v>
      </c>
      <c r="F2448" s="179">
        <v>1</v>
      </c>
      <c r="G2448" s="177">
        <f>IF(B2448="insumo",_xlfn.XLOOKUP($D2448,Insumos!$B$1:$B$764,Insumos!$D$1:$D$764),"")</f>
        <v>2405</v>
      </c>
      <c r="H2448" s="177" cm="1">
        <f t="array" ref="H2448">_xlfn.IFS(B2448="Serviço",SUMIFS(H2449:$H$3085,C2449:$C$3085,$C2448),B2448="Insumo",F2448*G2448,B2448="Etapa","")</f>
        <v>2405</v>
      </c>
      <c r="I2448" s="178"/>
    </row>
    <row r="2449" spans="1:9" outlineLevel="1" collapsed="1" x14ac:dyDescent="0.25">
      <c r="A2449" s="175">
        <f t="shared" si="83"/>
        <v>1</v>
      </c>
      <c r="B2449" s="175" t="s">
        <v>109</v>
      </c>
      <c r="C2449" s="175" t="str">
        <f t="shared" si="82"/>
        <v>Escada marinheiro com gaiola de proteção, h=6 m</v>
      </c>
      <c r="D2449" s="175" t="s">
        <v>1268</v>
      </c>
      <c r="E2449" s="176" t="s">
        <v>13</v>
      </c>
      <c r="F2449" s="175"/>
      <c r="G2449" s="197" t="str">
        <f>IF(B2449="insumo",_xlfn.XLOOKUP($D2449,Insumos!$B$1:$B$764,Insumos!$D$1:$D$764),"")</f>
        <v/>
      </c>
      <c r="H2449" s="177" cm="1">
        <f t="array" ref="H2449">_xlfn.IFS(B2449="Serviço",SUMIFS(H2450:$H$3085,C2450:$C$3085,$C2449),B2449="Insumo",F2449*G2449,B2449="Etapa","")</f>
        <v>6500</v>
      </c>
      <c r="I2449" s="178" t="s">
        <v>195</v>
      </c>
    </row>
    <row r="2450" spans="1:9" hidden="1" outlineLevel="2" x14ac:dyDescent="0.25">
      <c r="A2450" s="175">
        <f t="shared" si="83"/>
        <v>1</v>
      </c>
      <c r="B2450" s="175" t="s">
        <v>327</v>
      </c>
      <c r="C2450" s="175" t="str">
        <f t="shared" si="82"/>
        <v>Escada marinheiro com gaiola de proteção, h=6 m</v>
      </c>
      <c r="D2450" s="175" t="s">
        <v>1268</v>
      </c>
      <c r="E2450" s="176" t="str">
        <f>_xlfn.XLOOKUP(D2450,Insumos!$B$1:$B$764,Insumos!$C$1:$C$764)</f>
        <v>un</v>
      </c>
      <c r="F2450" s="179">
        <v>1</v>
      </c>
      <c r="G2450" s="197">
        <f>IF(B2450="insumo",_xlfn.XLOOKUP($D2450,Insumos!$B$1:$B$764,Insumos!$D$1:$D$764),"")</f>
        <v>6500</v>
      </c>
      <c r="H2450" s="177" cm="1">
        <f t="array" ref="H2450">_xlfn.IFS(B2450="Serviço",SUMIFS(H2451:$H$3085,C2451:$C$3085,$C2450),B2450="Insumo",F2450*G2450,B2450="Etapa","")</f>
        <v>6500</v>
      </c>
      <c r="I2450" s="178"/>
    </row>
    <row r="2451" spans="1:9" outlineLevel="1" collapsed="1" x14ac:dyDescent="0.25">
      <c r="A2451" s="175">
        <f t="shared" si="83"/>
        <v>1</v>
      </c>
      <c r="B2451" s="175" t="s">
        <v>109</v>
      </c>
      <c r="C2451" s="175" t="str">
        <f t="shared" si="82"/>
        <v>Mão de obra de ficação de contramarco de aço</v>
      </c>
      <c r="D2451" s="175" t="s">
        <v>1982</v>
      </c>
      <c r="E2451" s="176" t="s">
        <v>3</v>
      </c>
      <c r="F2451" s="175"/>
      <c r="G2451" s="177" t="str">
        <f>IF(B2451="insumo",_xlfn.XLOOKUP($D2451,Insumos!$B$1:$B$764,Insumos!$D$1:$D$764),"")</f>
        <v/>
      </c>
      <c r="H2451" s="177" cm="1">
        <f t="array" ref="H2451">_xlfn.IFS(B2451="Serviço",SUMIFS(H2452:$H$3085,C2452:$C$3085,$C2451),B2451="Insumo",F2451*G2451,B2451="Etapa","")</f>
        <v>30</v>
      </c>
      <c r="I2451" s="178" t="s">
        <v>195</v>
      </c>
    </row>
    <row r="2452" spans="1:9" hidden="1" outlineLevel="2" x14ac:dyDescent="0.25">
      <c r="A2452" s="175">
        <f t="shared" si="83"/>
        <v>1</v>
      </c>
      <c r="B2452" s="175" t="s">
        <v>327</v>
      </c>
      <c r="C2452" s="175" t="str">
        <f t="shared" si="82"/>
        <v>Mão de obra de ficação de contramarco de aço</v>
      </c>
      <c r="D2452" s="175" t="s">
        <v>843</v>
      </c>
      <c r="E2452" s="176" t="str">
        <f>_xlfn.XLOOKUP(D2452,Insumos!$B$1:$B$764,Insumos!$C$1:$C$764)</f>
        <v>M2</v>
      </c>
      <c r="F2452" s="179">
        <v>1</v>
      </c>
      <c r="G2452" s="177">
        <f>IF(B2452="insumo",_xlfn.XLOOKUP($D2452,Insumos!$B$1:$B$764,Insumos!$D$1:$D$764),"")</f>
        <v>30</v>
      </c>
      <c r="H2452" s="177" cm="1">
        <f t="array" ref="H2452">_xlfn.IFS(B2452="Serviço",SUMIFS(H2453:$H$3085,C2453:$C$3085,$C2452),B2452="Insumo",F2452*G2452,B2452="Etapa","")</f>
        <v>30</v>
      </c>
      <c r="I2452" s="178"/>
    </row>
    <row r="2453" spans="1:9" ht="15.75" customHeight="1" outlineLevel="1" collapsed="1" x14ac:dyDescent="0.25">
      <c r="A2453" s="175">
        <f t="shared" si="83"/>
        <v>1</v>
      </c>
      <c r="B2453" s="175" t="s">
        <v>109</v>
      </c>
      <c r="C2453" s="175" t="str">
        <f t="shared" si="82"/>
        <v>Mão de obra de ficação de contramarco de aluminio pequeno</v>
      </c>
      <c r="D2453" s="175" t="s">
        <v>2059</v>
      </c>
      <c r="E2453" s="176" t="s">
        <v>3</v>
      </c>
      <c r="F2453" s="175"/>
      <c r="G2453" s="177" t="str">
        <f>IF(B2453="insumo",_xlfn.XLOOKUP($D2453,Insumos!$B$1:$B$764,Insumos!$D$1:$D$764),"")</f>
        <v/>
      </c>
      <c r="H2453" s="177" cm="1">
        <f t="array" ref="H2453">_xlfn.IFS(B2453="Serviço",SUMIFS(H2454:$H$3085,C2454:$C$3085,$C2453),B2453="Insumo",F2453*G2453,B2453="Etapa","")</f>
        <v>36</v>
      </c>
      <c r="I2453" s="178" t="s">
        <v>195</v>
      </c>
    </row>
    <row r="2454" spans="1:9" hidden="1" outlineLevel="2" x14ac:dyDescent="0.25">
      <c r="A2454" s="175">
        <f t="shared" si="83"/>
        <v>1</v>
      </c>
      <c r="B2454" s="175" t="s">
        <v>327</v>
      </c>
      <c r="C2454" s="175" t="str">
        <f t="shared" si="82"/>
        <v>Mão de obra de ficação de contramarco de aluminio pequeno</v>
      </c>
      <c r="D2454" s="175" t="s">
        <v>2353</v>
      </c>
      <c r="E2454" s="176" t="str">
        <f>_xlfn.XLOOKUP(D2454,Insumos!$B$1:$B$764,Insumos!$C$1:$C$764)</f>
        <v>Un</v>
      </c>
      <c r="F2454" s="179">
        <v>1</v>
      </c>
      <c r="G2454" s="177">
        <f>IF(B2454="insumo",_xlfn.XLOOKUP($D2454,Insumos!$B$1:$B$764,Insumos!$D$1:$D$764),"")</f>
        <v>36</v>
      </c>
      <c r="H2454" s="177" cm="1">
        <f t="array" ref="H2454">_xlfn.IFS(B2454="Serviço",SUMIFS(H2455:$H$3085,C2455:$C$3085,$C2454),B2454="Insumo",F2454*G2454,B2454="Etapa","")</f>
        <v>36</v>
      </c>
      <c r="I2454" s="178"/>
    </row>
    <row r="2455" spans="1:9" ht="15.75" customHeight="1" outlineLevel="1" collapsed="1" x14ac:dyDescent="0.25">
      <c r="A2455" s="175">
        <f t="shared" si="83"/>
        <v>1</v>
      </c>
      <c r="B2455" s="175" t="s">
        <v>109</v>
      </c>
      <c r="C2455" s="175" t="str">
        <f t="shared" si="82"/>
        <v>Mão de obra de ficação de contramarco de aluminio grande</v>
      </c>
      <c r="D2455" s="175" t="s">
        <v>2405</v>
      </c>
      <c r="E2455" s="176" t="s">
        <v>3</v>
      </c>
      <c r="F2455" s="175"/>
      <c r="G2455" s="177" t="str">
        <f>IF(B2455="insumo",_xlfn.XLOOKUP($D2455,Insumos!$B$1:$B$764,Insumos!$D$1:$D$764),"")</f>
        <v/>
      </c>
      <c r="H2455" s="177" cm="1">
        <f t="array" ref="H2455">_xlfn.IFS(B2455="Serviço",SUMIFS(H2456:$H$3085,C2456:$C$3085,$C2455),B2455="Insumo",F2455*G2455,B2455="Etapa","")</f>
        <v>72</v>
      </c>
      <c r="I2455" s="178" t="s">
        <v>195</v>
      </c>
    </row>
    <row r="2456" spans="1:9" hidden="1" outlineLevel="2" x14ac:dyDescent="0.25">
      <c r="A2456" s="175">
        <f t="shared" si="83"/>
        <v>1</v>
      </c>
      <c r="B2456" s="175" t="s">
        <v>327</v>
      </c>
      <c r="C2456" s="175" t="str">
        <f t="shared" si="82"/>
        <v>Mão de obra de ficação de contramarco de aluminio grande</v>
      </c>
      <c r="D2456" s="175" t="s">
        <v>2405</v>
      </c>
      <c r="E2456" s="176" t="str">
        <f>_xlfn.XLOOKUP(D2456,Insumos!$B$1:$B$764,Insumos!$C$1:$C$764)</f>
        <v>Un</v>
      </c>
      <c r="F2456" s="179">
        <v>1</v>
      </c>
      <c r="G2456" s="177">
        <f>IF(B2456="insumo",_xlfn.XLOOKUP($D2456,Insumos!$B$1:$B$764,Insumos!$D$1:$D$764),"")</f>
        <v>72</v>
      </c>
      <c r="H2456" s="177" cm="1">
        <f t="array" ref="H2456">_xlfn.IFS(B2456="Serviço",SUMIFS(H2457:$H$3085,C2457:$C$3085,$C2456),B2456="Insumo",F2456*G2456,B2456="Etapa","")</f>
        <v>72</v>
      </c>
      <c r="I2456" s="178"/>
    </row>
    <row r="2457" spans="1:9" outlineLevel="1" collapsed="1" x14ac:dyDescent="0.25">
      <c r="A2457" s="175">
        <f t="shared" si="83"/>
        <v>1</v>
      </c>
      <c r="B2457" s="175" t="s">
        <v>109</v>
      </c>
      <c r="C2457" s="175" t="str">
        <f t="shared" si="82"/>
        <v>Mão de obra de ficação de contramarco de aluminio</v>
      </c>
      <c r="D2457" s="175" t="s">
        <v>1981</v>
      </c>
      <c r="E2457" s="176" t="s">
        <v>3</v>
      </c>
      <c r="F2457" s="175"/>
      <c r="G2457" s="177" t="str">
        <f>IF(B2457="insumo",_xlfn.XLOOKUP($D2457,Insumos!$B$1:$B$764,Insumos!$D$1:$D$764),"")</f>
        <v/>
      </c>
      <c r="H2457" s="177" cm="1">
        <f t="array" ref="H2457">_xlfn.IFS(B2457="Serviço",SUMIFS(H2458:$H$3085,C2458:$C$3085,$C2457),B2457="Insumo",F2457*G2457,B2457="Etapa","")</f>
        <v>15</v>
      </c>
      <c r="I2457" s="178" t="s">
        <v>195</v>
      </c>
    </row>
    <row r="2458" spans="1:9" hidden="1" outlineLevel="2" x14ac:dyDescent="0.25">
      <c r="A2458" s="175">
        <f t="shared" si="83"/>
        <v>1</v>
      </c>
      <c r="B2458" s="175" t="s">
        <v>327</v>
      </c>
      <c r="C2458" s="175" t="str">
        <f t="shared" si="82"/>
        <v>Mão de obra de ficação de contramarco de aluminio</v>
      </c>
      <c r="D2458" s="175" t="s">
        <v>844</v>
      </c>
      <c r="E2458" s="176" t="str">
        <f>_xlfn.XLOOKUP(D2458,Insumos!$B$1:$B$764,Insumos!$C$1:$C$764)</f>
        <v>M2</v>
      </c>
      <c r="F2458" s="179">
        <v>1</v>
      </c>
      <c r="G2458" s="177">
        <f>IF(B2458="insumo",_xlfn.XLOOKUP($D2458,Insumos!$B$1:$B$764,Insumos!$D$1:$D$764),"")</f>
        <v>15</v>
      </c>
      <c r="H2458" s="177" cm="1">
        <f t="array" ref="H2458">_xlfn.IFS(B2458="Serviço",SUMIFS(H2459:$H$3085,C2459:$C$3085,$C2458),B2458="Insumo",F2458*G2458,B2458="Etapa","")</f>
        <v>15</v>
      </c>
      <c r="I2458" s="178"/>
    </row>
    <row r="2459" spans="1:9" outlineLevel="1" collapsed="1" x14ac:dyDescent="0.25">
      <c r="A2459" s="175">
        <f t="shared" si="83"/>
        <v>1</v>
      </c>
      <c r="B2459" s="175" t="s">
        <v>109</v>
      </c>
      <c r="C2459" s="175" t="str">
        <f t="shared" si="82"/>
        <v>Mão de obra para instalação de portas corta-fogo</v>
      </c>
      <c r="D2459" s="175" t="s">
        <v>186</v>
      </c>
      <c r="E2459" s="176" t="s">
        <v>13</v>
      </c>
      <c r="F2459" s="175"/>
      <c r="G2459" s="177" t="str">
        <f>IF(B2459="insumo",_xlfn.XLOOKUP($D2459,Insumos!$B$1:$B$764,Insumos!$D$1:$D$764),"")</f>
        <v/>
      </c>
      <c r="H2459" s="177" cm="1">
        <f t="array" ref="H2459">_xlfn.IFS(B2459="Serviço",SUMIFS(H2460:$H$3085,C2460:$C$3085,$C2459),B2459="Insumo",F2459*G2459,B2459="Etapa","")</f>
        <v>300</v>
      </c>
      <c r="I2459" s="178" t="s">
        <v>195</v>
      </c>
    </row>
    <row r="2460" spans="1:9" hidden="1" outlineLevel="2" x14ac:dyDescent="0.25">
      <c r="A2460" s="175">
        <f t="shared" si="83"/>
        <v>1</v>
      </c>
      <c r="B2460" s="175" t="s">
        <v>327</v>
      </c>
      <c r="C2460" s="175" t="str">
        <f t="shared" si="82"/>
        <v>Mão de obra para instalação de portas corta-fogo</v>
      </c>
      <c r="D2460" s="175" t="s">
        <v>186</v>
      </c>
      <c r="E2460" s="176" t="str">
        <f>_xlfn.XLOOKUP(D2460,Insumos!$B$1:$B$764,Insumos!$C$1:$C$764)</f>
        <v>un</v>
      </c>
      <c r="F2460" s="179">
        <v>1</v>
      </c>
      <c r="G2460" s="177">
        <f>IF(B2460="insumo",_xlfn.XLOOKUP($D2460,Insumos!$B$1:$B$764,Insumos!$D$1:$D$764),"")</f>
        <v>300</v>
      </c>
      <c r="H2460" s="177" cm="1">
        <f t="array" ref="H2460">_xlfn.IFS(B2460="Serviço",SUMIFS(H2461:$H$3085,C2461:$C$3085,$C2460),B2460="Insumo",F2460*G2460,B2460="Etapa","")</f>
        <v>300</v>
      </c>
      <c r="I2460" s="178"/>
    </row>
    <row r="2461" spans="1:9" outlineLevel="1" collapsed="1" x14ac:dyDescent="0.25">
      <c r="A2461" s="175">
        <f t="shared" si="83"/>
        <v>1</v>
      </c>
      <c r="B2461" s="175" t="s">
        <v>109</v>
      </c>
      <c r="C2461" s="175" t="str">
        <f t="shared" si="82"/>
        <v>Mão de obra para instalação de portas de madeira</v>
      </c>
      <c r="D2461" s="175" t="s">
        <v>64</v>
      </c>
      <c r="E2461" s="176" t="s">
        <v>13</v>
      </c>
      <c r="F2461" s="179"/>
      <c r="G2461" s="177" t="str">
        <f>IF(B2461="insumo",_xlfn.XLOOKUP($D2461,Insumos!$B$1:$B$764,Insumos!$D$1:$D$764),"")</f>
        <v/>
      </c>
      <c r="H2461" s="177" cm="1">
        <f t="array" ref="H2461">_xlfn.IFS(B2461="Serviço",SUMIFS(H2462:$H$3085,C2462:$C$3085,$C2461),B2461="Insumo",F2461*G2461,B2461="Etapa","")</f>
        <v>300</v>
      </c>
      <c r="I2461" s="178" t="s">
        <v>195</v>
      </c>
    </row>
    <row r="2462" spans="1:9" hidden="1" outlineLevel="2" x14ac:dyDescent="0.25">
      <c r="A2462" s="175">
        <f t="shared" si="83"/>
        <v>1</v>
      </c>
      <c r="B2462" s="175" t="s">
        <v>327</v>
      </c>
      <c r="C2462" s="175" t="str">
        <f t="shared" si="82"/>
        <v>Mão de obra para instalação de portas de madeira</v>
      </c>
      <c r="D2462" s="175" t="s">
        <v>64</v>
      </c>
      <c r="E2462" s="176" t="str">
        <f>_xlfn.XLOOKUP(D2462,Insumos!$B$1:$B$764,Insumos!$C$1:$C$764)</f>
        <v>UN</v>
      </c>
      <c r="F2462" s="179">
        <v>1</v>
      </c>
      <c r="G2462" s="177">
        <f>IF(B2462="insumo",_xlfn.XLOOKUP($D2462,Insumos!$B$1:$B$764,Insumos!$D$1:$D$764),"")</f>
        <v>300</v>
      </c>
      <c r="H2462" s="177" cm="1">
        <f t="array" ref="H2462">_xlfn.IFS(B2462="Serviço",SUMIFS(H2463:$H$3085,C2463:$C$3085,$C2462),B2462="Insumo",F2462*G2462,B2462="Etapa","")</f>
        <v>300</v>
      </c>
      <c r="I2462" s="178"/>
    </row>
    <row r="2463" spans="1:9" x14ac:dyDescent="0.25">
      <c r="A2463" s="172">
        <f t="shared" si="83"/>
        <v>1</v>
      </c>
      <c r="B2463" s="172" t="s">
        <v>107</v>
      </c>
      <c r="C2463" s="172"/>
      <c r="D2463" s="172" t="s">
        <v>881</v>
      </c>
      <c r="E2463" s="173"/>
      <c r="F2463" s="174"/>
      <c r="G2463" s="180" t="str">
        <f>IF(B2463="insumo",_xlfn.XLOOKUP($D2463,Insumos!$B$1:$B$764,Insumos!$D$1:$D$764),"")</f>
        <v/>
      </c>
      <c r="H2463" s="177" t="str" cm="1">
        <f t="array" ref="H2463">_xlfn.IFS(B2463="Serviço",SUMIFS(H2464:$H$3085,C2464:$C$3085,$C2463),B2463="Insumo",F2463*G2463,B2463="Etapa","")</f>
        <v/>
      </c>
      <c r="I2463" s="174"/>
    </row>
    <row r="2464" spans="1:9" outlineLevel="1" collapsed="1" x14ac:dyDescent="0.25">
      <c r="A2464" s="175">
        <f t="shared" si="83"/>
        <v>1</v>
      </c>
      <c r="B2464" s="175" t="s">
        <v>109</v>
      </c>
      <c r="C2464" s="175" t="str">
        <f t="shared" si="82"/>
        <v xml:space="preserve">Revestimento em Pastilhas Cerâmicas Para Fachada com Junta de 3mm </v>
      </c>
      <c r="D2464" s="175" t="s">
        <v>276</v>
      </c>
      <c r="E2464" s="176" t="s">
        <v>13</v>
      </c>
      <c r="F2464" s="175"/>
      <c r="G2464" s="177" t="str">
        <f>IF(B2464="insumo",_xlfn.XLOOKUP($D2464,Insumos!$B$1:$B$764,Insumos!$D$1:$D$764),"")</f>
        <v/>
      </c>
      <c r="H2464" s="177" cm="1">
        <f t="array" ref="H2464">_xlfn.IFS(B2464="Serviço",SUMIFS(H2465:$H$3085,C2465:$C$3085,$C2464),B2464="Insumo",F2464*G2464,B2464="Etapa","")</f>
        <v>169.535</v>
      </c>
      <c r="I2464" s="178" t="s">
        <v>195</v>
      </c>
    </row>
    <row r="2465" spans="1:9" hidden="1" outlineLevel="2" x14ac:dyDescent="0.25">
      <c r="A2465" s="175">
        <f t="shared" si="83"/>
        <v>3</v>
      </c>
      <c r="B2465" s="175" t="s">
        <v>327</v>
      </c>
      <c r="C2465" s="175" t="str">
        <f t="shared" si="82"/>
        <v xml:space="preserve">Revestimento em Pastilhas Cerâmicas Para Fachada com Junta de 3mm </v>
      </c>
      <c r="D2465" s="175" t="s">
        <v>683</v>
      </c>
      <c r="E2465" s="176" t="str">
        <f>_xlfn.XLOOKUP(D2465,Insumos!$B$1:$B$764,Insumos!$C$1:$C$764)</f>
        <v>M2</v>
      </c>
      <c r="F2465" s="179">
        <v>1.1000000000000001</v>
      </c>
      <c r="G2465" s="177">
        <f>IF(B2465="insumo",_xlfn.XLOOKUP($D2465,Insumos!$B$1:$B$764,Insumos!$D$1:$D$764),"")</f>
        <v>127.9</v>
      </c>
      <c r="H2465" s="177" cm="1">
        <f t="array" ref="H2465">_xlfn.IFS(B2465="Serviço",SUMIFS(H2466:$H$3085,C2466:$C$3085,$C2465),B2465="Insumo",F2465*G2465,B2465="Etapa","")</f>
        <v>140.69000000000003</v>
      </c>
      <c r="I2465" s="178"/>
    </row>
    <row r="2466" spans="1:9" hidden="1" outlineLevel="2" x14ac:dyDescent="0.25">
      <c r="A2466" s="175">
        <f t="shared" si="83"/>
        <v>118</v>
      </c>
      <c r="B2466" s="175" t="s">
        <v>327</v>
      </c>
      <c r="C2466" s="175" t="str">
        <f t="shared" si="82"/>
        <v xml:space="preserve">Revestimento em Pastilhas Cerâmicas Para Fachada com Junta de 3mm </v>
      </c>
      <c r="D2466" s="175" t="s">
        <v>654</v>
      </c>
      <c r="E2466" s="176" t="str">
        <f>_xlfn.XLOOKUP(D2466,Insumos!$B$1:$B$764,Insumos!$C$1:$C$764)</f>
        <v>KG</v>
      </c>
      <c r="F2466" s="179">
        <v>9</v>
      </c>
      <c r="G2466" s="177">
        <f>IF(B2466="insumo",_xlfn.XLOOKUP($D2466,Insumos!$B$1:$B$764,Insumos!$D$1:$D$764),"")</f>
        <v>2.5499999999999998</v>
      </c>
      <c r="H2466" s="177" cm="1">
        <f t="array" ref="H2466">_xlfn.IFS(B2466="Serviço",SUMIFS(H2467:$H$3085,C2467:$C$3085,$C2466),B2466="Insumo",F2466*G2466,B2466="Etapa","")</f>
        <v>22.95</v>
      </c>
      <c r="I2466" s="178"/>
    </row>
    <row r="2467" spans="1:9" hidden="1" outlineLevel="2" x14ac:dyDescent="0.25">
      <c r="A2467" s="175">
        <f t="shared" si="83"/>
        <v>78</v>
      </c>
      <c r="B2467" s="175" t="s">
        <v>327</v>
      </c>
      <c r="C2467" s="175" t="str">
        <f t="shared" si="82"/>
        <v xml:space="preserve">Revestimento em Pastilhas Cerâmicas Para Fachada com Junta de 3mm </v>
      </c>
      <c r="D2467" s="175" t="s">
        <v>674</v>
      </c>
      <c r="E2467" s="176" t="str">
        <f>_xlfn.XLOOKUP(D2467,Insumos!$B$1:$B$764,Insumos!$C$1:$C$764)</f>
        <v>UN</v>
      </c>
      <c r="F2467" s="179">
        <v>4</v>
      </c>
      <c r="G2467" s="177">
        <f>IF(B2467="insumo",_xlfn.XLOOKUP($D2467,Insumos!$B$1:$B$764,Insumos!$D$1:$D$764),"")</f>
        <v>0.08</v>
      </c>
      <c r="H2467" s="177" cm="1">
        <f t="array" ref="H2467">_xlfn.IFS(B2467="Serviço",SUMIFS(H2468:$H$3085,C2468:$C$3085,$C2467),B2467="Insumo",F2467*G2467,B2467="Etapa","")</f>
        <v>0.32</v>
      </c>
      <c r="I2467" s="178"/>
    </row>
    <row r="2468" spans="1:9" hidden="1" outlineLevel="2" x14ac:dyDescent="0.25">
      <c r="A2468" s="175">
        <f t="shared" si="83"/>
        <v>71</v>
      </c>
      <c r="B2468" s="175" t="s">
        <v>327</v>
      </c>
      <c r="C2468" s="175" t="str">
        <f t="shared" si="82"/>
        <v xml:space="preserve">Revestimento em Pastilhas Cerâmicas Para Fachada com Junta de 3mm </v>
      </c>
      <c r="D2468" s="175" t="s">
        <v>675</v>
      </c>
      <c r="E2468" s="176" t="str">
        <f>_xlfn.XLOOKUP(D2468,Insumos!$B$1:$B$764,Insumos!$C$1:$C$764)</f>
        <v>KG</v>
      </c>
      <c r="F2468" s="179">
        <v>0.5</v>
      </c>
      <c r="G2468" s="177">
        <f>IF(B2468="insumo",_xlfn.XLOOKUP($D2468,Insumos!$B$1:$B$764,Insumos!$D$1:$D$764),"")</f>
        <v>11.15</v>
      </c>
      <c r="H2468" s="177" cm="1">
        <f t="array" ref="H2468">_xlfn.IFS(B2468="Serviço",SUMIFS(H2469:$H$3085,C2469:$C$3085,$C2468),B2468="Insumo",F2468*G2468,B2468="Etapa","")</f>
        <v>5.5750000000000002</v>
      </c>
      <c r="I2468" s="178"/>
    </row>
    <row r="2469" spans="1:9" outlineLevel="1" collapsed="1" x14ac:dyDescent="0.25">
      <c r="A2469" s="175">
        <f t="shared" si="83"/>
        <v>1</v>
      </c>
      <c r="B2469" s="175" t="s">
        <v>109</v>
      </c>
      <c r="C2469" s="175" t="str">
        <f t="shared" si="82"/>
        <v>Revestimento em Porcelanato amadeirado, rejunte cimentício, aplicação em Fachada</v>
      </c>
      <c r="D2469" s="175" t="s">
        <v>277</v>
      </c>
      <c r="E2469" s="176" t="s">
        <v>13</v>
      </c>
      <c r="F2469" s="175"/>
      <c r="G2469" s="177" t="str">
        <f>IF(B2469="insumo",_xlfn.XLOOKUP($D2469,Insumos!$B$1:$B$764,Insumos!$D$1:$D$764),"")</f>
        <v/>
      </c>
      <c r="H2469" s="177" cm="1">
        <f t="array" ref="H2469">_xlfn.IFS(B2469="Serviço",SUMIFS(H2470:$H$3085,C2470:$C$3085,$C2469),B2469="Insumo",F2469*G2469,B2469="Etapa","")</f>
        <v>149.72399999999999</v>
      </c>
      <c r="I2469" s="178" t="s">
        <v>195</v>
      </c>
    </row>
    <row r="2470" spans="1:9" hidden="1" outlineLevel="2" x14ac:dyDescent="0.25">
      <c r="A2470" s="175">
        <f t="shared" si="83"/>
        <v>3</v>
      </c>
      <c r="B2470" s="175" t="s">
        <v>327</v>
      </c>
      <c r="C2470" s="175" t="str">
        <f t="shared" si="82"/>
        <v>Revestimento em Porcelanato amadeirado, rejunte cimentício, aplicação em Fachada</v>
      </c>
      <c r="D2470" s="175" t="s">
        <v>765</v>
      </c>
      <c r="E2470" s="176" t="str">
        <f>_xlfn.XLOOKUP(D2470,Insumos!$B$1:$B$764,Insumos!$C$1:$C$764)</f>
        <v>M2</v>
      </c>
      <c r="F2470" s="179">
        <v>1.1000000000000001</v>
      </c>
      <c r="G2470" s="177">
        <f>IF(B2470="insumo",_xlfn.XLOOKUP($D2470,Insumos!$B$1:$B$764,Insumos!$D$1:$D$764),"")</f>
        <v>109.89</v>
      </c>
      <c r="H2470" s="177" cm="1">
        <f t="array" ref="H2470">_xlfn.IFS(B2470="Serviço",SUMIFS(H2471:$H$3085,C2471:$C$3085,$C2470),B2470="Insumo",F2470*G2470,B2470="Etapa","")</f>
        <v>120.879</v>
      </c>
      <c r="I2470" s="178"/>
    </row>
    <row r="2471" spans="1:9" hidden="1" outlineLevel="2" x14ac:dyDescent="0.25">
      <c r="A2471" s="175">
        <f t="shared" si="83"/>
        <v>118</v>
      </c>
      <c r="B2471" s="175" t="s">
        <v>327</v>
      </c>
      <c r="C2471" s="175" t="str">
        <f t="shared" si="82"/>
        <v>Revestimento em Porcelanato amadeirado, rejunte cimentício, aplicação em Fachada</v>
      </c>
      <c r="D2471" s="175" t="s">
        <v>654</v>
      </c>
      <c r="E2471" s="176" t="str">
        <f>_xlfn.XLOOKUP(D2471,Insumos!$B$1:$B$764,Insumos!$C$1:$C$764)</f>
        <v>KG</v>
      </c>
      <c r="F2471" s="179">
        <v>9</v>
      </c>
      <c r="G2471" s="177">
        <f>IF(B2471="insumo",_xlfn.XLOOKUP($D2471,Insumos!$B$1:$B$764,Insumos!$D$1:$D$764),"")</f>
        <v>2.5499999999999998</v>
      </c>
      <c r="H2471" s="177" cm="1">
        <f t="array" ref="H2471">_xlfn.IFS(B2471="Serviço",SUMIFS(H2472:$H$3085,C2472:$C$3085,$C2471),B2471="Insumo",F2471*G2471,B2471="Etapa","")</f>
        <v>22.95</v>
      </c>
      <c r="I2471" s="178"/>
    </row>
    <row r="2472" spans="1:9" hidden="1" outlineLevel="2" x14ac:dyDescent="0.25">
      <c r="A2472" s="175">
        <f t="shared" si="83"/>
        <v>78</v>
      </c>
      <c r="B2472" s="175" t="s">
        <v>327</v>
      </c>
      <c r="C2472" s="175" t="str">
        <f t="shared" si="82"/>
        <v>Revestimento em Porcelanato amadeirado, rejunte cimentício, aplicação em Fachada</v>
      </c>
      <c r="D2472" s="175" t="s">
        <v>674</v>
      </c>
      <c r="E2472" s="176" t="str">
        <f>_xlfn.XLOOKUP(D2472,Insumos!$B$1:$B$764,Insumos!$C$1:$C$764)</f>
        <v>UN</v>
      </c>
      <c r="F2472" s="179">
        <v>4</v>
      </c>
      <c r="G2472" s="177">
        <f>IF(B2472="insumo",_xlfn.XLOOKUP($D2472,Insumos!$B$1:$B$764,Insumos!$D$1:$D$764),"")</f>
        <v>0.08</v>
      </c>
      <c r="H2472" s="177" cm="1">
        <f t="array" ref="H2472">_xlfn.IFS(B2472="Serviço",SUMIFS(H2473:$H$3085,C2473:$C$3085,$C2472),B2472="Insumo",F2472*G2472,B2472="Etapa","")</f>
        <v>0.32</v>
      </c>
      <c r="I2472" s="178"/>
    </row>
    <row r="2473" spans="1:9" hidden="1" outlineLevel="2" x14ac:dyDescent="0.25">
      <c r="A2473" s="175">
        <f t="shared" si="83"/>
        <v>71</v>
      </c>
      <c r="B2473" s="175" t="s">
        <v>327</v>
      </c>
      <c r="C2473" s="175" t="str">
        <f t="shared" si="82"/>
        <v>Revestimento em Porcelanato amadeirado, rejunte cimentício, aplicação em Fachada</v>
      </c>
      <c r="D2473" s="175" t="s">
        <v>675</v>
      </c>
      <c r="E2473" s="176" t="str">
        <f>_xlfn.XLOOKUP(D2473,Insumos!$B$1:$B$764,Insumos!$C$1:$C$764)</f>
        <v>KG</v>
      </c>
      <c r="F2473" s="179">
        <v>0.5</v>
      </c>
      <c r="G2473" s="177">
        <f>IF(B2473="insumo",_xlfn.XLOOKUP($D2473,Insumos!$B$1:$B$764,Insumos!$D$1:$D$764),"")</f>
        <v>11.15</v>
      </c>
      <c r="H2473" s="177" cm="1">
        <f t="array" ref="H2473">_xlfn.IFS(B2473="Serviço",SUMIFS(H2474:$H$3085,C2474:$C$3085,$C2473),B2473="Insumo",F2473*G2473,B2473="Etapa","")</f>
        <v>5.5750000000000002</v>
      </c>
      <c r="I2473" s="178"/>
    </row>
    <row r="2474" spans="1:9" outlineLevel="1" x14ac:dyDescent="0.25">
      <c r="A2474" s="175">
        <f t="shared" si="83"/>
        <v>1</v>
      </c>
      <c r="B2474" s="175" t="s">
        <v>109</v>
      </c>
      <c r="C2474" s="175" t="str">
        <f t="shared" si="82"/>
        <v>Junta de movimentação em emboço</v>
      </c>
      <c r="D2474" s="175" t="s">
        <v>275</v>
      </c>
      <c r="E2474" s="176" t="s">
        <v>25</v>
      </c>
      <c r="F2474" s="175"/>
      <c r="G2474" s="177" t="str">
        <f>IF(B2474="insumo",_xlfn.XLOOKUP($D2474,Insumos!$B$1:$B$764,Insumos!$D$1:$D$764),"")</f>
        <v/>
      </c>
      <c r="H2474" s="177" cm="1">
        <f t="array" ref="H2474">_xlfn.IFS(B2474="Serviço",SUMIFS(H2475:$H$3085,C2475:$C$3085,$C2474),B2474="Insumo",F2474*G2474,B2474="Etapa","")</f>
        <v>4.8899999999999997</v>
      </c>
      <c r="I2474" s="178" t="s">
        <v>195</v>
      </c>
    </row>
    <row r="2475" spans="1:9" outlineLevel="2" x14ac:dyDescent="0.25">
      <c r="A2475" s="175">
        <f t="shared" si="83"/>
        <v>1</v>
      </c>
      <c r="B2475" s="175" t="s">
        <v>327</v>
      </c>
      <c r="C2475" s="175" t="str">
        <f t="shared" si="82"/>
        <v>Junta de movimentação em emboço</v>
      </c>
      <c r="D2475" s="175" t="s">
        <v>1848</v>
      </c>
      <c r="E2475" s="176" t="str">
        <f>_xlfn.XLOOKUP(D2475,Insumos!$B$1:$B$764,Insumos!$C$1:$C$764)</f>
        <v>m</v>
      </c>
      <c r="F2475" s="179">
        <v>1</v>
      </c>
      <c r="G2475" s="177">
        <f>IF(B2475="insumo",_xlfn.XLOOKUP($D2475,Insumos!$B$1:$B$764,Insumos!$D$1:$D$764),"")</f>
        <v>1.72</v>
      </c>
      <c r="H2475" s="177" cm="1">
        <f t="array" ref="H2475">_xlfn.IFS(B2475="Serviço",SUMIFS(H2476:$H$3085,C2476:$C$3085,$C2475),B2475="Insumo",F2475*G2475,B2475="Etapa","")</f>
        <v>1.72</v>
      </c>
      <c r="I2475" s="178"/>
    </row>
    <row r="2476" spans="1:9" outlineLevel="2" x14ac:dyDescent="0.25">
      <c r="A2476" s="175">
        <f t="shared" si="83"/>
        <v>10</v>
      </c>
      <c r="B2476" s="175" t="s">
        <v>327</v>
      </c>
      <c r="C2476" s="175" t="str">
        <f t="shared" si="82"/>
        <v>Junta de movimentação em emboço</v>
      </c>
      <c r="D2476" s="175" t="s">
        <v>1012</v>
      </c>
      <c r="E2476" s="176" t="str">
        <f>_xlfn.XLOOKUP(D2476,Insumos!$B$1:$B$764,Insumos!$C$1:$C$764)</f>
        <v>UN</v>
      </c>
      <c r="F2476" s="179">
        <v>0.1</v>
      </c>
      <c r="G2476" s="177">
        <f>IF(B2476="insumo",_xlfn.XLOOKUP($D2476,Insumos!$B$1:$B$764,Insumos!$D$1:$D$764),"")</f>
        <v>31.7</v>
      </c>
      <c r="H2476" s="177" cm="1">
        <f t="array" ref="H2476">_xlfn.IFS(B2476="Serviço",SUMIFS(H2477:$H$3085,C2477:$C$3085,$C2476),B2476="Insumo",F2476*G2476,B2476="Etapa","")</f>
        <v>3.17</v>
      </c>
      <c r="I2476" s="178"/>
    </row>
    <row r="2477" spans="1:9" outlineLevel="1" collapsed="1" x14ac:dyDescent="0.25">
      <c r="A2477" s="175">
        <f t="shared" si="83"/>
        <v>1</v>
      </c>
      <c r="B2477" s="175" t="s">
        <v>109</v>
      </c>
      <c r="C2477" s="175" t="str">
        <f t="shared" si="82"/>
        <v>Massa unica para emboço externo em argamassa estabilizada, espessura de 2,5cm, com execução de taliscas</v>
      </c>
      <c r="D2477" s="175" t="s">
        <v>5738</v>
      </c>
      <c r="E2477" s="176" t="s">
        <v>13</v>
      </c>
      <c r="F2477" s="175"/>
      <c r="G2477" s="177" t="str">
        <f>IF(B2477="insumo",_xlfn.XLOOKUP($D2477,Insumos!$B$1:$B$764,Insumos!$D$1:$D$764),"")</f>
        <v/>
      </c>
      <c r="H2477" s="177" cm="1">
        <f t="array" ref="H2477">_xlfn.IFS(B2477="Serviço",SUMIFS(H2478:$H$3085,C2478:$C$3085,$C2477),B2477="Insumo",F2477*G2477,B2477="Etapa","")</f>
        <v>17.745837999999999</v>
      </c>
      <c r="I2477" s="178" t="s">
        <v>195</v>
      </c>
    </row>
    <row r="2478" spans="1:9" hidden="1" outlineLevel="2" x14ac:dyDescent="0.25">
      <c r="A2478" s="175">
        <f t="shared" si="83"/>
        <v>9</v>
      </c>
      <c r="B2478" s="175" t="s">
        <v>327</v>
      </c>
      <c r="C2478" s="175" t="str">
        <f t="shared" si="82"/>
        <v>Massa unica para emboço externo em argamassa estabilizada, espessura de 2,5cm, com execução de taliscas</v>
      </c>
      <c r="D2478" s="175" t="s">
        <v>666</v>
      </c>
      <c r="E2478" s="176" t="str">
        <f>_xlfn.XLOOKUP(D2478,Insumos!$B$1:$B$764,Insumos!$C$1:$C$764)</f>
        <v>M3</v>
      </c>
      <c r="F2478" s="179">
        <v>2.93E-2</v>
      </c>
      <c r="G2478" s="177">
        <f>IF(B2478="insumo",_xlfn.XLOOKUP($D2478,Insumos!$B$1:$B$764,Insumos!$D$1:$D$764),"")</f>
        <v>605.66</v>
      </c>
      <c r="H2478" s="177" cm="1">
        <f t="array" ref="H2478">_xlfn.IFS(B2478="Serviço",SUMIFS(H2481:$H$3085,C2481:$C$3085,$C2478),B2478="Insumo",F2478*G2478,B2478="Etapa","")</f>
        <v>17.745837999999999</v>
      </c>
      <c r="I2478" s="178"/>
    </row>
    <row r="2479" spans="1:9" outlineLevel="1" x14ac:dyDescent="0.25">
      <c r="A2479" s="175">
        <f t="shared" si="83"/>
        <v>1</v>
      </c>
      <c r="B2479" s="175" t="s">
        <v>109</v>
      </c>
      <c r="C2479" s="175" t="str">
        <f>IF(B2479="serviço",D2479,C2476)</f>
        <v>Massa unica para reboco externo em argamassa estabilizada, espessura de 0,5cm, com execução desempenado fino</v>
      </c>
      <c r="D2479" s="175" t="s">
        <v>6952</v>
      </c>
      <c r="E2479" s="176" t="s">
        <v>13</v>
      </c>
      <c r="F2479" s="175"/>
      <c r="G2479" s="177" t="str">
        <f>IF(B2479="insumo",_xlfn.XLOOKUP($D2479,Insumos!$B$1:$B$764,Insumos!$D$1:$D$764),"")</f>
        <v/>
      </c>
      <c r="H2479" s="177" cm="1">
        <f t="array" ref="H2479">_xlfn.IFS(B2479="Serviço",SUMIFS(H2480:$H$3085,C2480:$C$3085,$C2479),B2479="Insumo",F2479*G2479,B2479="Etapa","")</f>
        <v>3.1797149999999994</v>
      </c>
      <c r="I2479" s="178" t="s">
        <v>195</v>
      </c>
    </row>
    <row r="2480" spans="1:9" outlineLevel="2" x14ac:dyDescent="0.25">
      <c r="A2480" s="175">
        <f t="shared" si="83"/>
        <v>9</v>
      </c>
      <c r="B2480" s="175" t="s">
        <v>327</v>
      </c>
      <c r="C2480" s="175" t="str">
        <f t="shared" ref="C2480" si="84">IF(B2480="serviço",D2480,C2479)</f>
        <v>Massa unica para reboco externo em argamassa estabilizada, espessura de 0,5cm, com execução desempenado fino</v>
      </c>
      <c r="D2480" s="175" t="s">
        <v>666</v>
      </c>
      <c r="E2480" s="176" t="str">
        <f>_xlfn.XLOOKUP(D2480,Insumos!$B$1:$B$764,Insumos!$C$1:$C$764)</f>
        <v>M3</v>
      </c>
      <c r="F2480" s="179">
        <f>0.02625*0.5/2.5</f>
        <v>5.2499999999999995E-3</v>
      </c>
      <c r="G2480" s="177">
        <f>IF(B2480="insumo",_xlfn.XLOOKUP($D2480,Insumos!$B$1:$B$764,Insumos!$D$1:$D$764),"")</f>
        <v>605.66</v>
      </c>
      <c r="H2480" s="177" cm="1">
        <f t="array" ref="H2480">_xlfn.IFS(B2480="Serviço",SUMIFS(H2481:$H$3085,C2481:$C$3085,$C2480),B2480="Insumo",F2480*G2480,B2480="Etapa","")</f>
        <v>3.1797149999999994</v>
      </c>
      <c r="I2480" s="178"/>
    </row>
    <row r="2481" spans="1:9" outlineLevel="1" x14ac:dyDescent="0.25">
      <c r="A2481" s="175">
        <f t="shared" si="83"/>
        <v>1</v>
      </c>
      <c r="B2481" s="175" t="s">
        <v>109</v>
      </c>
      <c r="C2481" s="175" t="str">
        <f>IF(B2481="serviço",D2481,C2478)</f>
        <v>Massa unica para reboco externo em argamassa estabilizada, espessura de 2,5cm, com execução desempenado fino</v>
      </c>
      <c r="D2481" s="175" t="s">
        <v>1747</v>
      </c>
      <c r="E2481" s="176" t="s">
        <v>13</v>
      </c>
      <c r="F2481" s="175"/>
      <c r="G2481" s="177" t="str">
        <f>IF(B2481="insumo",_xlfn.XLOOKUP($D2481,Insumos!$B$1:$B$764,Insumos!$D$1:$D$764),"")</f>
        <v/>
      </c>
      <c r="H2481" s="177" cm="1">
        <f t="array" ref="H2481">_xlfn.IFS(B2481="Serviço",SUMIFS(H2482:$H$3085,C2482:$C$3085,$C2481),B2481="Insumo",F2481*G2481,B2481="Etapa","")</f>
        <v>15.898575000000001</v>
      </c>
      <c r="I2481" s="178" t="s">
        <v>195</v>
      </c>
    </row>
    <row r="2482" spans="1:9" outlineLevel="2" x14ac:dyDescent="0.25">
      <c r="A2482" s="175">
        <f t="shared" si="83"/>
        <v>9</v>
      </c>
      <c r="B2482" s="175" t="s">
        <v>327</v>
      </c>
      <c r="C2482" s="175" t="str">
        <f t="shared" ref="C2482:C2545" si="85">IF(B2482="serviço",D2482,C2481)</f>
        <v>Massa unica para reboco externo em argamassa estabilizada, espessura de 2,5cm, com execução desempenado fino</v>
      </c>
      <c r="D2482" s="175" t="s">
        <v>666</v>
      </c>
      <c r="E2482" s="176" t="str">
        <f>_xlfn.XLOOKUP(D2482,Insumos!$B$1:$B$764,Insumos!$C$1:$C$764)</f>
        <v>M3</v>
      </c>
      <c r="F2482" s="179">
        <v>2.6250000000000002E-2</v>
      </c>
      <c r="G2482" s="177">
        <f>IF(B2482="insumo",_xlfn.XLOOKUP($D2482,Insumos!$B$1:$B$764,Insumos!$D$1:$D$764),"")</f>
        <v>605.66</v>
      </c>
      <c r="H2482" s="177" cm="1">
        <f t="array" ref="H2482">_xlfn.IFS(B2482="Serviço",SUMIFS(H2483:$H$3085,C2483:$C$3085,$C2482),B2482="Insumo",F2482*G2482,B2482="Etapa","")</f>
        <v>15.898575000000001</v>
      </c>
      <c r="I2482" s="178"/>
    </row>
    <row r="2483" spans="1:9" outlineLevel="1" collapsed="1" x14ac:dyDescent="0.25">
      <c r="A2483" s="175">
        <f t="shared" si="83"/>
        <v>1</v>
      </c>
      <c r="B2483" s="175" t="s">
        <v>109</v>
      </c>
      <c r="C2483" s="175" t="str">
        <f t="shared" si="85"/>
        <v>Chapisco externo aplicados em alvenaria, com argamassa usinada, aplicação convencional.</v>
      </c>
      <c r="D2483" s="175" t="s">
        <v>2874</v>
      </c>
      <c r="E2483" s="176" t="s">
        <v>13</v>
      </c>
      <c r="F2483" s="175"/>
      <c r="G2483" s="177" t="str">
        <f>IF(B2483="insumo",_xlfn.XLOOKUP($D2483,Insumos!$B$1:$B$764,Insumos!$D$1:$D$764),"")</f>
        <v/>
      </c>
      <c r="H2483" s="177" cm="1">
        <f t="array" ref="H2483">_xlfn.IFS(B2483="Serviço",SUMIFS(H2484:$H$3085,C2484:$C$3085,$C2483),B2483="Insumo",F2483*G2483,B2483="Etapa","")</f>
        <v>2.6597339999999998</v>
      </c>
      <c r="I2483" s="178" t="s">
        <v>195</v>
      </c>
    </row>
    <row r="2484" spans="1:9" ht="18" hidden="1" outlineLevel="2" x14ac:dyDescent="0.25">
      <c r="A2484" s="175">
        <f t="shared" si="83"/>
        <v>3</v>
      </c>
      <c r="B2484" s="175" t="s">
        <v>327</v>
      </c>
      <c r="C2484" s="175" t="str">
        <f t="shared" si="85"/>
        <v>Chapisco externo aplicados em alvenaria, com argamassa usinada, aplicação convencional.</v>
      </c>
      <c r="D2484" s="183" t="s">
        <v>658</v>
      </c>
      <c r="E2484" s="176" t="str">
        <f>_xlfn.XLOOKUP(D2484,Insumos!$B$1:$B$764,Insumos!$C$1:$C$764)</f>
        <v>M3</v>
      </c>
      <c r="F2484" s="179">
        <v>4.1999999999999997E-3</v>
      </c>
      <c r="G2484" s="177">
        <f>IF(B2484="insumo",_xlfn.XLOOKUP($D2484,Insumos!$B$1:$B$764,Insumos!$D$1:$D$764),"")</f>
        <v>633.27</v>
      </c>
      <c r="H2484" s="177" cm="1">
        <f t="array" ref="H2484">_xlfn.IFS(B2484="Serviço",SUMIFS(H2485:$H$3085,C2485:$C$3085,$C2484),B2484="Insumo",F2484*G2484,B2484="Etapa","")</f>
        <v>2.6597339999999998</v>
      </c>
      <c r="I2484" s="178"/>
    </row>
    <row r="2485" spans="1:9" outlineLevel="1" collapsed="1" x14ac:dyDescent="0.25">
      <c r="A2485" s="175">
        <f t="shared" si="83"/>
        <v>1</v>
      </c>
      <c r="B2485" s="175" t="s">
        <v>109</v>
      </c>
      <c r="C2485" s="175" t="str">
        <f t="shared" si="85"/>
        <v>Chapisco externo de argamassa preparada em obra de cimento e areia - traço 1:4 - aplicação em paredes externas</v>
      </c>
      <c r="D2485" s="175" t="s">
        <v>152</v>
      </c>
      <c r="E2485" s="176" t="s">
        <v>13</v>
      </c>
      <c r="F2485" s="175"/>
      <c r="G2485" s="177" t="str">
        <f>IF(B2485="insumo",_xlfn.XLOOKUP($D2485,Insumos!$B$1:$B$764,Insumos!$D$1:$D$764),"")</f>
        <v/>
      </c>
      <c r="H2485" s="177" cm="1">
        <f t="array" ref="H2485">_xlfn.IFS(B2485="Serviço",SUMIFS(H2486:$H$3085,C2486:$C$3085,$C2485),B2485="Insumo",F2485*G2485,B2485="Etapa","")</f>
        <v>3.28945</v>
      </c>
      <c r="I2485" s="178" t="s">
        <v>195</v>
      </c>
    </row>
    <row r="2486" spans="1:9" ht="18" hidden="1" outlineLevel="2" x14ac:dyDescent="0.25">
      <c r="A2486" s="175">
        <f t="shared" si="83"/>
        <v>2</v>
      </c>
      <c r="B2486" s="175" t="s">
        <v>327</v>
      </c>
      <c r="C2486" s="175" t="str">
        <f t="shared" si="85"/>
        <v>Chapisco externo de argamassa preparada em obra de cimento e areia - traço 1:4 - aplicação em paredes externas</v>
      </c>
      <c r="D2486" s="183" t="s">
        <v>1741</v>
      </c>
      <c r="E2486" s="176" t="s">
        <v>390</v>
      </c>
      <c r="F2486" s="179">
        <v>5.0000000000000001E-3</v>
      </c>
      <c r="G2486" s="177">
        <f>IF(B2486="insumo",_xlfn.XLOOKUP($D2486,Insumos!$B$1:$B$764,Insumos!$D$1:$D$764),"")</f>
        <v>657.89</v>
      </c>
      <c r="H2486" s="177" cm="1">
        <f t="array" ref="H2486">_xlfn.IFS(B2486="Serviço",SUMIFS(H2487:$H$3085,C2487:$C$3085,$C2486),B2486="Insumo",F2486*G2486,B2486="Etapa","")</f>
        <v>3.28945</v>
      </c>
      <c r="I2486" s="178"/>
    </row>
    <row r="2487" spans="1:9" outlineLevel="1" collapsed="1" x14ac:dyDescent="0.25">
      <c r="A2487" s="175">
        <f t="shared" si="83"/>
        <v>1</v>
      </c>
      <c r="B2487" s="175" t="s">
        <v>109</v>
      </c>
      <c r="C2487" s="175" t="str">
        <f t="shared" si="85"/>
        <v>Chapisco externo aplicado em estruturas de concreto, de argamassa ACIII, com desempenadeira dentada</v>
      </c>
      <c r="D2487" s="175" t="s">
        <v>1748</v>
      </c>
      <c r="E2487" s="176" t="s">
        <v>13</v>
      </c>
      <c r="F2487" s="175"/>
      <c r="G2487" s="177" t="str">
        <f>IF(B2487="insumo",_xlfn.XLOOKUP($D2487,Insumos!$B$1:$B$764,Insumos!$D$1:$D$764),"")</f>
        <v/>
      </c>
      <c r="H2487" s="177" cm="1">
        <f t="array" ref="H2487">_xlfn.IFS(B2487="Serviço",SUMIFS(H2488:$H$3085,C2488:$C$3085,$C2487),B2487="Insumo",F2487*G2487,B2487="Etapa","")</f>
        <v>12.75</v>
      </c>
      <c r="I2487" s="178" t="s">
        <v>195</v>
      </c>
    </row>
    <row r="2488" spans="1:9" hidden="1" outlineLevel="2" x14ac:dyDescent="0.25">
      <c r="A2488" s="175">
        <f t="shared" si="83"/>
        <v>118</v>
      </c>
      <c r="B2488" s="175" t="s">
        <v>327</v>
      </c>
      <c r="C2488" s="175" t="str">
        <f t="shared" si="85"/>
        <v>Chapisco externo aplicado em estruturas de concreto, de argamassa ACIII, com desempenadeira dentada</v>
      </c>
      <c r="D2488" s="175" t="s">
        <v>654</v>
      </c>
      <c r="E2488" s="176" t="str">
        <f>_xlfn.XLOOKUP(D2488,Insumos!$B$1:$B$764,Insumos!$C$1:$C$764)</f>
        <v>KG</v>
      </c>
      <c r="F2488" s="179">
        <v>5</v>
      </c>
      <c r="G2488" s="177">
        <f>IF(B2488="insumo",_xlfn.XLOOKUP($D2488,Insumos!$B$1:$B$764,Insumos!$D$1:$D$764),"")</f>
        <v>2.5499999999999998</v>
      </c>
      <c r="H2488" s="177" cm="1">
        <f t="array" ref="H2488">_xlfn.IFS(B2488="Serviço",SUMIFS(H2489:$H$3085,C2489:$C$3085,$C2488),B2488="Insumo",F2488*G2488,B2488="Etapa","")</f>
        <v>12.75</v>
      </c>
      <c r="I2488" s="178"/>
    </row>
    <row r="2489" spans="1:9" outlineLevel="1" collapsed="1" x14ac:dyDescent="0.25">
      <c r="A2489" s="175">
        <f t="shared" si="83"/>
        <v>1</v>
      </c>
      <c r="B2489" s="175" t="s">
        <v>109</v>
      </c>
      <c r="C2489" s="175" t="str">
        <f t="shared" si="85"/>
        <v>Chapisco externo aplicado em estruturas de concreto, com argamassa pré-fabricada adesiva de cimento colante, aplicação convencional</v>
      </c>
      <c r="D2489" s="175" t="s">
        <v>1989</v>
      </c>
      <c r="E2489" s="176" t="s">
        <v>13</v>
      </c>
      <c r="F2489" s="175"/>
      <c r="G2489" s="177" t="str">
        <f>IF(B2489="insumo",_xlfn.XLOOKUP($D2489,Insumos!$B$1:$B$764,Insumos!$D$1:$D$764),"")</f>
        <v/>
      </c>
      <c r="H2489" s="177" cm="1">
        <f t="array" ref="H2489">_xlfn.IFS(B2489="Serviço",SUMIFS(H2490:$H$3085,C2490:$C$3085,$C2489),B2489="Insumo",F2489*G2489,B2489="Etapa","")</f>
        <v>19.535849999999996</v>
      </c>
      <c r="I2489" s="178" t="s">
        <v>195</v>
      </c>
    </row>
    <row r="2490" spans="1:9" hidden="1" outlineLevel="2" x14ac:dyDescent="0.25">
      <c r="A2490" s="175">
        <f t="shared" si="83"/>
        <v>118</v>
      </c>
      <c r="B2490" s="175" t="s">
        <v>327</v>
      </c>
      <c r="C2490" s="175" t="str">
        <f t="shared" si="85"/>
        <v>Chapisco externo aplicado em estruturas de concreto, com argamassa pré-fabricada adesiva de cimento colante, aplicação convencional</v>
      </c>
      <c r="D2490" s="175" t="s">
        <v>654</v>
      </c>
      <c r="E2490" s="176" t="str">
        <f>_xlfn.XLOOKUP(D2490,Insumos!$B$1:$B$764,Insumos!$C$1:$C$764)</f>
        <v>KG</v>
      </c>
      <c r="F2490" s="179">
        <v>6.34</v>
      </c>
      <c r="G2490" s="177">
        <f>IF(B2490="insumo",_xlfn.XLOOKUP($D2490,Insumos!$B$1:$B$764,Insumos!$D$1:$D$764),"")</f>
        <v>2.5499999999999998</v>
      </c>
      <c r="H2490" s="177" cm="1">
        <f t="array" ref="H2490">_xlfn.IFS(B2490="Serviço",SUMIFS(H2491:$H$3085,C2491:$C$3085,$C2490),B2490="Insumo",F2490*G2490,B2490="Etapa","")</f>
        <v>16.166999999999998</v>
      </c>
      <c r="I2490" s="178"/>
    </row>
    <row r="2491" spans="1:9" hidden="1" outlineLevel="2" x14ac:dyDescent="0.25">
      <c r="A2491" s="175">
        <f t="shared" si="83"/>
        <v>5</v>
      </c>
      <c r="B2491" s="175" t="s">
        <v>327</v>
      </c>
      <c r="C2491" s="175" t="str">
        <f t="shared" si="85"/>
        <v>Chapisco externo aplicado em estruturas de concreto, com argamassa pré-fabricada adesiva de cimento colante, aplicação convencional</v>
      </c>
      <c r="D2491" s="175" t="s">
        <v>656</v>
      </c>
      <c r="E2491" s="176" t="str">
        <f>_xlfn.XLOOKUP(D2491,Insumos!$B$1:$B$764,Insumos!$C$1:$C$764)</f>
        <v>KG</v>
      </c>
      <c r="F2491" s="179">
        <v>0.3</v>
      </c>
      <c r="G2491" s="177">
        <f>IF(B2491="insumo",_xlfn.XLOOKUP($D2491,Insumos!$B$1:$B$764,Insumos!$D$1:$D$764),"")</f>
        <v>11.2295</v>
      </c>
      <c r="H2491" s="177" cm="1">
        <f t="array" ref="H2491">_xlfn.IFS(B2491="Serviço",SUMIFS(H2492:$H$3085,C2492:$C$3085,$C2491),B2491="Insumo",F2491*G2491,B2491="Etapa","")</f>
        <v>3.3688499999999997</v>
      </c>
      <c r="I2491" s="178"/>
    </row>
    <row r="2492" spans="1:9" outlineLevel="1" collapsed="1" x14ac:dyDescent="0.25">
      <c r="A2492" s="175">
        <f t="shared" si="83"/>
        <v>1</v>
      </c>
      <c r="B2492" s="175" t="s">
        <v>109</v>
      </c>
      <c r="C2492" s="175" t="str">
        <f t="shared" si="85"/>
        <v>Estucamento externo de estrutura de concreto em pilares e vigas</v>
      </c>
      <c r="D2492" s="175" t="s">
        <v>6228</v>
      </c>
      <c r="E2492" s="176" t="s">
        <v>13</v>
      </c>
      <c r="F2492" s="175"/>
      <c r="G2492" s="177" t="str">
        <f>IF(B2492="insumo",_xlfn.XLOOKUP($D2492,Insumos!$B$1:$B$764,Insumos!$D$1:$D$764),"")</f>
        <v/>
      </c>
      <c r="H2492" s="177" cm="1">
        <f t="array" ref="H2492">_xlfn.IFS(B2492="Serviço",SUMIFS(H2493:$H$3085,C2493:$C$3085,$C2492),B2492="Insumo",F2492*G2492,B2492="Etapa","")</f>
        <v>5.1029166666666663</v>
      </c>
      <c r="I2492" s="178" t="s">
        <v>195</v>
      </c>
    </row>
    <row r="2493" spans="1:9" hidden="1" outlineLevel="2" x14ac:dyDescent="0.25">
      <c r="A2493" s="175">
        <f t="shared" si="83"/>
        <v>39</v>
      </c>
      <c r="B2493" s="175" t="s">
        <v>327</v>
      </c>
      <c r="C2493" s="175" t="str">
        <f t="shared" si="85"/>
        <v>Estucamento externo de estrutura de concreto em pilares e vigas</v>
      </c>
      <c r="D2493" s="175" t="s">
        <v>396</v>
      </c>
      <c r="E2493" s="176" t="str">
        <f>_xlfn.XLOOKUP(D2493,Insumos!$B$1:$B$764,Insumos!$C$1:$C$764)</f>
        <v>KG</v>
      </c>
      <c r="F2493" s="179">
        <v>0.6</v>
      </c>
      <c r="G2493" s="177">
        <f>IF(B2493="insumo",_xlfn.XLOOKUP($D2493,Insumos!$B$1:$B$764,Insumos!$D$1:$D$764),"")</f>
        <v>0.76</v>
      </c>
      <c r="H2493" s="177" cm="1">
        <f t="array" ref="H2493">_xlfn.IFS(B2493="Serviço",SUMIFS(H2494:$H$3085,C2494:$C$3085,$C2493),B2493="Insumo",F2493*G2493,B2493="Etapa","")</f>
        <v>0.45599999999999996</v>
      </c>
      <c r="I2493" s="178"/>
    </row>
    <row r="2494" spans="1:9" hidden="1" outlineLevel="2" x14ac:dyDescent="0.25">
      <c r="A2494" s="175">
        <f t="shared" si="83"/>
        <v>3</v>
      </c>
      <c r="B2494" s="175" t="s">
        <v>327</v>
      </c>
      <c r="C2494" s="175" t="str">
        <f t="shared" si="85"/>
        <v>Estucamento externo de estrutura de concreto em pilares e vigas</v>
      </c>
      <c r="D2494" s="175" t="s">
        <v>667</v>
      </c>
      <c r="E2494" s="176" t="str">
        <f>_xlfn.XLOOKUP(D2494,Insumos!$B$1:$B$764,Insumos!$C$1:$C$764)</f>
        <v>UN</v>
      </c>
      <c r="F2494" s="179">
        <v>0.05</v>
      </c>
      <c r="G2494" s="177">
        <f>IF(B2494="insumo",_xlfn.XLOOKUP($D2494,Insumos!$B$1:$B$764,Insumos!$D$1:$D$764),"")</f>
        <v>3.13</v>
      </c>
      <c r="H2494" s="177" cm="1">
        <f t="array" ref="H2494">_xlfn.IFS(B2494="Serviço",SUMIFS(H2495:$H$3085,C2495:$C$3085,$C2494),B2494="Insumo",F2494*G2494,B2494="Etapa","")</f>
        <v>0.1565</v>
      </c>
      <c r="I2494" s="178"/>
    </row>
    <row r="2495" spans="1:9" hidden="1" outlineLevel="2" x14ac:dyDescent="0.25">
      <c r="A2495" s="175">
        <f t="shared" si="83"/>
        <v>3</v>
      </c>
      <c r="B2495" s="175" t="s">
        <v>327</v>
      </c>
      <c r="C2495" s="175" t="str">
        <f t="shared" si="85"/>
        <v>Estucamento externo de estrutura de concreto em pilares e vigas</v>
      </c>
      <c r="D2495" s="175" t="s">
        <v>668</v>
      </c>
      <c r="E2495" s="176" t="str">
        <f>_xlfn.XLOOKUP(D2495,Insumos!$B$1:$B$764,Insumos!$C$1:$C$764)</f>
        <v>KG</v>
      </c>
      <c r="F2495" s="179">
        <v>0.3</v>
      </c>
      <c r="G2495" s="177">
        <f>IF(B2495="insumo",_xlfn.XLOOKUP($D2495,Insumos!$B$1:$B$764,Insumos!$D$1:$D$764),"")</f>
        <v>3.49</v>
      </c>
      <c r="H2495" s="177" cm="1">
        <f t="array" ref="H2495">_xlfn.IFS(B2495="Serviço",SUMIFS(H2496:$H$3085,C2496:$C$3085,$C2495),B2495="Insumo",F2495*G2495,B2495="Etapa","")</f>
        <v>1.0469999999999999</v>
      </c>
      <c r="I2495" s="178"/>
    </row>
    <row r="2496" spans="1:9" hidden="1" outlineLevel="2" x14ac:dyDescent="0.25">
      <c r="A2496" s="175">
        <f t="shared" si="83"/>
        <v>3</v>
      </c>
      <c r="B2496" s="175" t="s">
        <v>327</v>
      </c>
      <c r="C2496" s="175" t="str">
        <f t="shared" si="85"/>
        <v>Estucamento externo de estrutura de concreto em pilares e vigas</v>
      </c>
      <c r="D2496" s="175" t="s">
        <v>669</v>
      </c>
      <c r="E2496" s="176" t="str">
        <f>_xlfn.XLOOKUP(D2496,Insumos!$B$1:$B$764,Insumos!$C$1:$C$764)</f>
        <v>KG</v>
      </c>
      <c r="F2496" s="179">
        <v>0.15</v>
      </c>
      <c r="G2496" s="177">
        <f>IF(B2496="insumo",_xlfn.XLOOKUP($D2496,Insumos!$B$1:$B$764,Insumos!$D$1:$D$764),"")</f>
        <v>22.95611111111111</v>
      </c>
      <c r="H2496" s="177" cm="1">
        <f t="array" ref="H2496">_xlfn.IFS(B2496="Serviço",SUMIFS(H2497:$H$3085,C2497:$C$3085,$C2496),B2496="Insumo",F2496*G2496,B2496="Etapa","")</f>
        <v>3.4434166666666663</v>
      </c>
      <c r="I2496" s="178"/>
    </row>
    <row r="2497" spans="1:10" outlineLevel="1" collapsed="1" x14ac:dyDescent="0.25">
      <c r="A2497" s="175">
        <f t="shared" si="83"/>
        <v>1</v>
      </c>
      <c r="B2497" s="175" t="s">
        <v>109</v>
      </c>
      <c r="C2497" s="175" t="str">
        <f t="shared" si="85"/>
        <v>Revestimento externo de porcelanato villagers 82x141,5 retificado externo</v>
      </c>
      <c r="D2497" s="175" t="s">
        <v>6862</v>
      </c>
      <c r="E2497" s="176" t="s">
        <v>13</v>
      </c>
      <c r="F2497" s="175"/>
      <c r="G2497" s="177" t="str">
        <f>IF(B2497="insumo",_xlfn.XLOOKUP($D2497,Insumos!$B$1:$B$764,Insumos!$D$1:$D$764),"")</f>
        <v/>
      </c>
      <c r="H2497" s="177" cm="1">
        <f t="array" ref="H2497">_xlfn.IFS(B2497="Serviço",SUMIFS(H2498:$H$3085,C2498:$C$3085,$C2497),B2497="Insumo",F2497*G2497,B2497="Etapa","")</f>
        <v>215.45800000000003</v>
      </c>
      <c r="I2497" s="178" t="s">
        <v>195</v>
      </c>
      <c r="J2497" s="168" t="str">
        <f>LOWER(D2497)</f>
        <v>revestimento externo de porcelanato villagers 82x141,5 retificado externo</v>
      </c>
    </row>
    <row r="2498" spans="1:10" hidden="1" outlineLevel="2" x14ac:dyDescent="0.25">
      <c r="A2498" s="175">
        <f t="shared" ref="A2498:A2561" si="86">COUNTIFS($D$2:$D$3085,D2498,$B$2:$B$3085,B2498)</f>
        <v>1</v>
      </c>
      <c r="B2498" s="175" t="s">
        <v>327</v>
      </c>
      <c r="C2498" s="175" t="str">
        <f t="shared" si="85"/>
        <v>Revestimento externo de porcelanato villagers 82x141,5 retificado externo</v>
      </c>
      <c r="D2498" s="175" t="s">
        <v>6863</v>
      </c>
      <c r="E2498" s="176" t="str">
        <f>_xlfn.XLOOKUP(D2498,Insumos!$B$1:$B$764,Insumos!$C$1:$C$764)</f>
        <v>M2</v>
      </c>
      <c r="F2498" s="179">
        <v>1.1000000000000001</v>
      </c>
      <c r="G2498" s="177">
        <f>IF(B2498="insumo",_xlfn.XLOOKUP($D2498,Insumos!$B$1:$B$764,Insumos!$D$1:$D$764),"")</f>
        <v>175</v>
      </c>
      <c r="H2498" s="177" cm="1">
        <f t="array" ref="H2498">_xlfn.IFS(B2498="Serviço",SUMIFS(H2499:$H$3085,C2499:$C$3085,$C2498),B2498="Insumo",F2498*G2498,B2498="Etapa","")</f>
        <v>192.50000000000003</v>
      </c>
      <c r="I2498" s="178"/>
    </row>
    <row r="2499" spans="1:10" hidden="1" outlineLevel="2" x14ac:dyDescent="0.25">
      <c r="A2499" s="175">
        <f t="shared" si="86"/>
        <v>118</v>
      </c>
      <c r="B2499" s="175" t="s">
        <v>327</v>
      </c>
      <c r="C2499" s="175" t="str">
        <f t="shared" si="85"/>
        <v>Revestimento externo de porcelanato villagers 82x141,5 retificado externo</v>
      </c>
      <c r="D2499" s="175" t="s">
        <v>654</v>
      </c>
      <c r="E2499" s="176" t="str">
        <f>_xlfn.XLOOKUP(D2499,Insumos!$B$1:$B$764,Insumos!$C$1:$C$764)</f>
        <v>KG</v>
      </c>
      <c r="F2499" s="179">
        <v>8.8000000000000007</v>
      </c>
      <c r="G2499" s="177">
        <f>IF(B2499="insumo",_xlfn.XLOOKUP($D2499,Insumos!$B$1:$B$764,Insumos!$D$1:$D$764),"")</f>
        <v>2.5499999999999998</v>
      </c>
      <c r="H2499" s="177" cm="1">
        <f t="array" ref="H2499">_xlfn.IFS(B2499="Serviço",SUMIFS(H2500:$H$3085,C2500:$C$3085,$C2499),B2499="Insumo",F2499*G2499,B2499="Etapa","")</f>
        <v>22.44</v>
      </c>
      <c r="I2499" s="178"/>
    </row>
    <row r="2500" spans="1:10" hidden="1" outlineLevel="2" x14ac:dyDescent="0.25">
      <c r="A2500" s="175">
        <f t="shared" si="86"/>
        <v>78</v>
      </c>
      <c r="B2500" s="175" t="s">
        <v>327</v>
      </c>
      <c r="C2500" s="175" t="str">
        <f t="shared" si="85"/>
        <v>Revestimento externo de porcelanato villagers 82x141,5 retificado externo</v>
      </c>
      <c r="D2500" s="175" t="s">
        <v>674</v>
      </c>
      <c r="E2500" s="176" t="str">
        <f>_xlfn.XLOOKUP(D2500,Insumos!$B$1:$B$764,Insumos!$C$1:$C$764)</f>
        <v>UN</v>
      </c>
      <c r="F2500" s="179">
        <v>1</v>
      </c>
      <c r="G2500" s="177">
        <f>IF(B2500="insumo",_xlfn.XLOOKUP($D2500,Insumos!$B$1:$B$764,Insumos!$D$1:$D$764),"")</f>
        <v>0.08</v>
      </c>
      <c r="H2500" s="177" cm="1">
        <f t="array" ref="H2500">_xlfn.IFS(B2500="Serviço",SUMIFS(H2501:$H$3085,C2501:$C$3085,$C2500),B2500="Insumo",F2500*G2500,B2500="Etapa","")</f>
        <v>0.08</v>
      </c>
      <c r="I2500" s="178"/>
    </row>
    <row r="2501" spans="1:10" hidden="1" outlineLevel="2" x14ac:dyDescent="0.25">
      <c r="A2501" s="175">
        <f t="shared" si="86"/>
        <v>19</v>
      </c>
      <c r="B2501" s="175" t="s">
        <v>327</v>
      </c>
      <c r="C2501" s="175" t="str">
        <f t="shared" si="85"/>
        <v>Revestimento externo de porcelanato villagers 82x141,5 retificado externo</v>
      </c>
      <c r="D2501" s="175" t="s">
        <v>1962</v>
      </c>
      <c r="E2501" s="176" t="str">
        <f>_xlfn.XLOOKUP(D2501,Insumos!$B$1:$B$764,Insumos!$C$1:$C$764)</f>
        <v>KG</v>
      </c>
      <c r="F2501" s="179">
        <v>0.01</v>
      </c>
      <c r="G2501" s="177">
        <f>IF(B2501="insumo",_xlfn.XLOOKUP($D2501,Insumos!$B$1:$B$764,Insumos!$D$1:$D$764),"")</f>
        <v>43.8</v>
      </c>
      <c r="H2501" s="177" cm="1">
        <f t="array" ref="H2501">_xlfn.IFS(B2501="Serviço",SUMIFS(H2502:$H$3085,C2502:$C$3085,$C2501),B2501="Insumo",F2501*G2501,B2501="Etapa","")</f>
        <v>0.438</v>
      </c>
      <c r="I2501" s="178"/>
    </row>
    <row r="2502" spans="1:10" outlineLevel="1" collapsed="1" x14ac:dyDescent="0.25">
      <c r="A2502" s="175">
        <f t="shared" si="86"/>
        <v>1</v>
      </c>
      <c r="B2502" s="175" t="s">
        <v>109</v>
      </c>
      <c r="C2502" s="175" t="str">
        <f t="shared" si="85"/>
        <v>Revestimento  externo de porcelanato retificado em Paredes, Cinza claro, Placa 60 x 60cm com Junta de 2mm</v>
      </c>
      <c r="D2502" s="175" t="s">
        <v>2422</v>
      </c>
      <c r="E2502" s="176" t="s">
        <v>13</v>
      </c>
      <c r="F2502" s="175"/>
      <c r="G2502" s="177" t="str">
        <f>IF(B2502="insumo",_xlfn.XLOOKUP($D2502,Insumos!$B$1:$B$764,Insumos!$D$1:$D$764),"")</f>
        <v/>
      </c>
      <c r="H2502" s="177" cm="1">
        <f t="array" ref="H2502">_xlfn.IFS(B2502="Serviço",SUMIFS(H2503:$H$3085,C2503:$C$3085,$C2502),B2502="Insumo",F2502*G2502,B2502="Etapa","")</f>
        <v>92.147999999999996</v>
      </c>
      <c r="I2502" s="178" t="s">
        <v>195</v>
      </c>
    </row>
    <row r="2503" spans="1:10" hidden="1" outlineLevel="2" x14ac:dyDescent="0.25">
      <c r="A2503" s="175">
        <f t="shared" si="86"/>
        <v>1</v>
      </c>
      <c r="B2503" s="175" t="s">
        <v>327</v>
      </c>
      <c r="C2503" s="175" t="str">
        <f t="shared" si="85"/>
        <v>Revestimento  externo de porcelanato retificado em Paredes, Cinza claro, Placa 60 x 60cm com Junta de 2mm</v>
      </c>
      <c r="D2503" s="175" t="s">
        <v>1993</v>
      </c>
      <c r="E2503" s="176" t="str">
        <f>_xlfn.XLOOKUP(D2503,Insumos!$B$1:$B$764,Insumos!$C$1:$C$764)</f>
        <v>M2</v>
      </c>
      <c r="F2503" s="179">
        <v>1.1000000000000001</v>
      </c>
      <c r="G2503" s="177">
        <f>IF(B2503="insumo",_xlfn.XLOOKUP($D2503,Insumos!$B$1:$B$764,Insumos!$D$1:$D$764),"")</f>
        <v>62.9</v>
      </c>
      <c r="H2503" s="177" cm="1">
        <f t="array" ref="H2503">_xlfn.IFS(B2503="Serviço",SUMIFS(H2504:$H$3085,C2504:$C$3085,$C2503),B2503="Insumo",F2503*G2503,B2503="Etapa","")</f>
        <v>69.19</v>
      </c>
      <c r="I2503" s="178"/>
    </row>
    <row r="2504" spans="1:10" hidden="1" outlineLevel="2" x14ac:dyDescent="0.25">
      <c r="A2504" s="175">
        <f t="shared" si="86"/>
        <v>118</v>
      </c>
      <c r="B2504" s="175" t="s">
        <v>327</v>
      </c>
      <c r="C2504" s="175" t="str">
        <f t="shared" si="85"/>
        <v>Revestimento  externo de porcelanato retificado em Paredes, Cinza claro, Placa 60 x 60cm com Junta de 2mm</v>
      </c>
      <c r="D2504" s="175" t="s">
        <v>654</v>
      </c>
      <c r="E2504" s="176" t="str">
        <f>_xlfn.XLOOKUP(D2504,Insumos!$B$1:$B$764,Insumos!$C$1:$C$764)</f>
        <v>KG</v>
      </c>
      <c r="F2504" s="179">
        <v>8.8000000000000007</v>
      </c>
      <c r="G2504" s="177">
        <f>IF(B2504="insumo",_xlfn.XLOOKUP($D2504,Insumos!$B$1:$B$764,Insumos!$D$1:$D$764),"")</f>
        <v>2.5499999999999998</v>
      </c>
      <c r="H2504" s="177" cm="1">
        <f t="array" ref="H2504">_xlfn.IFS(B2504="Serviço",SUMIFS(H2505:$H$3085,C2505:$C$3085,$C2504),B2504="Insumo",F2504*G2504,B2504="Etapa","")</f>
        <v>22.44</v>
      </c>
      <c r="I2504" s="178"/>
    </row>
    <row r="2505" spans="1:10" hidden="1" outlineLevel="2" x14ac:dyDescent="0.25">
      <c r="A2505" s="175">
        <f t="shared" si="86"/>
        <v>78</v>
      </c>
      <c r="B2505" s="175" t="s">
        <v>327</v>
      </c>
      <c r="C2505" s="175" t="str">
        <f t="shared" si="85"/>
        <v>Revestimento  externo de porcelanato retificado em Paredes, Cinza claro, Placa 60 x 60cm com Junta de 2mm</v>
      </c>
      <c r="D2505" s="175" t="s">
        <v>674</v>
      </c>
      <c r="E2505" s="176" t="str">
        <f>_xlfn.XLOOKUP(D2505,Insumos!$B$1:$B$764,Insumos!$C$1:$C$764)</f>
        <v>UN</v>
      </c>
      <c r="F2505" s="179">
        <v>1</v>
      </c>
      <c r="G2505" s="177">
        <f>IF(B2505="insumo",_xlfn.XLOOKUP($D2505,Insumos!$B$1:$B$764,Insumos!$D$1:$D$764),"")</f>
        <v>0.08</v>
      </c>
      <c r="H2505" s="177" cm="1">
        <f t="array" ref="H2505">_xlfn.IFS(B2505="Serviço",SUMIFS(H2506:$H$3085,C2506:$C$3085,$C2505),B2505="Insumo",F2505*G2505,B2505="Etapa","")</f>
        <v>0.08</v>
      </c>
      <c r="I2505" s="178"/>
    </row>
    <row r="2506" spans="1:10" hidden="1" outlineLevel="2" x14ac:dyDescent="0.25">
      <c r="A2506" s="175">
        <f t="shared" si="86"/>
        <v>19</v>
      </c>
      <c r="B2506" s="175" t="s">
        <v>327</v>
      </c>
      <c r="C2506" s="175" t="str">
        <f t="shared" si="85"/>
        <v>Revestimento  externo de porcelanato retificado em Paredes, Cinza claro, Placa 60 x 60cm com Junta de 2mm</v>
      </c>
      <c r="D2506" s="175" t="s">
        <v>1962</v>
      </c>
      <c r="E2506" s="176" t="str">
        <f>_xlfn.XLOOKUP(D2506,Insumos!$B$1:$B$764,Insumos!$C$1:$C$764)</f>
        <v>KG</v>
      </c>
      <c r="F2506" s="179">
        <v>0.01</v>
      </c>
      <c r="G2506" s="177">
        <f>IF(B2506="insumo",_xlfn.XLOOKUP($D2506,Insumos!$B$1:$B$764,Insumos!$D$1:$D$764),"")</f>
        <v>43.8</v>
      </c>
      <c r="H2506" s="177" cm="1">
        <f t="array" ref="H2506">_xlfn.IFS(B2506="Serviço",SUMIFS(H2507:$H$3085,C2507:$C$3085,$C2506),B2506="Insumo",F2506*G2506,B2506="Etapa","")</f>
        <v>0.438</v>
      </c>
      <c r="I2506" s="178"/>
    </row>
    <row r="2507" spans="1:10" outlineLevel="1" collapsed="1" x14ac:dyDescent="0.25">
      <c r="A2507" s="175">
        <f t="shared" si="86"/>
        <v>1</v>
      </c>
      <c r="B2507" s="175" t="s">
        <v>109</v>
      </c>
      <c r="C2507" s="175" t="str">
        <f t="shared" si="85"/>
        <v>Revestimento  externo de porcelanato retificado em Paredes, Cinza, Placa 60 x 60cm com Junta de 2mm</v>
      </c>
      <c r="D2507" s="175" t="s">
        <v>2423</v>
      </c>
      <c r="E2507" s="176" t="s">
        <v>13</v>
      </c>
      <c r="F2507" s="175"/>
      <c r="G2507" s="177" t="str">
        <f>IF(B2507="insumo",_xlfn.XLOOKUP($D2507,Insumos!$B$1:$B$764,Insumos!$D$1:$D$764),"")</f>
        <v/>
      </c>
      <c r="H2507" s="177" cm="1">
        <f t="array" ref="H2507">_xlfn.IFS(B2507="Serviço",SUMIFS(H2508:$H$3085,C2508:$C$3085,$C2507),B2507="Insumo",F2507*G2507,B2507="Etapa","")</f>
        <v>105.458</v>
      </c>
      <c r="I2507" s="178" t="s">
        <v>195</v>
      </c>
    </row>
    <row r="2508" spans="1:10" hidden="1" outlineLevel="2" x14ac:dyDescent="0.25">
      <c r="A2508" s="175">
        <f t="shared" si="86"/>
        <v>1</v>
      </c>
      <c r="B2508" s="175" t="s">
        <v>327</v>
      </c>
      <c r="C2508" s="175" t="str">
        <f t="shared" si="85"/>
        <v>Revestimento  externo de porcelanato retificado em Paredes, Cinza, Placa 60 x 60cm com Junta de 2mm</v>
      </c>
      <c r="D2508" s="175" t="s">
        <v>1995</v>
      </c>
      <c r="E2508" s="176" t="str">
        <f>_xlfn.XLOOKUP(D2508,Insumos!$B$1:$B$764,Insumos!$C$1:$C$764)</f>
        <v>M2</v>
      </c>
      <c r="F2508" s="179">
        <v>1.1000000000000001</v>
      </c>
      <c r="G2508" s="177">
        <f>IF(B2508="insumo",_xlfn.XLOOKUP($D2508,Insumos!$B$1:$B$764,Insumos!$D$1:$D$764),"")</f>
        <v>75</v>
      </c>
      <c r="H2508" s="177" cm="1">
        <f t="array" ref="H2508">_xlfn.IFS(B2508="Serviço",SUMIFS(H2509:$H$3085,C2509:$C$3085,$C2508),B2508="Insumo",F2508*G2508,B2508="Etapa","")</f>
        <v>82.5</v>
      </c>
      <c r="I2508" s="178"/>
    </row>
    <row r="2509" spans="1:10" hidden="1" outlineLevel="2" x14ac:dyDescent="0.25">
      <c r="A2509" s="175">
        <f t="shared" si="86"/>
        <v>118</v>
      </c>
      <c r="B2509" s="175" t="s">
        <v>327</v>
      </c>
      <c r="C2509" s="175" t="str">
        <f t="shared" si="85"/>
        <v>Revestimento  externo de porcelanato retificado em Paredes, Cinza, Placa 60 x 60cm com Junta de 2mm</v>
      </c>
      <c r="D2509" s="175" t="s">
        <v>654</v>
      </c>
      <c r="E2509" s="176" t="str">
        <f>_xlfn.XLOOKUP(D2509,Insumos!$B$1:$B$764,Insumos!$C$1:$C$764)</f>
        <v>KG</v>
      </c>
      <c r="F2509" s="179">
        <v>8.8000000000000007</v>
      </c>
      <c r="G2509" s="177">
        <f>IF(B2509="insumo",_xlfn.XLOOKUP($D2509,Insumos!$B$1:$B$764,Insumos!$D$1:$D$764),"")</f>
        <v>2.5499999999999998</v>
      </c>
      <c r="H2509" s="177" cm="1">
        <f t="array" ref="H2509">_xlfn.IFS(B2509="Serviço",SUMIFS(H2510:$H$3085,C2510:$C$3085,$C2509),B2509="Insumo",F2509*G2509,B2509="Etapa","")</f>
        <v>22.44</v>
      </c>
      <c r="I2509" s="178"/>
    </row>
    <row r="2510" spans="1:10" hidden="1" outlineLevel="2" x14ac:dyDescent="0.25">
      <c r="A2510" s="175">
        <f t="shared" si="86"/>
        <v>78</v>
      </c>
      <c r="B2510" s="175" t="s">
        <v>327</v>
      </c>
      <c r="C2510" s="175" t="str">
        <f t="shared" si="85"/>
        <v>Revestimento  externo de porcelanato retificado em Paredes, Cinza, Placa 60 x 60cm com Junta de 2mm</v>
      </c>
      <c r="D2510" s="175" t="s">
        <v>674</v>
      </c>
      <c r="E2510" s="176" t="str">
        <f>_xlfn.XLOOKUP(D2510,Insumos!$B$1:$B$764,Insumos!$C$1:$C$764)</f>
        <v>UN</v>
      </c>
      <c r="F2510" s="179">
        <v>1</v>
      </c>
      <c r="G2510" s="177">
        <f>IF(B2510="insumo",_xlfn.XLOOKUP($D2510,Insumos!$B$1:$B$764,Insumos!$D$1:$D$764),"")</f>
        <v>0.08</v>
      </c>
      <c r="H2510" s="177" cm="1">
        <f t="array" ref="H2510">_xlfn.IFS(B2510="Serviço",SUMIFS(H2511:$H$3085,C2511:$C$3085,$C2510),B2510="Insumo",F2510*G2510,B2510="Etapa","")</f>
        <v>0.08</v>
      </c>
      <c r="I2510" s="178"/>
    </row>
    <row r="2511" spans="1:10" hidden="1" outlineLevel="2" x14ac:dyDescent="0.25">
      <c r="A2511" s="175">
        <f t="shared" si="86"/>
        <v>19</v>
      </c>
      <c r="B2511" s="175" t="s">
        <v>327</v>
      </c>
      <c r="C2511" s="175" t="str">
        <f t="shared" si="85"/>
        <v>Revestimento  externo de porcelanato retificado em Paredes, Cinza, Placa 60 x 60cm com Junta de 2mm</v>
      </c>
      <c r="D2511" s="175" t="s">
        <v>1962</v>
      </c>
      <c r="E2511" s="176" t="str">
        <f>_xlfn.XLOOKUP(D2511,Insumos!$B$1:$B$764,Insumos!$C$1:$C$764)</f>
        <v>KG</v>
      </c>
      <c r="F2511" s="179">
        <v>0.01</v>
      </c>
      <c r="G2511" s="177">
        <f>IF(B2511="insumo",_xlfn.XLOOKUP($D2511,Insumos!$B$1:$B$764,Insumos!$D$1:$D$764),"")</f>
        <v>43.8</v>
      </c>
      <c r="H2511" s="177" cm="1">
        <f t="array" ref="H2511">_xlfn.IFS(B2511="Serviço",SUMIFS(H2512:$H$3085,C2512:$C$3085,$C2511),B2511="Insumo",F2511*G2511,B2511="Etapa","")</f>
        <v>0.438</v>
      </c>
      <c r="I2511" s="178"/>
    </row>
    <row r="2512" spans="1:10" outlineLevel="1" x14ac:dyDescent="0.25">
      <c r="A2512" s="175">
        <f t="shared" si="86"/>
        <v>1</v>
      </c>
      <c r="B2512" s="175" t="s">
        <v>109</v>
      </c>
      <c r="C2512" s="175" t="str">
        <f t="shared" si="85"/>
        <v>Revestimento  externo de porcelanato retificado Preto em Paredes, Placa 60 x 60cm com Junta de 2mm</v>
      </c>
      <c r="D2512" s="175" t="s">
        <v>2421</v>
      </c>
      <c r="E2512" s="176" t="s">
        <v>13</v>
      </c>
      <c r="F2512" s="175"/>
      <c r="G2512" s="177" t="str">
        <f>IF(B2512="insumo",_xlfn.XLOOKUP($D2512,Insumos!$B$1:$B$764,Insumos!$D$1:$D$764),"")</f>
        <v/>
      </c>
      <c r="H2512" s="177" cm="1">
        <f t="array" ref="H2512">_xlfn.IFS(B2512="Serviço",SUMIFS(H2513:$H$3085,C2513:$C$3085,$C2512),B2512="Insumo",F2512*G2512,B2512="Etapa","")</f>
        <v>99.896888888888896</v>
      </c>
      <c r="I2512" s="178" t="s">
        <v>195</v>
      </c>
    </row>
    <row r="2513" spans="1:9" outlineLevel="2" x14ac:dyDescent="0.25">
      <c r="A2513" s="175">
        <f t="shared" si="86"/>
        <v>1</v>
      </c>
      <c r="B2513" s="175" t="s">
        <v>327</v>
      </c>
      <c r="C2513" s="175" t="str">
        <f t="shared" si="85"/>
        <v>Revestimento  externo de porcelanato retificado Preto em Paredes, Placa 60 x 60cm com Junta de 2mm</v>
      </c>
      <c r="D2513" s="175" t="s">
        <v>1994</v>
      </c>
      <c r="E2513" s="176" t="str">
        <f>_xlfn.XLOOKUP(D2513,Insumos!$B$1:$B$764,Insumos!$C$1:$C$764)</f>
        <v>M2</v>
      </c>
      <c r="F2513" s="179">
        <v>1.1000000000000001</v>
      </c>
      <c r="G2513" s="177">
        <f>IF(B2513="insumo",_xlfn.XLOOKUP($D2513,Insumos!$B$1:$B$764,Insumos!$D$1:$D$764),"")</f>
        <v>69.944444444444443</v>
      </c>
      <c r="H2513" s="177" cm="1">
        <f t="array" ref="H2513">_xlfn.IFS(B2513="Serviço",SUMIFS(H2514:$H$3085,C2514:$C$3085,$C2513),B2513="Insumo",F2513*G2513,B2513="Etapa","")</f>
        <v>76.938888888888897</v>
      </c>
      <c r="I2513" s="178"/>
    </row>
    <row r="2514" spans="1:9" outlineLevel="2" x14ac:dyDescent="0.25">
      <c r="A2514" s="175">
        <f t="shared" si="86"/>
        <v>118</v>
      </c>
      <c r="B2514" s="175" t="s">
        <v>327</v>
      </c>
      <c r="C2514" s="175" t="str">
        <f t="shared" si="85"/>
        <v>Revestimento  externo de porcelanato retificado Preto em Paredes, Placa 60 x 60cm com Junta de 2mm</v>
      </c>
      <c r="D2514" s="175" t="s">
        <v>654</v>
      </c>
      <c r="E2514" s="176" t="str">
        <f>_xlfn.XLOOKUP(D2514,Insumos!$B$1:$B$764,Insumos!$C$1:$C$764)</f>
        <v>KG</v>
      </c>
      <c r="F2514" s="179">
        <v>8.8000000000000007</v>
      </c>
      <c r="G2514" s="177">
        <f>IF(B2514="insumo",_xlfn.XLOOKUP($D2514,Insumos!$B$1:$B$764,Insumos!$D$1:$D$764),"")</f>
        <v>2.5499999999999998</v>
      </c>
      <c r="H2514" s="177" cm="1">
        <f t="array" ref="H2514">_xlfn.IFS(B2514="Serviço",SUMIFS(H2515:$H$3085,C2515:$C$3085,$C2514),B2514="Insumo",F2514*G2514,B2514="Etapa","")</f>
        <v>22.44</v>
      </c>
      <c r="I2514" s="178"/>
    </row>
    <row r="2515" spans="1:9" outlineLevel="2" x14ac:dyDescent="0.25">
      <c r="A2515" s="175">
        <f t="shared" si="86"/>
        <v>78</v>
      </c>
      <c r="B2515" s="175" t="s">
        <v>327</v>
      </c>
      <c r="C2515" s="175" t="str">
        <f t="shared" si="85"/>
        <v>Revestimento  externo de porcelanato retificado Preto em Paredes, Placa 60 x 60cm com Junta de 2mm</v>
      </c>
      <c r="D2515" s="175" t="s">
        <v>674</v>
      </c>
      <c r="E2515" s="176" t="str">
        <f>_xlfn.XLOOKUP(D2515,Insumos!$B$1:$B$764,Insumos!$C$1:$C$764)</f>
        <v>UN</v>
      </c>
      <c r="F2515" s="179">
        <v>1</v>
      </c>
      <c r="G2515" s="177">
        <f>IF(B2515="insumo",_xlfn.XLOOKUP($D2515,Insumos!$B$1:$B$764,Insumos!$D$1:$D$764),"")</f>
        <v>0.08</v>
      </c>
      <c r="H2515" s="177" cm="1">
        <f t="array" ref="H2515">_xlfn.IFS(B2515="Serviço",SUMIFS(H2516:$H$3085,C2516:$C$3085,$C2515),B2515="Insumo",F2515*G2515,B2515="Etapa","")</f>
        <v>0.08</v>
      </c>
      <c r="I2515" s="178"/>
    </row>
    <row r="2516" spans="1:9" outlineLevel="2" x14ac:dyDescent="0.25">
      <c r="A2516" s="175">
        <f t="shared" si="86"/>
        <v>19</v>
      </c>
      <c r="B2516" s="175" t="s">
        <v>327</v>
      </c>
      <c r="C2516" s="175" t="str">
        <f t="shared" si="85"/>
        <v>Revestimento  externo de porcelanato retificado Preto em Paredes, Placa 60 x 60cm com Junta de 2mm</v>
      </c>
      <c r="D2516" s="175" t="s">
        <v>1962</v>
      </c>
      <c r="E2516" s="176" t="str">
        <f>_xlfn.XLOOKUP(D2516,Insumos!$B$1:$B$764,Insumos!$C$1:$C$764)</f>
        <v>KG</v>
      </c>
      <c r="F2516" s="179">
        <v>0.01</v>
      </c>
      <c r="G2516" s="177">
        <f>IF(B2516="insumo",_xlfn.XLOOKUP($D2516,Insumos!$B$1:$B$764,Insumos!$D$1:$D$764),"")</f>
        <v>43.8</v>
      </c>
      <c r="H2516" s="177" cm="1">
        <f t="array" ref="H2516">_xlfn.IFS(B2516="Serviço",SUMIFS(H2517:$H$3085,C2517:$C$3085,$C2516),B2516="Insumo",F2516*G2516,B2516="Etapa","")</f>
        <v>0.438</v>
      </c>
      <c r="I2516" s="178"/>
    </row>
    <row r="2517" spans="1:9" outlineLevel="1" collapsed="1" x14ac:dyDescent="0.25">
      <c r="A2517" s="175">
        <f t="shared" si="86"/>
        <v>1</v>
      </c>
      <c r="B2517" s="175" t="s">
        <v>109</v>
      </c>
      <c r="C2517" s="175" t="str">
        <f t="shared" si="85"/>
        <v>Moldura em EPS fachada</v>
      </c>
      <c r="D2517" s="175" t="s">
        <v>882</v>
      </c>
      <c r="E2517" s="176" t="s">
        <v>13</v>
      </c>
      <c r="F2517" s="175"/>
      <c r="G2517" s="177" t="str">
        <f>IF(B2517="insumo",_xlfn.XLOOKUP($D2517,Insumos!$B$1:$B$764,Insumos!$D$1:$D$764),"")</f>
        <v/>
      </c>
      <c r="H2517" s="177" cm="1">
        <f t="array" ref="H2517">_xlfn.IFS(B2517="Serviço",SUMIFS(H2518:$H$3085,C2518:$C$3085,$C2517),B2517="Insumo",F2517*G2517,B2517="Etapa","")</f>
        <v>1600.1415151515153</v>
      </c>
      <c r="I2517" s="178" t="s">
        <v>195</v>
      </c>
    </row>
    <row r="2518" spans="1:9" hidden="1" outlineLevel="2" x14ac:dyDescent="0.25">
      <c r="A2518" s="175">
        <f t="shared" si="86"/>
        <v>1</v>
      </c>
      <c r="B2518" s="175" t="s">
        <v>327</v>
      </c>
      <c r="C2518" s="175" t="str">
        <f t="shared" si="85"/>
        <v>Moldura em EPS fachada</v>
      </c>
      <c r="D2518" s="175" t="s">
        <v>883</v>
      </c>
      <c r="E2518" s="176" t="str">
        <f>_xlfn.XLOOKUP(D2518,Insumos!$B$1:$B$764,Insumos!$C$1:$C$764)</f>
        <v>M3</v>
      </c>
      <c r="F2518" s="179">
        <v>1.1000000000000001</v>
      </c>
      <c r="G2518" s="177">
        <f>IF(B2518="insumo",_xlfn.XLOOKUP($D2518,Insumos!$B$1:$B$764,Insumos!$D$1:$D$764),"")</f>
        <v>1377.4104683195592</v>
      </c>
      <c r="H2518" s="177" cm="1">
        <f t="array" ref="H2518">_xlfn.IFS(B2518="Serviço",SUMIFS(H2519:$H$3085,C2519:$C$3085,$C2518),B2518="Insumo",F2518*G2518,B2518="Etapa","")</f>
        <v>1515.1515151515152</v>
      </c>
      <c r="I2518" s="178"/>
    </row>
    <row r="2519" spans="1:9" hidden="1" outlineLevel="2" x14ac:dyDescent="0.25">
      <c r="A2519" s="175">
        <f t="shared" si="86"/>
        <v>118</v>
      </c>
      <c r="B2519" s="175" t="s">
        <v>327</v>
      </c>
      <c r="C2519" s="175" t="str">
        <f t="shared" si="85"/>
        <v>Moldura em EPS fachada</v>
      </c>
      <c r="D2519" s="175" t="s">
        <v>654</v>
      </c>
      <c r="E2519" s="176" t="str">
        <f>_xlfn.XLOOKUP(D2519,Insumos!$B$1:$B$764,Insumos!$C$1:$C$764)</f>
        <v>KG</v>
      </c>
      <c r="F2519" s="179">
        <v>9</v>
      </c>
      <c r="G2519" s="177">
        <f>IF(B2519="insumo",_xlfn.XLOOKUP($D2519,Insumos!$B$1:$B$764,Insumos!$D$1:$D$764),"")</f>
        <v>2.5499999999999998</v>
      </c>
      <c r="H2519" s="177" cm="1">
        <f t="array" ref="H2519">_xlfn.IFS(B2519="Serviço",SUMIFS(H2520:$H$3085,C2520:$C$3085,$C2519),B2519="Insumo",F2519*G2519,B2519="Etapa","")</f>
        <v>22.95</v>
      </c>
      <c r="I2519" s="178"/>
    </row>
    <row r="2520" spans="1:9" hidden="1" outlineLevel="2" x14ac:dyDescent="0.25">
      <c r="A2520" s="175">
        <f t="shared" si="86"/>
        <v>1</v>
      </c>
      <c r="B2520" s="175" t="s">
        <v>327</v>
      </c>
      <c r="C2520" s="175" t="str">
        <f t="shared" si="85"/>
        <v>Moldura em EPS fachada</v>
      </c>
      <c r="D2520" s="175" t="s">
        <v>884</v>
      </c>
      <c r="E2520" s="176" t="str">
        <f>_xlfn.XLOOKUP(D2520,Insumos!$B$1:$B$764,Insumos!$C$1:$C$764)</f>
        <v>UN</v>
      </c>
      <c r="F2520" s="179">
        <v>12</v>
      </c>
      <c r="G2520" s="177">
        <f>IF(B2520="insumo",_xlfn.XLOOKUP($D2520,Insumos!$B$1:$B$764,Insumos!$D$1:$D$764),"")</f>
        <v>5.17</v>
      </c>
      <c r="H2520" s="177" cm="1">
        <f t="array" ref="H2520">_xlfn.IFS(B2520="Serviço",SUMIFS(H2521:$H$3085,C2521:$C$3085,$C2520),B2520="Insumo",F2520*G2520,B2520="Etapa","")</f>
        <v>62.04</v>
      </c>
      <c r="I2520" s="178"/>
    </row>
    <row r="2521" spans="1:9" outlineLevel="1" collapsed="1" x14ac:dyDescent="0.25">
      <c r="A2521" s="175">
        <f t="shared" si="86"/>
        <v>1</v>
      </c>
      <c r="B2521" s="175" t="s">
        <v>109</v>
      </c>
      <c r="C2521" s="175" t="str">
        <f t="shared" si="85"/>
        <v>Revestimento em Pedra Natural Aplicado em Fachadas</v>
      </c>
      <c r="D2521" s="175" t="s">
        <v>278</v>
      </c>
      <c r="E2521" s="176" t="s">
        <v>13</v>
      </c>
      <c r="F2521" s="175"/>
      <c r="G2521" s="177" t="str">
        <f>IF(B2521="insumo",_xlfn.XLOOKUP($D2521,Insumos!$B$1:$B$764,Insumos!$D$1:$D$764),"")</f>
        <v/>
      </c>
      <c r="H2521" s="177" cm="1">
        <f t="array" ref="H2521">_xlfn.IFS(B2521="Serviço",SUMIFS(H2522:$H$3085,C2522:$C$3085,$C2521),B2521="Insumo",F2521*G2521,B2521="Etapa","")</f>
        <v>856.61500000000012</v>
      </c>
      <c r="I2521" s="178" t="s">
        <v>195</v>
      </c>
    </row>
    <row r="2522" spans="1:9" hidden="1" outlineLevel="2" x14ac:dyDescent="0.25">
      <c r="A2522" s="175">
        <f t="shared" si="86"/>
        <v>10</v>
      </c>
      <c r="B2522" s="175" t="s">
        <v>327</v>
      </c>
      <c r="C2522" s="175" t="str">
        <f t="shared" si="85"/>
        <v>Revestimento em Pedra Natural Aplicado em Fachadas</v>
      </c>
      <c r="D2522" s="175" t="s">
        <v>689</v>
      </c>
      <c r="E2522" s="176" t="str">
        <f>_xlfn.XLOOKUP(D2522,Insumos!$B$1:$B$764,Insumos!$C$1:$C$764)</f>
        <v>M2</v>
      </c>
      <c r="F2522" s="179">
        <v>1.1000000000000001</v>
      </c>
      <c r="G2522" s="177">
        <f>IF(B2522="insumo",_xlfn.XLOOKUP($D2522,Insumos!$B$1:$B$764,Insumos!$D$1:$D$764),"")</f>
        <v>750</v>
      </c>
      <c r="H2522" s="177" cm="1">
        <f t="array" ref="H2522">_xlfn.IFS(B2522="Serviço",SUMIFS(H2523:$H$3085,C2523:$C$3085,$C2522),B2522="Insumo",F2522*G2522,B2522="Etapa","")</f>
        <v>825.00000000000011</v>
      </c>
      <c r="I2522" s="178"/>
    </row>
    <row r="2523" spans="1:9" hidden="1" outlineLevel="2" x14ac:dyDescent="0.25">
      <c r="A2523" s="175">
        <f t="shared" si="86"/>
        <v>118</v>
      </c>
      <c r="B2523" s="175" t="s">
        <v>327</v>
      </c>
      <c r="C2523" s="175" t="str">
        <f t="shared" si="85"/>
        <v>Revestimento em Pedra Natural Aplicado em Fachadas</v>
      </c>
      <c r="D2523" s="175" t="s">
        <v>654</v>
      </c>
      <c r="E2523" s="176" t="str">
        <f>_xlfn.XLOOKUP(D2523,Insumos!$B$1:$B$764,Insumos!$C$1:$C$764)</f>
        <v>KG</v>
      </c>
      <c r="F2523" s="179">
        <v>9</v>
      </c>
      <c r="G2523" s="177">
        <f>IF(B2523="insumo",_xlfn.XLOOKUP($D2523,Insumos!$B$1:$B$764,Insumos!$D$1:$D$764),"")</f>
        <v>2.5499999999999998</v>
      </c>
      <c r="H2523" s="177" cm="1">
        <f t="array" ref="H2523">_xlfn.IFS(B2523="Serviço",SUMIFS(H2524:$H$3085,C2524:$C$3085,$C2523),B2523="Insumo",F2523*G2523,B2523="Etapa","")</f>
        <v>22.95</v>
      </c>
      <c r="I2523" s="178"/>
    </row>
    <row r="2524" spans="1:9" hidden="1" outlineLevel="2" x14ac:dyDescent="0.25">
      <c r="A2524" s="175">
        <f t="shared" si="86"/>
        <v>18</v>
      </c>
      <c r="B2524" s="175" t="s">
        <v>327</v>
      </c>
      <c r="C2524" s="175" t="str">
        <f t="shared" si="85"/>
        <v>Revestimento em Pedra Natural Aplicado em Fachadas</v>
      </c>
      <c r="D2524" s="175" t="s">
        <v>694</v>
      </c>
      <c r="E2524" s="176" t="str">
        <f>_xlfn.XLOOKUP(D2524,Insumos!$B$1:$B$764,Insumos!$C$1:$C$764)</f>
        <v>UN</v>
      </c>
      <c r="F2524" s="179">
        <v>0.5</v>
      </c>
      <c r="G2524" s="177">
        <f>IF(B2524="insumo",_xlfn.XLOOKUP($D2524,Insumos!$B$1:$B$764,Insumos!$D$1:$D$764),"")</f>
        <v>17.329999999999998</v>
      </c>
      <c r="H2524" s="177" cm="1">
        <f t="array" ref="H2524">_xlfn.IFS(B2524="Serviço",SUMIFS(H2525:$H$3085,C2525:$C$3085,$C2524),B2524="Insumo",F2524*G2524,B2524="Etapa","")</f>
        <v>8.6649999999999991</v>
      </c>
      <c r="I2524" s="178"/>
    </row>
    <row r="2525" spans="1:9" outlineLevel="1" collapsed="1" x14ac:dyDescent="0.25">
      <c r="A2525" s="175">
        <f t="shared" si="86"/>
        <v>1</v>
      </c>
      <c r="B2525" s="175" t="s">
        <v>109</v>
      </c>
      <c r="C2525" s="175" t="str">
        <f t="shared" si="85"/>
        <v>Revestimento em Pedra Moldedo Aplicado em Fachadas</v>
      </c>
      <c r="D2525" s="175" t="s">
        <v>2877</v>
      </c>
      <c r="E2525" s="176" t="s">
        <v>13</v>
      </c>
      <c r="F2525" s="175"/>
      <c r="G2525" s="177" t="str">
        <f>IF(B2525="insumo",_xlfn.XLOOKUP($D2525,Insumos!$B$1:$B$764,Insumos!$D$1:$D$764),"")</f>
        <v/>
      </c>
      <c r="H2525" s="177" cm="1">
        <f t="array" ref="H2525">_xlfn.IFS(B2525="Serviço",SUMIFS(H2526:$H$3085,C2526:$C$3085,$C2525),B2525="Insumo",F2525*G2525,B2525="Etapa","")</f>
        <v>324.10500000000002</v>
      </c>
      <c r="I2525" s="178" t="s">
        <v>195</v>
      </c>
    </row>
    <row r="2526" spans="1:9" hidden="1" outlineLevel="2" x14ac:dyDescent="0.25">
      <c r="A2526" s="175">
        <f t="shared" si="86"/>
        <v>2</v>
      </c>
      <c r="B2526" s="175" t="s">
        <v>327</v>
      </c>
      <c r="C2526" s="175" t="str">
        <f t="shared" si="85"/>
        <v>Revestimento em Pedra Moldedo Aplicado em Fachadas</v>
      </c>
      <c r="D2526" s="175" t="s">
        <v>2852</v>
      </c>
      <c r="E2526" s="176" t="str">
        <f>_xlfn.XLOOKUP(D2526,Insumos!$B$1:$B$764,Insumos!$C$1:$C$764)</f>
        <v>M2</v>
      </c>
      <c r="F2526" s="179">
        <v>1.1000000000000001</v>
      </c>
      <c r="G2526" s="177">
        <f>IF(B2526="insumo",_xlfn.XLOOKUP($D2526,Insumos!$B$1:$B$764,Insumos!$D$1:$D$764),"")</f>
        <v>265.89999999999998</v>
      </c>
      <c r="H2526" s="177" cm="1">
        <f t="array" ref="H2526">_xlfn.IFS(B2526="Serviço",SUMIFS(H2527:$H$3085,C2527:$C$3085,$C2526),B2526="Insumo",F2526*G2526,B2526="Etapa","")</f>
        <v>292.49</v>
      </c>
      <c r="I2526" s="178"/>
    </row>
    <row r="2527" spans="1:9" hidden="1" outlineLevel="2" x14ac:dyDescent="0.25">
      <c r="A2527" s="175">
        <f t="shared" si="86"/>
        <v>118</v>
      </c>
      <c r="B2527" s="175" t="s">
        <v>327</v>
      </c>
      <c r="C2527" s="175" t="str">
        <f t="shared" si="85"/>
        <v>Revestimento em Pedra Moldedo Aplicado em Fachadas</v>
      </c>
      <c r="D2527" s="175" t="s">
        <v>654</v>
      </c>
      <c r="E2527" s="176" t="str">
        <f>_xlfn.XLOOKUP(D2527,Insumos!$B$1:$B$764,Insumos!$C$1:$C$764)</f>
        <v>KG</v>
      </c>
      <c r="F2527" s="179">
        <v>9</v>
      </c>
      <c r="G2527" s="177">
        <f>IF(B2527="insumo",_xlfn.XLOOKUP($D2527,Insumos!$B$1:$B$764,Insumos!$D$1:$D$764),"")</f>
        <v>2.5499999999999998</v>
      </c>
      <c r="H2527" s="177" cm="1">
        <f t="array" ref="H2527">_xlfn.IFS(B2527="Serviço",SUMIFS(H2528:$H$3085,C2528:$C$3085,$C2527),B2527="Insumo",F2527*G2527,B2527="Etapa","")</f>
        <v>22.95</v>
      </c>
      <c r="I2527" s="178"/>
    </row>
    <row r="2528" spans="1:9" hidden="1" outlineLevel="2" x14ac:dyDescent="0.25">
      <c r="A2528" s="175">
        <f t="shared" si="86"/>
        <v>18</v>
      </c>
      <c r="B2528" s="175" t="s">
        <v>327</v>
      </c>
      <c r="C2528" s="175" t="str">
        <f t="shared" si="85"/>
        <v>Revestimento em Pedra Moldedo Aplicado em Fachadas</v>
      </c>
      <c r="D2528" s="175" t="s">
        <v>694</v>
      </c>
      <c r="E2528" s="176" t="str">
        <f>_xlfn.XLOOKUP(D2528,Insumos!$B$1:$B$764,Insumos!$C$1:$C$764)</f>
        <v>UN</v>
      </c>
      <c r="F2528" s="179">
        <v>0.5</v>
      </c>
      <c r="G2528" s="177">
        <f>IF(B2528="insumo",_xlfn.XLOOKUP($D2528,Insumos!$B$1:$B$764,Insumos!$D$1:$D$764),"")</f>
        <v>17.329999999999998</v>
      </c>
      <c r="H2528" s="177" cm="1">
        <f t="array" ref="H2528">_xlfn.IFS(B2528="Serviço",SUMIFS(H2529:$H$3085,C2529:$C$3085,$C2528),B2528="Insumo",F2528*G2528,B2528="Etapa","")</f>
        <v>8.6649999999999991</v>
      </c>
      <c r="I2528" s="178"/>
    </row>
    <row r="2529" spans="1:9" outlineLevel="1" collapsed="1" x14ac:dyDescent="0.25">
      <c r="A2529" s="175">
        <f t="shared" si="86"/>
        <v>1</v>
      </c>
      <c r="B2529" s="175" t="s">
        <v>109</v>
      </c>
      <c r="C2529" s="175" t="str">
        <f t="shared" si="85"/>
        <v>Revestimento em Pedra Natural São Tomé</v>
      </c>
      <c r="D2529" s="175" t="s">
        <v>885</v>
      </c>
      <c r="E2529" s="176" t="s">
        <v>13</v>
      </c>
      <c r="F2529" s="175"/>
      <c r="G2529" s="177" t="str">
        <f>IF(B2529="insumo",_xlfn.XLOOKUP($D2529,Insumos!$B$1:$B$764,Insumos!$D$1:$D$764),"")</f>
        <v/>
      </c>
      <c r="H2529" s="177" cm="1">
        <f t="array" ref="H2529">_xlfn.IFS(B2529="Serviço",SUMIFS(H2530:$H$3085,C2530:$C$3085,$C2529),B2529="Insumo",F2529*G2529,B2529="Etapa","")</f>
        <v>856.61500000000012</v>
      </c>
      <c r="I2529" s="178" t="s">
        <v>195</v>
      </c>
    </row>
    <row r="2530" spans="1:9" hidden="1" outlineLevel="2" x14ac:dyDescent="0.25">
      <c r="A2530" s="175">
        <f t="shared" si="86"/>
        <v>1</v>
      </c>
      <c r="B2530" s="175" t="s">
        <v>327</v>
      </c>
      <c r="C2530" s="175" t="str">
        <f t="shared" si="85"/>
        <v>Revestimento em Pedra Natural São Tomé</v>
      </c>
      <c r="D2530" s="175" t="s">
        <v>886</v>
      </c>
      <c r="E2530" s="176" t="str">
        <f>_xlfn.XLOOKUP(D2530,Insumos!$B$1:$B$764,Insumos!$C$1:$C$764)</f>
        <v>M2</v>
      </c>
      <c r="F2530" s="179">
        <v>1.1000000000000001</v>
      </c>
      <c r="G2530" s="177">
        <f>IF(B2530="insumo",_xlfn.XLOOKUP($D2530,Insumos!$B$1:$B$764,Insumos!$D$1:$D$764),"")</f>
        <v>750</v>
      </c>
      <c r="H2530" s="177" cm="1">
        <f t="array" ref="H2530">_xlfn.IFS(B2530="Serviço",SUMIFS(H2531:$H$3085,C2531:$C$3085,$C2530),B2530="Insumo",F2530*G2530,B2530="Etapa","")</f>
        <v>825.00000000000011</v>
      </c>
      <c r="I2530" s="178"/>
    </row>
    <row r="2531" spans="1:9" hidden="1" outlineLevel="2" x14ac:dyDescent="0.25">
      <c r="A2531" s="175">
        <f t="shared" si="86"/>
        <v>118</v>
      </c>
      <c r="B2531" s="175" t="s">
        <v>327</v>
      </c>
      <c r="C2531" s="175" t="str">
        <f t="shared" si="85"/>
        <v>Revestimento em Pedra Natural São Tomé</v>
      </c>
      <c r="D2531" s="175" t="s">
        <v>654</v>
      </c>
      <c r="E2531" s="176" t="str">
        <f>_xlfn.XLOOKUP(D2531,Insumos!$B$1:$B$764,Insumos!$C$1:$C$764)</f>
        <v>KG</v>
      </c>
      <c r="F2531" s="179">
        <v>9</v>
      </c>
      <c r="G2531" s="177">
        <f>IF(B2531="insumo",_xlfn.XLOOKUP($D2531,Insumos!$B$1:$B$764,Insumos!$D$1:$D$764),"")</f>
        <v>2.5499999999999998</v>
      </c>
      <c r="H2531" s="177" cm="1">
        <f t="array" ref="H2531">_xlfn.IFS(B2531="Serviço",SUMIFS(H2532:$H$3085,C2532:$C$3085,$C2531),B2531="Insumo",F2531*G2531,B2531="Etapa","")</f>
        <v>22.95</v>
      </c>
      <c r="I2531" s="178"/>
    </row>
    <row r="2532" spans="1:9" hidden="1" outlineLevel="2" x14ac:dyDescent="0.25">
      <c r="A2532" s="175">
        <f t="shared" si="86"/>
        <v>18</v>
      </c>
      <c r="B2532" s="175" t="s">
        <v>327</v>
      </c>
      <c r="C2532" s="175" t="str">
        <f t="shared" si="85"/>
        <v>Revestimento em Pedra Natural São Tomé</v>
      </c>
      <c r="D2532" s="175" t="s">
        <v>694</v>
      </c>
      <c r="E2532" s="176" t="str">
        <f>_xlfn.XLOOKUP(D2532,Insumos!$B$1:$B$764,Insumos!$C$1:$C$764)</f>
        <v>UN</v>
      </c>
      <c r="F2532" s="179">
        <v>0.5</v>
      </c>
      <c r="G2532" s="177">
        <f>IF(B2532="insumo",_xlfn.XLOOKUP($D2532,Insumos!$B$1:$B$764,Insumos!$D$1:$D$764),"")</f>
        <v>17.329999999999998</v>
      </c>
      <c r="H2532" s="177" cm="1">
        <f t="array" ref="H2532">_xlfn.IFS(B2532="Serviço",SUMIFS(H2533:$H$3085,C2533:$C$3085,$C2532),B2532="Insumo",F2532*G2532,B2532="Etapa","")</f>
        <v>8.6649999999999991</v>
      </c>
      <c r="I2532" s="178"/>
    </row>
    <row r="2533" spans="1:9" outlineLevel="1" x14ac:dyDescent="0.25">
      <c r="A2533" s="175">
        <f t="shared" si="86"/>
        <v>1</v>
      </c>
      <c r="B2533" s="175" t="s">
        <v>109</v>
      </c>
      <c r="C2533" s="175" t="str">
        <f t="shared" si="85"/>
        <v>Sistema Muxarabi 100 X 100mm - Arkwood X</v>
      </c>
      <c r="D2533" s="175" t="s">
        <v>1966</v>
      </c>
      <c r="E2533" s="176" t="s">
        <v>13</v>
      </c>
      <c r="F2533" s="175"/>
      <c r="G2533" s="177" t="str">
        <f>IF(B2533="insumo",_xlfn.XLOOKUP($D2533,Insumos!$B$1:$B$764,Insumos!$D$1:$D$764),"")</f>
        <v/>
      </c>
      <c r="H2533" s="177" cm="1">
        <f t="array" ref="H2533">_xlfn.IFS(B2533="Serviço",SUMIFS(H2534:$H$3085,C2534:$C$3085,$C2533),B2533="Insumo",F2533*G2533,B2533="Etapa","")</f>
        <v>1360</v>
      </c>
      <c r="I2533" s="178" t="s">
        <v>195</v>
      </c>
    </row>
    <row r="2534" spans="1:9" outlineLevel="2" x14ac:dyDescent="0.25">
      <c r="A2534" s="175">
        <f t="shared" si="86"/>
        <v>1</v>
      </c>
      <c r="B2534" s="175" t="s">
        <v>327</v>
      </c>
      <c r="C2534" s="175" t="str">
        <f t="shared" si="85"/>
        <v>Sistema Muxarabi 100 X 100mm - Arkwood X</v>
      </c>
      <c r="D2534" s="175" t="s">
        <v>1965</v>
      </c>
      <c r="E2534" s="176" t="str">
        <f>_xlfn.XLOOKUP(D2534,Insumos!$B$1:$B$764,Insumos!$C$1:$C$764)</f>
        <v>M2</v>
      </c>
      <c r="F2534" s="179">
        <v>1</v>
      </c>
      <c r="G2534" s="177">
        <f>IF(B2534="insumo",_xlfn.XLOOKUP($D2534,Insumos!$B$1:$B$764,Insumos!$D$1:$D$764),"")</f>
        <v>1060</v>
      </c>
      <c r="H2534" s="177" cm="1">
        <f t="array" ref="H2534">_xlfn.IFS(B2534="Serviço",SUMIFS(H2535:$H$3085,C2535:$C$3085,$C2534),B2534="Insumo",F2534*G2534,B2534="Etapa","")</f>
        <v>1060</v>
      </c>
      <c r="I2534" s="178"/>
    </row>
    <row r="2535" spans="1:9" outlineLevel="2" x14ac:dyDescent="0.25">
      <c r="A2535" s="175">
        <f t="shared" si="86"/>
        <v>2</v>
      </c>
      <c r="B2535" s="175" t="s">
        <v>327</v>
      </c>
      <c r="C2535" s="175" t="str">
        <f t="shared" si="85"/>
        <v>Sistema Muxarabi 100 X 100mm - Arkwood X</v>
      </c>
      <c r="D2535" s="175" t="s">
        <v>1964</v>
      </c>
      <c r="E2535" s="176" t="str">
        <f>_xlfn.XLOOKUP(D2535,Insumos!$B$1:$B$764,Insumos!$C$1:$C$764)</f>
        <v>M2</v>
      </c>
      <c r="F2535" s="179">
        <v>1</v>
      </c>
      <c r="G2535" s="177">
        <f>IF(B2535="insumo",_xlfn.XLOOKUP($D2535,Insumos!$B$1:$B$764,Insumos!$D$1:$D$764),"")</f>
        <v>300</v>
      </c>
      <c r="H2535" s="177" cm="1">
        <f t="array" ref="H2535">_xlfn.IFS(B2535="Serviço",SUMIFS(H2536:$H$3085,C2536:$C$3085,$C2535),B2535="Insumo",F2535*G2535,B2535="Etapa","")</f>
        <v>300</v>
      </c>
      <c r="I2535" s="178"/>
    </row>
    <row r="2536" spans="1:9" outlineLevel="1" collapsed="1" x14ac:dyDescent="0.25">
      <c r="A2536" s="175">
        <f t="shared" si="86"/>
        <v>1</v>
      </c>
      <c r="B2536" s="175" t="s">
        <v>109</v>
      </c>
      <c r="C2536" s="175" t="str">
        <f t="shared" si="85"/>
        <v>Sistema Brise Metalon com estrutura e suportes de alumínio e pintura eletrostática preta</v>
      </c>
      <c r="D2536" s="175" t="s">
        <v>2875</v>
      </c>
      <c r="E2536" s="176" t="s">
        <v>13</v>
      </c>
      <c r="F2536" s="175"/>
      <c r="G2536" s="177" t="str">
        <f>IF(B2536="insumo",_xlfn.XLOOKUP($D2536,Insumos!$B$1:$B$764,Insumos!$D$1:$D$764),"")</f>
        <v/>
      </c>
      <c r="H2536" s="177" cm="1">
        <f t="array" ref="H2536">_xlfn.IFS(B2536="Serviço",SUMIFS(H2537:$H$3085,C2537:$C$3085,$C2536),B2536="Insumo",F2536*G2536,B2536="Etapa","")</f>
        <v>1200</v>
      </c>
      <c r="I2536" s="178" t="s">
        <v>195</v>
      </c>
    </row>
    <row r="2537" spans="1:9" hidden="1" outlineLevel="2" x14ac:dyDescent="0.25">
      <c r="A2537" s="175">
        <f t="shared" si="86"/>
        <v>1</v>
      </c>
      <c r="B2537" s="175" t="s">
        <v>327</v>
      </c>
      <c r="C2537" s="175" t="str">
        <f t="shared" si="85"/>
        <v>Sistema Brise Metalon com estrutura e suportes de alumínio e pintura eletrostática preta</v>
      </c>
      <c r="D2537" s="175" t="s">
        <v>2875</v>
      </c>
      <c r="E2537" s="176" t="str">
        <f>_xlfn.XLOOKUP(D2537,Insumos!$B$1:$B$764,Insumos!$C$1:$C$764)</f>
        <v>M2</v>
      </c>
      <c r="F2537" s="179">
        <v>1</v>
      </c>
      <c r="G2537" s="177">
        <f>IF(B2537="insumo",_xlfn.XLOOKUP($D2537,Insumos!$B$1:$B$764,Insumos!$D$1:$D$764),"")</f>
        <v>1200</v>
      </c>
      <c r="H2537" s="177" cm="1">
        <f t="array" ref="H2537">_xlfn.IFS(B2537="Serviço",SUMIFS(H2538:$H$3085,C2538:$C$3085,$C2537),B2537="Insumo",F2537*G2537,B2537="Etapa","")</f>
        <v>1200</v>
      </c>
      <c r="I2537" s="178"/>
    </row>
    <row r="2538" spans="1:9" outlineLevel="1" collapsed="1" x14ac:dyDescent="0.25">
      <c r="A2538" s="175">
        <f t="shared" si="86"/>
        <v>1</v>
      </c>
      <c r="B2538" s="175" t="s">
        <v>109</v>
      </c>
      <c r="C2538" s="175" t="str">
        <f t="shared" si="85"/>
        <v>Sistema Brise Sul Metais SMB30 (Cor Tabaco SM 7182)</v>
      </c>
      <c r="D2538" s="175" t="s">
        <v>6612</v>
      </c>
      <c r="E2538" s="176" t="s">
        <v>13</v>
      </c>
      <c r="F2538" s="175"/>
      <c r="G2538" s="177" t="str">
        <f>IF(B2538="insumo",_xlfn.XLOOKUP($D2538,Insumos!$B$1:$B$764,Insumos!$D$1:$D$764),"")</f>
        <v/>
      </c>
      <c r="H2538" s="177" cm="1">
        <f t="array" ref="H2538">_xlfn.IFS(B2538="Serviço",SUMIFS(H2539:$H$3085,C2539:$C$3085,$C2538),B2538="Insumo",F2538*G2538,B2538="Etapa","")</f>
        <v>950</v>
      </c>
      <c r="I2538" s="178" t="s">
        <v>195</v>
      </c>
    </row>
    <row r="2539" spans="1:9" hidden="1" outlineLevel="2" x14ac:dyDescent="0.25">
      <c r="A2539" s="175">
        <f t="shared" si="86"/>
        <v>1</v>
      </c>
      <c r="B2539" s="175" t="s">
        <v>327</v>
      </c>
      <c r="C2539" s="175" t="str">
        <f t="shared" si="85"/>
        <v>Sistema Brise Sul Metais SMB30 (Cor Tabaco SM 7182)</v>
      </c>
      <c r="D2539" s="175" t="s">
        <v>6612</v>
      </c>
      <c r="E2539" s="176" t="str">
        <f>_xlfn.XLOOKUP(D2539,Insumos!$B$1:$B$764,Insumos!$C$1:$C$764)</f>
        <v>M2</v>
      </c>
      <c r="F2539" s="179">
        <v>1</v>
      </c>
      <c r="G2539" s="177">
        <f>IF(B2539="insumo",_xlfn.XLOOKUP($D2539,Insumos!$B$1:$B$764,Insumos!$D$1:$D$764),"")</f>
        <v>950</v>
      </c>
      <c r="H2539" s="177" cm="1">
        <f t="array" ref="H2539">_xlfn.IFS(B2539="Serviço",SUMIFS(H2540:$H$3085,C2540:$C$3085,$C2539),B2539="Insumo",F2539*G2539,B2539="Etapa","")</f>
        <v>950</v>
      </c>
      <c r="I2539" s="178"/>
    </row>
    <row r="2540" spans="1:9" outlineLevel="1" collapsed="1" x14ac:dyDescent="0.25">
      <c r="A2540" s="175">
        <f t="shared" si="86"/>
        <v>1</v>
      </c>
      <c r="B2540" s="175" t="s">
        <v>109</v>
      </c>
      <c r="C2540" s="175" t="str">
        <f t="shared" si="85"/>
        <v>Sistema Gradil Sul Metais SMB30 (Cor Tabaco SM 7182)</v>
      </c>
      <c r="D2540" s="175" t="s">
        <v>6611</v>
      </c>
      <c r="E2540" s="176" t="s">
        <v>13</v>
      </c>
      <c r="F2540" s="175"/>
      <c r="G2540" s="177" t="str">
        <f>IF(B2540="insumo",_xlfn.XLOOKUP($D2540,Insumos!$B$1:$B$764,Insumos!$D$1:$D$764),"")</f>
        <v/>
      </c>
      <c r="H2540" s="177" cm="1">
        <f t="array" ref="H2540">_xlfn.IFS(B2540="Serviço",SUMIFS(H2541:$H$3085,C2541:$C$3085,$C2540),B2540="Insumo",F2540*G2540,B2540="Etapa","")</f>
        <v>860</v>
      </c>
      <c r="I2540" s="178" t="s">
        <v>195</v>
      </c>
    </row>
    <row r="2541" spans="1:9" hidden="1" outlineLevel="2" x14ac:dyDescent="0.25">
      <c r="A2541" s="175">
        <f t="shared" si="86"/>
        <v>1</v>
      </c>
      <c r="B2541" s="175" t="s">
        <v>327</v>
      </c>
      <c r="C2541" s="175" t="str">
        <f t="shared" si="85"/>
        <v>Sistema Gradil Sul Metais SMB30 (Cor Tabaco SM 7182)</v>
      </c>
      <c r="D2541" s="175" t="s">
        <v>6611</v>
      </c>
      <c r="E2541" s="176" t="str">
        <f>_xlfn.XLOOKUP(D2541,Insumos!$B$1:$B$764,Insumos!$C$1:$C$764)</f>
        <v>M2</v>
      </c>
      <c r="F2541" s="179">
        <v>1</v>
      </c>
      <c r="G2541" s="177">
        <f>IF(B2541="insumo",_xlfn.XLOOKUP($D2541,Insumos!$B$1:$B$764,Insumos!$D$1:$D$764),"")</f>
        <v>860</v>
      </c>
      <c r="H2541" s="177" cm="1">
        <f t="array" ref="H2541">_xlfn.IFS(B2541="Serviço",SUMIFS(H2542:$H$3085,C2542:$C$3085,$C2541),B2541="Insumo",F2541*G2541,B2541="Etapa","")</f>
        <v>860</v>
      </c>
      <c r="I2541" s="178"/>
    </row>
    <row r="2542" spans="1:9" outlineLevel="1" x14ac:dyDescent="0.25">
      <c r="A2542" s="175">
        <f t="shared" si="86"/>
        <v>1</v>
      </c>
      <c r="B2542" s="175" t="s">
        <v>109</v>
      </c>
      <c r="C2542" s="175" t="str">
        <f t="shared" si="85"/>
        <v>Sistema Brise 30x50cm - Arkwood K</v>
      </c>
      <c r="D2542" s="175" t="s">
        <v>1967</v>
      </c>
      <c r="E2542" s="176" t="s">
        <v>13</v>
      </c>
      <c r="F2542" s="175"/>
      <c r="G2542" s="177" t="str">
        <f>IF(B2542="insumo",_xlfn.XLOOKUP($D2542,Insumos!$B$1:$B$764,Insumos!$D$1:$D$764),"")</f>
        <v/>
      </c>
      <c r="H2542" s="177" cm="1">
        <f t="array" ref="H2542">_xlfn.IFS(B2542="Serviço",SUMIFS(H2543:$H$3085,C2543:$C$3085,$C2542),B2542="Insumo",F2542*G2542,B2542="Etapa","")</f>
        <v>948</v>
      </c>
      <c r="I2542" s="178" t="s">
        <v>195</v>
      </c>
    </row>
    <row r="2543" spans="1:9" outlineLevel="2" x14ac:dyDescent="0.25">
      <c r="A2543" s="175">
        <f t="shared" si="86"/>
        <v>1</v>
      </c>
      <c r="B2543" s="175" t="s">
        <v>327</v>
      </c>
      <c r="C2543" s="175" t="str">
        <f t="shared" si="85"/>
        <v>Sistema Brise 30x50cm - Arkwood K</v>
      </c>
      <c r="D2543" s="175" t="s">
        <v>1963</v>
      </c>
      <c r="E2543" s="176" t="str">
        <f>_xlfn.XLOOKUP(D2543,Insumos!$B$1:$B$764,Insumos!$C$1:$C$764)</f>
        <v>M2</v>
      </c>
      <c r="F2543" s="179">
        <v>1</v>
      </c>
      <c r="G2543" s="177">
        <f>IF(B2543="insumo",_xlfn.XLOOKUP($D2543,Insumos!$B$1:$B$764,Insumos!$D$1:$D$764),"")</f>
        <v>648</v>
      </c>
      <c r="H2543" s="177" cm="1">
        <f t="array" ref="H2543">_xlfn.IFS(B2543="Serviço",SUMIFS(H2544:$H$3085,C2544:$C$3085,$C2543),B2543="Insumo",F2543*G2543,B2543="Etapa","")</f>
        <v>648</v>
      </c>
      <c r="I2543" s="178"/>
    </row>
    <row r="2544" spans="1:9" outlineLevel="2" x14ac:dyDescent="0.25">
      <c r="A2544" s="175">
        <f t="shared" si="86"/>
        <v>2</v>
      </c>
      <c r="B2544" s="175" t="s">
        <v>327</v>
      </c>
      <c r="C2544" s="175" t="str">
        <f t="shared" si="85"/>
        <v>Sistema Brise 30x50cm - Arkwood K</v>
      </c>
      <c r="D2544" s="175" t="s">
        <v>1964</v>
      </c>
      <c r="E2544" s="176" t="str">
        <f>_xlfn.XLOOKUP(D2544,Insumos!$B$1:$B$764,Insumos!$C$1:$C$764)</f>
        <v>M2</v>
      </c>
      <c r="F2544" s="179">
        <v>1</v>
      </c>
      <c r="G2544" s="177">
        <f>IF(B2544="insumo",_xlfn.XLOOKUP($D2544,Insumos!$B$1:$B$764,Insumos!$D$1:$D$764),"")</f>
        <v>300</v>
      </c>
      <c r="H2544" s="177" cm="1">
        <f t="array" ref="H2544">_xlfn.IFS(B2544="Serviço",SUMIFS(H2545:$H$3085,C2545:$C$3085,$C2544),B2544="Insumo",F2544*G2544,B2544="Etapa","")</f>
        <v>300</v>
      </c>
      <c r="I2544" s="178"/>
    </row>
    <row r="2545" spans="1:9" outlineLevel="1" x14ac:dyDescent="0.25">
      <c r="A2545" s="175">
        <f t="shared" si="86"/>
        <v>1</v>
      </c>
      <c r="B2545" s="175" t="s">
        <v>109</v>
      </c>
      <c r="C2545" s="175" t="str">
        <f t="shared" si="85"/>
        <v>Brise de Alumínio Marrom - Decoração Fachada</v>
      </c>
      <c r="D2545" s="175" t="s">
        <v>2876</v>
      </c>
      <c r="E2545" s="176" t="s">
        <v>13</v>
      </c>
      <c r="F2545" s="175"/>
      <c r="G2545" s="177" t="str">
        <f>IF(B2545="insumo",_xlfn.XLOOKUP($D2545,Insumos!$B$1:$B$764,Insumos!$D$1:$D$764),"")</f>
        <v/>
      </c>
      <c r="H2545" s="177" cm="1">
        <f t="array" ref="H2545">_xlfn.IFS(B2545="Serviço",SUMIFS(H2546:$H$3085,C2546:$C$3085,$C2545),B2545="Insumo",F2545*G2545,B2545="Etapa","")</f>
        <v>1415.0275930380642</v>
      </c>
      <c r="I2545" s="178" t="s">
        <v>195</v>
      </c>
    </row>
    <row r="2546" spans="1:9" outlineLevel="2" x14ac:dyDescent="0.25">
      <c r="A2546" s="175">
        <f t="shared" si="86"/>
        <v>2</v>
      </c>
      <c r="B2546" s="175" t="s">
        <v>327</v>
      </c>
      <c r="C2546" s="175" t="str">
        <f t="shared" ref="C2546:C2609" si="87">IF(B2546="serviço",D2546,C2545)</f>
        <v>Brise de Alumínio Marrom - Decoração Fachada</v>
      </c>
      <c r="D2546" s="175" t="s">
        <v>846</v>
      </c>
      <c r="E2546" s="176" t="str">
        <f>_xlfn.XLOOKUP(D2546,Insumos!$B$1:$B$764,Insumos!$C$1:$C$764)</f>
        <v>M2</v>
      </c>
      <c r="F2546" s="179">
        <v>1</v>
      </c>
      <c r="G2546" s="177">
        <f>IF(B2546="insumo",_xlfn.XLOOKUP($D2546,Insumos!$B$1:$B$764,Insumos!$D$1:$D$764),"")</f>
        <v>1415.0275930380642</v>
      </c>
      <c r="H2546" s="177" cm="1">
        <f t="array" ref="H2546">_xlfn.IFS(B2546="Serviço",SUMIFS(H2547:$H$3085,C2547:$C$3085,$C2546),B2546="Insumo",F2546*G2546,B2546="Etapa","")</f>
        <v>1415.0275930380642</v>
      </c>
      <c r="I2546" s="178"/>
    </row>
    <row r="2547" spans="1:9" outlineLevel="1" collapsed="1" x14ac:dyDescent="0.25">
      <c r="A2547" s="175">
        <f t="shared" si="86"/>
        <v>1</v>
      </c>
      <c r="B2547" s="175" t="s">
        <v>109</v>
      </c>
      <c r="C2547" s="175" t="str">
        <f t="shared" si="87"/>
        <v>Pintura PVA Acrílica Cinza Externa 3 Demãos</v>
      </c>
      <c r="D2547" s="175" t="s">
        <v>887</v>
      </c>
      <c r="E2547" s="176" t="s">
        <v>13</v>
      </c>
      <c r="F2547" s="175"/>
      <c r="G2547" s="177" t="str">
        <f>IF(B2547="insumo",_xlfn.XLOOKUP($D2547,Insumos!$B$1:$B$764,Insumos!$D$1:$D$764),"")</f>
        <v/>
      </c>
      <c r="H2547" s="177" cm="1">
        <f t="array" ref="H2547">_xlfn.IFS(B2547="Serviço",SUMIFS(H2548:$H$3085,C2548:$C$3085,$C2547),B2547="Insumo",F2547*G2547,B2547="Etapa","")</f>
        <v>20.700715666666667</v>
      </c>
      <c r="I2547" s="178" t="s">
        <v>195</v>
      </c>
    </row>
    <row r="2548" spans="1:9" hidden="1" outlineLevel="2" x14ac:dyDescent="0.25">
      <c r="A2548" s="175">
        <f t="shared" si="86"/>
        <v>26</v>
      </c>
      <c r="B2548" s="175" t="s">
        <v>327</v>
      </c>
      <c r="C2548" s="175" t="str">
        <f t="shared" si="87"/>
        <v>Pintura PVA Acrílica Cinza Externa 3 Demãos</v>
      </c>
      <c r="D2548" s="175" t="s">
        <v>358</v>
      </c>
      <c r="E2548" s="176" t="str">
        <f>_xlfn.XLOOKUP(D2548,Insumos!$B$1:$B$764,Insumos!$C$1:$C$764)</f>
        <v>UN</v>
      </c>
      <c r="F2548" s="179">
        <v>0.1</v>
      </c>
      <c r="G2548" s="177">
        <f>IF(B2548="insumo",_xlfn.XLOOKUP($D2548,Insumos!$B$1:$B$764,Insumos!$D$1:$D$764),"")</f>
        <v>1.89</v>
      </c>
      <c r="H2548" s="177" cm="1">
        <f t="array" ref="H2548">_xlfn.IFS(B2548="Serviço",SUMIFS(H2549:$H$3085,C2549:$C$3085,$C2548),B2548="Insumo",F2548*G2548,B2548="Etapa","")</f>
        <v>0.189</v>
      </c>
      <c r="I2548" s="178"/>
    </row>
    <row r="2549" spans="1:9" hidden="1" outlineLevel="2" x14ac:dyDescent="0.25">
      <c r="A2549" s="175">
        <f t="shared" si="86"/>
        <v>20</v>
      </c>
      <c r="B2549" s="175" t="s">
        <v>327</v>
      </c>
      <c r="C2549" s="175" t="str">
        <f t="shared" si="87"/>
        <v>Pintura PVA Acrílica Cinza Externa 3 Demãos</v>
      </c>
      <c r="D2549" s="175" t="s">
        <v>830</v>
      </c>
      <c r="E2549" s="176" t="str">
        <f>_xlfn.XLOOKUP(D2549,Insumos!$B$1:$B$764,Insumos!$C$1:$C$764)</f>
        <v>KG</v>
      </c>
      <c r="F2549" s="179">
        <v>0.86670000000000003</v>
      </c>
      <c r="G2549" s="177">
        <f>IF(B2549="insumo",_xlfn.XLOOKUP($D2549,Insumos!$B$1:$B$764,Insumos!$D$1:$D$764),"")</f>
        <v>6.47</v>
      </c>
      <c r="H2549" s="177" cm="1">
        <f t="array" ref="H2549">_xlfn.IFS(B2549="Serviço",SUMIFS(H2550:$H$3085,C2550:$C$3085,$C2549),B2549="Insumo",F2549*G2549,B2549="Etapa","")</f>
        <v>5.6075489999999997</v>
      </c>
      <c r="I2549" s="178"/>
    </row>
    <row r="2550" spans="1:9" hidden="1" outlineLevel="2" x14ac:dyDescent="0.25">
      <c r="A2550" s="175">
        <f t="shared" si="86"/>
        <v>13</v>
      </c>
      <c r="B2550" s="175" t="s">
        <v>327</v>
      </c>
      <c r="C2550" s="175" t="str">
        <f t="shared" si="87"/>
        <v>Pintura PVA Acrílica Cinza Externa 3 Demãos</v>
      </c>
      <c r="D2550" s="175" t="s">
        <v>831</v>
      </c>
      <c r="E2550" s="176" t="str">
        <f>_xlfn.XLOOKUP(D2550,Insumos!$B$1:$B$764,Insumos!$C$1:$C$764)</f>
        <v>L</v>
      </c>
      <c r="F2550" s="179">
        <v>0.1666</v>
      </c>
      <c r="G2550" s="177">
        <f>IF(B2550="insumo",_xlfn.XLOOKUP($D2550,Insumos!$B$1:$B$764,Insumos!$D$1:$D$764),"")</f>
        <v>16.666666666666668</v>
      </c>
      <c r="H2550" s="177" cm="1">
        <f t="array" ref="H2550">_xlfn.IFS(B2550="Serviço",SUMIFS(H2551:$H$3085,C2551:$C$3085,$C2550),B2550="Insumo",F2550*G2550,B2550="Etapa","")</f>
        <v>2.7766666666666668</v>
      </c>
      <c r="I2550" s="178"/>
    </row>
    <row r="2551" spans="1:9" hidden="1" outlineLevel="2" x14ac:dyDescent="0.25">
      <c r="A2551" s="175">
        <f t="shared" si="86"/>
        <v>14</v>
      </c>
      <c r="B2551" s="175" t="s">
        <v>327</v>
      </c>
      <c r="C2551" s="175" t="str">
        <f t="shared" si="87"/>
        <v>Pintura PVA Acrílica Cinza Externa 3 Demãos</v>
      </c>
      <c r="D2551" s="175" t="s">
        <v>828</v>
      </c>
      <c r="E2551" s="176" t="str">
        <f>_xlfn.XLOOKUP(D2551,Insumos!$B$1:$B$764,Insumos!$C$1:$C$764)</f>
        <v>L</v>
      </c>
      <c r="F2551" s="179">
        <v>0.495</v>
      </c>
      <c r="G2551" s="177">
        <f>IF(B2551="insumo",_xlfn.XLOOKUP($D2551,Insumos!$B$1:$B$764,Insumos!$D$1:$D$764),"")</f>
        <v>24.5</v>
      </c>
      <c r="H2551" s="177" cm="1">
        <f t="array" ref="H2551">_xlfn.IFS(B2551="Serviço",SUMIFS(H2552:$H$3085,C2552:$C$3085,$C2551),B2551="Insumo",F2551*G2551,B2551="Etapa","")</f>
        <v>12.1275</v>
      </c>
      <c r="I2551" s="178"/>
    </row>
    <row r="2552" spans="1:9" outlineLevel="1" collapsed="1" x14ac:dyDescent="0.25">
      <c r="A2552" s="175">
        <f t="shared" si="86"/>
        <v>1</v>
      </c>
      <c r="B2552" s="175" t="s">
        <v>109</v>
      </c>
      <c r="C2552" s="175" t="str">
        <f t="shared" si="87"/>
        <v>Pintura PVA Acrílica Verde Externa 3 Demãos</v>
      </c>
      <c r="D2552" s="175" t="s">
        <v>888</v>
      </c>
      <c r="E2552" s="176" t="s">
        <v>13</v>
      </c>
      <c r="F2552" s="175"/>
      <c r="G2552" s="177" t="str">
        <f>IF(B2552="insumo",_xlfn.XLOOKUP($D2552,Insumos!$B$1:$B$764,Insumos!$D$1:$D$764),"")</f>
        <v/>
      </c>
      <c r="H2552" s="177" cm="1">
        <f t="array" ref="H2552">_xlfn.IFS(B2552="Serviço",SUMIFS(H2553:$H$3085,C2553:$C$3085,$C2552),B2552="Insumo",F2552*G2552,B2552="Etapa","")</f>
        <v>20.700715666666667</v>
      </c>
      <c r="I2552" s="178" t="s">
        <v>195</v>
      </c>
    </row>
    <row r="2553" spans="1:9" hidden="1" outlineLevel="2" x14ac:dyDescent="0.25">
      <c r="A2553" s="175">
        <f t="shared" si="86"/>
        <v>26</v>
      </c>
      <c r="B2553" s="175" t="s">
        <v>327</v>
      </c>
      <c r="C2553" s="175" t="str">
        <f t="shared" si="87"/>
        <v>Pintura PVA Acrílica Verde Externa 3 Demãos</v>
      </c>
      <c r="D2553" s="175" t="s">
        <v>358</v>
      </c>
      <c r="E2553" s="176" t="str">
        <f>_xlfn.XLOOKUP(D2553,Insumos!$B$1:$B$764,Insumos!$C$1:$C$764)</f>
        <v>UN</v>
      </c>
      <c r="F2553" s="179">
        <v>0.1</v>
      </c>
      <c r="G2553" s="177">
        <f>IF(B2553="insumo",_xlfn.XLOOKUP($D2553,Insumos!$B$1:$B$764,Insumos!$D$1:$D$764),"")</f>
        <v>1.89</v>
      </c>
      <c r="H2553" s="177" cm="1">
        <f t="array" ref="H2553">_xlfn.IFS(B2553="Serviço",SUMIFS(H2554:$H$3085,C2554:$C$3085,$C2553),B2553="Insumo",F2553*G2553,B2553="Etapa","")</f>
        <v>0.189</v>
      </c>
      <c r="I2553" s="178"/>
    </row>
    <row r="2554" spans="1:9" hidden="1" outlineLevel="2" x14ac:dyDescent="0.25">
      <c r="A2554" s="175">
        <f t="shared" si="86"/>
        <v>20</v>
      </c>
      <c r="B2554" s="175" t="s">
        <v>327</v>
      </c>
      <c r="C2554" s="175" t="str">
        <f t="shared" si="87"/>
        <v>Pintura PVA Acrílica Verde Externa 3 Demãos</v>
      </c>
      <c r="D2554" s="175" t="s">
        <v>830</v>
      </c>
      <c r="E2554" s="176" t="str">
        <f>_xlfn.XLOOKUP(D2554,Insumos!$B$1:$B$764,Insumos!$C$1:$C$764)</f>
        <v>KG</v>
      </c>
      <c r="F2554" s="179">
        <v>0.86670000000000003</v>
      </c>
      <c r="G2554" s="177">
        <f>IF(B2554="insumo",_xlfn.XLOOKUP($D2554,Insumos!$B$1:$B$764,Insumos!$D$1:$D$764),"")</f>
        <v>6.47</v>
      </c>
      <c r="H2554" s="177" cm="1">
        <f t="array" ref="H2554">_xlfn.IFS(B2554="Serviço",SUMIFS(H2555:$H$3085,C2555:$C$3085,$C2554),B2554="Insumo",F2554*G2554,B2554="Etapa","")</f>
        <v>5.6075489999999997</v>
      </c>
      <c r="I2554" s="178"/>
    </row>
    <row r="2555" spans="1:9" hidden="1" outlineLevel="2" x14ac:dyDescent="0.25">
      <c r="A2555" s="175">
        <f t="shared" si="86"/>
        <v>13</v>
      </c>
      <c r="B2555" s="175" t="s">
        <v>327</v>
      </c>
      <c r="C2555" s="175" t="str">
        <f t="shared" si="87"/>
        <v>Pintura PVA Acrílica Verde Externa 3 Demãos</v>
      </c>
      <c r="D2555" s="175" t="s">
        <v>831</v>
      </c>
      <c r="E2555" s="176" t="str">
        <f>_xlfn.XLOOKUP(D2555,Insumos!$B$1:$B$764,Insumos!$C$1:$C$764)</f>
        <v>L</v>
      </c>
      <c r="F2555" s="179">
        <v>0.1666</v>
      </c>
      <c r="G2555" s="177">
        <f>IF(B2555="insumo",_xlfn.XLOOKUP($D2555,Insumos!$B$1:$B$764,Insumos!$D$1:$D$764),"")</f>
        <v>16.666666666666668</v>
      </c>
      <c r="H2555" s="177" cm="1">
        <f t="array" ref="H2555">_xlfn.IFS(B2555="Serviço",SUMIFS(H2556:$H$3085,C2556:$C$3085,$C2555),B2555="Insumo",F2555*G2555,B2555="Etapa","")</f>
        <v>2.7766666666666668</v>
      </c>
      <c r="I2555" s="178"/>
    </row>
    <row r="2556" spans="1:9" hidden="1" outlineLevel="2" x14ac:dyDescent="0.25">
      <c r="A2556" s="175">
        <f t="shared" si="86"/>
        <v>14</v>
      </c>
      <c r="B2556" s="175" t="s">
        <v>327</v>
      </c>
      <c r="C2556" s="175" t="str">
        <f t="shared" si="87"/>
        <v>Pintura PVA Acrílica Verde Externa 3 Demãos</v>
      </c>
      <c r="D2556" s="175" t="s">
        <v>828</v>
      </c>
      <c r="E2556" s="176" t="str">
        <f>_xlfn.XLOOKUP(D2556,Insumos!$B$1:$B$764,Insumos!$C$1:$C$764)</f>
        <v>L</v>
      </c>
      <c r="F2556" s="179">
        <v>0.495</v>
      </c>
      <c r="G2556" s="177">
        <f>IF(B2556="insumo",_xlfn.XLOOKUP($D2556,Insumos!$B$1:$B$764,Insumos!$D$1:$D$764),"")</f>
        <v>24.5</v>
      </c>
      <c r="H2556" s="177" cm="1">
        <f t="array" ref="H2556">_xlfn.IFS(B2556="Serviço",SUMIFS(H2557:$H$3085,C2557:$C$3085,$C2556),B2556="Insumo",F2556*G2556,B2556="Etapa","")</f>
        <v>12.1275</v>
      </c>
      <c r="I2556" s="178"/>
    </row>
    <row r="2557" spans="1:9" outlineLevel="1" collapsed="1" x14ac:dyDescent="0.25">
      <c r="A2557" s="175">
        <f t="shared" si="86"/>
        <v>1</v>
      </c>
      <c r="B2557" s="175" t="s">
        <v>109</v>
      </c>
      <c r="C2557" s="175" t="str">
        <f t="shared" si="87"/>
        <v>Pintura Com Tinta Latex Acrilica em Paredes Externas, 3 Demaos (Somente tinta)</v>
      </c>
      <c r="D2557" s="175" t="s">
        <v>1243</v>
      </c>
      <c r="E2557" s="176" t="s">
        <v>13</v>
      </c>
      <c r="F2557" s="175"/>
      <c r="G2557" s="177" t="str">
        <f>IF(B2557="insumo",_xlfn.XLOOKUP($D2557,Insumos!$B$1:$B$764,Insumos!$D$1:$D$764),"")</f>
        <v/>
      </c>
      <c r="H2557" s="177" cm="1">
        <f t="array" ref="H2557">_xlfn.IFS(B2557="Serviço",SUMIFS(H2558:$H$3085,C2558:$C$3085,$C2557),B2557="Insumo",F2557*G2557,B2557="Etapa","")</f>
        <v>12.1275</v>
      </c>
      <c r="I2557" s="178" t="s">
        <v>195</v>
      </c>
    </row>
    <row r="2558" spans="1:9" hidden="1" outlineLevel="2" x14ac:dyDescent="0.25">
      <c r="A2558" s="175">
        <f t="shared" si="86"/>
        <v>14</v>
      </c>
      <c r="B2558" s="175" t="s">
        <v>327</v>
      </c>
      <c r="C2558" s="175" t="str">
        <f t="shared" si="87"/>
        <v>Pintura Com Tinta Latex Acrilica em Paredes Externas, 3 Demaos (Somente tinta)</v>
      </c>
      <c r="D2558" s="175" t="s">
        <v>828</v>
      </c>
      <c r="E2558" s="176" t="str">
        <f>_xlfn.XLOOKUP(D2558,Insumos!$B$1:$B$764,Insumos!$C$1:$C$764)</f>
        <v>L</v>
      </c>
      <c r="F2558" s="196">
        <v>0.495</v>
      </c>
      <c r="G2558" s="177">
        <f>IF(B2558="insumo",_xlfn.XLOOKUP($D2558,Insumos!$B$1:$B$764,Insumos!$D$1:$D$764),"")</f>
        <v>24.5</v>
      </c>
      <c r="H2558" s="177" cm="1">
        <f t="array" ref="H2558">_xlfn.IFS(B2558="Serviço",SUMIFS(H2559:$H$3085,C2559:$C$3085,$C2558),B2558="Insumo",F2558*G2558,B2558="Etapa","")</f>
        <v>12.1275</v>
      </c>
      <c r="I2558" s="178"/>
    </row>
    <row r="2559" spans="1:9" outlineLevel="1" collapsed="1" x14ac:dyDescent="0.25">
      <c r="A2559" s="175">
        <f t="shared" si="86"/>
        <v>1</v>
      </c>
      <c r="B2559" s="175" t="s">
        <v>109</v>
      </c>
      <c r="C2559" s="175" t="str">
        <f t="shared" si="87"/>
        <v>Pintura Com Tinta Latex Acrilica em Paredes Externas, 3 Demaos (Somente tinta e fundo)</v>
      </c>
      <c r="D2559" s="175" t="s">
        <v>1757</v>
      </c>
      <c r="E2559" s="176" t="s">
        <v>13</v>
      </c>
      <c r="F2559" s="175"/>
      <c r="G2559" s="177" t="str">
        <f>IF(B2559="insumo",_xlfn.XLOOKUP($D2559,Insumos!$B$1:$B$764,Insumos!$D$1:$D$764),"")</f>
        <v/>
      </c>
      <c r="H2559" s="177" cm="1">
        <f t="array" ref="H2559">_xlfn.IFS(B2559="Serviço",SUMIFS(H2560:$H$3085,C2560:$C$3085,$C2559),B2559="Insumo",F2559*G2559,B2559="Etapa","")</f>
        <v>13.205401999999999</v>
      </c>
      <c r="I2559" s="178" t="s">
        <v>195</v>
      </c>
    </row>
    <row r="2560" spans="1:9" hidden="1" outlineLevel="2" x14ac:dyDescent="0.25">
      <c r="A2560" s="175">
        <f t="shared" si="86"/>
        <v>14</v>
      </c>
      <c r="B2560" s="175" t="s">
        <v>327</v>
      </c>
      <c r="C2560" s="175" t="str">
        <f t="shared" si="87"/>
        <v>Pintura Com Tinta Latex Acrilica em Paredes Externas, 3 Demaos (Somente tinta e fundo)</v>
      </c>
      <c r="D2560" s="175" t="s">
        <v>828</v>
      </c>
      <c r="E2560" s="176" t="str">
        <f>_xlfn.XLOOKUP(D2560,Insumos!$B$1:$B$764,Insumos!$C$1:$C$764)</f>
        <v>L</v>
      </c>
      <c r="F2560" s="196">
        <v>0.495</v>
      </c>
      <c r="G2560" s="177">
        <f>IF(B2560="insumo",_xlfn.XLOOKUP($D2560,Insumos!$B$1:$B$764,Insumos!$D$1:$D$764),"")</f>
        <v>24.5</v>
      </c>
      <c r="H2560" s="177" cm="1">
        <f t="array" ref="H2560">_xlfn.IFS(B2560="Serviço",SUMIFS(H2561:$H$3085,C2561:$C$3085,$C2560),B2560="Insumo",F2560*G2560,B2560="Etapa","")</f>
        <v>12.1275</v>
      </c>
      <c r="I2560" s="178"/>
    </row>
    <row r="2561" spans="1:9" hidden="1" outlineLevel="2" x14ac:dyDescent="0.25">
      <c r="A2561" s="175">
        <f t="shared" si="86"/>
        <v>29</v>
      </c>
      <c r="B2561" s="175" t="s">
        <v>327</v>
      </c>
      <c r="C2561" s="175" t="str">
        <f t="shared" si="87"/>
        <v>Pintura Com Tinta Latex Acrilica em Paredes Externas, 3 Demaos (Somente tinta e fundo)</v>
      </c>
      <c r="D2561" s="175" t="s">
        <v>1199</v>
      </c>
      <c r="E2561" s="176" t="str">
        <f>_xlfn.XLOOKUP(D2561,Insumos!$B$1:$B$764,Insumos!$C$1:$C$764)</f>
        <v>L</v>
      </c>
      <c r="F2561" s="196">
        <v>0.1666</v>
      </c>
      <c r="G2561" s="177">
        <f>IF(B2561="insumo",_xlfn.XLOOKUP($D2561,Insumos!$B$1:$B$764,Insumos!$D$1:$D$764),"")</f>
        <v>6.47</v>
      </c>
      <c r="H2561" s="177" cm="1">
        <f t="array" ref="H2561">_xlfn.IFS(B2561="Serviço",SUMIFS(H2562:$H$3085,C2562:$C$3085,$C2561),B2561="Insumo",F2561*G2561,B2561="Etapa","")</f>
        <v>1.0779019999999999</v>
      </c>
      <c r="I2561" s="178"/>
    </row>
    <row r="2562" spans="1:9" outlineLevel="1" collapsed="1" x14ac:dyDescent="0.25">
      <c r="A2562" s="175">
        <f t="shared" ref="A2562:A2625" si="88">COUNTIFS($D$2:$D$3085,D2562,$B$2:$B$3085,B2562)</f>
        <v>1</v>
      </c>
      <c r="B2562" s="175" t="s">
        <v>109</v>
      </c>
      <c r="C2562" s="175" t="str">
        <f t="shared" si="87"/>
        <v>Pintura Com Tinta Latex Acrilica em Paredes Externas, 3 Demaos (Incluso fundo e massa) - Cor preto</v>
      </c>
      <c r="D2562" s="175" t="s">
        <v>1758</v>
      </c>
      <c r="E2562" s="176" t="s">
        <v>13</v>
      </c>
      <c r="F2562" s="175"/>
      <c r="G2562" s="177" t="str">
        <f>IF(B2562="insumo",_xlfn.XLOOKUP($D2562,Insumos!$B$1:$B$764,Insumos!$D$1:$D$764),"")</f>
        <v/>
      </c>
      <c r="H2562" s="177" cm="1">
        <f t="array" ref="H2562">_xlfn.IFS(B2562="Serviço",SUMIFS(H2563:$H$3085,C2563:$C$3085,$C2562),B2562="Insumo",F2562*G2562,B2562="Etapa","")</f>
        <v>41.249451000000001</v>
      </c>
      <c r="I2562" s="178" t="s">
        <v>195</v>
      </c>
    </row>
    <row r="2563" spans="1:9" hidden="1" outlineLevel="2" x14ac:dyDescent="0.25">
      <c r="A2563" s="175">
        <f t="shared" si="88"/>
        <v>26</v>
      </c>
      <c r="B2563" s="175" t="s">
        <v>327</v>
      </c>
      <c r="C2563" s="175" t="str">
        <f t="shared" si="87"/>
        <v>Pintura Com Tinta Latex Acrilica em Paredes Externas, 3 Demaos (Incluso fundo e massa) - Cor preto</v>
      </c>
      <c r="D2563" s="175" t="s">
        <v>358</v>
      </c>
      <c r="E2563" s="176" t="str">
        <f>_xlfn.XLOOKUP(D2563,Insumos!$B$1:$B$764,Insumos!$C$1:$C$764)</f>
        <v>UN</v>
      </c>
      <c r="F2563" s="179">
        <v>0.1</v>
      </c>
      <c r="G2563" s="177">
        <f>IF(B2563="insumo",_xlfn.XLOOKUP($D2563,Insumos!$B$1:$B$764,Insumos!$D$1:$D$764),"")</f>
        <v>1.89</v>
      </c>
      <c r="H2563" s="177" cm="1">
        <f t="array" ref="H2563">_xlfn.IFS(B2563="Serviço",SUMIFS(H2564:$H$3085,C2564:$C$3085,$C2563),B2563="Insumo",F2563*G2563,B2563="Etapa","")</f>
        <v>0.189</v>
      </c>
      <c r="I2563" s="178"/>
    </row>
    <row r="2564" spans="1:9" hidden="1" outlineLevel="2" x14ac:dyDescent="0.25">
      <c r="A2564" s="175">
        <f t="shared" si="88"/>
        <v>20</v>
      </c>
      <c r="B2564" s="175" t="s">
        <v>327</v>
      </c>
      <c r="C2564" s="175" t="str">
        <f t="shared" si="87"/>
        <v>Pintura Com Tinta Latex Acrilica em Paredes Externas, 3 Demaos (Incluso fundo e massa) - Cor preto</v>
      </c>
      <c r="D2564" s="175" t="s">
        <v>830</v>
      </c>
      <c r="E2564" s="176" t="str">
        <f>_xlfn.XLOOKUP(D2564,Insumos!$B$1:$B$764,Insumos!$C$1:$C$764)</f>
        <v>KG</v>
      </c>
      <c r="F2564" s="179">
        <v>0.86670000000000003</v>
      </c>
      <c r="G2564" s="177">
        <f>IF(B2564="insumo",_xlfn.XLOOKUP($D2564,Insumos!$B$1:$B$764,Insumos!$D$1:$D$764),"")</f>
        <v>6.47</v>
      </c>
      <c r="H2564" s="177" cm="1">
        <f t="array" ref="H2564">_xlfn.IFS(B2564="Serviço",SUMIFS(H2565:$H$3085,C2565:$C$3085,$C2564),B2564="Insumo",F2564*G2564,B2564="Etapa","")</f>
        <v>5.6075489999999997</v>
      </c>
      <c r="I2564" s="178"/>
    </row>
    <row r="2565" spans="1:9" hidden="1" outlineLevel="2" x14ac:dyDescent="0.25">
      <c r="A2565" s="175">
        <f t="shared" si="88"/>
        <v>29</v>
      </c>
      <c r="B2565" s="175" t="s">
        <v>327</v>
      </c>
      <c r="C2565" s="175" t="str">
        <f t="shared" si="87"/>
        <v>Pintura Com Tinta Latex Acrilica em Paredes Externas, 3 Demaos (Incluso fundo e massa) - Cor preto</v>
      </c>
      <c r="D2565" s="175" t="s">
        <v>1199</v>
      </c>
      <c r="E2565" s="176" t="str">
        <f>_xlfn.XLOOKUP(D2565,Insumos!$B$1:$B$764,Insumos!$C$1:$C$764)</f>
        <v>L</v>
      </c>
      <c r="F2565" s="179">
        <v>0.1666</v>
      </c>
      <c r="G2565" s="177">
        <f>IF(B2565="insumo",_xlfn.XLOOKUP($D2565,Insumos!$B$1:$B$764,Insumos!$D$1:$D$764),"")</f>
        <v>6.47</v>
      </c>
      <c r="H2565" s="177" cm="1">
        <f t="array" ref="H2565">_xlfn.IFS(B2565="Serviço",SUMIFS(H2566:$H$3085,C2566:$C$3085,$C2565),B2565="Insumo",F2565*G2565,B2565="Etapa","")</f>
        <v>1.0779019999999999</v>
      </c>
      <c r="I2565" s="178"/>
    </row>
    <row r="2566" spans="1:9" hidden="1" outlineLevel="2" x14ac:dyDescent="0.25">
      <c r="A2566" s="175">
        <f t="shared" si="88"/>
        <v>2</v>
      </c>
      <c r="B2566" s="175" t="s">
        <v>327</v>
      </c>
      <c r="C2566" s="175" t="str">
        <f t="shared" si="87"/>
        <v>Pintura Com Tinta Latex Acrilica em Paredes Externas, 3 Demaos (Incluso fundo e massa) - Cor preto</v>
      </c>
      <c r="D2566" s="175" t="s">
        <v>1759</v>
      </c>
      <c r="E2566" s="176" t="str">
        <f>_xlfn.XLOOKUP(D2566,Insumos!$B$1:$B$764,Insumos!$C$1:$C$764)</f>
        <v>L</v>
      </c>
      <c r="F2566" s="179">
        <v>0.495</v>
      </c>
      <c r="G2566" s="177">
        <f>IF(B2566="insumo",_xlfn.XLOOKUP($D2566,Insumos!$B$1:$B$764,Insumos!$D$1:$D$764),"")</f>
        <v>69.444444444444443</v>
      </c>
      <c r="H2566" s="177" cm="1">
        <f t="array" ref="H2566">_xlfn.IFS(B2566="Serviço",SUMIFS(H2567:$H$3085,C2567:$C$3085,$C2566),B2566="Insumo",F2566*G2566,B2566="Etapa","")</f>
        <v>34.375</v>
      </c>
      <c r="I2566" s="178"/>
    </row>
    <row r="2567" spans="1:9" outlineLevel="1" collapsed="1" x14ac:dyDescent="0.25">
      <c r="A2567" s="175">
        <f t="shared" si="88"/>
        <v>1</v>
      </c>
      <c r="B2567" s="175" t="s">
        <v>109</v>
      </c>
      <c r="C2567" s="175" t="str">
        <f t="shared" si="87"/>
        <v>Pintura Com Tinta Acetinada em Paredes Externas, 2 Demaos (Incluso fundo e massa) - Cor Cinza claro</v>
      </c>
      <c r="D2567" s="175" t="s">
        <v>2414</v>
      </c>
      <c r="E2567" s="176" t="s">
        <v>13</v>
      </c>
      <c r="F2567" s="175"/>
      <c r="G2567" s="177" t="str">
        <f>IF(B2567="insumo",_xlfn.XLOOKUP($D2567,Insumos!$B$1:$B$764,Insumos!$D$1:$D$764),"")</f>
        <v/>
      </c>
      <c r="H2567" s="177" cm="1">
        <f t="array" ref="H2567">_xlfn.IFS(B2567="Serviço",SUMIFS(H2568:$H$3085,C2568:$C$3085,$C2567),B2567="Insumo",F2567*G2567,B2567="Etapa","")</f>
        <v>24.228996454545456</v>
      </c>
      <c r="I2567" s="178" t="s">
        <v>195</v>
      </c>
    </row>
    <row r="2568" spans="1:9" hidden="1" outlineLevel="2" x14ac:dyDescent="0.25">
      <c r="A2568" s="175">
        <f t="shared" si="88"/>
        <v>26</v>
      </c>
      <c r="B2568" s="175" t="s">
        <v>327</v>
      </c>
      <c r="C2568" s="175" t="str">
        <f t="shared" si="87"/>
        <v>Pintura Com Tinta Acetinada em Paredes Externas, 2 Demaos (Incluso fundo e massa) - Cor Cinza claro</v>
      </c>
      <c r="D2568" s="175" t="s">
        <v>358</v>
      </c>
      <c r="E2568" s="176" t="str">
        <f>_xlfn.XLOOKUP(D2568,Insumos!$B$1:$B$764,Insumos!$C$1:$C$764)</f>
        <v>UN</v>
      </c>
      <c r="F2568" s="179">
        <v>0.1</v>
      </c>
      <c r="G2568" s="177">
        <f>IF(B2568="insumo",_xlfn.XLOOKUP($D2568,Insumos!$B$1:$B$764,Insumos!$D$1:$D$764),"")</f>
        <v>1.89</v>
      </c>
      <c r="H2568" s="177" cm="1">
        <f t="array" ref="H2568">_xlfn.IFS(B2568="Serviço",SUMIFS(H2569:$H$3085,C2569:$C$3085,$C2568),B2568="Insumo",F2568*G2568,B2568="Etapa","")</f>
        <v>0.189</v>
      </c>
      <c r="I2568" s="178"/>
    </row>
    <row r="2569" spans="1:9" hidden="1" outlineLevel="2" x14ac:dyDescent="0.25">
      <c r="A2569" s="175">
        <f t="shared" si="88"/>
        <v>20</v>
      </c>
      <c r="B2569" s="175" t="s">
        <v>327</v>
      </c>
      <c r="C2569" s="175" t="str">
        <f t="shared" si="87"/>
        <v>Pintura Com Tinta Acetinada em Paredes Externas, 2 Demaos (Incluso fundo e massa) - Cor Cinza claro</v>
      </c>
      <c r="D2569" s="175" t="s">
        <v>830</v>
      </c>
      <c r="E2569" s="176" t="str">
        <f>_xlfn.XLOOKUP(D2569,Insumos!$B$1:$B$764,Insumos!$C$1:$C$764)</f>
        <v>KG</v>
      </c>
      <c r="F2569" s="179">
        <v>0.86670000000000003</v>
      </c>
      <c r="G2569" s="177">
        <f>IF(B2569="insumo",_xlfn.XLOOKUP($D2569,Insumos!$B$1:$B$764,Insumos!$D$1:$D$764),"")</f>
        <v>6.47</v>
      </c>
      <c r="H2569" s="177" cm="1">
        <f t="array" ref="H2569">_xlfn.IFS(B2569="Serviço",SUMIFS(H2570:$H$3085,C2570:$C$3085,$C2569),B2569="Insumo",F2569*G2569,B2569="Etapa","")</f>
        <v>5.6075489999999997</v>
      </c>
      <c r="I2569" s="178"/>
    </row>
    <row r="2570" spans="1:9" hidden="1" outlineLevel="2" x14ac:dyDescent="0.25">
      <c r="A2570" s="175">
        <f t="shared" si="88"/>
        <v>29</v>
      </c>
      <c r="B2570" s="175" t="s">
        <v>327</v>
      </c>
      <c r="C2570" s="175" t="str">
        <f t="shared" si="87"/>
        <v>Pintura Com Tinta Acetinada em Paredes Externas, 2 Demaos (Incluso fundo e massa) - Cor Cinza claro</v>
      </c>
      <c r="D2570" s="175" t="s">
        <v>1199</v>
      </c>
      <c r="E2570" s="176" t="str">
        <f>_xlfn.XLOOKUP(D2570,Insumos!$B$1:$B$764,Insumos!$C$1:$C$764)</f>
        <v>L</v>
      </c>
      <c r="F2570" s="179">
        <v>0.1666</v>
      </c>
      <c r="G2570" s="177">
        <f>IF(B2570="insumo",_xlfn.XLOOKUP($D2570,Insumos!$B$1:$B$764,Insumos!$D$1:$D$764),"")</f>
        <v>6.47</v>
      </c>
      <c r="H2570" s="177" cm="1">
        <f t="array" ref="H2570">_xlfn.IFS(B2570="Serviço",SUMIFS(H2571:$H$3085,C2571:$C$3085,$C2570),B2570="Insumo",F2570*G2570,B2570="Etapa","")</f>
        <v>1.0779019999999999</v>
      </c>
      <c r="I2570" s="178"/>
    </row>
    <row r="2571" spans="1:9" hidden="1" outlineLevel="2" x14ac:dyDescent="0.25">
      <c r="A2571" s="175">
        <f t="shared" si="88"/>
        <v>1</v>
      </c>
      <c r="B2571" s="175" t="s">
        <v>327</v>
      </c>
      <c r="C2571" s="175" t="str">
        <f t="shared" si="87"/>
        <v>Pintura Com Tinta Acetinada em Paredes Externas, 2 Demaos (Incluso fundo e massa) - Cor Cinza claro</v>
      </c>
      <c r="D2571" s="175" t="s">
        <v>2419</v>
      </c>
      <c r="E2571" s="176" t="str">
        <f>_xlfn.XLOOKUP(D2571,Insumos!$B$1:$B$764,Insumos!$C$1:$C$764)</f>
        <v>L</v>
      </c>
      <c r="F2571" s="179">
        <f>(16/110)*2</f>
        <v>0.29090909090909089</v>
      </c>
      <c r="G2571" s="407">
        <f>IF(B2571="insumo",_xlfn.XLOOKUP($D2571,Insumos!$B$1:$B$764,Insumos!$D$1:$D$764),"")</f>
        <v>59.65625</v>
      </c>
      <c r="H2571" s="177" cm="1">
        <f t="array" ref="H2571">_xlfn.IFS(B2571="Serviço",SUMIFS(H2572:$H$3085,C2572:$C$3085,$C2571),B2571="Insumo",F2571*G2571,B2571="Etapa","")</f>
        <v>17.354545454545455</v>
      </c>
      <c r="I2571" s="178" t="s">
        <v>2006</v>
      </c>
    </row>
    <row r="2572" spans="1:9" outlineLevel="1" collapsed="1" x14ac:dyDescent="0.25">
      <c r="A2572" s="175">
        <f t="shared" si="88"/>
        <v>1</v>
      </c>
      <c r="B2572" s="175" t="s">
        <v>109</v>
      </c>
      <c r="C2572" s="175" t="str">
        <f t="shared" si="87"/>
        <v>Pintura Com Tinta Acetinada em Paredes Externas, 2 Demaos (Incluso fundo e massa) - Cor Marrom</v>
      </c>
      <c r="D2572" s="175" t="s">
        <v>2415</v>
      </c>
      <c r="E2572" s="176" t="s">
        <v>13</v>
      </c>
      <c r="F2572" s="175"/>
      <c r="G2572" s="177" t="str">
        <f>IF(B2572="insumo",_xlfn.XLOOKUP($D2572,Insumos!$B$1:$B$764,Insumos!$D$1:$D$764),"")</f>
        <v/>
      </c>
      <c r="H2572" s="177" cm="1">
        <f t="array" ref="H2572">_xlfn.IFS(B2572="Serviço",SUMIFS(H2573:$H$3085,C2573:$C$3085,$C2572),B2572="Insumo",F2572*G2572,B2572="Etapa","")</f>
        <v>26.138087363636362</v>
      </c>
      <c r="I2572" s="178" t="s">
        <v>195</v>
      </c>
    </row>
    <row r="2573" spans="1:9" hidden="1" outlineLevel="2" x14ac:dyDescent="0.25">
      <c r="A2573" s="175">
        <f t="shared" si="88"/>
        <v>26</v>
      </c>
      <c r="B2573" s="175" t="s">
        <v>327</v>
      </c>
      <c r="C2573" s="175" t="str">
        <f t="shared" si="87"/>
        <v>Pintura Com Tinta Acetinada em Paredes Externas, 2 Demaos (Incluso fundo e massa) - Cor Marrom</v>
      </c>
      <c r="D2573" s="175" t="s">
        <v>358</v>
      </c>
      <c r="E2573" s="176" t="str">
        <f>_xlfn.XLOOKUP(D2573,Insumos!$B$1:$B$764,Insumos!$C$1:$C$764)</f>
        <v>UN</v>
      </c>
      <c r="F2573" s="179">
        <v>0.1</v>
      </c>
      <c r="G2573" s="177">
        <f>IF(B2573="insumo",_xlfn.XLOOKUP($D2573,Insumos!$B$1:$B$764,Insumos!$D$1:$D$764),"")</f>
        <v>1.89</v>
      </c>
      <c r="H2573" s="177" cm="1">
        <f t="array" ref="H2573">_xlfn.IFS(B2573="Serviço",SUMIFS(H2574:$H$3085,C2574:$C$3085,$C2573),B2573="Insumo",F2573*G2573,B2573="Etapa","")</f>
        <v>0.189</v>
      </c>
      <c r="I2573" s="178"/>
    </row>
    <row r="2574" spans="1:9" hidden="1" outlineLevel="2" x14ac:dyDescent="0.25">
      <c r="A2574" s="175">
        <f t="shared" si="88"/>
        <v>20</v>
      </c>
      <c r="B2574" s="175" t="s">
        <v>327</v>
      </c>
      <c r="C2574" s="175" t="str">
        <f t="shared" si="87"/>
        <v>Pintura Com Tinta Acetinada em Paredes Externas, 2 Demaos (Incluso fundo e massa) - Cor Marrom</v>
      </c>
      <c r="D2574" s="175" t="s">
        <v>830</v>
      </c>
      <c r="E2574" s="176" t="str">
        <f>_xlfn.XLOOKUP(D2574,Insumos!$B$1:$B$764,Insumos!$C$1:$C$764)</f>
        <v>KG</v>
      </c>
      <c r="F2574" s="179">
        <v>0.86670000000000003</v>
      </c>
      <c r="G2574" s="177">
        <f>IF(B2574="insumo",_xlfn.XLOOKUP($D2574,Insumos!$B$1:$B$764,Insumos!$D$1:$D$764),"")</f>
        <v>6.47</v>
      </c>
      <c r="H2574" s="177" cm="1">
        <f t="array" ref="H2574">_xlfn.IFS(B2574="Serviço",SUMIFS(H2575:$H$3085,C2575:$C$3085,$C2574),B2574="Insumo",F2574*G2574,B2574="Etapa","")</f>
        <v>5.6075489999999997</v>
      </c>
      <c r="I2574" s="178"/>
    </row>
    <row r="2575" spans="1:9" hidden="1" outlineLevel="2" x14ac:dyDescent="0.25">
      <c r="A2575" s="175">
        <f t="shared" si="88"/>
        <v>29</v>
      </c>
      <c r="B2575" s="175" t="s">
        <v>327</v>
      </c>
      <c r="C2575" s="175" t="str">
        <f t="shared" si="87"/>
        <v>Pintura Com Tinta Acetinada em Paredes Externas, 2 Demaos (Incluso fundo e massa) - Cor Marrom</v>
      </c>
      <c r="D2575" s="175" t="s">
        <v>1199</v>
      </c>
      <c r="E2575" s="176" t="str">
        <f>_xlfn.XLOOKUP(D2575,Insumos!$B$1:$B$764,Insumos!$C$1:$C$764)</f>
        <v>L</v>
      </c>
      <c r="F2575" s="179">
        <v>0.1666</v>
      </c>
      <c r="G2575" s="177">
        <f>IF(B2575="insumo",_xlfn.XLOOKUP($D2575,Insumos!$B$1:$B$764,Insumos!$D$1:$D$764),"")</f>
        <v>6.47</v>
      </c>
      <c r="H2575" s="177" cm="1">
        <f t="array" ref="H2575">_xlfn.IFS(B2575="Serviço",SUMIFS(H2576:$H$3085,C2576:$C$3085,$C2575),B2575="Insumo",F2575*G2575,B2575="Etapa","")</f>
        <v>1.0779019999999999</v>
      </c>
      <c r="I2575" s="178"/>
    </row>
    <row r="2576" spans="1:9" hidden="1" outlineLevel="2" x14ac:dyDescent="0.25">
      <c r="A2576" s="175">
        <f t="shared" si="88"/>
        <v>1</v>
      </c>
      <c r="B2576" s="175" t="s">
        <v>327</v>
      </c>
      <c r="C2576" s="175" t="str">
        <f t="shared" si="87"/>
        <v>Pintura Com Tinta Acetinada em Paredes Externas, 2 Demaos (Incluso fundo e massa) - Cor Marrom</v>
      </c>
      <c r="D2576" s="175" t="s">
        <v>2418</v>
      </c>
      <c r="E2576" s="176" t="str">
        <f>_xlfn.XLOOKUP(D2576,Insumos!$B$1:$B$764,Insumos!$C$1:$C$764)</f>
        <v>L</v>
      </c>
      <c r="F2576" s="179">
        <f>(16/110)*2</f>
        <v>0.29090909090909089</v>
      </c>
      <c r="G2576" s="407">
        <f>IF(B2576="insumo",_xlfn.XLOOKUP($D2576,Insumos!$B$1:$B$764,Insumos!$D$1:$D$764),"")</f>
        <v>66.21875</v>
      </c>
      <c r="H2576" s="177" cm="1">
        <f t="array" ref="H2576">_xlfn.IFS(B2576="Serviço",SUMIFS(H2577:$H$3085,C2577:$C$3085,$C2576),B2576="Insumo",F2576*G2576,B2576="Etapa","")</f>
        <v>19.263636363636362</v>
      </c>
      <c r="I2576" s="178" t="s">
        <v>2006</v>
      </c>
    </row>
    <row r="2577" spans="1:9" outlineLevel="1" collapsed="1" x14ac:dyDescent="0.25">
      <c r="A2577" s="175">
        <f t="shared" si="88"/>
        <v>1</v>
      </c>
      <c r="B2577" s="175" t="s">
        <v>109</v>
      </c>
      <c r="C2577" s="175" t="str">
        <f t="shared" si="87"/>
        <v>Pintura Com  Tinta Acetinada em Paredes Externas, 2 Demaos (Incluso fundo e massa) - Cor Cinza escuro</v>
      </c>
      <c r="D2577" s="175" t="s">
        <v>2416</v>
      </c>
      <c r="E2577" s="176" t="s">
        <v>13</v>
      </c>
      <c r="F2577" s="175"/>
      <c r="G2577" s="177" t="str">
        <f>IF(B2577="insumo",_xlfn.XLOOKUP($D2577,Insumos!$B$1:$B$764,Insumos!$D$1:$D$764),"")</f>
        <v/>
      </c>
      <c r="H2577" s="177" cm="1">
        <f t="array" ref="H2577">_xlfn.IFS(B2577="Serviço",SUMIFS(H2578:$H$3085,C2578:$C$3085,$C2577),B2577="Insumo",F2577*G2577,B2577="Etapa","")</f>
        <v>26.16354190909091</v>
      </c>
      <c r="I2577" s="178" t="s">
        <v>195</v>
      </c>
    </row>
    <row r="2578" spans="1:9" hidden="1" outlineLevel="2" x14ac:dyDescent="0.25">
      <c r="A2578" s="175">
        <f t="shared" si="88"/>
        <v>26</v>
      </c>
      <c r="B2578" s="175" t="s">
        <v>327</v>
      </c>
      <c r="C2578" s="175" t="str">
        <f t="shared" si="87"/>
        <v>Pintura Com  Tinta Acetinada em Paredes Externas, 2 Demaos (Incluso fundo e massa) - Cor Cinza escuro</v>
      </c>
      <c r="D2578" s="175" t="s">
        <v>358</v>
      </c>
      <c r="E2578" s="176" t="str">
        <f>_xlfn.XLOOKUP(D2578,Insumos!$B$1:$B$764,Insumos!$C$1:$C$764)</f>
        <v>UN</v>
      </c>
      <c r="F2578" s="179">
        <v>0.1</v>
      </c>
      <c r="G2578" s="177">
        <f>IF(B2578="insumo",_xlfn.XLOOKUP($D2578,Insumos!$B$1:$B$764,Insumos!$D$1:$D$764),"")</f>
        <v>1.89</v>
      </c>
      <c r="H2578" s="177" cm="1">
        <f t="array" ref="H2578">_xlfn.IFS(B2578="Serviço",SUMIFS(H2579:$H$3085,C2579:$C$3085,$C2578),B2578="Insumo",F2578*G2578,B2578="Etapa","")</f>
        <v>0.189</v>
      </c>
      <c r="I2578" s="178"/>
    </row>
    <row r="2579" spans="1:9" hidden="1" outlineLevel="2" x14ac:dyDescent="0.25">
      <c r="A2579" s="175">
        <f t="shared" si="88"/>
        <v>20</v>
      </c>
      <c r="B2579" s="175" t="s">
        <v>327</v>
      </c>
      <c r="C2579" s="175" t="str">
        <f t="shared" si="87"/>
        <v>Pintura Com  Tinta Acetinada em Paredes Externas, 2 Demaos (Incluso fundo e massa) - Cor Cinza escuro</v>
      </c>
      <c r="D2579" s="175" t="s">
        <v>830</v>
      </c>
      <c r="E2579" s="176" t="str">
        <f>_xlfn.XLOOKUP(D2579,Insumos!$B$1:$B$764,Insumos!$C$1:$C$764)</f>
        <v>KG</v>
      </c>
      <c r="F2579" s="179">
        <v>0.86670000000000003</v>
      </c>
      <c r="G2579" s="177">
        <f>IF(B2579="insumo",_xlfn.XLOOKUP($D2579,Insumos!$B$1:$B$764,Insumos!$D$1:$D$764),"")</f>
        <v>6.47</v>
      </c>
      <c r="H2579" s="177" cm="1">
        <f t="array" ref="H2579">_xlfn.IFS(B2579="Serviço",SUMIFS(H2580:$H$3085,C2580:$C$3085,$C2579),B2579="Insumo",F2579*G2579,B2579="Etapa","")</f>
        <v>5.6075489999999997</v>
      </c>
      <c r="I2579" s="178"/>
    </row>
    <row r="2580" spans="1:9" hidden="1" outlineLevel="2" x14ac:dyDescent="0.25">
      <c r="A2580" s="175">
        <f t="shared" si="88"/>
        <v>29</v>
      </c>
      <c r="B2580" s="175" t="s">
        <v>327</v>
      </c>
      <c r="C2580" s="175" t="str">
        <f t="shared" si="87"/>
        <v>Pintura Com  Tinta Acetinada em Paredes Externas, 2 Demaos (Incluso fundo e massa) - Cor Cinza escuro</v>
      </c>
      <c r="D2580" s="175" t="s">
        <v>1199</v>
      </c>
      <c r="E2580" s="176" t="str">
        <f>_xlfn.XLOOKUP(D2580,Insumos!$B$1:$B$764,Insumos!$C$1:$C$764)</f>
        <v>L</v>
      </c>
      <c r="F2580" s="179">
        <v>0.1666</v>
      </c>
      <c r="G2580" s="177">
        <f>IF(B2580="insumo",_xlfn.XLOOKUP($D2580,Insumos!$B$1:$B$764,Insumos!$D$1:$D$764),"")</f>
        <v>6.47</v>
      </c>
      <c r="H2580" s="177" cm="1">
        <f t="array" ref="H2580">_xlfn.IFS(B2580="Serviço",SUMIFS(H2581:$H$3085,C2581:$C$3085,$C2580),B2580="Insumo",F2580*G2580,B2580="Etapa","")</f>
        <v>1.0779019999999999</v>
      </c>
      <c r="I2580" s="178"/>
    </row>
    <row r="2581" spans="1:9" hidden="1" outlineLevel="2" x14ac:dyDescent="0.25">
      <c r="A2581" s="175">
        <f t="shared" si="88"/>
        <v>1</v>
      </c>
      <c r="B2581" s="175" t="s">
        <v>327</v>
      </c>
      <c r="C2581" s="175" t="str">
        <f t="shared" si="87"/>
        <v>Pintura Com  Tinta Acetinada em Paredes Externas, 2 Demaos (Incluso fundo e massa) - Cor Cinza escuro</v>
      </c>
      <c r="D2581" s="175" t="s">
        <v>2420</v>
      </c>
      <c r="E2581" s="176" t="str">
        <f>_xlfn.XLOOKUP(D2581,Insumos!$B$1:$B$764,Insumos!$C$1:$C$764)</f>
        <v>L</v>
      </c>
      <c r="F2581" s="179">
        <f>(16/110)*2</f>
        <v>0.29090909090909089</v>
      </c>
      <c r="G2581" s="408">
        <f>IF(B2581="insumo",_xlfn.XLOOKUP($D2581,Insumos!$B$1:$B$764,Insumos!$D$1:$D$764),"")</f>
        <v>66.306250000000006</v>
      </c>
      <c r="H2581" s="177" cm="1">
        <f t="array" ref="H2581">_xlfn.IFS(B2581="Serviço",SUMIFS(H2582:$H$3085,C2582:$C$3085,$C2581),B2581="Insumo",F2581*G2581,B2581="Etapa","")</f>
        <v>19.289090909090909</v>
      </c>
      <c r="I2581" s="178" t="s">
        <v>2006</v>
      </c>
    </row>
    <row r="2582" spans="1:9" outlineLevel="1" collapsed="1" x14ac:dyDescent="0.25">
      <c r="A2582" s="175">
        <f t="shared" si="88"/>
        <v>1</v>
      </c>
      <c r="B2582" s="175" t="s">
        <v>109</v>
      </c>
      <c r="C2582" s="175" t="str">
        <f t="shared" si="87"/>
        <v>Pintura Com  Tinta Acetinada em Paredes Externas, 2 Demaos (Incluso fundo e massa) - Cor Branco</v>
      </c>
      <c r="D2582" s="175" t="s">
        <v>2417</v>
      </c>
      <c r="E2582" s="176" t="s">
        <v>13</v>
      </c>
      <c r="F2582" s="175"/>
      <c r="G2582" s="177" t="str">
        <f>IF(B2582="insumo",_xlfn.XLOOKUP($D2582,Insumos!$B$1:$B$764,Insumos!$D$1:$D$764),"")</f>
        <v/>
      </c>
      <c r="H2582" s="177" cm="1">
        <f t="array" ref="H2582">_xlfn.IFS(B2582="Serviço",SUMIFS(H2583:$H$3085,C2583:$C$3085,$C2582),B2582="Insumo",F2582*G2582,B2582="Etapa","")</f>
        <v>19.317279282828281</v>
      </c>
      <c r="I2582" s="178" t="s">
        <v>195</v>
      </c>
    </row>
    <row r="2583" spans="1:9" hidden="1" outlineLevel="2" x14ac:dyDescent="0.25">
      <c r="A2583" s="175">
        <f t="shared" si="88"/>
        <v>26</v>
      </c>
      <c r="B2583" s="175" t="s">
        <v>327</v>
      </c>
      <c r="C2583" s="175" t="str">
        <f t="shared" si="87"/>
        <v>Pintura Com  Tinta Acetinada em Paredes Externas, 2 Demaos (Incluso fundo e massa) - Cor Branco</v>
      </c>
      <c r="D2583" s="175" t="s">
        <v>358</v>
      </c>
      <c r="E2583" s="176" t="str">
        <f>_xlfn.XLOOKUP(D2583,Insumos!$B$1:$B$764,Insumos!$C$1:$C$764)</f>
        <v>UN</v>
      </c>
      <c r="F2583" s="179">
        <v>0.1</v>
      </c>
      <c r="G2583" s="177">
        <f>IF(B2583="insumo",_xlfn.XLOOKUP($D2583,Insumos!$B$1:$B$764,Insumos!$D$1:$D$764),"")</f>
        <v>1.89</v>
      </c>
      <c r="H2583" s="177" cm="1">
        <f t="array" ref="H2583">_xlfn.IFS(B2583="Serviço",SUMIFS(H2584:$H$3085,C2584:$C$3085,$C2583),B2583="Insumo",F2583*G2583,B2583="Etapa","")</f>
        <v>0.189</v>
      </c>
      <c r="I2583" s="178"/>
    </row>
    <row r="2584" spans="1:9" hidden="1" outlineLevel="2" x14ac:dyDescent="0.25">
      <c r="A2584" s="175">
        <f t="shared" si="88"/>
        <v>20</v>
      </c>
      <c r="B2584" s="175" t="s">
        <v>327</v>
      </c>
      <c r="C2584" s="175" t="str">
        <f t="shared" si="87"/>
        <v>Pintura Com  Tinta Acetinada em Paredes Externas, 2 Demaos (Incluso fundo e massa) - Cor Branco</v>
      </c>
      <c r="D2584" s="175" t="s">
        <v>830</v>
      </c>
      <c r="E2584" s="176" t="str">
        <f>_xlfn.XLOOKUP(D2584,Insumos!$B$1:$B$764,Insumos!$C$1:$C$764)</f>
        <v>KG</v>
      </c>
      <c r="F2584" s="179">
        <v>0.86670000000000003</v>
      </c>
      <c r="G2584" s="177">
        <f>IF(B2584="insumo",_xlfn.XLOOKUP($D2584,Insumos!$B$1:$B$764,Insumos!$D$1:$D$764),"")</f>
        <v>6.47</v>
      </c>
      <c r="H2584" s="177" cm="1">
        <f t="array" ref="H2584">_xlfn.IFS(B2584="Serviço",SUMIFS(H2585:$H$3085,C2585:$C$3085,$C2584),B2584="Insumo",F2584*G2584,B2584="Etapa","")</f>
        <v>5.6075489999999997</v>
      </c>
      <c r="I2584" s="178"/>
    </row>
    <row r="2585" spans="1:9" hidden="1" outlineLevel="2" x14ac:dyDescent="0.25">
      <c r="A2585" s="175">
        <f t="shared" si="88"/>
        <v>29</v>
      </c>
      <c r="B2585" s="175" t="s">
        <v>327</v>
      </c>
      <c r="C2585" s="175" t="str">
        <f t="shared" si="87"/>
        <v>Pintura Com  Tinta Acetinada em Paredes Externas, 2 Demaos (Incluso fundo e massa) - Cor Branco</v>
      </c>
      <c r="D2585" s="175" t="s">
        <v>1199</v>
      </c>
      <c r="E2585" s="176" t="str">
        <f>_xlfn.XLOOKUP(D2585,Insumos!$B$1:$B$764,Insumos!$C$1:$C$764)</f>
        <v>L</v>
      </c>
      <c r="F2585" s="179">
        <v>0.1666</v>
      </c>
      <c r="G2585" s="177">
        <f>IF(B2585="insumo",_xlfn.XLOOKUP($D2585,Insumos!$B$1:$B$764,Insumos!$D$1:$D$764),"")</f>
        <v>6.47</v>
      </c>
      <c r="H2585" s="177" cm="1">
        <f t="array" ref="H2585">_xlfn.IFS(B2585="Serviço",SUMIFS(H2586:$H$3085,C2586:$C$3085,$C2585),B2585="Insumo",F2585*G2585,B2585="Etapa","")</f>
        <v>1.0779019999999999</v>
      </c>
      <c r="I2585" s="178"/>
    </row>
    <row r="2586" spans="1:9" hidden="1" outlineLevel="2" x14ac:dyDescent="0.25">
      <c r="A2586" s="175">
        <f t="shared" si="88"/>
        <v>2</v>
      </c>
      <c r="B2586" s="175" t="s">
        <v>327</v>
      </c>
      <c r="C2586" s="175" t="str">
        <f t="shared" si="87"/>
        <v>Pintura Com  Tinta Acetinada em Paredes Externas, 2 Demaos (Incluso fundo e massa) - Cor Branco</v>
      </c>
      <c r="D2586" s="175" t="s">
        <v>2002</v>
      </c>
      <c r="E2586" s="176" t="str">
        <f>_xlfn.XLOOKUP(D2586,Insumos!$B$1:$B$764,Insumos!$C$1:$C$764)</f>
        <v>L</v>
      </c>
      <c r="F2586" s="179">
        <f>(16/110)*2</f>
        <v>0.29090909090909089</v>
      </c>
      <c r="G2586" s="407">
        <f>IF(B2586="insumo",_xlfn.XLOOKUP($D2586,Insumos!$B$1:$B$764,Insumos!$D$1:$D$764),"")</f>
        <v>42.772222222222219</v>
      </c>
      <c r="H2586" s="177" cm="1">
        <f t="array" ref="H2586">_xlfn.IFS(B2586="Serviço",SUMIFS(H2587:$H$3085,C2587:$C$3085,$C2586),B2586="Insumo",F2586*G2586,B2586="Etapa","")</f>
        <v>12.44282828282828</v>
      </c>
      <c r="I2586" s="178" t="s">
        <v>2006</v>
      </c>
    </row>
    <row r="2587" spans="1:9" outlineLevel="1" collapsed="1" x14ac:dyDescent="0.25">
      <c r="A2587" s="175">
        <f t="shared" si="88"/>
        <v>1</v>
      </c>
      <c r="B2587" s="175" t="s">
        <v>109</v>
      </c>
      <c r="C2587" s="175" t="str">
        <f t="shared" si="87"/>
        <v>Pintura Com Tinta Fosca em Paredes Externas, 2 Demaos (Incluso fundo e massa) - Cor Cinza claro</v>
      </c>
      <c r="D2587" s="175" t="s">
        <v>2410</v>
      </c>
      <c r="E2587" s="176" t="s">
        <v>13</v>
      </c>
      <c r="F2587" s="175"/>
      <c r="G2587" s="177" t="str">
        <f>IF(B2587="insumo",_xlfn.XLOOKUP($D2587,Insumos!$B$1:$B$764,Insumos!$D$1:$D$764),"")</f>
        <v/>
      </c>
      <c r="H2587" s="177" cm="1">
        <f t="array" ref="H2587">_xlfn.IFS(B2587="Serviço",SUMIFS(H2588:$H$3085,C2588:$C$3085,$C2587),B2587="Insumo",F2587*G2587,B2587="Etapa","")</f>
        <v>20.14536009090909</v>
      </c>
      <c r="I2587" s="178" t="s">
        <v>195</v>
      </c>
    </row>
    <row r="2588" spans="1:9" hidden="1" outlineLevel="2" x14ac:dyDescent="0.25">
      <c r="A2588" s="175">
        <f t="shared" si="88"/>
        <v>26</v>
      </c>
      <c r="B2588" s="175" t="s">
        <v>327</v>
      </c>
      <c r="C2588" s="175" t="str">
        <f t="shared" si="87"/>
        <v>Pintura Com Tinta Fosca em Paredes Externas, 2 Demaos (Incluso fundo e massa) - Cor Cinza claro</v>
      </c>
      <c r="D2588" s="175" t="s">
        <v>358</v>
      </c>
      <c r="E2588" s="176" t="str">
        <f>_xlfn.XLOOKUP(D2588,Insumos!$B$1:$B$764,Insumos!$C$1:$C$764)</f>
        <v>UN</v>
      </c>
      <c r="F2588" s="179">
        <v>0.1</v>
      </c>
      <c r="G2588" s="177">
        <f>IF(B2588="insumo",_xlfn.XLOOKUP($D2588,Insumos!$B$1:$B$764,Insumos!$D$1:$D$764),"")</f>
        <v>1.89</v>
      </c>
      <c r="H2588" s="177" cm="1">
        <f t="array" ref="H2588">_xlfn.IFS(B2588="Serviço",SUMIFS(H2589:$H$3085,C2589:$C$3085,$C2588),B2588="Insumo",F2588*G2588,B2588="Etapa","")</f>
        <v>0.189</v>
      </c>
      <c r="I2588" s="178"/>
    </row>
    <row r="2589" spans="1:9" hidden="1" outlineLevel="2" x14ac:dyDescent="0.25">
      <c r="A2589" s="175">
        <f t="shared" si="88"/>
        <v>20</v>
      </c>
      <c r="B2589" s="175" t="s">
        <v>327</v>
      </c>
      <c r="C2589" s="175" t="str">
        <f t="shared" si="87"/>
        <v>Pintura Com Tinta Fosca em Paredes Externas, 2 Demaos (Incluso fundo e massa) - Cor Cinza claro</v>
      </c>
      <c r="D2589" s="175" t="s">
        <v>830</v>
      </c>
      <c r="E2589" s="176" t="str">
        <f>_xlfn.XLOOKUP(D2589,Insumos!$B$1:$B$764,Insumos!$C$1:$C$764)</f>
        <v>KG</v>
      </c>
      <c r="F2589" s="179">
        <v>0.86670000000000003</v>
      </c>
      <c r="G2589" s="177">
        <f>IF(B2589="insumo",_xlfn.XLOOKUP($D2589,Insumos!$B$1:$B$764,Insumos!$D$1:$D$764),"")</f>
        <v>6.47</v>
      </c>
      <c r="H2589" s="177" cm="1">
        <f t="array" ref="H2589">_xlfn.IFS(B2589="Serviço",SUMIFS(H2590:$H$3085,C2590:$C$3085,$C2589),B2589="Insumo",F2589*G2589,B2589="Etapa","")</f>
        <v>5.6075489999999997</v>
      </c>
      <c r="I2589" s="178"/>
    </row>
    <row r="2590" spans="1:9" hidden="1" outlineLevel="2" x14ac:dyDescent="0.25">
      <c r="A2590" s="175">
        <f t="shared" si="88"/>
        <v>29</v>
      </c>
      <c r="B2590" s="175" t="s">
        <v>327</v>
      </c>
      <c r="C2590" s="175" t="str">
        <f t="shared" si="87"/>
        <v>Pintura Com Tinta Fosca em Paredes Externas, 2 Demaos (Incluso fundo e massa) - Cor Cinza claro</v>
      </c>
      <c r="D2590" s="175" t="s">
        <v>1199</v>
      </c>
      <c r="E2590" s="176" t="str">
        <f>_xlfn.XLOOKUP(D2590,Insumos!$B$1:$B$764,Insumos!$C$1:$C$764)</f>
        <v>L</v>
      </c>
      <c r="F2590" s="179">
        <v>0.1666</v>
      </c>
      <c r="G2590" s="177">
        <f>IF(B2590="insumo",_xlfn.XLOOKUP($D2590,Insumos!$B$1:$B$764,Insumos!$D$1:$D$764),"")</f>
        <v>6.47</v>
      </c>
      <c r="H2590" s="177" cm="1">
        <f t="array" ref="H2590">_xlfn.IFS(B2590="Serviço",SUMIFS(H2591:$H$3085,C2591:$C$3085,$C2590),B2590="Insumo",F2590*G2590,B2590="Etapa","")</f>
        <v>1.0779019999999999</v>
      </c>
      <c r="I2590" s="178"/>
    </row>
    <row r="2591" spans="1:9" hidden="1" outlineLevel="2" x14ac:dyDescent="0.25">
      <c r="A2591" s="175">
        <f t="shared" si="88"/>
        <v>1</v>
      </c>
      <c r="B2591" s="175" t="s">
        <v>327</v>
      </c>
      <c r="C2591" s="175" t="str">
        <f t="shared" si="87"/>
        <v>Pintura Com Tinta Fosca em Paredes Externas, 2 Demaos (Incluso fundo e massa) - Cor Cinza claro</v>
      </c>
      <c r="D2591" s="175" t="s">
        <v>2007</v>
      </c>
      <c r="E2591" s="176" t="str">
        <f>_xlfn.XLOOKUP(D2591,Insumos!$B$1:$B$764,Insumos!$C$1:$C$764)</f>
        <v>L</v>
      </c>
      <c r="F2591" s="179">
        <f>(16/110)*2</f>
        <v>0.29090909090909089</v>
      </c>
      <c r="G2591" s="407">
        <f>IF(B2591="insumo",_xlfn.XLOOKUP($D2591,Insumos!$B$1:$B$764,Insumos!$D$1:$D$764),"")</f>
        <v>45.618749999999999</v>
      </c>
      <c r="H2591" s="177" cm="1">
        <f t="array" ref="H2591">_xlfn.IFS(B2591="Serviço",SUMIFS(H2592:$H$3085,C2592:$C$3085,$C2591),B2591="Insumo",F2591*G2591,B2591="Etapa","")</f>
        <v>13.27090909090909</v>
      </c>
      <c r="I2591" s="178" t="s">
        <v>2006</v>
      </c>
    </row>
    <row r="2592" spans="1:9" outlineLevel="1" collapsed="1" x14ac:dyDescent="0.25">
      <c r="A2592" s="175">
        <f t="shared" si="88"/>
        <v>1</v>
      </c>
      <c r="B2592" s="175" t="s">
        <v>109</v>
      </c>
      <c r="C2592" s="175" t="str">
        <f t="shared" si="87"/>
        <v>Pintura Com Tinta Fosca em Paredes Externas, 2 Demaos (Incluso fundo e massa) - Cor Marrom</v>
      </c>
      <c r="D2592" s="175" t="s">
        <v>2411</v>
      </c>
      <c r="E2592" s="176" t="s">
        <v>13</v>
      </c>
      <c r="F2592" s="175"/>
      <c r="G2592" s="177" t="str">
        <f>IF(B2592="insumo",_xlfn.XLOOKUP($D2592,Insumos!$B$1:$B$764,Insumos!$D$1:$D$764),"")</f>
        <v/>
      </c>
      <c r="H2592" s="177" cm="1">
        <f t="array" ref="H2592">_xlfn.IFS(B2592="Serviço",SUMIFS(H2593:$H$3085,C2593:$C$3085,$C2592),B2592="Insumo",F2592*G2592,B2592="Etapa","")</f>
        <v>22.654450999999998</v>
      </c>
      <c r="I2592" s="178" t="s">
        <v>195</v>
      </c>
    </row>
    <row r="2593" spans="1:9" hidden="1" outlineLevel="2" x14ac:dyDescent="0.25">
      <c r="A2593" s="175">
        <f t="shared" si="88"/>
        <v>26</v>
      </c>
      <c r="B2593" s="175" t="s">
        <v>327</v>
      </c>
      <c r="C2593" s="175" t="str">
        <f t="shared" si="87"/>
        <v>Pintura Com Tinta Fosca em Paredes Externas, 2 Demaos (Incluso fundo e massa) - Cor Marrom</v>
      </c>
      <c r="D2593" s="175" t="s">
        <v>358</v>
      </c>
      <c r="E2593" s="176" t="str">
        <f>_xlfn.XLOOKUP(D2593,Insumos!$B$1:$B$764,Insumos!$C$1:$C$764)</f>
        <v>UN</v>
      </c>
      <c r="F2593" s="179">
        <v>0.1</v>
      </c>
      <c r="G2593" s="177">
        <f>IF(B2593="insumo",_xlfn.XLOOKUP($D2593,Insumos!$B$1:$B$764,Insumos!$D$1:$D$764),"")</f>
        <v>1.89</v>
      </c>
      <c r="H2593" s="177" cm="1">
        <f t="array" ref="H2593">_xlfn.IFS(B2593="Serviço",SUMIFS(H2594:$H$3085,C2594:$C$3085,$C2593),B2593="Insumo",F2593*G2593,B2593="Etapa","")</f>
        <v>0.189</v>
      </c>
      <c r="I2593" s="178"/>
    </row>
    <row r="2594" spans="1:9" hidden="1" outlineLevel="2" x14ac:dyDescent="0.25">
      <c r="A2594" s="175">
        <f t="shared" si="88"/>
        <v>20</v>
      </c>
      <c r="B2594" s="175" t="s">
        <v>327</v>
      </c>
      <c r="C2594" s="175" t="str">
        <f t="shared" si="87"/>
        <v>Pintura Com Tinta Fosca em Paredes Externas, 2 Demaos (Incluso fundo e massa) - Cor Marrom</v>
      </c>
      <c r="D2594" s="175" t="s">
        <v>830</v>
      </c>
      <c r="E2594" s="176" t="str">
        <f>_xlfn.XLOOKUP(D2594,Insumos!$B$1:$B$764,Insumos!$C$1:$C$764)</f>
        <v>KG</v>
      </c>
      <c r="F2594" s="179">
        <v>0.86670000000000003</v>
      </c>
      <c r="G2594" s="177">
        <f>IF(B2594="insumo",_xlfn.XLOOKUP($D2594,Insumos!$B$1:$B$764,Insumos!$D$1:$D$764),"")</f>
        <v>6.47</v>
      </c>
      <c r="H2594" s="177" cm="1">
        <f t="array" ref="H2594">_xlfn.IFS(B2594="Serviço",SUMIFS(H2595:$H$3085,C2595:$C$3085,$C2594),B2594="Insumo",F2594*G2594,B2594="Etapa","")</f>
        <v>5.6075489999999997</v>
      </c>
      <c r="I2594" s="178"/>
    </row>
    <row r="2595" spans="1:9" hidden="1" outlineLevel="2" x14ac:dyDescent="0.25">
      <c r="A2595" s="175">
        <f t="shared" si="88"/>
        <v>29</v>
      </c>
      <c r="B2595" s="175" t="s">
        <v>327</v>
      </c>
      <c r="C2595" s="175" t="str">
        <f t="shared" si="87"/>
        <v>Pintura Com Tinta Fosca em Paredes Externas, 2 Demaos (Incluso fundo e massa) - Cor Marrom</v>
      </c>
      <c r="D2595" s="175" t="s">
        <v>1199</v>
      </c>
      <c r="E2595" s="176" t="str">
        <f>_xlfn.XLOOKUP(D2595,Insumos!$B$1:$B$764,Insumos!$C$1:$C$764)</f>
        <v>L</v>
      </c>
      <c r="F2595" s="179">
        <v>0.1666</v>
      </c>
      <c r="G2595" s="177">
        <f>IF(B2595="insumo",_xlfn.XLOOKUP($D2595,Insumos!$B$1:$B$764,Insumos!$D$1:$D$764),"")</f>
        <v>6.47</v>
      </c>
      <c r="H2595" s="177" cm="1">
        <f t="array" ref="H2595">_xlfn.IFS(B2595="Serviço",SUMIFS(H2596:$H$3085,C2596:$C$3085,$C2595),B2595="Insumo",F2595*G2595,B2595="Etapa","")</f>
        <v>1.0779019999999999</v>
      </c>
      <c r="I2595" s="178"/>
    </row>
    <row r="2596" spans="1:9" hidden="1" outlineLevel="2" x14ac:dyDescent="0.25">
      <c r="A2596" s="175">
        <f t="shared" si="88"/>
        <v>1</v>
      </c>
      <c r="B2596" s="175" t="s">
        <v>327</v>
      </c>
      <c r="C2596" s="175" t="str">
        <f t="shared" si="87"/>
        <v>Pintura Com Tinta Fosca em Paredes Externas, 2 Demaos (Incluso fundo e massa) - Cor Marrom</v>
      </c>
      <c r="D2596" s="175" t="s">
        <v>2008</v>
      </c>
      <c r="E2596" s="176" t="str">
        <f>_xlfn.XLOOKUP(D2596,Insumos!$B$1:$B$764,Insumos!$C$1:$C$764)</f>
        <v>L</v>
      </c>
      <c r="F2596" s="179">
        <f>(16/110)*2</f>
        <v>0.29090909090909089</v>
      </c>
      <c r="G2596" s="407">
        <f>IF(B2596="insumo",_xlfn.XLOOKUP($D2596,Insumos!$B$1:$B$764,Insumos!$D$1:$D$764),"")</f>
        <v>54.243749999999999</v>
      </c>
      <c r="H2596" s="177" cm="1">
        <f t="array" ref="H2596">_xlfn.IFS(B2596="Serviço",SUMIFS(H2597:$H$3085,C2597:$C$3085,$C2596),B2596="Insumo",F2596*G2596,B2596="Etapa","")</f>
        <v>15.78</v>
      </c>
      <c r="I2596" s="178" t="s">
        <v>2006</v>
      </c>
    </row>
    <row r="2597" spans="1:9" outlineLevel="1" collapsed="1" x14ac:dyDescent="0.25">
      <c r="A2597" s="175">
        <f t="shared" si="88"/>
        <v>1</v>
      </c>
      <c r="B2597" s="175" t="s">
        <v>109</v>
      </c>
      <c r="C2597" s="175" t="str">
        <f t="shared" si="87"/>
        <v>Pintura Com  Tinta Fosca em Paredes Externas, 2 Demaos (Incluso fundo e massa) - Cor Cinza escuro</v>
      </c>
      <c r="D2597" s="175" t="s">
        <v>2412</v>
      </c>
      <c r="E2597" s="176" t="s">
        <v>13</v>
      </c>
      <c r="F2597" s="175"/>
      <c r="G2597" s="177" t="str">
        <f>IF(B2597="insumo",_xlfn.XLOOKUP($D2597,Insumos!$B$1:$B$764,Insumos!$D$1:$D$764),"")</f>
        <v/>
      </c>
      <c r="H2597" s="177" cm="1">
        <f t="array" ref="H2597">_xlfn.IFS(B2597="Serviço",SUMIFS(H2598:$H$3085,C2598:$C$3085,$C2597),B2597="Insumo",F2597*G2597,B2597="Etapa","")</f>
        <v>22.999905545454546</v>
      </c>
      <c r="I2597" s="178" t="s">
        <v>195</v>
      </c>
    </row>
    <row r="2598" spans="1:9" hidden="1" outlineLevel="2" x14ac:dyDescent="0.25">
      <c r="A2598" s="175">
        <f t="shared" si="88"/>
        <v>26</v>
      </c>
      <c r="B2598" s="175" t="s">
        <v>327</v>
      </c>
      <c r="C2598" s="175" t="str">
        <f t="shared" si="87"/>
        <v>Pintura Com  Tinta Fosca em Paredes Externas, 2 Demaos (Incluso fundo e massa) - Cor Cinza escuro</v>
      </c>
      <c r="D2598" s="175" t="s">
        <v>358</v>
      </c>
      <c r="E2598" s="176" t="str">
        <f>_xlfn.XLOOKUP(D2598,Insumos!$B$1:$B$764,Insumos!$C$1:$C$764)</f>
        <v>UN</v>
      </c>
      <c r="F2598" s="179">
        <v>0.1</v>
      </c>
      <c r="G2598" s="177">
        <f>IF(B2598="insumo",_xlfn.XLOOKUP($D2598,Insumos!$B$1:$B$764,Insumos!$D$1:$D$764),"")</f>
        <v>1.89</v>
      </c>
      <c r="H2598" s="177" cm="1">
        <f t="array" ref="H2598">_xlfn.IFS(B2598="Serviço",SUMIFS(H2599:$H$3085,C2599:$C$3085,$C2598),B2598="Insumo",F2598*G2598,B2598="Etapa","")</f>
        <v>0.189</v>
      </c>
      <c r="I2598" s="178"/>
    </row>
    <row r="2599" spans="1:9" hidden="1" outlineLevel="2" x14ac:dyDescent="0.25">
      <c r="A2599" s="175">
        <f t="shared" si="88"/>
        <v>20</v>
      </c>
      <c r="B2599" s="175" t="s">
        <v>327</v>
      </c>
      <c r="C2599" s="175" t="str">
        <f t="shared" si="87"/>
        <v>Pintura Com  Tinta Fosca em Paredes Externas, 2 Demaos (Incluso fundo e massa) - Cor Cinza escuro</v>
      </c>
      <c r="D2599" s="175" t="s">
        <v>830</v>
      </c>
      <c r="E2599" s="176" t="str">
        <f>_xlfn.XLOOKUP(D2599,Insumos!$B$1:$B$764,Insumos!$C$1:$C$764)</f>
        <v>KG</v>
      </c>
      <c r="F2599" s="179">
        <v>0.86670000000000003</v>
      </c>
      <c r="G2599" s="177">
        <f>IF(B2599="insumo",_xlfn.XLOOKUP($D2599,Insumos!$B$1:$B$764,Insumos!$D$1:$D$764),"")</f>
        <v>6.47</v>
      </c>
      <c r="H2599" s="177" cm="1">
        <f t="array" ref="H2599">_xlfn.IFS(B2599="Serviço",SUMIFS(H2600:$H$3085,C2600:$C$3085,$C2599),B2599="Insumo",F2599*G2599,B2599="Etapa","")</f>
        <v>5.6075489999999997</v>
      </c>
      <c r="I2599" s="178"/>
    </row>
    <row r="2600" spans="1:9" hidden="1" outlineLevel="2" x14ac:dyDescent="0.25">
      <c r="A2600" s="175">
        <f t="shared" si="88"/>
        <v>29</v>
      </c>
      <c r="B2600" s="175" t="s">
        <v>327</v>
      </c>
      <c r="C2600" s="175" t="str">
        <f t="shared" si="87"/>
        <v>Pintura Com  Tinta Fosca em Paredes Externas, 2 Demaos (Incluso fundo e massa) - Cor Cinza escuro</v>
      </c>
      <c r="D2600" s="175" t="s">
        <v>1199</v>
      </c>
      <c r="E2600" s="176" t="str">
        <f>_xlfn.XLOOKUP(D2600,Insumos!$B$1:$B$764,Insumos!$C$1:$C$764)</f>
        <v>L</v>
      </c>
      <c r="F2600" s="179">
        <v>0.1666</v>
      </c>
      <c r="G2600" s="177">
        <f>IF(B2600="insumo",_xlfn.XLOOKUP($D2600,Insumos!$B$1:$B$764,Insumos!$D$1:$D$764),"")</f>
        <v>6.47</v>
      </c>
      <c r="H2600" s="177" cm="1">
        <f t="array" ref="H2600">_xlfn.IFS(B2600="Serviço",SUMIFS(H2601:$H$3085,C2601:$C$3085,$C2600),B2600="Insumo",F2600*G2600,B2600="Etapa","")</f>
        <v>1.0779019999999999</v>
      </c>
      <c r="I2600" s="178"/>
    </row>
    <row r="2601" spans="1:9" hidden="1" outlineLevel="2" x14ac:dyDescent="0.25">
      <c r="A2601" s="175">
        <f t="shared" si="88"/>
        <v>1</v>
      </c>
      <c r="B2601" s="175" t="s">
        <v>327</v>
      </c>
      <c r="C2601" s="175" t="str">
        <f t="shared" si="87"/>
        <v>Pintura Com  Tinta Fosca em Paredes Externas, 2 Demaos (Incluso fundo e massa) - Cor Cinza escuro</v>
      </c>
      <c r="D2601" s="175" t="s">
        <v>2005</v>
      </c>
      <c r="E2601" s="176" t="str">
        <f>_xlfn.XLOOKUP(D2601,Insumos!$B$1:$B$764,Insumos!$C$1:$C$764)</f>
        <v>L</v>
      </c>
      <c r="F2601" s="179">
        <f>(16/110)*2</f>
        <v>0.29090909090909089</v>
      </c>
      <c r="G2601" s="408">
        <f>IF(B2601="insumo",_xlfn.XLOOKUP($D2601,Insumos!$B$1:$B$764,Insumos!$D$1:$D$764),"")</f>
        <v>55.431249999999999</v>
      </c>
      <c r="H2601" s="177" cm="1">
        <f t="array" ref="H2601">_xlfn.IFS(B2601="Serviço",SUMIFS(H2602:$H$3085,C2602:$C$3085,$C2601),B2601="Insumo",F2601*G2601,B2601="Etapa","")</f>
        <v>16.125454545454545</v>
      </c>
      <c r="I2601" s="178" t="s">
        <v>2006</v>
      </c>
    </row>
    <row r="2602" spans="1:9" outlineLevel="1" collapsed="1" x14ac:dyDescent="0.25">
      <c r="A2602" s="175">
        <f t="shared" si="88"/>
        <v>1</v>
      </c>
      <c r="B2602" s="175" t="s">
        <v>109</v>
      </c>
      <c r="C2602" s="175" t="str">
        <f t="shared" si="87"/>
        <v>Pintura Com  Tinta Fosca em Paredes Externas, 2 Demaos (Incluso fundo e massa) - Cor Branco</v>
      </c>
      <c r="D2602" s="175" t="s">
        <v>1999</v>
      </c>
      <c r="E2602" s="176" t="s">
        <v>13</v>
      </c>
      <c r="F2602" s="175"/>
      <c r="G2602" s="177" t="str">
        <f>IF(B2602="insumo",_xlfn.XLOOKUP($D2602,Insumos!$B$1:$B$764,Insumos!$D$1:$D$764),"")</f>
        <v/>
      </c>
      <c r="H2602" s="177" cm="1">
        <f t="array" ref="H2602">_xlfn.IFS(B2602="Serviço",SUMIFS(H2603:$H$3085,C2603:$C$3085,$C2602),B2602="Insumo",F2602*G2602,B2602="Etapa","")</f>
        <v>16.893036858585859</v>
      </c>
      <c r="I2602" s="178" t="s">
        <v>195</v>
      </c>
    </row>
    <row r="2603" spans="1:9" hidden="1" outlineLevel="2" x14ac:dyDescent="0.25">
      <c r="A2603" s="175">
        <f t="shared" si="88"/>
        <v>26</v>
      </c>
      <c r="B2603" s="175" t="s">
        <v>327</v>
      </c>
      <c r="C2603" s="175" t="str">
        <f t="shared" si="87"/>
        <v>Pintura Com  Tinta Fosca em Paredes Externas, 2 Demaos (Incluso fundo e massa) - Cor Branco</v>
      </c>
      <c r="D2603" s="175" t="s">
        <v>358</v>
      </c>
      <c r="E2603" s="176" t="str">
        <f>_xlfn.XLOOKUP(D2603,Insumos!$B$1:$B$764,Insumos!$C$1:$C$764)</f>
        <v>UN</v>
      </c>
      <c r="F2603" s="179">
        <v>0.1</v>
      </c>
      <c r="G2603" s="177">
        <f>IF(B2603="insumo",_xlfn.XLOOKUP($D2603,Insumos!$B$1:$B$764,Insumos!$D$1:$D$764),"")</f>
        <v>1.89</v>
      </c>
      <c r="H2603" s="177" cm="1">
        <f t="array" ref="H2603">_xlfn.IFS(B2603="Serviço",SUMIFS(H2604:$H$3085,C2604:$C$3085,$C2603),B2603="Insumo",F2603*G2603,B2603="Etapa","")</f>
        <v>0.189</v>
      </c>
      <c r="I2603" s="178"/>
    </row>
    <row r="2604" spans="1:9" hidden="1" outlineLevel="2" x14ac:dyDescent="0.25">
      <c r="A2604" s="175">
        <f t="shared" si="88"/>
        <v>20</v>
      </c>
      <c r="B2604" s="175" t="s">
        <v>327</v>
      </c>
      <c r="C2604" s="175" t="str">
        <f t="shared" si="87"/>
        <v>Pintura Com  Tinta Fosca em Paredes Externas, 2 Demaos (Incluso fundo e massa) - Cor Branco</v>
      </c>
      <c r="D2604" s="175" t="s">
        <v>830</v>
      </c>
      <c r="E2604" s="176" t="str">
        <f>_xlfn.XLOOKUP(D2604,Insumos!$B$1:$B$764,Insumos!$C$1:$C$764)</f>
        <v>KG</v>
      </c>
      <c r="F2604" s="179">
        <v>0.86670000000000003</v>
      </c>
      <c r="G2604" s="177">
        <f>IF(B2604="insumo",_xlfn.XLOOKUP($D2604,Insumos!$B$1:$B$764,Insumos!$D$1:$D$764),"")</f>
        <v>6.47</v>
      </c>
      <c r="H2604" s="177" cm="1">
        <f t="array" ref="H2604">_xlfn.IFS(B2604="Serviço",SUMIFS(H2605:$H$3085,C2605:$C$3085,$C2604),B2604="Insumo",F2604*G2604,B2604="Etapa","")</f>
        <v>5.6075489999999997</v>
      </c>
      <c r="I2604" s="178"/>
    </row>
    <row r="2605" spans="1:9" hidden="1" outlineLevel="2" x14ac:dyDescent="0.25">
      <c r="A2605" s="175">
        <f t="shared" si="88"/>
        <v>29</v>
      </c>
      <c r="B2605" s="175" t="s">
        <v>327</v>
      </c>
      <c r="C2605" s="175" t="str">
        <f t="shared" si="87"/>
        <v>Pintura Com  Tinta Fosca em Paredes Externas, 2 Demaos (Incluso fundo e massa) - Cor Branco</v>
      </c>
      <c r="D2605" s="175" t="s">
        <v>1199</v>
      </c>
      <c r="E2605" s="176" t="str">
        <f>_xlfn.XLOOKUP(D2605,Insumos!$B$1:$B$764,Insumos!$C$1:$C$764)</f>
        <v>L</v>
      </c>
      <c r="F2605" s="179">
        <v>0.1666</v>
      </c>
      <c r="G2605" s="177">
        <f>IF(B2605="insumo",_xlfn.XLOOKUP($D2605,Insumos!$B$1:$B$764,Insumos!$D$1:$D$764),"")</f>
        <v>6.47</v>
      </c>
      <c r="H2605" s="177" cm="1">
        <f t="array" ref="H2605">_xlfn.IFS(B2605="Serviço",SUMIFS(H2606:$H$3085,C2606:$C$3085,$C2605),B2605="Insumo",F2605*G2605,B2605="Etapa","")</f>
        <v>1.0779019999999999</v>
      </c>
      <c r="I2605" s="178"/>
    </row>
    <row r="2606" spans="1:9" hidden="1" outlineLevel="2" x14ac:dyDescent="0.25">
      <c r="A2606" s="175">
        <f t="shared" si="88"/>
        <v>2</v>
      </c>
      <c r="B2606" s="175" t="s">
        <v>327</v>
      </c>
      <c r="C2606" s="175" t="str">
        <f t="shared" si="87"/>
        <v>Pintura Com  Tinta Fosca em Paredes Externas, 2 Demaos (Incluso fundo e massa) - Cor Branco</v>
      </c>
      <c r="D2606" s="175" t="s">
        <v>2004</v>
      </c>
      <c r="E2606" s="176" t="str">
        <f>_xlfn.XLOOKUP(D2606,Insumos!$B$1:$B$764,Insumos!$C$1:$C$764)</f>
        <v>L</v>
      </c>
      <c r="F2606" s="179">
        <f>(16/110)*2</f>
        <v>0.29090909090909089</v>
      </c>
      <c r="G2606" s="407">
        <f>IF(B2606="insumo",_xlfn.XLOOKUP($D2606,Insumos!$B$1:$B$764,Insumos!$D$1:$D$764),"")</f>
        <v>34.43888888888889</v>
      </c>
      <c r="H2606" s="177" cm="1">
        <f t="array" ref="H2606">_xlfn.IFS(B2606="Serviço",SUMIFS(H2607:$H$3085,C2607:$C$3085,$C2606),B2606="Insumo",F2606*G2606,B2606="Etapa","")</f>
        <v>10.018585858585858</v>
      </c>
      <c r="I2606" s="178" t="s">
        <v>2006</v>
      </c>
    </row>
    <row r="2607" spans="1:9" outlineLevel="1" collapsed="1" x14ac:dyDescent="0.25">
      <c r="A2607" s="175">
        <f t="shared" si="88"/>
        <v>1</v>
      </c>
      <c r="B2607" s="175" t="s">
        <v>109</v>
      </c>
      <c r="C2607" s="175" t="str">
        <f t="shared" si="87"/>
        <v>Pintura com tinta suviflez emborrachada, 2 demãos, parede externa</v>
      </c>
      <c r="D2607" s="175" t="s">
        <v>1998</v>
      </c>
      <c r="E2607" s="176" t="s">
        <v>13</v>
      </c>
      <c r="F2607" s="175"/>
      <c r="G2607" s="177" t="str">
        <f>IF(B2607="insumo",_xlfn.XLOOKUP($D2607,Insumos!$B$1:$B$764,Insumos!$D$1:$D$764),"")</f>
        <v/>
      </c>
      <c r="H2607" s="177" cm="1">
        <f t="array" ref="H2607">_xlfn.IFS(B2607="Serviço",SUMIFS(H2608:$H$3085,C2608:$C$3085,$C2607),B2607="Insumo",F2607*G2607,B2607="Etapa","")</f>
        <v>3.3191999999999995</v>
      </c>
      <c r="I2607" s="178" t="s">
        <v>195</v>
      </c>
    </row>
    <row r="2608" spans="1:9" hidden="1" outlineLevel="2" x14ac:dyDescent="0.25">
      <c r="A2608" s="175">
        <f t="shared" si="88"/>
        <v>1</v>
      </c>
      <c r="B2608" s="175" t="s">
        <v>327</v>
      </c>
      <c r="C2608" s="175" t="str">
        <f t="shared" si="87"/>
        <v>Pintura com tinta suviflez emborrachada, 2 demãos, parede externa</v>
      </c>
      <c r="D2608" s="175" t="s">
        <v>2000</v>
      </c>
      <c r="E2608" s="176" t="str">
        <f>_xlfn.XLOOKUP(D2608,Insumos!$B$1:$B$764,Insumos!$C$1:$C$764)</f>
        <v>L</v>
      </c>
      <c r="F2608" s="179">
        <f>(18/250)*2</f>
        <v>0.14399999999999999</v>
      </c>
      <c r="G2608" s="177">
        <f>IF(B2608="insumo",_xlfn.XLOOKUP($D2608,Insumos!$B$1:$B$764,Insumos!$D$1:$D$764),"")</f>
        <v>23.049999999999997</v>
      </c>
      <c r="H2608" s="177" cm="1">
        <f t="array" ref="H2608">_xlfn.IFS(B2608="Serviço",SUMIFS(H2609:$H$3085,C2609:$C$3085,$C2608),B2608="Insumo",F2608*G2608,B2608="Etapa","")</f>
        <v>3.3191999999999995</v>
      </c>
      <c r="I2608" s="178" t="s">
        <v>2001</v>
      </c>
    </row>
    <row r="2609" spans="1:9" outlineLevel="1" collapsed="1" x14ac:dyDescent="0.25">
      <c r="A2609" s="175">
        <f t="shared" si="88"/>
        <v>1</v>
      </c>
      <c r="B2609" s="175" t="s">
        <v>109</v>
      </c>
      <c r="C2609" s="175" t="str">
        <f t="shared" si="87"/>
        <v>Pintura Com  Tinta Fosca em Paredes Externas, 1 Demaos</v>
      </c>
      <c r="D2609" s="175" t="s">
        <v>2413</v>
      </c>
      <c r="E2609" s="176" t="s">
        <v>13</v>
      </c>
      <c r="F2609" s="175"/>
      <c r="G2609" s="177" t="str">
        <f>IF(B2609="insumo",_xlfn.XLOOKUP($D2609,Insumos!$B$1:$B$764,Insumos!$D$1:$D$764),"")</f>
        <v/>
      </c>
      <c r="H2609" s="177" cm="1">
        <f t="array" ref="H2609">_xlfn.IFS(B2609="Serviço",SUMIFS(H2610:$H$3085,C2610:$C$3085,$C2609),B2609="Insumo",F2609*G2609,B2609="Etapa","")</f>
        <v>5.390434782608696</v>
      </c>
      <c r="I2609" s="178" t="s">
        <v>195</v>
      </c>
    </row>
    <row r="2610" spans="1:9" hidden="1" outlineLevel="2" x14ac:dyDescent="0.25">
      <c r="A2610" s="175">
        <f t="shared" si="88"/>
        <v>2</v>
      </c>
      <c r="B2610" s="175" t="s">
        <v>327</v>
      </c>
      <c r="C2610" s="175" t="str">
        <f t="shared" ref="C2610:C2673" si="89">IF(B2610="serviço",D2610,C2609)</f>
        <v>Pintura Com  Tinta Fosca em Paredes Externas, 1 Demaos</v>
      </c>
      <c r="D2610" s="175" t="s">
        <v>2004</v>
      </c>
      <c r="E2610" s="176" t="str">
        <f>_xlfn.XLOOKUP(D2610,Insumos!$B$1:$B$764,Insumos!$C$1:$C$764)</f>
        <v>L</v>
      </c>
      <c r="F2610" s="179">
        <f>18/115</f>
        <v>0.15652173913043479</v>
      </c>
      <c r="G2610" s="407">
        <f>IF(B2610="insumo",_xlfn.XLOOKUP($D2610,Insumos!$B$1:$B$764,Insumos!$D$1:$D$764),"")</f>
        <v>34.43888888888889</v>
      </c>
      <c r="H2610" s="177" cm="1">
        <f t="array" ref="H2610">_xlfn.IFS(B2610="Serviço",SUMIFS(H2611:$H$3085,C2611:$C$3085,$C2610),B2610="Insumo",F2610*G2610,B2610="Etapa","")</f>
        <v>5.390434782608696</v>
      </c>
      <c r="I2610" s="178" t="s">
        <v>2003</v>
      </c>
    </row>
    <row r="2611" spans="1:9" outlineLevel="1" x14ac:dyDescent="0.25">
      <c r="A2611" s="175">
        <f t="shared" si="88"/>
        <v>1</v>
      </c>
      <c r="B2611" s="175" t="s">
        <v>109</v>
      </c>
      <c r="C2611" s="175" t="str">
        <f t="shared" si="89"/>
        <v>Massa texturizada pigmentada acrilica Granelli Manchester Mínimo, cor bege escuro, em Paredes Externas, 1 Demaos</v>
      </c>
      <c r="D2611" s="175" t="s">
        <v>7347</v>
      </c>
      <c r="E2611" s="176" t="s">
        <v>13</v>
      </c>
      <c r="F2611" s="175"/>
      <c r="G2611" s="177" t="str">
        <f>IF(B2611="insumo",_xlfn.XLOOKUP($D2611,Insumos!$B$1:$B$764,Insumos!$D$1:$D$764),"")</f>
        <v/>
      </c>
      <c r="H2611" s="177" cm="1">
        <f t="array" ref="H2611">_xlfn.IFS(B2611="Serviço",SUMIFS(H2612:$H$3085,C2612:$C$3085,$C2611),B2611="Insumo",F2611*G2611,B2611="Etapa","")</f>
        <v>44.199999999999996</v>
      </c>
      <c r="I2611" s="178" t="s">
        <v>195</v>
      </c>
    </row>
    <row r="2612" spans="1:9" outlineLevel="2" x14ac:dyDescent="0.25">
      <c r="A2612" s="175">
        <f t="shared" si="88"/>
        <v>1</v>
      </c>
      <c r="B2612" s="175" t="s">
        <v>327</v>
      </c>
      <c r="C2612" s="175" t="str">
        <f t="shared" si="89"/>
        <v>Massa texturizada pigmentada acrilica Granelli Manchester Mínimo, cor bege escuro, em Paredes Externas, 1 Demaos</v>
      </c>
      <c r="D2612" s="175" t="s">
        <v>7346</v>
      </c>
      <c r="E2612" s="176" t="str">
        <f>_xlfn.XLOOKUP(D2612,Insumos!$B$1:$B$764,Insumos!$C$1:$C$764)</f>
        <v>KG</v>
      </c>
      <c r="F2612" s="179">
        <v>1.7</v>
      </c>
      <c r="G2612" s="407">
        <f>IF(B2612="insumo",_xlfn.XLOOKUP($D2612,Insumos!$B$1:$B$764,Insumos!$D$1:$D$764),"")</f>
        <v>26</v>
      </c>
      <c r="H2612" s="177" cm="1">
        <f t="array" ref="H2612">_xlfn.IFS(B2612="Serviço",SUMIFS(H2613:$H$3085,C2613:$C$3085,$C2612),B2612="Insumo",F2612*G2612,B2612="Etapa","")</f>
        <v>44.199999999999996</v>
      </c>
      <c r="I2612" s="178" t="s">
        <v>6609</v>
      </c>
    </row>
    <row r="2613" spans="1:9" outlineLevel="1" x14ac:dyDescent="0.25">
      <c r="A2613" s="175">
        <f t="shared" si="88"/>
        <v>1</v>
      </c>
      <c r="B2613" s="175" t="s">
        <v>109</v>
      </c>
      <c r="C2613" s="175" t="str">
        <f t="shared" si="89"/>
        <v>Massa texturizada pigmentada acrilica Granelli Manchester, cor marrom, Máximo em Paredes Externas, 1 Demaos</v>
      </c>
      <c r="D2613" s="175" t="s">
        <v>7348</v>
      </c>
      <c r="E2613" s="176" t="s">
        <v>13</v>
      </c>
      <c r="F2613" s="175"/>
      <c r="G2613" s="177" t="str">
        <f>IF(B2613="insumo",_xlfn.XLOOKUP($D2613,Insumos!$B$1:$B$764,Insumos!$D$1:$D$764),"")</f>
        <v/>
      </c>
      <c r="H2613" s="177" cm="1">
        <f t="array" ref="H2613">_xlfn.IFS(B2613="Serviço",SUMIFS(H2614:$H$3085,C2614:$C$3085,$C2613),B2613="Insumo",F2613*G2613,B2613="Etapa","")</f>
        <v>48</v>
      </c>
      <c r="I2613" s="178" t="s">
        <v>195</v>
      </c>
    </row>
    <row r="2614" spans="1:9" outlineLevel="2" x14ac:dyDescent="0.25">
      <c r="A2614" s="175">
        <f t="shared" si="88"/>
        <v>1</v>
      </c>
      <c r="B2614" s="175" t="s">
        <v>327</v>
      </c>
      <c r="C2614" s="175" t="str">
        <f t="shared" si="89"/>
        <v>Massa texturizada pigmentada acrilica Granelli Manchester, cor marrom, Máximo em Paredes Externas, 1 Demaos</v>
      </c>
      <c r="D2614" s="175" t="s">
        <v>7350</v>
      </c>
      <c r="E2614" s="176" t="str">
        <f>_xlfn.XLOOKUP(D2614,Insumos!$B$1:$B$764,Insumos!$C$1:$C$764)</f>
        <v>KG</v>
      </c>
      <c r="F2614" s="179">
        <v>1.6</v>
      </c>
      <c r="G2614" s="407">
        <f>IF(B2614="insumo",_xlfn.XLOOKUP($D2614,Insumos!$B$1:$B$764,Insumos!$D$1:$D$764),"")</f>
        <v>30</v>
      </c>
      <c r="H2614" s="177" cm="1">
        <f t="array" ref="H2614">_xlfn.IFS(B2614="Serviço",SUMIFS(H2615:$H$3085,C2615:$C$3085,$C2614),B2614="Insumo",F2614*G2614,B2614="Etapa","")</f>
        <v>48</v>
      </c>
      <c r="I2614" s="178" t="s">
        <v>6610</v>
      </c>
    </row>
    <row r="2615" spans="1:9" outlineLevel="1" x14ac:dyDescent="0.25">
      <c r="A2615" s="175">
        <f t="shared" si="88"/>
        <v>1</v>
      </c>
      <c r="B2615" s="175" t="s">
        <v>109</v>
      </c>
      <c r="C2615" s="175" t="str">
        <f t="shared" si="89"/>
        <v>Massa texturizada pigmentada acrilica Granelli Manchester Claro, corbege claro, em Paredes Externas, 1 Demaos</v>
      </c>
      <c r="D2615" s="175" t="s">
        <v>7349</v>
      </c>
      <c r="E2615" s="176" t="s">
        <v>13</v>
      </c>
      <c r="F2615" s="175"/>
      <c r="G2615" s="177" t="str">
        <f>IF(B2615="insumo",_xlfn.XLOOKUP($D2615,Insumos!$B$1:$B$764,Insumos!$D$1:$D$764),"")</f>
        <v/>
      </c>
      <c r="H2615" s="177" cm="1">
        <f t="array" ref="H2615">_xlfn.IFS(B2615="Serviço",SUMIFS(H2616:$H$3085,C2616:$C$3085,$C2615),B2615="Insumo",F2615*G2615,B2615="Etapa","")</f>
        <v>40</v>
      </c>
      <c r="I2615" s="178" t="s">
        <v>195</v>
      </c>
    </row>
    <row r="2616" spans="1:9" outlineLevel="2" x14ac:dyDescent="0.25">
      <c r="A2616" s="175">
        <f t="shared" si="88"/>
        <v>1</v>
      </c>
      <c r="B2616" s="175" t="s">
        <v>327</v>
      </c>
      <c r="C2616" s="175" t="str">
        <f t="shared" si="89"/>
        <v>Massa texturizada pigmentada acrilica Granelli Manchester Claro, corbege claro, em Paredes Externas, 1 Demaos</v>
      </c>
      <c r="D2616" s="175" t="s">
        <v>7351</v>
      </c>
      <c r="E2616" s="176" t="str">
        <f>_xlfn.XLOOKUP(D2616,Insumos!$B$1:$B$764,Insumos!$C$1:$C$764)</f>
        <v>KG</v>
      </c>
      <c r="F2616" s="179">
        <v>1.6</v>
      </c>
      <c r="G2616" s="407">
        <f>IF(B2616="insumo",_xlfn.XLOOKUP($D2616,Insumos!$B$1:$B$764,Insumos!$D$1:$D$764),"")</f>
        <v>25</v>
      </c>
      <c r="H2616" s="177" cm="1">
        <f t="array" ref="H2616">_xlfn.IFS(B2616="Serviço",SUMIFS(H2617:$H$3085,C2617:$C$3085,$C2616),B2616="Insumo",F2616*G2616,B2616="Etapa","")</f>
        <v>40</v>
      </c>
      <c r="I2616" s="178" t="s">
        <v>6610</v>
      </c>
    </row>
    <row r="2617" spans="1:9" outlineLevel="1" collapsed="1" x14ac:dyDescent="0.25">
      <c r="A2617" s="175">
        <f t="shared" si="88"/>
        <v>1</v>
      </c>
      <c r="B2617" s="175" t="s">
        <v>109</v>
      </c>
      <c r="C2617" s="175" t="str">
        <f t="shared" si="89"/>
        <v>Pintura com tinta acetinada, 1 demãos, parede externa</v>
      </c>
      <c r="D2617" s="175" t="s">
        <v>1997</v>
      </c>
      <c r="E2617" s="176" t="s">
        <v>13</v>
      </c>
      <c r="F2617" s="175"/>
      <c r="G2617" s="177" t="str">
        <f>IF(B2617="insumo",_xlfn.XLOOKUP($D2617,Insumos!$B$1:$B$764,Insumos!$D$1:$D$764),"")</f>
        <v/>
      </c>
      <c r="H2617" s="177" cm="1">
        <f t="array" ref="H2617">_xlfn.IFS(B2617="Serviço",SUMIFS(H2618:$H$3085,C2618:$C$3085,$C2617),B2617="Insumo",F2617*G2617,B2617="Etapa","")</f>
        <v>6.6947826086956521</v>
      </c>
      <c r="I2617" s="178" t="s">
        <v>195</v>
      </c>
    </row>
    <row r="2618" spans="1:9" hidden="1" outlineLevel="2" x14ac:dyDescent="0.25">
      <c r="A2618" s="175">
        <f t="shared" si="88"/>
        <v>2</v>
      </c>
      <c r="B2618" s="175" t="s">
        <v>327</v>
      </c>
      <c r="C2618" s="175" t="str">
        <f t="shared" si="89"/>
        <v>Pintura com tinta acetinada, 1 demãos, parede externa</v>
      </c>
      <c r="D2618" s="175" t="s">
        <v>2002</v>
      </c>
      <c r="E2618" s="176" t="str">
        <f>_xlfn.XLOOKUP(D2618,Insumos!$B$1:$B$764,Insumos!$C$1:$C$764)</f>
        <v>L</v>
      </c>
      <c r="F2618" s="179">
        <f>18/115</f>
        <v>0.15652173913043479</v>
      </c>
      <c r="G2618" s="407">
        <f>IF(B2618="insumo",_xlfn.XLOOKUP($D2618,Insumos!$B$1:$B$764,Insumos!$D$1:$D$764),"")</f>
        <v>42.772222222222219</v>
      </c>
      <c r="H2618" s="177" cm="1">
        <f t="array" ref="H2618">_xlfn.IFS(B2618="Serviço",SUMIFS(H2619:$H$3085,C2619:$C$3085,$C2618),B2618="Insumo",F2618*G2618,B2618="Etapa","")</f>
        <v>6.6947826086956521</v>
      </c>
      <c r="I2618" s="178" t="s">
        <v>2003</v>
      </c>
    </row>
    <row r="2619" spans="1:9" outlineLevel="1" collapsed="1" x14ac:dyDescent="0.25">
      <c r="A2619" s="175">
        <f t="shared" si="88"/>
        <v>1</v>
      </c>
      <c r="B2619" s="175" t="s">
        <v>109</v>
      </c>
      <c r="C2619" s="175" t="str">
        <f t="shared" si="89"/>
        <v>Pintura Com Tinta Latex Acrilica em Paredes Externas, 3 Demaos (Incluso fundo e massa) - Branco</v>
      </c>
      <c r="D2619" s="175" t="s">
        <v>2878</v>
      </c>
      <c r="E2619" s="176" t="s">
        <v>13</v>
      </c>
      <c r="F2619" s="175"/>
      <c r="G2619" s="177" t="str">
        <f>IF(B2619="insumo",_xlfn.XLOOKUP($D2619,Insumos!$B$1:$B$764,Insumos!$D$1:$D$764),"")</f>
        <v/>
      </c>
      <c r="H2619" s="177" cm="1">
        <f t="array" ref="H2619">_xlfn.IFS(B2619="Serviço",SUMIFS(H2620:$H$3085,C2620:$C$3085,$C2619),B2619="Insumo",F2619*G2619,B2619="Etapa","")</f>
        <v>24.199451</v>
      </c>
      <c r="I2619" s="178" t="s">
        <v>195</v>
      </c>
    </row>
    <row r="2620" spans="1:9" hidden="1" outlineLevel="2" x14ac:dyDescent="0.25">
      <c r="A2620" s="175">
        <f t="shared" si="88"/>
        <v>26</v>
      </c>
      <c r="B2620" s="175" t="s">
        <v>327</v>
      </c>
      <c r="C2620" s="175" t="str">
        <f t="shared" si="89"/>
        <v>Pintura Com Tinta Latex Acrilica em Paredes Externas, 3 Demaos (Incluso fundo e massa) - Branco</v>
      </c>
      <c r="D2620" s="175" t="s">
        <v>358</v>
      </c>
      <c r="E2620" s="176" t="str">
        <f>_xlfn.XLOOKUP(D2620,Insumos!$B$1:$B$764,Insumos!$C$1:$C$764)</f>
        <v>UN</v>
      </c>
      <c r="F2620" s="179">
        <v>0.1</v>
      </c>
      <c r="G2620" s="177">
        <f>IF(B2620="insumo",_xlfn.XLOOKUP($D2620,Insumos!$B$1:$B$764,Insumos!$D$1:$D$764),"")</f>
        <v>1.89</v>
      </c>
      <c r="H2620" s="177" cm="1">
        <f t="array" ref="H2620">_xlfn.IFS(B2620="Serviço",SUMIFS(H2621:$H$3085,C2621:$C$3085,$C2620),B2620="Insumo",F2620*G2620,B2620="Etapa","")</f>
        <v>0.189</v>
      </c>
      <c r="I2620" s="178"/>
    </row>
    <row r="2621" spans="1:9" hidden="1" outlineLevel="2" x14ac:dyDescent="0.25">
      <c r="A2621" s="175">
        <f t="shared" si="88"/>
        <v>20</v>
      </c>
      <c r="B2621" s="175" t="s">
        <v>327</v>
      </c>
      <c r="C2621" s="175" t="str">
        <f t="shared" si="89"/>
        <v>Pintura Com Tinta Latex Acrilica em Paredes Externas, 3 Demaos (Incluso fundo e massa) - Branco</v>
      </c>
      <c r="D2621" s="175" t="s">
        <v>830</v>
      </c>
      <c r="E2621" s="176" t="str">
        <f>_xlfn.XLOOKUP(D2621,Insumos!$B$1:$B$764,Insumos!$C$1:$C$764)</f>
        <v>KG</v>
      </c>
      <c r="F2621" s="179">
        <v>0.86670000000000003</v>
      </c>
      <c r="G2621" s="177">
        <f>IF(B2621="insumo",_xlfn.XLOOKUP($D2621,Insumos!$B$1:$B$764,Insumos!$D$1:$D$764),"")</f>
        <v>6.47</v>
      </c>
      <c r="H2621" s="177" cm="1">
        <f t="array" ref="H2621">_xlfn.IFS(B2621="Serviço",SUMIFS(H2622:$H$3085,C2622:$C$3085,$C2621),B2621="Insumo",F2621*G2621,B2621="Etapa","")</f>
        <v>5.6075489999999997</v>
      </c>
      <c r="I2621" s="178"/>
    </row>
    <row r="2622" spans="1:9" hidden="1" outlineLevel="2" x14ac:dyDescent="0.25">
      <c r="A2622" s="175">
        <f t="shared" si="88"/>
        <v>29</v>
      </c>
      <c r="B2622" s="175" t="s">
        <v>327</v>
      </c>
      <c r="C2622" s="175" t="str">
        <f t="shared" si="89"/>
        <v>Pintura Com Tinta Latex Acrilica em Paredes Externas, 3 Demaos (Incluso fundo e massa) - Branco</v>
      </c>
      <c r="D2622" s="175" t="s">
        <v>1199</v>
      </c>
      <c r="E2622" s="176" t="str">
        <f>_xlfn.XLOOKUP(D2622,Insumos!$B$1:$B$764,Insumos!$C$1:$C$764)</f>
        <v>L</v>
      </c>
      <c r="F2622" s="179">
        <v>0.1666</v>
      </c>
      <c r="G2622" s="177">
        <f>IF(B2622="insumo",_xlfn.XLOOKUP($D2622,Insumos!$B$1:$B$764,Insumos!$D$1:$D$764),"")</f>
        <v>6.47</v>
      </c>
      <c r="H2622" s="177" cm="1">
        <f t="array" ref="H2622">_xlfn.IFS(B2622="Serviço",SUMIFS(H2623:$H$3085,C2623:$C$3085,$C2622),B2622="Insumo",F2622*G2622,B2622="Etapa","")</f>
        <v>1.0779019999999999</v>
      </c>
      <c r="I2622" s="178"/>
    </row>
    <row r="2623" spans="1:9" hidden="1" outlineLevel="2" x14ac:dyDescent="0.25">
      <c r="A2623" s="175">
        <f t="shared" si="88"/>
        <v>2</v>
      </c>
      <c r="B2623" s="175" t="s">
        <v>327</v>
      </c>
      <c r="C2623" s="175" t="str">
        <f t="shared" si="89"/>
        <v>Pintura Com Tinta Latex Acrilica em Paredes Externas, 3 Demaos (Incluso fundo e massa) - Branco</v>
      </c>
      <c r="D2623" s="175" t="s">
        <v>1224</v>
      </c>
      <c r="E2623" s="176" t="str">
        <f>_xlfn.XLOOKUP(D2623,Insumos!$B$1:$B$764,Insumos!$C$1:$C$764)</f>
        <v>L</v>
      </c>
      <c r="F2623" s="179">
        <v>0.495</v>
      </c>
      <c r="G2623" s="177">
        <f>IF(B2623="insumo",_xlfn.XLOOKUP($D2623,Insumos!$B$1:$B$764,Insumos!$D$1:$D$764),"")</f>
        <v>35</v>
      </c>
      <c r="H2623" s="177" cm="1">
        <f t="array" ref="H2623">_xlfn.IFS(B2623="Serviço",SUMIFS(H2624:$H$3085,C2624:$C$3085,$C2623),B2623="Insumo",F2623*G2623,B2623="Etapa","")</f>
        <v>17.324999999999999</v>
      </c>
      <c r="I2623" s="178"/>
    </row>
    <row r="2624" spans="1:9" outlineLevel="1" collapsed="1" x14ac:dyDescent="0.25">
      <c r="A2624" s="175">
        <f t="shared" si="88"/>
        <v>1</v>
      </c>
      <c r="B2624" s="175" t="s">
        <v>109</v>
      </c>
      <c r="C2624" s="175" t="str">
        <f t="shared" si="89"/>
        <v>Pintura Com Tinta Latex Acrilica em Paredes Externas, 3 Demaos (Incluso fundo e massa) - Charcoal</v>
      </c>
      <c r="D2624" s="175" t="s">
        <v>2879</v>
      </c>
      <c r="E2624" s="176" t="s">
        <v>13</v>
      </c>
      <c r="F2624" s="175"/>
      <c r="G2624" s="177" t="str">
        <f>IF(B2624="insumo",_xlfn.XLOOKUP($D2624,Insumos!$B$1:$B$764,Insumos!$D$1:$D$764),"")</f>
        <v/>
      </c>
      <c r="H2624" s="177" cm="1">
        <f t="array" ref="H2624">_xlfn.IFS(B2624="Serviço",SUMIFS(H2625:$H$3085,C2625:$C$3085,$C2624),B2624="Insumo",F2624*G2624,B2624="Etapa","")</f>
        <v>34.099451000000002</v>
      </c>
      <c r="I2624" s="178" t="s">
        <v>195</v>
      </c>
    </row>
    <row r="2625" spans="1:9" hidden="1" outlineLevel="2" x14ac:dyDescent="0.25">
      <c r="A2625" s="175">
        <f t="shared" si="88"/>
        <v>26</v>
      </c>
      <c r="B2625" s="175" t="s">
        <v>327</v>
      </c>
      <c r="C2625" s="175" t="str">
        <f t="shared" si="89"/>
        <v>Pintura Com Tinta Latex Acrilica em Paredes Externas, 3 Demaos (Incluso fundo e massa) - Charcoal</v>
      </c>
      <c r="D2625" s="175" t="s">
        <v>358</v>
      </c>
      <c r="E2625" s="176" t="str">
        <f>_xlfn.XLOOKUP(D2625,Insumos!$B$1:$B$764,Insumos!$C$1:$C$764)</f>
        <v>UN</v>
      </c>
      <c r="F2625" s="179">
        <v>0.1</v>
      </c>
      <c r="G2625" s="177">
        <f>IF(B2625="insumo",_xlfn.XLOOKUP($D2625,Insumos!$B$1:$B$764,Insumos!$D$1:$D$764),"")</f>
        <v>1.89</v>
      </c>
      <c r="H2625" s="177" cm="1">
        <f t="array" ref="H2625">_xlfn.IFS(B2625="Serviço",SUMIFS(H2626:$H$3085,C2626:$C$3085,$C2625),B2625="Insumo",F2625*G2625,B2625="Etapa","")</f>
        <v>0.189</v>
      </c>
      <c r="I2625" s="178"/>
    </row>
    <row r="2626" spans="1:9" hidden="1" outlineLevel="2" x14ac:dyDescent="0.25">
      <c r="A2626" s="175">
        <f t="shared" ref="A2626:A2689" si="90">COUNTIFS($D$2:$D$3085,D2626,$B$2:$B$3085,B2626)</f>
        <v>20</v>
      </c>
      <c r="B2626" s="175" t="s">
        <v>327</v>
      </c>
      <c r="C2626" s="175" t="str">
        <f t="shared" si="89"/>
        <v>Pintura Com Tinta Latex Acrilica em Paredes Externas, 3 Demaos (Incluso fundo e massa) - Charcoal</v>
      </c>
      <c r="D2626" s="175" t="s">
        <v>830</v>
      </c>
      <c r="E2626" s="176" t="str">
        <f>_xlfn.XLOOKUP(D2626,Insumos!$B$1:$B$764,Insumos!$C$1:$C$764)</f>
        <v>KG</v>
      </c>
      <c r="F2626" s="179">
        <v>0.86670000000000003</v>
      </c>
      <c r="G2626" s="177">
        <f>IF(B2626="insumo",_xlfn.XLOOKUP($D2626,Insumos!$B$1:$B$764,Insumos!$D$1:$D$764),"")</f>
        <v>6.47</v>
      </c>
      <c r="H2626" s="177" cm="1">
        <f t="array" ref="H2626">_xlfn.IFS(B2626="Serviço",SUMIFS(H2627:$H$3085,C2627:$C$3085,$C2626),B2626="Insumo",F2626*G2626,B2626="Etapa","")</f>
        <v>5.6075489999999997</v>
      </c>
      <c r="I2626" s="178"/>
    </row>
    <row r="2627" spans="1:9" hidden="1" outlineLevel="2" x14ac:dyDescent="0.25">
      <c r="A2627" s="175">
        <f t="shared" si="90"/>
        <v>29</v>
      </c>
      <c r="B2627" s="175" t="s">
        <v>327</v>
      </c>
      <c r="C2627" s="175" t="str">
        <f t="shared" si="89"/>
        <v>Pintura Com Tinta Latex Acrilica em Paredes Externas, 3 Demaos (Incluso fundo e massa) - Charcoal</v>
      </c>
      <c r="D2627" s="175" t="s">
        <v>1199</v>
      </c>
      <c r="E2627" s="176" t="str">
        <f>_xlfn.XLOOKUP(D2627,Insumos!$B$1:$B$764,Insumos!$C$1:$C$764)</f>
        <v>L</v>
      </c>
      <c r="F2627" s="179">
        <v>0.1666</v>
      </c>
      <c r="G2627" s="177">
        <f>IF(B2627="insumo",_xlfn.XLOOKUP($D2627,Insumos!$B$1:$B$764,Insumos!$D$1:$D$764),"")</f>
        <v>6.47</v>
      </c>
      <c r="H2627" s="177" cm="1">
        <f t="array" ref="H2627">_xlfn.IFS(B2627="Serviço",SUMIFS(H2628:$H$3085,C2628:$C$3085,$C2627),B2627="Insumo",F2627*G2627,B2627="Etapa","")</f>
        <v>1.0779019999999999</v>
      </c>
      <c r="I2627" s="178"/>
    </row>
    <row r="2628" spans="1:9" hidden="1" outlineLevel="2" x14ac:dyDescent="0.25">
      <c r="A2628" s="175">
        <f t="shared" si="90"/>
        <v>1</v>
      </c>
      <c r="B2628" s="175" t="s">
        <v>327</v>
      </c>
      <c r="C2628" s="175" t="str">
        <f t="shared" si="89"/>
        <v>Pintura Com Tinta Latex Acrilica em Paredes Externas, 3 Demaos (Incluso fundo e massa) - Charcoal</v>
      </c>
      <c r="D2628" s="175" t="s">
        <v>2881</v>
      </c>
      <c r="E2628" s="176" t="str">
        <f>_xlfn.XLOOKUP(D2628,Insumos!$B$1:$B$764,Insumos!$C$1:$C$764)</f>
        <v>L</v>
      </c>
      <c r="F2628" s="179">
        <v>0.495</v>
      </c>
      <c r="G2628" s="177">
        <f>IF(B2628="insumo",_xlfn.XLOOKUP($D2628,Insumos!$B$1:$B$764,Insumos!$D$1:$D$764),"")</f>
        <v>55</v>
      </c>
      <c r="H2628" s="177" cm="1">
        <f t="array" ref="H2628">_xlfn.IFS(B2628="Serviço",SUMIFS(H2629:$H$3085,C2629:$C$3085,$C2628),B2628="Insumo",F2628*G2628,B2628="Etapa","")</f>
        <v>27.225000000000001</v>
      </c>
      <c r="I2628" s="178"/>
    </row>
    <row r="2629" spans="1:9" outlineLevel="1" collapsed="1" x14ac:dyDescent="0.25">
      <c r="A2629" s="175">
        <f t="shared" si="90"/>
        <v>1</v>
      </c>
      <c r="B2629" s="175" t="s">
        <v>109</v>
      </c>
      <c r="C2629" s="175" t="str">
        <f t="shared" si="89"/>
        <v>Pintura Com Tinta Latex Acrilica em Paredes Externas, 3 Demaos (Incluso fundo e massa) - Empena de concreto</v>
      </c>
      <c r="D2629" s="175" t="s">
        <v>2880</v>
      </c>
      <c r="E2629" s="176" t="s">
        <v>13</v>
      </c>
      <c r="F2629" s="175"/>
      <c r="G2629" s="177" t="str">
        <f>IF(B2629="insumo",_xlfn.XLOOKUP($D2629,Insumos!$B$1:$B$764,Insumos!$D$1:$D$764),"")</f>
        <v/>
      </c>
      <c r="H2629" s="177" cm="1">
        <f t="array" ref="H2629">_xlfn.IFS(B2629="Serviço",SUMIFS(H2630:$H$3085,C2630:$C$3085,$C2629),B2629="Insumo",F2629*G2629,B2629="Etapa","")</f>
        <v>31.624451000000001</v>
      </c>
      <c r="I2629" s="178" t="s">
        <v>195</v>
      </c>
    </row>
    <row r="2630" spans="1:9" hidden="1" outlineLevel="2" x14ac:dyDescent="0.25">
      <c r="A2630" s="175">
        <f t="shared" si="90"/>
        <v>26</v>
      </c>
      <c r="B2630" s="175" t="s">
        <v>327</v>
      </c>
      <c r="C2630" s="175" t="str">
        <f t="shared" si="89"/>
        <v>Pintura Com Tinta Latex Acrilica em Paredes Externas, 3 Demaos (Incluso fundo e massa) - Empena de concreto</v>
      </c>
      <c r="D2630" s="175" t="s">
        <v>358</v>
      </c>
      <c r="E2630" s="176" t="str">
        <f>_xlfn.XLOOKUP(D2630,Insumos!$B$1:$B$764,Insumos!$C$1:$C$764)</f>
        <v>UN</v>
      </c>
      <c r="F2630" s="179">
        <v>0.1</v>
      </c>
      <c r="G2630" s="177">
        <f>IF(B2630="insumo",_xlfn.XLOOKUP($D2630,Insumos!$B$1:$B$764,Insumos!$D$1:$D$764),"")</f>
        <v>1.89</v>
      </c>
      <c r="H2630" s="177" cm="1">
        <f t="array" ref="H2630">_xlfn.IFS(B2630="Serviço",SUMIFS(H2631:$H$3085,C2631:$C$3085,$C2630),B2630="Insumo",F2630*G2630,B2630="Etapa","")</f>
        <v>0.189</v>
      </c>
      <c r="I2630" s="178"/>
    </row>
    <row r="2631" spans="1:9" hidden="1" outlineLevel="2" x14ac:dyDescent="0.25">
      <c r="A2631" s="175">
        <f t="shared" si="90"/>
        <v>20</v>
      </c>
      <c r="B2631" s="175" t="s">
        <v>327</v>
      </c>
      <c r="C2631" s="175" t="str">
        <f t="shared" si="89"/>
        <v>Pintura Com Tinta Latex Acrilica em Paredes Externas, 3 Demaos (Incluso fundo e massa) - Empena de concreto</v>
      </c>
      <c r="D2631" s="175" t="s">
        <v>830</v>
      </c>
      <c r="E2631" s="176" t="str">
        <f>_xlfn.XLOOKUP(D2631,Insumos!$B$1:$B$764,Insumos!$C$1:$C$764)</f>
        <v>KG</v>
      </c>
      <c r="F2631" s="179">
        <v>0.86670000000000003</v>
      </c>
      <c r="G2631" s="177">
        <f>IF(B2631="insumo",_xlfn.XLOOKUP($D2631,Insumos!$B$1:$B$764,Insumos!$D$1:$D$764),"")</f>
        <v>6.47</v>
      </c>
      <c r="H2631" s="177" cm="1">
        <f t="array" ref="H2631">_xlfn.IFS(B2631="Serviço",SUMIFS(H2632:$H$3085,C2632:$C$3085,$C2631),B2631="Insumo",F2631*G2631,B2631="Etapa","")</f>
        <v>5.6075489999999997</v>
      </c>
      <c r="I2631" s="178"/>
    </row>
    <row r="2632" spans="1:9" hidden="1" outlineLevel="2" x14ac:dyDescent="0.25">
      <c r="A2632" s="175">
        <f t="shared" si="90"/>
        <v>29</v>
      </c>
      <c r="B2632" s="175" t="s">
        <v>327</v>
      </c>
      <c r="C2632" s="175" t="str">
        <f t="shared" si="89"/>
        <v>Pintura Com Tinta Latex Acrilica em Paredes Externas, 3 Demaos (Incluso fundo e massa) - Empena de concreto</v>
      </c>
      <c r="D2632" s="175" t="s">
        <v>1199</v>
      </c>
      <c r="E2632" s="176" t="str">
        <f>_xlfn.XLOOKUP(D2632,Insumos!$B$1:$B$764,Insumos!$C$1:$C$764)</f>
        <v>L</v>
      </c>
      <c r="F2632" s="179">
        <v>0.1666</v>
      </c>
      <c r="G2632" s="177">
        <f>IF(B2632="insumo",_xlfn.XLOOKUP($D2632,Insumos!$B$1:$B$764,Insumos!$D$1:$D$764),"")</f>
        <v>6.47</v>
      </c>
      <c r="H2632" s="177" cm="1">
        <f t="array" ref="H2632">_xlfn.IFS(B2632="Serviço",SUMIFS(H2633:$H$3085,C2633:$C$3085,$C2632),B2632="Insumo",F2632*G2632,B2632="Etapa","")</f>
        <v>1.0779019999999999</v>
      </c>
      <c r="I2632" s="178"/>
    </row>
    <row r="2633" spans="1:9" hidden="1" outlineLevel="2" x14ac:dyDescent="0.25">
      <c r="A2633" s="175">
        <f t="shared" si="90"/>
        <v>1</v>
      </c>
      <c r="B2633" s="175" t="s">
        <v>327</v>
      </c>
      <c r="C2633" s="175" t="str">
        <f t="shared" si="89"/>
        <v>Pintura Com Tinta Latex Acrilica em Paredes Externas, 3 Demaos (Incluso fundo e massa) - Empena de concreto</v>
      </c>
      <c r="D2633" s="175" t="s">
        <v>2882</v>
      </c>
      <c r="E2633" s="176" t="str">
        <f>_xlfn.XLOOKUP(D2633,Insumos!$B$1:$B$764,Insumos!$C$1:$C$764)</f>
        <v>L</v>
      </c>
      <c r="F2633" s="179">
        <v>0.495</v>
      </c>
      <c r="G2633" s="177">
        <f>IF(B2633="insumo",_xlfn.XLOOKUP($D2633,Insumos!$B$1:$B$764,Insumos!$D$1:$D$764),"")</f>
        <v>50</v>
      </c>
      <c r="H2633" s="177" cm="1">
        <f t="array" ref="H2633">_xlfn.IFS(B2633="Serviço",SUMIFS(H2634:$H$3085,C2634:$C$3085,$C2633),B2633="Insumo",F2633*G2633,B2633="Etapa","")</f>
        <v>24.75</v>
      </c>
      <c r="I2633" s="178"/>
    </row>
    <row r="2634" spans="1:9" outlineLevel="1" x14ac:dyDescent="0.25">
      <c r="A2634" s="175">
        <f t="shared" si="90"/>
        <v>1</v>
      </c>
      <c r="B2634" s="175" t="s">
        <v>109</v>
      </c>
      <c r="C2634" s="175" t="str">
        <f t="shared" si="89"/>
        <v>Pintura Com Tinta Latex Acrilica em Paredes Externas, 3 Demaos (Incluso fundo e massa)</v>
      </c>
      <c r="D2634" s="175" t="s">
        <v>1756</v>
      </c>
      <c r="E2634" s="176" t="s">
        <v>13</v>
      </c>
      <c r="F2634" s="175"/>
      <c r="G2634" s="177" t="str">
        <f>IF(B2634="insumo",_xlfn.XLOOKUP($D2634,Insumos!$B$1:$B$764,Insumos!$D$1:$D$764),"")</f>
        <v/>
      </c>
      <c r="H2634" s="177" cm="1">
        <f t="array" ref="H2634">_xlfn.IFS(B2634="Serviço",SUMIFS(H2635:$H$3085,C2635:$C$3085,$C2634),B2634="Insumo",F2634*G2634,B2634="Etapa","")</f>
        <v>19.001950999999998</v>
      </c>
      <c r="I2634" s="178" t="s">
        <v>195</v>
      </c>
    </row>
    <row r="2635" spans="1:9" outlineLevel="2" x14ac:dyDescent="0.25">
      <c r="A2635" s="175">
        <f t="shared" si="90"/>
        <v>26</v>
      </c>
      <c r="B2635" s="175" t="s">
        <v>327</v>
      </c>
      <c r="C2635" s="175" t="str">
        <f t="shared" si="89"/>
        <v>Pintura Com Tinta Latex Acrilica em Paredes Externas, 3 Demaos (Incluso fundo e massa)</v>
      </c>
      <c r="D2635" s="175" t="s">
        <v>358</v>
      </c>
      <c r="E2635" s="176" t="str">
        <f>_xlfn.XLOOKUP(D2635,Insumos!$B$1:$B$764,Insumos!$C$1:$C$764)</f>
        <v>UN</v>
      </c>
      <c r="F2635" s="179">
        <v>0.1</v>
      </c>
      <c r="G2635" s="177">
        <f>IF(B2635="insumo",_xlfn.XLOOKUP($D2635,Insumos!$B$1:$B$764,Insumos!$D$1:$D$764),"")</f>
        <v>1.89</v>
      </c>
      <c r="H2635" s="177" cm="1">
        <f t="array" ref="H2635">_xlfn.IFS(B2635="Serviço",SUMIFS(H2636:$H$3085,C2636:$C$3085,$C2635),B2635="Insumo",F2635*G2635,B2635="Etapa","")</f>
        <v>0.189</v>
      </c>
      <c r="I2635" s="178"/>
    </row>
    <row r="2636" spans="1:9" outlineLevel="2" x14ac:dyDescent="0.25">
      <c r="A2636" s="175">
        <f t="shared" si="90"/>
        <v>20</v>
      </c>
      <c r="B2636" s="175" t="s">
        <v>327</v>
      </c>
      <c r="C2636" s="175" t="str">
        <f t="shared" si="89"/>
        <v>Pintura Com Tinta Latex Acrilica em Paredes Externas, 3 Demaos (Incluso fundo e massa)</v>
      </c>
      <c r="D2636" s="175" t="s">
        <v>830</v>
      </c>
      <c r="E2636" s="176" t="str">
        <f>_xlfn.XLOOKUP(D2636,Insumos!$B$1:$B$764,Insumos!$C$1:$C$764)</f>
        <v>KG</v>
      </c>
      <c r="F2636" s="179">
        <v>0.86670000000000003</v>
      </c>
      <c r="G2636" s="177">
        <f>IF(B2636="insumo",_xlfn.XLOOKUP($D2636,Insumos!$B$1:$B$764,Insumos!$D$1:$D$764),"")</f>
        <v>6.47</v>
      </c>
      <c r="H2636" s="177" cm="1">
        <f t="array" ref="H2636">_xlfn.IFS(B2636="Serviço",SUMIFS(H2637:$H$3085,C2637:$C$3085,$C2636),B2636="Insumo",F2636*G2636,B2636="Etapa","")</f>
        <v>5.6075489999999997</v>
      </c>
      <c r="I2636" s="178"/>
    </row>
    <row r="2637" spans="1:9" outlineLevel="2" x14ac:dyDescent="0.25">
      <c r="A2637" s="175">
        <f t="shared" si="90"/>
        <v>29</v>
      </c>
      <c r="B2637" s="175" t="s">
        <v>327</v>
      </c>
      <c r="C2637" s="175" t="str">
        <f t="shared" si="89"/>
        <v>Pintura Com Tinta Latex Acrilica em Paredes Externas, 3 Demaos (Incluso fundo e massa)</v>
      </c>
      <c r="D2637" s="175" t="s">
        <v>1199</v>
      </c>
      <c r="E2637" s="176" t="str">
        <f>_xlfn.XLOOKUP(D2637,Insumos!$B$1:$B$764,Insumos!$C$1:$C$764)</f>
        <v>L</v>
      </c>
      <c r="F2637" s="179">
        <v>0.1666</v>
      </c>
      <c r="G2637" s="177">
        <f>IF(B2637="insumo",_xlfn.XLOOKUP($D2637,Insumos!$B$1:$B$764,Insumos!$D$1:$D$764),"")</f>
        <v>6.47</v>
      </c>
      <c r="H2637" s="177" cm="1">
        <f t="array" ref="H2637">_xlfn.IFS(B2637="Serviço",SUMIFS(H2638:$H$3085,C2638:$C$3085,$C2637),B2637="Insumo",F2637*G2637,B2637="Etapa","")</f>
        <v>1.0779019999999999</v>
      </c>
      <c r="I2637" s="178"/>
    </row>
    <row r="2638" spans="1:9" outlineLevel="2" x14ac:dyDescent="0.25">
      <c r="A2638" s="175">
        <f t="shared" si="90"/>
        <v>14</v>
      </c>
      <c r="B2638" s="175" t="s">
        <v>327</v>
      </c>
      <c r="C2638" s="175" t="str">
        <f t="shared" si="89"/>
        <v>Pintura Com Tinta Latex Acrilica em Paredes Externas, 3 Demaos (Incluso fundo e massa)</v>
      </c>
      <c r="D2638" s="175" t="s">
        <v>828</v>
      </c>
      <c r="E2638" s="176" t="str">
        <f>_xlfn.XLOOKUP(D2638,Insumos!$B$1:$B$764,Insumos!$C$1:$C$764)</f>
        <v>L</v>
      </c>
      <c r="F2638" s="179">
        <v>0.495</v>
      </c>
      <c r="G2638" s="177">
        <f>IF(B2638="insumo",_xlfn.XLOOKUP($D2638,Insumos!$B$1:$B$764,Insumos!$D$1:$D$764),"")</f>
        <v>24.5</v>
      </c>
      <c r="H2638" s="177" cm="1">
        <f t="array" ref="H2638">_xlfn.IFS(B2638="Serviço",SUMIFS(H2639:$H$3085,C2639:$C$3085,$C2638),B2638="Insumo",F2638*G2638,B2638="Etapa","")</f>
        <v>12.1275</v>
      </c>
      <c r="I2638" s="178"/>
    </row>
    <row r="2639" spans="1:9" outlineLevel="1" collapsed="1" x14ac:dyDescent="0.25">
      <c r="A2639" s="175">
        <f t="shared" si="90"/>
        <v>1</v>
      </c>
      <c r="B2639" s="175" t="s">
        <v>109</v>
      </c>
      <c r="C2639" s="175" t="str">
        <f t="shared" si="89"/>
        <v>Revestimento em Pedra Natural Aplicado em Fachadas Para Espelho da água</v>
      </c>
      <c r="D2639" s="175" t="s">
        <v>889</v>
      </c>
      <c r="E2639" s="176" t="s">
        <v>13</v>
      </c>
      <c r="F2639" s="175"/>
      <c r="G2639" s="177" t="str">
        <f>IF(B2639="insumo",_xlfn.XLOOKUP($D2639,Insumos!$B$1:$B$764,Insumos!$D$1:$D$764),"")</f>
        <v/>
      </c>
      <c r="H2639" s="177" cm="1">
        <f t="array" ref="H2639">_xlfn.IFS(B2639="Serviço",SUMIFS(H2640:$H$3085,C2640:$C$3085,$C2639),B2639="Insumo",F2639*G2639,B2639="Etapa","")</f>
        <v>582.14500000000021</v>
      </c>
      <c r="I2639" s="178" t="s">
        <v>195</v>
      </c>
    </row>
    <row r="2640" spans="1:9" hidden="1" outlineLevel="2" x14ac:dyDescent="0.25">
      <c r="A2640" s="175">
        <f t="shared" si="90"/>
        <v>1</v>
      </c>
      <c r="B2640" s="175" t="s">
        <v>327</v>
      </c>
      <c r="C2640" s="175" t="str">
        <f t="shared" si="89"/>
        <v>Revestimento em Pedra Natural Aplicado em Fachadas Para Espelho da água</v>
      </c>
      <c r="D2640" s="175" t="s">
        <v>890</v>
      </c>
      <c r="E2640" s="176" t="str">
        <f>_xlfn.XLOOKUP(D2640,Insumos!$B$1:$B$764,Insumos!$C$1:$C$764)</f>
        <v>M2</v>
      </c>
      <c r="F2640" s="179">
        <v>1.1000000000000001</v>
      </c>
      <c r="G2640" s="177">
        <f>IF(B2640="insumo",_xlfn.XLOOKUP($D2640,Insumos!$B$1:$B$764,Insumos!$D$1:$D$764),"")</f>
        <v>503</v>
      </c>
      <c r="H2640" s="177" cm="1">
        <f t="array" ref="H2640">_xlfn.IFS(B2640="Serviço",SUMIFS(H2641:$H$3085,C2641:$C$3085,$C2640),B2640="Insumo",F2640*G2640,B2640="Etapa","")</f>
        <v>553.30000000000007</v>
      </c>
      <c r="I2640" s="178"/>
    </row>
    <row r="2641" spans="1:9" hidden="1" outlineLevel="2" x14ac:dyDescent="0.25">
      <c r="A2641" s="175">
        <f t="shared" si="90"/>
        <v>118</v>
      </c>
      <c r="B2641" s="175" t="s">
        <v>327</v>
      </c>
      <c r="C2641" s="175" t="str">
        <f t="shared" si="89"/>
        <v>Revestimento em Pedra Natural Aplicado em Fachadas Para Espelho da água</v>
      </c>
      <c r="D2641" s="175" t="s">
        <v>654</v>
      </c>
      <c r="E2641" s="176" t="str">
        <f>_xlfn.XLOOKUP(D2641,Insumos!$B$1:$B$764,Insumos!$C$1:$C$764)</f>
        <v>KG</v>
      </c>
      <c r="F2641" s="179">
        <v>9</v>
      </c>
      <c r="G2641" s="177">
        <f>IF(B2641="insumo",_xlfn.XLOOKUP($D2641,Insumos!$B$1:$B$764,Insumos!$D$1:$D$764),"")</f>
        <v>2.5499999999999998</v>
      </c>
      <c r="H2641" s="177" cm="1">
        <f t="array" ref="H2641">_xlfn.IFS(B2641="Serviço",SUMIFS(H2642:$H$3085,C2642:$C$3085,$C2641),B2641="Insumo",F2641*G2641,B2641="Etapa","")</f>
        <v>22.95</v>
      </c>
      <c r="I2641" s="178"/>
    </row>
    <row r="2642" spans="1:9" hidden="1" outlineLevel="2" x14ac:dyDescent="0.25">
      <c r="A2642" s="175">
        <f t="shared" si="90"/>
        <v>78</v>
      </c>
      <c r="B2642" s="175" t="s">
        <v>327</v>
      </c>
      <c r="C2642" s="175" t="str">
        <f t="shared" si="89"/>
        <v>Revestimento em Pedra Natural Aplicado em Fachadas Para Espelho da água</v>
      </c>
      <c r="D2642" s="175" t="s">
        <v>674</v>
      </c>
      <c r="E2642" s="176" t="str">
        <f>_xlfn.XLOOKUP(D2642,Insumos!$B$1:$B$764,Insumos!$C$1:$C$764)</f>
        <v>UN</v>
      </c>
      <c r="F2642" s="179">
        <v>4</v>
      </c>
      <c r="G2642" s="177">
        <f>IF(B2642="insumo",_xlfn.XLOOKUP($D2642,Insumos!$B$1:$B$764,Insumos!$D$1:$D$764),"")</f>
        <v>0.08</v>
      </c>
      <c r="H2642" s="177" cm="1">
        <f t="array" ref="H2642">_xlfn.IFS(B2642="Serviço",SUMIFS(H2643:$H$3085,C2643:$C$3085,$C2642),B2642="Insumo",F2642*G2642,B2642="Etapa","")</f>
        <v>0.32</v>
      </c>
      <c r="I2642" s="178"/>
    </row>
    <row r="2643" spans="1:9" hidden="1" outlineLevel="2" x14ac:dyDescent="0.25">
      <c r="A2643" s="175">
        <f t="shared" si="90"/>
        <v>71</v>
      </c>
      <c r="B2643" s="175" t="s">
        <v>327</v>
      </c>
      <c r="C2643" s="175" t="str">
        <f t="shared" si="89"/>
        <v>Revestimento em Pedra Natural Aplicado em Fachadas Para Espelho da água</v>
      </c>
      <c r="D2643" s="175" t="s">
        <v>675</v>
      </c>
      <c r="E2643" s="176" t="str">
        <f>_xlfn.XLOOKUP(D2643,Insumos!$B$1:$B$764,Insumos!$C$1:$C$764)</f>
        <v>KG</v>
      </c>
      <c r="F2643" s="179">
        <v>0.5</v>
      </c>
      <c r="G2643" s="177">
        <f>IF(B2643="insumo",_xlfn.XLOOKUP($D2643,Insumos!$B$1:$B$764,Insumos!$D$1:$D$764),"")</f>
        <v>11.15</v>
      </c>
      <c r="H2643" s="177" cm="1">
        <f t="array" ref="H2643">_xlfn.IFS(B2643="Serviço",SUMIFS(H2644:$H$3085,C2644:$C$3085,$C2643),B2643="Insumo",F2643*G2643,B2643="Etapa","")</f>
        <v>5.5750000000000002</v>
      </c>
      <c r="I2643" s="178"/>
    </row>
    <row r="2644" spans="1:9" outlineLevel="1" collapsed="1" x14ac:dyDescent="0.25">
      <c r="A2644" s="175">
        <f t="shared" si="90"/>
        <v>1</v>
      </c>
      <c r="B2644" s="175" t="s">
        <v>109</v>
      </c>
      <c r="C2644" s="175" t="str">
        <f t="shared" si="89"/>
        <v>Revestimento em Pedra Natural Aplicado em Fachadas Para fogueira</v>
      </c>
      <c r="D2644" s="175" t="s">
        <v>891</v>
      </c>
      <c r="E2644" s="176" t="s">
        <v>13</v>
      </c>
      <c r="F2644" s="175"/>
      <c r="G2644" s="177" t="str">
        <f>IF(B2644="insumo",_xlfn.XLOOKUP($D2644,Insumos!$B$1:$B$764,Insumos!$D$1:$D$764),"")</f>
        <v/>
      </c>
      <c r="H2644" s="177" cm="1">
        <f t="array" ref="H2644">_xlfn.IFS(B2644="Serviço",SUMIFS(H2645:$H$3085,C2645:$C$3085,$C2644),B2644="Insumo",F2644*G2644,B2644="Etapa","")</f>
        <v>963.84500000000025</v>
      </c>
      <c r="I2644" s="178" t="s">
        <v>195</v>
      </c>
    </row>
    <row r="2645" spans="1:9" hidden="1" outlineLevel="2" x14ac:dyDescent="0.25">
      <c r="A2645" s="175">
        <f t="shared" si="90"/>
        <v>3</v>
      </c>
      <c r="B2645" s="175" t="s">
        <v>327</v>
      </c>
      <c r="C2645" s="175" t="str">
        <f t="shared" si="89"/>
        <v>Revestimento em Pedra Natural Aplicado em Fachadas Para fogueira</v>
      </c>
      <c r="D2645" s="175" t="s">
        <v>892</v>
      </c>
      <c r="E2645" s="176" t="str">
        <f>_xlfn.XLOOKUP(D2645,Insumos!$B$1:$B$764,Insumos!$C$1:$C$764)</f>
        <v>M2</v>
      </c>
      <c r="F2645" s="179">
        <v>1.1000000000000001</v>
      </c>
      <c r="G2645" s="177">
        <f>IF(B2645="insumo",_xlfn.XLOOKUP($D2645,Insumos!$B$1:$B$764,Insumos!$D$1:$D$764),"")</f>
        <v>850</v>
      </c>
      <c r="H2645" s="177" cm="1">
        <f t="array" ref="H2645">_xlfn.IFS(B2645="Serviço",SUMIFS(H2646:$H$3085,C2646:$C$3085,$C2645),B2645="Insumo",F2645*G2645,B2645="Etapa","")</f>
        <v>935.00000000000011</v>
      </c>
      <c r="I2645" s="178"/>
    </row>
    <row r="2646" spans="1:9" hidden="1" outlineLevel="2" x14ac:dyDescent="0.25">
      <c r="A2646" s="175">
        <f t="shared" si="90"/>
        <v>118</v>
      </c>
      <c r="B2646" s="175" t="s">
        <v>327</v>
      </c>
      <c r="C2646" s="175" t="str">
        <f t="shared" si="89"/>
        <v>Revestimento em Pedra Natural Aplicado em Fachadas Para fogueira</v>
      </c>
      <c r="D2646" s="175" t="s">
        <v>654</v>
      </c>
      <c r="E2646" s="176" t="str">
        <f>_xlfn.XLOOKUP(D2646,Insumos!$B$1:$B$764,Insumos!$C$1:$C$764)</f>
        <v>KG</v>
      </c>
      <c r="F2646" s="179">
        <v>9</v>
      </c>
      <c r="G2646" s="177">
        <f>IF(B2646="insumo",_xlfn.XLOOKUP($D2646,Insumos!$B$1:$B$764,Insumos!$D$1:$D$764),"")</f>
        <v>2.5499999999999998</v>
      </c>
      <c r="H2646" s="177" cm="1">
        <f t="array" ref="H2646">_xlfn.IFS(B2646="Serviço",SUMIFS(H2647:$H$3085,C2647:$C$3085,$C2646),B2646="Insumo",F2646*G2646,B2646="Etapa","")</f>
        <v>22.95</v>
      </c>
      <c r="I2646" s="178"/>
    </row>
    <row r="2647" spans="1:9" hidden="1" outlineLevel="2" x14ac:dyDescent="0.25">
      <c r="A2647" s="175">
        <f t="shared" si="90"/>
        <v>78</v>
      </c>
      <c r="B2647" s="175" t="s">
        <v>327</v>
      </c>
      <c r="C2647" s="175" t="str">
        <f t="shared" si="89"/>
        <v>Revestimento em Pedra Natural Aplicado em Fachadas Para fogueira</v>
      </c>
      <c r="D2647" s="175" t="s">
        <v>674</v>
      </c>
      <c r="E2647" s="176" t="str">
        <f>_xlfn.XLOOKUP(D2647,Insumos!$B$1:$B$764,Insumos!$C$1:$C$764)</f>
        <v>UN</v>
      </c>
      <c r="F2647" s="179">
        <v>4</v>
      </c>
      <c r="G2647" s="177">
        <f>IF(B2647="insumo",_xlfn.XLOOKUP($D2647,Insumos!$B$1:$B$764,Insumos!$D$1:$D$764),"")</f>
        <v>0.08</v>
      </c>
      <c r="H2647" s="177" cm="1">
        <f t="array" ref="H2647">_xlfn.IFS(B2647="Serviço",SUMIFS(H2648:$H$3085,C2648:$C$3085,$C2647),B2647="Insumo",F2647*G2647,B2647="Etapa","")</f>
        <v>0.32</v>
      </c>
      <c r="I2647" s="178"/>
    </row>
    <row r="2648" spans="1:9" hidden="1" outlineLevel="2" x14ac:dyDescent="0.25">
      <c r="A2648" s="175">
        <f t="shared" si="90"/>
        <v>71</v>
      </c>
      <c r="B2648" s="175" t="s">
        <v>327</v>
      </c>
      <c r="C2648" s="175" t="str">
        <f t="shared" si="89"/>
        <v>Revestimento em Pedra Natural Aplicado em Fachadas Para fogueira</v>
      </c>
      <c r="D2648" s="175" t="s">
        <v>675</v>
      </c>
      <c r="E2648" s="176" t="str">
        <f>_xlfn.XLOOKUP(D2648,Insumos!$B$1:$B$764,Insumos!$C$1:$C$764)</f>
        <v>KG</v>
      </c>
      <c r="F2648" s="179">
        <v>0.5</v>
      </c>
      <c r="G2648" s="177">
        <f>IF(B2648="insumo",_xlfn.XLOOKUP($D2648,Insumos!$B$1:$B$764,Insumos!$D$1:$D$764),"")</f>
        <v>11.15</v>
      </c>
      <c r="H2648" s="177" cm="1">
        <f t="array" ref="H2648">_xlfn.IFS(B2648="Serviço",SUMIFS(H2649:$H$3085,C2649:$C$3085,$C2648),B2648="Insumo",F2648*G2648,B2648="Etapa","")</f>
        <v>5.5750000000000002</v>
      </c>
      <c r="I2648" s="178"/>
    </row>
    <row r="2649" spans="1:9" outlineLevel="1" x14ac:dyDescent="0.25">
      <c r="A2649" s="175">
        <f t="shared" si="90"/>
        <v>1</v>
      </c>
      <c r="B2649" s="175" t="s">
        <v>109</v>
      </c>
      <c r="C2649" s="175" t="str">
        <f t="shared" si="89"/>
        <v>Revestimento em Pedra Molero Aplicado em Fachadas</v>
      </c>
      <c r="D2649" s="175" t="s">
        <v>1849</v>
      </c>
      <c r="E2649" s="176" t="s">
        <v>13</v>
      </c>
      <c r="F2649" s="175"/>
      <c r="G2649" s="177" t="str">
        <f>IF(B2649="insumo",_xlfn.XLOOKUP($D2649,Insumos!$B$1:$B$764,Insumos!$D$1:$D$764),"")</f>
        <v/>
      </c>
      <c r="H2649" s="177" cm="1">
        <f t="array" ref="H2649">_xlfn.IFS(B2649="Serviço",SUMIFS(H2650:$H$3085,C2650:$C$3085,$C2649),B2649="Insumo",F2649*G2649,B2649="Etapa","")</f>
        <v>743.84500000000025</v>
      </c>
      <c r="I2649" s="178" t="s">
        <v>195</v>
      </c>
    </row>
    <row r="2650" spans="1:9" outlineLevel="2" x14ac:dyDescent="0.25">
      <c r="A2650" s="175">
        <f t="shared" si="90"/>
        <v>1</v>
      </c>
      <c r="B2650" s="175" t="s">
        <v>327</v>
      </c>
      <c r="C2650" s="175" t="str">
        <f t="shared" si="89"/>
        <v>Revestimento em Pedra Molero Aplicado em Fachadas</v>
      </c>
      <c r="D2650" s="175" t="s">
        <v>1850</v>
      </c>
      <c r="E2650" s="176" t="str">
        <f>_xlfn.XLOOKUP(D2650,Insumos!$B$1:$B$764,Insumos!$C$1:$C$764)</f>
        <v>M2</v>
      </c>
      <c r="F2650" s="179">
        <v>1.1000000000000001</v>
      </c>
      <c r="G2650" s="177">
        <f>IF(B2650="insumo",_xlfn.XLOOKUP($D2650,Insumos!$B$1:$B$764,Insumos!$D$1:$D$764),"")</f>
        <v>650</v>
      </c>
      <c r="H2650" s="177" cm="1">
        <f t="array" ref="H2650">_xlfn.IFS(B2650="Serviço",SUMIFS(H2651:$H$3085,C2651:$C$3085,$C2650),B2650="Insumo",F2650*G2650,B2650="Etapa","")</f>
        <v>715.00000000000011</v>
      </c>
      <c r="I2650" s="178"/>
    </row>
    <row r="2651" spans="1:9" outlineLevel="2" x14ac:dyDescent="0.25">
      <c r="A2651" s="175">
        <f t="shared" si="90"/>
        <v>118</v>
      </c>
      <c r="B2651" s="175" t="s">
        <v>327</v>
      </c>
      <c r="C2651" s="175" t="str">
        <f t="shared" si="89"/>
        <v>Revestimento em Pedra Molero Aplicado em Fachadas</v>
      </c>
      <c r="D2651" s="175" t="s">
        <v>654</v>
      </c>
      <c r="E2651" s="176" t="str">
        <f>_xlfn.XLOOKUP(D2651,Insumos!$B$1:$B$764,Insumos!$C$1:$C$764)</f>
        <v>KG</v>
      </c>
      <c r="F2651" s="179">
        <v>9</v>
      </c>
      <c r="G2651" s="177">
        <f>IF(B2651="insumo",_xlfn.XLOOKUP($D2651,Insumos!$B$1:$B$764,Insumos!$D$1:$D$764),"")</f>
        <v>2.5499999999999998</v>
      </c>
      <c r="H2651" s="177" cm="1">
        <f t="array" ref="H2651">_xlfn.IFS(B2651="Serviço",SUMIFS(H2652:$H$3085,C2652:$C$3085,$C2651),B2651="Insumo",F2651*G2651,B2651="Etapa","")</f>
        <v>22.95</v>
      </c>
      <c r="I2651" s="178"/>
    </row>
    <row r="2652" spans="1:9" outlineLevel="2" x14ac:dyDescent="0.25">
      <c r="A2652" s="175">
        <f t="shared" si="90"/>
        <v>78</v>
      </c>
      <c r="B2652" s="175" t="s">
        <v>327</v>
      </c>
      <c r="C2652" s="175" t="str">
        <f t="shared" si="89"/>
        <v>Revestimento em Pedra Molero Aplicado em Fachadas</v>
      </c>
      <c r="D2652" s="175" t="s">
        <v>674</v>
      </c>
      <c r="E2652" s="176" t="str">
        <f>_xlfn.XLOOKUP(D2652,Insumos!$B$1:$B$764,Insumos!$C$1:$C$764)</f>
        <v>UN</v>
      </c>
      <c r="F2652" s="179">
        <v>4</v>
      </c>
      <c r="G2652" s="177">
        <f>IF(B2652="insumo",_xlfn.XLOOKUP($D2652,Insumos!$B$1:$B$764,Insumos!$D$1:$D$764),"")</f>
        <v>0.08</v>
      </c>
      <c r="H2652" s="177" cm="1">
        <f t="array" ref="H2652">_xlfn.IFS(B2652="Serviço",SUMIFS(H2653:$H$3085,C2653:$C$3085,$C2652),B2652="Insumo",F2652*G2652,B2652="Etapa","")</f>
        <v>0.32</v>
      </c>
      <c r="I2652" s="178"/>
    </row>
    <row r="2653" spans="1:9" outlineLevel="2" x14ac:dyDescent="0.25">
      <c r="A2653" s="175">
        <f t="shared" si="90"/>
        <v>71</v>
      </c>
      <c r="B2653" s="175" t="s">
        <v>327</v>
      </c>
      <c r="C2653" s="175" t="str">
        <f t="shared" si="89"/>
        <v>Revestimento em Pedra Molero Aplicado em Fachadas</v>
      </c>
      <c r="D2653" s="175" t="s">
        <v>675</v>
      </c>
      <c r="E2653" s="176" t="str">
        <f>_xlfn.XLOOKUP(D2653,Insumos!$B$1:$B$764,Insumos!$C$1:$C$764)</f>
        <v>KG</v>
      </c>
      <c r="F2653" s="179">
        <v>0.5</v>
      </c>
      <c r="G2653" s="177">
        <f>IF(B2653="insumo",_xlfn.XLOOKUP($D2653,Insumos!$B$1:$B$764,Insumos!$D$1:$D$764),"")</f>
        <v>11.15</v>
      </c>
      <c r="H2653" s="177" cm="1">
        <f t="array" ref="H2653">_xlfn.IFS(B2653="Serviço",SUMIFS(H2654:$H$3085,C2654:$C$3085,$C2653),B2653="Insumo",F2653*G2653,B2653="Etapa","")</f>
        <v>5.5750000000000002</v>
      </c>
      <c r="I2653" s="178"/>
    </row>
    <row r="2654" spans="1:9" outlineLevel="1" collapsed="1" x14ac:dyDescent="0.25">
      <c r="A2654" s="175">
        <f t="shared" si="90"/>
        <v>1</v>
      </c>
      <c r="B2654" s="175" t="s">
        <v>109</v>
      </c>
      <c r="C2654" s="175" t="str">
        <f t="shared" si="89"/>
        <v>Revestimento em Porcelanato Portinari Natura OFW - 100 x 100 cm , rejunte cimentício, aplicação em Fachada</v>
      </c>
      <c r="D2654" s="175" t="s">
        <v>1244</v>
      </c>
      <c r="E2654" s="176" t="s">
        <v>13</v>
      </c>
      <c r="F2654" s="175"/>
      <c r="G2654" s="177" t="str">
        <f>IF(B2654="insumo",_xlfn.XLOOKUP($D2654,Insumos!$B$1:$B$764,Insumos!$D$1:$D$764),"")</f>
        <v/>
      </c>
      <c r="H2654" s="177" cm="1">
        <f t="array" ref="H2654">_xlfn.IFS(B2654="Serviço",SUMIFS(H2655:$H$3085,C2655:$C$3085,$C2654),B2654="Insumo",F2654*G2654,B2654="Etapa","")</f>
        <v>433.14799999999997</v>
      </c>
      <c r="I2654" s="178" t="s">
        <v>195</v>
      </c>
    </row>
    <row r="2655" spans="1:9" hidden="1" outlineLevel="2" x14ac:dyDescent="0.25">
      <c r="A2655" s="175">
        <f t="shared" si="90"/>
        <v>1</v>
      </c>
      <c r="B2655" s="175" t="s">
        <v>327</v>
      </c>
      <c r="C2655" s="175" t="str">
        <f t="shared" si="89"/>
        <v>Revestimento em Porcelanato Portinari Natura OFW - 100 x 100 cm , rejunte cimentício, aplicação em Fachada</v>
      </c>
      <c r="D2655" s="175" t="s">
        <v>1188</v>
      </c>
      <c r="E2655" s="176" t="str">
        <f>_xlfn.XLOOKUP(D2655,Insumos!$B$1:$B$764,Insumos!$C$1:$C$764)</f>
        <v>M2</v>
      </c>
      <c r="F2655" s="196">
        <v>1.1000000000000001</v>
      </c>
      <c r="G2655" s="177">
        <f>IF(B2655="insumo",_xlfn.XLOOKUP($D2655,Insumos!$B$1:$B$764,Insumos!$D$1:$D$764),"")</f>
        <v>372.9</v>
      </c>
      <c r="H2655" s="177" cm="1">
        <f t="array" ref="H2655">_xlfn.IFS(B2655="Serviço",SUMIFS(H2656:$H$3085,C2656:$C$3085,$C2655),B2655="Insumo",F2655*G2655,B2655="Etapa","")</f>
        <v>410.19</v>
      </c>
      <c r="I2655" s="178"/>
    </row>
    <row r="2656" spans="1:9" hidden="1" outlineLevel="2" x14ac:dyDescent="0.25">
      <c r="A2656" s="175">
        <f t="shared" si="90"/>
        <v>118</v>
      </c>
      <c r="B2656" s="175" t="s">
        <v>327</v>
      </c>
      <c r="C2656" s="175" t="str">
        <f t="shared" si="89"/>
        <v>Revestimento em Porcelanato Portinari Natura OFW - 100 x 100 cm , rejunte cimentício, aplicação em Fachada</v>
      </c>
      <c r="D2656" s="175" t="s">
        <v>654</v>
      </c>
      <c r="E2656" s="176" t="str">
        <f>_xlfn.XLOOKUP(D2656,Insumos!$B$1:$B$764,Insumos!$C$1:$C$764)</f>
        <v>KG</v>
      </c>
      <c r="F2656" s="196">
        <v>8.8000000000000007</v>
      </c>
      <c r="G2656" s="177">
        <f>IF(B2656="insumo",_xlfn.XLOOKUP($D2656,Insumos!$B$1:$B$764,Insumos!$D$1:$D$764),"")</f>
        <v>2.5499999999999998</v>
      </c>
      <c r="H2656" s="177" cm="1">
        <f t="array" ref="H2656">_xlfn.IFS(B2656="Serviço",SUMIFS(H2657:$H$3085,C2657:$C$3085,$C2656),B2656="Insumo",F2656*G2656,B2656="Etapa","")</f>
        <v>22.44</v>
      </c>
      <c r="I2656" s="178"/>
    </row>
    <row r="2657" spans="1:9" hidden="1" outlineLevel="2" x14ac:dyDescent="0.25">
      <c r="A2657" s="175">
        <f t="shared" si="90"/>
        <v>78</v>
      </c>
      <c r="B2657" s="175" t="s">
        <v>327</v>
      </c>
      <c r="C2657" s="175" t="str">
        <f t="shared" si="89"/>
        <v>Revestimento em Porcelanato Portinari Natura OFW - 100 x 100 cm , rejunte cimentício, aplicação em Fachada</v>
      </c>
      <c r="D2657" s="175" t="s">
        <v>674</v>
      </c>
      <c r="E2657" s="176" t="str">
        <f>_xlfn.XLOOKUP(D2657,Insumos!$B$1:$B$764,Insumos!$C$1:$C$764)</f>
        <v>UN</v>
      </c>
      <c r="F2657" s="196">
        <v>1</v>
      </c>
      <c r="G2657" s="177">
        <f>IF(B2657="insumo",_xlfn.XLOOKUP($D2657,Insumos!$B$1:$B$764,Insumos!$D$1:$D$764),"")</f>
        <v>0.08</v>
      </c>
      <c r="H2657" s="177" cm="1">
        <f t="array" ref="H2657">_xlfn.IFS(B2657="Serviço",SUMIFS(H2658:$H$3085,C2658:$C$3085,$C2657),B2657="Insumo",F2657*G2657,B2657="Etapa","")</f>
        <v>0.08</v>
      </c>
      <c r="I2657" s="178"/>
    </row>
    <row r="2658" spans="1:9" hidden="1" outlineLevel="2" x14ac:dyDescent="0.25">
      <c r="A2658" s="175">
        <f t="shared" si="90"/>
        <v>19</v>
      </c>
      <c r="B2658" s="175" t="s">
        <v>327</v>
      </c>
      <c r="C2658" s="175" t="str">
        <f t="shared" si="89"/>
        <v>Revestimento em Porcelanato Portinari Natura OFW - 100 x 100 cm , rejunte cimentício, aplicação em Fachada</v>
      </c>
      <c r="D2658" s="175" t="s">
        <v>1187</v>
      </c>
      <c r="E2658" s="176" t="str">
        <f>_xlfn.XLOOKUP(D2658,Insumos!$B$1:$B$764,Insumos!$C$1:$C$764)</f>
        <v>KG</v>
      </c>
      <c r="F2658" s="196">
        <v>0.01</v>
      </c>
      <c r="G2658" s="177">
        <f>IF(B2658="insumo",_xlfn.XLOOKUP($D2658,Insumos!$B$1:$B$764,Insumos!$D$1:$D$764),"")</f>
        <v>43.8</v>
      </c>
      <c r="H2658" s="177" cm="1">
        <f t="array" ref="H2658">_xlfn.IFS(B2658="Serviço",SUMIFS(H2659:$H$3085,C2659:$C$3085,$C2658),B2658="Insumo",F2658*G2658,B2658="Etapa","")</f>
        <v>0.438</v>
      </c>
      <c r="I2658" s="178"/>
    </row>
    <row r="2659" spans="1:9" outlineLevel="1" collapsed="1" x14ac:dyDescent="0.25">
      <c r="A2659" s="175">
        <f t="shared" si="90"/>
        <v>1</v>
      </c>
      <c r="B2659" s="175" t="s">
        <v>109</v>
      </c>
      <c r="C2659" s="175" t="str">
        <f t="shared" si="89"/>
        <v>Revestimento em Porcelanato amadeirado, rejunte acrilico, aplicação em Fachada</v>
      </c>
      <c r="D2659" s="175" t="s">
        <v>1778</v>
      </c>
      <c r="E2659" s="176" t="s">
        <v>13</v>
      </c>
      <c r="F2659" s="175"/>
      <c r="G2659" s="177" t="str">
        <f>IF(B2659="insumo",_xlfn.XLOOKUP($D2659,Insumos!$B$1:$B$764,Insumos!$D$1:$D$764),"")</f>
        <v/>
      </c>
      <c r="H2659" s="177" cm="1">
        <f t="array" ref="H2659">_xlfn.IFS(B2659="Serviço",SUMIFS(H2660:$H$3085,C2660:$C$3085,$C2659),B2659="Insumo",F2659*G2659,B2659="Etapa","")</f>
        <v>204.32300000000004</v>
      </c>
      <c r="I2659" s="178" t="s">
        <v>195</v>
      </c>
    </row>
    <row r="2660" spans="1:9" hidden="1" outlineLevel="2" x14ac:dyDescent="0.25">
      <c r="A2660" s="175">
        <f t="shared" si="90"/>
        <v>1</v>
      </c>
      <c r="B2660" s="175" t="s">
        <v>327</v>
      </c>
      <c r="C2660" s="175" t="str">
        <f t="shared" si="89"/>
        <v>Revestimento em Porcelanato amadeirado, rejunte acrilico, aplicação em Fachada</v>
      </c>
      <c r="D2660" s="175" t="s">
        <v>893</v>
      </c>
      <c r="E2660" s="176" t="str">
        <f>_xlfn.XLOOKUP(D2660,Insumos!$B$1:$B$764,Insumos!$C$1:$C$764)</f>
        <v>M2</v>
      </c>
      <c r="F2660" s="196">
        <v>1.1000000000000001</v>
      </c>
      <c r="G2660" s="177">
        <f>IF(B2660="insumo",_xlfn.XLOOKUP($D2660,Insumos!$B$1:$B$764,Insumos!$D$1:$D$764),"")</f>
        <v>165</v>
      </c>
      <c r="H2660" s="177" cm="1">
        <f t="array" ref="H2660">_xlfn.IFS(B2660="Serviço",SUMIFS(H2661:$H$3085,C2661:$C$3085,$C2660),B2660="Insumo",F2660*G2660,B2660="Etapa","")</f>
        <v>181.50000000000003</v>
      </c>
      <c r="I2660" s="178"/>
    </row>
    <row r="2661" spans="1:9" hidden="1" outlineLevel="2" x14ac:dyDescent="0.25">
      <c r="A2661" s="175">
        <f t="shared" si="90"/>
        <v>118</v>
      </c>
      <c r="B2661" s="175" t="s">
        <v>327</v>
      </c>
      <c r="C2661" s="175" t="str">
        <f t="shared" si="89"/>
        <v>Revestimento em Porcelanato amadeirado, rejunte acrilico, aplicação em Fachada</v>
      </c>
      <c r="D2661" s="175" t="s">
        <v>654</v>
      </c>
      <c r="E2661" s="176" t="str">
        <f>_xlfn.XLOOKUP(D2661,Insumos!$B$1:$B$764,Insumos!$C$1:$C$764)</f>
        <v>KG</v>
      </c>
      <c r="F2661" s="196">
        <v>8.8000000000000007</v>
      </c>
      <c r="G2661" s="177">
        <f>IF(B2661="insumo",_xlfn.XLOOKUP($D2661,Insumos!$B$1:$B$764,Insumos!$D$1:$D$764),"")</f>
        <v>2.5499999999999998</v>
      </c>
      <c r="H2661" s="177" cm="1">
        <f t="array" ref="H2661">_xlfn.IFS(B2661="Serviço",SUMIFS(H2662:$H$3085,C2662:$C$3085,$C2661),B2661="Insumo",F2661*G2661,B2661="Etapa","")</f>
        <v>22.44</v>
      </c>
      <c r="I2661" s="178"/>
    </row>
    <row r="2662" spans="1:9" hidden="1" outlineLevel="2" x14ac:dyDescent="0.25">
      <c r="A2662" s="175">
        <f t="shared" si="90"/>
        <v>78</v>
      </c>
      <c r="B2662" s="175" t="s">
        <v>327</v>
      </c>
      <c r="C2662" s="175" t="str">
        <f t="shared" si="89"/>
        <v>Revestimento em Porcelanato amadeirado, rejunte acrilico, aplicação em Fachada</v>
      </c>
      <c r="D2662" s="175" t="s">
        <v>674</v>
      </c>
      <c r="E2662" s="176" t="str">
        <f>_xlfn.XLOOKUP(D2662,Insumos!$B$1:$B$764,Insumos!$C$1:$C$764)</f>
        <v>UN</v>
      </c>
      <c r="F2662" s="196">
        <v>2</v>
      </c>
      <c r="G2662" s="177">
        <f>IF(B2662="insumo",_xlfn.XLOOKUP($D2662,Insumos!$B$1:$B$764,Insumos!$D$1:$D$764),"")</f>
        <v>0.08</v>
      </c>
      <c r="H2662" s="177" cm="1">
        <f t="array" ref="H2662">_xlfn.IFS(B2662="Serviço",SUMIFS(H2663:$H$3085,C2663:$C$3085,$C2662),B2662="Insumo",F2662*G2662,B2662="Etapa","")</f>
        <v>0.16</v>
      </c>
      <c r="I2662" s="178"/>
    </row>
    <row r="2663" spans="1:9" hidden="1" outlineLevel="2" x14ac:dyDescent="0.25">
      <c r="A2663" s="175">
        <f t="shared" si="90"/>
        <v>71</v>
      </c>
      <c r="B2663" s="175" t="s">
        <v>327</v>
      </c>
      <c r="C2663" s="175" t="str">
        <f t="shared" si="89"/>
        <v>Revestimento em Porcelanato amadeirado, rejunte acrilico, aplicação em Fachada</v>
      </c>
      <c r="D2663" s="175" t="s">
        <v>675</v>
      </c>
      <c r="E2663" s="176" t="str">
        <f>_xlfn.XLOOKUP(D2663,Insumos!$B$1:$B$764,Insumos!$C$1:$C$764)</f>
        <v>KG</v>
      </c>
      <c r="F2663" s="196">
        <v>0.02</v>
      </c>
      <c r="G2663" s="177">
        <f>IF(B2663="insumo",_xlfn.XLOOKUP($D2663,Insumos!$B$1:$B$764,Insumos!$D$1:$D$764),"")</f>
        <v>11.15</v>
      </c>
      <c r="H2663" s="177" cm="1">
        <f t="array" ref="H2663">_xlfn.IFS(B2663="Serviço",SUMIFS(H2664:$H$3085,C2664:$C$3085,$C2663),B2663="Insumo",F2663*G2663,B2663="Etapa","")</f>
        <v>0.223</v>
      </c>
      <c r="I2663" s="178"/>
    </row>
    <row r="2664" spans="1:9" outlineLevel="1" collapsed="1" x14ac:dyDescent="0.25">
      <c r="A2664" s="175">
        <f t="shared" si="90"/>
        <v>1</v>
      </c>
      <c r="B2664" s="175" t="s">
        <v>109</v>
      </c>
      <c r="C2664" s="175" t="str">
        <f t="shared" si="89"/>
        <v>Revestimento em Porcelanato Portobello - 30 x 30 cm , rejunte acrilico, aplicação em Fachada</v>
      </c>
      <c r="D2664" s="175" t="s">
        <v>1777</v>
      </c>
      <c r="E2664" s="176" t="s">
        <v>13</v>
      </c>
      <c r="F2664" s="175"/>
      <c r="G2664" s="177" t="str">
        <f>IF(B2664="insumo",_xlfn.XLOOKUP($D2664,Insumos!$B$1:$B$764,Insumos!$D$1:$D$764),"")</f>
        <v/>
      </c>
      <c r="H2664" s="177" cm="1">
        <f t="array" ref="H2664">_xlfn.IFS(B2664="Serviço",SUMIFS(H2665:$H$3085,C2665:$C$3085,$C2664),B2664="Insumo",F2664*G2664,B2664="Etapa","")</f>
        <v>106.203</v>
      </c>
      <c r="I2664" s="178" t="s">
        <v>195</v>
      </c>
    </row>
    <row r="2665" spans="1:9" hidden="1" outlineLevel="2" x14ac:dyDescent="0.25">
      <c r="A2665" s="175">
        <f t="shared" si="90"/>
        <v>1</v>
      </c>
      <c r="B2665" s="175" t="s">
        <v>327</v>
      </c>
      <c r="C2665" s="175" t="str">
        <f t="shared" si="89"/>
        <v>Revestimento em Porcelanato Portobello - 30 x 30 cm , rejunte acrilico, aplicação em Fachada</v>
      </c>
      <c r="D2665" s="175" t="s">
        <v>1855</v>
      </c>
      <c r="E2665" s="176" t="str">
        <f>_xlfn.XLOOKUP(D2665,Insumos!$B$1:$B$764,Insumos!$C$1:$C$764)</f>
        <v>M2</v>
      </c>
      <c r="F2665" s="196">
        <v>1.1000000000000001</v>
      </c>
      <c r="G2665" s="177">
        <f>IF(B2665="insumo",_xlfn.XLOOKUP($D2665,Insumos!$B$1:$B$764,Insumos!$D$1:$D$764),"")</f>
        <v>75.8</v>
      </c>
      <c r="H2665" s="177" cm="1">
        <f t="array" ref="H2665">_xlfn.IFS(B2665="Serviço",SUMIFS(H2666:$H$3085,C2666:$C$3085,$C2665),B2665="Insumo",F2665*G2665,B2665="Etapa","")</f>
        <v>83.38000000000001</v>
      </c>
      <c r="I2665" s="178"/>
    </row>
    <row r="2666" spans="1:9" hidden="1" outlineLevel="2" x14ac:dyDescent="0.25">
      <c r="A2666" s="175">
        <f t="shared" si="90"/>
        <v>118</v>
      </c>
      <c r="B2666" s="175" t="s">
        <v>327</v>
      </c>
      <c r="C2666" s="175" t="str">
        <f t="shared" si="89"/>
        <v>Revestimento em Porcelanato Portobello - 30 x 30 cm , rejunte acrilico, aplicação em Fachada</v>
      </c>
      <c r="D2666" s="175" t="s">
        <v>654</v>
      </c>
      <c r="E2666" s="176" t="str">
        <f>_xlfn.XLOOKUP(D2666,Insumos!$B$1:$B$764,Insumos!$C$1:$C$764)</f>
        <v>KG</v>
      </c>
      <c r="F2666" s="196">
        <v>8.8000000000000007</v>
      </c>
      <c r="G2666" s="177">
        <f>IF(B2666="insumo",_xlfn.XLOOKUP($D2666,Insumos!$B$1:$B$764,Insumos!$D$1:$D$764),"")</f>
        <v>2.5499999999999998</v>
      </c>
      <c r="H2666" s="177" cm="1">
        <f t="array" ref="H2666">_xlfn.IFS(B2666="Serviço",SUMIFS(H2667:$H$3085,C2667:$C$3085,$C2666),B2666="Insumo",F2666*G2666,B2666="Etapa","")</f>
        <v>22.44</v>
      </c>
      <c r="I2666" s="178"/>
    </row>
    <row r="2667" spans="1:9" hidden="1" outlineLevel="2" x14ac:dyDescent="0.25">
      <c r="A2667" s="175">
        <f t="shared" si="90"/>
        <v>78</v>
      </c>
      <c r="B2667" s="175" t="s">
        <v>327</v>
      </c>
      <c r="C2667" s="175" t="str">
        <f t="shared" si="89"/>
        <v>Revestimento em Porcelanato Portobello - 30 x 30 cm , rejunte acrilico, aplicação em Fachada</v>
      </c>
      <c r="D2667" s="175" t="s">
        <v>674</v>
      </c>
      <c r="E2667" s="176" t="str">
        <f>_xlfn.XLOOKUP(D2667,Insumos!$B$1:$B$764,Insumos!$C$1:$C$764)</f>
        <v>UN</v>
      </c>
      <c r="F2667" s="196">
        <v>2</v>
      </c>
      <c r="G2667" s="177">
        <f>IF(B2667="insumo",_xlfn.XLOOKUP($D2667,Insumos!$B$1:$B$764,Insumos!$D$1:$D$764),"")</f>
        <v>0.08</v>
      </c>
      <c r="H2667" s="177" cm="1">
        <f t="array" ref="H2667">_xlfn.IFS(B2667="Serviço",SUMIFS(H2668:$H$3085,C2668:$C$3085,$C2667),B2667="Insumo",F2667*G2667,B2667="Etapa","")</f>
        <v>0.16</v>
      </c>
      <c r="I2667" s="178"/>
    </row>
    <row r="2668" spans="1:9" hidden="1" outlineLevel="2" x14ac:dyDescent="0.25">
      <c r="A2668" s="175">
        <f t="shared" si="90"/>
        <v>71</v>
      </c>
      <c r="B2668" s="175" t="s">
        <v>327</v>
      </c>
      <c r="C2668" s="175" t="str">
        <f t="shared" si="89"/>
        <v>Revestimento em Porcelanato Portobello - 30 x 30 cm , rejunte acrilico, aplicação em Fachada</v>
      </c>
      <c r="D2668" s="175" t="s">
        <v>675</v>
      </c>
      <c r="E2668" s="176" t="str">
        <f>_xlfn.XLOOKUP(D2668,Insumos!$B$1:$B$764,Insumos!$C$1:$C$764)</f>
        <v>KG</v>
      </c>
      <c r="F2668" s="196">
        <v>0.02</v>
      </c>
      <c r="G2668" s="177">
        <f>IF(B2668="insumo",_xlfn.XLOOKUP($D2668,Insumos!$B$1:$B$764,Insumos!$D$1:$D$764),"")</f>
        <v>11.15</v>
      </c>
      <c r="H2668" s="177" cm="1">
        <f t="array" ref="H2668">_xlfn.IFS(B2668="Serviço",SUMIFS(H2669:$H$3085,C2669:$C$3085,$C2668),B2668="Insumo",F2668*G2668,B2668="Etapa","")</f>
        <v>0.223</v>
      </c>
      <c r="I2668" s="178"/>
    </row>
    <row r="2669" spans="1:9" outlineLevel="1" collapsed="1" x14ac:dyDescent="0.25">
      <c r="A2669" s="175">
        <f t="shared" si="90"/>
        <v>1</v>
      </c>
      <c r="B2669" s="175" t="s">
        <v>109</v>
      </c>
      <c r="C2669" s="175" t="str">
        <f t="shared" si="89"/>
        <v>Revestimento em Porcelanato bege, rejunte acrilico, aplicação em Fachada</v>
      </c>
      <c r="D2669" s="175" t="s">
        <v>1779</v>
      </c>
      <c r="E2669" s="176" t="s">
        <v>13</v>
      </c>
      <c r="F2669" s="175"/>
      <c r="G2669" s="177" t="str">
        <f>IF(B2669="insumo",_xlfn.XLOOKUP($D2669,Insumos!$B$1:$B$764,Insumos!$D$1:$D$764),"")</f>
        <v/>
      </c>
      <c r="H2669" s="177" cm="1">
        <f t="array" ref="H2669">_xlfn.IFS(B2669="Serviço",SUMIFS(H2670:$H$3085,C2670:$C$3085,$C2669),B2669="Insumo",F2669*G2669,B2669="Etapa","")</f>
        <v>113.023</v>
      </c>
      <c r="I2669" s="178" t="s">
        <v>195</v>
      </c>
    </row>
    <row r="2670" spans="1:9" hidden="1" outlineLevel="2" x14ac:dyDescent="0.25">
      <c r="A2670" s="175">
        <f t="shared" si="90"/>
        <v>5</v>
      </c>
      <c r="B2670" s="175" t="s">
        <v>327</v>
      </c>
      <c r="C2670" s="175" t="str">
        <f t="shared" si="89"/>
        <v>Revestimento em Porcelanato bege, rejunte acrilico, aplicação em Fachada</v>
      </c>
      <c r="D2670" s="175" t="s">
        <v>768</v>
      </c>
      <c r="E2670" s="176" t="str">
        <f>_xlfn.XLOOKUP(D2670,Insumos!$B$1:$B$764,Insumos!$C$1:$C$764)</f>
        <v>M2</v>
      </c>
      <c r="F2670" s="196">
        <v>1.1000000000000001</v>
      </c>
      <c r="G2670" s="177">
        <f>IF(B2670="insumo",_xlfn.XLOOKUP($D2670,Insumos!$B$1:$B$764,Insumos!$D$1:$D$764),"")</f>
        <v>82</v>
      </c>
      <c r="H2670" s="177" cm="1">
        <f t="array" ref="H2670">_xlfn.IFS(B2670="Serviço",SUMIFS(H2671:$H$3085,C2671:$C$3085,$C2670),B2670="Insumo",F2670*G2670,B2670="Etapa","")</f>
        <v>90.2</v>
      </c>
      <c r="I2670" s="178"/>
    </row>
    <row r="2671" spans="1:9" hidden="1" outlineLevel="2" x14ac:dyDescent="0.25">
      <c r="A2671" s="175">
        <f t="shared" si="90"/>
        <v>118</v>
      </c>
      <c r="B2671" s="175" t="s">
        <v>327</v>
      </c>
      <c r="C2671" s="175" t="str">
        <f t="shared" si="89"/>
        <v>Revestimento em Porcelanato bege, rejunte acrilico, aplicação em Fachada</v>
      </c>
      <c r="D2671" s="175" t="s">
        <v>654</v>
      </c>
      <c r="E2671" s="176" t="str">
        <f>_xlfn.XLOOKUP(D2671,Insumos!$B$1:$B$764,Insumos!$C$1:$C$764)</f>
        <v>KG</v>
      </c>
      <c r="F2671" s="196">
        <v>8.8000000000000007</v>
      </c>
      <c r="G2671" s="177">
        <f>IF(B2671="insumo",_xlfn.XLOOKUP($D2671,Insumos!$B$1:$B$764,Insumos!$D$1:$D$764),"")</f>
        <v>2.5499999999999998</v>
      </c>
      <c r="H2671" s="177" cm="1">
        <f t="array" ref="H2671">_xlfn.IFS(B2671="Serviço",SUMIFS(H2672:$H$3085,C2672:$C$3085,$C2671),B2671="Insumo",F2671*G2671,B2671="Etapa","")</f>
        <v>22.44</v>
      </c>
      <c r="I2671" s="178"/>
    </row>
    <row r="2672" spans="1:9" hidden="1" outlineLevel="2" x14ac:dyDescent="0.25">
      <c r="A2672" s="175">
        <f t="shared" si="90"/>
        <v>78</v>
      </c>
      <c r="B2672" s="175" t="s">
        <v>327</v>
      </c>
      <c r="C2672" s="175" t="str">
        <f t="shared" si="89"/>
        <v>Revestimento em Porcelanato bege, rejunte acrilico, aplicação em Fachada</v>
      </c>
      <c r="D2672" s="175" t="s">
        <v>674</v>
      </c>
      <c r="E2672" s="176" t="str">
        <f>_xlfn.XLOOKUP(D2672,Insumos!$B$1:$B$764,Insumos!$C$1:$C$764)</f>
        <v>UN</v>
      </c>
      <c r="F2672" s="196">
        <v>2</v>
      </c>
      <c r="G2672" s="177">
        <f>IF(B2672="insumo",_xlfn.XLOOKUP($D2672,Insumos!$B$1:$B$764,Insumos!$D$1:$D$764),"")</f>
        <v>0.08</v>
      </c>
      <c r="H2672" s="177" cm="1">
        <f t="array" ref="H2672">_xlfn.IFS(B2672="Serviço",SUMIFS(H2673:$H$3085,C2673:$C$3085,$C2672),B2672="Insumo",F2672*G2672,B2672="Etapa","")</f>
        <v>0.16</v>
      </c>
      <c r="I2672" s="178"/>
    </row>
    <row r="2673" spans="1:9" hidden="1" outlineLevel="2" x14ac:dyDescent="0.25">
      <c r="A2673" s="175">
        <f t="shared" si="90"/>
        <v>71</v>
      </c>
      <c r="B2673" s="175" t="s">
        <v>327</v>
      </c>
      <c r="C2673" s="175" t="str">
        <f t="shared" si="89"/>
        <v>Revestimento em Porcelanato bege, rejunte acrilico, aplicação em Fachada</v>
      </c>
      <c r="D2673" s="175" t="s">
        <v>675</v>
      </c>
      <c r="E2673" s="176" t="str">
        <f>_xlfn.XLOOKUP(D2673,Insumos!$B$1:$B$764,Insumos!$C$1:$C$764)</f>
        <v>KG</v>
      </c>
      <c r="F2673" s="196">
        <v>0.02</v>
      </c>
      <c r="G2673" s="177">
        <f>IF(B2673="insumo",_xlfn.XLOOKUP($D2673,Insumos!$B$1:$B$764,Insumos!$D$1:$D$764),"")</f>
        <v>11.15</v>
      </c>
      <c r="H2673" s="177" cm="1">
        <f t="array" ref="H2673">_xlfn.IFS(B2673="Serviço",SUMIFS(H2674:$H$3085,C2674:$C$3085,$C2673),B2673="Insumo",F2673*G2673,B2673="Etapa","")</f>
        <v>0.223</v>
      </c>
      <c r="I2673" s="178"/>
    </row>
    <row r="2674" spans="1:9" outlineLevel="1" collapsed="1" x14ac:dyDescent="0.25">
      <c r="A2674" s="175">
        <f t="shared" si="90"/>
        <v>1</v>
      </c>
      <c r="B2674" s="175" t="s">
        <v>109</v>
      </c>
      <c r="C2674" s="175" t="str">
        <f t="shared" ref="C2674:C2737" si="91">IF(B2674="serviço",D2674,C2673)</f>
        <v>Revestimento em Vinilico, aplicação em Fachada - Material e  Mão de Obra</v>
      </c>
      <c r="D2674" s="175" t="s">
        <v>1851</v>
      </c>
      <c r="E2674" s="176" t="s">
        <v>13</v>
      </c>
      <c r="F2674" s="175"/>
      <c r="G2674" s="177" t="str">
        <f>IF(B2674="insumo",_xlfn.XLOOKUP($D2674,Insumos!$B$1:$B$764,Insumos!$D$1:$D$764),"")</f>
        <v/>
      </c>
      <c r="H2674" s="177" cm="1">
        <f t="array" ref="H2674">_xlfn.IFS(B2674="Serviço",SUMIFS(H2675:$H$3085,C2675:$C$3085,$C2674),B2674="Insumo",F2674*G2674,B2674="Etapa","")</f>
        <v>165</v>
      </c>
      <c r="I2674" s="178" t="s">
        <v>195</v>
      </c>
    </row>
    <row r="2675" spans="1:9" hidden="1" outlineLevel="2" x14ac:dyDescent="0.25">
      <c r="A2675" s="175">
        <f t="shared" si="90"/>
        <v>3</v>
      </c>
      <c r="B2675" s="175" t="s">
        <v>327</v>
      </c>
      <c r="C2675" s="175" t="str">
        <f t="shared" si="91"/>
        <v>Revestimento em Vinilico, aplicação em Fachada - Material e  Mão de Obra</v>
      </c>
      <c r="D2675" s="175" t="s">
        <v>792</v>
      </c>
      <c r="E2675" s="176" t="str">
        <f>_xlfn.XLOOKUP(D2675,Insumos!$B$1:$B$764,Insumos!$C$1:$C$764)</f>
        <v>M2</v>
      </c>
      <c r="F2675" s="196">
        <v>1.1000000000000001</v>
      </c>
      <c r="G2675" s="177">
        <f>IF(B2675="insumo",_xlfn.XLOOKUP($D2675,Insumos!$B$1:$B$764,Insumos!$D$1:$D$764),"")</f>
        <v>150</v>
      </c>
      <c r="H2675" s="177" cm="1">
        <f t="array" ref="H2675">_xlfn.IFS(B2675="Serviço",SUMIFS(H2676:$H$3085,C2676:$C$3085,$C2675),B2675="Insumo",F2675*G2675,B2675="Etapa","")</f>
        <v>165</v>
      </c>
      <c r="I2675" s="178"/>
    </row>
    <row r="2676" spans="1:9" outlineLevel="1" collapsed="1" x14ac:dyDescent="0.25">
      <c r="A2676" s="175">
        <f t="shared" si="90"/>
        <v>1</v>
      </c>
      <c r="B2676" s="175" t="s">
        <v>109</v>
      </c>
      <c r="C2676" s="175" t="str">
        <f t="shared" si="91"/>
        <v>Revestimento em cerâmica, rejunte acrilico, aplicação em Fachada</v>
      </c>
      <c r="D2676" s="175" t="s">
        <v>1780</v>
      </c>
      <c r="E2676" s="176" t="s">
        <v>13</v>
      </c>
      <c r="F2676" s="175"/>
      <c r="G2676" s="177" t="str">
        <f>IF(B2676="insumo",_xlfn.XLOOKUP($D2676,Insumos!$B$1:$B$764,Insumos!$D$1:$D$764),"")</f>
        <v/>
      </c>
      <c r="H2676" s="177" cm="1">
        <f t="array" ref="H2676">_xlfn.IFS(B2676="Serviço",SUMIFS(H2677:$H$3085,C2677:$C$3085,$C2676),B2676="Insumo",F2676*G2676,B2676="Etapa","")</f>
        <v>41.522999999999996</v>
      </c>
      <c r="I2676" s="178" t="s">
        <v>195</v>
      </c>
    </row>
    <row r="2677" spans="1:9" hidden="1" outlineLevel="2" x14ac:dyDescent="0.25">
      <c r="A2677" s="175">
        <f t="shared" si="90"/>
        <v>1</v>
      </c>
      <c r="B2677" s="175" t="s">
        <v>327</v>
      </c>
      <c r="C2677" s="175" t="str">
        <f t="shared" si="91"/>
        <v>Revestimento em cerâmica, rejunte acrilico, aplicação em Fachada</v>
      </c>
      <c r="D2677" s="175" t="s">
        <v>1856</v>
      </c>
      <c r="E2677" s="176" t="str">
        <f>_xlfn.XLOOKUP(D2677,Insumos!$B$1:$B$764,Insumos!$C$1:$C$764)</f>
        <v>M2</v>
      </c>
      <c r="F2677" s="196">
        <v>1.1000000000000001</v>
      </c>
      <c r="G2677" s="177">
        <f>IF(B2677="insumo",_xlfn.XLOOKUP($D2677,Insumos!$B$1:$B$764,Insumos!$D$1:$D$764),"")</f>
        <v>17</v>
      </c>
      <c r="H2677" s="177" cm="1">
        <f t="array" ref="H2677">_xlfn.IFS(B2677="Serviço",SUMIFS(H2678:$H$3085,C2678:$C$3085,$C2677),B2677="Insumo",F2677*G2677,B2677="Etapa","")</f>
        <v>18.700000000000003</v>
      </c>
      <c r="I2677" s="178"/>
    </row>
    <row r="2678" spans="1:9" hidden="1" outlineLevel="2" x14ac:dyDescent="0.25">
      <c r="A2678" s="175">
        <f t="shared" si="90"/>
        <v>118</v>
      </c>
      <c r="B2678" s="175" t="s">
        <v>327</v>
      </c>
      <c r="C2678" s="175" t="str">
        <f t="shared" si="91"/>
        <v>Revestimento em cerâmica, rejunte acrilico, aplicação em Fachada</v>
      </c>
      <c r="D2678" s="175" t="s">
        <v>654</v>
      </c>
      <c r="E2678" s="176" t="str">
        <f>_xlfn.XLOOKUP(D2678,Insumos!$B$1:$B$764,Insumos!$C$1:$C$764)</f>
        <v>KG</v>
      </c>
      <c r="F2678" s="196">
        <v>8.8000000000000007</v>
      </c>
      <c r="G2678" s="177">
        <f>IF(B2678="insumo",_xlfn.XLOOKUP($D2678,Insumos!$B$1:$B$764,Insumos!$D$1:$D$764),"")</f>
        <v>2.5499999999999998</v>
      </c>
      <c r="H2678" s="177" cm="1">
        <f t="array" ref="H2678">_xlfn.IFS(B2678="Serviço",SUMIFS(H2679:$H$3085,C2679:$C$3085,$C2678),B2678="Insumo",F2678*G2678,B2678="Etapa","")</f>
        <v>22.44</v>
      </c>
      <c r="I2678" s="178"/>
    </row>
    <row r="2679" spans="1:9" hidden="1" outlineLevel="2" x14ac:dyDescent="0.25">
      <c r="A2679" s="175">
        <f t="shared" si="90"/>
        <v>78</v>
      </c>
      <c r="B2679" s="175" t="s">
        <v>327</v>
      </c>
      <c r="C2679" s="175" t="str">
        <f t="shared" si="91"/>
        <v>Revestimento em cerâmica, rejunte acrilico, aplicação em Fachada</v>
      </c>
      <c r="D2679" s="175" t="s">
        <v>674</v>
      </c>
      <c r="E2679" s="176" t="str">
        <f>_xlfn.XLOOKUP(D2679,Insumos!$B$1:$B$764,Insumos!$C$1:$C$764)</f>
        <v>UN</v>
      </c>
      <c r="F2679" s="196">
        <v>2</v>
      </c>
      <c r="G2679" s="177">
        <f>IF(B2679="insumo",_xlfn.XLOOKUP($D2679,Insumos!$B$1:$B$764,Insumos!$D$1:$D$764),"")</f>
        <v>0.08</v>
      </c>
      <c r="H2679" s="177" cm="1">
        <f t="array" ref="H2679">_xlfn.IFS(B2679="Serviço",SUMIFS(H2680:$H$3085,C2680:$C$3085,$C2679),B2679="Insumo",F2679*G2679,B2679="Etapa","")</f>
        <v>0.16</v>
      </c>
      <c r="I2679" s="178"/>
    </row>
    <row r="2680" spans="1:9" hidden="1" outlineLevel="2" x14ac:dyDescent="0.25">
      <c r="A2680" s="175">
        <f t="shared" si="90"/>
        <v>71</v>
      </c>
      <c r="B2680" s="175" t="s">
        <v>327</v>
      </c>
      <c r="C2680" s="175" t="str">
        <f t="shared" si="91"/>
        <v>Revestimento em cerâmica, rejunte acrilico, aplicação em Fachada</v>
      </c>
      <c r="D2680" s="175" t="s">
        <v>675</v>
      </c>
      <c r="E2680" s="176" t="str">
        <f>_xlfn.XLOOKUP(D2680,Insumos!$B$1:$B$764,Insumos!$C$1:$C$764)</f>
        <v>KG</v>
      </c>
      <c r="F2680" s="196">
        <v>0.02</v>
      </c>
      <c r="G2680" s="177">
        <f>IF(B2680="insumo",_xlfn.XLOOKUP($D2680,Insumos!$B$1:$B$764,Insumos!$D$1:$D$764),"")</f>
        <v>11.15</v>
      </c>
      <c r="H2680" s="177" cm="1">
        <f t="array" ref="H2680">_xlfn.IFS(B2680="Serviço",SUMIFS(H2681:$H$3085,C2681:$C$3085,$C2680),B2680="Insumo",F2680*G2680,B2680="Etapa","")</f>
        <v>0.223</v>
      </c>
      <c r="I2680" s="178"/>
    </row>
    <row r="2681" spans="1:9" outlineLevel="1" collapsed="1" x14ac:dyDescent="0.25">
      <c r="A2681" s="175">
        <f t="shared" si="90"/>
        <v>1</v>
      </c>
      <c r="B2681" s="175" t="s">
        <v>109</v>
      </c>
      <c r="C2681" s="175" t="str">
        <f t="shared" si="91"/>
        <v>Painel metálico, aplicação em Fachada - Material e  Mão de Obra</v>
      </c>
      <c r="D2681" s="175" t="s">
        <v>1854</v>
      </c>
      <c r="E2681" s="176" t="s">
        <v>13</v>
      </c>
      <c r="F2681" s="175"/>
      <c r="G2681" s="177" t="str">
        <f>IF(B2681="insumo",_xlfn.XLOOKUP($D2681,Insumos!$B$1:$B$764,Insumos!$D$1:$D$764),"")</f>
        <v/>
      </c>
      <c r="H2681" s="177" cm="1">
        <f t="array" ref="H2681">_xlfn.IFS(B2681="Serviço",SUMIFS(H2682:$H$3085,C2682:$C$3085,$C2681),B2681="Insumo",F2681*G2681,B2681="Etapa","")</f>
        <v>720</v>
      </c>
      <c r="I2681" s="178" t="s">
        <v>195</v>
      </c>
    </row>
    <row r="2682" spans="1:9" hidden="1" outlineLevel="2" x14ac:dyDescent="0.25">
      <c r="A2682" s="175">
        <f t="shared" si="90"/>
        <v>1</v>
      </c>
      <c r="B2682" s="175" t="s">
        <v>327</v>
      </c>
      <c r="C2682" s="175" t="str">
        <f t="shared" si="91"/>
        <v>Painel metálico, aplicação em Fachada - Material e  Mão de Obra</v>
      </c>
      <c r="D2682" s="175" t="s">
        <v>1854</v>
      </c>
      <c r="E2682" s="176" t="str">
        <f>_xlfn.XLOOKUP(D2682,Insumos!$B$1:$B$764,Insumos!$C$1:$C$764)</f>
        <v>M2</v>
      </c>
      <c r="F2682" s="196">
        <v>1</v>
      </c>
      <c r="G2682" s="177">
        <f>IF(B2682="insumo",_xlfn.XLOOKUP($D2682,Insumos!$B$1:$B$764,Insumos!$D$1:$D$764),"")</f>
        <v>720</v>
      </c>
      <c r="H2682" s="177" cm="1">
        <f t="array" ref="H2682">_xlfn.IFS(B2682="Serviço",SUMIFS(H2683:$H$3085,C2683:$C$3085,$C2682),B2682="Insumo",F2682*G2682,B2682="Etapa","")</f>
        <v>720</v>
      </c>
      <c r="I2682" s="178"/>
    </row>
    <row r="2683" spans="1:9" outlineLevel="1" collapsed="1" x14ac:dyDescent="0.25">
      <c r="A2683" s="175">
        <f t="shared" si="90"/>
        <v>1</v>
      </c>
      <c r="B2683" s="175" t="s">
        <v>109</v>
      </c>
      <c r="C2683" s="175" t="str">
        <f t="shared" si="91"/>
        <v>Painel metálico perfurado, aplicação em Fachada</v>
      </c>
      <c r="D2683" s="175" t="s">
        <v>1781</v>
      </c>
      <c r="E2683" s="176" t="s">
        <v>13</v>
      </c>
      <c r="F2683" s="175"/>
      <c r="G2683" s="177" t="str">
        <f>IF(B2683="insumo",_xlfn.XLOOKUP($D2683,Insumos!$B$1:$B$764,Insumos!$D$1:$D$764),"")</f>
        <v/>
      </c>
      <c r="H2683" s="177" cm="1">
        <f t="array" ref="H2683">_xlfn.IFS(B2683="Serviço",SUMIFS(H2684:$H$3085,C2684:$C$3085,$C2683),B2683="Insumo",F2683*G2683,B2683="Etapa","")</f>
        <v>720</v>
      </c>
      <c r="I2683" s="178" t="s">
        <v>195</v>
      </c>
    </row>
    <row r="2684" spans="1:9" hidden="1" outlineLevel="2" x14ac:dyDescent="0.25">
      <c r="A2684" s="175">
        <f t="shared" si="90"/>
        <v>1</v>
      </c>
      <c r="B2684" s="175" t="s">
        <v>327</v>
      </c>
      <c r="C2684" s="175" t="str">
        <f t="shared" si="91"/>
        <v>Painel metálico perfurado, aplicação em Fachada</v>
      </c>
      <c r="D2684" s="175" t="s">
        <v>1781</v>
      </c>
      <c r="E2684" s="176" t="str">
        <f>_xlfn.XLOOKUP(D2684,Insumos!$B$1:$B$764,Insumos!$C$1:$C$764)</f>
        <v>M2</v>
      </c>
      <c r="F2684" s="196">
        <v>1</v>
      </c>
      <c r="G2684" s="177">
        <f>IF(B2684="insumo",_xlfn.XLOOKUP($D2684,Insumos!$B$1:$B$764,Insumos!$D$1:$D$764),"")</f>
        <v>720</v>
      </c>
      <c r="H2684" s="177" cm="1">
        <f t="array" ref="H2684">_xlfn.IFS(B2684="Serviço",SUMIFS(H2685:$H$3085,C2685:$C$3085,$C2684),B2684="Insumo",F2684*G2684,B2684="Etapa","")</f>
        <v>720</v>
      </c>
      <c r="I2684" s="178"/>
    </row>
    <row r="2685" spans="1:9" outlineLevel="1" collapsed="1" x14ac:dyDescent="0.25">
      <c r="A2685" s="175">
        <f t="shared" si="90"/>
        <v>1</v>
      </c>
      <c r="B2685" s="175" t="s">
        <v>109</v>
      </c>
      <c r="C2685" s="175" t="str">
        <f t="shared" si="91"/>
        <v>Revestimento em Cerâmico Tijolinho, aplicação em Fachada</v>
      </c>
      <c r="D2685" s="175" t="s">
        <v>894</v>
      </c>
      <c r="E2685" s="176" t="s">
        <v>13</v>
      </c>
      <c r="F2685" s="175"/>
      <c r="G2685" s="177" t="str">
        <f>IF(B2685="insumo",_xlfn.XLOOKUP($D2685,Insumos!$B$1:$B$764,Insumos!$D$1:$D$764),"")</f>
        <v/>
      </c>
      <c r="H2685" s="177" cm="1">
        <f t="array" ref="H2685">_xlfn.IFS(B2685="Serviço",SUMIFS(H2686:$H$3085,C2686:$C$3085,$C2685),B2685="Insumo",F2685*G2685,B2685="Etapa","")</f>
        <v>152.82599999999999</v>
      </c>
      <c r="I2685" s="178" t="s">
        <v>195</v>
      </c>
    </row>
    <row r="2686" spans="1:9" hidden="1" outlineLevel="2" x14ac:dyDescent="0.25">
      <c r="A2686" s="175">
        <f t="shared" si="90"/>
        <v>1</v>
      </c>
      <c r="B2686" s="175" t="s">
        <v>327</v>
      </c>
      <c r="C2686" s="175" t="str">
        <f t="shared" si="91"/>
        <v>Revestimento em Cerâmico Tijolinho, aplicação em Fachada</v>
      </c>
      <c r="D2686" s="175" t="s">
        <v>895</v>
      </c>
      <c r="E2686" s="176" t="str">
        <f>_xlfn.XLOOKUP(D2686,Insumos!$B$1:$B$764,Insumos!$C$1:$C$764)</f>
        <v>M2</v>
      </c>
      <c r="F2686" s="179">
        <v>1.1000000000000001</v>
      </c>
      <c r="G2686" s="177">
        <f>IF(B2686="insumo",_xlfn.XLOOKUP($D2686,Insumos!$B$1:$B$764,Insumos!$D$1:$D$764),"")</f>
        <v>112.71</v>
      </c>
      <c r="H2686" s="177" cm="1">
        <f t="array" ref="H2686">_xlfn.IFS(B2686="Serviço",SUMIFS(H2687:$H$3085,C2687:$C$3085,$C2686),B2686="Insumo",F2686*G2686,B2686="Etapa","")</f>
        <v>123.98100000000001</v>
      </c>
      <c r="I2686" s="178"/>
    </row>
    <row r="2687" spans="1:9" hidden="1" outlineLevel="2" x14ac:dyDescent="0.25">
      <c r="A2687" s="175">
        <f t="shared" si="90"/>
        <v>118</v>
      </c>
      <c r="B2687" s="175" t="s">
        <v>327</v>
      </c>
      <c r="C2687" s="175" t="str">
        <f t="shared" si="91"/>
        <v>Revestimento em Cerâmico Tijolinho, aplicação em Fachada</v>
      </c>
      <c r="D2687" s="175" t="s">
        <v>654</v>
      </c>
      <c r="E2687" s="176" t="str">
        <f>_xlfn.XLOOKUP(D2687,Insumos!$B$1:$B$764,Insumos!$C$1:$C$764)</f>
        <v>KG</v>
      </c>
      <c r="F2687" s="179">
        <v>9</v>
      </c>
      <c r="G2687" s="177">
        <f>IF(B2687="insumo",_xlfn.XLOOKUP($D2687,Insumos!$B$1:$B$764,Insumos!$D$1:$D$764),"")</f>
        <v>2.5499999999999998</v>
      </c>
      <c r="H2687" s="177" cm="1">
        <f t="array" ref="H2687">_xlfn.IFS(B2687="Serviço",SUMIFS(H2688:$H$3085,C2688:$C$3085,$C2687),B2687="Insumo",F2687*G2687,B2687="Etapa","")</f>
        <v>22.95</v>
      </c>
      <c r="I2687" s="178"/>
    </row>
    <row r="2688" spans="1:9" hidden="1" outlineLevel="2" x14ac:dyDescent="0.25">
      <c r="A2688" s="175">
        <f t="shared" si="90"/>
        <v>78</v>
      </c>
      <c r="B2688" s="175" t="s">
        <v>327</v>
      </c>
      <c r="C2688" s="175" t="str">
        <f t="shared" si="91"/>
        <v>Revestimento em Cerâmico Tijolinho, aplicação em Fachada</v>
      </c>
      <c r="D2688" s="175" t="s">
        <v>674</v>
      </c>
      <c r="E2688" s="176" t="str">
        <f>_xlfn.XLOOKUP(D2688,Insumos!$B$1:$B$764,Insumos!$C$1:$C$764)</f>
        <v>UN</v>
      </c>
      <c r="F2688" s="179">
        <v>4</v>
      </c>
      <c r="G2688" s="177">
        <f>IF(B2688="insumo",_xlfn.XLOOKUP($D2688,Insumos!$B$1:$B$764,Insumos!$D$1:$D$764),"")</f>
        <v>0.08</v>
      </c>
      <c r="H2688" s="177" cm="1">
        <f t="array" ref="H2688">_xlfn.IFS(B2688="Serviço",SUMIFS(H2689:$H$3085,C2689:$C$3085,$C2688),B2688="Insumo",F2688*G2688,B2688="Etapa","")</f>
        <v>0.32</v>
      </c>
      <c r="I2688" s="178"/>
    </row>
    <row r="2689" spans="1:9" hidden="1" outlineLevel="2" x14ac:dyDescent="0.25">
      <c r="A2689" s="175">
        <f t="shared" si="90"/>
        <v>71</v>
      </c>
      <c r="B2689" s="175" t="s">
        <v>327</v>
      </c>
      <c r="C2689" s="175" t="str">
        <f t="shared" si="91"/>
        <v>Revestimento em Cerâmico Tijolinho, aplicação em Fachada</v>
      </c>
      <c r="D2689" s="175" t="s">
        <v>675</v>
      </c>
      <c r="E2689" s="176" t="str">
        <f>_xlfn.XLOOKUP(D2689,Insumos!$B$1:$B$764,Insumos!$C$1:$C$764)</f>
        <v>KG</v>
      </c>
      <c r="F2689" s="179">
        <v>0.5</v>
      </c>
      <c r="G2689" s="177">
        <f>IF(B2689="insumo",_xlfn.XLOOKUP($D2689,Insumos!$B$1:$B$764,Insumos!$D$1:$D$764),"")</f>
        <v>11.15</v>
      </c>
      <c r="H2689" s="177" cm="1">
        <f t="array" ref="H2689">_xlfn.IFS(B2689="Serviço",SUMIFS(H2690:$H$3085,C2690:$C$3085,$C2689),B2689="Insumo",F2689*G2689,B2689="Etapa","")</f>
        <v>5.5750000000000002</v>
      </c>
      <c r="I2689" s="178"/>
    </row>
    <row r="2690" spans="1:9" outlineLevel="1" collapsed="1" x14ac:dyDescent="0.25">
      <c r="A2690" s="175">
        <f t="shared" ref="A2690:A2753" si="92">COUNTIFS($D$2:$D$3085,D2690,$B$2:$B$3085,B2690)</f>
        <v>1</v>
      </c>
      <c r="B2690" s="175" t="s">
        <v>109</v>
      </c>
      <c r="C2690" s="175" t="str">
        <f t="shared" si="91"/>
        <v>Revestimento Tresuno Concreto Ripado Cinza</v>
      </c>
      <c r="D2690" s="175" t="s">
        <v>896</v>
      </c>
      <c r="E2690" s="176" t="s">
        <v>13</v>
      </c>
      <c r="F2690" s="175"/>
      <c r="G2690" s="177" t="str">
        <f>IF(B2690="insumo",_xlfn.XLOOKUP($D2690,Insumos!$B$1:$B$764,Insumos!$D$1:$D$764),"")</f>
        <v/>
      </c>
      <c r="H2690" s="177" cm="1">
        <f t="array" ref="H2690">_xlfn.IFS(B2690="Serviço",SUMIFS(H2691:$H$3085,C2691:$C$3085,$C2690),B2690="Insumo",F2690*G2690,B2690="Etapa","")</f>
        <v>336.84499999999997</v>
      </c>
      <c r="I2690" s="178" t="s">
        <v>195</v>
      </c>
    </row>
    <row r="2691" spans="1:9" hidden="1" outlineLevel="2" x14ac:dyDescent="0.25">
      <c r="A2691" s="175">
        <f t="shared" si="92"/>
        <v>1</v>
      </c>
      <c r="B2691" s="175" t="s">
        <v>327</v>
      </c>
      <c r="C2691" s="175" t="str">
        <f t="shared" si="91"/>
        <v>Revestimento Tresuno Concreto Ripado Cinza</v>
      </c>
      <c r="D2691" s="175" t="s">
        <v>897</v>
      </c>
      <c r="E2691" s="176" t="str">
        <f>_xlfn.XLOOKUP(D2691,Insumos!$B$1:$B$764,Insumos!$C$1:$C$764)</f>
        <v>M2</v>
      </c>
      <c r="F2691" s="179">
        <v>1.1000000000000001</v>
      </c>
      <c r="G2691" s="177">
        <f>IF(B2691="insumo",_xlfn.XLOOKUP($D2691,Insumos!$B$1:$B$764,Insumos!$D$1:$D$764),"")</f>
        <v>280</v>
      </c>
      <c r="H2691" s="177" cm="1">
        <f t="array" ref="H2691">_xlfn.IFS(B2691="Serviço",SUMIFS(H2692:$H$3085,C2692:$C$3085,$C2691),B2691="Insumo",F2691*G2691,B2691="Etapa","")</f>
        <v>308</v>
      </c>
      <c r="I2691" s="178"/>
    </row>
    <row r="2692" spans="1:9" hidden="1" outlineLevel="2" x14ac:dyDescent="0.25">
      <c r="A2692" s="175">
        <f t="shared" si="92"/>
        <v>118</v>
      </c>
      <c r="B2692" s="175" t="s">
        <v>327</v>
      </c>
      <c r="C2692" s="175" t="str">
        <f t="shared" si="91"/>
        <v>Revestimento Tresuno Concreto Ripado Cinza</v>
      </c>
      <c r="D2692" s="175" t="s">
        <v>654</v>
      </c>
      <c r="E2692" s="176" t="str">
        <f>_xlfn.XLOOKUP(D2692,Insumos!$B$1:$B$764,Insumos!$C$1:$C$764)</f>
        <v>KG</v>
      </c>
      <c r="F2692" s="179">
        <v>9</v>
      </c>
      <c r="G2692" s="177">
        <f>IF(B2692="insumo",_xlfn.XLOOKUP($D2692,Insumos!$B$1:$B$764,Insumos!$D$1:$D$764),"")</f>
        <v>2.5499999999999998</v>
      </c>
      <c r="H2692" s="177" cm="1">
        <f t="array" ref="H2692">_xlfn.IFS(B2692="Serviço",SUMIFS(H2693:$H$3085,C2693:$C$3085,$C2692),B2692="Insumo",F2692*G2692,B2692="Etapa","")</f>
        <v>22.95</v>
      </c>
      <c r="I2692" s="178"/>
    </row>
    <row r="2693" spans="1:9" hidden="1" outlineLevel="2" x14ac:dyDescent="0.25">
      <c r="A2693" s="175">
        <f t="shared" si="92"/>
        <v>78</v>
      </c>
      <c r="B2693" s="175" t="s">
        <v>327</v>
      </c>
      <c r="C2693" s="175" t="str">
        <f t="shared" si="91"/>
        <v>Revestimento Tresuno Concreto Ripado Cinza</v>
      </c>
      <c r="D2693" s="175" t="s">
        <v>674</v>
      </c>
      <c r="E2693" s="176" t="str">
        <f>_xlfn.XLOOKUP(D2693,Insumos!$B$1:$B$764,Insumos!$C$1:$C$764)</f>
        <v>UN</v>
      </c>
      <c r="F2693" s="179">
        <v>4</v>
      </c>
      <c r="G2693" s="177">
        <f>IF(B2693="insumo",_xlfn.XLOOKUP($D2693,Insumos!$B$1:$B$764,Insumos!$D$1:$D$764),"")</f>
        <v>0.08</v>
      </c>
      <c r="H2693" s="177" cm="1">
        <f t="array" ref="H2693">_xlfn.IFS(B2693="Serviço",SUMIFS(H2694:$H$3085,C2694:$C$3085,$C2693),B2693="Insumo",F2693*G2693,B2693="Etapa","")</f>
        <v>0.32</v>
      </c>
      <c r="I2693" s="178"/>
    </row>
    <row r="2694" spans="1:9" hidden="1" outlineLevel="2" x14ac:dyDescent="0.25">
      <c r="A2694" s="175">
        <f t="shared" si="92"/>
        <v>71</v>
      </c>
      <c r="B2694" s="175" t="s">
        <v>327</v>
      </c>
      <c r="C2694" s="175" t="str">
        <f t="shared" si="91"/>
        <v>Revestimento Tresuno Concreto Ripado Cinza</v>
      </c>
      <c r="D2694" s="175" t="s">
        <v>675</v>
      </c>
      <c r="E2694" s="176" t="str">
        <f>_xlfn.XLOOKUP(D2694,Insumos!$B$1:$B$764,Insumos!$C$1:$C$764)</f>
        <v>KG</v>
      </c>
      <c r="F2694" s="179">
        <v>0.5</v>
      </c>
      <c r="G2694" s="177">
        <f>IF(B2694="insumo",_xlfn.XLOOKUP($D2694,Insumos!$B$1:$B$764,Insumos!$D$1:$D$764),"")</f>
        <v>11.15</v>
      </c>
      <c r="H2694" s="177" cm="1">
        <f t="array" ref="H2694">_xlfn.IFS(B2694="Serviço",SUMIFS(H2695:$H$3085,C2695:$C$3085,$C2694),B2694="Insumo",F2694*G2694,B2694="Etapa","")</f>
        <v>5.5750000000000002</v>
      </c>
      <c r="I2694" s="178"/>
    </row>
    <row r="2695" spans="1:9" outlineLevel="1" collapsed="1" x14ac:dyDescent="0.25">
      <c r="A2695" s="175">
        <f t="shared" si="92"/>
        <v>1</v>
      </c>
      <c r="B2695" s="175" t="s">
        <v>109</v>
      </c>
      <c r="C2695" s="175" t="str">
        <f t="shared" si="91"/>
        <v>Chapisco externo aplicados em alvenaria, com argamassa estabilizada, aplicação convencional.</v>
      </c>
      <c r="D2695" s="175" t="s">
        <v>898</v>
      </c>
      <c r="E2695" s="176" t="s">
        <v>13</v>
      </c>
      <c r="F2695" s="175"/>
      <c r="G2695" s="177" t="str">
        <f>IF(B2695="insumo",_xlfn.XLOOKUP($D2695,Insumos!$B$1:$B$764,Insumos!$D$1:$D$764),"")</f>
        <v/>
      </c>
      <c r="H2695" s="177" cm="1">
        <f t="array" ref="H2695">_xlfn.IFS(B2695="Serviço",SUMIFS(H2696:$H$3085,C2696:$C$3085,$C2695),B2695="Insumo",F2695*G2695,B2695="Etapa","")</f>
        <v>2.6597339999999998</v>
      </c>
      <c r="I2695" s="178" t="s">
        <v>195</v>
      </c>
    </row>
    <row r="2696" spans="1:9" ht="18" hidden="1" outlineLevel="2" x14ac:dyDescent="0.25">
      <c r="A2696" s="175">
        <f t="shared" si="92"/>
        <v>3</v>
      </c>
      <c r="B2696" s="175" t="s">
        <v>327</v>
      </c>
      <c r="C2696" s="175" t="str">
        <f t="shared" si="91"/>
        <v>Chapisco externo aplicados em alvenaria, com argamassa estabilizada, aplicação convencional.</v>
      </c>
      <c r="D2696" s="183" t="s">
        <v>658</v>
      </c>
      <c r="E2696" s="176" t="str">
        <f>_xlfn.XLOOKUP(D2696,Insumos!$B$1:$B$764,Insumos!$C$1:$C$764)</f>
        <v>M3</v>
      </c>
      <c r="F2696" s="179">
        <v>4.1999999999999997E-3</v>
      </c>
      <c r="G2696" s="177">
        <f>IF(B2696="insumo",_xlfn.XLOOKUP($D2696,Insumos!$B$1:$B$764,Insumos!$D$1:$D$764),"")</f>
        <v>633.27</v>
      </c>
      <c r="H2696" s="177" cm="1">
        <f t="array" ref="H2696">_xlfn.IFS(B2696="Serviço",SUMIFS(H2697:$H$3085,C2697:$C$3085,$C2696),B2696="Insumo",F2696*G2696,B2696="Etapa","")</f>
        <v>2.6597339999999998</v>
      </c>
      <c r="I2696" s="178"/>
    </row>
    <row r="2697" spans="1:9" outlineLevel="1" collapsed="1" x14ac:dyDescent="0.25">
      <c r="A2697" s="175">
        <f t="shared" si="92"/>
        <v>1</v>
      </c>
      <c r="B2697" s="175" t="s">
        <v>109</v>
      </c>
      <c r="C2697" s="175" t="str">
        <f t="shared" si="91"/>
        <v>Substrutura de alumínio para fachada ventilada</v>
      </c>
      <c r="D2697" s="175" t="s">
        <v>899</v>
      </c>
      <c r="E2697" s="176" t="s">
        <v>13</v>
      </c>
      <c r="F2697" s="175"/>
      <c r="G2697" s="177" t="str">
        <f>IF(B2697="insumo",_xlfn.XLOOKUP($D2697,Insumos!$B$1:$B$764,Insumos!$D$1:$D$764),"")</f>
        <v/>
      </c>
      <c r="H2697" s="177" cm="1">
        <f t="array" ref="H2697">_xlfn.IFS(B2697="Serviço",SUMIFS(H2698:$H$3085,C2698:$C$3085,$C2697),B2697="Insumo",F2697*G2697,B2697="Etapa","")</f>
        <v>702.08</v>
      </c>
      <c r="I2697" s="178" t="s">
        <v>195</v>
      </c>
    </row>
    <row r="2698" spans="1:9" hidden="1" outlineLevel="2" x14ac:dyDescent="0.25">
      <c r="A2698" s="175">
        <f t="shared" si="92"/>
        <v>1</v>
      </c>
      <c r="B2698" s="175" t="s">
        <v>327</v>
      </c>
      <c r="C2698" s="175" t="str">
        <f t="shared" si="91"/>
        <v>Substrutura de alumínio para fachada ventilada</v>
      </c>
      <c r="D2698" s="183" t="s">
        <v>900</v>
      </c>
      <c r="E2698" s="176" t="s">
        <v>13</v>
      </c>
      <c r="F2698" s="179">
        <v>1</v>
      </c>
      <c r="G2698" s="177">
        <f>IF(B2698="insumo",_xlfn.XLOOKUP($D2698,Insumos!$B$1:$B$764,Insumos!$D$1:$D$764),"")</f>
        <v>702.08</v>
      </c>
      <c r="H2698" s="177" cm="1">
        <f t="array" ref="H2698">_xlfn.IFS(B2698="Serviço",SUMIFS(H2699:$H$3085,C2699:$C$3085,$C2698),B2698="Insumo",F2698*G2698,B2698="Etapa","")</f>
        <v>702.08</v>
      </c>
      <c r="I2698" s="178"/>
    </row>
    <row r="2699" spans="1:9" outlineLevel="1" x14ac:dyDescent="0.25">
      <c r="A2699" s="175">
        <f t="shared" si="92"/>
        <v>1</v>
      </c>
      <c r="B2699" s="175" t="s">
        <v>109</v>
      </c>
      <c r="C2699" s="175" t="str">
        <f t="shared" si="91"/>
        <v>Acabamento em Porcelanato 1,20x60 para fachada ventilada</v>
      </c>
      <c r="D2699" s="175" t="s">
        <v>901</v>
      </c>
      <c r="E2699" s="176" t="s">
        <v>13</v>
      </c>
      <c r="F2699" s="175"/>
      <c r="G2699" s="177" t="str">
        <f>IF(B2699="insumo",_xlfn.XLOOKUP($D2699,Insumos!$B$1:$B$764,Insumos!$D$1:$D$764),"")</f>
        <v/>
      </c>
      <c r="H2699" s="177" cm="1">
        <f t="array" ref="H2699">_xlfn.IFS(B2699="Serviço",SUMIFS(H2700:$H$3085,C2700:$C$3085,$C2699),B2699="Insumo",F2699*G2699,B2699="Etapa","")</f>
        <v>332.39</v>
      </c>
      <c r="I2699" s="178" t="s">
        <v>195</v>
      </c>
    </row>
    <row r="2700" spans="1:9" outlineLevel="2" x14ac:dyDescent="0.25">
      <c r="A2700" s="175">
        <f t="shared" si="92"/>
        <v>1</v>
      </c>
      <c r="B2700" s="175" t="s">
        <v>327</v>
      </c>
      <c r="C2700" s="175" t="str">
        <f t="shared" si="91"/>
        <v>Acabamento em Porcelanato 1,20x60 para fachada ventilada</v>
      </c>
      <c r="D2700" s="175" t="s">
        <v>902</v>
      </c>
      <c r="E2700" s="176" t="str">
        <f>_xlfn.XLOOKUP(D2700,Insumos!$B$1:$B$764,Insumos!$C$1:$C$764)</f>
        <v>M2</v>
      </c>
      <c r="F2700" s="179">
        <v>1</v>
      </c>
      <c r="G2700" s="177">
        <f>IF(B2700="insumo",_xlfn.XLOOKUP($D2700,Insumos!$B$1:$B$764,Insumos!$D$1:$D$764),"")</f>
        <v>246.84</v>
      </c>
      <c r="H2700" s="177" cm="1">
        <f t="array" ref="H2700">_xlfn.IFS(B2700="Serviço",SUMIFS(H2701:$H$3085,C2701:$C$3085,$C2700),B2700="Insumo",F2700*G2700,B2700="Etapa","")</f>
        <v>246.84</v>
      </c>
      <c r="I2700" s="178"/>
    </row>
    <row r="2701" spans="1:9" outlineLevel="2" x14ac:dyDescent="0.25">
      <c r="A2701" s="175">
        <f t="shared" si="92"/>
        <v>1</v>
      </c>
      <c r="B2701" s="175" t="s">
        <v>327</v>
      </c>
      <c r="C2701" s="175" t="str">
        <f t="shared" si="91"/>
        <v>Acabamento em Porcelanato 1,20x60 para fachada ventilada</v>
      </c>
      <c r="D2701" s="183" t="s">
        <v>903</v>
      </c>
      <c r="E2701" s="176" t="str">
        <f>_xlfn.XLOOKUP(D2701,Insumos!$B$1:$B$764,Insumos!$C$1:$C$764)</f>
        <v>m2</v>
      </c>
      <c r="F2701" s="179">
        <v>1</v>
      </c>
      <c r="G2701" s="177">
        <f>IF(B2701="insumo",_xlfn.XLOOKUP($D2701,Insumos!$B$1:$B$764,Insumos!$D$1:$D$764),"")</f>
        <v>85.55</v>
      </c>
      <c r="H2701" s="177" cm="1">
        <f t="array" ref="H2701">_xlfn.IFS(B2701="Serviço",SUMIFS(H2702:$H$3085,C2702:$C$3085,$C2701),B2701="Insumo",F2701*G2701,B2701="Etapa","")</f>
        <v>85.55</v>
      </c>
      <c r="I2701" s="178"/>
    </row>
    <row r="2702" spans="1:9" outlineLevel="1" collapsed="1" x14ac:dyDescent="0.25">
      <c r="A2702" s="175">
        <f t="shared" si="92"/>
        <v>1</v>
      </c>
      <c r="B2702" s="175" t="s">
        <v>109</v>
      </c>
      <c r="C2702" s="175" t="str">
        <f t="shared" si="91"/>
        <v>Chapisco externo de argamassa pré-fabricada adesiva de cimento colante - aplicação rolada em paredes externas</v>
      </c>
      <c r="D2702" s="175" t="s">
        <v>273</v>
      </c>
      <c r="E2702" s="176" t="s">
        <v>13</v>
      </c>
      <c r="F2702" s="175"/>
      <c r="G2702" s="177" t="str">
        <f>IF(B2702="insumo",_xlfn.XLOOKUP($D2702,Insumos!$B$1:$B$764,Insumos!$D$1:$D$764),"")</f>
        <v/>
      </c>
      <c r="H2702" s="177" cm="1">
        <f t="array" ref="H2702">_xlfn.IFS(B2702="Serviço",SUMIFS(H2703:$H$3085,C2703:$C$3085,$C2702),B2702="Insumo",F2702*G2702,B2702="Etapa","")</f>
        <v>19.535849999999996</v>
      </c>
      <c r="I2702" s="178" t="s">
        <v>195</v>
      </c>
    </row>
    <row r="2703" spans="1:9" hidden="1" outlineLevel="2" x14ac:dyDescent="0.25">
      <c r="A2703" s="175">
        <f t="shared" si="92"/>
        <v>118</v>
      </c>
      <c r="B2703" s="175" t="s">
        <v>327</v>
      </c>
      <c r="C2703" s="175" t="str">
        <f t="shared" si="91"/>
        <v>Chapisco externo de argamassa pré-fabricada adesiva de cimento colante - aplicação rolada em paredes externas</v>
      </c>
      <c r="D2703" s="175" t="s">
        <v>654</v>
      </c>
      <c r="E2703" s="176" t="str">
        <f>_xlfn.XLOOKUP(D2703,Insumos!$B$1:$B$764,Insumos!$C$1:$C$764)</f>
        <v>KG</v>
      </c>
      <c r="F2703" s="179">
        <v>6.34</v>
      </c>
      <c r="G2703" s="177">
        <f>IF(B2703="insumo",_xlfn.XLOOKUP($D2703,Insumos!$B$1:$B$764,Insumos!$D$1:$D$764),"")</f>
        <v>2.5499999999999998</v>
      </c>
      <c r="H2703" s="177" cm="1">
        <f t="array" ref="H2703">_xlfn.IFS(B2703="Serviço",SUMIFS(H2704:$H$3085,C2704:$C$3085,$C2703),B2703="Insumo",F2703*G2703,B2703="Etapa","")</f>
        <v>16.166999999999998</v>
      </c>
      <c r="I2703" s="178"/>
    </row>
    <row r="2704" spans="1:9" hidden="1" outlineLevel="2" x14ac:dyDescent="0.25">
      <c r="A2704" s="175">
        <f t="shared" si="92"/>
        <v>5</v>
      </c>
      <c r="B2704" s="175" t="s">
        <v>327</v>
      </c>
      <c r="C2704" s="175" t="str">
        <f t="shared" si="91"/>
        <v>Chapisco externo de argamassa pré-fabricada adesiva de cimento colante - aplicação rolada em paredes externas</v>
      </c>
      <c r="D2704" s="175" t="s">
        <v>656</v>
      </c>
      <c r="E2704" s="176" t="str">
        <f>_xlfn.XLOOKUP(D2704,Insumos!$B$1:$B$764,Insumos!$C$1:$C$764)</f>
        <v>KG</v>
      </c>
      <c r="F2704" s="179">
        <v>0.3</v>
      </c>
      <c r="G2704" s="177">
        <f>IF(B2704="insumo",_xlfn.XLOOKUP($D2704,Insumos!$B$1:$B$764,Insumos!$D$1:$D$764),"")</f>
        <v>11.2295</v>
      </c>
      <c r="H2704" s="177" cm="1">
        <f t="array" ref="H2704">_xlfn.IFS(B2704="Serviço",SUMIFS(H2705:$H$3085,C2705:$C$3085,$C2704),B2704="Insumo",F2704*G2704,B2704="Etapa","")</f>
        <v>3.3688499999999997</v>
      </c>
      <c r="I2704" s="178"/>
    </row>
    <row r="2705" spans="1:9" outlineLevel="1" collapsed="1" x14ac:dyDescent="0.25">
      <c r="A2705" s="175">
        <f t="shared" si="92"/>
        <v>1</v>
      </c>
      <c r="B2705" s="175" t="s">
        <v>109</v>
      </c>
      <c r="C2705" s="175" t="str">
        <f t="shared" si="91"/>
        <v>Massa unica para reboco externo em Argamassa preparada em central / usinada, espessura de 35mm</v>
      </c>
      <c r="D2705" s="175" t="s">
        <v>274</v>
      </c>
      <c r="E2705" s="176" t="s">
        <v>13</v>
      </c>
      <c r="F2705" s="175"/>
      <c r="G2705" s="177" t="str">
        <f>IF(B2705="insumo",_xlfn.XLOOKUP($D2705,Insumos!$B$1:$B$764,Insumos!$D$1:$D$764),"")</f>
        <v/>
      </c>
      <c r="H2705" s="177" cm="1">
        <f t="array" ref="H2705">_xlfn.IFS(B2705="Serviço",SUMIFS(H2706:$H$3085,C2706:$C$3085,$C2705),B2705="Insumo",F2705*G2705,B2705="Etapa","")</f>
        <v>21.1981</v>
      </c>
      <c r="I2705" s="178" t="s">
        <v>195</v>
      </c>
    </row>
    <row r="2706" spans="1:9" hidden="1" outlineLevel="2" x14ac:dyDescent="0.25">
      <c r="A2706" s="175">
        <f t="shared" si="92"/>
        <v>9</v>
      </c>
      <c r="B2706" s="175" t="s">
        <v>327</v>
      </c>
      <c r="C2706" s="175" t="str">
        <f t="shared" si="91"/>
        <v>Massa unica para reboco externo em Argamassa preparada em central / usinada, espessura de 35mm</v>
      </c>
      <c r="D2706" s="175" t="s">
        <v>666</v>
      </c>
      <c r="E2706" s="176" t="str">
        <f>_xlfn.XLOOKUP(D2706,Insumos!$B$1:$B$764,Insumos!$C$1:$C$764)</f>
        <v>M3</v>
      </c>
      <c r="F2706" s="179">
        <f>0.035</f>
        <v>3.5000000000000003E-2</v>
      </c>
      <c r="G2706" s="177">
        <f>IF(B2706="insumo",_xlfn.XLOOKUP($D2706,Insumos!$B$1:$B$764,Insumos!$D$1:$D$764),"")</f>
        <v>605.66</v>
      </c>
      <c r="H2706" s="177" cm="1">
        <f t="array" ref="H2706">_xlfn.IFS(B2706="Serviço",SUMIFS(H2707:$H$3085,C2707:$C$3085,$C2706),B2706="Insumo",F2706*G2706,B2706="Etapa","")</f>
        <v>21.1981</v>
      </c>
      <c r="I2706" s="178"/>
    </row>
    <row r="2707" spans="1:9" outlineLevel="1" collapsed="1" x14ac:dyDescent="0.25">
      <c r="A2707" s="175">
        <f t="shared" si="92"/>
        <v>1</v>
      </c>
      <c r="B2707" s="175" t="s">
        <v>109</v>
      </c>
      <c r="C2707" s="175" t="str">
        <f t="shared" si="91"/>
        <v>Textura acrílica, acabamento suave, aplicação em paredes externas - 1 demão - Cinza escuro</v>
      </c>
      <c r="D2707" s="175" t="s">
        <v>1760</v>
      </c>
      <c r="E2707" s="176" t="s">
        <v>13</v>
      </c>
      <c r="F2707" s="175"/>
      <c r="G2707" s="177" t="str">
        <f>IF(B2707="insumo",_xlfn.XLOOKUP($D2707,Insumos!$B$1:$B$764,Insumos!$D$1:$D$764),"")</f>
        <v/>
      </c>
      <c r="H2707" s="177" cm="1">
        <f t="array" ref="H2707">_xlfn.IFS(B2707="Serviço",SUMIFS(H2708:$H$3085,C2708:$C$3085,$C2707),B2707="Insumo",F2707*G2707,B2707="Etapa","")</f>
        <v>106.94333333333333</v>
      </c>
      <c r="I2707" s="178" t="s">
        <v>195</v>
      </c>
    </row>
    <row r="2708" spans="1:9" hidden="1" outlineLevel="2" x14ac:dyDescent="0.25">
      <c r="A2708" s="175">
        <f t="shared" si="92"/>
        <v>1</v>
      </c>
      <c r="B2708" s="175" t="s">
        <v>327</v>
      </c>
      <c r="C2708" s="175" t="str">
        <f t="shared" si="91"/>
        <v>Textura acrílica, acabamento suave, aplicação em paredes externas - 1 demão - Cinza escuro</v>
      </c>
      <c r="D2708" s="175" t="s">
        <v>1869</v>
      </c>
      <c r="E2708" s="176" t="str">
        <f>_xlfn.XLOOKUP(D2708,Insumos!$B$1:$B$764,Insumos!$C$1:$C$764)</f>
        <v>KG</v>
      </c>
      <c r="F2708" s="179">
        <v>1.5</v>
      </c>
      <c r="G2708" s="177">
        <f>IF(B2708="insumo",_xlfn.XLOOKUP($D2708,Insumos!$B$1:$B$764,Insumos!$D$1:$D$764),"")</f>
        <v>69.444444444444443</v>
      </c>
      <c r="H2708" s="177" cm="1">
        <f t="array" ref="H2708">_xlfn.IFS(B2708="Serviço",SUMIFS(H2709:$H$3085,C2709:$C$3085,$C2708),B2708="Insumo",F2708*G2708,B2708="Etapa","")</f>
        <v>104.16666666666666</v>
      </c>
      <c r="I2708" s="178"/>
    </row>
    <row r="2709" spans="1:9" hidden="1" outlineLevel="2" x14ac:dyDescent="0.25">
      <c r="A2709" s="175">
        <f t="shared" si="92"/>
        <v>13</v>
      </c>
      <c r="B2709" s="175" t="s">
        <v>327</v>
      </c>
      <c r="C2709" s="175" t="str">
        <f t="shared" si="91"/>
        <v>Textura acrílica, acabamento suave, aplicação em paredes externas - 1 demão - Cinza escuro</v>
      </c>
      <c r="D2709" s="175" t="s">
        <v>831</v>
      </c>
      <c r="E2709" s="176" t="str">
        <f>_xlfn.XLOOKUP(D2709,Insumos!$B$1:$B$764,Insumos!$C$1:$C$764)</f>
        <v>L</v>
      </c>
      <c r="F2709" s="179">
        <v>0.1666</v>
      </c>
      <c r="G2709" s="177">
        <f>IF(B2709="insumo",_xlfn.XLOOKUP($D2709,Insumos!$B$1:$B$764,Insumos!$D$1:$D$764),"")</f>
        <v>16.666666666666668</v>
      </c>
      <c r="H2709" s="177" cm="1">
        <f t="array" ref="H2709">_xlfn.IFS(B2709="Serviço",SUMIFS(H2710:$H$3085,C2710:$C$3085,$C2709),B2709="Insumo",F2709*G2709,B2709="Etapa","")</f>
        <v>2.7766666666666668</v>
      </c>
      <c r="I2709" s="178"/>
    </row>
    <row r="2710" spans="1:9" outlineLevel="1" collapsed="1" x14ac:dyDescent="0.25">
      <c r="A2710" s="175">
        <f t="shared" si="92"/>
        <v>1</v>
      </c>
      <c r="B2710" s="175" t="s">
        <v>109</v>
      </c>
      <c r="C2710" s="175" t="str">
        <f t="shared" si="91"/>
        <v>Textura acrílica, acabamento granulado, aplicação em paredes externas - 1 demão - Cimento Queimado</v>
      </c>
      <c r="D2710" s="175" t="s">
        <v>904</v>
      </c>
      <c r="E2710" s="176" t="s">
        <v>13</v>
      </c>
      <c r="F2710" s="175"/>
      <c r="G2710" s="177" t="str">
        <f>IF(B2710="insumo",_xlfn.XLOOKUP($D2710,Insumos!$B$1:$B$764,Insumos!$D$1:$D$764),"")</f>
        <v/>
      </c>
      <c r="H2710" s="177" cm="1">
        <f t="array" ref="H2710">_xlfn.IFS(B2710="Serviço",SUMIFS(H2711:$H$3085,C2711:$C$3085,$C2710),B2710="Insumo",F2710*G2710,B2710="Etapa","")</f>
        <v>52.276666666666664</v>
      </c>
      <c r="I2710" s="178" t="s">
        <v>195</v>
      </c>
    </row>
    <row r="2711" spans="1:9" hidden="1" outlineLevel="2" x14ac:dyDescent="0.25">
      <c r="A2711" s="175">
        <f t="shared" si="92"/>
        <v>1</v>
      </c>
      <c r="B2711" s="175" t="s">
        <v>327</v>
      </c>
      <c r="C2711" s="175" t="str">
        <f t="shared" si="91"/>
        <v>Textura acrílica, acabamento granulado, aplicação em paredes externas - 1 demão - Cimento Queimado</v>
      </c>
      <c r="D2711" s="175" t="s">
        <v>905</v>
      </c>
      <c r="E2711" s="176" t="str">
        <f>_xlfn.XLOOKUP(D2711,Insumos!$B$1:$B$764,Insumos!$C$1:$C$764)</f>
        <v>KG</v>
      </c>
      <c r="F2711" s="179">
        <v>1.5</v>
      </c>
      <c r="G2711" s="177">
        <f>IF(B2711="insumo",_xlfn.XLOOKUP($D2711,Insumos!$B$1:$B$764,Insumos!$D$1:$D$764),"")</f>
        <v>33</v>
      </c>
      <c r="H2711" s="177" cm="1">
        <f t="array" ref="H2711">_xlfn.IFS(B2711="Serviço",SUMIFS(H2712:$H$3085,C2712:$C$3085,$C2711),B2711="Insumo",F2711*G2711,B2711="Etapa","")</f>
        <v>49.5</v>
      </c>
      <c r="I2711" s="178"/>
    </row>
    <row r="2712" spans="1:9" hidden="1" outlineLevel="2" x14ac:dyDescent="0.25">
      <c r="A2712" s="175">
        <f t="shared" si="92"/>
        <v>13</v>
      </c>
      <c r="B2712" s="175" t="s">
        <v>327</v>
      </c>
      <c r="C2712" s="175" t="str">
        <f t="shared" si="91"/>
        <v>Textura acrílica, acabamento granulado, aplicação em paredes externas - 1 demão - Cimento Queimado</v>
      </c>
      <c r="D2712" s="175" t="s">
        <v>831</v>
      </c>
      <c r="E2712" s="176" t="str">
        <f>_xlfn.XLOOKUP(D2712,Insumos!$B$1:$B$764,Insumos!$C$1:$C$764)</f>
        <v>L</v>
      </c>
      <c r="F2712" s="179">
        <v>0.1666</v>
      </c>
      <c r="G2712" s="177">
        <f>IF(B2712="insumo",_xlfn.XLOOKUP($D2712,Insumos!$B$1:$B$764,Insumos!$D$1:$D$764),"")</f>
        <v>16.666666666666668</v>
      </c>
      <c r="H2712" s="177" cm="1">
        <f t="array" ref="H2712">_xlfn.IFS(B2712="Serviço",SUMIFS(H2713:$H$3085,C2713:$C$3085,$C2712),B2712="Insumo",F2712*G2712,B2712="Etapa","")</f>
        <v>2.7766666666666668</v>
      </c>
      <c r="I2712" s="178"/>
    </row>
    <row r="2713" spans="1:9" outlineLevel="1" collapsed="1" x14ac:dyDescent="0.25">
      <c r="A2713" s="175">
        <f t="shared" si="92"/>
        <v>1</v>
      </c>
      <c r="B2713" s="175" t="s">
        <v>109</v>
      </c>
      <c r="C2713" s="175" t="str">
        <f t="shared" si="91"/>
        <v>Textura acrílica, acabamento granulado, aplicação em paredes externas - 1 demão - Effeti Branco</v>
      </c>
      <c r="D2713" s="175" t="s">
        <v>906</v>
      </c>
      <c r="E2713" s="176" t="s">
        <v>13</v>
      </c>
      <c r="F2713" s="175"/>
      <c r="G2713" s="177" t="str">
        <f>IF(B2713="insumo",_xlfn.XLOOKUP($D2713,Insumos!$B$1:$B$764,Insumos!$D$1:$D$764),"")</f>
        <v/>
      </c>
      <c r="H2713" s="177" cm="1">
        <f t="array" ref="H2713">_xlfn.IFS(B2713="Serviço",SUMIFS(H2714:$H$3085,C2714:$C$3085,$C2713),B2713="Insumo",F2713*G2713,B2713="Etapa","")</f>
        <v>44.776666666666664</v>
      </c>
      <c r="I2713" s="178" t="s">
        <v>195</v>
      </c>
    </row>
    <row r="2714" spans="1:9" hidden="1" outlineLevel="2" x14ac:dyDescent="0.25">
      <c r="A2714" s="175">
        <f t="shared" si="92"/>
        <v>1</v>
      </c>
      <c r="B2714" s="175" t="s">
        <v>327</v>
      </c>
      <c r="C2714" s="175" t="str">
        <f t="shared" si="91"/>
        <v>Textura acrílica, acabamento granulado, aplicação em paredes externas - 1 demão - Effeti Branco</v>
      </c>
      <c r="D2714" s="175" t="s">
        <v>907</v>
      </c>
      <c r="E2714" s="176" t="str">
        <f>_xlfn.XLOOKUP(D2714,Insumos!$B$1:$B$764,Insumos!$C$1:$C$764)</f>
        <v>KG</v>
      </c>
      <c r="F2714" s="179">
        <v>1.5</v>
      </c>
      <c r="G2714" s="177">
        <f>IF(B2714="insumo",_xlfn.XLOOKUP($D2714,Insumos!$B$1:$B$764,Insumos!$D$1:$D$764),"")</f>
        <v>28</v>
      </c>
      <c r="H2714" s="177" cm="1">
        <f t="array" ref="H2714">_xlfn.IFS(B2714="Serviço",SUMIFS(H2715:$H$3085,C2715:$C$3085,$C2714),B2714="Insumo",F2714*G2714,B2714="Etapa","")</f>
        <v>42</v>
      </c>
      <c r="I2714" s="178"/>
    </row>
    <row r="2715" spans="1:9" hidden="1" outlineLevel="2" x14ac:dyDescent="0.25">
      <c r="A2715" s="175">
        <f t="shared" si="92"/>
        <v>13</v>
      </c>
      <c r="B2715" s="175" t="s">
        <v>327</v>
      </c>
      <c r="C2715" s="175" t="str">
        <f t="shared" si="91"/>
        <v>Textura acrílica, acabamento granulado, aplicação em paredes externas - 1 demão - Effeti Branco</v>
      </c>
      <c r="D2715" s="175" t="s">
        <v>831</v>
      </c>
      <c r="E2715" s="176" t="str">
        <f>_xlfn.XLOOKUP(D2715,Insumos!$B$1:$B$764,Insumos!$C$1:$C$764)</f>
        <v>L</v>
      </c>
      <c r="F2715" s="179">
        <v>0.1666</v>
      </c>
      <c r="G2715" s="177">
        <f>IF(B2715="insumo",_xlfn.XLOOKUP($D2715,Insumos!$B$1:$B$764,Insumos!$D$1:$D$764),"")</f>
        <v>16.666666666666668</v>
      </c>
      <c r="H2715" s="177" cm="1">
        <f t="array" ref="H2715">_xlfn.IFS(B2715="Serviço",SUMIFS(H2716:$H$3085,C2716:$C$3085,$C2715),B2715="Insumo",F2715*G2715,B2715="Etapa","")</f>
        <v>2.7766666666666668</v>
      </c>
      <c r="I2715" s="178"/>
    </row>
    <row r="2716" spans="1:9" outlineLevel="1" collapsed="1" x14ac:dyDescent="0.25">
      <c r="A2716" s="175">
        <f t="shared" si="92"/>
        <v>1</v>
      </c>
      <c r="B2716" s="175" t="s">
        <v>109</v>
      </c>
      <c r="C2716" s="175" t="str">
        <f t="shared" si="91"/>
        <v>Textura acrílica, acabamento granulado, aplicação em paredes externas - 1 demão - Essen Máximo</v>
      </c>
      <c r="D2716" s="175" t="s">
        <v>908</v>
      </c>
      <c r="E2716" s="176" t="s">
        <v>13</v>
      </c>
      <c r="F2716" s="175"/>
      <c r="G2716" s="177" t="str">
        <f>IF(B2716="insumo",_xlfn.XLOOKUP($D2716,Insumos!$B$1:$B$764,Insumos!$D$1:$D$764),"")</f>
        <v/>
      </c>
      <c r="H2716" s="177" cm="1">
        <f t="array" ref="H2716">_xlfn.IFS(B2716="Serviço",SUMIFS(H2717:$H$3085,C2717:$C$3085,$C2716),B2716="Insumo",F2716*G2716,B2716="Etapa","")</f>
        <v>7.2266666666666666</v>
      </c>
      <c r="I2716" s="178" t="s">
        <v>195</v>
      </c>
    </row>
    <row r="2717" spans="1:9" hidden="1" outlineLevel="2" x14ac:dyDescent="0.25">
      <c r="A2717" s="175">
        <f t="shared" si="92"/>
        <v>1</v>
      </c>
      <c r="B2717" s="175" t="s">
        <v>327</v>
      </c>
      <c r="C2717" s="175" t="str">
        <f t="shared" si="91"/>
        <v>Textura acrílica, acabamento granulado, aplicação em paredes externas - 1 demão - Essen Máximo</v>
      </c>
      <c r="D2717" s="175" t="s">
        <v>909</v>
      </c>
      <c r="E2717" s="176" t="str">
        <f>_xlfn.XLOOKUP(D2717,Insumos!$B$1:$B$764,Insumos!$C$1:$C$764)</f>
        <v>KG</v>
      </c>
      <c r="F2717" s="179">
        <v>0.21000000000000002</v>
      </c>
      <c r="G2717" s="177">
        <f>IF(B2717="insumo",_xlfn.XLOOKUP($D2717,Insumos!$B$1:$B$764,Insumos!$D$1:$D$764),"")</f>
        <v>21.19047619047619</v>
      </c>
      <c r="H2717" s="177" cm="1">
        <f t="array" ref="H2717">_xlfn.IFS(B2717="Serviço",SUMIFS(H2718:$H$3085,C2718:$C$3085,$C2717),B2717="Insumo",F2717*G2717,B2717="Etapa","")</f>
        <v>4.45</v>
      </c>
      <c r="I2717" s="178"/>
    </row>
    <row r="2718" spans="1:9" hidden="1" outlineLevel="2" x14ac:dyDescent="0.25">
      <c r="A2718" s="175">
        <f t="shared" si="92"/>
        <v>13</v>
      </c>
      <c r="B2718" s="175" t="s">
        <v>327</v>
      </c>
      <c r="C2718" s="175" t="str">
        <f t="shared" si="91"/>
        <v>Textura acrílica, acabamento granulado, aplicação em paredes externas - 1 demão - Essen Máximo</v>
      </c>
      <c r="D2718" s="175" t="s">
        <v>831</v>
      </c>
      <c r="E2718" s="176" t="str">
        <f>_xlfn.XLOOKUP(D2718,Insumos!$B$1:$B$764,Insumos!$C$1:$C$764)</f>
        <v>L</v>
      </c>
      <c r="F2718" s="179">
        <v>0.1666</v>
      </c>
      <c r="G2718" s="177">
        <f>IF(B2718="insumo",_xlfn.XLOOKUP($D2718,Insumos!$B$1:$B$764,Insumos!$D$1:$D$764),"")</f>
        <v>16.666666666666668</v>
      </c>
      <c r="H2718" s="177" cm="1">
        <f t="array" ref="H2718">_xlfn.IFS(B2718="Serviço",SUMIFS(H2719:$H$3085,C2719:$C$3085,$C2718),B2718="Insumo",F2718*G2718,B2718="Etapa","")</f>
        <v>2.7766666666666668</v>
      </c>
      <c r="I2718" s="178"/>
    </row>
    <row r="2719" spans="1:9" outlineLevel="1" collapsed="1" x14ac:dyDescent="0.25">
      <c r="A2719" s="175">
        <f t="shared" si="92"/>
        <v>1</v>
      </c>
      <c r="B2719" s="175" t="s">
        <v>109</v>
      </c>
      <c r="C2719" s="175" t="str">
        <f t="shared" si="91"/>
        <v>Textura acrílica, acabamento granulado, aplicação em paredes externas - 1 demão - Cinza Geada</v>
      </c>
      <c r="D2719" s="175" t="s">
        <v>910</v>
      </c>
      <c r="E2719" s="176" t="s">
        <v>13</v>
      </c>
      <c r="F2719" s="175"/>
      <c r="G2719" s="177" t="str">
        <f>IF(B2719="insumo",_xlfn.XLOOKUP($D2719,Insumos!$B$1:$B$764,Insumos!$D$1:$D$764),"")</f>
        <v/>
      </c>
      <c r="H2719" s="177" cm="1">
        <f t="array" ref="H2719">_xlfn.IFS(B2719="Serviço",SUMIFS(H2720:$H$3085,C2720:$C$3085,$C2719),B2719="Insumo",F2719*G2719,B2719="Etapa","")</f>
        <v>14.820196078431373</v>
      </c>
      <c r="I2719" s="178" t="s">
        <v>195</v>
      </c>
    </row>
    <row r="2720" spans="1:9" hidden="1" outlineLevel="2" x14ac:dyDescent="0.25">
      <c r="A2720" s="175">
        <f t="shared" si="92"/>
        <v>5</v>
      </c>
      <c r="B2720" s="175" t="s">
        <v>327</v>
      </c>
      <c r="C2720" s="175" t="str">
        <f t="shared" si="91"/>
        <v>Textura acrílica, acabamento granulado, aplicação em paredes externas - 1 demão - Cinza Geada</v>
      </c>
      <c r="D2720" s="175" t="s">
        <v>911</v>
      </c>
      <c r="E2720" s="176" t="str">
        <f>_xlfn.XLOOKUP(D2720,Insumos!$B$1:$B$764,Insumos!$C$1:$C$764)</f>
        <v>KG</v>
      </c>
      <c r="F2720" s="179">
        <v>0.83333333333333337</v>
      </c>
      <c r="G2720" s="177">
        <f>IF(B2720="insumo",_xlfn.XLOOKUP($D2720,Insumos!$B$1:$B$764,Insumos!$D$1:$D$764),"")</f>
        <v>8.3960000000000008</v>
      </c>
      <c r="H2720" s="177" cm="1">
        <f t="array" ref="H2720">_xlfn.IFS(B2720="Serviço",SUMIFS(H2721:$H$3085,C2721:$C$3085,$C2720),B2720="Insumo",F2720*G2720,B2720="Etapa","")</f>
        <v>6.9966666666666679</v>
      </c>
      <c r="I2720" s="178"/>
    </row>
    <row r="2721" spans="1:9" hidden="1" outlineLevel="2" x14ac:dyDescent="0.25">
      <c r="A2721" s="175">
        <f t="shared" si="92"/>
        <v>1</v>
      </c>
      <c r="B2721" s="175" t="s">
        <v>327</v>
      </c>
      <c r="C2721" s="175" t="str">
        <f t="shared" si="91"/>
        <v>Textura acrílica, acabamento granulado, aplicação em paredes externas - 1 demão - Cinza Geada</v>
      </c>
      <c r="D2721" s="175" t="s">
        <v>912</v>
      </c>
      <c r="E2721" s="176" t="str">
        <f>_xlfn.XLOOKUP(D2721,Insumos!$B$1:$B$764,Insumos!$C$1:$C$764)</f>
        <v>L</v>
      </c>
      <c r="F2721" s="179">
        <v>9.4117647058823528E-2</v>
      </c>
      <c r="G2721" s="177">
        <f>IF(B2721="insumo",_xlfn.XLOOKUP($D2721,Insumos!$B$1:$B$764,Insumos!$D$1:$D$764),"")</f>
        <v>40.625</v>
      </c>
      <c r="H2721" s="177" cm="1">
        <f t="array" ref="H2721">_xlfn.IFS(B2721="Serviço",SUMIFS(H2722:$H$3085,C2722:$C$3085,$C2721),B2721="Insumo",F2721*G2721,B2721="Etapa","")</f>
        <v>3.8235294117647056</v>
      </c>
      <c r="I2721" s="178"/>
    </row>
    <row r="2722" spans="1:9" hidden="1" outlineLevel="2" x14ac:dyDescent="0.25">
      <c r="A2722" s="175">
        <f t="shared" si="92"/>
        <v>13</v>
      </c>
      <c r="B2722" s="175" t="s">
        <v>327</v>
      </c>
      <c r="C2722" s="175" t="str">
        <f t="shared" si="91"/>
        <v>Textura acrílica, acabamento granulado, aplicação em paredes externas - 1 demão - Cinza Geada</v>
      </c>
      <c r="D2722" s="175" t="s">
        <v>831</v>
      </c>
      <c r="E2722" s="176" t="str">
        <f>_xlfn.XLOOKUP(D2722,Insumos!$B$1:$B$764,Insumos!$C$1:$C$764)</f>
        <v>L</v>
      </c>
      <c r="F2722" s="179">
        <v>0.24</v>
      </c>
      <c r="G2722" s="177">
        <f>IF(B2722="insumo",_xlfn.XLOOKUP($D2722,Insumos!$B$1:$B$764,Insumos!$D$1:$D$764),"")</f>
        <v>16.666666666666668</v>
      </c>
      <c r="H2722" s="177" cm="1">
        <f t="array" ref="H2722">_xlfn.IFS(B2722="Serviço",SUMIFS(H2723:$H$3085,C2723:$C$3085,$C2722),B2722="Insumo",F2722*G2722,B2722="Etapa","")</f>
        <v>4</v>
      </c>
      <c r="I2722" s="178"/>
    </row>
    <row r="2723" spans="1:9" outlineLevel="1" collapsed="1" x14ac:dyDescent="0.25">
      <c r="A2723" s="175">
        <f t="shared" si="92"/>
        <v>1</v>
      </c>
      <c r="B2723" s="175" t="s">
        <v>109</v>
      </c>
      <c r="C2723" s="175" t="str">
        <f t="shared" si="91"/>
        <v>Textura acrílica, acabamento granulado, aplicação em paredes externas - 1 demão - Imensidão Cinza</v>
      </c>
      <c r="D2723" s="175" t="s">
        <v>913</v>
      </c>
      <c r="E2723" s="176" t="s">
        <v>13</v>
      </c>
      <c r="F2723" s="175"/>
      <c r="G2723" s="177" t="str">
        <f>IF(B2723="insumo",_xlfn.XLOOKUP($D2723,Insumos!$B$1:$B$764,Insumos!$D$1:$D$764),"")</f>
        <v/>
      </c>
      <c r="H2723" s="177" cm="1">
        <f t="array" ref="H2723">_xlfn.IFS(B2723="Serviço",SUMIFS(H2724:$H$3085,C2724:$C$3085,$C2723),B2723="Insumo",F2723*G2723,B2723="Etapa","")</f>
        <v>12.663200000000002</v>
      </c>
      <c r="I2723" s="178" t="s">
        <v>195</v>
      </c>
    </row>
    <row r="2724" spans="1:9" hidden="1" outlineLevel="2" x14ac:dyDescent="0.25">
      <c r="A2724" s="175">
        <f t="shared" si="92"/>
        <v>5</v>
      </c>
      <c r="B2724" s="175" t="s">
        <v>327</v>
      </c>
      <c r="C2724" s="175" t="str">
        <f t="shared" si="91"/>
        <v>Textura acrílica, acabamento granulado, aplicação em paredes externas - 1 demão - Imensidão Cinza</v>
      </c>
      <c r="D2724" s="175" t="s">
        <v>911</v>
      </c>
      <c r="E2724" s="176" t="str">
        <f>_xlfn.XLOOKUP(D2724,Insumos!$B$1:$B$764,Insumos!$C$1:$C$764)</f>
        <v>KG</v>
      </c>
      <c r="F2724" s="179">
        <v>0.83333333333333337</v>
      </c>
      <c r="G2724" s="177">
        <f>IF(B2724="insumo",_xlfn.XLOOKUP($D2724,Insumos!$B$1:$B$764,Insumos!$D$1:$D$764),"")</f>
        <v>8.3960000000000008</v>
      </c>
      <c r="H2724" s="177" cm="1">
        <f t="array" ref="H2724">_xlfn.IFS(B2724="Serviço",SUMIFS(H2725:$H$3085,C2725:$C$3085,$C2724),B2724="Insumo",F2724*G2724,B2724="Etapa","")</f>
        <v>6.9966666666666679</v>
      </c>
      <c r="I2724" s="178"/>
    </row>
    <row r="2725" spans="1:9" hidden="1" outlineLevel="2" x14ac:dyDescent="0.25">
      <c r="A2725" s="175">
        <f t="shared" si="92"/>
        <v>1</v>
      </c>
      <c r="B2725" s="175" t="s">
        <v>327</v>
      </c>
      <c r="C2725" s="175" t="str">
        <f t="shared" si="91"/>
        <v>Textura acrílica, acabamento granulado, aplicação em paredes externas - 1 demão - Imensidão Cinza</v>
      </c>
      <c r="D2725" s="175" t="s">
        <v>914</v>
      </c>
      <c r="E2725" s="176" t="str">
        <f>_xlfn.XLOOKUP(D2725,Insumos!$B$1:$B$764,Insumos!$C$1:$C$764)</f>
        <v>L</v>
      </c>
      <c r="F2725" s="179">
        <v>4.8000000000000001E-2</v>
      </c>
      <c r="G2725" s="177">
        <f>IF(B2725="insumo",_xlfn.XLOOKUP($D2725,Insumos!$B$1:$B$764,Insumos!$D$1:$D$764),"")</f>
        <v>34.719444444444441</v>
      </c>
      <c r="H2725" s="177" cm="1">
        <f t="array" ref="H2725">_xlfn.IFS(B2725="Serviço",SUMIFS(H2726:$H$3085,C2726:$C$3085,$C2725),B2725="Insumo",F2725*G2725,B2725="Etapa","")</f>
        <v>1.6665333333333332</v>
      </c>
      <c r="I2725" s="178"/>
    </row>
    <row r="2726" spans="1:9" hidden="1" outlineLevel="2" x14ac:dyDescent="0.25">
      <c r="A2726" s="175">
        <f t="shared" si="92"/>
        <v>13</v>
      </c>
      <c r="B2726" s="175" t="s">
        <v>327</v>
      </c>
      <c r="C2726" s="175" t="str">
        <f t="shared" si="91"/>
        <v>Textura acrílica, acabamento granulado, aplicação em paredes externas - 1 demão - Imensidão Cinza</v>
      </c>
      <c r="D2726" s="175" t="s">
        <v>831</v>
      </c>
      <c r="E2726" s="176" t="str">
        <f>_xlfn.XLOOKUP(D2726,Insumos!$B$1:$B$764,Insumos!$C$1:$C$764)</f>
        <v>L</v>
      </c>
      <c r="F2726" s="179">
        <v>0.24</v>
      </c>
      <c r="G2726" s="177">
        <f>IF(B2726="insumo",_xlfn.XLOOKUP($D2726,Insumos!$B$1:$B$764,Insumos!$D$1:$D$764),"")</f>
        <v>16.666666666666668</v>
      </c>
      <c r="H2726" s="177" cm="1">
        <f t="array" ref="H2726">_xlfn.IFS(B2726="Serviço",SUMIFS(H2727:$H$3085,C2727:$C$3085,$C2726),B2726="Insumo",F2726*G2726,B2726="Etapa","")</f>
        <v>4</v>
      </c>
      <c r="I2726" s="178"/>
    </row>
    <row r="2727" spans="1:9" outlineLevel="1" collapsed="1" x14ac:dyDescent="0.25">
      <c r="A2727" s="175">
        <f t="shared" si="92"/>
        <v>1</v>
      </c>
      <c r="B2727" s="175" t="s">
        <v>109</v>
      </c>
      <c r="C2727" s="175" t="str">
        <f t="shared" si="91"/>
        <v>Textura acrílica, acabamento granulado, aplicação em paredes externas - 1 demão - Preto Fosco</v>
      </c>
      <c r="D2727" s="175" t="s">
        <v>915</v>
      </c>
      <c r="E2727" s="176" t="s">
        <v>13</v>
      </c>
      <c r="F2727" s="175"/>
      <c r="G2727" s="177" t="str">
        <f>IF(B2727="insumo",_xlfn.XLOOKUP($D2727,Insumos!$B$1:$B$764,Insumos!$D$1:$D$764),"")</f>
        <v/>
      </c>
      <c r="H2727" s="177" cm="1">
        <f t="array" ref="H2727">_xlfn.IFS(B2727="Serviço",SUMIFS(H2728:$H$3085,C2728:$C$3085,$C2727),B2727="Insumo",F2727*G2727,B2727="Etapa","")</f>
        <v>13.395333333333335</v>
      </c>
      <c r="I2727" s="178" t="s">
        <v>195</v>
      </c>
    </row>
    <row r="2728" spans="1:9" hidden="1" outlineLevel="2" x14ac:dyDescent="0.25">
      <c r="A2728" s="175">
        <f t="shared" si="92"/>
        <v>5</v>
      </c>
      <c r="B2728" s="175" t="s">
        <v>327</v>
      </c>
      <c r="C2728" s="175" t="str">
        <f t="shared" si="91"/>
        <v>Textura acrílica, acabamento granulado, aplicação em paredes externas - 1 demão - Preto Fosco</v>
      </c>
      <c r="D2728" s="175" t="s">
        <v>911</v>
      </c>
      <c r="E2728" s="176" t="str">
        <f>_xlfn.XLOOKUP(D2728,Insumos!$B$1:$B$764,Insumos!$C$1:$C$764)</f>
        <v>KG</v>
      </c>
      <c r="F2728" s="179">
        <v>0.83333333333333337</v>
      </c>
      <c r="G2728" s="177">
        <f>IF(B2728="insumo",_xlfn.XLOOKUP($D2728,Insumos!$B$1:$B$764,Insumos!$D$1:$D$764),"")</f>
        <v>8.3960000000000008</v>
      </c>
      <c r="H2728" s="177" cm="1">
        <f t="array" ref="H2728">_xlfn.IFS(B2728="Serviço",SUMIFS(H2729:$H$3085,C2729:$C$3085,$C2728),B2728="Insumo",F2728*G2728,B2728="Etapa","")</f>
        <v>6.9966666666666679</v>
      </c>
      <c r="I2728" s="178"/>
    </row>
    <row r="2729" spans="1:9" hidden="1" outlineLevel="2" x14ac:dyDescent="0.25">
      <c r="A2729" s="175">
        <f t="shared" si="92"/>
        <v>1</v>
      </c>
      <c r="B2729" s="175" t="s">
        <v>327</v>
      </c>
      <c r="C2729" s="175" t="str">
        <f t="shared" si="91"/>
        <v>Textura acrílica, acabamento granulado, aplicação em paredes externas - 1 demão - Preto Fosco</v>
      </c>
      <c r="D2729" s="175" t="s">
        <v>916</v>
      </c>
      <c r="E2729" s="176" t="str">
        <f>_xlfn.XLOOKUP(D2729,Insumos!$B$1:$B$764,Insumos!$C$1:$C$764)</f>
        <v>L</v>
      </c>
      <c r="F2729" s="179">
        <v>4.8000000000000001E-2</v>
      </c>
      <c r="G2729" s="177">
        <f>IF(B2729="insumo",_xlfn.XLOOKUP($D2729,Insumos!$B$1:$B$764,Insumos!$D$1:$D$764),"")</f>
        <v>49.972222222222221</v>
      </c>
      <c r="H2729" s="177" cm="1">
        <f t="array" ref="H2729">_xlfn.IFS(B2729="Serviço",SUMIFS(H2730:$H$3085,C2730:$C$3085,$C2729),B2729="Insumo",F2729*G2729,B2729="Etapa","")</f>
        <v>2.3986666666666667</v>
      </c>
      <c r="I2729" s="178"/>
    </row>
    <row r="2730" spans="1:9" hidden="1" outlineLevel="2" x14ac:dyDescent="0.25">
      <c r="A2730" s="175">
        <f t="shared" si="92"/>
        <v>13</v>
      </c>
      <c r="B2730" s="175" t="s">
        <v>327</v>
      </c>
      <c r="C2730" s="175" t="str">
        <f t="shared" si="91"/>
        <v>Textura acrílica, acabamento granulado, aplicação em paredes externas - 1 demão - Preto Fosco</v>
      </c>
      <c r="D2730" s="175" t="s">
        <v>831</v>
      </c>
      <c r="E2730" s="176" t="str">
        <f>_xlfn.XLOOKUP(D2730,Insumos!$B$1:$B$764,Insumos!$C$1:$C$764)</f>
        <v>L</v>
      </c>
      <c r="F2730" s="179">
        <v>0.24</v>
      </c>
      <c r="G2730" s="177">
        <f>IF(B2730="insumo",_xlfn.XLOOKUP($D2730,Insumos!$B$1:$B$764,Insumos!$D$1:$D$764),"")</f>
        <v>16.666666666666668</v>
      </c>
      <c r="H2730" s="177" cm="1">
        <f t="array" ref="H2730">_xlfn.IFS(B2730="Serviço",SUMIFS(H2731:$H$3085,C2731:$C$3085,$C2730),B2730="Insumo",F2730*G2730,B2730="Etapa","")</f>
        <v>4</v>
      </c>
      <c r="I2730" s="178"/>
    </row>
    <row r="2731" spans="1:9" outlineLevel="1" x14ac:dyDescent="0.25">
      <c r="A2731" s="175">
        <f t="shared" si="92"/>
        <v>1</v>
      </c>
      <c r="B2731" s="175" t="s">
        <v>109</v>
      </c>
      <c r="C2731" s="175" t="str">
        <f t="shared" si="91"/>
        <v>Textura acrílica, acabamento rolado e desempenado  aplicação em paredes externas - 1 demão</v>
      </c>
      <c r="D2731" s="175" t="s">
        <v>917</v>
      </c>
      <c r="E2731" s="176" t="s">
        <v>13</v>
      </c>
      <c r="F2731" s="175"/>
      <c r="G2731" s="177" t="str">
        <f>IF(B2731="insumo",_xlfn.XLOOKUP($D2731,Insumos!$B$1:$B$764,Insumos!$D$1:$D$764),"")</f>
        <v/>
      </c>
      <c r="H2731" s="177" cm="1">
        <f t="array" ref="H2731">_xlfn.IFS(B2731="Serviço",SUMIFS(H2732:$H$3085,C2732:$C$3085,$C2731),B2731="Insumo",F2731*G2731,B2731="Etapa","")</f>
        <v>24.36</v>
      </c>
      <c r="I2731" s="178" t="s">
        <v>195</v>
      </c>
    </row>
    <row r="2732" spans="1:9" outlineLevel="2" x14ac:dyDescent="0.25">
      <c r="A2732" s="175">
        <f t="shared" si="92"/>
        <v>4</v>
      </c>
      <c r="B2732" s="175" t="s">
        <v>327</v>
      </c>
      <c r="C2732" s="175" t="str">
        <f t="shared" si="91"/>
        <v>Textura acrílica, acabamento rolado e desempenado  aplicação em paredes externas - 1 demão</v>
      </c>
      <c r="D2732" s="175" t="s">
        <v>832</v>
      </c>
      <c r="E2732" s="176" t="str">
        <f>_xlfn.XLOOKUP(D2732,Insumos!$B$1:$B$764,Insumos!$C$1:$C$764)</f>
        <v>KG</v>
      </c>
      <c r="F2732" s="179">
        <v>4</v>
      </c>
      <c r="G2732" s="177">
        <f>IF(B2732="insumo",_xlfn.XLOOKUP($D2732,Insumos!$B$1:$B$764,Insumos!$D$1:$D$764),"")</f>
        <v>6.09</v>
      </c>
      <c r="H2732" s="177" cm="1">
        <f t="array" ref="H2732">_xlfn.IFS(B2732="Serviço",SUMIFS(H2733:$H$3085,C2733:$C$3085,$C2732),B2732="Insumo",F2732*G2732,B2732="Etapa","")</f>
        <v>24.36</v>
      </c>
      <c r="I2732" s="178"/>
    </row>
    <row r="2733" spans="1:9" outlineLevel="1" collapsed="1" x14ac:dyDescent="0.25">
      <c r="A2733" s="175">
        <f t="shared" si="92"/>
        <v>1</v>
      </c>
      <c r="B2733" s="175" t="s">
        <v>109</v>
      </c>
      <c r="C2733" s="175" t="str">
        <f t="shared" si="91"/>
        <v>Acabamento em ACM para Fachadas - Material e mão de obra</v>
      </c>
      <c r="D2733" s="175" t="s">
        <v>918</v>
      </c>
      <c r="E2733" s="176" t="s">
        <v>13</v>
      </c>
      <c r="F2733" s="175"/>
      <c r="G2733" s="177" t="str">
        <f>IF(B2733="insumo",_xlfn.XLOOKUP($D2733,Insumos!$B$1:$B$764,Insumos!$D$1:$D$764),"")</f>
        <v/>
      </c>
      <c r="H2733" s="177" cm="1">
        <f t="array" ref="H2733">_xlfn.IFS(B2733="Serviço",SUMIFS(H2734:$H$3085,C2734:$C$3085,$C2733),B2733="Insumo",F2733*G2733,B2733="Etapa","")</f>
        <v>720</v>
      </c>
      <c r="I2733" s="178" t="s">
        <v>195</v>
      </c>
    </row>
    <row r="2734" spans="1:9" hidden="1" outlineLevel="2" x14ac:dyDescent="0.25">
      <c r="A2734" s="175">
        <f t="shared" si="92"/>
        <v>4</v>
      </c>
      <c r="B2734" s="175" t="s">
        <v>327</v>
      </c>
      <c r="C2734" s="175" t="str">
        <f t="shared" si="91"/>
        <v>Acabamento em ACM para Fachadas - Material e mão de obra</v>
      </c>
      <c r="D2734" s="175" t="s">
        <v>918</v>
      </c>
      <c r="E2734" s="176" t="str">
        <f>_xlfn.XLOOKUP(D2734,Insumos!$B$1:$B$764,Insumos!$C$1:$C$764)</f>
        <v>M2</v>
      </c>
      <c r="F2734" s="179">
        <v>1</v>
      </c>
      <c r="G2734" s="177">
        <f>IF(B2734="insumo",_xlfn.XLOOKUP($D2734,Insumos!$B$1:$B$764,Insumos!$D$1:$D$764),"")</f>
        <v>720</v>
      </c>
      <c r="H2734" s="177" cm="1">
        <f t="array" ref="H2734">_xlfn.IFS(B2734="Serviço",SUMIFS(H2735:$H$3085,C2735:$C$3085,$C2734),B2734="Insumo",F2734*G2734,B2734="Etapa","")</f>
        <v>720</v>
      </c>
      <c r="I2734" s="178"/>
    </row>
    <row r="2735" spans="1:9" outlineLevel="1" collapsed="1" x14ac:dyDescent="0.25">
      <c r="A2735" s="175">
        <f t="shared" si="92"/>
        <v>1</v>
      </c>
      <c r="B2735" s="175" t="s">
        <v>109</v>
      </c>
      <c r="C2735" s="175" t="str">
        <f t="shared" si="91"/>
        <v>Revestimento em ACM, cor bronze, aplicação em Fachada - Material e  Mão de Obra</v>
      </c>
      <c r="D2735" s="175" t="s">
        <v>1852</v>
      </c>
      <c r="E2735" s="176" t="s">
        <v>13</v>
      </c>
      <c r="F2735" s="175"/>
      <c r="G2735" s="177" t="str">
        <f>IF(B2735="insumo",_xlfn.XLOOKUP($D2735,Insumos!$B$1:$B$764,Insumos!$D$1:$D$764),"")</f>
        <v/>
      </c>
      <c r="H2735" s="177" cm="1">
        <f t="array" ref="H2735">_xlfn.IFS(B2735="Serviço",SUMIFS(H2736:$H$3085,C2736:$C$3085,$C2735),B2735="Insumo",F2735*G2735,B2735="Etapa","")</f>
        <v>720</v>
      </c>
      <c r="I2735" s="178" t="s">
        <v>195</v>
      </c>
    </row>
    <row r="2736" spans="1:9" hidden="1" outlineLevel="2" x14ac:dyDescent="0.25">
      <c r="A2736" s="175">
        <f t="shared" si="92"/>
        <v>4</v>
      </c>
      <c r="B2736" s="175" t="s">
        <v>327</v>
      </c>
      <c r="C2736" s="175" t="str">
        <f t="shared" si="91"/>
        <v>Revestimento em ACM, cor bronze, aplicação em Fachada - Material e  Mão de Obra</v>
      </c>
      <c r="D2736" s="175" t="s">
        <v>918</v>
      </c>
      <c r="E2736" s="176" t="str">
        <f>_xlfn.XLOOKUP(D2736,Insumos!$B$1:$B$764,Insumos!$C$1:$C$764)</f>
        <v>M2</v>
      </c>
      <c r="F2736" s="179">
        <v>1</v>
      </c>
      <c r="G2736" s="177">
        <f>IF(B2736="insumo",_xlfn.XLOOKUP($D2736,Insumos!$B$1:$B$764,Insumos!$D$1:$D$764),"")</f>
        <v>720</v>
      </c>
      <c r="H2736" s="177" cm="1">
        <f t="array" ref="H2736">_xlfn.IFS(B2736="Serviço",SUMIFS(H2737:$H$3085,C2737:$C$3085,$C2736),B2736="Insumo",F2736*G2736,B2736="Etapa","")</f>
        <v>720</v>
      </c>
      <c r="I2736" s="178"/>
    </row>
    <row r="2737" spans="1:9" outlineLevel="1" collapsed="1" x14ac:dyDescent="0.25">
      <c r="A2737" s="175">
        <f t="shared" si="92"/>
        <v>1</v>
      </c>
      <c r="B2737" s="175" t="s">
        <v>109</v>
      </c>
      <c r="C2737" s="175" t="str">
        <f t="shared" si="91"/>
        <v>Revestimento em ACM, cor concreto aparente, aplicação em Fachada - Material e  Mão de Obra</v>
      </c>
      <c r="D2737" s="175" t="s">
        <v>1853</v>
      </c>
      <c r="E2737" s="176" t="s">
        <v>13</v>
      </c>
      <c r="F2737" s="175"/>
      <c r="G2737" s="177" t="str">
        <f>IF(B2737="insumo",_xlfn.XLOOKUP($D2737,Insumos!$B$1:$B$764,Insumos!$D$1:$D$764),"")</f>
        <v/>
      </c>
      <c r="H2737" s="177" cm="1">
        <f t="array" ref="H2737">_xlfn.IFS(B2737="Serviço",SUMIFS(H2738:$H$3085,C2738:$C$3085,$C2737),B2737="Insumo",F2737*G2737,B2737="Etapa","")</f>
        <v>720</v>
      </c>
      <c r="I2737" s="178" t="s">
        <v>195</v>
      </c>
    </row>
    <row r="2738" spans="1:9" hidden="1" outlineLevel="2" x14ac:dyDescent="0.25">
      <c r="A2738" s="175">
        <f t="shared" si="92"/>
        <v>4</v>
      </c>
      <c r="B2738" s="175" t="s">
        <v>327</v>
      </c>
      <c r="C2738" s="175" t="str">
        <f t="shared" ref="C2738:C2801" si="93">IF(B2738="serviço",D2738,C2737)</f>
        <v>Revestimento em ACM, cor concreto aparente, aplicação em Fachada - Material e  Mão de Obra</v>
      </c>
      <c r="D2738" s="175" t="s">
        <v>918</v>
      </c>
      <c r="E2738" s="176" t="str">
        <f>_xlfn.XLOOKUP(D2738,Insumos!$B$1:$B$764,Insumos!$C$1:$C$764)</f>
        <v>M2</v>
      </c>
      <c r="F2738" s="179">
        <v>1</v>
      </c>
      <c r="G2738" s="177">
        <f>IF(B2738="insumo",_xlfn.XLOOKUP($D2738,Insumos!$B$1:$B$764,Insumos!$D$1:$D$764),"")</f>
        <v>720</v>
      </c>
      <c r="H2738" s="177" cm="1">
        <f t="array" ref="H2738">_xlfn.IFS(B2738="Serviço",SUMIFS(H2739:$H$3085,C2739:$C$3085,$C2738),B2738="Insumo",F2738*G2738,B2738="Etapa","")</f>
        <v>720</v>
      </c>
      <c r="I2738" s="178"/>
    </row>
    <row r="2739" spans="1:9" outlineLevel="1" collapsed="1" x14ac:dyDescent="0.25">
      <c r="A2739" s="175">
        <f t="shared" si="92"/>
        <v>1</v>
      </c>
      <c r="B2739" s="175" t="s">
        <v>109</v>
      </c>
      <c r="C2739" s="175" t="str">
        <f t="shared" si="93"/>
        <v>Tela soldada para ligacao Emboço Fachadas</v>
      </c>
      <c r="D2739" s="175" t="s">
        <v>919</v>
      </c>
      <c r="E2739" s="176" t="s">
        <v>131</v>
      </c>
      <c r="F2739" s="175"/>
      <c r="G2739" s="177" t="str">
        <f>IF(B2739="insumo",_xlfn.XLOOKUP($D2739,Insumos!$B$1:$B$764,Insumos!$D$1:$D$764),"")</f>
        <v/>
      </c>
      <c r="H2739" s="177" cm="1">
        <f t="array" ref="H2739">_xlfn.IFS(B2739="Serviço",SUMIFS(H2740:$H$3085,C2740:$C$3085,$C2739),B2739="Insumo",F2739*G2739,B2739="Etapa","")</f>
        <v>4.1071999999999997</v>
      </c>
      <c r="I2739" s="178" t="s">
        <v>195</v>
      </c>
    </row>
    <row r="2740" spans="1:9" hidden="1" outlineLevel="2" x14ac:dyDescent="0.25">
      <c r="A2740" s="175">
        <f t="shared" si="92"/>
        <v>2</v>
      </c>
      <c r="B2740" s="175" t="s">
        <v>327</v>
      </c>
      <c r="C2740" s="175" t="str">
        <f t="shared" si="93"/>
        <v>Tela soldada para ligacao Emboço Fachadas</v>
      </c>
      <c r="D2740" s="175" t="s">
        <v>586</v>
      </c>
      <c r="E2740" s="176" t="str">
        <f>_xlfn.XLOOKUP(D2740,Insumos!$B$1:$B$764,Insumos!$C$1:$C$764)</f>
        <v>UN</v>
      </c>
      <c r="F2740" s="179">
        <v>2</v>
      </c>
      <c r="G2740" s="177">
        <f>IF(B2740="insumo",_xlfn.XLOOKUP($D2740,Insumos!$B$1:$B$764,Insumos!$D$1:$D$764),"")</f>
        <v>0.43359999999999999</v>
      </c>
      <c r="H2740" s="177" cm="1">
        <f t="array" ref="H2740">_xlfn.IFS(B2740="Serviço",SUMIFS(H2741:$H$3085,C2741:$C$3085,$C2740),B2740="Insumo",F2740*G2740,B2740="Etapa","")</f>
        <v>0.86719999999999997</v>
      </c>
      <c r="I2740" s="178"/>
    </row>
    <row r="2741" spans="1:9" hidden="1" outlineLevel="2" x14ac:dyDescent="0.25">
      <c r="A2741" s="175">
        <f t="shared" si="92"/>
        <v>2</v>
      </c>
      <c r="B2741" s="175" t="s">
        <v>327</v>
      </c>
      <c r="C2741" s="175" t="str">
        <f t="shared" si="93"/>
        <v>Tela soldada para ligacao Emboço Fachadas</v>
      </c>
      <c r="D2741" s="175" t="s">
        <v>587</v>
      </c>
      <c r="E2741" s="176" t="str">
        <f>_xlfn.XLOOKUP(D2741,Insumos!$B$1:$B$764,Insumos!$C$1:$C$764)</f>
        <v>UN</v>
      </c>
      <c r="F2741" s="179">
        <v>1</v>
      </c>
      <c r="G2741" s="177">
        <f>IF(B2741="insumo",_xlfn.XLOOKUP($D2741,Insumos!$B$1:$B$764,Insumos!$D$1:$D$764),"")</f>
        <v>2.5</v>
      </c>
      <c r="H2741" s="177" cm="1">
        <f t="array" ref="H2741">_xlfn.IFS(B2741="Serviço",SUMIFS(H2742:$H$3085,C2742:$C$3085,$C2741),B2741="Insumo",F2741*G2741,B2741="Etapa","")</f>
        <v>2.5</v>
      </c>
      <c r="I2741" s="178"/>
    </row>
    <row r="2742" spans="1:9" hidden="1" outlineLevel="2" x14ac:dyDescent="0.25">
      <c r="A2742" s="175">
        <f t="shared" si="92"/>
        <v>2</v>
      </c>
      <c r="B2742" s="175" t="s">
        <v>327</v>
      </c>
      <c r="C2742" s="175" t="str">
        <f t="shared" si="93"/>
        <v>Tela soldada para ligacao Emboço Fachadas</v>
      </c>
      <c r="D2742" s="175" t="s">
        <v>588</v>
      </c>
      <c r="E2742" s="176" t="str">
        <f>_xlfn.XLOOKUP(D2742,Insumos!$B$1:$B$764,Insumos!$C$1:$C$764)</f>
        <v>UN</v>
      </c>
      <c r="F2742" s="179">
        <v>2</v>
      </c>
      <c r="G2742" s="177">
        <f>IF(B2742="insumo",_xlfn.XLOOKUP($D2742,Insumos!$B$1:$B$764,Insumos!$D$1:$D$764),"")</f>
        <v>0.37</v>
      </c>
      <c r="H2742" s="177" cm="1">
        <f t="array" ref="H2742">_xlfn.IFS(B2742="Serviço",SUMIFS(H2743:$H$3085,C2743:$C$3085,$C2742),B2742="Insumo",F2742*G2742,B2742="Etapa","")</f>
        <v>0.74</v>
      </c>
      <c r="I2742" s="178"/>
    </row>
    <row r="2743" spans="1:9" outlineLevel="1" collapsed="1" x14ac:dyDescent="0.25">
      <c r="A2743" s="175">
        <f t="shared" si="92"/>
        <v>1</v>
      </c>
      <c r="B2743" s="175" t="s">
        <v>109</v>
      </c>
      <c r="C2743" s="175" t="str">
        <f t="shared" si="93"/>
        <v>Fundo selador latex acrilico em paredes externas - 1 demao</v>
      </c>
      <c r="D2743" s="175" t="s">
        <v>1269</v>
      </c>
      <c r="E2743" s="176" t="s">
        <v>13</v>
      </c>
      <c r="F2743" s="175"/>
      <c r="G2743" s="197" t="str">
        <f>IF(B2743="insumo",_xlfn.XLOOKUP($D2743,Insumos!$B$1:$B$764,Insumos!$D$1:$D$764),"")</f>
        <v/>
      </c>
      <c r="H2743" s="177" cm="1">
        <f t="array" ref="H2743">_xlfn.IFS(B2743="Serviço",SUMIFS(H2744:$H$3085,C2744:$C$3085,$C2743),B2743="Insumo",F2743*G2743,B2743="Etapa","")</f>
        <v>2.7766666666666668</v>
      </c>
      <c r="I2743" s="178" t="s">
        <v>195</v>
      </c>
    </row>
    <row r="2744" spans="1:9" hidden="1" outlineLevel="2" x14ac:dyDescent="0.25">
      <c r="A2744" s="175">
        <f t="shared" si="92"/>
        <v>13</v>
      </c>
      <c r="B2744" s="175" t="s">
        <v>327</v>
      </c>
      <c r="C2744" s="175" t="str">
        <f t="shared" si="93"/>
        <v>Fundo selador latex acrilico em paredes externas - 1 demao</v>
      </c>
      <c r="D2744" s="175" t="s">
        <v>831</v>
      </c>
      <c r="E2744" s="176" t="str">
        <f>_xlfn.XLOOKUP(D2744,Insumos!$B$1:$B$764,Insumos!$C$1:$C$764)</f>
        <v>L</v>
      </c>
      <c r="F2744" s="179">
        <v>0.1666</v>
      </c>
      <c r="G2744" s="197">
        <f>IF(B2744="insumo",_xlfn.XLOOKUP($D2744,Insumos!$B$1:$B$764,Insumos!$D$1:$D$764),"")</f>
        <v>16.666666666666668</v>
      </c>
      <c r="H2744" s="177" cm="1">
        <f t="array" ref="H2744">_xlfn.IFS(B2744="Serviço",SUMIFS(H2745:$H$3085,C2745:$C$3085,$C2744),B2744="Insumo",F2744*G2744,B2744="Etapa","")</f>
        <v>2.7766666666666668</v>
      </c>
      <c r="I2744" s="178"/>
    </row>
    <row r="2745" spans="1:9" outlineLevel="1" collapsed="1" x14ac:dyDescent="0.25">
      <c r="A2745" s="175">
        <f t="shared" si="92"/>
        <v>1</v>
      </c>
      <c r="B2745" s="175" t="s">
        <v>109</v>
      </c>
      <c r="C2745" s="175" t="str">
        <f t="shared" si="93"/>
        <v>Pintura projetada, aplicação em paredes externas - 2 demão - Elefante</v>
      </c>
      <c r="D2745" s="175" t="s">
        <v>1270</v>
      </c>
      <c r="E2745" s="176" t="s">
        <v>13</v>
      </c>
      <c r="F2745" s="175"/>
      <c r="G2745" s="197" t="str">
        <f>IF(B2745="insumo",_xlfn.XLOOKUP($D2745,Insumos!$B$1:$B$764,Insumos!$D$1:$D$764),"")</f>
        <v/>
      </c>
      <c r="H2745" s="177" cm="1">
        <f t="array" ref="H2745">_xlfn.IFS(B2745="Serviço",SUMIFS(H2746:$H$3085,C2746:$C$3085,$C2745),B2745="Insumo",F2745*G2745,B2745="Etapa","")</f>
        <v>54.355666666666671</v>
      </c>
      <c r="I2745" s="178" t="s">
        <v>195</v>
      </c>
    </row>
    <row r="2746" spans="1:9" hidden="1" outlineLevel="2" x14ac:dyDescent="0.25">
      <c r="A2746" s="175">
        <f t="shared" si="92"/>
        <v>26</v>
      </c>
      <c r="B2746" s="175" t="s">
        <v>327</v>
      </c>
      <c r="C2746" s="175" t="str">
        <f t="shared" si="93"/>
        <v>Pintura projetada, aplicação em paredes externas - 2 demão - Elefante</v>
      </c>
      <c r="D2746" s="175" t="s">
        <v>358</v>
      </c>
      <c r="E2746" s="176" t="str">
        <f>_xlfn.XLOOKUP(D2746,Insumos!$B$1:$B$764,Insumos!$C$1:$C$764)</f>
        <v>UN</v>
      </c>
      <c r="F2746" s="179">
        <v>0.1</v>
      </c>
      <c r="G2746" s="197">
        <f>IF(B2746="insumo",_xlfn.XLOOKUP($D2746,Insumos!$B$1:$B$764,Insumos!$D$1:$D$764),"")</f>
        <v>1.89</v>
      </c>
      <c r="H2746" s="177" cm="1">
        <f t="array" ref="H2746">_xlfn.IFS(B2746="Serviço",SUMIFS(H2747:$H$3085,C2747:$C$3085,$C2746),B2746="Insumo",F2746*G2746,B2746="Etapa","")</f>
        <v>0.189</v>
      </c>
      <c r="I2746" s="178"/>
    </row>
    <row r="2747" spans="1:9" hidden="1" outlineLevel="2" x14ac:dyDescent="0.25">
      <c r="A2747" s="175">
        <f t="shared" si="92"/>
        <v>1</v>
      </c>
      <c r="B2747" s="175" t="s">
        <v>327</v>
      </c>
      <c r="C2747" s="175" t="str">
        <f t="shared" si="93"/>
        <v>Pintura projetada, aplicação em paredes externas - 2 demão - Elefante</v>
      </c>
      <c r="D2747" s="175" t="s">
        <v>1223</v>
      </c>
      <c r="E2747" s="176" t="str">
        <f>_xlfn.XLOOKUP(D2747,Insumos!$B$1:$B$764,Insumos!$C$1:$C$764)</f>
        <v>L</v>
      </c>
      <c r="F2747" s="179">
        <v>1.5</v>
      </c>
      <c r="G2747" s="197">
        <f>IF(B2747="insumo",_xlfn.XLOOKUP($D2747,Insumos!$B$1:$B$764,Insumos!$D$1:$D$764),"")</f>
        <v>36.111111111111114</v>
      </c>
      <c r="H2747" s="177" cm="1">
        <f t="array" ref="H2747">_xlfn.IFS(B2747="Serviço",SUMIFS(H2748:$H$3085,C2748:$C$3085,$C2747),B2747="Insumo",F2747*G2747,B2747="Etapa","")</f>
        <v>54.166666666666671</v>
      </c>
      <c r="I2747" s="178"/>
    </row>
    <row r="2748" spans="1:9" outlineLevel="1" collapsed="1" x14ac:dyDescent="0.25">
      <c r="A2748" s="175">
        <f t="shared" si="92"/>
        <v>1</v>
      </c>
      <c r="B2748" s="175" t="s">
        <v>109</v>
      </c>
      <c r="C2748" s="175" t="str">
        <f t="shared" si="93"/>
        <v>Pintura projetada, aplicação em paredes externas - 2 demão - Branco neve</v>
      </c>
      <c r="D2748" s="175" t="s">
        <v>1271</v>
      </c>
      <c r="E2748" s="176" t="s">
        <v>13</v>
      </c>
      <c r="F2748" s="175"/>
      <c r="G2748" s="197" t="str">
        <f>IF(B2748="insumo",_xlfn.XLOOKUP($D2748,Insumos!$B$1:$B$764,Insumos!$D$1:$D$764),"")</f>
        <v/>
      </c>
      <c r="H2748" s="177" cm="1">
        <f t="array" ref="H2748">_xlfn.IFS(B2748="Serviço",SUMIFS(H2749:$H$3085,C2749:$C$3085,$C2748),B2748="Insumo",F2748*G2748,B2748="Etapa","")</f>
        <v>52.689</v>
      </c>
      <c r="I2748" s="178" t="s">
        <v>195</v>
      </c>
    </row>
    <row r="2749" spans="1:9" hidden="1" outlineLevel="2" x14ac:dyDescent="0.25">
      <c r="A2749" s="175">
        <f t="shared" si="92"/>
        <v>26</v>
      </c>
      <c r="B2749" s="175" t="s">
        <v>327</v>
      </c>
      <c r="C2749" s="175" t="str">
        <f t="shared" si="93"/>
        <v>Pintura projetada, aplicação em paredes externas - 2 demão - Branco neve</v>
      </c>
      <c r="D2749" s="175" t="s">
        <v>358</v>
      </c>
      <c r="E2749" s="176" t="str">
        <f>_xlfn.XLOOKUP(D2749,Insumos!$B$1:$B$764,Insumos!$C$1:$C$764)</f>
        <v>UN</v>
      </c>
      <c r="F2749" s="179">
        <v>0.1</v>
      </c>
      <c r="G2749" s="197">
        <f>IF(B2749="insumo",_xlfn.XLOOKUP($D2749,Insumos!$B$1:$B$764,Insumos!$D$1:$D$764),"")</f>
        <v>1.89</v>
      </c>
      <c r="H2749" s="177" cm="1">
        <f t="array" ref="H2749">_xlfn.IFS(B2749="Serviço",SUMIFS(H2750:$H$3085,C2750:$C$3085,$C2749),B2749="Insumo",F2749*G2749,B2749="Etapa","")</f>
        <v>0.189</v>
      </c>
      <c r="I2749" s="178"/>
    </row>
    <row r="2750" spans="1:9" hidden="1" outlineLevel="2" x14ac:dyDescent="0.25">
      <c r="A2750" s="175">
        <f t="shared" si="92"/>
        <v>2</v>
      </c>
      <c r="B2750" s="175" t="s">
        <v>327</v>
      </c>
      <c r="C2750" s="175" t="str">
        <f t="shared" si="93"/>
        <v>Pintura projetada, aplicação em paredes externas - 2 demão - Branco neve</v>
      </c>
      <c r="D2750" s="175" t="s">
        <v>1224</v>
      </c>
      <c r="E2750" s="176" t="str">
        <f>_xlfn.XLOOKUP(D2750,Insumos!$B$1:$B$764,Insumos!$C$1:$C$764)</f>
        <v>L</v>
      </c>
      <c r="F2750" s="179">
        <v>1.5</v>
      </c>
      <c r="G2750" s="197">
        <f>IF(B2750="insumo",_xlfn.XLOOKUP($D2750,Insumos!$B$1:$B$764,Insumos!$D$1:$D$764),"")</f>
        <v>35</v>
      </c>
      <c r="H2750" s="177" cm="1">
        <f t="array" ref="H2750">_xlfn.IFS(B2750="Serviço",SUMIFS(H2751:$H$3085,C2751:$C$3085,$C2750),B2750="Insumo",F2750*G2750,B2750="Etapa","")</f>
        <v>52.5</v>
      </c>
      <c r="I2750" s="178"/>
    </row>
    <row r="2751" spans="1:9" outlineLevel="1" collapsed="1" x14ac:dyDescent="0.25">
      <c r="A2751" s="175">
        <f t="shared" si="92"/>
        <v>1</v>
      </c>
      <c r="B2751" s="175" t="s">
        <v>109</v>
      </c>
      <c r="C2751" s="175" t="str">
        <f t="shared" si="93"/>
        <v>Pintura projetada, aplicação em paredes externas - 2 demão - Patativa</v>
      </c>
      <c r="D2751" s="175" t="s">
        <v>1272</v>
      </c>
      <c r="E2751" s="176" t="s">
        <v>13</v>
      </c>
      <c r="F2751" s="175"/>
      <c r="G2751" s="197" t="str">
        <f>IF(B2751="insumo",_xlfn.XLOOKUP($D2751,Insumos!$B$1:$B$764,Insumos!$D$1:$D$764),"")</f>
        <v/>
      </c>
      <c r="H2751" s="177" cm="1">
        <f t="array" ref="H2751">_xlfn.IFS(B2751="Serviço",SUMIFS(H2752:$H$3085,C2752:$C$3085,$C2751),B2751="Insumo",F2751*G2751,B2751="Etapa","")</f>
        <v>93.837749999999986</v>
      </c>
      <c r="I2751" s="178" t="s">
        <v>195</v>
      </c>
    </row>
    <row r="2752" spans="1:9" hidden="1" outlineLevel="2" x14ac:dyDescent="0.25">
      <c r="A2752" s="175">
        <f t="shared" si="92"/>
        <v>26</v>
      </c>
      <c r="B2752" s="175" t="s">
        <v>327</v>
      </c>
      <c r="C2752" s="175" t="str">
        <f t="shared" si="93"/>
        <v>Pintura projetada, aplicação em paredes externas - 2 demão - Patativa</v>
      </c>
      <c r="D2752" s="175" t="s">
        <v>358</v>
      </c>
      <c r="E2752" s="176" t="str">
        <f>_xlfn.XLOOKUP(D2752,Insumos!$B$1:$B$764,Insumos!$C$1:$C$764)</f>
        <v>UN</v>
      </c>
      <c r="F2752" s="179">
        <v>0.1</v>
      </c>
      <c r="G2752" s="197">
        <f>IF(B2752="insumo",_xlfn.XLOOKUP($D2752,Insumos!$B$1:$B$764,Insumos!$D$1:$D$764),"")</f>
        <v>1.89</v>
      </c>
      <c r="H2752" s="177" cm="1">
        <f t="array" ref="H2752">_xlfn.IFS(B2752="Serviço",SUMIFS(H2753:$H$3085,C2753:$C$3085,$C2752),B2752="Insumo",F2752*G2752,B2752="Etapa","")</f>
        <v>0.189</v>
      </c>
      <c r="I2752" s="178"/>
    </row>
    <row r="2753" spans="1:9" hidden="1" outlineLevel="2" x14ac:dyDescent="0.25">
      <c r="A2753" s="175">
        <f t="shared" si="92"/>
        <v>1</v>
      </c>
      <c r="B2753" s="175" t="s">
        <v>327</v>
      </c>
      <c r="C2753" s="175" t="str">
        <f t="shared" si="93"/>
        <v>Pintura projetada, aplicação em paredes externas - 2 demão - Patativa</v>
      </c>
      <c r="D2753" s="175" t="s">
        <v>1232</v>
      </c>
      <c r="E2753" s="176" t="str">
        <f>_xlfn.XLOOKUP(D2753,Insumos!$B$1:$B$764,Insumos!$C$1:$C$764)</f>
        <v>L</v>
      </c>
      <c r="F2753" s="179">
        <v>1.5</v>
      </c>
      <c r="G2753" s="197">
        <f>IF(B2753="insumo",_xlfn.XLOOKUP($D2753,Insumos!$B$1:$B$764,Insumos!$D$1:$D$764),"")</f>
        <v>62.432499999999997</v>
      </c>
      <c r="H2753" s="177" cm="1">
        <f t="array" ref="H2753">_xlfn.IFS(B2753="Serviço",SUMIFS(H2754:$H$3085,C2754:$C$3085,$C2753),B2753="Insumo",F2753*G2753,B2753="Etapa","")</f>
        <v>93.648749999999993</v>
      </c>
      <c r="I2753" s="178"/>
    </row>
    <row r="2754" spans="1:9" outlineLevel="1" collapsed="1" x14ac:dyDescent="0.25">
      <c r="A2754" s="175">
        <f t="shared" ref="A2754:A2817" si="94">COUNTIFS($D$2:$D$3085,D2754,$B$2:$B$3085,B2754)</f>
        <v>1</v>
      </c>
      <c r="B2754" s="175" t="s">
        <v>109</v>
      </c>
      <c r="C2754" s="175" t="str">
        <f t="shared" si="93"/>
        <v>Pintura projetada, aplicação em paredes externas - 2 demão - Cinza Asfalto</v>
      </c>
      <c r="D2754" s="175" t="s">
        <v>1273</v>
      </c>
      <c r="E2754" s="176" t="s">
        <v>13</v>
      </c>
      <c r="F2754" s="175"/>
      <c r="G2754" s="197" t="str">
        <f>IF(B2754="insumo",_xlfn.XLOOKUP($D2754,Insumos!$B$1:$B$764,Insumos!$D$1:$D$764),"")</f>
        <v/>
      </c>
      <c r="H2754" s="177" cm="1">
        <f t="array" ref="H2754">_xlfn.IFS(B2754="Serviço",SUMIFS(H2755:$H$3085,C2755:$C$3085,$C2754),B2754="Insumo",F2754*G2754,B2754="Etapa","")</f>
        <v>57.605666666666671</v>
      </c>
      <c r="I2754" s="178" t="s">
        <v>195</v>
      </c>
    </row>
    <row r="2755" spans="1:9" hidden="1" outlineLevel="2" x14ac:dyDescent="0.25">
      <c r="A2755" s="175">
        <f t="shared" si="94"/>
        <v>26</v>
      </c>
      <c r="B2755" s="175" t="s">
        <v>327</v>
      </c>
      <c r="C2755" s="175" t="str">
        <f t="shared" si="93"/>
        <v>Pintura projetada, aplicação em paredes externas - 2 demão - Cinza Asfalto</v>
      </c>
      <c r="D2755" s="175" t="s">
        <v>358</v>
      </c>
      <c r="E2755" s="176" t="str">
        <f>_xlfn.XLOOKUP(D2755,Insumos!$B$1:$B$764,Insumos!$C$1:$C$764)</f>
        <v>UN</v>
      </c>
      <c r="F2755" s="179">
        <v>0.1</v>
      </c>
      <c r="G2755" s="197">
        <f>IF(B2755="insumo",_xlfn.XLOOKUP($D2755,Insumos!$B$1:$B$764,Insumos!$D$1:$D$764),"")</f>
        <v>1.89</v>
      </c>
      <c r="H2755" s="177" cm="1">
        <f t="array" ref="H2755">_xlfn.IFS(B2755="Serviço",SUMIFS(H2756:$H$3085,C2756:$C$3085,$C2755),B2755="Insumo",F2755*G2755,B2755="Etapa","")</f>
        <v>0.189</v>
      </c>
      <c r="I2755" s="178"/>
    </row>
    <row r="2756" spans="1:9" hidden="1" outlineLevel="2" x14ac:dyDescent="0.25">
      <c r="A2756" s="175">
        <f t="shared" si="94"/>
        <v>2</v>
      </c>
      <c r="B2756" s="175" t="s">
        <v>327</v>
      </c>
      <c r="C2756" s="175" t="str">
        <f t="shared" si="93"/>
        <v>Pintura projetada, aplicação em paredes externas - 2 demão - Cinza Asfalto</v>
      </c>
      <c r="D2756" s="175" t="s">
        <v>1233</v>
      </c>
      <c r="E2756" s="176" t="str">
        <f>_xlfn.XLOOKUP(D2756,Insumos!$B$1:$B$764,Insumos!$C$1:$C$764)</f>
        <v>L</v>
      </c>
      <c r="F2756" s="179">
        <v>1.5</v>
      </c>
      <c r="G2756" s="197">
        <f>IF(B2756="insumo",_xlfn.XLOOKUP($D2756,Insumos!$B$1:$B$764,Insumos!$D$1:$D$764),"")</f>
        <v>38.277777777777779</v>
      </c>
      <c r="H2756" s="177" cm="1">
        <f t="array" ref="H2756">_xlfn.IFS(B2756="Serviço",SUMIFS(H2757:$H$3085,C2757:$C$3085,$C2756),B2756="Insumo",F2756*G2756,B2756="Etapa","")</f>
        <v>57.416666666666671</v>
      </c>
      <c r="I2756" s="178"/>
    </row>
    <row r="2757" spans="1:9" outlineLevel="1" collapsed="1" x14ac:dyDescent="0.25">
      <c r="A2757" s="175">
        <f t="shared" si="94"/>
        <v>1</v>
      </c>
      <c r="B2757" s="175" t="s">
        <v>109</v>
      </c>
      <c r="C2757" s="175" t="str">
        <f t="shared" si="93"/>
        <v>Mao de obra para reboco externo - inclui chapisco</v>
      </c>
      <c r="D2757" s="175" t="s">
        <v>74</v>
      </c>
      <c r="E2757" s="176" t="s">
        <v>13</v>
      </c>
      <c r="F2757" s="179"/>
      <c r="G2757" s="177" t="str">
        <f>IF(B2757="insumo",_xlfn.XLOOKUP($D2757,Insumos!$B$1:$B$764,Insumos!$D$1:$D$764),"")</f>
        <v/>
      </c>
      <c r="H2757" s="177" cm="1">
        <f t="array" ref="H2757">_xlfn.IFS(B2757="Serviço",SUMIFS(H2758:$H$3085,C2758:$C$3085,$C2757),B2757="Insumo",F2757*G2757,B2757="Etapa","")</f>
        <v>58</v>
      </c>
      <c r="I2757" s="178" t="s">
        <v>195</v>
      </c>
    </row>
    <row r="2758" spans="1:9" hidden="1" outlineLevel="2" x14ac:dyDescent="0.25">
      <c r="A2758" s="175">
        <f t="shared" si="94"/>
        <v>1</v>
      </c>
      <c r="B2758" s="175" t="s">
        <v>327</v>
      </c>
      <c r="C2758" s="175" t="str">
        <f t="shared" si="93"/>
        <v>Mao de obra para reboco externo - inclui chapisco</v>
      </c>
      <c r="D2758" s="175" t="s">
        <v>74</v>
      </c>
      <c r="E2758" s="176" t="str">
        <f>_xlfn.XLOOKUP(D2758,Insumos!$B$1:$B$764,Insumos!$C$1:$C$764)</f>
        <v>UN</v>
      </c>
      <c r="F2758" s="179">
        <v>1</v>
      </c>
      <c r="G2758" s="177">
        <f>IF(B2758="insumo",_xlfn.XLOOKUP($D2758,Insumos!$B$1:$B$764,Insumos!$D$1:$D$764),"")</f>
        <v>58</v>
      </c>
      <c r="H2758" s="177" cm="1">
        <f t="array" ref="H2758">_xlfn.IFS(B2758="Serviço",SUMIFS(H2759:$H$3085,C2759:$C$3085,$C2758),B2758="Insumo",F2758*G2758,B2758="Etapa","")</f>
        <v>58</v>
      </c>
      <c r="I2758" s="178"/>
    </row>
    <row r="2759" spans="1:9" outlineLevel="1" collapsed="1" x14ac:dyDescent="0.25">
      <c r="A2759" s="175">
        <f t="shared" si="94"/>
        <v>1</v>
      </c>
      <c r="B2759" s="175" t="s">
        <v>109</v>
      </c>
      <c r="C2759" s="175" t="str">
        <f t="shared" si="93"/>
        <v>Mão de obra para aplicação de Pintura em paredes externas - 1 demãos</v>
      </c>
      <c r="D2759" s="175" t="s">
        <v>2010</v>
      </c>
      <c r="E2759" s="176" t="s">
        <v>13</v>
      </c>
      <c r="F2759" s="179"/>
      <c r="G2759" s="177" t="str">
        <f>IF(B2759="insumo",_xlfn.XLOOKUP($D2759,Insumos!$B$1:$B$764,Insumos!$D$1:$D$764),"")</f>
        <v/>
      </c>
      <c r="H2759" s="177" cm="1">
        <f t="array" ref="H2759">_xlfn.IFS(B2759="Serviço",SUMIFS(H2760:$H$3085,C2760:$C$3085,$C2759),B2759="Insumo",F2759*G2759,B2759="Etapa","")</f>
        <v>19.333333333333332</v>
      </c>
      <c r="I2759" s="178" t="s">
        <v>195</v>
      </c>
    </row>
    <row r="2760" spans="1:9" hidden="1" outlineLevel="2" x14ac:dyDescent="0.25">
      <c r="A2760" s="175">
        <f t="shared" si="94"/>
        <v>1</v>
      </c>
      <c r="B2760" s="175" t="s">
        <v>327</v>
      </c>
      <c r="C2760" s="175" t="str">
        <f t="shared" si="93"/>
        <v>Mão de obra para aplicação de Pintura em paredes externas - 1 demãos</v>
      </c>
      <c r="D2760" s="175" t="s">
        <v>2010</v>
      </c>
      <c r="E2760" s="176" t="str">
        <f>_xlfn.XLOOKUP(D2760,Insumos!$B$1:$B$764,Insumos!$C$1:$C$764)</f>
        <v>UN</v>
      </c>
      <c r="F2760" s="179">
        <v>1</v>
      </c>
      <c r="G2760" s="177">
        <f>IF(B2760="insumo",_xlfn.XLOOKUP($D2760,Insumos!$B$1:$B$764,Insumos!$D$1:$D$764),"")</f>
        <v>19.333333333333332</v>
      </c>
      <c r="H2760" s="177" cm="1">
        <f t="array" ref="H2760">_xlfn.IFS(B2760="Serviço",SUMIFS(H2761:$H$3085,C2761:$C$3085,$C2760),B2760="Insumo",F2760*G2760,B2760="Etapa","")</f>
        <v>19.333333333333332</v>
      </c>
      <c r="I2760" s="178"/>
    </row>
    <row r="2761" spans="1:9" outlineLevel="1" collapsed="1" x14ac:dyDescent="0.25">
      <c r="A2761" s="175">
        <f t="shared" si="94"/>
        <v>1</v>
      </c>
      <c r="B2761" s="175" t="s">
        <v>109</v>
      </c>
      <c r="C2761" s="175" t="str">
        <f t="shared" si="93"/>
        <v>Mão de obra para aplicação de Pintura em paredes externas - 2 demãos</v>
      </c>
      <c r="D2761" s="175" t="s">
        <v>2009</v>
      </c>
      <c r="E2761" s="176" t="s">
        <v>13</v>
      </c>
      <c r="F2761" s="179"/>
      <c r="G2761" s="177" t="str">
        <f>IF(B2761="insumo",_xlfn.XLOOKUP($D2761,Insumos!$B$1:$B$764,Insumos!$D$1:$D$764),"")</f>
        <v/>
      </c>
      <c r="H2761" s="177" cm="1">
        <f t="array" ref="H2761">_xlfn.IFS(B2761="Serviço",SUMIFS(H2762:$H$3085,C2762:$C$3085,$C2761),B2761="Insumo",F2761*G2761,B2761="Etapa","")</f>
        <v>38.666666666666664</v>
      </c>
      <c r="I2761" s="178" t="s">
        <v>195</v>
      </c>
    </row>
    <row r="2762" spans="1:9" hidden="1" outlineLevel="2" x14ac:dyDescent="0.25">
      <c r="A2762" s="175">
        <f t="shared" si="94"/>
        <v>1</v>
      </c>
      <c r="B2762" s="175" t="s">
        <v>327</v>
      </c>
      <c r="C2762" s="175" t="str">
        <f t="shared" si="93"/>
        <v>Mão de obra para aplicação de Pintura em paredes externas - 2 demãos</v>
      </c>
      <c r="D2762" s="175" t="s">
        <v>2009</v>
      </c>
      <c r="E2762" s="176" t="str">
        <f>_xlfn.XLOOKUP(D2762,Insumos!$B$1:$B$764,Insumos!$C$1:$C$764)</f>
        <v>UN</v>
      </c>
      <c r="F2762" s="179">
        <v>1</v>
      </c>
      <c r="G2762" s="177">
        <f>IF(B2762="insumo",_xlfn.XLOOKUP($D2762,Insumos!$B$1:$B$764,Insumos!$D$1:$D$764),"")</f>
        <v>38.666666666666664</v>
      </c>
      <c r="H2762" s="177" cm="1">
        <f t="array" ref="H2762">_xlfn.IFS(B2762="Serviço",SUMIFS(H2763:$H$3085,C2763:$C$3085,$C2762),B2762="Insumo",F2762*G2762,B2762="Etapa","")</f>
        <v>38.666666666666664</v>
      </c>
      <c r="I2762" s="178"/>
    </row>
    <row r="2763" spans="1:9" outlineLevel="1" collapsed="1" x14ac:dyDescent="0.25">
      <c r="A2763" s="175">
        <f t="shared" si="94"/>
        <v>1</v>
      </c>
      <c r="B2763" s="175" t="s">
        <v>109</v>
      </c>
      <c r="C2763" s="175" t="str">
        <f t="shared" si="93"/>
        <v>Mão de obra para aplicação de Pintura em paredes externas - 3 demãos</v>
      </c>
      <c r="D2763" s="175" t="s">
        <v>920</v>
      </c>
      <c r="E2763" s="176" t="s">
        <v>13</v>
      </c>
      <c r="F2763" s="179"/>
      <c r="G2763" s="177" t="str">
        <f>IF(B2763="insumo",_xlfn.XLOOKUP($D2763,Insumos!$B$1:$B$764,Insumos!$D$1:$D$764),"")</f>
        <v/>
      </c>
      <c r="H2763" s="177" cm="1">
        <f t="array" ref="H2763">_xlfn.IFS(B2763="Serviço",SUMIFS(H2764:$H$3085,C2764:$C$3085,$C2763),B2763="Insumo",F2763*G2763,B2763="Etapa","")</f>
        <v>58</v>
      </c>
      <c r="I2763" s="178" t="s">
        <v>195</v>
      </c>
    </row>
    <row r="2764" spans="1:9" hidden="1" outlineLevel="2" x14ac:dyDescent="0.25">
      <c r="A2764" s="175">
        <f t="shared" si="94"/>
        <v>1</v>
      </c>
      <c r="B2764" s="175" t="s">
        <v>327</v>
      </c>
      <c r="C2764" s="175" t="str">
        <f t="shared" si="93"/>
        <v>Mão de obra para aplicação de Pintura em paredes externas - 3 demãos</v>
      </c>
      <c r="D2764" s="175" t="s">
        <v>920</v>
      </c>
      <c r="E2764" s="176" t="str">
        <f>_xlfn.XLOOKUP(D2764,Insumos!$B$1:$B$764,Insumos!$C$1:$C$764)</f>
        <v>UN</v>
      </c>
      <c r="F2764" s="179">
        <v>1</v>
      </c>
      <c r="G2764" s="177">
        <f>IF(B2764="insumo",_xlfn.XLOOKUP($D2764,Insumos!$B$1:$B$764,Insumos!$D$1:$D$764),"")</f>
        <v>58</v>
      </c>
      <c r="H2764" s="177" cm="1">
        <f t="array" ref="H2764">_xlfn.IFS(B2764="Serviço",SUMIFS(H2765:$H$3085,C2765:$C$3085,$C2764),B2764="Insumo",F2764*G2764,B2764="Etapa","")</f>
        <v>58</v>
      </c>
      <c r="I2764" s="178"/>
    </row>
    <row r="2765" spans="1:9" outlineLevel="1" collapsed="1" x14ac:dyDescent="0.25">
      <c r="A2765" s="175">
        <f t="shared" si="94"/>
        <v>1</v>
      </c>
      <c r="B2765" s="175" t="s">
        <v>109</v>
      </c>
      <c r="C2765" s="175" t="str">
        <f t="shared" si="93"/>
        <v>Mão de obra para aplicação de textura em paredes externas - 1 demão</v>
      </c>
      <c r="D2765" s="175" t="s">
        <v>75</v>
      </c>
      <c r="E2765" s="176" t="s">
        <v>13</v>
      </c>
      <c r="F2765" s="179"/>
      <c r="G2765" s="177" t="str">
        <f>IF(B2765="insumo",_xlfn.XLOOKUP($D2765,Insumos!$B$1:$B$764,Insumos!$D$1:$D$764),"")</f>
        <v/>
      </c>
      <c r="H2765" s="177" cm="1">
        <f t="array" ref="H2765">_xlfn.IFS(B2765="Serviço",SUMIFS(H2766:$H$3085,C2766:$C$3085,$C2765),B2765="Insumo",F2765*G2765,B2765="Etapa","")</f>
        <v>58</v>
      </c>
      <c r="I2765" s="178" t="s">
        <v>195</v>
      </c>
    </row>
    <row r="2766" spans="1:9" hidden="1" outlineLevel="2" x14ac:dyDescent="0.25">
      <c r="A2766" s="175">
        <f t="shared" si="94"/>
        <v>1</v>
      </c>
      <c r="B2766" s="175" t="s">
        <v>327</v>
      </c>
      <c r="C2766" s="175" t="str">
        <f t="shared" si="93"/>
        <v>Mão de obra para aplicação de textura em paredes externas - 1 demão</v>
      </c>
      <c r="D2766" s="175" t="s">
        <v>75</v>
      </c>
      <c r="E2766" s="176" t="str">
        <f>_xlfn.XLOOKUP(D2766,Insumos!$B$1:$B$764,Insumos!$C$1:$C$764)</f>
        <v>UN</v>
      </c>
      <c r="F2766" s="179">
        <v>1</v>
      </c>
      <c r="G2766" s="177">
        <f>IF(B2766="insumo",_xlfn.XLOOKUP($D2766,Insumos!$B$1:$B$764,Insumos!$D$1:$D$764),"")</f>
        <v>58</v>
      </c>
      <c r="H2766" s="177" cm="1">
        <f t="array" ref="H2766">_xlfn.IFS(B2766="Serviço",SUMIFS(H2767:$H$3085,C2767:$C$3085,$C2766),B2766="Insumo",F2766*G2766,B2766="Etapa","")</f>
        <v>58</v>
      </c>
      <c r="I2766" s="178"/>
    </row>
    <row r="2767" spans="1:9" outlineLevel="1" collapsed="1" x14ac:dyDescent="0.25">
      <c r="A2767" s="175">
        <f t="shared" si="94"/>
        <v>1</v>
      </c>
      <c r="B2767" s="175" t="s">
        <v>109</v>
      </c>
      <c r="C2767" s="175" t="str">
        <f t="shared" si="93"/>
        <v>Mão de obra para aplicação de Pastilhas em paredes externas</v>
      </c>
      <c r="D2767" s="175" t="s">
        <v>279</v>
      </c>
      <c r="E2767" s="176" t="s">
        <v>13</v>
      </c>
      <c r="F2767" s="179"/>
      <c r="G2767" s="177" t="str">
        <f>IF(B2767="insumo",_xlfn.XLOOKUP($D2767,Insumos!$B$1:$B$764,Insumos!$D$1:$D$764),"")</f>
        <v/>
      </c>
      <c r="H2767" s="177" cm="1">
        <f t="array" ref="H2767">_xlfn.IFS(B2767="Serviço",SUMIFS(H2768:$H$3085,C2768:$C$3085,$C2767),B2767="Insumo",F2767*G2767,B2767="Etapa","")</f>
        <v>150</v>
      </c>
      <c r="I2767" s="178" t="s">
        <v>195</v>
      </c>
    </row>
    <row r="2768" spans="1:9" hidden="1" outlineLevel="2" x14ac:dyDescent="0.25">
      <c r="A2768" s="175">
        <f t="shared" si="94"/>
        <v>1</v>
      </c>
      <c r="B2768" s="175" t="s">
        <v>327</v>
      </c>
      <c r="C2768" s="175" t="str">
        <f t="shared" si="93"/>
        <v>Mão de obra para aplicação de Pastilhas em paredes externas</v>
      </c>
      <c r="D2768" s="175" t="s">
        <v>279</v>
      </c>
      <c r="E2768" s="176" t="str">
        <f>_xlfn.XLOOKUP(D2768,Insumos!$B$1:$B$764,Insumos!$C$1:$C$764)</f>
        <v>UN</v>
      </c>
      <c r="F2768" s="179">
        <v>1</v>
      </c>
      <c r="G2768" s="177">
        <f>IF(B2768="insumo",_xlfn.XLOOKUP($D2768,Insumos!$B$1:$B$764,Insumos!$D$1:$D$764),"")</f>
        <v>150</v>
      </c>
      <c r="H2768" s="177" cm="1">
        <f t="array" ref="H2768">_xlfn.IFS(B2768="Serviço",SUMIFS(H2769:$H$3085,C2769:$C$3085,$C2768),B2768="Insumo",F2768*G2768,B2768="Etapa","")</f>
        <v>150</v>
      </c>
      <c r="I2768" s="178"/>
    </row>
    <row r="2769" spans="1:9" outlineLevel="1" collapsed="1" x14ac:dyDescent="0.25">
      <c r="A2769" s="175">
        <f t="shared" si="94"/>
        <v>1</v>
      </c>
      <c r="B2769" s="175" t="s">
        <v>109</v>
      </c>
      <c r="C2769" s="175" t="str">
        <f t="shared" si="93"/>
        <v>Mão de obra para aplicação de Porcelanato em paredes externas</v>
      </c>
      <c r="D2769" s="175" t="s">
        <v>280</v>
      </c>
      <c r="E2769" s="176" t="s">
        <v>13</v>
      </c>
      <c r="F2769" s="179"/>
      <c r="G2769" s="177" t="str">
        <f>IF(B2769="insumo",_xlfn.XLOOKUP($D2769,Insumos!$B$1:$B$764,Insumos!$D$1:$D$764),"")</f>
        <v/>
      </c>
      <c r="H2769" s="177" cm="1">
        <f t="array" ref="H2769">_xlfn.IFS(B2769="Serviço",SUMIFS(H2770:$H$3085,C2770:$C$3085,$C2769),B2769="Insumo",F2769*G2769,B2769="Etapa","")</f>
        <v>150</v>
      </c>
      <c r="I2769" s="178" t="s">
        <v>195</v>
      </c>
    </row>
    <row r="2770" spans="1:9" hidden="1" outlineLevel="2" x14ac:dyDescent="0.25">
      <c r="A2770" s="175">
        <f t="shared" si="94"/>
        <v>1</v>
      </c>
      <c r="B2770" s="175" t="s">
        <v>327</v>
      </c>
      <c r="C2770" s="175" t="str">
        <f t="shared" si="93"/>
        <v>Mão de obra para aplicação de Porcelanato em paredes externas</v>
      </c>
      <c r="D2770" s="175" t="s">
        <v>280</v>
      </c>
      <c r="E2770" s="176" t="str">
        <f>_xlfn.XLOOKUP(D2770,Insumos!$B$1:$B$764,Insumos!$C$1:$C$764)</f>
        <v>UN</v>
      </c>
      <c r="F2770" s="179">
        <v>1</v>
      </c>
      <c r="G2770" s="177">
        <f>IF(B2770="insumo",_xlfn.XLOOKUP($D2770,Insumos!$B$1:$B$764,Insumos!$D$1:$D$764),"")</f>
        <v>150</v>
      </c>
      <c r="H2770" s="177" cm="1">
        <f t="array" ref="H2770">_xlfn.IFS(B2770="Serviço",SUMIFS(H2771:$H$3085,C2771:$C$3085,$C2770),B2770="Insumo",F2770*G2770,B2770="Etapa","")</f>
        <v>150</v>
      </c>
      <c r="I2770" s="178"/>
    </row>
    <row r="2771" spans="1:9" outlineLevel="1" collapsed="1" x14ac:dyDescent="0.25">
      <c r="A2771" s="175">
        <f t="shared" si="94"/>
        <v>1</v>
      </c>
      <c r="B2771" s="175" t="s">
        <v>109</v>
      </c>
      <c r="C2771" s="175" t="str">
        <f t="shared" si="93"/>
        <v>Mão de obra para aplicação de Pedra Natural em paredes externas</v>
      </c>
      <c r="D2771" s="175" t="s">
        <v>281</v>
      </c>
      <c r="E2771" s="176" t="s">
        <v>13</v>
      </c>
      <c r="F2771" s="179"/>
      <c r="G2771" s="177" t="str">
        <f>IF(B2771="insumo",_xlfn.XLOOKUP($D2771,Insumos!$B$1:$B$764,Insumos!$D$1:$D$764),"")</f>
        <v/>
      </c>
      <c r="H2771" s="177" cm="1">
        <f t="array" ref="H2771">_xlfn.IFS(B2771="Serviço",SUMIFS(H2772:$H$3085,C2772:$C$3085,$C2771),B2771="Insumo",F2771*G2771,B2771="Etapa","")</f>
        <v>150</v>
      </c>
      <c r="I2771" s="178" t="s">
        <v>195</v>
      </c>
    </row>
    <row r="2772" spans="1:9" hidden="1" outlineLevel="2" x14ac:dyDescent="0.25">
      <c r="A2772" s="175">
        <f t="shared" si="94"/>
        <v>1</v>
      </c>
      <c r="B2772" s="175" t="s">
        <v>327</v>
      </c>
      <c r="C2772" s="175" t="str">
        <f t="shared" si="93"/>
        <v>Mão de obra para aplicação de Pedra Natural em paredes externas</v>
      </c>
      <c r="D2772" s="175" t="s">
        <v>281</v>
      </c>
      <c r="E2772" s="176" t="str">
        <f>_xlfn.XLOOKUP(D2772,Insumos!$B$1:$B$764,Insumos!$C$1:$C$764)</f>
        <v>M2</v>
      </c>
      <c r="F2772" s="179">
        <v>1</v>
      </c>
      <c r="G2772" s="177">
        <f>IF(B2772="insumo",_xlfn.XLOOKUP($D2772,Insumos!$B$1:$B$764,Insumos!$D$1:$D$764),"")</f>
        <v>150</v>
      </c>
      <c r="H2772" s="177" cm="1">
        <f t="array" ref="H2772">_xlfn.IFS(B2772="Serviço",SUMIFS(H2773:$H$3085,C2773:$C$3085,$C2772),B2772="Insumo",F2772*G2772,B2772="Etapa","")</f>
        <v>150</v>
      </c>
      <c r="I2772" s="178"/>
    </row>
    <row r="2773" spans="1:9" outlineLevel="1" collapsed="1" x14ac:dyDescent="0.25">
      <c r="A2773" s="175">
        <f t="shared" si="94"/>
        <v>1</v>
      </c>
      <c r="B2773" s="175" t="s">
        <v>109</v>
      </c>
      <c r="C2773" s="175" t="str">
        <f t="shared" si="93"/>
        <v>Mão de obra para execução de fachada ventilada</v>
      </c>
      <c r="D2773" s="175" t="s">
        <v>921</v>
      </c>
      <c r="E2773" s="176" t="s">
        <v>13</v>
      </c>
      <c r="F2773" s="179"/>
      <c r="G2773" s="177" t="str">
        <f>IF(B2773="insumo",_xlfn.XLOOKUP($D2773,Insumos!$B$1:$B$764,Insumos!$D$1:$D$764),"")</f>
        <v/>
      </c>
      <c r="H2773" s="177" cm="1">
        <f t="array" ref="H2773">_xlfn.IFS(B2773="Serviço",SUMIFS(H2774:$H$3085,C2774:$C$3085,$C2773),B2773="Insumo",F2773*G2773,B2773="Etapa","")</f>
        <v>175</v>
      </c>
      <c r="I2773" s="178" t="s">
        <v>195</v>
      </c>
    </row>
    <row r="2774" spans="1:9" hidden="1" outlineLevel="2" x14ac:dyDescent="0.25">
      <c r="A2774" s="175">
        <f t="shared" si="94"/>
        <v>1</v>
      </c>
      <c r="B2774" s="175" t="s">
        <v>327</v>
      </c>
      <c r="C2774" s="175" t="str">
        <f t="shared" si="93"/>
        <v>Mão de obra para execução de fachada ventilada</v>
      </c>
      <c r="D2774" s="175" t="s">
        <v>921</v>
      </c>
      <c r="E2774" s="176" t="str">
        <f>_xlfn.XLOOKUP(D2774,Insumos!$B$1:$B$764,Insumos!$C$1:$C$764)</f>
        <v>m2</v>
      </c>
      <c r="F2774" s="179">
        <v>1</v>
      </c>
      <c r="G2774" s="177">
        <f>IF(B2774="insumo",_xlfn.XLOOKUP($D2774,Insumos!$B$1:$B$764,Insumos!$D$1:$D$764),"")</f>
        <v>175</v>
      </c>
      <c r="H2774" s="177" cm="1">
        <f t="array" ref="H2774">_xlfn.IFS(B2774="Serviço",SUMIFS(H2775:$H$3085,C2775:$C$3085,$C2774),B2774="Insumo",F2774*G2774,B2774="Etapa","")</f>
        <v>175</v>
      </c>
      <c r="I2774" s="178" t="s">
        <v>922</v>
      </c>
    </row>
    <row r="2775" spans="1:9" outlineLevel="1" collapsed="1" x14ac:dyDescent="0.25">
      <c r="A2775" s="175">
        <f t="shared" si="94"/>
        <v>1</v>
      </c>
      <c r="B2775" s="175" t="s">
        <v>109</v>
      </c>
      <c r="C2775" s="175" t="str">
        <f t="shared" si="93"/>
        <v>Mão de obra estucamento externo de paredes</v>
      </c>
      <c r="D2775" s="175" t="s">
        <v>6613</v>
      </c>
      <c r="E2775" s="176" t="s">
        <v>13</v>
      </c>
      <c r="F2775" s="179"/>
      <c r="G2775" s="177" t="str">
        <f>IF(B2775="insumo",_xlfn.XLOOKUP($D2775,Insumos!$B$1:$B$764,Insumos!$D$1:$D$764),"")</f>
        <v/>
      </c>
      <c r="H2775" s="177" cm="1">
        <f t="array" ref="H2775">_xlfn.IFS(B2775="Serviço",SUMIFS(H2776:$H$3085,C2776:$C$3085,$C2775),B2775="Insumo",F2775*G2775,B2775="Etapa","")</f>
        <v>31</v>
      </c>
      <c r="I2775" s="178" t="s">
        <v>195</v>
      </c>
    </row>
    <row r="2776" spans="1:9" hidden="1" outlineLevel="2" x14ac:dyDescent="0.25">
      <c r="A2776" s="175">
        <f t="shared" si="94"/>
        <v>1</v>
      </c>
      <c r="B2776" s="175" t="s">
        <v>327</v>
      </c>
      <c r="C2776" s="175" t="str">
        <f t="shared" si="93"/>
        <v>Mão de obra estucamento externo de paredes</v>
      </c>
      <c r="D2776" s="175" t="s">
        <v>6613</v>
      </c>
      <c r="E2776" s="176" t="str">
        <f>_xlfn.XLOOKUP(D2776,Insumos!$B$1:$B$764,Insumos!$C$1:$C$764)</f>
        <v>M2</v>
      </c>
      <c r="F2776" s="179">
        <v>1</v>
      </c>
      <c r="G2776" s="177">
        <f>IF(B2776="insumo",_xlfn.XLOOKUP($D2776,Insumos!$B$1:$B$764,Insumos!$D$1:$D$764),"")</f>
        <v>31</v>
      </c>
      <c r="H2776" s="177" cm="1">
        <f t="array" ref="H2776">_xlfn.IFS(B2776="Serviço",SUMIFS(H2777:$H$3085,C2777:$C$3085,$C2776),B2776="Insumo",F2776*G2776,B2776="Etapa","")</f>
        <v>31</v>
      </c>
      <c r="I2776" s="178"/>
    </row>
    <row r="2777" spans="1:9" x14ac:dyDescent="0.25">
      <c r="A2777" s="172">
        <f t="shared" si="94"/>
        <v>1</v>
      </c>
      <c r="B2777" s="172" t="s">
        <v>107</v>
      </c>
      <c r="C2777" s="172"/>
      <c r="D2777" s="172" t="s">
        <v>923</v>
      </c>
      <c r="E2777" s="173"/>
      <c r="F2777" s="174"/>
      <c r="G2777" s="180" t="str">
        <f>IF(B2777="insumo",_xlfn.XLOOKUP($D2777,Insumos!$B$1:$B$764,Insumos!$D$1:$D$764),"")</f>
        <v/>
      </c>
      <c r="H2777" s="177" t="str" cm="1">
        <f t="array" ref="H2777">_xlfn.IFS(B2777="Serviço",SUMIFS(H2778:$H$3085,C2778:$C$3085,$C2777),B2777="Insumo",F2777*G2777,B2777="Etapa","")</f>
        <v/>
      </c>
      <c r="I2777" s="174"/>
    </row>
    <row r="2778" spans="1:9" outlineLevel="1" collapsed="1" x14ac:dyDescent="0.25">
      <c r="A2778" s="175">
        <f t="shared" si="94"/>
        <v>1</v>
      </c>
      <c r="B2778" s="175" t="s">
        <v>109</v>
      </c>
      <c r="C2778" s="175" t="str">
        <f t="shared" si="93"/>
        <v>Banheiro - Bacia Sanitária / Caixa Acoplada</v>
      </c>
      <c r="D2778" s="188" t="s">
        <v>924</v>
      </c>
      <c r="E2778" s="176" t="s">
        <v>131</v>
      </c>
      <c r="F2778" s="189" t="s">
        <v>124</v>
      </c>
      <c r="G2778" s="177" t="str">
        <f>IF(B2778="insumo",_xlfn.XLOOKUP($D2778,Insumos!$B$1:$B$764,Insumos!$D$1:$D$764),"")</f>
        <v/>
      </c>
      <c r="H2778" s="177" cm="1">
        <f t="array" ref="H2778">_xlfn.IFS(B2778="Serviço",SUMIFS(H2779:$H$3085,C2779:$C$3085,$C2778),B2778="Insumo",F2778*G2778,B2778="Etapa","")</f>
        <v>952.59879999999998</v>
      </c>
      <c r="I2778" s="178" t="s">
        <v>195</v>
      </c>
    </row>
    <row r="2779" spans="1:9" hidden="1" outlineLevel="2" x14ac:dyDescent="0.25">
      <c r="A2779" s="175">
        <f t="shared" si="94"/>
        <v>2</v>
      </c>
      <c r="B2779" s="175" t="s">
        <v>327</v>
      </c>
      <c r="C2779" s="175" t="str">
        <f t="shared" si="93"/>
        <v>Banheiro - Bacia Sanitária / Caixa Acoplada</v>
      </c>
      <c r="D2779" s="175" t="s">
        <v>1124</v>
      </c>
      <c r="E2779" s="176" t="str">
        <f>_xlfn.XLOOKUP(D2779,Insumos!$B$1:$B$764,Insumos!$C$1:$C$764)</f>
        <v>UN</v>
      </c>
      <c r="F2779" s="179">
        <v>1</v>
      </c>
      <c r="G2779" s="177">
        <v>900</v>
      </c>
      <c r="H2779" s="177" cm="1">
        <f t="array" ref="H2779">_xlfn.IFS(B2779="Serviço",SUMIFS(H2780:$H$3085,C2780:$C$3085,$C2779),B2779="Insumo",F2779*G2779,B2779="Etapa","")</f>
        <v>900</v>
      </c>
      <c r="I2779" s="178"/>
    </row>
    <row r="2780" spans="1:9" hidden="1" outlineLevel="2" x14ac:dyDescent="0.25">
      <c r="A2780" s="175">
        <f t="shared" si="94"/>
        <v>2</v>
      </c>
      <c r="B2780" s="175" t="s">
        <v>327</v>
      </c>
      <c r="C2780" s="175" t="str">
        <f t="shared" si="93"/>
        <v>Banheiro - Bacia Sanitária / Caixa Acoplada</v>
      </c>
      <c r="D2780" s="175" t="s">
        <v>926</v>
      </c>
      <c r="E2780" s="176" t="str">
        <f>_xlfn.XLOOKUP(D2780,Insumos!$B$1:$B$764,Insumos!$C$1:$C$764)</f>
        <v>UN</v>
      </c>
      <c r="F2780" s="179">
        <v>2</v>
      </c>
      <c r="G2780" s="177">
        <f>IF(B2780="insumo",_xlfn.XLOOKUP($D2780,Insumos!$B$1:$B$764,Insumos!$D$1:$D$764),"")</f>
        <v>0.34</v>
      </c>
      <c r="H2780" s="177" cm="1">
        <f t="array" ref="H2780">_xlfn.IFS(B2780="Serviço",SUMIFS(H2781:$H$3085,C2781:$C$3085,$C2780),B2780="Insumo",F2780*G2780,B2780="Etapa","")</f>
        <v>0.68</v>
      </c>
      <c r="I2780" s="178"/>
    </row>
    <row r="2781" spans="1:9" hidden="1" outlineLevel="2" x14ac:dyDescent="0.25">
      <c r="A2781" s="175">
        <f t="shared" si="94"/>
        <v>3</v>
      </c>
      <c r="B2781" s="175" t="s">
        <v>327</v>
      </c>
      <c r="C2781" s="175" t="str">
        <f t="shared" si="93"/>
        <v>Banheiro - Bacia Sanitária / Caixa Acoplada</v>
      </c>
      <c r="D2781" s="175" t="s">
        <v>927</v>
      </c>
      <c r="E2781" s="176" t="str">
        <f>_xlfn.XLOOKUP(D2781,Insumos!$B$1:$B$764,Insumos!$C$1:$C$764)</f>
        <v>UN</v>
      </c>
      <c r="F2781" s="179">
        <v>2</v>
      </c>
      <c r="G2781" s="177">
        <f>IF(B2781="insumo",_xlfn.XLOOKUP($D2781,Insumos!$B$1:$B$764,Insumos!$D$1:$D$764),"")</f>
        <v>5.95</v>
      </c>
      <c r="H2781" s="177" cm="1">
        <f t="array" ref="H2781">_xlfn.IFS(B2781="Serviço",SUMIFS(H2782:$H$3085,C2782:$C$3085,$C2781),B2781="Insumo",F2781*G2781,B2781="Etapa","")</f>
        <v>11.9</v>
      </c>
      <c r="I2781" s="178"/>
    </row>
    <row r="2782" spans="1:9" hidden="1" outlineLevel="2" x14ac:dyDescent="0.25">
      <c r="A2782" s="175">
        <f t="shared" si="94"/>
        <v>8</v>
      </c>
      <c r="B2782" s="175" t="s">
        <v>327</v>
      </c>
      <c r="C2782" s="175" t="str">
        <f t="shared" si="93"/>
        <v>Banheiro - Bacia Sanitária / Caixa Acoplada</v>
      </c>
      <c r="D2782" s="175" t="s">
        <v>928</v>
      </c>
      <c r="E2782" s="176" t="str">
        <f>_xlfn.XLOOKUP(D2782,Insumos!$B$1:$B$764,Insumos!$C$1:$C$764)</f>
        <v>M</v>
      </c>
      <c r="F2782" s="179">
        <v>1.1200000000000001</v>
      </c>
      <c r="G2782" s="177">
        <f>IF(B2782="insumo",_xlfn.XLOOKUP($D2782,Insumos!$B$1:$B$764,Insumos!$D$1:$D$764),"")</f>
        <v>0.24</v>
      </c>
      <c r="H2782" s="177" cm="1">
        <f t="array" ref="H2782">_xlfn.IFS(B2782="Serviço",SUMIFS(H2783:$H$3085,C2783:$C$3085,$C2782),B2782="Insumo",F2782*G2782,B2782="Etapa","")</f>
        <v>0.26880000000000004</v>
      </c>
      <c r="I2782" s="178"/>
    </row>
    <row r="2783" spans="1:9" hidden="1" outlineLevel="2" x14ac:dyDescent="0.25">
      <c r="A2783" s="175">
        <f t="shared" si="94"/>
        <v>3</v>
      </c>
      <c r="B2783" s="175" t="s">
        <v>327</v>
      </c>
      <c r="C2783" s="175" t="str">
        <f t="shared" si="93"/>
        <v>Banheiro - Bacia Sanitária / Caixa Acoplada</v>
      </c>
      <c r="D2783" s="175" t="s">
        <v>929</v>
      </c>
      <c r="E2783" s="176" t="str">
        <f>_xlfn.XLOOKUP(D2783,Insumos!$B$1:$B$764,Insumos!$C$1:$C$764)</f>
        <v>UN</v>
      </c>
      <c r="F2783" s="179">
        <v>1</v>
      </c>
      <c r="G2783" s="177">
        <f>IF(B2783="insumo",_xlfn.XLOOKUP($D2783,Insumos!$B$1:$B$764,Insumos!$D$1:$D$764),"")</f>
        <v>5</v>
      </c>
      <c r="H2783" s="177" cm="1">
        <f t="array" ref="H2783">_xlfn.IFS(B2783="Serviço",SUMIFS(H2784:$H$3085,C2784:$C$3085,$C2783),B2783="Insumo",F2783*G2783,B2783="Etapa","")</f>
        <v>5</v>
      </c>
      <c r="I2783" s="178"/>
    </row>
    <row r="2784" spans="1:9" hidden="1" outlineLevel="2" x14ac:dyDescent="0.25">
      <c r="A2784" s="175">
        <f t="shared" si="94"/>
        <v>11</v>
      </c>
      <c r="B2784" s="175" t="s">
        <v>327</v>
      </c>
      <c r="C2784" s="175" t="str">
        <f t="shared" si="93"/>
        <v>Banheiro - Bacia Sanitária / Caixa Acoplada</v>
      </c>
      <c r="D2784" s="175" t="s">
        <v>930</v>
      </c>
      <c r="E2784" s="176" t="str">
        <f>_xlfn.XLOOKUP(D2784,Insumos!$B$1:$B$764,Insumos!$C$1:$C$764)</f>
        <v>UN</v>
      </c>
      <c r="F2784" s="179">
        <v>0.25</v>
      </c>
      <c r="G2784" s="177">
        <f>IF(B2784="insumo",_xlfn.XLOOKUP($D2784,Insumos!$B$1:$B$764,Insumos!$D$1:$D$764),"")</f>
        <v>75</v>
      </c>
      <c r="H2784" s="177" cm="1">
        <f t="array" ref="H2784">_xlfn.IFS(B2784="Serviço",SUMIFS(H2785:$H$3085,C2785:$C$3085,$C2784),B2784="Insumo",F2784*G2784,B2784="Etapa","")</f>
        <v>18.75</v>
      </c>
      <c r="I2784" s="178"/>
    </row>
    <row r="2785" spans="1:9" hidden="1" outlineLevel="2" x14ac:dyDescent="0.25">
      <c r="A2785" s="175">
        <f t="shared" si="94"/>
        <v>11</v>
      </c>
      <c r="B2785" s="175" t="s">
        <v>327</v>
      </c>
      <c r="C2785" s="175" t="str">
        <f t="shared" si="93"/>
        <v>Banheiro - Bacia Sanitária / Caixa Acoplada</v>
      </c>
      <c r="D2785" s="175" t="s">
        <v>931</v>
      </c>
      <c r="E2785" s="176" t="str">
        <f>_xlfn.XLOOKUP(D2785,Insumos!$B$1:$B$764,Insumos!$C$1:$C$764)</f>
        <v>UN</v>
      </c>
      <c r="F2785" s="179">
        <v>1</v>
      </c>
      <c r="G2785" s="177">
        <f>IF(B2785="insumo",_xlfn.XLOOKUP($D2785,Insumos!$B$1:$B$764,Insumos!$D$1:$D$764),"")</f>
        <v>16</v>
      </c>
      <c r="H2785" s="177" cm="1">
        <f t="array" ref="H2785">_xlfn.IFS(B2785="Serviço",SUMIFS(H2786:$H$3085,C2786:$C$3085,$C2785),B2785="Insumo",F2785*G2785,B2785="Etapa","")</f>
        <v>16</v>
      </c>
      <c r="I2785" s="178"/>
    </row>
    <row r="2786" spans="1:9" outlineLevel="1" collapsed="1" x14ac:dyDescent="0.25">
      <c r="A2786" s="175">
        <f t="shared" si="94"/>
        <v>1</v>
      </c>
      <c r="B2786" s="175" t="s">
        <v>109</v>
      </c>
      <c r="C2786" s="175" t="str">
        <f t="shared" si="93"/>
        <v>Banheiro - Mictório / Caixa Acoplada</v>
      </c>
      <c r="D2786" s="188" t="s">
        <v>932</v>
      </c>
      <c r="E2786" s="176" t="s">
        <v>131</v>
      </c>
      <c r="F2786" s="189" t="s">
        <v>124</v>
      </c>
      <c r="G2786" s="177" t="str">
        <f>IF(B2786="insumo",_xlfn.XLOOKUP($D2786,Insumos!$B$1:$B$764,Insumos!$D$1:$D$764),"")</f>
        <v/>
      </c>
      <c r="H2786" s="177" cm="1">
        <f t="array" ref="H2786">_xlfn.IFS(B2786="Serviço",SUMIFS(H2787:$H$3085,C2787:$C$3085,$C2786),B2786="Insumo",F2786*G2786,B2786="Etapa","")</f>
        <v>1063</v>
      </c>
      <c r="I2786" s="178" t="s">
        <v>195</v>
      </c>
    </row>
    <row r="2787" spans="1:9" hidden="1" outlineLevel="2" x14ac:dyDescent="0.25">
      <c r="A2787" s="175">
        <f t="shared" si="94"/>
        <v>1</v>
      </c>
      <c r="B2787" s="175" t="s">
        <v>327</v>
      </c>
      <c r="C2787" s="175" t="str">
        <f t="shared" si="93"/>
        <v>Banheiro - Mictório / Caixa Acoplada</v>
      </c>
      <c r="D2787" s="175" t="s">
        <v>933</v>
      </c>
      <c r="E2787" s="176" t="str">
        <f>_xlfn.XLOOKUP(D2787,Insumos!$B$1:$B$764,Insumos!$C$1:$C$764)</f>
        <v>UN</v>
      </c>
      <c r="F2787" s="179">
        <v>1</v>
      </c>
      <c r="G2787" s="177">
        <f>IF(B2787="insumo",_xlfn.XLOOKUP($D2787,Insumos!$B$1:$B$764,Insumos!$D$1:$D$764),"")</f>
        <v>1010.4012000000001</v>
      </c>
      <c r="H2787" s="177" cm="1">
        <f t="array" ref="H2787">_xlfn.IFS(B2787="Serviço",SUMIFS(H2788:$H$3085,C2788:$C$3085,$C2787),B2787="Insumo",F2787*G2787,B2787="Etapa","")</f>
        <v>1010.4012000000001</v>
      </c>
      <c r="I2787" s="178"/>
    </row>
    <row r="2788" spans="1:9" hidden="1" outlineLevel="2" x14ac:dyDescent="0.25">
      <c r="A2788" s="175">
        <f t="shared" si="94"/>
        <v>2</v>
      </c>
      <c r="B2788" s="175" t="s">
        <v>327</v>
      </c>
      <c r="C2788" s="175" t="str">
        <f t="shared" si="93"/>
        <v>Banheiro - Mictório / Caixa Acoplada</v>
      </c>
      <c r="D2788" s="175" t="s">
        <v>926</v>
      </c>
      <c r="E2788" s="176" t="str">
        <f>_xlfn.XLOOKUP(D2788,Insumos!$B$1:$B$764,Insumos!$C$1:$C$764)</f>
        <v>UN</v>
      </c>
      <c r="F2788" s="179">
        <v>2</v>
      </c>
      <c r="G2788" s="177">
        <f>IF(B2788="insumo",_xlfn.XLOOKUP($D2788,Insumos!$B$1:$B$764,Insumos!$D$1:$D$764),"")</f>
        <v>0.34</v>
      </c>
      <c r="H2788" s="177" cm="1">
        <f t="array" ref="H2788">_xlfn.IFS(B2788="Serviço",SUMIFS(H2789:$H$3085,C2789:$C$3085,$C2788),B2788="Insumo",F2788*G2788,B2788="Etapa","")</f>
        <v>0.68</v>
      </c>
      <c r="I2788" s="178"/>
    </row>
    <row r="2789" spans="1:9" hidden="1" outlineLevel="2" x14ac:dyDescent="0.25">
      <c r="A2789" s="175">
        <f t="shared" si="94"/>
        <v>3</v>
      </c>
      <c r="B2789" s="175" t="s">
        <v>327</v>
      </c>
      <c r="C2789" s="175" t="str">
        <f t="shared" si="93"/>
        <v>Banheiro - Mictório / Caixa Acoplada</v>
      </c>
      <c r="D2789" s="175" t="s">
        <v>927</v>
      </c>
      <c r="E2789" s="176" t="str">
        <f>_xlfn.XLOOKUP(D2789,Insumos!$B$1:$B$764,Insumos!$C$1:$C$764)</f>
        <v>UN</v>
      </c>
      <c r="F2789" s="179">
        <v>2</v>
      </c>
      <c r="G2789" s="177">
        <f>IF(B2789="insumo",_xlfn.XLOOKUP($D2789,Insumos!$B$1:$B$764,Insumos!$D$1:$D$764),"")</f>
        <v>5.95</v>
      </c>
      <c r="H2789" s="177" cm="1">
        <f t="array" ref="H2789">_xlfn.IFS(B2789="Serviço",SUMIFS(H2790:$H$3085,C2790:$C$3085,$C2789),B2789="Insumo",F2789*G2789,B2789="Etapa","")</f>
        <v>11.9</v>
      </c>
      <c r="I2789" s="178"/>
    </row>
    <row r="2790" spans="1:9" hidden="1" outlineLevel="2" x14ac:dyDescent="0.25">
      <c r="A2790" s="175">
        <f t="shared" si="94"/>
        <v>8</v>
      </c>
      <c r="B2790" s="175" t="s">
        <v>327</v>
      </c>
      <c r="C2790" s="175" t="str">
        <f t="shared" si="93"/>
        <v>Banheiro - Mictório / Caixa Acoplada</v>
      </c>
      <c r="D2790" s="175" t="s">
        <v>928</v>
      </c>
      <c r="E2790" s="176" t="str">
        <f>_xlfn.XLOOKUP(D2790,Insumos!$B$1:$B$764,Insumos!$C$1:$C$764)</f>
        <v>M</v>
      </c>
      <c r="F2790" s="179">
        <v>1.1200000000000001</v>
      </c>
      <c r="G2790" s="177">
        <f>IF(B2790="insumo",_xlfn.XLOOKUP($D2790,Insumos!$B$1:$B$764,Insumos!$D$1:$D$764),"")</f>
        <v>0.24</v>
      </c>
      <c r="H2790" s="177" cm="1">
        <f t="array" ref="H2790">_xlfn.IFS(B2790="Serviço",SUMIFS(H2791:$H$3085,C2791:$C$3085,$C2790),B2790="Insumo",F2790*G2790,B2790="Etapa","")</f>
        <v>0.26880000000000004</v>
      </c>
      <c r="I2790" s="178"/>
    </row>
    <row r="2791" spans="1:9" hidden="1" outlineLevel="2" x14ac:dyDescent="0.25">
      <c r="A2791" s="175">
        <f t="shared" si="94"/>
        <v>3</v>
      </c>
      <c r="B2791" s="175" t="s">
        <v>327</v>
      </c>
      <c r="C2791" s="175" t="str">
        <f t="shared" si="93"/>
        <v>Banheiro - Mictório / Caixa Acoplada</v>
      </c>
      <c r="D2791" s="175" t="s">
        <v>929</v>
      </c>
      <c r="E2791" s="176" t="str">
        <f>_xlfn.XLOOKUP(D2791,Insumos!$B$1:$B$764,Insumos!$C$1:$C$764)</f>
        <v>UN</v>
      </c>
      <c r="F2791" s="179">
        <v>1</v>
      </c>
      <c r="G2791" s="177">
        <f>IF(B2791="insumo",_xlfn.XLOOKUP($D2791,Insumos!$B$1:$B$764,Insumos!$D$1:$D$764),"")</f>
        <v>5</v>
      </c>
      <c r="H2791" s="177" cm="1">
        <f t="array" ref="H2791">_xlfn.IFS(B2791="Serviço",SUMIFS(H2792:$H$3085,C2792:$C$3085,$C2791),B2791="Insumo",F2791*G2791,B2791="Etapa","")</f>
        <v>5</v>
      </c>
      <c r="I2791" s="178"/>
    </row>
    <row r="2792" spans="1:9" hidden="1" outlineLevel="2" x14ac:dyDescent="0.25">
      <c r="A2792" s="175">
        <f t="shared" si="94"/>
        <v>11</v>
      </c>
      <c r="B2792" s="175" t="s">
        <v>327</v>
      </c>
      <c r="C2792" s="175" t="str">
        <f t="shared" si="93"/>
        <v>Banheiro - Mictório / Caixa Acoplada</v>
      </c>
      <c r="D2792" s="175" t="s">
        <v>930</v>
      </c>
      <c r="E2792" s="176" t="str">
        <f>_xlfn.XLOOKUP(D2792,Insumos!$B$1:$B$764,Insumos!$C$1:$C$764)</f>
        <v>UN</v>
      </c>
      <c r="F2792" s="179">
        <v>0.25</v>
      </c>
      <c r="G2792" s="177">
        <f>IF(B2792="insumo",_xlfn.XLOOKUP($D2792,Insumos!$B$1:$B$764,Insumos!$D$1:$D$764),"")</f>
        <v>75</v>
      </c>
      <c r="H2792" s="177" cm="1">
        <f t="array" ref="H2792">_xlfn.IFS(B2792="Serviço",SUMIFS(H2793:$H$3085,C2793:$C$3085,$C2792),B2792="Insumo",F2792*G2792,B2792="Etapa","")</f>
        <v>18.75</v>
      </c>
      <c r="I2792" s="178"/>
    </row>
    <row r="2793" spans="1:9" hidden="1" outlineLevel="2" x14ac:dyDescent="0.25">
      <c r="A2793" s="175">
        <f t="shared" si="94"/>
        <v>11</v>
      </c>
      <c r="B2793" s="175" t="s">
        <v>327</v>
      </c>
      <c r="C2793" s="175" t="str">
        <f t="shared" si="93"/>
        <v>Banheiro - Mictório / Caixa Acoplada</v>
      </c>
      <c r="D2793" s="175" t="s">
        <v>931</v>
      </c>
      <c r="E2793" s="176" t="str">
        <f>_xlfn.XLOOKUP(D2793,Insumos!$B$1:$B$764,Insumos!$C$1:$C$764)</f>
        <v>UN</v>
      </c>
      <c r="F2793" s="179">
        <v>1</v>
      </c>
      <c r="G2793" s="177">
        <f>IF(B2793="insumo",_xlfn.XLOOKUP($D2793,Insumos!$B$1:$B$764,Insumos!$D$1:$D$764),"")</f>
        <v>16</v>
      </c>
      <c r="H2793" s="177" cm="1">
        <f t="array" ref="H2793">_xlfn.IFS(B2793="Serviço",SUMIFS(H2794:$H$3085,C2794:$C$3085,$C2793),B2793="Insumo",F2793*G2793,B2793="Etapa","")</f>
        <v>16</v>
      </c>
      <c r="I2793" s="178"/>
    </row>
    <row r="2794" spans="1:9" outlineLevel="1" collapsed="1" x14ac:dyDescent="0.25">
      <c r="A2794" s="175">
        <f t="shared" si="94"/>
        <v>1</v>
      </c>
      <c r="B2794" s="175" t="s">
        <v>109</v>
      </c>
      <c r="C2794" s="175" t="str">
        <f t="shared" si="93"/>
        <v>Banheiro - Bacia Sanitária PNE</v>
      </c>
      <c r="D2794" s="175" t="s">
        <v>934</v>
      </c>
      <c r="E2794" s="176" t="s">
        <v>131</v>
      </c>
      <c r="F2794" s="175" t="s">
        <v>124</v>
      </c>
      <c r="G2794" s="177" t="str">
        <f>IF(B2794="insumo",_xlfn.XLOOKUP($D2794,Insumos!$B$1:$B$764,Insumos!$D$1:$D$764),"")</f>
        <v/>
      </c>
      <c r="H2794" s="177" cm="1">
        <f t="array" ref="H2794">_xlfn.IFS(B2794="Serviço",SUMIFS(H2795:$H$3085,C2795:$C$3085,$C2794),B2794="Insumo",F2794*G2794,B2794="Etapa","")</f>
        <v>1166.57</v>
      </c>
      <c r="I2794" s="178" t="s">
        <v>195</v>
      </c>
    </row>
    <row r="2795" spans="1:9" hidden="1" outlineLevel="2" x14ac:dyDescent="0.25">
      <c r="A2795" s="175">
        <f t="shared" si="94"/>
        <v>3</v>
      </c>
      <c r="B2795" s="175" t="s">
        <v>327</v>
      </c>
      <c r="C2795" s="175" t="str">
        <f t="shared" si="93"/>
        <v>Banheiro - Bacia Sanitária PNE</v>
      </c>
      <c r="D2795" s="175" t="s">
        <v>935</v>
      </c>
      <c r="E2795" s="176" t="str">
        <f>_xlfn.XLOOKUP(D2795,Insumos!$B$1:$B$764,Insumos!$C$1:$C$764)</f>
        <v>UN</v>
      </c>
      <c r="F2795" s="179">
        <v>2</v>
      </c>
      <c r="G2795" s="177">
        <f>IF(B2795="insumo",_xlfn.XLOOKUP($D2795,Insumos!$B$1:$B$764,Insumos!$D$1:$D$764),"")</f>
        <v>0.34</v>
      </c>
      <c r="H2795" s="177" cm="1">
        <f t="array" ref="H2795">_xlfn.IFS(B2795="Serviço",SUMIFS(H2796:$H$3085,C2796:$C$3085,$C2795),B2795="Insumo",F2795*G2795,B2795="Etapa","")</f>
        <v>0.68</v>
      </c>
      <c r="I2795" s="178"/>
    </row>
    <row r="2796" spans="1:9" hidden="1" outlineLevel="2" x14ac:dyDescent="0.25">
      <c r="A2796" s="175">
        <f t="shared" si="94"/>
        <v>3</v>
      </c>
      <c r="B2796" s="175" t="s">
        <v>327</v>
      </c>
      <c r="C2796" s="175" t="str">
        <f t="shared" si="93"/>
        <v>Banheiro - Bacia Sanitária PNE</v>
      </c>
      <c r="D2796" s="175" t="s">
        <v>927</v>
      </c>
      <c r="E2796" s="176" t="str">
        <f>_xlfn.XLOOKUP(D2796,Insumos!$B$1:$B$764,Insumos!$C$1:$C$764)</f>
        <v>UN</v>
      </c>
      <c r="F2796" s="179">
        <v>2</v>
      </c>
      <c r="G2796" s="177">
        <f>IF(B2796="insumo",_xlfn.XLOOKUP($D2796,Insumos!$B$1:$B$764,Insumos!$D$1:$D$764),"")</f>
        <v>5.95</v>
      </c>
      <c r="H2796" s="177" cm="1">
        <f t="array" ref="H2796">_xlfn.IFS(B2796="Serviço",SUMIFS(H2797:$H$3085,C2797:$C$3085,$C2796),B2796="Insumo",F2796*G2796,B2796="Etapa","")</f>
        <v>11.9</v>
      </c>
      <c r="I2796" s="178"/>
    </row>
    <row r="2797" spans="1:9" hidden="1" outlineLevel="2" x14ac:dyDescent="0.25">
      <c r="A2797" s="175">
        <f t="shared" si="94"/>
        <v>3</v>
      </c>
      <c r="B2797" s="175" t="s">
        <v>327</v>
      </c>
      <c r="C2797" s="175" t="str">
        <f t="shared" si="93"/>
        <v>Banheiro - Bacia Sanitária PNE</v>
      </c>
      <c r="D2797" s="175" t="s">
        <v>929</v>
      </c>
      <c r="E2797" s="176" t="str">
        <f>_xlfn.XLOOKUP(D2797,Insumos!$B$1:$B$764,Insumos!$C$1:$C$764)</f>
        <v>UN</v>
      </c>
      <c r="F2797" s="179">
        <v>1</v>
      </c>
      <c r="G2797" s="177">
        <f>IF(B2797="insumo",_xlfn.XLOOKUP($D2797,Insumos!$B$1:$B$764,Insumos!$D$1:$D$764),"")</f>
        <v>5</v>
      </c>
      <c r="H2797" s="177" cm="1">
        <f t="array" ref="H2797">_xlfn.IFS(B2797="Serviço",SUMIFS(H2798:$H$3085,C2798:$C$3085,$C2797),B2797="Insumo",F2797*G2797,B2797="Etapa","")</f>
        <v>5</v>
      </c>
      <c r="I2797" s="178"/>
    </row>
    <row r="2798" spans="1:9" hidden="1" outlineLevel="2" x14ac:dyDescent="0.25">
      <c r="A2798" s="175">
        <f t="shared" si="94"/>
        <v>7</v>
      </c>
      <c r="B2798" s="175" t="s">
        <v>327</v>
      </c>
      <c r="C2798" s="175" t="str">
        <f t="shared" si="93"/>
        <v>Banheiro - Bacia Sanitária PNE</v>
      </c>
      <c r="D2798" s="175" t="s">
        <v>936</v>
      </c>
      <c r="E2798" s="176" t="str">
        <f>_xlfn.XLOOKUP(D2798,Insumos!$B$1:$B$764,Insumos!$C$1:$C$764)</f>
        <v>UN</v>
      </c>
      <c r="F2798" s="179">
        <v>0.4</v>
      </c>
      <c r="G2798" s="177">
        <f>IF(B2798="insumo",_xlfn.XLOOKUP($D2798,Insumos!$B$1:$B$764,Insumos!$D$1:$D$764),"")</f>
        <v>35.6</v>
      </c>
      <c r="H2798" s="177" cm="1">
        <f t="array" ref="H2798">_xlfn.IFS(B2798="Serviço",SUMIFS(H2799:$H$3085,C2799:$C$3085,$C2798),B2798="Insumo",F2798*G2798,B2798="Etapa","")</f>
        <v>14.240000000000002</v>
      </c>
      <c r="I2798" s="178"/>
    </row>
    <row r="2799" spans="1:9" hidden="1" outlineLevel="2" x14ac:dyDescent="0.25">
      <c r="A2799" s="175">
        <f t="shared" si="94"/>
        <v>11</v>
      </c>
      <c r="B2799" s="175" t="s">
        <v>327</v>
      </c>
      <c r="C2799" s="175" t="str">
        <f t="shared" si="93"/>
        <v>Banheiro - Bacia Sanitária PNE</v>
      </c>
      <c r="D2799" s="175" t="s">
        <v>930</v>
      </c>
      <c r="E2799" s="176" t="str">
        <f>_xlfn.XLOOKUP(D2799,Insumos!$B$1:$B$764,Insumos!$C$1:$C$764)</f>
        <v>UN</v>
      </c>
      <c r="F2799" s="179">
        <v>0.25</v>
      </c>
      <c r="G2799" s="177">
        <f>IF(B2799="insumo",_xlfn.XLOOKUP($D2799,Insumos!$B$1:$B$764,Insumos!$D$1:$D$764),"")</f>
        <v>75</v>
      </c>
      <c r="H2799" s="177" cm="1">
        <f t="array" ref="H2799">_xlfn.IFS(B2799="Serviço",SUMIFS(H2800:$H$3085,C2800:$C$3085,$C2799),B2799="Insumo",F2799*G2799,B2799="Etapa","")</f>
        <v>18.75</v>
      </c>
      <c r="I2799" s="178"/>
    </row>
    <row r="2800" spans="1:9" hidden="1" outlineLevel="2" x14ac:dyDescent="0.25">
      <c r="A2800" s="175">
        <f t="shared" si="94"/>
        <v>2</v>
      </c>
      <c r="B2800" s="175" t="s">
        <v>327</v>
      </c>
      <c r="C2800" s="175" t="str">
        <f t="shared" si="93"/>
        <v>Banheiro - Bacia Sanitária PNE</v>
      </c>
      <c r="D2800" s="175" t="s">
        <v>1124</v>
      </c>
      <c r="E2800" s="176" t="str">
        <f>_xlfn.XLOOKUP(D2800,Insumos!$B$1:$B$764,Insumos!$C$1:$C$764)</f>
        <v>UN</v>
      </c>
      <c r="F2800" s="179">
        <v>1</v>
      </c>
      <c r="G2800" s="177">
        <v>1100</v>
      </c>
      <c r="H2800" s="177" cm="1">
        <f t="array" ref="H2800">_xlfn.IFS(B2800="Serviço",SUMIFS(H2801:$H$3085,C2801:$C$3085,$C2800),B2800="Insumo",F2800*G2800,B2800="Etapa","")</f>
        <v>1100</v>
      </c>
      <c r="I2800" s="178"/>
    </row>
    <row r="2801" spans="1:9" hidden="1" outlineLevel="2" x14ac:dyDescent="0.25">
      <c r="A2801" s="175">
        <f t="shared" si="94"/>
        <v>11</v>
      </c>
      <c r="B2801" s="175" t="s">
        <v>327</v>
      </c>
      <c r="C2801" s="175" t="str">
        <f t="shared" si="93"/>
        <v>Banheiro - Bacia Sanitária PNE</v>
      </c>
      <c r="D2801" s="175" t="s">
        <v>931</v>
      </c>
      <c r="E2801" s="176" t="str">
        <f>_xlfn.XLOOKUP(D2801,Insumos!$B$1:$B$764,Insumos!$C$1:$C$764)</f>
        <v>UN</v>
      </c>
      <c r="F2801" s="179">
        <v>1</v>
      </c>
      <c r="G2801" s="177">
        <f>IF(B2801="insumo",_xlfn.XLOOKUP($D2801,Insumos!$B$1:$B$764,Insumos!$D$1:$D$764),"")</f>
        <v>16</v>
      </c>
      <c r="H2801" s="177" cm="1">
        <f t="array" ref="H2801">_xlfn.IFS(B2801="Serviço",SUMIFS(H2802:$H$3085,C2802:$C$3085,$C2801),B2801="Insumo",F2801*G2801,B2801="Etapa","")</f>
        <v>16</v>
      </c>
      <c r="I2801" s="178"/>
    </row>
    <row r="2802" spans="1:9" outlineLevel="1" collapsed="1" x14ac:dyDescent="0.25">
      <c r="A2802" s="175">
        <f t="shared" si="94"/>
        <v>1</v>
      </c>
      <c r="B2802" s="175" t="s">
        <v>109</v>
      </c>
      <c r="C2802" s="175" t="str">
        <f t="shared" ref="C2802:C2865" si="95">IF(B2802="serviço",D2802,C2801)</f>
        <v>Banheiro - Cuba</v>
      </c>
      <c r="D2802" s="188" t="s">
        <v>938</v>
      </c>
      <c r="E2802" s="176" t="s">
        <v>131</v>
      </c>
      <c r="F2802" s="189" t="s">
        <v>124</v>
      </c>
      <c r="G2802" s="177" t="str">
        <f>IF(B2802="insumo",_xlfn.XLOOKUP($D2802,Insumos!$B$1:$B$764,Insumos!$D$1:$D$764),"")</f>
        <v/>
      </c>
      <c r="H2802" s="177" cm="1">
        <f t="array" ref="H2802">_xlfn.IFS(B2802="Serviço",SUMIFS(H2803:$H$3085,C2803:$C$3085,$C2802),B2802="Insumo",F2802*G2802,B2802="Etapa","")</f>
        <v>415.78999999999991</v>
      </c>
      <c r="I2802" s="178" t="s">
        <v>195</v>
      </c>
    </row>
    <row r="2803" spans="1:9" hidden="1" outlineLevel="2" x14ac:dyDescent="0.25">
      <c r="A2803" s="175">
        <f t="shared" si="94"/>
        <v>1</v>
      </c>
      <c r="B2803" s="175" t="s">
        <v>327</v>
      </c>
      <c r="C2803" s="175" t="str">
        <f t="shared" si="95"/>
        <v>Banheiro - Cuba</v>
      </c>
      <c r="D2803" s="175" t="s">
        <v>939</v>
      </c>
      <c r="E2803" s="176" t="str">
        <f>_xlfn.XLOOKUP(D2803,Insumos!$B$1:$B$764,Insumos!$C$1:$C$764)</f>
        <v>UN</v>
      </c>
      <c r="F2803" s="179">
        <v>1</v>
      </c>
      <c r="G2803" s="177">
        <f>IF(B2803="insumo",_xlfn.XLOOKUP($D2803,Insumos!$B$1:$B$764,Insumos!$D$1:$D$764),"")</f>
        <v>272.89999999999998</v>
      </c>
      <c r="H2803" s="177" cm="1">
        <f t="array" ref="H2803">_xlfn.IFS(B2803="Serviço",SUMIFS(H2804:$H$3085,C2804:$C$3085,$C2803),B2803="Insumo",F2803*G2803,B2803="Etapa","")</f>
        <v>272.89999999999998</v>
      </c>
      <c r="I2803" s="178"/>
    </row>
    <row r="2804" spans="1:9" hidden="1" outlineLevel="2" x14ac:dyDescent="0.25">
      <c r="A2804" s="175">
        <f t="shared" si="94"/>
        <v>2</v>
      </c>
      <c r="B2804" s="175" t="s">
        <v>327</v>
      </c>
      <c r="C2804" s="175" t="str">
        <f t="shared" si="95"/>
        <v>Banheiro - Cuba</v>
      </c>
      <c r="D2804" s="175" t="s">
        <v>940</v>
      </c>
      <c r="E2804" s="176" t="str">
        <f>_xlfn.XLOOKUP(D2804,Insumos!$B$1:$B$764,Insumos!$C$1:$C$764)</f>
        <v>UN</v>
      </c>
      <c r="F2804" s="179">
        <v>1</v>
      </c>
      <c r="G2804" s="177">
        <f>IF(B2804="insumo",_xlfn.XLOOKUP($D2804,Insumos!$B$1:$B$764,Insumos!$D$1:$D$764),"")</f>
        <v>65</v>
      </c>
      <c r="H2804" s="177" cm="1">
        <f t="array" ref="H2804">_xlfn.IFS(B2804="Serviço",SUMIFS(H2805:$H$3085,C2805:$C$3085,$C2804),B2804="Insumo",F2804*G2804,B2804="Etapa","")</f>
        <v>65</v>
      </c>
      <c r="I2804" s="178"/>
    </row>
    <row r="2805" spans="1:9" hidden="1" outlineLevel="2" x14ac:dyDescent="0.25">
      <c r="A2805" s="175">
        <f t="shared" si="94"/>
        <v>3</v>
      </c>
      <c r="B2805" s="175" t="s">
        <v>327</v>
      </c>
      <c r="C2805" s="175" t="str">
        <f t="shared" si="95"/>
        <v>Banheiro - Cuba</v>
      </c>
      <c r="D2805" s="175" t="s">
        <v>935</v>
      </c>
      <c r="E2805" s="176" t="str">
        <f>_xlfn.XLOOKUP(D2805,Insumos!$B$1:$B$764,Insumos!$C$1:$C$764)</f>
        <v>UN</v>
      </c>
      <c r="F2805" s="179">
        <v>1</v>
      </c>
      <c r="G2805" s="177">
        <f>IF(B2805="insumo",_xlfn.XLOOKUP($D2805,Insumos!$B$1:$B$764,Insumos!$D$1:$D$764),"")</f>
        <v>0.34</v>
      </c>
      <c r="H2805" s="177" cm="1">
        <f t="array" ref="H2805">_xlfn.IFS(B2805="Serviço",SUMIFS(H2806:$H$3085,C2806:$C$3085,$C2805),B2805="Insumo",F2805*G2805,B2805="Etapa","")</f>
        <v>0.34</v>
      </c>
      <c r="I2805" s="178"/>
    </row>
    <row r="2806" spans="1:9" hidden="1" outlineLevel="2" x14ac:dyDescent="0.25">
      <c r="A2806" s="175">
        <f t="shared" si="94"/>
        <v>2</v>
      </c>
      <c r="B2806" s="175" t="s">
        <v>327</v>
      </c>
      <c r="C2806" s="175" t="str">
        <f t="shared" si="95"/>
        <v>Banheiro - Cuba</v>
      </c>
      <c r="D2806" s="175" t="s">
        <v>941</v>
      </c>
      <c r="E2806" s="176" t="str">
        <f>_xlfn.XLOOKUP(D2806,Insumos!$B$1:$B$764,Insumos!$C$1:$C$764)</f>
        <v>UN</v>
      </c>
      <c r="F2806" s="179">
        <v>2</v>
      </c>
      <c r="G2806" s="177">
        <f>IF(B2806="insumo",_xlfn.XLOOKUP($D2806,Insumos!$B$1:$B$764,Insumos!$D$1:$D$764),"")</f>
        <v>5.95</v>
      </c>
      <c r="H2806" s="177" cm="1">
        <f t="array" ref="H2806">_xlfn.IFS(B2806="Serviço",SUMIFS(H2807:$H$3085,C2807:$C$3085,$C2806),B2806="Insumo",F2806*G2806,B2806="Etapa","")</f>
        <v>11.9</v>
      </c>
      <c r="I2806" s="178"/>
    </row>
    <row r="2807" spans="1:9" hidden="1" outlineLevel="2" x14ac:dyDescent="0.25">
      <c r="A2807" s="175">
        <f t="shared" si="94"/>
        <v>11</v>
      </c>
      <c r="B2807" s="175" t="s">
        <v>327</v>
      </c>
      <c r="C2807" s="175" t="str">
        <f t="shared" si="95"/>
        <v>Banheiro - Cuba</v>
      </c>
      <c r="D2807" s="175" t="s">
        <v>930</v>
      </c>
      <c r="E2807" s="176" t="str">
        <f>_xlfn.XLOOKUP(D2807,Insumos!$B$1:$B$764,Insumos!$C$1:$C$764)</f>
        <v>UN</v>
      </c>
      <c r="F2807" s="179">
        <v>0.25</v>
      </c>
      <c r="G2807" s="177">
        <f>IF(B2807="insumo",_xlfn.XLOOKUP($D2807,Insumos!$B$1:$B$764,Insumos!$D$1:$D$764),"")</f>
        <v>75</v>
      </c>
      <c r="H2807" s="177" cm="1">
        <f t="array" ref="H2807">_xlfn.IFS(B2807="Serviço",SUMIFS(H2808:$H$3085,C2808:$C$3085,$C2807),B2807="Insumo",F2807*G2807,B2807="Etapa","")</f>
        <v>18.75</v>
      </c>
      <c r="I2807" s="178"/>
    </row>
    <row r="2808" spans="1:9" hidden="1" outlineLevel="2" x14ac:dyDescent="0.25">
      <c r="A2808" s="175">
        <f t="shared" si="94"/>
        <v>11</v>
      </c>
      <c r="B2808" s="175" t="s">
        <v>327</v>
      </c>
      <c r="C2808" s="175" t="str">
        <f t="shared" si="95"/>
        <v>Banheiro - Cuba</v>
      </c>
      <c r="D2808" s="175" t="s">
        <v>931</v>
      </c>
      <c r="E2808" s="176" t="str">
        <f>_xlfn.XLOOKUP(D2808,Insumos!$B$1:$B$764,Insumos!$C$1:$C$764)</f>
        <v>UN</v>
      </c>
      <c r="F2808" s="179">
        <v>1</v>
      </c>
      <c r="G2808" s="177">
        <f>IF(B2808="insumo",_xlfn.XLOOKUP($D2808,Insumos!$B$1:$B$764,Insumos!$D$1:$D$764),"")</f>
        <v>16</v>
      </c>
      <c r="H2808" s="177" cm="1">
        <f t="array" ref="H2808">_xlfn.IFS(B2808="Serviço",SUMIFS(H2809:$H$3085,C2809:$C$3085,$C2808),B2808="Insumo",F2808*G2808,B2808="Etapa","")</f>
        <v>16</v>
      </c>
      <c r="I2808" s="178"/>
    </row>
    <row r="2809" spans="1:9" hidden="1" outlineLevel="2" x14ac:dyDescent="0.25">
      <c r="A2809" s="175">
        <f t="shared" si="94"/>
        <v>2</v>
      </c>
      <c r="B2809" s="175" t="s">
        <v>327</v>
      </c>
      <c r="C2809" s="175" t="str">
        <f t="shared" si="95"/>
        <v>Banheiro - Cuba</v>
      </c>
      <c r="D2809" s="175" t="s">
        <v>942</v>
      </c>
      <c r="E2809" s="176" t="str">
        <f>_xlfn.XLOOKUP(D2809,Insumos!$B$1:$B$764,Insumos!$C$1:$C$764)</f>
        <v>UN</v>
      </c>
      <c r="F2809" s="179">
        <v>1</v>
      </c>
      <c r="G2809" s="177">
        <f>IF(B2809="insumo",_xlfn.XLOOKUP($D2809,Insumos!$B$1:$B$764,Insumos!$D$1:$D$764),"")</f>
        <v>8.9</v>
      </c>
      <c r="H2809" s="177" cm="1">
        <f t="array" ref="H2809">_xlfn.IFS(B2809="Serviço",SUMIFS(H2810:$H$3085,C2810:$C$3085,$C2809),B2809="Insumo",F2809*G2809,B2809="Etapa","")</f>
        <v>8.9</v>
      </c>
      <c r="I2809" s="178"/>
    </row>
    <row r="2810" spans="1:9" hidden="1" outlineLevel="2" x14ac:dyDescent="0.25">
      <c r="A2810" s="175">
        <f t="shared" si="94"/>
        <v>2</v>
      </c>
      <c r="B2810" s="175" t="s">
        <v>327</v>
      </c>
      <c r="C2810" s="175" t="str">
        <f t="shared" si="95"/>
        <v>Banheiro - Cuba</v>
      </c>
      <c r="D2810" s="175" t="s">
        <v>943</v>
      </c>
      <c r="E2810" s="176" t="str">
        <f>_xlfn.XLOOKUP(D2810,Insumos!$B$1:$B$764,Insumos!$C$1:$C$764)</f>
        <v>UN</v>
      </c>
      <c r="F2810" s="179">
        <v>1</v>
      </c>
      <c r="G2810" s="177">
        <f>IF(B2810="insumo",_xlfn.XLOOKUP($D2810,Insumos!$B$1:$B$764,Insumos!$D$1:$D$764),"")</f>
        <v>22</v>
      </c>
      <c r="H2810" s="177" cm="1">
        <f t="array" ref="H2810">_xlfn.IFS(B2810="Serviço",SUMIFS(H2811:$H$3085,C2811:$C$3085,$C2810),B2810="Insumo",F2810*G2810,B2810="Etapa","")</f>
        <v>22</v>
      </c>
      <c r="I2810" s="178"/>
    </row>
    <row r="2811" spans="1:9" outlineLevel="1" collapsed="1" x14ac:dyDescent="0.25">
      <c r="A2811" s="175">
        <f t="shared" si="94"/>
        <v>1</v>
      </c>
      <c r="B2811" s="175" t="s">
        <v>109</v>
      </c>
      <c r="C2811" s="175" t="str">
        <f t="shared" si="95"/>
        <v>Banheiro - Cuba de Sobrepor - PNE</v>
      </c>
      <c r="D2811" s="188" t="s">
        <v>944</v>
      </c>
      <c r="E2811" s="176" t="s">
        <v>131</v>
      </c>
      <c r="F2811" s="189" t="s">
        <v>124</v>
      </c>
      <c r="G2811" s="177" t="str">
        <f>IF(B2811="insumo",_xlfn.XLOOKUP($D2811,Insumos!$B$1:$B$764,Insumos!$D$1:$D$764),"")</f>
        <v/>
      </c>
      <c r="H2811" s="177" cm="1">
        <f t="array" ref="H2811">_xlfn.IFS(B2811="Serviço",SUMIFS(H2812:$H$3085,C2812:$C$3085,$C2811),B2811="Insumo",F2811*G2811,B2811="Etapa","")</f>
        <v>492.88999999999993</v>
      </c>
      <c r="I2811" s="178" t="s">
        <v>195</v>
      </c>
    </row>
    <row r="2812" spans="1:9" hidden="1" outlineLevel="2" x14ac:dyDescent="0.25">
      <c r="A2812" s="175">
        <f t="shared" si="94"/>
        <v>1</v>
      </c>
      <c r="B2812" s="175" t="s">
        <v>327</v>
      </c>
      <c r="C2812" s="175" t="str">
        <f t="shared" si="95"/>
        <v>Banheiro - Cuba de Sobrepor - PNE</v>
      </c>
      <c r="D2812" s="175" t="s">
        <v>945</v>
      </c>
      <c r="E2812" s="176" t="str">
        <f>_xlfn.XLOOKUP(D2812,Insumos!$B$1:$B$764,Insumos!$C$1:$C$764)</f>
        <v>UN</v>
      </c>
      <c r="F2812" s="179">
        <v>1</v>
      </c>
      <c r="G2812" s="177">
        <v>350</v>
      </c>
      <c r="H2812" s="177" cm="1">
        <f t="array" ref="H2812">_xlfn.IFS(B2812="Serviço",SUMIFS(H2813:$H$3085,C2813:$C$3085,$C2812),B2812="Insumo",F2812*G2812,B2812="Etapa","")</f>
        <v>350</v>
      </c>
      <c r="I2812" s="178"/>
    </row>
    <row r="2813" spans="1:9" hidden="1" outlineLevel="2" x14ac:dyDescent="0.25">
      <c r="A2813" s="175">
        <f t="shared" si="94"/>
        <v>2</v>
      </c>
      <c r="B2813" s="175" t="s">
        <v>327</v>
      </c>
      <c r="C2813" s="175" t="str">
        <f t="shared" si="95"/>
        <v>Banheiro - Cuba de Sobrepor - PNE</v>
      </c>
      <c r="D2813" s="175" t="s">
        <v>940</v>
      </c>
      <c r="E2813" s="176" t="str">
        <f>_xlfn.XLOOKUP(D2813,Insumos!$B$1:$B$764,Insumos!$C$1:$C$764)</f>
        <v>UN</v>
      </c>
      <c r="F2813" s="179">
        <v>1</v>
      </c>
      <c r="G2813" s="177">
        <f>IF(B2813="insumo",_xlfn.XLOOKUP($D2813,Insumos!$B$1:$B$764,Insumos!$D$1:$D$764),"")</f>
        <v>65</v>
      </c>
      <c r="H2813" s="177" cm="1">
        <f t="array" ref="H2813">_xlfn.IFS(B2813="Serviço",SUMIFS(H2814:$H$3085,C2814:$C$3085,$C2813),B2813="Insumo",F2813*G2813,B2813="Etapa","")</f>
        <v>65</v>
      </c>
      <c r="I2813" s="178"/>
    </row>
    <row r="2814" spans="1:9" hidden="1" outlineLevel="2" x14ac:dyDescent="0.25">
      <c r="A2814" s="175">
        <f t="shared" si="94"/>
        <v>3</v>
      </c>
      <c r="B2814" s="175" t="s">
        <v>327</v>
      </c>
      <c r="C2814" s="175" t="str">
        <f t="shared" si="95"/>
        <v>Banheiro - Cuba de Sobrepor - PNE</v>
      </c>
      <c r="D2814" s="175" t="s">
        <v>935</v>
      </c>
      <c r="E2814" s="176" t="str">
        <f>_xlfn.XLOOKUP(D2814,Insumos!$B$1:$B$764,Insumos!$C$1:$C$764)</f>
        <v>UN</v>
      </c>
      <c r="F2814" s="179">
        <v>1</v>
      </c>
      <c r="G2814" s="177">
        <f>IF(B2814="insumo",_xlfn.XLOOKUP($D2814,Insumos!$B$1:$B$764,Insumos!$D$1:$D$764),"")</f>
        <v>0.34</v>
      </c>
      <c r="H2814" s="177" cm="1">
        <f t="array" ref="H2814">_xlfn.IFS(B2814="Serviço",SUMIFS(H2815:$H$3085,C2815:$C$3085,$C2814),B2814="Insumo",F2814*G2814,B2814="Etapa","")</f>
        <v>0.34</v>
      </c>
      <c r="I2814" s="178"/>
    </row>
    <row r="2815" spans="1:9" hidden="1" outlineLevel="2" x14ac:dyDescent="0.25">
      <c r="A2815" s="175">
        <f t="shared" si="94"/>
        <v>2</v>
      </c>
      <c r="B2815" s="175" t="s">
        <v>327</v>
      </c>
      <c r="C2815" s="175" t="str">
        <f t="shared" si="95"/>
        <v>Banheiro - Cuba de Sobrepor - PNE</v>
      </c>
      <c r="D2815" s="175" t="s">
        <v>941</v>
      </c>
      <c r="E2815" s="176" t="str">
        <f>_xlfn.XLOOKUP(D2815,Insumos!$B$1:$B$764,Insumos!$C$1:$C$764)</f>
        <v>UN</v>
      </c>
      <c r="F2815" s="179">
        <v>2</v>
      </c>
      <c r="G2815" s="177">
        <f>IF(B2815="insumo",_xlfn.XLOOKUP($D2815,Insumos!$B$1:$B$764,Insumos!$D$1:$D$764),"")</f>
        <v>5.95</v>
      </c>
      <c r="H2815" s="177" cm="1">
        <f t="array" ref="H2815">_xlfn.IFS(B2815="Serviço",SUMIFS(H2816:$H$3085,C2816:$C$3085,$C2815),B2815="Insumo",F2815*G2815,B2815="Etapa","")</f>
        <v>11.9</v>
      </c>
      <c r="I2815" s="178"/>
    </row>
    <row r="2816" spans="1:9" hidden="1" outlineLevel="2" x14ac:dyDescent="0.25">
      <c r="A2816" s="175">
        <f t="shared" si="94"/>
        <v>11</v>
      </c>
      <c r="B2816" s="175" t="s">
        <v>327</v>
      </c>
      <c r="C2816" s="175" t="str">
        <f t="shared" si="95"/>
        <v>Banheiro - Cuba de Sobrepor - PNE</v>
      </c>
      <c r="D2816" s="175" t="s">
        <v>930</v>
      </c>
      <c r="E2816" s="176" t="str">
        <f>_xlfn.XLOOKUP(D2816,Insumos!$B$1:$B$764,Insumos!$C$1:$C$764)</f>
        <v>UN</v>
      </c>
      <c r="F2816" s="179">
        <v>0.25</v>
      </c>
      <c r="G2816" s="177">
        <f>IF(B2816="insumo",_xlfn.XLOOKUP($D2816,Insumos!$B$1:$B$764,Insumos!$D$1:$D$764),"")</f>
        <v>75</v>
      </c>
      <c r="H2816" s="177" cm="1">
        <f t="array" ref="H2816">_xlfn.IFS(B2816="Serviço",SUMIFS(H2817:$H$3085,C2817:$C$3085,$C2816),B2816="Insumo",F2816*G2816,B2816="Etapa","")</f>
        <v>18.75</v>
      </c>
      <c r="I2816" s="178"/>
    </row>
    <row r="2817" spans="1:9" hidden="1" outlineLevel="2" x14ac:dyDescent="0.25">
      <c r="A2817" s="175">
        <f t="shared" si="94"/>
        <v>11</v>
      </c>
      <c r="B2817" s="175" t="s">
        <v>327</v>
      </c>
      <c r="C2817" s="175" t="str">
        <f t="shared" si="95"/>
        <v>Banheiro - Cuba de Sobrepor - PNE</v>
      </c>
      <c r="D2817" s="175" t="s">
        <v>931</v>
      </c>
      <c r="E2817" s="176" t="str">
        <f>_xlfn.XLOOKUP(D2817,Insumos!$B$1:$B$764,Insumos!$C$1:$C$764)</f>
        <v>UN</v>
      </c>
      <c r="F2817" s="179">
        <v>1</v>
      </c>
      <c r="G2817" s="177">
        <f>IF(B2817="insumo",_xlfn.XLOOKUP($D2817,Insumos!$B$1:$B$764,Insumos!$D$1:$D$764),"")</f>
        <v>16</v>
      </c>
      <c r="H2817" s="177" cm="1">
        <f t="array" ref="H2817">_xlfn.IFS(B2817="Serviço",SUMIFS(H2818:$H$3085,C2818:$C$3085,$C2817),B2817="Insumo",F2817*G2817,B2817="Etapa","")</f>
        <v>16</v>
      </c>
      <c r="I2817" s="178"/>
    </row>
    <row r="2818" spans="1:9" hidden="1" outlineLevel="2" x14ac:dyDescent="0.25">
      <c r="A2818" s="175">
        <f t="shared" ref="A2818:A2881" si="96">COUNTIFS($D$2:$D$3085,D2818,$B$2:$B$3085,B2818)</f>
        <v>2</v>
      </c>
      <c r="B2818" s="175" t="s">
        <v>327</v>
      </c>
      <c r="C2818" s="175" t="str">
        <f t="shared" si="95"/>
        <v>Banheiro - Cuba de Sobrepor - PNE</v>
      </c>
      <c r="D2818" s="175" t="s">
        <v>942</v>
      </c>
      <c r="E2818" s="176" t="str">
        <f>_xlfn.XLOOKUP(D2818,Insumos!$B$1:$B$764,Insumos!$C$1:$C$764)</f>
        <v>UN</v>
      </c>
      <c r="F2818" s="179">
        <v>1</v>
      </c>
      <c r="G2818" s="177">
        <f>IF(B2818="insumo",_xlfn.XLOOKUP($D2818,Insumos!$B$1:$B$764,Insumos!$D$1:$D$764),"")</f>
        <v>8.9</v>
      </c>
      <c r="H2818" s="177" cm="1">
        <f t="array" ref="H2818">_xlfn.IFS(B2818="Serviço",SUMIFS(H2819:$H$3085,C2819:$C$3085,$C2818),B2818="Insumo",F2818*G2818,B2818="Etapa","")</f>
        <v>8.9</v>
      </c>
      <c r="I2818" s="178"/>
    </row>
    <row r="2819" spans="1:9" hidden="1" outlineLevel="2" x14ac:dyDescent="0.25">
      <c r="A2819" s="175">
        <f t="shared" si="96"/>
        <v>2</v>
      </c>
      <c r="B2819" s="175" t="s">
        <v>327</v>
      </c>
      <c r="C2819" s="175" t="str">
        <f t="shared" si="95"/>
        <v>Banheiro - Cuba de Sobrepor - PNE</v>
      </c>
      <c r="D2819" s="175" t="s">
        <v>943</v>
      </c>
      <c r="E2819" s="176" t="str">
        <f>_xlfn.XLOOKUP(D2819,Insumos!$B$1:$B$764,Insumos!$C$1:$C$764)</f>
        <v>UN</v>
      </c>
      <c r="F2819" s="179">
        <v>1</v>
      </c>
      <c r="G2819" s="177">
        <f>IF(B2819="insumo",_xlfn.XLOOKUP($D2819,Insumos!$B$1:$B$764,Insumos!$D$1:$D$764),"")</f>
        <v>22</v>
      </c>
      <c r="H2819" s="177" cm="1">
        <f t="array" ref="H2819">_xlfn.IFS(B2819="Serviço",SUMIFS(H2820:$H$3085,C2820:$C$3085,$C2819),B2819="Insumo",F2819*G2819,B2819="Etapa","")</f>
        <v>22</v>
      </c>
      <c r="I2819" s="178"/>
    </row>
    <row r="2820" spans="1:9" outlineLevel="1" collapsed="1" x14ac:dyDescent="0.25">
      <c r="A2820" s="175">
        <f t="shared" si="96"/>
        <v>1</v>
      </c>
      <c r="B2820" s="175" t="s">
        <v>109</v>
      </c>
      <c r="C2820" s="175" t="str">
        <f t="shared" si="95"/>
        <v>Cuba Pia Cozinha - Lazer</v>
      </c>
      <c r="D2820" s="188" t="s">
        <v>946</v>
      </c>
      <c r="E2820" s="176" t="s">
        <v>131</v>
      </c>
      <c r="F2820" s="189" t="s">
        <v>124</v>
      </c>
      <c r="G2820" s="177" t="str">
        <f>IF(B2820="insumo",_xlfn.XLOOKUP($D2820,Insumos!$B$1:$B$764,Insumos!$D$1:$D$764),"")</f>
        <v/>
      </c>
      <c r="H2820" s="177" cm="1">
        <f t="array" ref="H2820">_xlfn.IFS(B2820="Serviço",SUMIFS(H2821:$H$3085,C2821:$C$3085,$C2820),B2820="Insumo",F2820*G2820,B2820="Etapa","")</f>
        <v>1981.2619999999999</v>
      </c>
      <c r="I2820" s="190" t="s">
        <v>195</v>
      </c>
    </row>
    <row r="2821" spans="1:9" hidden="1" outlineLevel="2" x14ac:dyDescent="0.25">
      <c r="A2821" s="175">
        <f t="shared" si="96"/>
        <v>1</v>
      </c>
      <c r="B2821" s="175" t="s">
        <v>327</v>
      </c>
      <c r="C2821" s="175" t="str">
        <f t="shared" si="95"/>
        <v>Cuba Pia Cozinha - Lazer</v>
      </c>
      <c r="D2821" s="175" t="s">
        <v>947</v>
      </c>
      <c r="E2821" s="176" t="str">
        <f>_xlfn.XLOOKUP(D2821,Insumos!$B$1:$B$764,Insumos!$C$1:$C$764)</f>
        <v>UN</v>
      </c>
      <c r="F2821" s="179">
        <v>1</v>
      </c>
      <c r="G2821" s="177">
        <f>IF(B2821="insumo",_xlfn.XLOOKUP($D2821,Insumos!$B$1:$B$764,Insumos!$D$1:$D$764),"")</f>
        <v>628</v>
      </c>
      <c r="H2821" s="177" cm="1">
        <f t="array" ref="H2821">_xlfn.IFS(B2821="Serviço",SUMIFS(H2822:$H$3085,C2822:$C$3085,$C2821),B2821="Insumo",F2821*G2821,B2821="Etapa","")</f>
        <v>628</v>
      </c>
      <c r="I2821" s="178"/>
    </row>
    <row r="2822" spans="1:9" hidden="1" outlineLevel="2" x14ac:dyDescent="0.25">
      <c r="A2822" s="175">
        <f t="shared" si="96"/>
        <v>1</v>
      </c>
      <c r="B2822" s="175" t="s">
        <v>327</v>
      </c>
      <c r="C2822" s="175" t="str">
        <f t="shared" si="95"/>
        <v>Cuba Pia Cozinha - Lazer</v>
      </c>
      <c r="D2822" s="175" t="s">
        <v>948</v>
      </c>
      <c r="E2822" s="176" t="str">
        <f>_xlfn.XLOOKUP(D2822,Insumos!$B$1:$B$764,Insumos!$C$1:$C$764)</f>
        <v>UN</v>
      </c>
      <c r="F2822" s="179">
        <v>1</v>
      </c>
      <c r="G2822" s="177">
        <f>IF(B2822="insumo",_xlfn.XLOOKUP($D2822,Insumos!$B$1:$B$764,Insumos!$D$1:$D$764),"")</f>
        <v>177</v>
      </c>
      <c r="H2822" s="177" cm="1">
        <f t="array" ref="H2822">_xlfn.IFS(B2822="Serviço",SUMIFS(H2823:$H$3085,C2823:$C$3085,$C2822),B2822="Insumo",F2822*G2822,B2822="Etapa","")</f>
        <v>177</v>
      </c>
      <c r="I2822" s="178"/>
    </row>
    <row r="2823" spans="1:9" hidden="1" outlineLevel="2" x14ac:dyDescent="0.25">
      <c r="A2823" s="175">
        <f t="shared" si="96"/>
        <v>1</v>
      </c>
      <c r="B2823" s="175" t="s">
        <v>327</v>
      </c>
      <c r="C2823" s="175" t="str">
        <f t="shared" si="95"/>
        <v>Cuba Pia Cozinha - Lazer</v>
      </c>
      <c r="D2823" s="175" t="s">
        <v>949</v>
      </c>
      <c r="E2823" s="176" t="str">
        <f>_xlfn.XLOOKUP(D2823,Insumos!$B$1:$B$764,Insumos!$C$1:$C$764)</f>
        <v>UN</v>
      </c>
      <c r="F2823" s="179">
        <v>1</v>
      </c>
      <c r="G2823" s="177">
        <f>IF(B2823="insumo",_xlfn.XLOOKUP($D2823,Insumos!$B$1:$B$764,Insumos!$D$1:$D$764),"")</f>
        <v>517</v>
      </c>
      <c r="H2823" s="177" cm="1">
        <f t="array" ref="H2823">_xlfn.IFS(B2823="Serviço",SUMIFS(H2824:$H$3085,C2824:$C$3085,$C2823),B2823="Insumo",F2823*G2823,B2823="Etapa","")</f>
        <v>517</v>
      </c>
      <c r="I2823" s="178"/>
    </row>
    <row r="2824" spans="1:9" hidden="1" outlineLevel="2" x14ac:dyDescent="0.25">
      <c r="A2824" s="175">
        <f t="shared" si="96"/>
        <v>1</v>
      </c>
      <c r="B2824" s="175" t="s">
        <v>327</v>
      </c>
      <c r="C2824" s="175" t="str">
        <f t="shared" si="95"/>
        <v>Cuba Pia Cozinha - Lazer</v>
      </c>
      <c r="D2824" s="175" t="s">
        <v>950</v>
      </c>
      <c r="E2824" s="176" t="str">
        <f>_xlfn.XLOOKUP(D2824,Insumos!$B$1:$B$764,Insumos!$C$1:$C$764)</f>
        <v>UN</v>
      </c>
      <c r="F2824" s="179">
        <v>1</v>
      </c>
      <c r="G2824" s="177">
        <f>IF(B2824="insumo",_xlfn.XLOOKUP($D2824,Insumos!$B$1:$B$764,Insumos!$D$1:$D$764),"")</f>
        <v>150</v>
      </c>
      <c r="H2824" s="177" cm="1">
        <f t="array" ref="H2824">_xlfn.IFS(B2824="Serviço",SUMIFS(H2825:$H$3085,C2825:$C$3085,$C2824),B2824="Insumo",F2824*G2824,B2824="Etapa","")</f>
        <v>150</v>
      </c>
      <c r="I2824" s="178"/>
    </row>
    <row r="2825" spans="1:9" hidden="1" outlineLevel="2" x14ac:dyDescent="0.25">
      <c r="A2825" s="175">
        <f t="shared" si="96"/>
        <v>5</v>
      </c>
      <c r="B2825" s="175" t="s">
        <v>327</v>
      </c>
      <c r="C2825" s="175" t="str">
        <f t="shared" si="95"/>
        <v>Cuba Pia Cozinha - Lazer</v>
      </c>
      <c r="D2825" s="175" t="s">
        <v>951</v>
      </c>
      <c r="E2825" s="176" t="str">
        <f>_xlfn.XLOOKUP(D2825,Insumos!$B$1:$B$764,Insumos!$C$1:$C$764)</f>
        <v>UN</v>
      </c>
      <c r="F2825" s="179">
        <v>1</v>
      </c>
      <c r="G2825" s="177">
        <f>IF(B2825="insumo",_xlfn.XLOOKUP($D2825,Insumos!$B$1:$B$764,Insumos!$D$1:$D$764),"")</f>
        <v>256.89999999999998</v>
      </c>
      <c r="H2825" s="177" cm="1">
        <f t="array" ref="H2825">_xlfn.IFS(B2825="Serviço",SUMIFS(H2826:$H$3085,C2826:$C$3085,$C2825),B2825="Insumo",F2825*G2825,B2825="Etapa","")</f>
        <v>256.89999999999998</v>
      </c>
      <c r="I2825" s="178"/>
    </row>
    <row r="2826" spans="1:9" hidden="1" outlineLevel="2" x14ac:dyDescent="0.25">
      <c r="A2826" s="175">
        <f t="shared" si="96"/>
        <v>3</v>
      </c>
      <c r="B2826" s="175" t="s">
        <v>327</v>
      </c>
      <c r="C2826" s="175" t="str">
        <f t="shared" si="95"/>
        <v>Cuba Pia Cozinha - Lazer</v>
      </c>
      <c r="D2826" s="175" t="s">
        <v>952</v>
      </c>
      <c r="E2826" s="176" t="str">
        <f>_xlfn.XLOOKUP(D2826,Insumos!$B$1:$B$764,Insumos!$C$1:$C$764)</f>
        <v>UN</v>
      </c>
      <c r="F2826" s="179">
        <v>1</v>
      </c>
      <c r="G2826" s="177">
        <f>IF(B2826="insumo",_xlfn.XLOOKUP($D2826,Insumos!$B$1:$B$764,Insumos!$D$1:$D$764),"")</f>
        <v>50</v>
      </c>
      <c r="H2826" s="177" cm="1">
        <f t="array" ref="H2826">_xlfn.IFS(B2826="Serviço",SUMIFS(H2827:$H$3085,C2827:$C$3085,$C2826),B2826="Insumo",F2826*G2826,B2826="Etapa","")</f>
        <v>50</v>
      </c>
      <c r="I2826" s="178"/>
    </row>
    <row r="2827" spans="1:9" hidden="1" outlineLevel="2" x14ac:dyDescent="0.25">
      <c r="A2827" s="175">
        <f t="shared" si="96"/>
        <v>6</v>
      </c>
      <c r="B2827" s="175" t="s">
        <v>327</v>
      </c>
      <c r="C2827" s="175" t="str">
        <f t="shared" si="95"/>
        <v>Cuba Pia Cozinha - Lazer</v>
      </c>
      <c r="D2827" s="175" t="s">
        <v>953</v>
      </c>
      <c r="E2827" s="176" t="str">
        <f>_xlfn.XLOOKUP(D2827,Insumos!$B$1:$B$764,Insumos!$C$1:$C$764)</f>
        <v>UN</v>
      </c>
      <c r="F2827" s="179">
        <v>6</v>
      </c>
      <c r="G2827" s="177">
        <f>IF(B2827="insumo",_xlfn.XLOOKUP($D2827,Insumos!$B$1:$B$764,Insumos!$D$1:$D$764),"")</f>
        <v>0.6</v>
      </c>
      <c r="H2827" s="177" cm="1">
        <f t="array" ref="H2827">_xlfn.IFS(B2827="Serviço",SUMIFS(H2828:$H$3085,C2828:$C$3085,$C2827),B2827="Insumo",F2827*G2827,B2827="Etapa","")</f>
        <v>3.5999999999999996</v>
      </c>
      <c r="I2827" s="178"/>
    </row>
    <row r="2828" spans="1:9" hidden="1" outlineLevel="2" x14ac:dyDescent="0.25">
      <c r="A2828" s="175">
        <f t="shared" si="96"/>
        <v>6</v>
      </c>
      <c r="B2828" s="175" t="s">
        <v>327</v>
      </c>
      <c r="C2828" s="175" t="str">
        <f t="shared" si="95"/>
        <v>Cuba Pia Cozinha - Lazer</v>
      </c>
      <c r="D2828" s="175" t="s">
        <v>954</v>
      </c>
      <c r="E2828" s="176" t="str">
        <f>_xlfn.XLOOKUP(D2828,Insumos!$B$1:$B$764,Insumos!$C$1:$C$764)</f>
        <v>UN</v>
      </c>
      <c r="F2828" s="179">
        <v>6</v>
      </c>
      <c r="G2828" s="177">
        <f>IF(B2828="insumo",_xlfn.XLOOKUP($D2828,Insumos!$B$1:$B$764,Insumos!$D$1:$D$764),"")</f>
        <v>24.95</v>
      </c>
      <c r="H2828" s="177" cm="1">
        <f t="array" ref="H2828">_xlfn.IFS(B2828="Serviço",SUMIFS(H2829:$H$3085,C2829:$C$3085,$C2828),B2828="Insumo",F2828*G2828,B2828="Etapa","")</f>
        <v>149.69999999999999</v>
      </c>
      <c r="I2828" s="178"/>
    </row>
    <row r="2829" spans="1:9" hidden="1" outlineLevel="2" x14ac:dyDescent="0.25">
      <c r="A2829" s="175">
        <f t="shared" si="96"/>
        <v>8</v>
      </c>
      <c r="B2829" s="175" t="s">
        <v>327</v>
      </c>
      <c r="C2829" s="175" t="str">
        <f t="shared" si="95"/>
        <v>Cuba Pia Cozinha - Lazer</v>
      </c>
      <c r="D2829" s="175" t="s">
        <v>928</v>
      </c>
      <c r="E2829" s="176" t="str">
        <f>_xlfn.XLOOKUP(D2829,Insumos!$B$1:$B$764,Insumos!$C$1:$C$764)</f>
        <v>M</v>
      </c>
      <c r="F2829" s="179">
        <v>0.3</v>
      </c>
      <c r="G2829" s="177">
        <f>IF(B2829="insumo",_xlfn.XLOOKUP($D2829,Insumos!$B$1:$B$764,Insumos!$D$1:$D$764),"")</f>
        <v>0.24</v>
      </c>
      <c r="H2829" s="177" cm="1">
        <f t="array" ref="H2829">_xlfn.IFS(B2829="Serviço",SUMIFS(H2830:$H$3085,C2830:$C$3085,$C2829),B2829="Insumo",F2829*G2829,B2829="Etapa","")</f>
        <v>7.1999999999999995E-2</v>
      </c>
      <c r="I2829" s="178"/>
    </row>
    <row r="2830" spans="1:9" hidden="1" outlineLevel="2" x14ac:dyDescent="0.25">
      <c r="A2830" s="175">
        <f t="shared" si="96"/>
        <v>7</v>
      </c>
      <c r="B2830" s="175" t="s">
        <v>327</v>
      </c>
      <c r="C2830" s="175" t="str">
        <f t="shared" si="95"/>
        <v>Cuba Pia Cozinha - Lazer</v>
      </c>
      <c r="D2830" s="175" t="s">
        <v>936</v>
      </c>
      <c r="E2830" s="176" t="str">
        <f>_xlfn.XLOOKUP(D2830,Insumos!$B$1:$B$764,Insumos!$C$1:$C$764)</f>
        <v>UN</v>
      </c>
      <c r="F2830" s="179">
        <v>0.4</v>
      </c>
      <c r="G2830" s="177">
        <f>IF(B2830="insumo",_xlfn.XLOOKUP($D2830,Insumos!$B$1:$B$764,Insumos!$D$1:$D$764),"")</f>
        <v>35.6</v>
      </c>
      <c r="H2830" s="177" cm="1">
        <f t="array" ref="H2830">_xlfn.IFS(B2830="Serviço",SUMIFS(H2831:$H$3085,C2831:$C$3085,$C2830),B2830="Insumo",F2830*G2830,B2830="Etapa","")</f>
        <v>14.240000000000002</v>
      </c>
      <c r="I2830" s="178"/>
    </row>
    <row r="2831" spans="1:9" hidden="1" outlineLevel="2" x14ac:dyDescent="0.25">
      <c r="A2831" s="175">
        <f t="shared" si="96"/>
        <v>11</v>
      </c>
      <c r="B2831" s="175" t="s">
        <v>327</v>
      </c>
      <c r="C2831" s="175" t="str">
        <f t="shared" si="95"/>
        <v>Cuba Pia Cozinha - Lazer</v>
      </c>
      <c r="D2831" s="175" t="s">
        <v>930</v>
      </c>
      <c r="E2831" s="176" t="str">
        <f>_xlfn.XLOOKUP(D2831,Insumos!$B$1:$B$764,Insumos!$C$1:$C$764)</f>
        <v>UN</v>
      </c>
      <c r="F2831" s="179">
        <v>0.25</v>
      </c>
      <c r="G2831" s="177">
        <f>IF(B2831="insumo",_xlfn.XLOOKUP($D2831,Insumos!$B$1:$B$764,Insumos!$D$1:$D$764),"")</f>
        <v>75</v>
      </c>
      <c r="H2831" s="177" cm="1">
        <f t="array" ref="H2831">_xlfn.IFS(B2831="Serviço",SUMIFS(H2832:$H$3085,C2832:$C$3085,$C2831),B2831="Insumo",F2831*G2831,B2831="Etapa","")</f>
        <v>18.75</v>
      </c>
      <c r="I2831" s="178"/>
    </row>
    <row r="2832" spans="1:9" hidden="1" outlineLevel="2" x14ac:dyDescent="0.25">
      <c r="A2832" s="175">
        <f t="shared" si="96"/>
        <v>11</v>
      </c>
      <c r="B2832" s="175" t="s">
        <v>327</v>
      </c>
      <c r="C2832" s="175" t="str">
        <f t="shared" si="95"/>
        <v>Cuba Pia Cozinha - Lazer</v>
      </c>
      <c r="D2832" s="175" t="s">
        <v>931</v>
      </c>
      <c r="E2832" s="176" t="str">
        <f>_xlfn.XLOOKUP(D2832,Insumos!$B$1:$B$764,Insumos!$C$1:$C$764)</f>
        <v>UN</v>
      </c>
      <c r="F2832" s="179">
        <v>1</v>
      </c>
      <c r="G2832" s="177">
        <f>IF(B2832="insumo",_xlfn.XLOOKUP($D2832,Insumos!$B$1:$B$764,Insumos!$D$1:$D$764),"")</f>
        <v>16</v>
      </c>
      <c r="H2832" s="177" cm="1">
        <f t="array" ref="H2832">_xlfn.IFS(B2832="Serviço",SUMIFS(H2833:$H$3085,C2833:$C$3085,$C2832),B2832="Insumo",F2832*G2832,B2832="Etapa","")</f>
        <v>16</v>
      </c>
      <c r="I2832" s="178"/>
    </row>
    <row r="2833" spans="1:9" outlineLevel="1" collapsed="1" x14ac:dyDescent="0.25">
      <c r="A2833" s="175">
        <f t="shared" si="96"/>
        <v>1</v>
      </c>
      <c r="B2833" s="175" t="s">
        <v>109</v>
      </c>
      <c r="C2833" s="175" t="str">
        <f t="shared" si="95"/>
        <v>Cozinha - Cuba / Inox</v>
      </c>
      <c r="D2833" s="188" t="s">
        <v>955</v>
      </c>
      <c r="E2833" s="176" t="s">
        <v>131</v>
      </c>
      <c r="F2833" s="189" t="s">
        <v>124</v>
      </c>
      <c r="G2833" s="177" t="str">
        <f>IF(B2833="insumo",_xlfn.XLOOKUP($D2833,Insumos!$B$1:$B$764,Insumos!$D$1:$D$764),"")</f>
        <v/>
      </c>
      <c r="H2833" s="177" cm="1">
        <f t="array" ref="H2833">_xlfn.IFS(B2833="Serviço",SUMIFS(H2834:$H$3085,C2834:$C$3085,$C2833),B2833="Insumo",F2833*G2833,B2833="Etapa","")</f>
        <v>809.26200000000006</v>
      </c>
      <c r="I2833" s="190" t="s">
        <v>195</v>
      </c>
    </row>
    <row r="2834" spans="1:9" hidden="1" outlineLevel="2" x14ac:dyDescent="0.25">
      <c r="A2834" s="175">
        <f t="shared" si="96"/>
        <v>1</v>
      </c>
      <c r="B2834" s="175" t="s">
        <v>327</v>
      </c>
      <c r="C2834" s="175" t="str">
        <f t="shared" si="95"/>
        <v>Cozinha - Cuba / Inox</v>
      </c>
      <c r="D2834" s="175" t="s">
        <v>956</v>
      </c>
      <c r="E2834" s="176" t="str">
        <f>_xlfn.XLOOKUP(D2834,Insumos!$B$1:$B$764,Insumos!$C$1:$C$764)</f>
        <v>UN</v>
      </c>
      <c r="F2834" s="179">
        <v>1</v>
      </c>
      <c r="G2834" s="177">
        <f>IF(B2834="insumo",_xlfn.XLOOKUP($D2834,Insumos!$B$1:$B$764,Insumos!$D$1:$D$764),"")</f>
        <v>300</v>
      </c>
      <c r="H2834" s="177" cm="1">
        <f t="array" ref="H2834">_xlfn.IFS(B2834="Serviço",SUMIFS(H2835:$H$3085,C2835:$C$3085,$C2834),B2834="Insumo",F2834*G2834,B2834="Etapa","")</f>
        <v>300</v>
      </c>
      <c r="I2834" s="178"/>
    </row>
    <row r="2835" spans="1:9" hidden="1" outlineLevel="2" x14ac:dyDescent="0.25">
      <c r="A2835" s="175">
        <f t="shared" si="96"/>
        <v>5</v>
      </c>
      <c r="B2835" s="175" t="s">
        <v>327</v>
      </c>
      <c r="C2835" s="175" t="str">
        <f t="shared" si="95"/>
        <v>Cozinha - Cuba / Inox</v>
      </c>
      <c r="D2835" s="175" t="s">
        <v>951</v>
      </c>
      <c r="E2835" s="176" t="str">
        <f>_xlfn.XLOOKUP(D2835,Insumos!$B$1:$B$764,Insumos!$C$1:$C$764)</f>
        <v>UN</v>
      </c>
      <c r="F2835" s="179">
        <v>1</v>
      </c>
      <c r="G2835" s="177">
        <f>IF(B2835="insumo",_xlfn.XLOOKUP($D2835,Insumos!$B$1:$B$764,Insumos!$D$1:$D$764),"")</f>
        <v>256.89999999999998</v>
      </c>
      <c r="H2835" s="177" cm="1">
        <f t="array" ref="H2835">_xlfn.IFS(B2835="Serviço",SUMIFS(H2836:$H$3085,C2836:$C$3085,$C2835),B2835="Insumo",F2835*G2835,B2835="Etapa","")</f>
        <v>256.89999999999998</v>
      </c>
      <c r="I2835" s="178"/>
    </row>
    <row r="2836" spans="1:9" hidden="1" outlineLevel="2" x14ac:dyDescent="0.25">
      <c r="A2836" s="175">
        <f t="shared" si="96"/>
        <v>3</v>
      </c>
      <c r="B2836" s="175" t="s">
        <v>327</v>
      </c>
      <c r="C2836" s="175" t="str">
        <f t="shared" si="95"/>
        <v>Cozinha - Cuba / Inox</v>
      </c>
      <c r="D2836" s="175" t="s">
        <v>952</v>
      </c>
      <c r="E2836" s="176" t="str">
        <f>_xlfn.XLOOKUP(D2836,Insumos!$B$1:$B$764,Insumos!$C$1:$C$764)</f>
        <v>UN</v>
      </c>
      <c r="F2836" s="179">
        <v>1</v>
      </c>
      <c r="G2836" s="177">
        <f>IF(B2836="insumo",_xlfn.XLOOKUP($D2836,Insumos!$B$1:$B$764,Insumos!$D$1:$D$764),"")</f>
        <v>50</v>
      </c>
      <c r="H2836" s="177" cm="1">
        <f t="array" ref="H2836">_xlfn.IFS(B2836="Serviço",SUMIFS(H2837:$H$3085,C2837:$C$3085,$C2836),B2836="Insumo",F2836*G2836,B2836="Etapa","")</f>
        <v>50</v>
      </c>
      <c r="I2836" s="178"/>
    </row>
    <row r="2837" spans="1:9" hidden="1" outlineLevel="2" x14ac:dyDescent="0.25">
      <c r="A2837" s="175">
        <f t="shared" si="96"/>
        <v>6</v>
      </c>
      <c r="B2837" s="175" t="s">
        <v>327</v>
      </c>
      <c r="C2837" s="175" t="str">
        <f t="shared" si="95"/>
        <v>Cozinha - Cuba / Inox</v>
      </c>
      <c r="D2837" s="175" t="s">
        <v>953</v>
      </c>
      <c r="E2837" s="176" t="str">
        <f>_xlfn.XLOOKUP(D2837,Insumos!$B$1:$B$764,Insumos!$C$1:$C$764)</f>
        <v>UN</v>
      </c>
      <c r="F2837" s="179">
        <v>6</v>
      </c>
      <c r="G2837" s="177">
        <f>IF(B2837="insumo",_xlfn.XLOOKUP($D2837,Insumos!$B$1:$B$764,Insumos!$D$1:$D$764),"")</f>
        <v>0.6</v>
      </c>
      <c r="H2837" s="177" cm="1">
        <f t="array" ref="H2837">_xlfn.IFS(B2837="Serviço",SUMIFS(H2838:$H$3085,C2838:$C$3085,$C2837),B2837="Insumo",F2837*G2837,B2837="Etapa","")</f>
        <v>3.5999999999999996</v>
      </c>
      <c r="I2837" s="178"/>
    </row>
    <row r="2838" spans="1:9" hidden="1" outlineLevel="2" x14ac:dyDescent="0.25">
      <c r="A2838" s="175">
        <f t="shared" si="96"/>
        <v>6</v>
      </c>
      <c r="B2838" s="175" t="s">
        <v>327</v>
      </c>
      <c r="C2838" s="175" t="str">
        <f t="shared" si="95"/>
        <v>Cozinha - Cuba / Inox</v>
      </c>
      <c r="D2838" s="175" t="s">
        <v>954</v>
      </c>
      <c r="E2838" s="176" t="str">
        <f>_xlfn.XLOOKUP(D2838,Insumos!$B$1:$B$764,Insumos!$C$1:$C$764)</f>
        <v>UN</v>
      </c>
      <c r="F2838" s="179">
        <v>6</v>
      </c>
      <c r="G2838" s="177">
        <f>IF(B2838="insumo",_xlfn.XLOOKUP($D2838,Insumos!$B$1:$B$764,Insumos!$D$1:$D$764),"")</f>
        <v>24.95</v>
      </c>
      <c r="H2838" s="177" cm="1">
        <f t="array" ref="H2838">_xlfn.IFS(B2838="Serviço",SUMIFS(H2839:$H$3085,C2839:$C$3085,$C2838),B2838="Insumo",F2838*G2838,B2838="Etapa","")</f>
        <v>149.69999999999999</v>
      </c>
      <c r="I2838" s="178"/>
    </row>
    <row r="2839" spans="1:9" hidden="1" outlineLevel="2" x14ac:dyDescent="0.25">
      <c r="A2839" s="175">
        <f t="shared" si="96"/>
        <v>8</v>
      </c>
      <c r="B2839" s="175" t="s">
        <v>327</v>
      </c>
      <c r="C2839" s="175" t="str">
        <f t="shared" si="95"/>
        <v>Cozinha - Cuba / Inox</v>
      </c>
      <c r="D2839" s="175" t="s">
        <v>928</v>
      </c>
      <c r="E2839" s="176" t="str">
        <f>_xlfn.XLOOKUP(D2839,Insumos!$B$1:$B$764,Insumos!$C$1:$C$764)</f>
        <v>M</v>
      </c>
      <c r="F2839" s="179">
        <v>0.3</v>
      </c>
      <c r="G2839" s="177">
        <f>IF(B2839="insumo",_xlfn.XLOOKUP($D2839,Insumos!$B$1:$B$764,Insumos!$D$1:$D$764),"")</f>
        <v>0.24</v>
      </c>
      <c r="H2839" s="177" cm="1">
        <f t="array" ref="H2839">_xlfn.IFS(B2839="Serviço",SUMIFS(H2840:$H$3085,C2840:$C$3085,$C2839),B2839="Insumo",F2839*G2839,B2839="Etapa","")</f>
        <v>7.1999999999999995E-2</v>
      </c>
      <c r="I2839" s="178"/>
    </row>
    <row r="2840" spans="1:9" hidden="1" outlineLevel="2" x14ac:dyDescent="0.25">
      <c r="A2840" s="175">
        <f t="shared" si="96"/>
        <v>7</v>
      </c>
      <c r="B2840" s="175" t="s">
        <v>327</v>
      </c>
      <c r="C2840" s="175" t="str">
        <f t="shared" si="95"/>
        <v>Cozinha - Cuba / Inox</v>
      </c>
      <c r="D2840" s="175" t="s">
        <v>936</v>
      </c>
      <c r="E2840" s="176" t="str">
        <f>_xlfn.XLOOKUP(D2840,Insumos!$B$1:$B$764,Insumos!$C$1:$C$764)</f>
        <v>UN</v>
      </c>
      <c r="F2840" s="179">
        <v>0.4</v>
      </c>
      <c r="G2840" s="177">
        <f>IF(B2840="insumo",_xlfn.XLOOKUP($D2840,Insumos!$B$1:$B$764,Insumos!$D$1:$D$764),"")</f>
        <v>35.6</v>
      </c>
      <c r="H2840" s="177" cm="1">
        <f t="array" ref="H2840">_xlfn.IFS(B2840="Serviço",SUMIFS(H2841:$H$3085,C2841:$C$3085,$C2840),B2840="Insumo",F2840*G2840,B2840="Etapa","")</f>
        <v>14.240000000000002</v>
      </c>
      <c r="I2840" s="178"/>
    </row>
    <row r="2841" spans="1:9" hidden="1" outlineLevel="2" x14ac:dyDescent="0.25">
      <c r="A2841" s="175">
        <f t="shared" si="96"/>
        <v>11</v>
      </c>
      <c r="B2841" s="175" t="s">
        <v>327</v>
      </c>
      <c r="C2841" s="175" t="str">
        <f t="shared" si="95"/>
        <v>Cozinha - Cuba / Inox</v>
      </c>
      <c r="D2841" s="175" t="s">
        <v>930</v>
      </c>
      <c r="E2841" s="176" t="str">
        <f>_xlfn.XLOOKUP(D2841,Insumos!$B$1:$B$764,Insumos!$C$1:$C$764)</f>
        <v>UN</v>
      </c>
      <c r="F2841" s="179">
        <v>0.25</v>
      </c>
      <c r="G2841" s="177">
        <f>IF(B2841="insumo",_xlfn.XLOOKUP($D2841,Insumos!$B$1:$B$764,Insumos!$D$1:$D$764),"")</f>
        <v>75</v>
      </c>
      <c r="H2841" s="177" cm="1">
        <f t="array" ref="H2841">_xlfn.IFS(B2841="Serviço",SUMIFS(H2842:$H$3085,C2842:$C$3085,$C2841),B2841="Insumo",F2841*G2841,B2841="Etapa","")</f>
        <v>18.75</v>
      </c>
      <c r="I2841" s="178"/>
    </row>
    <row r="2842" spans="1:9" hidden="1" outlineLevel="2" x14ac:dyDescent="0.25">
      <c r="A2842" s="175">
        <f t="shared" si="96"/>
        <v>11</v>
      </c>
      <c r="B2842" s="175" t="s">
        <v>327</v>
      </c>
      <c r="C2842" s="175" t="str">
        <f t="shared" si="95"/>
        <v>Cozinha - Cuba / Inox</v>
      </c>
      <c r="D2842" s="175" t="s">
        <v>931</v>
      </c>
      <c r="E2842" s="176" t="str">
        <f>_xlfn.XLOOKUP(D2842,Insumos!$B$1:$B$764,Insumos!$C$1:$C$764)</f>
        <v>UN</v>
      </c>
      <c r="F2842" s="179">
        <v>1</v>
      </c>
      <c r="G2842" s="177">
        <f>IF(B2842="insumo",_xlfn.XLOOKUP($D2842,Insumos!$B$1:$B$764,Insumos!$D$1:$D$764),"")</f>
        <v>16</v>
      </c>
      <c r="H2842" s="177" cm="1">
        <f t="array" ref="H2842">_xlfn.IFS(B2842="Serviço",SUMIFS(H2843:$H$3085,C2843:$C$3085,$C2842),B2842="Insumo",F2842*G2842,B2842="Etapa","")</f>
        <v>16</v>
      </c>
      <c r="I2842" s="178"/>
    </row>
    <row r="2843" spans="1:9" outlineLevel="1" collapsed="1" x14ac:dyDescent="0.25">
      <c r="A2843" s="175">
        <f t="shared" si="96"/>
        <v>1</v>
      </c>
      <c r="B2843" s="175" t="s">
        <v>109</v>
      </c>
      <c r="C2843" s="175" t="str">
        <f t="shared" si="95"/>
        <v>Lavatorio para banheiros suspenso</v>
      </c>
      <c r="D2843" s="188" t="s">
        <v>957</v>
      </c>
      <c r="E2843" s="176" t="s">
        <v>131</v>
      </c>
      <c r="F2843" s="189" t="s">
        <v>124</v>
      </c>
      <c r="G2843" s="177" t="str">
        <f>IF(B2843="insumo",_xlfn.XLOOKUP($D2843,Insumos!$B$1:$B$764,Insumos!$D$1:$D$764),"")</f>
        <v/>
      </c>
      <c r="H2843" s="177" cm="1">
        <f t="array" ref="H2843">_xlfn.IFS(B2843="Serviço",SUMIFS(H2844:$H$3085,C2844:$C$3085,$C2843),B2843="Insumo",F2843*G2843,B2843="Etapa","")</f>
        <v>683.16199999999992</v>
      </c>
      <c r="I2843" s="190" t="s">
        <v>195</v>
      </c>
    </row>
    <row r="2844" spans="1:9" hidden="1" outlineLevel="2" x14ac:dyDescent="0.25">
      <c r="A2844" s="175">
        <f t="shared" si="96"/>
        <v>1</v>
      </c>
      <c r="B2844" s="175" t="s">
        <v>327</v>
      </c>
      <c r="C2844" s="175" t="str">
        <f t="shared" si="95"/>
        <v>Lavatorio para banheiros suspenso</v>
      </c>
      <c r="D2844" s="175" t="s">
        <v>958</v>
      </c>
      <c r="E2844" s="176" t="str">
        <f>_xlfn.XLOOKUP(D2844,Insumos!$B$1:$B$764,Insumos!$C$1:$C$764)</f>
        <v>UN</v>
      </c>
      <c r="F2844" s="179">
        <v>1</v>
      </c>
      <c r="G2844" s="177">
        <f>IF(B2844="insumo",_xlfn.XLOOKUP($D2844,Insumos!$B$1:$B$764,Insumos!$D$1:$D$764),"")</f>
        <v>203.9</v>
      </c>
      <c r="H2844" s="177" cm="1">
        <f t="array" ref="H2844">_xlfn.IFS(B2844="Serviço",SUMIFS(H2845:$H$3085,C2845:$C$3085,$C2844),B2844="Insumo",F2844*G2844,B2844="Etapa","")</f>
        <v>203.9</v>
      </c>
      <c r="I2844" s="178"/>
    </row>
    <row r="2845" spans="1:9" hidden="1" outlineLevel="2" x14ac:dyDescent="0.25">
      <c r="A2845" s="175">
        <f t="shared" si="96"/>
        <v>5</v>
      </c>
      <c r="B2845" s="175" t="s">
        <v>327</v>
      </c>
      <c r="C2845" s="175" t="str">
        <f t="shared" si="95"/>
        <v>Lavatorio para banheiros suspenso</v>
      </c>
      <c r="D2845" s="175" t="s">
        <v>951</v>
      </c>
      <c r="E2845" s="176" t="str">
        <f>_xlfn.XLOOKUP(D2845,Insumos!$B$1:$B$764,Insumos!$C$1:$C$764)</f>
        <v>UN</v>
      </c>
      <c r="F2845" s="179">
        <v>1</v>
      </c>
      <c r="G2845" s="177">
        <f>IF(B2845="insumo",_xlfn.XLOOKUP($D2845,Insumos!$B$1:$B$764,Insumos!$D$1:$D$764),"")</f>
        <v>256.89999999999998</v>
      </c>
      <c r="H2845" s="177" cm="1">
        <f t="array" ref="H2845">_xlfn.IFS(B2845="Serviço",SUMIFS(H2846:$H$3085,C2846:$C$3085,$C2845),B2845="Insumo",F2845*G2845,B2845="Etapa","")</f>
        <v>256.89999999999998</v>
      </c>
      <c r="I2845" s="178"/>
    </row>
    <row r="2846" spans="1:9" hidden="1" outlineLevel="2" x14ac:dyDescent="0.25">
      <c r="A2846" s="175">
        <f t="shared" si="96"/>
        <v>3</v>
      </c>
      <c r="B2846" s="175" t="s">
        <v>327</v>
      </c>
      <c r="C2846" s="175" t="str">
        <f t="shared" si="95"/>
        <v>Lavatorio para banheiros suspenso</v>
      </c>
      <c r="D2846" s="175" t="s">
        <v>959</v>
      </c>
      <c r="E2846" s="176" t="str">
        <f>_xlfn.XLOOKUP(D2846,Insumos!$B$1:$B$764,Insumos!$C$1:$C$764)</f>
        <v>UN</v>
      </c>
      <c r="F2846" s="179">
        <v>1</v>
      </c>
      <c r="G2846" s="177">
        <f>IF(B2846="insumo",_xlfn.XLOOKUP($D2846,Insumos!$B$1:$B$764,Insumos!$D$1:$D$764),"")</f>
        <v>20</v>
      </c>
      <c r="H2846" s="177" cm="1">
        <f t="array" ref="H2846">_xlfn.IFS(B2846="Serviço",SUMIFS(H2847:$H$3085,C2847:$C$3085,$C2846),B2846="Insumo",F2846*G2846,B2846="Etapa","")</f>
        <v>20</v>
      </c>
      <c r="I2846" s="178"/>
    </row>
    <row r="2847" spans="1:9" hidden="1" outlineLevel="2" x14ac:dyDescent="0.25">
      <c r="A2847" s="175">
        <f t="shared" si="96"/>
        <v>6</v>
      </c>
      <c r="B2847" s="175" t="s">
        <v>327</v>
      </c>
      <c r="C2847" s="175" t="str">
        <f t="shared" si="95"/>
        <v>Lavatorio para banheiros suspenso</v>
      </c>
      <c r="D2847" s="175" t="s">
        <v>953</v>
      </c>
      <c r="E2847" s="176" t="str">
        <f>_xlfn.XLOOKUP(D2847,Insumos!$B$1:$B$764,Insumos!$C$1:$C$764)</f>
        <v>UN</v>
      </c>
      <c r="F2847" s="179">
        <v>6</v>
      </c>
      <c r="G2847" s="177">
        <f>IF(B2847="insumo",_xlfn.XLOOKUP($D2847,Insumos!$B$1:$B$764,Insumos!$D$1:$D$764),"")</f>
        <v>0.6</v>
      </c>
      <c r="H2847" s="177" cm="1">
        <f t="array" ref="H2847">_xlfn.IFS(B2847="Serviço",SUMIFS(H2848:$H$3085,C2848:$C$3085,$C2847),B2847="Insumo",F2847*G2847,B2847="Etapa","")</f>
        <v>3.5999999999999996</v>
      </c>
      <c r="I2847" s="178"/>
    </row>
    <row r="2848" spans="1:9" hidden="1" outlineLevel="2" x14ac:dyDescent="0.25">
      <c r="A2848" s="175">
        <f t="shared" si="96"/>
        <v>6</v>
      </c>
      <c r="B2848" s="175" t="s">
        <v>327</v>
      </c>
      <c r="C2848" s="175" t="str">
        <f t="shared" si="95"/>
        <v>Lavatorio para banheiros suspenso</v>
      </c>
      <c r="D2848" s="175" t="s">
        <v>954</v>
      </c>
      <c r="E2848" s="176" t="str">
        <f>_xlfn.XLOOKUP(D2848,Insumos!$B$1:$B$764,Insumos!$C$1:$C$764)</f>
        <v>UN</v>
      </c>
      <c r="F2848" s="179">
        <v>6</v>
      </c>
      <c r="G2848" s="177">
        <f>IF(B2848="insumo",_xlfn.XLOOKUP($D2848,Insumos!$B$1:$B$764,Insumos!$D$1:$D$764),"")</f>
        <v>24.95</v>
      </c>
      <c r="H2848" s="177" cm="1">
        <f t="array" ref="H2848">_xlfn.IFS(B2848="Serviço",SUMIFS(H2849:$H$3085,C2849:$C$3085,$C2848),B2848="Insumo",F2848*G2848,B2848="Etapa","")</f>
        <v>149.69999999999999</v>
      </c>
      <c r="I2848" s="178"/>
    </row>
    <row r="2849" spans="1:9" hidden="1" outlineLevel="2" x14ac:dyDescent="0.25">
      <c r="A2849" s="175">
        <f t="shared" si="96"/>
        <v>8</v>
      </c>
      <c r="B2849" s="175" t="s">
        <v>327</v>
      </c>
      <c r="C2849" s="175" t="str">
        <f t="shared" si="95"/>
        <v>Lavatorio para banheiros suspenso</v>
      </c>
      <c r="D2849" s="175" t="s">
        <v>928</v>
      </c>
      <c r="E2849" s="176" t="str">
        <f>_xlfn.XLOOKUP(D2849,Insumos!$B$1:$B$764,Insumos!$C$1:$C$764)</f>
        <v>M</v>
      </c>
      <c r="F2849" s="179">
        <v>0.3</v>
      </c>
      <c r="G2849" s="177">
        <f>IF(B2849="insumo",_xlfn.XLOOKUP($D2849,Insumos!$B$1:$B$764,Insumos!$D$1:$D$764),"")</f>
        <v>0.24</v>
      </c>
      <c r="H2849" s="177" cm="1">
        <f t="array" ref="H2849">_xlfn.IFS(B2849="Serviço",SUMIFS(H2850:$H$3085,C2850:$C$3085,$C2849),B2849="Insumo",F2849*G2849,B2849="Etapa","")</f>
        <v>7.1999999999999995E-2</v>
      </c>
      <c r="I2849" s="178"/>
    </row>
    <row r="2850" spans="1:9" hidden="1" outlineLevel="2" x14ac:dyDescent="0.25">
      <c r="A2850" s="175">
        <f t="shared" si="96"/>
        <v>7</v>
      </c>
      <c r="B2850" s="175" t="s">
        <v>327</v>
      </c>
      <c r="C2850" s="175" t="str">
        <f t="shared" si="95"/>
        <v>Lavatorio para banheiros suspenso</v>
      </c>
      <c r="D2850" s="175" t="s">
        <v>936</v>
      </c>
      <c r="E2850" s="176" t="str">
        <f>_xlfn.XLOOKUP(D2850,Insumos!$B$1:$B$764,Insumos!$C$1:$C$764)</f>
        <v>UN</v>
      </c>
      <c r="F2850" s="179">
        <v>0.4</v>
      </c>
      <c r="G2850" s="177">
        <f>IF(B2850="insumo",_xlfn.XLOOKUP($D2850,Insumos!$B$1:$B$764,Insumos!$D$1:$D$764),"")</f>
        <v>35.6</v>
      </c>
      <c r="H2850" s="177" cm="1">
        <f t="array" ref="H2850">_xlfn.IFS(B2850="Serviço",SUMIFS(H2851:$H$3085,C2851:$C$3085,$C2850),B2850="Insumo",F2850*G2850,B2850="Etapa","")</f>
        <v>14.240000000000002</v>
      </c>
      <c r="I2850" s="178"/>
    </row>
    <row r="2851" spans="1:9" hidden="1" outlineLevel="2" x14ac:dyDescent="0.25">
      <c r="A2851" s="175">
        <f t="shared" si="96"/>
        <v>11</v>
      </c>
      <c r="B2851" s="175" t="s">
        <v>327</v>
      </c>
      <c r="C2851" s="175" t="str">
        <f t="shared" si="95"/>
        <v>Lavatorio para banheiros suspenso</v>
      </c>
      <c r="D2851" s="175" t="s">
        <v>930</v>
      </c>
      <c r="E2851" s="176" t="str">
        <f>_xlfn.XLOOKUP(D2851,Insumos!$B$1:$B$764,Insumos!$C$1:$C$764)</f>
        <v>UN</v>
      </c>
      <c r="F2851" s="179">
        <v>0.25</v>
      </c>
      <c r="G2851" s="177">
        <f>IF(B2851="insumo",_xlfn.XLOOKUP($D2851,Insumos!$B$1:$B$764,Insumos!$D$1:$D$764),"")</f>
        <v>75</v>
      </c>
      <c r="H2851" s="177" cm="1">
        <f t="array" ref="H2851">_xlfn.IFS(B2851="Serviço",SUMIFS(H2852:$H$3085,C2852:$C$3085,$C2851),B2851="Insumo",F2851*G2851,B2851="Etapa","")</f>
        <v>18.75</v>
      </c>
      <c r="I2851" s="178"/>
    </row>
    <row r="2852" spans="1:9" hidden="1" outlineLevel="2" x14ac:dyDescent="0.25">
      <c r="A2852" s="175">
        <f t="shared" si="96"/>
        <v>11</v>
      </c>
      <c r="B2852" s="175" t="s">
        <v>327</v>
      </c>
      <c r="C2852" s="175" t="str">
        <f t="shared" si="95"/>
        <v>Lavatorio para banheiros suspenso</v>
      </c>
      <c r="D2852" s="175" t="s">
        <v>931</v>
      </c>
      <c r="E2852" s="176" t="str">
        <f>_xlfn.XLOOKUP(D2852,Insumos!$B$1:$B$764,Insumos!$C$1:$C$764)</f>
        <v>UN</v>
      </c>
      <c r="F2852" s="179">
        <v>1</v>
      </c>
      <c r="G2852" s="177">
        <f>IF(B2852="insumo",_xlfn.XLOOKUP($D2852,Insumos!$B$1:$B$764,Insumos!$D$1:$D$764),"")</f>
        <v>16</v>
      </c>
      <c r="H2852" s="177" cm="1">
        <f t="array" ref="H2852">_xlfn.IFS(B2852="Serviço",SUMIFS(H2853:$H$3085,C2853:$C$3085,$C2852),B2852="Insumo",F2852*G2852,B2852="Etapa","")</f>
        <v>16</v>
      </c>
      <c r="I2852" s="178"/>
    </row>
    <row r="2853" spans="1:9" outlineLevel="1" x14ac:dyDescent="0.25">
      <c r="A2853" s="175">
        <f t="shared" si="96"/>
        <v>1</v>
      </c>
      <c r="B2853" s="175" t="s">
        <v>109</v>
      </c>
      <c r="C2853" s="175" t="str">
        <f t="shared" si="95"/>
        <v>Lavatorio para banheiros suspenso PNE</v>
      </c>
      <c r="D2853" s="188" t="s">
        <v>2053</v>
      </c>
      <c r="E2853" s="176" t="s">
        <v>131</v>
      </c>
      <c r="F2853" s="189" t="s">
        <v>124</v>
      </c>
      <c r="G2853" s="177" t="str">
        <f>IF(B2853="insumo",_xlfn.XLOOKUP($D2853,Insumos!$B$1:$B$764,Insumos!$D$1:$D$764),"")</f>
        <v/>
      </c>
      <c r="H2853" s="177" cm="1">
        <f t="array" ref="H2853">_xlfn.IFS(B2853="Serviço",SUMIFS(H2854:$H$3085,C2854:$C$3085,$C2853),B2853="Insumo",F2853*G2853,B2853="Etapa","")</f>
        <v>694.26200000000006</v>
      </c>
      <c r="I2853" s="190" t="s">
        <v>195</v>
      </c>
    </row>
    <row r="2854" spans="1:9" outlineLevel="2" x14ac:dyDescent="0.25">
      <c r="A2854" s="175">
        <f t="shared" si="96"/>
        <v>1</v>
      </c>
      <c r="B2854" s="175" t="s">
        <v>327</v>
      </c>
      <c r="C2854" s="175" t="str">
        <f t="shared" si="95"/>
        <v>Lavatorio para banheiros suspenso PNE</v>
      </c>
      <c r="D2854" s="175" t="s">
        <v>2054</v>
      </c>
      <c r="E2854" s="176" t="str">
        <f>_xlfn.XLOOKUP(D2854,Insumos!$B$1:$B$764,Insumos!$C$1:$C$764)</f>
        <v>UN</v>
      </c>
      <c r="F2854" s="179">
        <v>1</v>
      </c>
      <c r="G2854" s="177">
        <f>IF(B2854="insumo",_xlfn.XLOOKUP($D2854,Insumos!$B$1:$B$764,Insumos!$D$1:$D$764),"")</f>
        <v>215</v>
      </c>
      <c r="H2854" s="177" cm="1">
        <f t="array" ref="H2854">_xlfn.IFS(B2854="Serviço",SUMIFS(H2855:$H$3085,C2855:$C$3085,$C2854),B2854="Insumo",F2854*G2854,B2854="Etapa","")</f>
        <v>215</v>
      </c>
      <c r="I2854" s="178"/>
    </row>
    <row r="2855" spans="1:9" outlineLevel="2" x14ac:dyDescent="0.25">
      <c r="A2855" s="175">
        <f t="shared" si="96"/>
        <v>5</v>
      </c>
      <c r="B2855" s="175" t="s">
        <v>327</v>
      </c>
      <c r="C2855" s="175" t="str">
        <f t="shared" si="95"/>
        <v>Lavatorio para banheiros suspenso PNE</v>
      </c>
      <c r="D2855" s="175" t="s">
        <v>951</v>
      </c>
      <c r="E2855" s="176" t="str">
        <f>_xlfn.XLOOKUP(D2855,Insumos!$B$1:$B$764,Insumos!$C$1:$C$764)</f>
        <v>UN</v>
      </c>
      <c r="F2855" s="179">
        <v>1</v>
      </c>
      <c r="G2855" s="177">
        <f>IF(B2855="insumo",_xlfn.XLOOKUP($D2855,Insumos!$B$1:$B$764,Insumos!$D$1:$D$764),"")</f>
        <v>256.89999999999998</v>
      </c>
      <c r="H2855" s="177" cm="1">
        <f t="array" ref="H2855">_xlfn.IFS(B2855="Serviço",SUMIFS(H2856:$H$3085,C2856:$C$3085,$C2855),B2855="Insumo",F2855*G2855,B2855="Etapa","")</f>
        <v>256.89999999999998</v>
      </c>
      <c r="I2855" s="178"/>
    </row>
    <row r="2856" spans="1:9" outlineLevel="2" x14ac:dyDescent="0.25">
      <c r="A2856" s="175">
        <f t="shared" si="96"/>
        <v>3</v>
      </c>
      <c r="B2856" s="175" t="s">
        <v>327</v>
      </c>
      <c r="C2856" s="175" t="str">
        <f t="shared" si="95"/>
        <v>Lavatorio para banheiros suspenso PNE</v>
      </c>
      <c r="D2856" s="175" t="s">
        <v>959</v>
      </c>
      <c r="E2856" s="176" t="str">
        <f>_xlfn.XLOOKUP(D2856,Insumos!$B$1:$B$764,Insumos!$C$1:$C$764)</f>
        <v>UN</v>
      </c>
      <c r="F2856" s="179">
        <v>1</v>
      </c>
      <c r="G2856" s="177">
        <f>IF(B2856="insumo",_xlfn.XLOOKUP($D2856,Insumos!$B$1:$B$764,Insumos!$D$1:$D$764),"")</f>
        <v>20</v>
      </c>
      <c r="H2856" s="177" cm="1">
        <f t="array" ref="H2856">_xlfn.IFS(B2856="Serviço",SUMIFS(H2857:$H$3085,C2857:$C$3085,$C2856),B2856="Insumo",F2856*G2856,B2856="Etapa","")</f>
        <v>20</v>
      </c>
      <c r="I2856" s="178"/>
    </row>
    <row r="2857" spans="1:9" outlineLevel="2" x14ac:dyDescent="0.25">
      <c r="A2857" s="175">
        <f t="shared" si="96"/>
        <v>6</v>
      </c>
      <c r="B2857" s="175" t="s">
        <v>327</v>
      </c>
      <c r="C2857" s="175" t="str">
        <f t="shared" si="95"/>
        <v>Lavatorio para banheiros suspenso PNE</v>
      </c>
      <c r="D2857" s="175" t="s">
        <v>953</v>
      </c>
      <c r="E2857" s="176" t="str">
        <f>_xlfn.XLOOKUP(D2857,Insumos!$B$1:$B$764,Insumos!$C$1:$C$764)</f>
        <v>UN</v>
      </c>
      <c r="F2857" s="179">
        <v>6</v>
      </c>
      <c r="G2857" s="177">
        <f>IF(B2857="insumo",_xlfn.XLOOKUP($D2857,Insumos!$B$1:$B$764,Insumos!$D$1:$D$764),"")</f>
        <v>0.6</v>
      </c>
      <c r="H2857" s="177" cm="1">
        <f t="array" ref="H2857">_xlfn.IFS(B2857="Serviço",SUMIFS(H2858:$H$3085,C2858:$C$3085,$C2857),B2857="Insumo",F2857*G2857,B2857="Etapa","")</f>
        <v>3.5999999999999996</v>
      </c>
      <c r="I2857" s="178"/>
    </row>
    <row r="2858" spans="1:9" outlineLevel="2" x14ac:dyDescent="0.25">
      <c r="A2858" s="175">
        <f t="shared" si="96"/>
        <v>6</v>
      </c>
      <c r="B2858" s="175" t="s">
        <v>327</v>
      </c>
      <c r="C2858" s="175" t="str">
        <f t="shared" si="95"/>
        <v>Lavatorio para banheiros suspenso PNE</v>
      </c>
      <c r="D2858" s="175" t="s">
        <v>954</v>
      </c>
      <c r="E2858" s="176" t="str">
        <f>_xlfn.XLOOKUP(D2858,Insumos!$B$1:$B$764,Insumos!$C$1:$C$764)</f>
        <v>UN</v>
      </c>
      <c r="F2858" s="179">
        <v>6</v>
      </c>
      <c r="G2858" s="177">
        <f>IF(B2858="insumo",_xlfn.XLOOKUP($D2858,Insumos!$B$1:$B$764,Insumos!$D$1:$D$764),"")</f>
        <v>24.95</v>
      </c>
      <c r="H2858" s="177" cm="1">
        <f t="array" ref="H2858">_xlfn.IFS(B2858="Serviço",SUMIFS(H2859:$H$3085,C2859:$C$3085,$C2858),B2858="Insumo",F2858*G2858,B2858="Etapa","")</f>
        <v>149.69999999999999</v>
      </c>
      <c r="I2858" s="178"/>
    </row>
    <row r="2859" spans="1:9" outlineLevel="2" x14ac:dyDescent="0.25">
      <c r="A2859" s="175">
        <f t="shared" si="96"/>
        <v>8</v>
      </c>
      <c r="B2859" s="175" t="s">
        <v>327</v>
      </c>
      <c r="C2859" s="175" t="str">
        <f t="shared" si="95"/>
        <v>Lavatorio para banheiros suspenso PNE</v>
      </c>
      <c r="D2859" s="175" t="s">
        <v>928</v>
      </c>
      <c r="E2859" s="176" t="str">
        <f>_xlfn.XLOOKUP(D2859,Insumos!$B$1:$B$764,Insumos!$C$1:$C$764)</f>
        <v>M</v>
      </c>
      <c r="F2859" s="179">
        <v>0.3</v>
      </c>
      <c r="G2859" s="177">
        <f>IF(B2859="insumo",_xlfn.XLOOKUP($D2859,Insumos!$B$1:$B$764,Insumos!$D$1:$D$764),"")</f>
        <v>0.24</v>
      </c>
      <c r="H2859" s="177" cm="1">
        <f t="array" ref="H2859">_xlfn.IFS(B2859="Serviço",SUMIFS(H2860:$H$3085,C2860:$C$3085,$C2859),B2859="Insumo",F2859*G2859,B2859="Etapa","")</f>
        <v>7.1999999999999995E-2</v>
      </c>
      <c r="I2859" s="178"/>
    </row>
    <row r="2860" spans="1:9" outlineLevel="2" x14ac:dyDescent="0.25">
      <c r="A2860" s="175">
        <f t="shared" si="96"/>
        <v>7</v>
      </c>
      <c r="B2860" s="175" t="s">
        <v>327</v>
      </c>
      <c r="C2860" s="175" t="str">
        <f t="shared" si="95"/>
        <v>Lavatorio para banheiros suspenso PNE</v>
      </c>
      <c r="D2860" s="175" t="s">
        <v>936</v>
      </c>
      <c r="E2860" s="176" t="str">
        <f>_xlfn.XLOOKUP(D2860,Insumos!$B$1:$B$764,Insumos!$C$1:$C$764)</f>
        <v>UN</v>
      </c>
      <c r="F2860" s="179">
        <v>0.4</v>
      </c>
      <c r="G2860" s="177">
        <f>IF(B2860="insumo",_xlfn.XLOOKUP($D2860,Insumos!$B$1:$B$764,Insumos!$D$1:$D$764),"")</f>
        <v>35.6</v>
      </c>
      <c r="H2860" s="177" cm="1">
        <f t="array" ref="H2860">_xlfn.IFS(B2860="Serviço",SUMIFS(H2861:$H$3085,C2861:$C$3085,$C2860),B2860="Insumo",F2860*G2860,B2860="Etapa","")</f>
        <v>14.240000000000002</v>
      </c>
      <c r="I2860" s="178"/>
    </row>
    <row r="2861" spans="1:9" outlineLevel="2" x14ac:dyDescent="0.25">
      <c r="A2861" s="175">
        <f t="shared" si="96"/>
        <v>11</v>
      </c>
      <c r="B2861" s="175" t="s">
        <v>327</v>
      </c>
      <c r="C2861" s="175" t="str">
        <f t="shared" si="95"/>
        <v>Lavatorio para banheiros suspenso PNE</v>
      </c>
      <c r="D2861" s="175" t="s">
        <v>930</v>
      </c>
      <c r="E2861" s="176" t="str">
        <f>_xlfn.XLOOKUP(D2861,Insumos!$B$1:$B$764,Insumos!$C$1:$C$764)</f>
        <v>UN</v>
      </c>
      <c r="F2861" s="179">
        <v>0.25</v>
      </c>
      <c r="G2861" s="177">
        <f>IF(B2861="insumo",_xlfn.XLOOKUP($D2861,Insumos!$B$1:$B$764,Insumos!$D$1:$D$764),"")</f>
        <v>75</v>
      </c>
      <c r="H2861" s="177" cm="1">
        <f t="array" ref="H2861">_xlfn.IFS(B2861="Serviço",SUMIFS(H2862:$H$3085,C2862:$C$3085,$C2861),B2861="Insumo",F2861*G2861,B2861="Etapa","")</f>
        <v>18.75</v>
      </c>
      <c r="I2861" s="178"/>
    </row>
    <row r="2862" spans="1:9" outlineLevel="2" x14ac:dyDescent="0.25">
      <c r="A2862" s="175">
        <f t="shared" si="96"/>
        <v>11</v>
      </c>
      <c r="B2862" s="175" t="s">
        <v>327</v>
      </c>
      <c r="C2862" s="175" t="str">
        <f t="shared" si="95"/>
        <v>Lavatorio para banheiros suspenso PNE</v>
      </c>
      <c r="D2862" s="175" t="s">
        <v>931</v>
      </c>
      <c r="E2862" s="176" t="str">
        <f>_xlfn.XLOOKUP(D2862,Insumos!$B$1:$B$764,Insumos!$C$1:$C$764)</f>
        <v>UN</v>
      </c>
      <c r="F2862" s="179">
        <v>1</v>
      </c>
      <c r="G2862" s="177">
        <f>IF(B2862="insumo",_xlfn.XLOOKUP($D2862,Insumos!$B$1:$B$764,Insumos!$D$1:$D$764),"")</f>
        <v>16</v>
      </c>
      <c r="H2862" s="177" cm="1">
        <f t="array" ref="H2862">_xlfn.IFS(B2862="Serviço",SUMIFS(H2863:$H$3085,C2863:$C$3085,$C2862),B2862="Insumo",F2862*G2862,B2862="Etapa","")</f>
        <v>16</v>
      </c>
      <c r="I2862" s="178"/>
    </row>
    <row r="2863" spans="1:9" outlineLevel="1" collapsed="1" x14ac:dyDescent="0.25">
      <c r="A2863" s="175">
        <f t="shared" si="96"/>
        <v>1</v>
      </c>
      <c r="B2863" s="175" t="s">
        <v>109</v>
      </c>
      <c r="C2863" s="175" t="str">
        <f t="shared" si="95"/>
        <v>Tanque Inox</v>
      </c>
      <c r="D2863" s="188" t="s">
        <v>960</v>
      </c>
      <c r="E2863" s="176" t="s">
        <v>131</v>
      </c>
      <c r="F2863" s="189" t="s">
        <v>124</v>
      </c>
      <c r="G2863" s="177" t="str">
        <f>IF(B2863="insumo",_xlfn.XLOOKUP($D2863,Insumos!$B$1:$B$764,Insumos!$D$1:$D$764),"")</f>
        <v/>
      </c>
      <c r="H2863" s="177" cm="1">
        <f t="array" ref="H2863">_xlfn.IFS(B2863="Serviço",SUMIFS(H2864:$H$3085,C2864:$C$3085,$C2863),B2863="Insumo",F2863*G2863,B2863="Etapa","")</f>
        <v>834.26200000000006</v>
      </c>
      <c r="I2863" s="190" t="s">
        <v>195</v>
      </c>
    </row>
    <row r="2864" spans="1:9" hidden="1" outlineLevel="2" x14ac:dyDescent="0.25">
      <c r="A2864" s="175">
        <f t="shared" si="96"/>
        <v>1</v>
      </c>
      <c r="B2864" s="175" t="s">
        <v>327</v>
      </c>
      <c r="C2864" s="175" t="str">
        <f t="shared" si="95"/>
        <v>Tanque Inox</v>
      </c>
      <c r="D2864" s="175" t="s">
        <v>961</v>
      </c>
      <c r="E2864" s="176" t="str">
        <f>_xlfn.XLOOKUP(D2864,Insumos!$B$1:$B$764,Insumos!$C$1:$C$764)</f>
        <v>UN</v>
      </c>
      <c r="F2864" s="179">
        <v>1</v>
      </c>
      <c r="G2864" s="177">
        <f>IF(B2864="insumo",_xlfn.XLOOKUP($D2864,Insumos!$B$1:$B$764,Insumos!$D$1:$D$764),"")</f>
        <v>325</v>
      </c>
      <c r="H2864" s="177" cm="1">
        <f t="array" ref="H2864">_xlfn.IFS(B2864="Serviço",SUMIFS(H2865:$H$3085,C2865:$C$3085,$C2864),B2864="Insumo",F2864*G2864,B2864="Etapa","")</f>
        <v>325</v>
      </c>
      <c r="I2864" s="178"/>
    </row>
    <row r="2865" spans="1:9" hidden="1" outlineLevel="2" x14ac:dyDescent="0.25">
      <c r="A2865" s="175">
        <f t="shared" si="96"/>
        <v>5</v>
      </c>
      <c r="B2865" s="175" t="s">
        <v>327</v>
      </c>
      <c r="C2865" s="175" t="str">
        <f t="shared" si="95"/>
        <v>Tanque Inox</v>
      </c>
      <c r="D2865" s="175" t="s">
        <v>951</v>
      </c>
      <c r="E2865" s="176" t="str">
        <f>_xlfn.XLOOKUP(D2865,Insumos!$B$1:$B$764,Insumos!$C$1:$C$764)</f>
        <v>UN</v>
      </c>
      <c r="F2865" s="179">
        <v>1</v>
      </c>
      <c r="G2865" s="177">
        <f>IF(B2865="insumo",_xlfn.XLOOKUP($D2865,Insumos!$B$1:$B$764,Insumos!$D$1:$D$764),"")</f>
        <v>256.89999999999998</v>
      </c>
      <c r="H2865" s="177" cm="1">
        <f t="array" ref="H2865">_xlfn.IFS(B2865="Serviço",SUMIFS(H2866:$H$3085,C2866:$C$3085,$C2865),B2865="Insumo",F2865*G2865,B2865="Etapa","")</f>
        <v>256.89999999999998</v>
      </c>
      <c r="I2865" s="178"/>
    </row>
    <row r="2866" spans="1:9" hidden="1" outlineLevel="2" x14ac:dyDescent="0.25">
      <c r="A2866" s="175">
        <f t="shared" si="96"/>
        <v>3</v>
      </c>
      <c r="B2866" s="175" t="s">
        <v>327</v>
      </c>
      <c r="C2866" s="175" t="str">
        <f t="shared" ref="C2866:C2929" si="97">IF(B2866="serviço",D2866,C2865)</f>
        <v>Tanque Inox</v>
      </c>
      <c r="D2866" s="175" t="s">
        <v>952</v>
      </c>
      <c r="E2866" s="176" t="str">
        <f>_xlfn.XLOOKUP(D2866,Insumos!$B$1:$B$764,Insumos!$C$1:$C$764)</f>
        <v>UN</v>
      </c>
      <c r="F2866" s="179">
        <v>1</v>
      </c>
      <c r="G2866" s="177">
        <f>IF(B2866="insumo",_xlfn.XLOOKUP($D2866,Insumos!$B$1:$B$764,Insumos!$D$1:$D$764),"")</f>
        <v>50</v>
      </c>
      <c r="H2866" s="177" cm="1">
        <f t="array" ref="H2866">_xlfn.IFS(B2866="Serviço",SUMIFS(H2867:$H$3085,C2867:$C$3085,$C2866),B2866="Insumo",F2866*G2866,B2866="Etapa","")</f>
        <v>50</v>
      </c>
      <c r="I2866" s="178"/>
    </row>
    <row r="2867" spans="1:9" hidden="1" outlineLevel="2" x14ac:dyDescent="0.25">
      <c r="A2867" s="175">
        <f t="shared" si="96"/>
        <v>6</v>
      </c>
      <c r="B2867" s="175" t="s">
        <v>327</v>
      </c>
      <c r="C2867" s="175" t="str">
        <f t="shared" si="97"/>
        <v>Tanque Inox</v>
      </c>
      <c r="D2867" s="175" t="s">
        <v>953</v>
      </c>
      <c r="E2867" s="176" t="str">
        <f>_xlfn.XLOOKUP(D2867,Insumos!$B$1:$B$764,Insumos!$C$1:$C$764)</f>
        <v>UN</v>
      </c>
      <c r="F2867" s="179">
        <v>6</v>
      </c>
      <c r="G2867" s="177">
        <f>IF(B2867="insumo",_xlfn.XLOOKUP($D2867,Insumos!$B$1:$B$764,Insumos!$D$1:$D$764),"")</f>
        <v>0.6</v>
      </c>
      <c r="H2867" s="177" cm="1">
        <f t="array" ref="H2867">_xlfn.IFS(B2867="Serviço",SUMIFS(H2868:$H$3085,C2868:$C$3085,$C2867),B2867="Insumo",F2867*G2867,B2867="Etapa","")</f>
        <v>3.5999999999999996</v>
      </c>
      <c r="I2867" s="178"/>
    </row>
    <row r="2868" spans="1:9" hidden="1" outlineLevel="2" x14ac:dyDescent="0.25">
      <c r="A2868" s="175">
        <f t="shared" si="96"/>
        <v>6</v>
      </c>
      <c r="B2868" s="175" t="s">
        <v>327</v>
      </c>
      <c r="C2868" s="175" t="str">
        <f t="shared" si="97"/>
        <v>Tanque Inox</v>
      </c>
      <c r="D2868" s="175" t="s">
        <v>954</v>
      </c>
      <c r="E2868" s="176" t="str">
        <f>_xlfn.XLOOKUP(D2868,Insumos!$B$1:$B$764,Insumos!$C$1:$C$764)</f>
        <v>UN</v>
      </c>
      <c r="F2868" s="179">
        <v>6</v>
      </c>
      <c r="G2868" s="177">
        <f>IF(B2868="insumo",_xlfn.XLOOKUP($D2868,Insumos!$B$1:$B$764,Insumos!$D$1:$D$764),"")</f>
        <v>24.95</v>
      </c>
      <c r="H2868" s="177" cm="1">
        <f t="array" ref="H2868">_xlfn.IFS(B2868="Serviço",SUMIFS(H2869:$H$3085,C2869:$C$3085,$C2868),B2868="Insumo",F2868*G2868,B2868="Etapa","")</f>
        <v>149.69999999999999</v>
      </c>
      <c r="I2868" s="178"/>
    </row>
    <row r="2869" spans="1:9" hidden="1" outlineLevel="2" x14ac:dyDescent="0.25">
      <c r="A2869" s="175">
        <f t="shared" si="96"/>
        <v>8</v>
      </c>
      <c r="B2869" s="175" t="s">
        <v>327</v>
      </c>
      <c r="C2869" s="175" t="str">
        <f t="shared" si="97"/>
        <v>Tanque Inox</v>
      </c>
      <c r="D2869" s="175" t="s">
        <v>928</v>
      </c>
      <c r="E2869" s="176" t="str">
        <f>_xlfn.XLOOKUP(D2869,Insumos!$B$1:$B$764,Insumos!$C$1:$C$764)</f>
        <v>M</v>
      </c>
      <c r="F2869" s="179">
        <v>0.3</v>
      </c>
      <c r="G2869" s="177">
        <f>IF(B2869="insumo",_xlfn.XLOOKUP($D2869,Insumos!$B$1:$B$764,Insumos!$D$1:$D$764),"")</f>
        <v>0.24</v>
      </c>
      <c r="H2869" s="177" cm="1">
        <f t="array" ref="H2869">_xlfn.IFS(B2869="Serviço",SUMIFS(H2870:$H$3085,C2870:$C$3085,$C2869),B2869="Insumo",F2869*G2869,B2869="Etapa","")</f>
        <v>7.1999999999999995E-2</v>
      </c>
      <c r="I2869" s="178"/>
    </row>
    <row r="2870" spans="1:9" hidden="1" outlineLevel="2" x14ac:dyDescent="0.25">
      <c r="A2870" s="175">
        <f t="shared" si="96"/>
        <v>7</v>
      </c>
      <c r="B2870" s="175" t="s">
        <v>327</v>
      </c>
      <c r="C2870" s="175" t="str">
        <f t="shared" si="97"/>
        <v>Tanque Inox</v>
      </c>
      <c r="D2870" s="175" t="s">
        <v>936</v>
      </c>
      <c r="E2870" s="176" t="str">
        <f>_xlfn.XLOOKUP(D2870,Insumos!$B$1:$B$764,Insumos!$C$1:$C$764)</f>
        <v>UN</v>
      </c>
      <c r="F2870" s="179">
        <v>0.4</v>
      </c>
      <c r="G2870" s="177">
        <f>IF(B2870="insumo",_xlfn.XLOOKUP($D2870,Insumos!$B$1:$B$764,Insumos!$D$1:$D$764),"")</f>
        <v>35.6</v>
      </c>
      <c r="H2870" s="177" cm="1">
        <f t="array" ref="H2870">_xlfn.IFS(B2870="Serviço",SUMIFS(H2871:$H$3085,C2871:$C$3085,$C2870),B2870="Insumo",F2870*G2870,B2870="Etapa","")</f>
        <v>14.240000000000002</v>
      </c>
      <c r="I2870" s="178"/>
    </row>
    <row r="2871" spans="1:9" hidden="1" outlineLevel="2" x14ac:dyDescent="0.25">
      <c r="A2871" s="175">
        <f t="shared" si="96"/>
        <v>11</v>
      </c>
      <c r="B2871" s="175" t="s">
        <v>327</v>
      </c>
      <c r="C2871" s="175" t="str">
        <f t="shared" si="97"/>
        <v>Tanque Inox</v>
      </c>
      <c r="D2871" s="175" t="s">
        <v>930</v>
      </c>
      <c r="E2871" s="176" t="str">
        <f>_xlfn.XLOOKUP(D2871,Insumos!$B$1:$B$764,Insumos!$C$1:$C$764)</f>
        <v>UN</v>
      </c>
      <c r="F2871" s="179">
        <v>0.25</v>
      </c>
      <c r="G2871" s="177">
        <f>IF(B2871="insumo",_xlfn.XLOOKUP($D2871,Insumos!$B$1:$B$764,Insumos!$D$1:$D$764),"")</f>
        <v>75</v>
      </c>
      <c r="H2871" s="177" cm="1">
        <f t="array" ref="H2871">_xlfn.IFS(B2871="Serviço",SUMIFS(H2872:$H$3085,C2872:$C$3085,$C2871),B2871="Insumo",F2871*G2871,B2871="Etapa","")</f>
        <v>18.75</v>
      </c>
      <c r="I2871" s="178"/>
    </row>
    <row r="2872" spans="1:9" hidden="1" outlineLevel="2" x14ac:dyDescent="0.25">
      <c r="A2872" s="175">
        <f t="shared" si="96"/>
        <v>11</v>
      </c>
      <c r="B2872" s="175" t="s">
        <v>327</v>
      </c>
      <c r="C2872" s="175" t="str">
        <f t="shared" si="97"/>
        <v>Tanque Inox</v>
      </c>
      <c r="D2872" s="175" t="s">
        <v>931</v>
      </c>
      <c r="E2872" s="176" t="str">
        <f>_xlfn.XLOOKUP(D2872,Insumos!$B$1:$B$764,Insumos!$C$1:$C$764)</f>
        <v>UN</v>
      </c>
      <c r="F2872" s="179">
        <v>1</v>
      </c>
      <c r="G2872" s="177">
        <f>IF(B2872="insumo",_xlfn.XLOOKUP($D2872,Insumos!$B$1:$B$764,Insumos!$D$1:$D$764),"")</f>
        <v>16</v>
      </c>
      <c r="H2872" s="177" cm="1">
        <f t="array" ref="H2872">_xlfn.IFS(B2872="Serviço",SUMIFS(H2873:$H$3085,C2873:$C$3085,$C2872),B2872="Insumo",F2872*G2872,B2872="Etapa","")</f>
        <v>16</v>
      </c>
      <c r="I2872" s="178"/>
    </row>
    <row r="2873" spans="1:9" outlineLevel="1" collapsed="1" x14ac:dyDescent="0.25">
      <c r="A2873" s="175">
        <f t="shared" si="96"/>
        <v>1</v>
      </c>
      <c r="B2873" s="175" t="s">
        <v>109</v>
      </c>
      <c r="C2873" s="175" t="str">
        <f t="shared" si="97"/>
        <v>Tanque Louça Suspenso</v>
      </c>
      <c r="D2873" s="188" t="s">
        <v>962</v>
      </c>
      <c r="E2873" s="176" t="s">
        <v>131</v>
      </c>
      <c r="F2873" s="189" t="s">
        <v>124</v>
      </c>
      <c r="G2873" s="177" t="str">
        <f>IF(B2873="insumo",_xlfn.XLOOKUP($D2873,Insumos!$B$1:$B$764,Insumos!$D$1:$D$764),"")</f>
        <v/>
      </c>
      <c r="H2873" s="177" cm="1">
        <f t="array" ref="H2873">_xlfn.IFS(B2873="Serviço",SUMIFS(H2874:$H$3085,C2874:$C$3085,$C2873),B2873="Insumo",F2873*G2873,B2873="Etapa","")</f>
        <v>558.36199999999997</v>
      </c>
      <c r="I2873" s="190" t="s">
        <v>195</v>
      </c>
    </row>
    <row r="2874" spans="1:9" hidden="1" outlineLevel="2" x14ac:dyDescent="0.25">
      <c r="A2874" s="175">
        <f t="shared" si="96"/>
        <v>1</v>
      </c>
      <c r="B2874" s="175" t="s">
        <v>327</v>
      </c>
      <c r="C2874" s="175" t="str">
        <f t="shared" si="97"/>
        <v>Tanque Louça Suspenso</v>
      </c>
      <c r="D2874" s="175" t="s">
        <v>963</v>
      </c>
      <c r="E2874" s="176" t="str">
        <f>_xlfn.XLOOKUP(D2874,Insumos!$B$1:$B$764,Insumos!$C$1:$C$764)</f>
        <v>UN</v>
      </c>
      <c r="F2874" s="179">
        <v>1</v>
      </c>
      <c r="G2874" s="177">
        <f>IF(B2874="insumo",_xlfn.XLOOKUP($D2874,Insumos!$B$1:$B$764,Insumos!$D$1:$D$764),"")</f>
        <v>301</v>
      </c>
      <c r="H2874" s="177" cm="1">
        <f t="array" ref="H2874">_xlfn.IFS(B2874="Serviço",SUMIFS(H2875:$H$3085,C2875:$C$3085,$C2874),B2874="Insumo",F2874*G2874,B2874="Etapa","")</f>
        <v>301</v>
      </c>
      <c r="I2874" s="178"/>
    </row>
    <row r="2875" spans="1:9" hidden="1" outlineLevel="2" x14ac:dyDescent="0.25">
      <c r="A2875" s="175">
        <f t="shared" si="96"/>
        <v>1</v>
      </c>
      <c r="B2875" s="175" t="s">
        <v>327</v>
      </c>
      <c r="C2875" s="175" t="str">
        <f t="shared" si="97"/>
        <v>Tanque Louça Suspenso</v>
      </c>
      <c r="D2875" s="175" t="s">
        <v>964</v>
      </c>
      <c r="E2875" s="176" t="str">
        <f>_xlfn.XLOOKUP(D2875,Insumos!$B$1:$B$764,Insumos!$C$1:$C$764)</f>
        <v>UN</v>
      </c>
      <c r="F2875" s="179">
        <v>1</v>
      </c>
      <c r="G2875" s="177">
        <f>IF(B2875="insumo",_xlfn.XLOOKUP($D2875,Insumos!$B$1:$B$764,Insumos!$D$1:$D$764),"")</f>
        <v>35</v>
      </c>
      <c r="H2875" s="177" cm="1">
        <f t="array" ref="H2875">_xlfn.IFS(B2875="Serviço",SUMIFS(H2876:$H$3085,C2876:$C$3085,$C2875),B2875="Insumo",F2875*G2875,B2875="Etapa","")</f>
        <v>35</v>
      </c>
      <c r="I2875" s="178"/>
    </row>
    <row r="2876" spans="1:9" hidden="1" outlineLevel="2" x14ac:dyDescent="0.25">
      <c r="A2876" s="175">
        <f t="shared" si="96"/>
        <v>3</v>
      </c>
      <c r="B2876" s="175" t="s">
        <v>327</v>
      </c>
      <c r="C2876" s="175" t="str">
        <f t="shared" si="97"/>
        <v>Tanque Louça Suspenso</v>
      </c>
      <c r="D2876" s="175" t="s">
        <v>959</v>
      </c>
      <c r="E2876" s="176" t="str">
        <f>_xlfn.XLOOKUP(D2876,Insumos!$B$1:$B$764,Insumos!$C$1:$C$764)</f>
        <v>UN</v>
      </c>
      <c r="F2876" s="179">
        <v>1</v>
      </c>
      <c r="G2876" s="177">
        <f>IF(B2876="insumo",_xlfn.XLOOKUP($D2876,Insumos!$B$1:$B$764,Insumos!$D$1:$D$764),"")</f>
        <v>20</v>
      </c>
      <c r="H2876" s="177" cm="1">
        <f t="array" ref="H2876">_xlfn.IFS(B2876="Serviço",SUMIFS(H2877:$H$3085,C2877:$C$3085,$C2876),B2876="Insumo",F2876*G2876,B2876="Etapa","")</f>
        <v>20</v>
      </c>
      <c r="I2876" s="178"/>
    </row>
    <row r="2877" spans="1:9" hidden="1" outlineLevel="2" x14ac:dyDescent="0.25">
      <c r="A2877" s="175">
        <f t="shared" si="96"/>
        <v>6</v>
      </c>
      <c r="B2877" s="175" t="s">
        <v>327</v>
      </c>
      <c r="C2877" s="175" t="str">
        <f t="shared" si="97"/>
        <v>Tanque Louça Suspenso</v>
      </c>
      <c r="D2877" s="175" t="s">
        <v>953</v>
      </c>
      <c r="E2877" s="176" t="str">
        <f>_xlfn.XLOOKUP(D2877,Insumos!$B$1:$B$764,Insumos!$C$1:$C$764)</f>
        <v>UN</v>
      </c>
      <c r="F2877" s="179">
        <v>6</v>
      </c>
      <c r="G2877" s="177">
        <f>IF(B2877="insumo",_xlfn.XLOOKUP($D2877,Insumos!$B$1:$B$764,Insumos!$D$1:$D$764),"")</f>
        <v>0.6</v>
      </c>
      <c r="H2877" s="177" cm="1">
        <f t="array" ref="H2877">_xlfn.IFS(B2877="Serviço",SUMIFS(H2878:$H$3085,C2878:$C$3085,$C2877),B2877="Insumo",F2877*G2877,B2877="Etapa","")</f>
        <v>3.5999999999999996</v>
      </c>
      <c r="I2877" s="178"/>
    </row>
    <row r="2878" spans="1:9" hidden="1" outlineLevel="2" x14ac:dyDescent="0.25">
      <c r="A2878" s="175">
        <f t="shared" si="96"/>
        <v>6</v>
      </c>
      <c r="B2878" s="175" t="s">
        <v>327</v>
      </c>
      <c r="C2878" s="175" t="str">
        <f t="shared" si="97"/>
        <v>Tanque Louça Suspenso</v>
      </c>
      <c r="D2878" s="175" t="s">
        <v>954</v>
      </c>
      <c r="E2878" s="176" t="str">
        <f>_xlfn.XLOOKUP(D2878,Insumos!$B$1:$B$764,Insumos!$C$1:$C$764)</f>
        <v>UN</v>
      </c>
      <c r="F2878" s="179">
        <v>6</v>
      </c>
      <c r="G2878" s="177">
        <f>IF(B2878="insumo",_xlfn.XLOOKUP($D2878,Insumos!$B$1:$B$764,Insumos!$D$1:$D$764),"")</f>
        <v>24.95</v>
      </c>
      <c r="H2878" s="177" cm="1">
        <f t="array" ref="H2878">_xlfn.IFS(B2878="Serviço",SUMIFS(H2879:$H$3085,C2879:$C$3085,$C2878),B2878="Insumo",F2878*G2878,B2878="Etapa","")</f>
        <v>149.69999999999999</v>
      </c>
      <c r="I2878" s="178"/>
    </row>
    <row r="2879" spans="1:9" hidden="1" outlineLevel="2" x14ac:dyDescent="0.25">
      <c r="A2879" s="175">
        <f t="shared" si="96"/>
        <v>8</v>
      </c>
      <c r="B2879" s="175" t="s">
        <v>327</v>
      </c>
      <c r="C2879" s="175" t="str">
        <f t="shared" si="97"/>
        <v>Tanque Louça Suspenso</v>
      </c>
      <c r="D2879" s="175" t="s">
        <v>928</v>
      </c>
      <c r="E2879" s="176" t="str">
        <f>_xlfn.XLOOKUP(D2879,Insumos!$B$1:$B$764,Insumos!$C$1:$C$764)</f>
        <v>M</v>
      </c>
      <c r="F2879" s="179">
        <v>0.3</v>
      </c>
      <c r="G2879" s="177">
        <f>IF(B2879="insumo",_xlfn.XLOOKUP($D2879,Insumos!$B$1:$B$764,Insumos!$D$1:$D$764),"")</f>
        <v>0.24</v>
      </c>
      <c r="H2879" s="177" cm="1">
        <f t="array" ref="H2879">_xlfn.IFS(B2879="Serviço",SUMIFS(H2880:$H$3085,C2880:$C$3085,$C2879),B2879="Insumo",F2879*G2879,B2879="Etapa","")</f>
        <v>7.1999999999999995E-2</v>
      </c>
      <c r="I2879" s="178"/>
    </row>
    <row r="2880" spans="1:9" hidden="1" outlineLevel="2" x14ac:dyDescent="0.25">
      <c r="A2880" s="175">
        <f t="shared" si="96"/>
        <v>7</v>
      </c>
      <c r="B2880" s="175" t="s">
        <v>327</v>
      </c>
      <c r="C2880" s="175" t="str">
        <f t="shared" si="97"/>
        <v>Tanque Louça Suspenso</v>
      </c>
      <c r="D2880" s="175" t="s">
        <v>936</v>
      </c>
      <c r="E2880" s="176" t="str">
        <f>_xlfn.XLOOKUP(D2880,Insumos!$B$1:$B$764,Insumos!$C$1:$C$764)</f>
        <v>UN</v>
      </c>
      <c r="F2880" s="179">
        <v>0.4</v>
      </c>
      <c r="G2880" s="177">
        <f>IF(B2880="insumo",_xlfn.XLOOKUP($D2880,Insumos!$B$1:$B$764,Insumos!$D$1:$D$764),"")</f>
        <v>35.6</v>
      </c>
      <c r="H2880" s="177" cm="1">
        <f t="array" ref="H2880">_xlfn.IFS(B2880="Serviço",SUMIFS(H2881:$H$3085,C2881:$C$3085,$C2880),B2880="Insumo",F2880*G2880,B2880="Etapa","")</f>
        <v>14.240000000000002</v>
      </c>
      <c r="I2880" s="178"/>
    </row>
    <row r="2881" spans="1:9" hidden="1" outlineLevel="2" x14ac:dyDescent="0.25">
      <c r="A2881" s="175">
        <f t="shared" si="96"/>
        <v>11</v>
      </c>
      <c r="B2881" s="175" t="s">
        <v>327</v>
      </c>
      <c r="C2881" s="175" t="str">
        <f t="shared" si="97"/>
        <v>Tanque Louça Suspenso</v>
      </c>
      <c r="D2881" s="175" t="s">
        <v>930</v>
      </c>
      <c r="E2881" s="176" t="str">
        <f>_xlfn.XLOOKUP(D2881,Insumos!$B$1:$B$764,Insumos!$C$1:$C$764)</f>
        <v>UN</v>
      </c>
      <c r="F2881" s="179">
        <v>0.25</v>
      </c>
      <c r="G2881" s="177">
        <f>IF(B2881="insumo",_xlfn.XLOOKUP($D2881,Insumos!$B$1:$B$764,Insumos!$D$1:$D$764),"")</f>
        <v>75</v>
      </c>
      <c r="H2881" s="177" cm="1">
        <f t="array" ref="H2881">_xlfn.IFS(B2881="Serviço",SUMIFS(H2882:$H$3085,C2882:$C$3085,$C2881),B2881="Insumo",F2881*G2881,B2881="Etapa","")</f>
        <v>18.75</v>
      </c>
      <c r="I2881" s="178"/>
    </row>
    <row r="2882" spans="1:9" hidden="1" outlineLevel="2" x14ac:dyDescent="0.25">
      <c r="A2882" s="175">
        <f t="shared" ref="A2882:A2945" si="98">COUNTIFS($D$2:$D$3085,D2882,$B$2:$B$3085,B2882)</f>
        <v>11</v>
      </c>
      <c r="B2882" s="175" t="s">
        <v>327</v>
      </c>
      <c r="C2882" s="175" t="str">
        <f t="shared" si="97"/>
        <v>Tanque Louça Suspenso</v>
      </c>
      <c r="D2882" s="175" t="s">
        <v>931</v>
      </c>
      <c r="E2882" s="176" t="str">
        <f>_xlfn.XLOOKUP(D2882,Insumos!$B$1:$B$764,Insumos!$C$1:$C$764)</f>
        <v>UN</v>
      </c>
      <c r="F2882" s="179">
        <v>1</v>
      </c>
      <c r="G2882" s="177">
        <f>IF(B2882="insumo",_xlfn.XLOOKUP($D2882,Insumos!$B$1:$B$764,Insumos!$D$1:$D$764),"")</f>
        <v>16</v>
      </c>
      <c r="H2882" s="177" cm="1">
        <f t="array" ref="H2882">_xlfn.IFS(B2882="Serviço",SUMIFS(H2883:$H$3085,C2883:$C$3085,$C2882),B2882="Insumo",F2882*G2882,B2882="Etapa","")</f>
        <v>16</v>
      </c>
      <c r="I2882" s="178"/>
    </row>
    <row r="2883" spans="1:9" outlineLevel="1" collapsed="1" x14ac:dyDescent="0.25">
      <c r="A2883" s="175">
        <f t="shared" si="98"/>
        <v>1</v>
      </c>
      <c r="B2883" s="175" t="s">
        <v>109</v>
      </c>
      <c r="C2883" s="175" t="str">
        <f t="shared" si="97"/>
        <v>Torneira Lavatório mesa</v>
      </c>
      <c r="D2883" s="188" t="s">
        <v>965</v>
      </c>
      <c r="E2883" s="176" t="s">
        <v>131</v>
      </c>
      <c r="F2883" s="189" t="s">
        <v>124</v>
      </c>
      <c r="G2883" s="177" t="str">
        <f>IF(B2883="insumo",_xlfn.XLOOKUP($D2883,Insumos!$B$1:$B$764,Insumos!$D$1:$D$764),"")</f>
        <v/>
      </c>
      <c r="H2883" s="177" cm="1">
        <f t="array" ref="H2883">_xlfn.IFS(B2883="Serviço",SUMIFS(H2884:$H$3085,C2884:$C$3085,$C2883),B2883="Insumo",F2883*G2883,B2883="Etapa","")</f>
        <v>350</v>
      </c>
      <c r="I2883" s="190" t="s">
        <v>195</v>
      </c>
    </row>
    <row r="2884" spans="1:9" hidden="1" outlineLevel="2" x14ac:dyDescent="0.25">
      <c r="A2884" s="175">
        <f t="shared" si="98"/>
        <v>1</v>
      </c>
      <c r="B2884" s="175" t="s">
        <v>327</v>
      </c>
      <c r="C2884" s="175" t="str">
        <f t="shared" si="97"/>
        <v>Torneira Lavatório mesa</v>
      </c>
      <c r="D2884" s="175" t="s">
        <v>966</v>
      </c>
      <c r="E2884" s="176" t="str">
        <f>_xlfn.XLOOKUP(D2884,Insumos!$B$1:$B$764,Insumos!$C$1:$C$764)</f>
        <v>UN</v>
      </c>
      <c r="F2884" s="179">
        <v>1</v>
      </c>
      <c r="G2884" s="177">
        <v>350</v>
      </c>
      <c r="H2884" s="177" cm="1">
        <f t="array" ref="H2884">_xlfn.IFS(B2884="Serviço",SUMIFS(H2885:$H$3085,C2885:$C$3085,$C2884),B2884="Insumo",F2884*G2884,B2884="Etapa","")</f>
        <v>350</v>
      </c>
      <c r="I2884" s="178"/>
    </row>
    <row r="2885" spans="1:9" outlineLevel="1" collapsed="1" x14ac:dyDescent="0.25">
      <c r="A2885" s="175">
        <f t="shared" si="98"/>
        <v>1</v>
      </c>
      <c r="B2885" s="175" t="s">
        <v>109</v>
      </c>
      <c r="C2885" s="175" t="str">
        <f t="shared" si="97"/>
        <v>Torneira tanque</v>
      </c>
      <c r="D2885" s="188" t="s">
        <v>967</v>
      </c>
      <c r="E2885" s="176" t="s">
        <v>131</v>
      </c>
      <c r="F2885" s="189" t="s">
        <v>124</v>
      </c>
      <c r="G2885" s="177" t="str">
        <f>IF(B2885="insumo",_xlfn.XLOOKUP($D2885,Insumos!$B$1:$B$764,Insumos!$D$1:$D$764),"")</f>
        <v/>
      </c>
      <c r="H2885" s="177" cm="1">
        <f t="array" ref="H2885">_xlfn.IFS(B2885="Serviço",SUMIFS(H2886:$H$3085,C2886:$C$3085,$C2885),B2885="Insumo",F2885*G2885,B2885="Etapa","")</f>
        <v>150</v>
      </c>
      <c r="I2885" s="190" t="s">
        <v>195</v>
      </c>
    </row>
    <row r="2886" spans="1:9" hidden="1" outlineLevel="2" x14ac:dyDescent="0.25">
      <c r="A2886" s="175">
        <f t="shared" si="98"/>
        <v>1</v>
      </c>
      <c r="B2886" s="175" t="s">
        <v>327</v>
      </c>
      <c r="C2886" s="175" t="str">
        <f t="shared" si="97"/>
        <v>Torneira tanque</v>
      </c>
      <c r="D2886" s="175" t="s">
        <v>968</v>
      </c>
      <c r="E2886" s="176" t="str">
        <f>_xlfn.XLOOKUP(D2886,Insumos!$B$1:$B$764,Insumos!$C$1:$C$764)</f>
        <v>UN</v>
      </c>
      <c r="F2886" s="179">
        <v>1</v>
      </c>
      <c r="G2886" s="177">
        <v>150</v>
      </c>
      <c r="H2886" s="177" cm="1">
        <f t="array" ref="H2886">_xlfn.IFS(B2886="Serviço",SUMIFS(H2887:$H$3085,C2887:$C$3085,$C2886),B2886="Insumo",F2886*G2886,B2886="Etapa","")</f>
        <v>150</v>
      </c>
      <c r="I2886" s="178"/>
    </row>
    <row r="2887" spans="1:9" outlineLevel="1" collapsed="1" x14ac:dyDescent="0.25">
      <c r="A2887" s="175">
        <f t="shared" si="98"/>
        <v>1</v>
      </c>
      <c r="B2887" s="175" t="s">
        <v>109</v>
      </c>
      <c r="C2887" s="175" t="str">
        <f t="shared" si="97"/>
        <v>Torneira de Jardins</v>
      </c>
      <c r="D2887" s="188" t="s">
        <v>969</v>
      </c>
      <c r="E2887" s="176" t="s">
        <v>131</v>
      </c>
      <c r="F2887" s="189" t="s">
        <v>124</v>
      </c>
      <c r="G2887" s="177" t="str">
        <f>IF(B2887="insumo",_xlfn.XLOOKUP($D2887,Insumos!$B$1:$B$764,Insumos!$D$1:$D$764),"")</f>
        <v/>
      </c>
      <c r="H2887" s="177" cm="1">
        <f t="array" ref="H2887">_xlfn.IFS(B2887="Serviço",SUMIFS(H2888:$H$3085,C2888:$C$3085,$C2887),B2887="Insumo",F2887*G2887,B2887="Etapa","")</f>
        <v>72</v>
      </c>
      <c r="I2887" s="190" t="s">
        <v>195</v>
      </c>
    </row>
    <row r="2888" spans="1:9" hidden="1" outlineLevel="2" x14ac:dyDescent="0.25">
      <c r="A2888" s="175">
        <f t="shared" si="98"/>
        <v>1</v>
      </c>
      <c r="B2888" s="175" t="s">
        <v>327</v>
      </c>
      <c r="C2888" s="175" t="str">
        <f t="shared" si="97"/>
        <v>Torneira de Jardins</v>
      </c>
      <c r="D2888" s="175" t="s">
        <v>970</v>
      </c>
      <c r="E2888" s="176" t="str">
        <f>_xlfn.XLOOKUP(D2888,Insumos!$B$1:$B$764,Insumos!$C$1:$C$764)</f>
        <v>UN</v>
      </c>
      <c r="F2888" s="179">
        <v>1</v>
      </c>
      <c r="G2888" s="177">
        <v>72</v>
      </c>
      <c r="H2888" s="177" cm="1">
        <f t="array" ref="H2888">_xlfn.IFS(B2888="Serviço",SUMIFS(H2889:$H$3085,C2889:$C$3085,$C2888),B2888="Insumo",F2888*G2888,B2888="Etapa","")</f>
        <v>72</v>
      </c>
      <c r="I2888" s="178"/>
    </row>
    <row r="2889" spans="1:9" outlineLevel="1" collapsed="1" x14ac:dyDescent="0.25">
      <c r="A2889" s="175">
        <f t="shared" si="98"/>
        <v>1</v>
      </c>
      <c r="B2889" s="175" t="s">
        <v>109</v>
      </c>
      <c r="C2889" s="175" t="str">
        <f t="shared" si="97"/>
        <v>Torneira misturador pia cozinha</v>
      </c>
      <c r="D2889" s="188" t="s">
        <v>971</v>
      </c>
      <c r="E2889" s="176" t="s">
        <v>131</v>
      </c>
      <c r="F2889" s="189" t="s">
        <v>124</v>
      </c>
      <c r="G2889" s="177" t="str">
        <f>IF(B2889="insumo",_xlfn.XLOOKUP($D2889,Insumos!$B$1:$B$764,Insumos!$D$1:$D$764),"")</f>
        <v/>
      </c>
      <c r="H2889" s="177" cm="1">
        <f t="array" ref="H2889">_xlfn.IFS(B2889="Serviço",SUMIFS(H2890:$H$3085,C2890:$C$3085,$C2889),B2889="Insumo",F2889*G2889,B2889="Etapa","")</f>
        <v>1054.93</v>
      </c>
      <c r="I2889" s="190" t="s">
        <v>195</v>
      </c>
    </row>
    <row r="2890" spans="1:9" hidden="1" outlineLevel="2" x14ac:dyDescent="0.25">
      <c r="A2890" s="175">
        <f t="shared" si="98"/>
        <v>1</v>
      </c>
      <c r="B2890" s="175" t="s">
        <v>327</v>
      </c>
      <c r="C2890" s="175" t="str">
        <f t="shared" si="97"/>
        <v>Torneira misturador pia cozinha</v>
      </c>
      <c r="D2890" s="175" t="s">
        <v>972</v>
      </c>
      <c r="E2890" s="176" t="str">
        <f>_xlfn.XLOOKUP(D2890,Insumos!$B$1:$B$764,Insumos!$C$1:$C$764)</f>
        <v>UN</v>
      </c>
      <c r="F2890" s="179">
        <v>1</v>
      </c>
      <c r="G2890" s="177">
        <f>IF(B2890="insumo",_xlfn.XLOOKUP($D2890,Insumos!$B$1:$B$764,Insumos!$D$1:$D$764),"")</f>
        <v>1054.93</v>
      </c>
      <c r="H2890" s="177" cm="1">
        <f t="array" ref="H2890">_xlfn.IFS(B2890="Serviço",SUMIFS(H2891:$H$3085,C2891:$C$3085,$C2890),B2890="Insumo",F2890*G2890,B2890="Etapa","")</f>
        <v>1054.93</v>
      </c>
      <c r="I2890" s="178"/>
    </row>
    <row r="2891" spans="1:9" outlineLevel="1" collapsed="1" x14ac:dyDescent="0.25">
      <c r="A2891" s="175">
        <f t="shared" si="98"/>
        <v>1</v>
      </c>
      <c r="B2891" s="175" t="s">
        <v>109</v>
      </c>
      <c r="C2891" s="175" t="str">
        <f t="shared" si="97"/>
        <v>Ducha higienica</v>
      </c>
      <c r="D2891" s="188" t="s">
        <v>973</v>
      </c>
      <c r="E2891" s="176" t="s">
        <v>131</v>
      </c>
      <c r="F2891" s="189" t="s">
        <v>124</v>
      </c>
      <c r="G2891" s="177" t="str">
        <f>IF(B2891="insumo",_xlfn.XLOOKUP($D2891,Insumos!$B$1:$B$764,Insumos!$D$1:$D$764),"")</f>
        <v/>
      </c>
      <c r="H2891" s="177" cm="1">
        <f t="array" ref="H2891">_xlfn.IFS(B2891="Serviço",SUMIFS(H2892:$H$3085,C2892:$C$3085,$C2891),B2891="Insumo",F2891*G2891,B2891="Etapa","")</f>
        <v>250</v>
      </c>
      <c r="I2891" s="190" t="s">
        <v>195</v>
      </c>
    </row>
    <row r="2892" spans="1:9" hidden="1" outlineLevel="2" x14ac:dyDescent="0.25">
      <c r="A2892" s="175">
        <f t="shared" si="98"/>
        <v>1</v>
      </c>
      <c r="B2892" s="175" t="s">
        <v>327</v>
      </c>
      <c r="C2892" s="175" t="str">
        <f t="shared" si="97"/>
        <v>Ducha higienica</v>
      </c>
      <c r="D2892" s="175" t="s">
        <v>974</v>
      </c>
      <c r="E2892" s="176" t="str">
        <f>_xlfn.XLOOKUP(D2892,Insumos!$B$1:$B$764,Insumos!$C$1:$C$764)</f>
        <v>UN</v>
      </c>
      <c r="F2892" s="179">
        <v>1</v>
      </c>
      <c r="G2892" s="177">
        <f>IF(B2892="insumo",_xlfn.XLOOKUP($D2892,Insumos!$B$1:$B$764,Insumos!$D$1:$D$764),"")</f>
        <v>250</v>
      </c>
      <c r="H2892" s="177" cm="1">
        <f t="array" ref="H2892">_xlfn.IFS(B2892="Serviço",SUMIFS(H2893:$H$3085,C2893:$C$3085,$C2892),B2892="Insumo",F2892*G2892,B2892="Etapa","")</f>
        <v>250</v>
      </c>
      <c r="I2892" s="178"/>
    </row>
    <row r="2893" spans="1:9" outlineLevel="1" collapsed="1" x14ac:dyDescent="0.25">
      <c r="A2893" s="175">
        <f t="shared" si="98"/>
        <v>1</v>
      </c>
      <c r="B2893" s="175" t="s">
        <v>109</v>
      </c>
      <c r="C2893" s="175" t="str">
        <f t="shared" si="97"/>
        <v>Acabamento de Registro Comum</v>
      </c>
      <c r="D2893" s="188" t="s">
        <v>975</v>
      </c>
      <c r="E2893" s="176" t="s">
        <v>131</v>
      </c>
      <c r="F2893" s="189" t="s">
        <v>124</v>
      </c>
      <c r="G2893" s="177" t="str">
        <f>IF(B2893="insumo",_xlfn.XLOOKUP($D2893,Insumos!$B$1:$B$764,Insumos!$D$1:$D$764),"")</f>
        <v/>
      </c>
      <c r="H2893" s="177" cm="1">
        <f t="array" ref="H2893">_xlfn.IFS(B2893="Serviço",SUMIFS(H2894:$H$3085,C2894:$C$3085,$C2893),B2893="Insumo",F2893*G2893,B2893="Etapa","")</f>
        <v>176</v>
      </c>
      <c r="I2893" s="190" t="s">
        <v>195</v>
      </c>
    </row>
    <row r="2894" spans="1:9" hidden="1" outlineLevel="2" x14ac:dyDescent="0.25">
      <c r="A2894" s="175">
        <f t="shared" si="98"/>
        <v>1</v>
      </c>
      <c r="B2894" s="175" t="s">
        <v>327</v>
      </c>
      <c r="C2894" s="175" t="str">
        <f t="shared" si="97"/>
        <v>Acabamento de Registro Comum</v>
      </c>
      <c r="D2894" s="175" t="s">
        <v>976</v>
      </c>
      <c r="E2894" s="176" t="str">
        <f>_xlfn.XLOOKUP(D2894,Insumos!$B$1:$B$764,Insumos!$C$1:$C$764)</f>
        <v>UN</v>
      </c>
      <c r="F2894" s="179">
        <v>1</v>
      </c>
      <c r="G2894" s="177">
        <v>176</v>
      </c>
      <c r="H2894" s="177" cm="1">
        <f t="array" ref="H2894">_xlfn.IFS(B2894="Serviço",SUMIFS(H2895:$H$3085,C2895:$C$3085,$C2894),B2894="Insumo",F2894*G2894,B2894="Etapa","")</f>
        <v>176</v>
      </c>
      <c r="I2894" s="178"/>
    </row>
    <row r="2895" spans="1:9" outlineLevel="1" collapsed="1" x14ac:dyDescent="0.25">
      <c r="A2895" s="175">
        <f t="shared" si="98"/>
        <v>1</v>
      </c>
      <c r="B2895" s="175" t="s">
        <v>109</v>
      </c>
      <c r="C2895" s="175" t="str">
        <f t="shared" si="97"/>
        <v>Acabamento de Registro Pressão</v>
      </c>
      <c r="D2895" s="188" t="s">
        <v>977</v>
      </c>
      <c r="E2895" s="176" t="s">
        <v>131</v>
      </c>
      <c r="F2895" s="189" t="s">
        <v>124</v>
      </c>
      <c r="G2895" s="177" t="str">
        <f>IF(B2895="insumo",_xlfn.XLOOKUP($D2895,Insumos!$B$1:$B$764,Insumos!$D$1:$D$764),"")</f>
        <v/>
      </c>
      <c r="H2895" s="177" cm="1">
        <f t="array" ref="H2895">_xlfn.IFS(B2895="Serviço",SUMIFS(H2896:$H$3085,C2896:$C$3085,$C2895),B2895="Insumo",F2895*G2895,B2895="Etapa","")</f>
        <v>240</v>
      </c>
      <c r="I2895" s="191" t="s">
        <v>195</v>
      </c>
    </row>
    <row r="2896" spans="1:9" hidden="1" outlineLevel="2" x14ac:dyDescent="0.25">
      <c r="A2896" s="175">
        <f t="shared" si="98"/>
        <v>1</v>
      </c>
      <c r="B2896" s="175" t="s">
        <v>327</v>
      </c>
      <c r="C2896" s="175" t="str">
        <f t="shared" si="97"/>
        <v>Acabamento de Registro Pressão</v>
      </c>
      <c r="D2896" s="175" t="s">
        <v>978</v>
      </c>
      <c r="E2896" s="176" t="str">
        <f>_xlfn.XLOOKUP(D2896,Insumos!$B$1:$B$764,Insumos!$C$1:$C$764)</f>
        <v>UN</v>
      </c>
      <c r="F2896" s="179">
        <v>1</v>
      </c>
      <c r="G2896" s="177">
        <f>IF(B2896="insumo",_xlfn.XLOOKUP($D2896,Insumos!$B$1:$B$764,Insumos!$D$1:$D$764),"")</f>
        <v>240</v>
      </c>
      <c r="H2896" s="177" cm="1">
        <f t="array" ref="H2896">_xlfn.IFS(B2896="Serviço",SUMIFS(H2897:$H$3085,C2897:$C$3085,$C2896),B2896="Insumo",F2896*G2896,B2896="Etapa","")</f>
        <v>240</v>
      </c>
      <c r="I2896" s="178"/>
    </row>
    <row r="2897" spans="1:9" outlineLevel="1" collapsed="1" x14ac:dyDescent="0.25">
      <c r="A2897" s="175">
        <f t="shared" si="98"/>
        <v>1</v>
      </c>
      <c r="B2897" s="175" t="s">
        <v>109</v>
      </c>
      <c r="C2897" s="175" t="str">
        <f t="shared" si="97"/>
        <v>Exaustor mecânico</v>
      </c>
      <c r="D2897" s="188" t="s">
        <v>979</v>
      </c>
      <c r="E2897" s="176" t="s">
        <v>131</v>
      </c>
      <c r="F2897" s="189" t="s">
        <v>124</v>
      </c>
      <c r="G2897" s="177" t="str">
        <f>IF(B2897="insumo",_xlfn.XLOOKUP($D2897,Insumos!$B$1:$B$764,Insumos!$D$1:$D$764),"")</f>
        <v/>
      </c>
      <c r="H2897" s="177" cm="1">
        <f t="array" ref="H2897">_xlfn.IFS(B2897="Serviço",SUMIFS(H2898:$H$3085,C2898:$C$3085,$C2897),B2897="Insumo",F2897*G2897,B2897="Etapa","")</f>
        <v>836</v>
      </c>
      <c r="I2897" s="191" t="s">
        <v>195</v>
      </c>
    </row>
    <row r="2898" spans="1:9" hidden="1" outlineLevel="2" x14ac:dyDescent="0.25">
      <c r="A2898" s="175">
        <f t="shared" si="98"/>
        <v>1</v>
      </c>
      <c r="B2898" s="175" t="s">
        <v>327</v>
      </c>
      <c r="C2898" s="175" t="str">
        <f t="shared" si="97"/>
        <v>Exaustor mecânico</v>
      </c>
      <c r="D2898" s="175" t="s">
        <v>980</v>
      </c>
      <c r="E2898" s="176" t="str">
        <f>_xlfn.XLOOKUP(D2898,Insumos!$B$1:$B$764,Insumos!$C$1:$C$764)</f>
        <v>UN</v>
      </c>
      <c r="F2898" s="179">
        <v>1</v>
      </c>
      <c r="G2898" s="177">
        <f>IF(B2898="insumo",_xlfn.XLOOKUP($D2898,Insumos!$B$1:$B$764,Insumos!$D$1:$D$764),"")</f>
        <v>836</v>
      </c>
      <c r="H2898" s="177" cm="1">
        <f t="array" ref="H2898">_xlfn.IFS(B2898="Serviço",SUMIFS(H2899:$H$3085,C2899:$C$3085,$C2898),B2898="Insumo",F2898*G2898,B2898="Etapa","")</f>
        <v>836</v>
      </c>
      <c r="I2898" s="178"/>
    </row>
    <row r="2899" spans="1:9" outlineLevel="1" collapsed="1" x14ac:dyDescent="0.25">
      <c r="A2899" s="175">
        <f t="shared" si="98"/>
        <v>1</v>
      </c>
      <c r="B2899" s="175" t="s">
        <v>109</v>
      </c>
      <c r="C2899" s="175" t="str">
        <f t="shared" si="97"/>
        <v>Cadeira de apoio PNE</v>
      </c>
      <c r="D2899" s="188" t="s">
        <v>6618</v>
      </c>
      <c r="E2899" s="176" t="s">
        <v>131</v>
      </c>
      <c r="F2899" s="189" t="s">
        <v>124</v>
      </c>
      <c r="G2899" s="177" t="str">
        <f>IF(B2899="insumo",_xlfn.XLOOKUP($D2899,Insumos!$B$1:$B$764,Insumos!$D$1:$D$764),"")</f>
        <v/>
      </c>
      <c r="H2899" s="177" cm="1">
        <f t="array" ref="H2899">_xlfn.IFS(B2899="Serviço",SUMIFS(H2900:$H$3085,C2900:$C$3085,$C2899),B2899="Insumo",F2899*G2899,B2899="Etapa","")</f>
        <v>454</v>
      </c>
      <c r="I2899" s="190" t="s">
        <v>195</v>
      </c>
    </row>
    <row r="2900" spans="1:9" hidden="1" outlineLevel="2" x14ac:dyDescent="0.25">
      <c r="A2900" s="175">
        <f t="shared" si="98"/>
        <v>1</v>
      </c>
      <c r="B2900" s="175" t="s">
        <v>327</v>
      </c>
      <c r="C2900" s="175" t="str">
        <f t="shared" si="97"/>
        <v>Cadeira de apoio PNE</v>
      </c>
      <c r="D2900" s="188" t="s">
        <v>6618</v>
      </c>
      <c r="E2900" s="176" t="str">
        <f>_xlfn.XLOOKUP(D2900,Insumos!$B$1:$B$764,Insumos!$C$1:$C$764)</f>
        <v>UN</v>
      </c>
      <c r="F2900" s="179">
        <v>1</v>
      </c>
      <c r="G2900" s="177">
        <f>IF(B2900="insumo",_xlfn.XLOOKUP($D2900,Insumos!$B$1:$B$764,Insumos!$D$1:$D$764),"")</f>
        <v>454</v>
      </c>
      <c r="H2900" s="177" cm="1">
        <f t="array" ref="H2900">_xlfn.IFS(B2900="Serviço",SUMIFS(H2901:$H$3085,C2901:$C$3085,$C2900),B2900="Insumo",F2900*G2900,B2900="Etapa","")</f>
        <v>454</v>
      </c>
      <c r="I2900" s="178"/>
    </row>
    <row r="2901" spans="1:9" outlineLevel="1" collapsed="1" x14ac:dyDescent="0.25">
      <c r="A2901" s="175">
        <f t="shared" si="98"/>
        <v>1</v>
      </c>
      <c r="B2901" s="175" t="s">
        <v>109</v>
      </c>
      <c r="C2901" s="175" t="str">
        <f t="shared" si="97"/>
        <v>Barra de apoio PNE</v>
      </c>
      <c r="D2901" s="188" t="s">
        <v>72</v>
      </c>
      <c r="E2901" s="176" t="s">
        <v>131</v>
      </c>
      <c r="F2901" s="189" t="s">
        <v>124</v>
      </c>
      <c r="G2901" s="177" t="str">
        <f>IF(B2901="insumo",_xlfn.XLOOKUP($D2901,Insumos!$B$1:$B$764,Insumos!$D$1:$D$764),"")</f>
        <v/>
      </c>
      <c r="H2901" s="177" cm="1">
        <f t="array" ref="H2901">_xlfn.IFS(B2901="Serviço",SUMIFS(H2902:$H$3085,C2902:$C$3085,$C2901),B2901="Insumo",F2901*G2901,B2901="Etapa","")</f>
        <v>44</v>
      </c>
      <c r="I2901" s="190" t="s">
        <v>195</v>
      </c>
    </row>
    <row r="2902" spans="1:9" hidden="1" outlineLevel="2" x14ac:dyDescent="0.25">
      <c r="A2902" s="175">
        <f t="shared" si="98"/>
        <v>1</v>
      </c>
      <c r="B2902" s="175" t="s">
        <v>327</v>
      </c>
      <c r="C2902" s="175" t="str">
        <f t="shared" si="97"/>
        <v>Barra de apoio PNE</v>
      </c>
      <c r="D2902" s="175" t="s">
        <v>981</v>
      </c>
      <c r="E2902" s="176" t="str">
        <f>_xlfn.XLOOKUP(D2902,Insumos!$B$1:$B$764,Insumos!$C$1:$C$764)</f>
        <v>UN</v>
      </c>
      <c r="F2902" s="179">
        <v>1</v>
      </c>
      <c r="G2902" s="177">
        <f>IF(B2902="insumo",_xlfn.XLOOKUP($D2902,Insumos!$B$1:$B$764,Insumos!$D$1:$D$764),"")</f>
        <v>44</v>
      </c>
      <c r="H2902" s="177" cm="1">
        <f t="array" ref="H2902">_xlfn.IFS(B2902="Serviço",SUMIFS(H2903:$H$3085,C2903:$C$3085,$C2902),B2902="Insumo",F2902*G2902,B2902="Etapa","")</f>
        <v>44</v>
      </c>
      <c r="I2902" s="178"/>
    </row>
    <row r="2903" spans="1:9" outlineLevel="1" collapsed="1" x14ac:dyDescent="0.25">
      <c r="A2903" s="175">
        <f t="shared" si="98"/>
        <v>1</v>
      </c>
      <c r="B2903" s="175" t="s">
        <v>109</v>
      </c>
      <c r="C2903" s="175" t="str">
        <f t="shared" si="97"/>
        <v>Chuveiro Elétrico</v>
      </c>
      <c r="D2903" s="188" t="s">
        <v>982</v>
      </c>
      <c r="E2903" s="176" t="s">
        <v>131</v>
      </c>
      <c r="F2903" s="189" t="s">
        <v>124</v>
      </c>
      <c r="G2903" s="177" t="str">
        <f>IF(B2903="insumo",_xlfn.XLOOKUP($D2903,Insumos!$B$1:$B$764,Insumos!$D$1:$D$764),"")</f>
        <v/>
      </c>
      <c r="H2903" s="177" cm="1">
        <f t="array" ref="H2903">_xlfn.IFS(B2903="Serviço",SUMIFS(H2904:$H$3085,C2904:$C$3085,$C2903),B2903="Insumo",F2903*G2903,B2903="Etapa","")</f>
        <v>400</v>
      </c>
      <c r="I2903" s="190" t="s">
        <v>195</v>
      </c>
    </row>
    <row r="2904" spans="1:9" hidden="1" outlineLevel="2" x14ac:dyDescent="0.25">
      <c r="A2904" s="175">
        <f t="shared" si="98"/>
        <v>1</v>
      </c>
      <c r="B2904" s="175" t="s">
        <v>327</v>
      </c>
      <c r="C2904" s="175" t="str">
        <f t="shared" si="97"/>
        <v>Chuveiro Elétrico</v>
      </c>
      <c r="D2904" s="175" t="s">
        <v>983</v>
      </c>
      <c r="E2904" s="176" t="str">
        <f>_xlfn.XLOOKUP(D2904,Insumos!$B$1:$B$764,Insumos!$C$1:$C$764)</f>
        <v>UN</v>
      </c>
      <c r="F2904" s="179">
        <v>1</v>
      </c>
      <c r="G2904" s="177">
        <f>IF(B2904="insumo",_xlfn.XLOOKUP($D2904,Insumos!$B$1:$B$764,Insumos!$D$1:$D$764),"")</f>
        <v>400</v>
      </c>
      <c r="H2904" s="177" cm="1">
        <f t="array" ref="H2904">_xlfn.IFS(B2904="Serviço",SUMIFS(H2905:$H$3085,C2905:$C$3085,$C2904),B2904="Insumo",F2904*G2904,B2904="Etapa","")</f>
        <v>400</v>
      </c>
      <c r="I2904" s="178"/>
    </row>
    <row r="2905" spans="1:9" outlineLevel="1" collapsed="1" x14ac:dyDescent="0.25">
      <c r="A2905" s="175">
        <f t="shared" si="98"/>
        <v>1</v>
      </c>
      <c r="B2905" s="175" t="s">
        <v>109</v>
      </c>
      <c r="C2905" s="175" t="str">
        <f t="shared" si="97"/>
        <v>Chuveiro Monocromado</v>
      </c>
      <c r="D2905" s="188" t="s">
        <v>984</v>
      </c>
      <c r="E2905" s="176" t="s">
        <v>131</v>
      </c>
      <c r="F2905" s="189" t="s">
        <v>124</v>
      </c>
      <c r="G2905" s="177" t="str">
        <f>IF(B2905="insumo",_xlfn.XLOOKUP($D2905,Insumos!$B$1:$B$764,Insumos!$D$1:$D$764),"")</f>
        <v/>
      </c>
      <c r="H2905" s="177" cm="1">
        <f t="array" ref="H2905">_xlfn.IFS(B2905="Serviço",SUMIFS(H2906:$H$3085,C2906:$C$3085,$C2905),B2905="Insumo",F2905*G2905,B2905="Etapa","")</f>
        <v>680</v>
      </c>
      <c r="I2905" s="190" t="s">
        <v>195</v>
      </c>
    </row>
    <row r="2906" spans="1:9" hidden="1" outlineLevel="2" x14ac:dyDescent="0.25">
      <c r="A2906" s="175">
        <f t="shared" si="98"/>
        <v>1</v>
      </c>
      <c r="B2906" s="175" t="s">
        <v>327</v>
      </c>
      <c r="C2906" s="175" t="str">
        <f t="shared" si="97"/>
        <v>Chuveiro Monocromado</v>
      </c>
      <c r="D2906" s="175" t="s">
        <v>985</v>
      </c>
      <c r="E2906" s="176" t="str">
        <f>_xlfn.XLOOKUP(D2906,Insumos!$B$1:$B$764,Insumos!$C$1:$C$764)</f>
        <v>UN</v>
      </c>
      <c r="F2906" s="179">
        <v>1</v>
      </c>
      <c r="G2906" s="177">
        <f>IF(B2906="insumo",_xlfn.XLOOKUP($D2906,Insumos!$B$1:$B$764,Insumos!$D$1:$D$764),"")</f>
        <v>680</v>
      </c>
      <c r="H2906" s="177" cm="1">
        <f t="array" ref="H2906">_xlfn.IFS(B2906="Serviço",SUMIFS(H2907:$H$3085,C2907:$C$3085,$C2906),B2906="Insumo",F2906*G2906,B2906="Etapa","")</f>
        <v>680</v>
      </c>
      <c r="I2906" s="178"/>
    </row>
    <row r="2907" spans="1:9" outlineLevel="1" collapsed="1" x14ac:dyDescent="0.25">
      <c r="A2907" s="175">
        <f t="shared" si="98"/>
        <v>1</v>
      </c>
      <c r="B2907" s="175" t="s">
        <v>109</v>
      </c>
      <c r="C2907" s="175" t="str">
        <f t="shared" si="97"/>
        <v>Ducha</v>
      </c>
      <c r="D2907" s="188" t="s">
        <v>986</v>
      </c>
      <c r="E2907" s="176" t="s">
        <v>131</v>
      </c>
      <c r="F2907" s="189" t="s">
        <v>124</v>
      </c>
      <c r="G2907" s="177" t="str">
        <f>IF(B2907="insumo",_xlfn.XLOOKUP($D2907,Insumos!$B$1:$B$764,Insumos!$D$1:$D$764),"")</f>
        <v/>
      </c>
      <c r="H2907" s="177" cm="1">
        <f t="array" ref="H2907">_xlfn.IFS(B2907="Serviço",SUMIFS(H2908:$H$3085,C2908:$C$3085,$C2907),B2907="Insumo",F2907*G2907,B2907="Etapa","")</f>
        <v>1196.32</v>
      </c>
      <c r="I2907" s="190" t="s">
        <v>195</v>
      </c>
    </row>
    <row r="2908" spans="1:9" hidden="1" outlineLevel="2" x14ac:dyDescent="0.25">
      <c r="A2908" s="175">
        <f t="shared" si="98"/>
        <v>1</v>
      </c>
      <c r="B2908" s="175" t="s">
        <v>327</v>
      </c>
      <c r="C2908" s="175" t="str">
        <f t="shared" si="97"/>
        <v>Ducha</v>
      </c>
      <c r="D2908" s="175" t="s">
        <v>987</v>
      </c>
      <c r="E2908" s="176" t="str">
        <f>_xlfn.XLOOKUP(D2908,Insumos!$B$1:$B$764,Insumos!$C$1:$C$764)</f>
        <v>UN</v>
      </c>
      <c r="F2908" s="179">
        <v>1</v>
      </c>
      <c r="G2908" s="177">
        <f>IF(B2908="insumo",_xlfn.XLOOKUP($D2908,Insumos!$B$1:$B$764,Insumos!$D$1:$D$764),"")</f>
        <v>1196.32</v>
      </c>
      <c r="H2908" s="177" cm="1">
        <f t="array" ref="H2908">_xlfn.IFS(B2908="Serviço",SUMIFS(H2909:$H$3085,C2909:$C$3085,$C2908),B2908="Insumo",F2908*G2908,B2908="Etapa","")</f>
        <v>1196.32</v>
      </c>
      <c r="I2908" s="178"/>
    </row>
    <row r="2909" spans="1:9" outlineLevel="1" collapsed="1" x14ac:dyDescent="0.25">
      <c r="A2909" s="175">
        <f t="shared" si="98"/>
        <v>1</v>
      </c>
      <c r="B2909" s="175" t="s">
        <v>109</v>
      </c>
      <c r="C2909" s="175" t="str">
        <f t="shared" si="97"/>
        <v>Acessórios de Banheiro/Lavabo</v>
      </c>
      <c r="D2909" s="188" t="s">
        <v>988</v>
      </c>
      <c r="E2909" s="176" t="s">
        <v>131</v>
      </c>
      <c r="F2909" s="189" t="s">
        <v>124</v>
      </c>
      <c r="G2909" s="177" t="str">
        <f>IF(B2909="insumo",_xlfn.XLOOKUP($D2909,Insumos!$B$1:$B$764,Insumos!$D$1:$D$764),"")</f>
        <v/>
      </c>
      <c r="H2909" s="177" cm="1">
        <f t="array" ref="H2909">_xlfn.IFS(B2909="Serviço",SUMIFS(H2910:$H$3085,C2910:$C$3085,$C2909),B2909="Insumo",F2909*G2909,B2909="Etapa","")</f>
        <v>986.67000000000007</v>
      </c>
      <c r="I2909" s="190" t="s">
        <v>195</v>
      </c>
    </row>
    <row r="2910" spans="1:9" hidden="1" outlineLevel="2" x14ac:dyDescent="0.25">
      <c r="A2910" s="175">
        <f t="shared" si="98"/>
        <v>1</v>
      </c>
      <c r="B2910" s="175" t="s">
        <v>327</v>
      </c>
      <c r="C2910" s="175" t="str">
        <f t="shared" si="97"/>
        <v>Acessórios de Banheiro/Lavabo</v>
      </c>
      <c r="D2910" s="175" t="s">
        <v>989</v>
      </c>
      <c r="E2910" s="176" t="str">
        <f>_xlfn.XLOOKUP(D2910,Insumos!$B$1:$B$764,Insumos!$C$1:$C$764)</f>
        <v>UN</v>
      </c>
      <c r="F2910" s="179">
        <v>1</v>
      </c>
      <c r="G2910" s="177">
        <f>IF(B2910="insumo",_xlfn.XLOOKUP($D2910,Insumos!$B$1:$B$764,Insumos!$D$1:$D$764),"")</f>
        <v>396.67</v>
      </c>
      <c r="H2910" s="177" cm="1">
        <f t="array" ref="H2910">_xlfn.IFS(B2910="Serviço",SUMIFS(H2911:$H$3085,C2911:$C$3085,$C2910),B2910="Insumo",F2910*G2910,B2910="Etapa","")</f>
        <v>396.67</v>
      </c>
      <c r="I2910" s="178"/>
    </row>
    <row r="2911" spans="1:9" hidden="1" outlineLevel="2" x14ac:dyDescent="0.25">
      <c r="A2911" s="175">
        <f t="shared" si="98"/>
        <v>1</v>
      </c>
      <c r="B2911" s="175" t="s">
        <v>327</v>
      </c>
      <c r="C2911" s="175" t="str">
        <f t="shared" si="97"/>
        <v>Acessórios de Banheiro/Lavabo</v>
      </c>
      <c r="D2911" s="175" t="s">
        <v>990</v>
      </c>
      <c r="E2911" s="176" t="str">
        <f>_xlfn.XLOOKUP(D2911,Insumos!$B$1:$B$764,Insumos!$C$1:$C$764)</f>
        <v>UN</v>
      </c>
      <c r="F2911" s="179">
        <v>1</v>
      </c>
      <c r="G2911" s="177">
        <f>IF(B2911="insumo",_xlfn.XLOOKUP($D2911,Insumos!$B$1:$B$764,Insumos!$D$1:$D$764),"")</f>
        <v>240</v>
      </c>
      <c r="H2911" s="177" cm="1">
        <f t="array" ref="H2911">_xlfn.IFS(B2911="Serviço",SUMIFS(H2912:$H$3085,C2912:$C$3085,$C2911),B2911="Insumo",F2911*G2911,B2911="Etapa","")</f>
        <v>240</v>
      </c>
      <c r="I2911" s="178"/>
    </row>
    <row r="2912" spans="1:9" hidden="1" outlineLevel="2" x14ac:dyDescent="0.25">
      <c r="A2912" s="175">
        <f t="shared" si="98"/>
        <v>1</v>
      </c>
      <c r="B2912" s="175" t="s">
        <v>327</v>
      </c>
      <c r="C2912" s="175" t="str">
        <f t="shared" si="97"/>
        <v>Acessórios de Banheiro/Lavabo</v>
      </c>
      <c r="D2912" s="175" t="s">
        <v>991</v>
      </c>
      <c r="E2912" s="176" t="str">
        <f>_xlfn.XLOOKUP(D2912,Insumos!$B$1:$B$764,Insumos!$C$1:$C$764)</f>
        <v>UN</v>
      </c>
      <c r="F2912" s="179">
        <v>1</v>
      </c>
      <c r="G2912" s="177">
        <f>IF(B2912="insumo",_xlfn.XLOOKUP($D2912,Insumos!$B$1:$B$764,Insumos!$D$1:$D$764),"")</f>
        <v>350</v>
      </c>
      <c r="H2912" s="177" cm="1">
        <f t="array" ref="H2912">_xlfn.IFS(B2912="Serviço",SUMIFS(H2913:$H$3085,C2913:$C$3085,$C2912),B2912="Insumo",F2912*G2912,B2912="Etapa","")</f>
        <v>350</v>
      </c>
      <c r="I2912" s="178"/>
    </row>
    <row r="2913" spans="1:9" outlineLevel="1" collapsed="1" x14ac:dyDescent="0.25">
      <c r="A2913" s="175">
        <f t="shared" si="98"/>
        <v>1</v>
      </c>
      <c r="B2913" s="175" t="s">
        <v>109</v>
      </c>
      <c r="C2913" s="175" t="str">
        <f t="shared" si="97"/>
        <v>Bancada em Granito para Lavatório</v>
      </c>
      <c r="D2913" s="188" t="s">
        <v>992</v>
      </c>
      <c r="E2913" s="176" t="s">
        <v>13</v>
      </c>
      <c r="F2913" s="189" t="s">
        <v>124</v>
      </c>
      <c r="G2913" s="177" t="str">
        <f>IF(B2913="insumo",_xlfn.XLOOKUP($D2913,Insumos!$B$1:$B$764,Insumos!$D$1:$D$764),"")</f>
        <v/>
      </c>
      <c r="H2913" s="177" cm="1">
        <f t="array" ref="H2913">_xlfn.IFS(B2913="Serviço",SUMIFS(H2914:$H$3085,C2914:$C$3085,$C2913),B2913="Insumo",F2913*G2913,B2913="Etapa","")</f>
        <v>750</v>
      </c>
      <c r="I2913" s="190" t="s">
        <v>195</v>
      </c>
    </row>
    <row r="2914" spans="1:9" ht="18.75" hidden="1" customHeight="1" outlineLevel="2" x14ac:dyDescent="0.25">
      <c r="A2914" s="175">
        <f t="shared" si="98"/>
        <v>1</v>
      </c>
      <c r="B2914" s="175" t="s">
        <v>327</v>
      </c>
      <c r="C2914" s="175" t="str">
        <f t="shared" si="97"/>
        <v>Bancada em Granito para Lavatório</v>
      </c>
      <c r="D2914" s="175" t="s">
        <v>993</v>
      </c>
      <c r="E2914" s="176" t="str">
        <f>_xlfn.XLOOKUP(D2914,Insumos!$B$1:$B$764,Insumos!$C$1:$C$764)</f>
        <v>M²</v>
      </c>
      <c r="F2914" s="179">
        <v>1</v>
      </c>
      <c r="G2914" s="177">
        <f>IF(B2914="insumo",_xlfn.XLOOKUP($D2914,Insumos!$B$1:$B$764,Insumos!$D$1:$D$764),"")</f>
        <v>750</v>
      </c>
      <c r="H2914" s="177" cm="1">
        <f t="array" ref="H2914">_xlfn.IFS(B2914="Serviço",SUMIFS(H2915:$H$3085,C2915:$C$3085,$C2914),B2914="Insumo",F2914*G2914,B2914="Etapa","")</f>
        <v>750</v>
      </c>
      <c r="I2914" s="178"/>
    </row>
    <row r="2915" spans="1:9" outlineLevel="1" collapsed="1" x14ac:dyDescent="0.25">
      <c r="A2915" s="175">
        <f t="shared" si="98"/>
        <v>1</v>
      </c>
      <c r="B2915" s="175" t="s">
        <v>109</v>
      </c>
      <c r="C2915" s="175" t="str">
        <f t="shared" si="97"/>
        <v>Bancada em Granito para Pia Cozinha</v>
      </c>
      <c r="D2915" s="188" t="s">
        <v>994</v>
      </c>
      <c r="E2915" s="176" t="s">
        <v>13</v>
      </c>
      <c r="F2915" s="189" t="s">
        <v>124</v>
      </c>
      <c r="G2915" s="177" t="str">
        <f>IF(B2915="insumo",_xlfn.XLOOKUP($D2915,Insumos!$B$1:$B$764,Insumos!$D$1:$D$764),"")</f>
        <v/>
      </c>
      <c r="H2915" s="177" cm="1">
        <f t="array" ref="H2915">_xlfn.IFS(B2915="Serviço",SUMIFS(H2916:$H$3085,C2916:$C$3085,$C2915),B2915="Insumo",F2915*G2915,B2915="Etapa","")</f>
        <v>750</v>
      </c>
      <c r="I2915" s="190" t="s">
        <v>195</v>
      </c>
    </row>
    <row r="2916" spans="1:9" hidden="1" outlineLevel="2" x14ac:dyDescent="0.25">
      <c r="A2916" s="175">
        <f t="shared" si="98"/>
        <v>1</v>
      </c>
      <c r="B2916" s="175" t="s">
        <v>327</v>
      </c>
      <c r="C2916" s="175" t="str">
        <f t="shared" si="97"/>
        <v>Bancada em Granito para Pia Cozinha</v>
      </c>
      <c r="D2916" s="175" t="s">
        <v>995</v>
      </c>
      <c r="E2916" s="176" t="str">
        <f>_xlfn.XLOOKUP(D2916,Insumos!$B$1:$B$764,Insumos!$C$1:$C$764)</f>
        <v>M²</v>
      </c>
      <c r="F2916" s="179">
        <v>1</v>
      </c>
      <c r="G2916" s="177">
        <f>IF(B2916="insumo",_xlfn.XLOOKUP($D2916,Insumos!$B$1:$B$764,Insumos!$D$1:$D$764),"")</f>
        <v>750</v>
      </c>
      <c r="H2916" s="177" cm="1">
        <f t="array" ref="H2916">_xlfn.IFS(B2916="Serviço",SUMIFS(H2917:$H$3085,C2917:$C$3085,$C2916),B2916="Insumo",F2916*G2916,B2916="Etapa","")</f>
        <v>750</v>
      </c>
      <c r="I2916" s="178"/>
    </row>
    <row r="2917" spans="1:9" outlineLevel="1" collapsed="1" x14ac:dyDescent="0.25">
      <c r="A2917" s="175">
        <f t="shared" si="98"/>
        <v>1</v>
      </c>
      <c r="B2917" s="175" t="s">
        <v>109</v>
      </c>
      <c r="C2917" s="175" t="str">
        <f t="shared" si="97"/>
        <v>Bancada em Granito para Tanques</v>
      </c>
      <c r="D2917" s="188" t="s">
        <v>996</v>
      </c>
      <c r="E2917" s="176" t="s">
        <v>13</v>
      </c>
      <c r="F2917" s="189" t="s">
        <v>124</v>
      </c>
      <c r="G2917" s="177" t="str">
        <f>IF(B2917="insumo",_xlfn.XLOOKUP($D2917,Insumos!$B$1:$B$764,Insumos!$D$1:$D$764),"")</f>
        <v/>
      </c>
      <c r="H2917" s="177" cm="1">
        <f t="array" ref="H2917">_xlfn.IFS(B2917="Serviço",SUMIFS(H2918:$H$3085,C2918:$C$3085,$C2917),B2917="Insumo",F2917*G2917,B2917="Etapa","")</f>
        <v>750</v>
      </c>
      <c r="I2917" s="190" t="s">
        <v>195</v>
      </c>
    </row>
    <row r="2918" spans="1:9" hidden="1" outlineLevel="2" x14ac:dyDescent="0.25">
      <c r="A2918" s="175">
        <f t="shared" si="98"/>
        <v>1</v>
      </c>
      <c r="B2918" s="175" t="s">
        <v>327</v>
      </c>
      <c r="C2918" s="175" t="str">
        <f t="shared" si="97"/>
        <v>Bancada em Granito para Tanques</v>
      </c>
      <c r="D2918" s="175" t="s">
        <v>997</v>
      </c>
      <c r="E2918" s="176" t="str">
        <f>_xlfn.XLOOKUP(D2918,Insumos!$B$1:$B$764,Insumos!$C$1:$C$764)</f>
        <v>M²</v>
      </c>
      <c r="F2918" s="179">
        <v>1</v>
      </c>
      <c r="G2918" s="177">
        <f>IF(B2918="insumo",_xlfn.XLOOKUP($D2918,Insumos!$B$1:$B$764,Insumos!$D$1:$D$764),"")</f>
        <v>750</v>
      </c>
      <c r="H2918" s="177" cm="1">
        <f t="array" ref="H2918">_xlfn.IFS(B2918="Serviço",SUMIFS(H2919:$H$3085,C2919:$C$3085,$C2918),B2918="Insumo",F2918*G2918,B2918="Etapa","")</f>
        <v>750</v>
      </c>
      <c r="I2918" s="178"/>
    </row>
    <row r="2919" spans="1:9" x14ac:dyDescent="0.25">
      <c r="A2919" s="172">
        <f t="shared" si="98"/>
        <v>1</v>
      </c>
      <c r="B2919" s="172" t="s">
        <v>107</v>
      </c>
      <c r="C2919" s="172"/>
      <c r="D2919" s="172" t="s">
        <v>17</v>
      </c>
      <c r="E2919" s="173"/>
      <c r="F2919" s="174"/>
      <c r="G2919" s="180" t="str">
        <f>IF(B2919="insumo",_xlfn.XLOOKUP($D2919,Insumos!$B$1:$B$764,Insumos!$D$1:$D$764),"")</f>
        <v/>
      </c>
      <c r="H2919" s="177" t="str" cm="1">
        <f t="array" ref="H2919">_xlfn.IFS(B2919="Serviço",SUMIFS(H2920:$H$3085,C2920:$C$3085,$C2919),B2919="Insumo",F2919*G2919,B2919="Etapa","")</f>
        <v/>
      </c>
      <c r="I2919" s="174"/>
    </row>
    <row r="2920" spans="1:9" outlineLevel="1" collapsed="1" x14ac:dyDescent="0.25">
      <c r="A2920" s="175">
        <f t="shared" si="98"/>
        <v>1</v>
      </c>
      <c r="B2920" s="175" t="s">
        <v>109</v>
      </c>
      <c r="C2920" s="175" t="str">
        <f t="shared" si="97"/>
        <v>Pergolado</v>
      </c>
      <c r="D2920" s="175" t="s">
        <v>998</v>
      </c>
      <c r="E2920" s="176" t="s">
        <v>131</v>
      </c>
      <c r="F2920" s="175"/>
      <c r="G2920" s="177" t="str">
        <f>IF(B2920="insumo",_xlfn.XLOOKUP($D2920,Insumos!$B$1:$B$764,Insumos!$D$1:$D$764),"")</f>
        <v/>
      </c>
      <c r="H2920" s="177" cm="1">
        <f t="array" ref="H2920">_xlfn.IFS(B2920="Serviço",SUMIFS(H2921:$H$3085,C2921:$C$3085,$C2920),B2920="Insumo",F2920*G2920,B2920="Etapa","")</f>
        <v>34721</v>
      </c>
      <c r="I2920" s="178" t="s">
        <v>195</v>
      </c>
    </row>
    <row r="2921" spans="1:9" hidden="1" outlineLevel="2" x14ac:dyDescent="0.25">
      <c r="A2921" s="175">
        <f t="shared" si="98"/>
        <v>4</v>
      </c>
      <c r="B2921" s="175" t="s">
        <v>327</v>
      </c>
      <c r="C2921" s="175" t="str">
        <f t="shared" si="97"/>
        <v>Pergolado</v>
      </c>
      <c r="D2921" s="175" t="s">
        <v>999</v>
      </c>
      <c r="E2921" s="176" t="str">
        <f>_xlfn.XLOOKUP(D2921,Insumos!$B$1:$B$764,Insumos!$C$1:$C$764)</f>
        <v>UN</v>
      </c>
      <c r="F2921" s="179">
        <v>1</v>
      </c>
      <c r="G2921" s="177">
        <f>IF(B2921="insumo",_xlfn.XLOOKUP($D2921,Insumos!$B$1:$B$764,Insumos!$D$1:$D$764),"")</f>
        <v>30657</v>
      </c>
      <c r="H2921" s="177" cm="1">
        <f t="array" ref="H2921">_xlfn.IFS(B2921="Serviço",SUMIFS(H2922:$H$3085,C2922:$C$3085,$C2921),B2921="Insumo",F2921*G2921,B2921="Etapa","")</f>
        <v>30657</v>
      </c>
      <c r="I2921" s="178"/>
    </row>
    <row r="2922" spans="1:9" hidden="1" outlineLevel="2" x14ac:dyDescent="0.25">
      <c r="A2922" s="175">
        <f t="shared" si="98"/>
        <v>1</v>
      </c>
      <c r="B2922" s="175" t="s">
        <v>327</v>
      </c>
      <c r="C2922" s="175" t="str">
        <f t="shared" si="97"/>
        <v>Pergolado</v>
      </c>
      <c r="D2922" s="175" t="s">
        <v>1000</v>
      </c>
      <c r="E2922" s="176" t="str">
        <f>_xlfn.XLOOKUP(D2922,Insumos!$B$1:$B$764,Insumos!$C$1:$C$764)</f>
        <v>UN</v>
      </c>
      <c r="F2922" s="179">
        <v>1</v>
      </c>
      <c r="G2922" s="177">
        <f>IF(B2922="insumo",_xlfn.XLOOKUP($D2922,Insumos!$B$1:$B$764,Insumos!$D$1:$D$764),"")</f>
        <v>3300</v>
      </c>
      <c r="H2922" s="177" cm="1">
        <f t="array" ref="H2922">_xlfn.IFS(B2922="Serviço",SUMIFS(H2923:$H$3085,C2923:$C$3085,$C2922),B2922="Insumo",F2922*G2922,B2922="Etapa","")</f>
        <v>3300</v>
      </c>
      <c r="I2922" s="178"/>
    </row>
    <row r="2923" spans="1:9" hidden="1" outlineLevel="2" x14ac:dyDescent="0.25">
      <c r="A2923" s="175">
        <f t="shared" si="98"/>
        <v>1</v>
      </c>
      <c r="B2923" s="175" t="s">
        <v>327</v>
      </c>
      <c r="C2923" s="175" t="str">
        <f t="shared" si="97"/>
        <v>Pergolado</v>
      </c>
      <c r="D2923" s="175" t="s">
        <v>1001</v>
      </c>
      <c r="E2923" s="176" t="str">
        <f>_xlfn.XLOOKUP(D2923,Insumos!$B$1:$B$764,Insumos!$C$1:$C$764)</f>
        <v>UN</v>
      </c>
      <c r="F2923" s="179">
        <v>2</v>
      </c>
      <c r="G2923" s="177">
        <f>IF(B2923="insumo",_xlfn.XLOOKUP($D2923,Insumos!$B$1:$B$764,Insumos!$D$1:$D$764),"")</f>
        <v>382</v>
      </c>
      <c r="H2923" s="177" cm="1">
        <f t="array" ref="H2923">_xlfn.IFS(B2923="Serviço",SUMIFS(H2924:$H$3085,C2924:$C$3085,$C2923),B2923="Insumo",F2923*G2923,B2923="Etapa","")</f>
        <v>764</v>
      </c>
      <c r="I2923" s="178"/>
    </row>
    <row r="2924" spans="1:9" outlineLevel="1" collapsed="1" x14ac:dyDescent="0.25">
      <c r="A2924" s="175">
        <f t="shared" si="98"/>
        <v>1</v>
      </c>
      <c r="B2924" s="175" t="s">
        <v>109</v>
      </c>
      <c r="C2924" s="175" t="str">
        <f t="shared" si="97"/>
        <v>Estrutura Metálica para Portico com abamento em ACM- Material e mão de obra</v>
      </c>
      <c r="D2924" s="175" t="s">
        <v>1002</v>
      </c>
      <c r="E2924" s="176" t="s">
        <v>25</v>
      </c>
      <c r="F2924" s="175"/>
      <c r="G2924" s="177" t="str">
        <f>IF(B2924="insumo",_xlfn.XLOOKUP($D2924,Insumos!$B$1:$B$764,Insumos!$D$1:$D$764),"")</f>
        <v/>
      </c>
      <c r="H2924" s="177" cm="1">
        <f t="array" ref="H2924">_xlfn.IFS(B2924="Serviço",SUMIFS(H2925:$H$3085,C2925:$C$3085,$C2924),B2924="Insumo",F2924*G2924,B2924="Etapa","")</f>
        <v>1744</v>
      </c>
      <c r="I2924" s="178" t="s">
        <v>195</v>
      </c>
    </row>
    <row r="2925" spans="1:9" hidden="1" outlineLevel="2" x14ac:dyDescent="0.25">
      <c r="A2925" s="175">
        <f t="shared" si="98"/>
        <v>1</v>
      </c>
      <c r="B2925" s="175" t="s">
        <v>327</v>
      </c>
      <c r="C2925" s="175" t="str">
        <f t="shared" si="97"/>
        <v>Estrutura Metálica para Portico com abamento em ACM- Material e mão de obra</v>
      </c>
      <c r="D2925" s="175" t="s">
        <v>1003</v>
      </c>
      <c r="E2925" s="176" t="str">
        <f>_xlfn.XLOOKUP(D2925,Insumos!$B$1:$B$764,Insumos!$C$1:$C$764)</f>
        <v>M2</v>
      </c>
      <c r="F2925" s="179">
        <v>1</v>
      </c>
      <c r="G2925" s="177">
        <f>IF(B2925="insumo",_xlfn.XLOOKUP($D2925,Insumos!$B$1:$B$764,Insumos!$D$1:$D$764),"")</f>
        <v>880</v>
      </c>
      <c r="H2925" s="177" cm="1">
        <f t="array" ref="H2925">_xlfn.IFS(B2925="Serviço",SUMIFS(H2926:$H$3085,C2926:$C$3085,$C2925),B2925="Insumo",F2925*G2925,B2925="Etapa","")</f>
        <v>880</v>
      </c>
      <c r="I2925" s="178"/>
    </row>
    <row r="2926" spans="1:9" hidden="1" outlineLevel="2" x14ac:dyDescent="0.25">
      <c r="A2926" s="175">
        <f t="shared" si="98"/>
        <v>4</v>
      </c>
      <c r="B2926" s="175" t="s">
        <v>327</v>
      </c>
      <c r="C2926" s="175" t="str">
        <f t="shared" si="97"/>
        <v>Estrutura Metálica para Portico com abamento em ACM- Material e mão de obra</v>
      </c>
      <c r="D2926" s="175" t="s">
        <v>918</v>
      </c>
      <c r="E2926" s="176" t="str">
        <f>_xlfn.XLOOKUP(D2926,Insumos!$B$1:$B$764,Insumos!$C$1:$C$764)</f>
        <v>M2</v>
      </c>
      <c r="F2926" s="179">
        <f>0.6*2</f>
        <v>1.2</v>
      </c>
      <c r="G2926" s="177">
        <f>IF(B2926="insumo",_xlfn.XLOOKUP($D2926,Insumos!$B$1:$B$764,Insumos!$D$1:$D$764),"")</f>
        <v>720</v>
      </c>
      <c r="H2926" s="177" cm="1">
        <f t="array" ref="H2926">_xlfn.IFS(B2926="Serviço",SUMIFS(H2927:$H$3085,C2927:$C$3085,$C2926),B2926="Insumo",F2926*G2926,B2926="Etapa","")</f>
        <v>864</v>
      </c>
      <c r="I2926" s="178"/>
    </row>
    <row r="2927" spans="1:9" outlineLevel="1" collapsed="1" x14ac:dyDescent="0.25">
      <c r="A2927" s="175">
        <f t="shared" si="98"/>
        <v>1</v>
      </c>
      <c r="B2927" s="175" t="s">
        <v>109</v>
      </c>
      <c r="C2927" s="175" t="str">
        <f t="shared" si="97"/>
        <v xml:space="preserve">Claraboia em vidro laminado </v>
      </c>
      <c r="D2927" s="175" t="s">
        <v>271</v>
      </c>
      <c r="E2927" s="176" t="s">
        <v>13</v>
      </c>
      <c r="F2927" s="175"/>
      <c r="G2927" s="177" t="str">
        <f>IF(B2927="insumo",_xlfn.XLOOKUP($D2927,Insumos!$B$1:$B$764,Insumos!$D$1:$D$764),"")</f>
        <v/>
      </c>
      <c r="H2927" s="177" cm="1">
        <f t="array" ref="H2927">_xlfn.IFS(B2927="Serviço",SUMIFS(H2928:$H$3085,C2928:$C$3085,$C2927),B2927="Insumo",F2927*G2927,B2927="Etapa","")</f>
        <v>1014</v>
      </c>
      <c r="I2927" s="178" t="s">
        <v>195</v>
      </c>
    </row>
    <row r="2928" spans="1:9" hidden="1" outlineLevel="2" x14ac:dyDescent="0.25">
      <c r="A2928" s="175">
        <f t="shared" si="98"/>
        <v>1</v>
      </c>
      <c r="B2928" s="175" t="s">
        <v>327</v>
      </c>
      <c r="C2928" s="175" t="str">
        <f t="shared" si="97"/>
        <v xml:space="preserve">Claraboia em vidro laminado </v>
      </c>
      <c r="D2928" s="175" t="s">
        <v>271</v>
      </c>
      <c r="E2928" s="176" t="str">
        <f>_xlfn.XLOOKUP(D2928,Insumos!$B$1:$B$764,Insumos!$C$1:$C$764)</f>
        <v>M2</v>
      </c>
      <c r="F2928" s="179">
        <v>1</v>
      </c>
      <c r="G2928" s="177">
        <f>IF(B2928="insumo",_xlfn.XLOOKUP($D2928,Insumos!$B$1:$B$764,Insumos!$D$1:$D$764),"")</f>
        <v>1014</v>
      </c>
      <c r="H2928" s="177" cm="1">
        <f t="array" ref="H2928">_xlfn.IFS(B2928="Serviço",SUMIFS(H2929:$H$3085,C2929:$C$3085,$C2928),B2928="Insumo",F2928*G2928,B2928="Etapa","")</f>
        <v>1014</v>
      </c>
      <c r="I2928" s="178"/>
    </row>
    <row r="2929" spans="1:9" outlineLevel="1" collapsed="1" x14ac:dyDescent="0.25">
      <c r="A2929" s="175">
        <f t="shared" si="98"/>
        <v>1</v>
      </c>
      <c r="B2929" s="175" t="s">
        <v>109</v>
      </c>
      <c r="C2929" s="175" t="str">
        <f t="shared" si="97"/>
        <v>Estrutura para cobertura em concreto</v>
      </c>
      <c r="D2929" s="175" t="s">
        <v>1775</v>
      </c>
      <c r="E2929" s="176" t="s">
        <v>13</v>
      </c>
      <c r="F2929" s="175"/>
      <c r="G2929" s="177" t="str">
        <f>IF(B2929="insumo",_xlfn.XLOOKUP($D2929,Insumos!$B$1:$B$764,Insumos!$D$1:$D$764),"")</f>
        <v/>
      </c>
      <c r="H2929" s="177" cm="1">
        <f t="array" ref="H2929">_xlfn.IFS(B2929="Serviço",SUMIFS(H2930:$H$3085,C2930:$C$3085,$C2929),B2929="Insumo",F2929*G2929,B2929="Etapa","")</f>
        <v>88.714500000000001</v>
      </c>
      <c r="I2929" s="178" t="s">
        <v>195</v>
      </c>
    </row>
    <row r="2930" spans="1:9" hidden="1" outlineLevel="2" x14ac:dyDescent="0.25">
      <c r="A2930" s="175">
        <f t="shared" si="98"/>
        <v>6</v>
      </c>
      <c r="B2930" s="175" t="s">
        <v>327</v>
      </c>
      <c r="C2930" s="175" t="str">
        <f t="shared" ref="C2930:C2993" si="99">IF(B2930="serviço",D2930,C2929)</f>
        <v>Estrutura para cobertura em concreto</v>
      </c>
      <c r="D2930" s="175" t="s">
        <v>459</v>
      </c>
      <c r="E2930" s="176" t="str">
        <f>_xlfn.XLOOKUP(D2930,Insumos!$B$1:$B$764,Insumos!$C$1:$C$764)</f>
        <v>M3</v>
      </c>
      <c r="F2930" s="179">
        <f>0.0243*3/2</f>
        <v>3.6449999999999996E-2</v>
      </c>
      <c r="G2930" s="177">
        <f>IF(B2930="insumo",_xlfn.XLOOKUP($D2930,Insumos!$B$1:$B$764,Insumos!$D$1:$D$764),"")</f>
        <v>510</v>
      </c>
      <c r="H2930" s="177" cm="1">
        <f t="array" ref="H2930">_xlfn.IFS(B2930="Serviço",SUMIFS(H2931:$H$3085,C2931:$C$3085,$C2930),B2930="Insumo",F2930*G2930,B2930="Etapa","")</f>
        <v>18.589499999999997</v>
      </c>
      <c r="I2930" s="178"/>
    </row>
    <row r="2931" spans="1:9" hidden="1" outlineLevel="2" x14ac:dyDescent="0.25">
      <c r="A2931" s="175">
        <f t="shared" si="98"/>
        <v>4</v>
      </c>
      <c r="B2931" s="175" t="s">
        <v>327</v>
      </c>
      <c r="C2931" s="175" t="str">
        <f t="shared" si="99"/>
        <v>Estrutura para cobertura em concreto</v>
      </c>
      <c r="D2931" s="175" t="s">
        <v>744</v>
      </c>
      <c r="E2931" s="176" t="str">
        <f>_xlfn.XLOOKUP(D2931,Insumos!$B$1:$B$764,Insumos!$C$1:$C$764)</f>
        <v>KG</v>
      </c>
      <c r="F2931" s="179">
        <f>5*3/2</f>
        <v>7.5</v>
      </c>
      <c r="G2931" s="177">
        <f>IF(B2931="insumo",_xlfn.XLOOKUP($D2931,Insumos!$B$1:$B$764,Insumos!$D$1:$D$764),"")</f>
        <v>9.35</v>
      </c>
      <c r="H2931" s="177" cm="1">
        <f t="array" ref="H2931">_xlfn.IFS(B2931="Serviço",SUMIFS(H2932:$H$3085,C2932:$C$3085,$C2931),B2931="Insumo",F2931*G2931,B2931="Etapa","")</f>
        <v>70.125</v>
      </c>
      <c r="I2931" s="178"/>
    </row>
    <row r="2932" spans="1:9" outlineLevel="1" collapsed="1" x14ac:dyDescent="0.25">
      <c r="A2932" s="175">
        <f t="shared" si="98"/>
        <v>1</v>
      </c>
      <c r="B2932" s="175" t="s">
        <v>109</v>
      </c>
      <c r="C2932" s="175" t="str">
        <f t="shared" si="99"/>
        <v>Estrutura e trama para cobertura em madeira</v>
      </c>
      <c r="D2932" s="175" t="s">
        <v>268</v>
      </c>
      <c r="E2932" s="176" t="s">
        <v>13</v>
      </c>
      <c r="F2932" s="175"/>
      <c r="G2932" s="177" t="str">
        <f>IF(B2932="insumo",_xlfn.XLOOKUP($D2932,Insumos!$B$1:$B$764,Insumos!$D$1:$D$764),"")</f>
        <v/>
      </c>
      <c r="H2932" s="177" cm="1">
        <f t="array" ref="H2932">_xlfn.IFS(B2932="Serviço",SUMIFS(H2933:$H$3085,C2933:$C$3085,$C2932),B2932="Insumo",F2932*G2932,B2932="Etapa","")</f>
        <v>119.77</v>
      </c>
      <c r="I2932" s="178" t="s">
        <v>195</v>
      </c>
    </row>
    <row r="2933" spans="1:9" hidden="1" outlineLevel="2" x14ac:dyDescent="0.25">
      <c r="A2933" s="175">
        <f t="shared" si="98"/>
        <v>1</v>
      </c>
      <c r="B2933" s="175" t="s">
        <v>327</v>
      </c>
      <c r="C2933" s="175" t="str">
        <f t="shared" si="99"/>
        <v>Estrutura e trama para cobertura em madeira</v>
      </c>
      <c r="D2933" s="74" t="s">
        <v>268</v>
      </c>
      <c r="E2933" s="176" t="str">
        <f>_xlfn.XLOOKUP(D2933,Insumos!$B$1:$B$764,Insumos!$C$1:$C$764)</f>
        <v>M2</v>
      </c>
      <c r="F2933" s="179">
        <v>1</v>
      </c>
      <c r="G2933" s="177">
        <f>IF(B2933="insumo",_xlfn.XLOOKUP($D2933,Insumos!$B$1:$B$764,Insumos!$D$1:$D$764),"")</f>
        <v>119.77</v>
      </c>
      <c r="H2933" s="177" cm="1">
        <f t="array" ref="H2933">_xlfn.IFS(B2933="Serviço",SUMIFS(H2934:$H$3085,C2934:$C$3085,$C2933),B2933="Insumo",F2933*G2933,B2933="Etapa","")</f>
        <v>119.77</v>
      </c>
      <c r="I2933" s="178"/>
    </row>
    <row r="2934" spans="1:9" outlineLevel="1" collapsed="1" x14ac:dyDescent="0.25">
      <c r="A2934" s="175">
        <f t="shared" si="98"/>
        <v>1</v>
      </c>
      <c r="B2934" s="175" t="s">
        <v>109</v>
      </c>
      <c r="C2934" s="175" t="str">
        <f t="shared" si="99"/>
        <v>Telhamento para cobertura em Fribrocimento</v>
      </c>
      <c r="D2934" s="175" t="s">
        <v>269</v>
      </c>
      <c r="E2934" s="176" t="s">
        <v>390</v>
      </c>
      <c r="F2934" s="175"/>
      <c r="G2934" s="177" t="str">
        <f>IF(B2934="insumo",_xlfn.XLOOKUP($D2934,Insumos!$B$1:$B$764,Insumos!$D$1:$D$764),"")</f>
        <v/>
      </c>
      <c r="H2934" s="177" cm="1">
        <f t="array" ref="H2934">_xlfn.IFS(B2934="Serviço",SUMIFS(H2935:$H$3085,C2935:$C$3085,$C2934),B2934="Insumo",F2934*G2934,B2934="Etapa","")</f>
        <v>94.997449999999986</v>
      </c>
      <c r="I2934" s="178" t="s">
        <v>195</v>
      </c>
    </row>
    <row r="2935" spans="1:9" hidden="1" outlineLevel="2" x14ac:dyDescent="0.25">
      <c r="A2935" s="175">
        <f t="shared" si="98"/>
        <v>2</v>
      </c>
      <c r="B2935" s="175" t="s">
        <v>327</v>
      </c>
      <c r="C2935" s="175" t="str">
        <f t="shared" si="99"/>
        <v>Telhamento para cobertura em Fribrocimento</v>
      </c>
      <c r="D2935" s="175" t="s">
        <v>1004</v>
      </c>
      <c r="E2935" s="176" t="str">
        <f>_xlfn.XLOOKUP(D2935,Insumos!$B$1:$B$764,Insumos!$C$1:$C$764)</f>
        <v>CJ</v>
      </c>
      <c r="F2935" s="179">
        <v>1.26</v>
      </c>
      <c r="G2935" s="177">
        <f>IF(B2935="insumo",_xlfn.XLOOKUP($D2935,Insumos!$B$1:$B$764,Insumos!$D$1:$D$764),"")</f>
        <v>0.26</v>
      </c>
      <c r="H2935" s="177" cm="1">
        <f t="array" ref="H2935">_xlfn.IFS(B2935="Serviço",SUMIFS(H2936:$H$3085,C2936:$C$3085,$C2935),B2935="Insumo",F2935*G2935,B2935="Etapa","")</f>
        <v>0.3276</v>
      </c>
      <c r="I2935" s="178"/>
    </row>
    <row r="2936" spans="1:9" hidden="1" outlineLevel="2" x14ac:dyDescent="0.25">
      <c r="A2936" s="175">
        <f t="shared" si="98"/>
        <v>2</v>
      </c>
      <c r="B2936" s="175" t="s">
        <v>327</v>
      </c>
      <c r="C2936" s="175" t="str">
        <f t="shared" si="99"/>
        <v>Telhamento para cobertura em Fribrocimento</v>
      </c>
      <c r="D2936" s="175" t="s">
        <v>1005</v>
      </c>
      <c r="E2936" s="176" t="str">
        <f>_xlfn.XLOOKUP(D2936,Insumos!$B$1:$B$764,Insumos!$C$1:$C$764)</f>
        <v>UN</v>
      </c>
      <c r="F2936" s="179">
        <v>1.26</v>
      </c>
      <c r="G2936" s="177">
        <f>IF(B2936="insumo",_xlfn.XLOOKUP($D2936,Insumos!$B$1:$B$764,Insumos!$D$1:$D$764),"")</f>
        <v>4</v>
      </c>
      <c r="H2936" s="177" cm="1">
        <f t="array" ref="H2936">_xlfn.IFS(B2936="Serviço",SUMIFS(H2937:$H$3085,C2937:$C$3085,$C2936),B2936="Insumo",F2936*G2936,B2936="Etapa","")</f>
        <v>5.04</v>
      </c>
      <c r="I2936" s="178"/>
    </row>
    <row r="2937" spans="1:9" hidden="1" outlineLevel="2" x14ac:dyDescent="0.25">
      <c r="A2937" s="175">
        <f t="shared" si="98"/>
        <v>1</v>
      </c>
      <c r="B2937" s="175" t="s">
        <v>327</v>
      </c>
      <c r="C2937" s="175" t="str">
        <f t="shared" si="99"/>
        <v>Telhamento para cobertura em Fribrocimento</v>
      </c>
      <c r="D2937" s="175" t="s">
        <v>1006</v>
      </c>
      <c r="E2937" s="176" t="str">
        <f>_xlfn.XLOOKUP(D2937,Insumos!$B$1:$B$764,Insumos!$C$1:$C$764)</f>
        <v>M2</v>
      </c>
      <c r="F2937" s="179">
        <v>1.357</v>
      </c>
      <c r="G2937" s="177">
        <f>IF(B2937="insumo",_xlfn.XLOOKUP($D2937,Insumos!$B$1:$B$764,Insumos!$D$1:$D$764),"")</f>
        <v>66.05</v>
      </c>
      <c r="H2937" s="177" cm="1">
        <f t="array" ref="H2937">_xlfn.IFS(B2937="Serviço",SUMIFS(H2938:$H$3085,C2938:$C$3085,$C2937),B2937="Insumo",F2937*G2937,B2937="Etapa","")</f>
        <v>89.62984999999999</v>
      </c>
      <c r="I2937" s="178"/>
    </row>
    <row r="2938" spans="1:9" outlineLevel="1" collapsed="1" x14ac:dyDescent="0.25">
      <c r="A2938" s="175">
        <f t="shared" si="98"/>
        <v>1</v>
      </c>
      <c r="B2938" s="175" t="s">
        <v>109</v>
      </c>
      <c r="C2938" s="175" t="str">
        <f t="shared" si="99"/>
        <v>Telhamento para cobertura em Telha metálica termoacústica</v>
      </c>
      <c r="D2938" s="175" t="s">
        <v>1007</v>
      </c>
      <c r="E2938" s="176" t="s">
        <v>390</v>
      </c>
      <c r="F2938" s="175"/>
      <c r="G2938" s="177" t="str">
        <f>IF(B2938="insumo",_xlfn.XLOOKUP($D2938,Insumos!$B$1:$B$764,Insumos!$D$1:$D$764),"")</f>
        <v/>
      </c>
      <c r="H2938" s="177" cm="1">
        <f t="array" ref="H2938">_xlfn.IFS(B2938="Serviço",SUMIFS(H2939:$H$3085,C2939:$C$3085,$C2938),B2938="Insumo",F2938*G2938,B2938="Etapa","")</f>
        <v>274.31142999999997</v>
      </c>
      <c r="I2938" s="178" t="s">
        <v>195</v>
      </c>
    </row>
    <row r="2939" spans="1:9" hidden="1" outlineLevel="2" x14ac:dyDescent="0.25">
      <c r="A2939" s="175">
        <f t="shared" si="98"/>
        <v>2</v>
      </c>
      <c r="B2939" s="175" t="s">
        <v>327</v>
      </c>
      <c r="C2939" s="175" t="str">
        <f t="shared" si="99"/>
        <v>Telhamento para cobertura em Telha metálica termoacústica</v>
      </c>
      <c r="D2939" s="175" t="s">
        <v>1004</v>
      </c>
      <c r="E2939" s="176" t="str">
        <f>_xlfn.XLOOKUP(D2939,Insumos!$B$1:$B$764,Insumos!$C$1:$C$764)</f>
        <v>CJ</v>
      </c>
      <c r="F2939" s="179">
        <v>1.26</v>
      </c>
      <c r="G2939" s="177">
        <f>IF(B2939="insumo",_xlfn.XLOOKUP($D2939,Insumos!$B$1:$B$764,Insumos!$D$1:$D$764),"")</f>
        <v>0.26</v>
      </c>
      <c r="H2939" s="177" cm="1">
        <f t="array" ref="H2939">_xlfn.IFS(B2939="Serviço",SUMIFS(H2940:$H$3085,C2940:$C$3085,$C2939),B2939="Insumo",F2939*G2939,B2939="Etapa","")</f>
        <v>0.3276</v>
      </c>
      <c r="I2939" s="178"/>
    </row>
    <row r="2940" spans="1:9" hidden="1" outlineLevel="2" x14ac:dyDescent="0.25">
      <c r="A2940" s="175">
        <f t="shared" si="98"/>
        <v>2</v>
      </c>
      <c r="B2940" s="175" t="s">
        <v>327</v>
      </c>
      <c r="C2940" s="175" t="str">
        <f t="shared" si="99"/>
        <v>Telhamento para cobertura em Telha metálica termoacústica</v>
      </c>
      <c r="D2940" s="175" t="s">
        <v>1005</v>
      </c>
      <c r="E2940" s="176" t="str">
        <f>_xlfn.XLOOKUP(D2940,Insumos!$B$1:$B$764,Insumos!$C$1:$C$764)</f>
        <v>UN</v>
      </c>
      <c r="F2940" s="179">
        <v>1.26</v>
      </c>
      <c r="G2940" s="177">
        <f>IF(B2940="insumo",_xlfn.XLOOKUP($D2940,Insumos!$B$1:$B$764,Insumos!$D$1:$D$764),"")</f>
        <v>4</v>
      </c>
      <c r="H2940" s="177" cm="1">
        <f t="array" ref="H2940">_xlfn.IFS(B2940="Serviço",SUMIFS(H2941:$H$3085,C2941:$C$3085,$C2940),B2940="Insumo",F2940*G2940,B2940="Etapa","")</f>
        <v>5.04</v>
      </c>
      <c r="I2940" s="178"/>
    </row>
    <row r="2941" spans="1:9" hidden="1" outlineLevel="2" x14ac:dyDescent="0.25">
      <c r="A2941" s="175">
        <f t="shared" si="98"/>
        <v>1</v>
      </c>
      <c r="B2941" s="175" t="s">
        <v>327</v>
      </c>
      <c r="C2941" s="175" t="str">
        <f t="shared" si="99"/>
        <v>Telhamento para cobertura em Telha metálica termoacústica</v>
      </c>
      <c r="D2941" s="175" t="s">
        <v>1008</v>
      </c>
      <c r="E2941" s="176" t="str">
        <f>_xlfn.XLOOKUP(D2941,Insumos!$B$1:$B$764,Insumos!$C$1:$C$764)</f>
        <v>M2</v>
      </c>
      <c r="F2941" s="179">
        <v>1.357</v>
      </c>
      <c r="G2941" s="177">
        <f>IF(B2941="insumo",_xlfn.XLOOKUP($D2941,Insumos!$B$1:$B$764,Insumos!$D$1:$D$764),"")</f>
        <v>198.19</v>
      </c>
      <c r="H2941" s="177" cm="1">
        <f t="array" ref="H2941">_xlfn.IFS(B2941="Serviço",SUMIFS(H2942:$H$3085,C2942:$C$3085,$C2941),B2941="Insumo",F2941*G2941,B2941="Etapa","")</f>
        <v>268.94382999999999</v>
      </c>
      <c r="I2941" s="178"/>
    </row>
    <row r="2942" spans="1:9" outlineLevel="1" collapsed="1" x14ac:dyDescent="0.25">
      <c r="A2942" s="175">
        <f t="shared" si="98"/>
        <v>1</v>
      </c>
      <c r="B2942" s="175" t="s">
        <v>109</v>
      </c>
      <c r="C2942" s="175" t="str">
        <f t="shared" si="99"/>
        <v>Calha em alumínio - 13 cm</v>
      </c>
      <c r="D2942" s="175" t="s">
        <v>1009</v>
      </c>
      <c r="E2942" s="176" t="s">
        <v>25</v>
      </c>
      <c r="F2942" s="175"/>
      <c r="G2942" s="177" t="str">
        <f>IF(B2942="insumo",_xlfn.XLOOKUP($D2942,Insumos!$B$1:$B$764,Insumos!$D$1:$D$764),"")</f>
        <v/>
      </c>
      <c r="H2942" s="177" cm="1">
        <f t="array" ref="H2942">_xlfn.IFS(B2942="Serviço",SUMIFS(H2943:$H$3085,C2943:$C$3085,$C2942),B2942="Insumo",F2942*G2942,B2942="Etapa","")</f>
        <v>54.848489000000001</v>
      </c>
      <c r="I2942" s="178" t="s">
        <v>195</v>
      </c>
    </row>
    <row r="2943" spans="1:9" hidden="1" outlineLevel="2" x14ac:dyDescent="0.25">
      <c r="A2943" s="175">
        <f t="shared" si="98"/>
        <v>1</v>
      </c>
      <c r="B2943" s="175" t="s">
        <v>327</v>
      </c>
      <c r="C2943" s="175" t="str">
        <f t="shared" si="99"/>
        <v>Calha em alumínio - 13 cm</v>
      </c>
      <c r="D2943" s="175" t="s">
        <v>1010</v>
      </c>
      <c r="E2943" s="176" t="str">
        <f>_xlfn.XLOOKUP(D2943,Insumos!$B$1:$B$764,Insumos!$C$1:$C$764)</f>
        <v>M</v>
      </c>
      <c r="F2943" s="179">
        <v>1.05</v>
      </c>
      <c r="G2943" s="177">
        <f>IF(B2943="insumo",_xlfn.XLOOKUP($D2943,Insumos!$B$1:$B$764,Insumos!$D$1:$D$764),"")</f>
        <v>18.7148</v>
      </c>
      <c r="H2943" s="177" cm="1">
        <f t="array" ref="H2943">_xlfn.IFS(B2943="Serviço",SUMIFS(H2944:$H$3085,C2944:$C$3085,$C2943),B2943="Insumo",F2943*G2943,B2943="Etapa","")</f>
        <v>19.650539999999999</v>
      </c>
      <c r="I2943" s="178"/>
    </row>
    <row r="2944" spans="1:9" hidden="1" outlineLevel="2" x14ac:dyDescent="0.25">
      <c r="A2944" s="175">
        <f t="shared" si="98"/>
        <v>7</v>
      </c>
      <c r="B2944" s="175" t="s">
        <v>327</v>
      </c>
      <c r="C2944" s="175" t="str">
        <f t="shared" si="99"/>
        <v>Calha em alumínio - 13 cm</v>
      </c>
      <c r="D2944" s="175" t="s">
        <v>376</v>
      </c>
      <c r="E2944" s="176" t="str">
        <f>_xlfn.XLOOKUP(D2944,Insumos!$B$1:$B$764,Insumos!$C$1:$C$764)</f>
        <v>KG</v>
      </c>
      <c r="F2944" s="179">
        <v>2.5000000000000001E-2</v>
      </c>
      <c r="G2944" s="177">
        <f>IF(B2944="insumo",_xlfn.XLOOKUP($D2944,Insumos!$B$1:$B$764,Insumos!$D$1:$D$764),"")</f>
        <v>15.65</v>
      </c>
      <c r="H2944" s="177" cm="1">
        <f t="array" ref="H2944">_xlfn.IFS(B2944="Serviço",SUMIFS(H2945:$H$3085,C2945:$C$3085,$C2944),B2944="Insumo",F2944*G2944,B2944="Etapa","")</f>
        <v>0.39125000000000004</v>
      </c>
      <c r="I2944" s="178"/>
    </row>
    <row r="2945" spans="1:9" hidden="1" outlineLevel="2" x14ac:dyDescent="0.25">
      <c r="A2945" s="175">
        <f t="shared" si="98"/>
        <v>8</v>
      </c>
      <c r="B2945" s="175" t="s">
        <v>327</v>
      </c>
      <c r="C2945" s="175" t="str">
        <f t="shared" si="99"/>
        <v>Calha em alumínio - 13 cm</v>
      </c>
      <c r="D2945" s="175" t="s">
        <v>1011</v>
      </c>
      <c r="E2945" s="176" t="str">
        <f>_xlfn.XLOOKUP(D2945,Insumos!$B$1:$B$764,Insumos!$C$1:$C$764)</f>
        <v>KG</v>
      </c>
      <c r="F2945" s="179">
        <v>4.8999999999999998E-3</v>
      </c>
      <c r="G2945" s="177">
        <f>IF(B2945="insumo",_xlfn.XLOOKUP($D2945,Insumos!$B$1:$B$764,Insumos!$D$1:$D$764),"")</f>
        <v>71.510000000000005</v>
      </c>
      <c r="H2945" s="177" cm="1">
        <f t="array" ref="H2945">_xlfn.IFS(B2945="Serviço",SUMIFS(H2946:$H$3085,C2946:$C$3085,$C2945),B2945="Insumo",F2945*G2945,B2945="Etapa","")</f>
        <v>0.35039900000000002</v>
      </c>
      <c r="I2945" s="178"/>
    </row>
    <row r="2946" spans="1:9" hidden="1" outlineLevel="2" x14ac:dyDescent="0.25">
      <c r="A2946" s="175">
        <f t="shared" ref="A2946:A3009" si="100">COUNTIFS($D$2:$D$3085,D2946,$B$2:$B$3085,B2946)</f>
        <v>10</v>
      </c>
      <c r="B2946" s="175" t="s">
        <v>327</v>
      </c>
      <c r="C2946" s="175" t="str">
        <f t="shared" si="99"/>
        <v>Calha em alumínio - 13 cm</v>
      </c>
      <c r="D2946" s="175" t="s">
        <v>1012</v>
      </c>
      <c r="E2946" s="176" t="str">
        <f>_xlfn.XLOOKUP(D2946,Insumos!$B$1:$B$764,Insumos!$C$1:$C$764)</f>
        <v>UN</v>
      </c>
      <c r="F2946" s="179">
        <v>0.161</v>
      </c>
      <c r="G2946" s="177">
        <f>IF(B2946="insumo",_xlfn.XLOOKUP($D2946,Insumos!$B$1:$B$764,Insumos!$D$1:$D$764),"")</f>
        <v>31.7</v>
      </c>
      <c r="H2946" s="177" cm="1">
        <f t="array" ref="H2946">_xlfn.IFS(B2946="Serviço",SUMIFS(H2947:$H$3085,C2947:$C$3085,$C2946),B2946="Insumo",F2946*G2946,B2946="Etapa","")</f>
        <v>5.1036999999999999</v>
      </c>
      <c r="I2946" s="178"/>
    </row>
    <row r="2947" spans="1:9" hidden="1" outlineLevel="2" x14ac:dyDescent="0.25">
      <c r="A2947" s="175">
        <f t="shared" si="100"/>
        <v>8</v>
      </c>
      <c r="B2947" s="175" t="s">
        <v>327</v>
      </c>
      <c r="C2947" s="175" t="str">
        <f t="shared" si="99"/>
        <v>Calha em alumínio - 13 cm</v>
      </c>
      <c r="D2947" s="175" t="s">
        <v>1013</v>
      </c>
      <c r="E2947" s="176" t="str">
        <f>_xlfn.XLOOKUP(D2947,Insumos!$B$1:$B$764,Insumos!$C$1:$C$764)</f>
        <v>KG</v>
      </c>
      <c r="F2947" s="179">
        <v>0.18</v>
      </c>
      <c r="G2947" s="177">
        <f>IF(B2947="insumo",_xlfn.XLOOKUP($D2947,Insumos!$B$1:$B$764,Insumos!$D$1:$D$764),"")</f>
        <v>163.07</v>
      </c>
      <c r="H2947" s="177" cm="1">
        <f t="array" ref="H2947">_xlfn.IFS(B2947="Serviço",SUMIFS(H2948:$H$3085,C2948:$C$3085,$C2947),B2947="Insumo",F2947*G2947,B2947="Etapa","")</f>
        <v>29.352599999999999</v>
      </c>
      <c r="I2947" s="178"/>
    </row>
    <row r="2948" spans="1:9" outlineLevel="1" collapsed="1" x14ac:dyDescent="0.25">
      <c r="A2948" s="175">
        <f t="shared" si="100"/>
        <v>1</v>
      </c>
      <c r="B2948" s="175" t="s">
        <v>109</v>
      </c>
      <c r="C2948" s="175" t="str">
        <f t="shared" si="99"/>
        <v>Calha em alumínio - 16 cm</v>
      </c>
      <c r="D2948" s="175" t="s">
        <v>1014</v>
      </c>
      <c r="E2948" s="176" t="s">
        <v>25</v>
      </c>
      <c r="F2948" s="175"/>
      <c r="G2948" s="177" t="str">
        <f>IF(B2948="insumo",_xlfn.XLOOKUP($D2948,Insumos!$B$1:$B$764,Insumos!$D$1:$D$764),"")</f>
        <v/>
      </c>
      <c r="H2948" s="177" cm="1">
        <f t="array" ref="H2948">_xlfn.IFS(B2948="Serviço",SUMIFS(H2949:$H$3085,C2949:$C$3085,$C2948),B2948="Insumo",F2948*G2948,B2948="Etapa","")</f>
        <v>59.383229</v>
      </c>
      <c r="I2948" s="178" t="s">
        <v>195</v>
      </c>
    </row>
    <row r="2949" spans="1:9" hidden="1" outlineLevel="2" x14ac:dyDescent="0.25">
      <c r="A2949" s="175">
        <f t="shared" si="100"/>
        <v>1</v>
      </c>
      <c r="B2949" s="175" t="s">
        <v>327</v>
      </c>
      <c r="C2949" s="175" t="str">
        <f t="shared" si="99"/>
        <v>Calha em alumínio - 16 cm</v>
      </c>
      <c r="D2949" s="175" t="s">
        <v>1015</v>
      </c>
      <c r="E2949" s="176" t="str">
        <f>_xlfn.XLOOKUP(D2949,Insumos!$B$1:$B$764,Insumos!$C$1:$C$764)</f>
        <v>M</v>
      </c>
      <c r="F2949" s="179">
        <v>1.05</v>
      </c>
      <c r="G2949" s="177">
        <f>IF(B2949="insumo",_xlfn.XLOOKUP($D2949,Insumos!$B$1:$B$764,Insumos!$D$1:$D$764),"")</f>
        <v>23.0336</v>
      </c>
      <c r="H2949" s="177" cm="1">
        <f t="array" ref="H2949">_xlfn.IFS(B2949="Serviço",SUMIFS(H2950:$H$3085,C2950:$C$3085,$C2949),B2949="Insumo",F2949*G2949,B2949="Etapa","")</f>
        <v>24.185280000000002</v>
      </c>
      <c r="I2949" s="178"/>
    </row>
    <row r="2950" spans="1:9" hidden="1" outlineLevel="2" x14ac:dyDescent="0.25">
      <c r="A2950" s="175">
        <f t="shared" si="100"/>
        <v>7</v>
      </c>
      <c r="B2950" s="175" t="s">
        <v>327</v>
      </c>
      <c r="C2950" s="175" t="str">
        <f t="shared" si="99"/>
        <v>Calha em alumínio - 16 cm</v>
      </c>
      <c r="D2950" s="175" t="s">
        <v>376</v>
      </c>
      <c r="E2950" s="176" t="str">
        <f>_xlfn.XLOOKUP(D2950,Insumos!$B$1:$B$764,Insumos!$C$1:$C$764)</f>
        <v>KG</v>
      </c>
      <c r="F2950" s="179">
        <v>2.5000000000000001E-2</v>
      </c>
      <c r="G2950" s="177">
        <f>IF(B2950="insumo",_xlfn.XLOOKUP($D2950,Insumos!$B$1:$B$764,Insumos!$D$1:$D$764),"")</f>
        <v>15.65</v>
      </c>
      <c r="H2950" s="177" cm="1">
        <f t="array" ref="H2950">_xlfn.IFS(B2950="Serviço",SUMIFS(H2951:$H$3085,C2951:$C$3085,$C2950),B2950="Insumo",F2950*G2950,B2950="Etapa","")</f>
        <v>0.39125000000000004</v>
      </c>
      <c r="I2950" s="178"/>
    </row>
    <row r="2951" spans="1:9" hidden="1" outlineLevel="2" x14ac:dyDescent="0.25">
      <c r="A2951" s="175">
        <f t="shared" si="100"/>
        <v>8</v>
      </c>
      <c r="B2951" s="175" t="s">
        <v>327</v>
      </c>
      <c r="C2951" s="175" t="str">
        <f t="shared" si="99"/>
        <v>Calha em alumínio - 16 cm</v>
      </c>
      <c r="D2951" s="175" t="s">
        <v>1011</v>
      </c>
      <c r="E2951" s="176" t="str">
        <f>_xlfn.XLOOKUP(D2951,Insumos!$B$1:$B$764,Insumos!$C$1:$C$764)</f>
        <v>KG</v>
      </c>
      <c r="F2951" s="179">
        <v>4.8999999999999998E-3</v>
      </c>
      <c r="G2951" s="177">
        <f>IF(B2951="insumo",_xlfn.XLOOKUP($D2951,Insumos!$B$1:$B$764,Insumos!$D$1:$D$764),"")</f>
        <v>71.510000000000005</v>
      </c>
      <c r="H2951" s="177" cm="1">
        <f t="array" ref="H2951">_xlfn.IFS(B2951="Serviço",SUMIFS(H2952:$H$3085,C2952:$C$3085,$C2951),B2951="Insumo",F2951*G2951,B2951="Etapa","")</f>
        <v>0.35039900000000002</v>
      </c>
      <c r="I2951" s="178"/>
    </row>
    <row r="2952" spans="1:9" hidden="1" outlineLevel="2" x14ac:dyDescent="0.25">
      <c r="A2952" s="175">
        <f t="shared" si="100"/>
        <v>10</v>
      </c>
      <c r="B2952" s="175" t="s">
        <v>327</v>
      </c>
      <c r="C2952" s="175" t="str">
        <f t="shared" si="99"/>
        <v>Calha em alumínio - 16 cm</v>
      </c>
      <c r="D2952" s="175" t="s">
        <v>1012</v>
      </c>
      <c r="E2952" s="176" t="str">
        <f>_xlfn.XLOOKUP(D2952,Insumos!$B$1:$B$764,Insumos!$C$1:$C$764)</f>
        <v>UN</v>
      </c>
      <c r="F2952" s="179">
        <v>0.161</v>
      </c>
      <c r="G2952" s="177">
        <f>IF(B2952="insumo",_xlfn.XLOOKUP($D2952,Insumos!$B$1:$B$764,Insumos!$D$1:$D$764),"")</f>
        <v>31.7</v>
      </c>
      <c r="H2952" s="177" cm="1">
        <f t="array" ref="H2952">_xlfn.IFS(B2952="Serviço",SUMIFS(H2953:$H$3085,C2953:$C$3085,$C2952),B2952="Insumo",F2952*G2952,B2952="Etapa","")</f>
        <v>5.1036999999999999</v>
      </c>
      <c r="I2952" s="178"/>
    </row>
    <row r="2953" spans="1:9" hidden="1" outlineLevel="2" x14ac:dyDescent="0.25">
      <c r="A2953" s="175">
        <f t="shared" si="100"/>
        <v>8</v>
      </c>
      <c r="B2953" s="175" t="s">
        <v>327</v>
      </c>
      <c r="C2953" s="175" t="str">
        <f t="shared" si="99"/>
        <v>Calha em alumínio - 16 cm</v>
      </c>
      <c r="D2953" s="175" t="s">
        <v>1013</v>
      </c>
      <c r="E2953" s="176" t="str">
        <f>_xlfn.XLOOKUP(D2953,Insumos!$B$1:$B$764,Insumos!$C$1:$C$764)</f>
        <v>KG</v>
      </c>
      <c r="F2953" s="179">
        <v>0.18</v>
      </c>
      <c r="G2953" s="177">
        <f>IF(B2953="insumo",_xlfn.XLOOKUP($D2953,Insumos!$B$1:$B$764,Insumos!$D$1:$D$764),"")</f>
        <v>163.07</v>
      </c>
      <c r="H2953" s="177" cm="1">
        <f t="array" ref="H2953">_xlfn.IFS(B2953="Serviço",SUMIFS(H2954:$H$3085,C2954:$C$3085,$C2953),B2953="Insumo",F2953*G2953,B2953="Etapa","")</f>
        <v>29.352599999999999</v>
      </c>
      <c r="I2953" s="178"/>
    </row>
    <row r="2954" spans="1:9" outlineLevel="1" collapsed="1" x14ac:dyDescent="0.25">
      <c r="A2954" s="175">
        <f t="shared" si="100"/>
        <v>1</v>
      </c>
      <c r="B2954" s="175" t="s">
        <v>109</v>
      </c>
      <c r="C2954" s="175" t="str">
        <f t="shared" si="99"/>
        <v>Calha em alumínio - 23,5 cm</v>
      </c>
      <c r="D2954" s="175" t="s">
        <v>1016</v>
      </c>
      <c r="E2954" s="176" t="s">
        <v>25</v>
      </c>
      <c r="F2954" s="175"/>
      <c r="G2954" s="177" t="str">
        <f>IF(B2954="insumo",_xlfn.XLOOKUP($D2954,Insumos!$B$1:$B$764,Insumos!$D$1:$D$764),"")</f>
        <v/>
      </c>
      <c r="H2954" s="177" cm="1">
        <f t="array" ref="H2954">_xlfn.IFS(B2954="Serviço",SUMIFS(H2955:$H$3085,C2955:$C$3085,$C2954),B2954="Insumo",F2954*G2954,B2954="Etapa","")</f>
        <v>72.987448999999998</v>
      </c>
      <c r="I2954" s="178" t="s">
        <v>195</v>
      </c>
    </row>
    <row r="2955" spans="1:9" hidden="1" outlineLevel="2" x14ac:dyDescent="0.25">
      <c r="A2955" s="175">
        <f t="shared" si="100"/>
        <v>1</v>
      </c>
      <c r="B2955" s="175" t="s">
        <v>327</v>
      </c>
      <c r="C2955" s="175" t="str">
        <f t="shared" si="99"/>
        <v>Calha em alumínio - 23,5 cm</v>
      </c>
      <c r="D2955" s="175" t="s">
        <v>1017</v>
      </c>
      <c r="E2955" s="176" t="str">
        <f>_xlfn.XLOOKUP(D2955,Insumos!$B$1:$B$764,Insumos!$C$1:$C$764)</f>
        <v>M</v>
      </c>
      <c r="F2955" s="179">
        <v>1.05</v>
      </c>
      <c r="G2955" s="177">
        <f>IF(B2955="insumo",_xlfn.XLOOKUP($D2955,Insumos!$B$1:$B$764,Insumos!$D$1:$D$764),"")</f>
        <v>35.99</v>
      </c>
      <c r="H2955" s="177" cm="1">
        <f t="array" ref="H2955">_xlfn.IFS(B2955="Serviço",SUMIFS(H2956:$H$3085,C2956:$C$3085,$C2955),B2955="Insumo",F2955*G2955,B2955="Etapa","")</f>
        <v>37.789500000000004</v>
      </c>
      <c r="I2955" s="178"/>
    </row>
    <row r="2956" spans="1:9" hidden="1" outlineLevel="2" x14ac:dyDescent="0.25">
      <c r="A2956" s="175">
        <f t="shared" si="100"/>
        <v>7</v>
      </c>
      <c r="B2956" s="175" t="s">
        <v>327</v>
      </c>
      <c r="C2956" s="175" t="str">
        <f t="shared" si="99"/>
        <v>Calha em alumínio - 23,5 cm</v>
      </c>
      <c r="D2956" s="175" t="s">
        <v>376</v>
      </c>
      <c r="E2956" s="176" t="str">
        <f>_xlfn.XLOOKUP(D2956,Insumos!$B$1:$B$764,Insumos!$C$1:$C$764)</f>
        <v>KG</v>
      </c>
      <c r="F2956" s="179">
        <v>2.5000000000000001E-2</v>
      </c>
      <c r="G2956" s="177">
        <f>IF(B2956="insumo",_xlfn.XLOOKUP($D2956,Insumos!$B$1:$B$764,Insumos!$D$1:$D$764),"")</f>
        <v>15.65</v>
      </c>
      <c r="H2956" s="177" cm="1">
        <f t="array" ref="H2956">_xlfn.IFS(B2956="Serviço",SUMIFS(H2957:$H$3085,C2957:$C$3085,$C2956),B2956="Insumo",F2956*G2956,B2956="Etapa","")</f>
        <v>0.39125000000000004</v>
      </c>
      <c r="I2956" s="178"/>
    </row>
    <row r="2957" spans="1:9" hidden="1" outlineLevel="2" x14ac:dyDescent="0.25">
      <c r="A2957" s="175">
        <f t="shared" si="100"/>
        <v>8</v>
      </c>
      <c r="B2957" s="175" t="s">
        <v>327</v>
      </c>
      <c r="C2957" s="175" t="str">
        <f t="shared" si="99"/>
        <v>Calha em alumínio - 23,5 cm</v>
      </c>
      <c r="D2957" s="175" t="s">
        <v>1011</v>
      </c>
      <c r="E2957" s="176" t="str">
        <f>_xlfn.XLOOKUP(D2957,Insumos!$B$1:$B$764,Insumos!$C$1:$C$764)</f>
        <v>KG</v>
      </c>
      <c r="F2957" s="179">
        <v>4.8999999999999998E-3</v>
      </c>
      <c r="G2957" s="177">
        <f>IF(B2957="insumo",_xlfn.XLOOKUP($D2957,Insumos!$B$1:$B$764,Insumos!$D$1:$D$764),"")</f>
        <v>71.510000000000005</v>
      </c>
      <c r="H2957" s="177" cm="1">
        <f t="array" ref="H2957">_xlfn.IFS(B2957="Serviço",SUMIFS(H2958:$H$3085,C2958:$C$3085,$C2957),B2957="Insumo",F2957*G2957,B2957="Etapa","")</f>
        <v>0.35039900000000002</v>
      </c>
      <c r="I2957" s="178"/>
    </row>
    <row r="2958" spans="1:9" hidden="1" outlineLevel="2" x14ac:dyDescent="0.25">
      <c r="A2958" s="175">
        <f t="shared" si="100"/>
        <v>10</v>
      </c>
      <c r="B2958" s="175" t="s">
        <v>327</v>
      </c>
      <c r="C2958" s="175" t="str">
        <f t="shared" si="99"/>
        <v>Calha em alumínio - 23,5 cm</v>
      </c>
      <c r="D2958" s="175" t="s">
        <v>1012</v>
      </c>
      <c r="E2958" s="176" t="str">
        <f>_xlfn.XLOOKUP(D2958,Insumos!$B$1:$B$764,Insumos!$C$1:$C$764)</f>
        <v>UN</v>
      </c>
      <c r="F2958" s="179">
        <v>0.161</v>
      </c>
      <c r="G2958" s="177">
        <f>IF(B2958="insumo",_xlfn.XLOOKUP($D2958,Insumos!$B$1:$B$764,Insumos!$D$1:$D$764),"")</f>
        <v>31.7</v>
      </c>
      <c r="H2958" s="177" cm="1">
        <f t="array" ref="H2958">_xlfn.IFS(B2958="Serviço",SUMIFS(H2959:$H$3085,C2959:$C$3085,$C2958),B2958="Insumo",F2958*G2958,B2958="Etapa","")</f>
        <v>5.1036999999999999</v>
      </c>
      <c r="I2958" s="178"/>
    </row>
    <row r="2959" spans="1:9" hidden="1" outlineLevel="2" x14ac:dyDescent="0.25">
      <c r="A2959" s="175">
        <f t="shared" si="100"/>
        <v>8</v>
      </c>
      <c r="B2959" s="175" t="s">
        <v>327</v>
      </c>
      <c r="C2959" s="175" t="str">
        <f t="shared" si="99"/>
        <v>Calha em alumínio - 23,5 cm</v>
      </c>
      <c r="D2959" s="175" t="s">
        <v>1013</v>
      </c>
      <c r="E2959" s="176" t="str">
        <f>_xlfn.XLOOKUP(D2959,Insumos!$B$1:$B$764,Insumos!$C$1:$C$764)</f>
        <v>KG</v>
      </c>
      <c r="F2959" s="179">
        <v>0.18</v>
      </c>
      <c r="G2959" s="177">
        <f>IF(B2959="insumo",_xlfn.XLOOKUP($D2959,Insumos!$B$1:$B$764,Insumos!$D$1:$D$764),"")</f>
        <v>163.07</v>
      </c>
      <c r="H2959" s="177" cm="1">
        <f t="array" ref="H2959">_xlfn.IFS(B2959="Serviço",SUMIFS(H2960:$H$3085,C2960:$C$3085,$C2959),B2959="Insumo",F2959*G2959,B2959="Etapa","")</f>
        <v>29.352599999999999</v>
      </c>
      <c r="I2959" s="178"/>
    </row>
    <row r="2960" spans="1:9" outlineLevel="1" collapsed="1" x14ac:dyDescent="0.25">
      <c r="A2960" s="175">
        <f t="shared" si="100"/>
        <v>1</v>
      </c>
      <c r="B2960" s="175" t="s">
        <v>109</v>
      </c>
      <c r="C2960" s="175" t="str">
        <f t="shared" si="99"/>
        <v>Calha em alumínio - 30x30</v>
      </c>
      <c r="D2960" s="175" t="s">
        <v>1018</v>
      </c>
      <c r="E2960" s="176" t="s">
        <v>25</v>
      </c>
      <c r="F2960" s="175"/>
      <c r="G2960" s="177" t="str">
        <f>IF(B2960="insumo",_xlfn.XLOOKUP($D2960,Insumos!$B$1:$B$764,Insumos!$D$1:$D$764),"")</f>
        <v/>
      </c>
      <c r="H2960" s="177" cm="1">
        <f t="array" ref="H2960">_xlfn.IFS(B2960="Serviço",SUMIFS(H2961:$H$3085,C2961:$C$3085,$C2960),B2960="Insumo",F2960*G2960,B2960="Etapa","")</f>
        <v>84.197948999999994</v>
      </c>
      <c r="I2960" s="178" t="s">
        <v>195</v>
      </c>
    </row>
    <row r="2961" spans="1:9" hidden="1" outlineLevel="2" x14ac:dyDescent="0.25">
      <c r="A2961" s="175">
        <f t="shared" si="100"/>
        <v>1</v>
      </c>
      <c r="B2961" s="175" t="s">
        <v>327</v>
      </c>
      <c r="C2961" s="175" t="str">
        <f t="shared" si="99"/>
        <v>Calha em alumínio - 30x30</v>
      </c>
      <c r="D2961" s="175" t="s">
        <v>1019</v>
      </c>
      <c r="E2961" s="176" t="str">
        <f>_xlfn.XLOOKUP(D2961,Insumos!$B$1:$B$764,Insumos!$C$1:$C$764)</f>
        <v>M</v>
      </c>
      <c r="F2961" s="179">
        <v>1.05</v>
      </c>
      <c r="G2961" s="177">
        <f>IF(B2961="insumo",_xlfn.XLOOKUP($D2961,Insumos!$B$1:$B$764,Insumos!$D$1:$D$764),"")</f>
        <v>46.666666666666664</v>
      </c>
      <c r="H2961" s="177" cm="1">
        <f t="array" ref="H2961">_xlfn.IFS(B2961="Serviço",SUMIFS(H2962:$H$3085,C2962:$C$3085,$C2961),B2961="Insumo",F2961*G2961,B2961="Etapa","")</f>
        <v>49</v>
      </c>
      <c r="I2961" s="178"/>
    </row>
    <row r="2962" spans="1:9" hidden="1" outlineLevel="2" x14ac:dyDescent="0.25">
      <c r="A2962" s="175">
        <f t="shared" si="100"/>
        <v>7</v>
      </c>
      <c r="B2962" s="175" t="s">
        <v>327</v>
      </c>
      <c r="C2962" s="175" t="str">
        <f t="shared" si="99"/>
        <v>Calha em alumínio - 30x30</v>
      </c>
      <c r="D2962" s="175" t="s">
        <v>376</v>
      </c>
      <c r="E2962" s="176" t="str">
        <f>_xlfn.XLOOKUP(D2962,Insumos!$B$1:$B$764,Insumos!$C$1:$C$764)</f>
        <v>KG</v>
      </c>
      <c r="F2962" s="179">
        <v>2.5000000000000001E-2</v>
      </c>
      <c r="G2962" s="177">
        <f>IF(B2962="insumo",_xlfn.XLOOKUP($D2962,Insumos!$B$1:$B$764,Insumos!$D$1:$D$764),"")</f>
        <v>15.65</v>
      </c>
      <c r="H2962" s="177" cm="1">
        <f t="array" ref="H2962">_xlfn.IFS(B2962="Serviço",SUMIFS(H2963:$H$3085,C2963:$C$3085,$C2962),B2962="Insumo",F2962*G2962,B2962="Etapa","")</f>
        <v>0.39125000000000004</v>
      </c>
      <c r="I2962" s="178"/>
    </row>
    <row r="2963" spans="1:9" hidden="1" outlineLevel="2" x14ac:dyDescent="0.25">
      <c r="A2963" s="175">
        <f t="shared" si="100"/>
        <v>8</v>
      </c>
      <c r="B2963" s="175" t="s">
        <v>327</v>
      </c>
      <c r="C2963" s="175" t="str">
        <f t="shared" si="99"/>
        <v>Calha em alumínio - 30x30</v>
      </c>
      <c r="D2963" s="175" t="s">
        <v>1011</v>
      </c>
      <c r="E2963" s="176" t="str">
        <f>_xlfn.XLOOKUP(D2963,Insumos!$B$1:$B$764,Insumos!$C$1:$C$764)</f>
        <v>KG</v>
      </c>
      <c r="F2963" s="179">
        <v>4.8999999999999998E-3</v>
      </c>
      <c r="G2963" s="177">
        <f>IF(B2963="insumo",_xlfn.XLOOKUP($D2963,Insumos!$B$1:$B$764,Insumos!$D$1:$D$764),"")</f>
        <v>71.510000000000005</v>
      </c>
      <c r="H2963" s="177" cm="1">
        <f t="array" ref="H2963">_xlfn.IFS(B2963="Serviço",SUMIFS(H2964:$H$3085,C2964:$C$3085,$C2963),B2963="Insumo",F2963*G2963,B2963="Etapa","")</f>
        <v>0.35039900000000002</v>
      </c>
      <c r="I2963" s="178"/>
    </row>
    <row r="2964" spans="1:9" hidden="1" outlineLevel="2" x14ac:dyDescent="0.25">
      <c r="A2964" s="175">
        <f t="shared" si="100"/>
        <v>10</v>
      </c>
      <c r="B2964" s="175" t="s">
        <v>327</v>
      </c>
      <c r="C2964" s="175" t="str">
        <f t="shared" si="99"/>
        <v>Calha em alumínio - 30x30</v>
      </c>
      <c r="D2964" s="175" t="s">
        <v>1012</v>
      </c>
      <c r="E2964" s="176" t="str">
        <f>_xlfn.XLOOKUP(D2964,Insumos!$B$1:$B$764,Insumos!$C$1:$C$764)</f>
        <v>UN</v>
      </c>
      <c r="F2964" s="179">
        <v>0.161</v>
      </c>
      <c r="G2964" s="177">
        <f>IF(B2964="insumo",_xlfn.XLOOKUP($D2964,Insumos!$B$1:$B$764,Insumos!$D$1:$D$764),"")</f>
        <v>31.7</v>
      </c>
      <c r="H2964" s="177" cm="1">
        <f t="array" ref="H2964">_xlfn.IFS(B2964="Serviço",SUMIFS(H2965:$H$3085,C2965:$C$3085,$C2964),B2964="Insumo",F2964*G2964,B2964="Etapa","")</f>
        <v>5.1036999999999999</v>
      </c>
      <c r="I2964" s="178"/>
    </row>
    <row r="2965" spans="1:9" hidden="1" outlineLevel="2" x14ac:dyDescent="0.25">
      <c r="A2965" s="175">
        <f t="shared" si="100"/>
        <v>8</v>
      </c>
      <c r="B2965" s="175" t="s">
        <v>327</v>
      </c>
      <c r="C2965" s="175" t="str">
        <f t="shared" si="99"/>
        <v>Calha em alumínio - 30x30</v>
      </c>
      <c r="D2965" s="175" t="s">
        <v>1013</v>
      </c>
      <c r="E2965" s="176" t="str">
        <f>_xlfn.XLOOKUP(D2965,Insumos!$B$1:$B$764,Insumos!$C$1:$C$764)</f>
        <v>KG</v>
      </c>
      <c r="F2965" s="179">
        <v>0.18</v>
      </c>
      <c r="G2965" s="177">
        <f>IF(B2965="insumo",_xlfn.XLOOKUP($D2965,Insumos!$B$1:$B$764,Insumos!$D$1:$D$764),"")</f>
        <v>163.07</v>
      </c>
      <c r="H2965" s="177" cm="1">
        <f t="array" ref="H2965">_xlfn.IFS(B2965="Serviço",SUMIFS(H2966:$H$3085,C2966:$C$3085,$C2965),B2965="Insumo",F2965*G2965,B2965="Etapa","")</f>
        <v>29.352599999999999</v>
      </c>
      <c r="I2965" s="178"/>
    </row>
    <row r="2966" spans="1:9" outlineLevel="1" collapsed="1" x14ac:dyDescent="0.25">
      <c r="A2966" s="175">
        <f t="shared" si="100"/>
        <v>1</v>
      </c>
      <c r="B2966" s="175" t="s">
        <v>109</v>
      </c>
      <c r="C2966" s="175" t="str">
        <f t="shared" si="99"/>
        <v>Calha em alumínio - 40 cm</v>
      </c>
      <c r="D2966" s="175" t="s">
        <v>1987</v>
      </c>
      <c r="E2966" s="176" t="s">
        <v>25</v>
      </c>
      <c r="F2966" s="175"/>
      <c r="G2966" s="177" t="str">
        <f>IF(B2966="insumo",_xlfn.XLOOKUP($D2966,Insumos!$B$1:$B$764,Insumos!$D$1:$D$764),"")</f>
        <v/>
      </c>
      <c r="H2966" s="177" cm="1">
        <f t="array" ref="H2966">_xlfn.IFS(B2966="Serviço",SUMIFS(H2967:$H$3085,C2967:$C$3085,$C2966),B2966="Insumo",F2966*G2966,B2966="Etapa","")</f>
        <v>117.727949</v>
      </c>
      <c r="I2966" s="178" t="s">
        <v>195</v>
      </c>
    </row>
    <row r="2967" spans="1:9" hidden="1" outlineLevel="2" x14ac:dyDescent="0.25">
      <c r="A2967" s="175">
        <f t="shared" si="100"/>
        <v>1</v>
      </c>
      <c r="B2967" s="175" t="s">
        <v>327</v>
      </c>
      <c r="C2967" s="175" t="str">
        <f t="shared" si="99"/>
        <v>Calha em alumínio - 40 cm</v>
      </c>
      <c r="D2967" s="175" t="s">
        <v>1988</v>
      </c>
      <c r="E2967" s="176" t="str">
        <f>_xlfn.XLOOKUP(D2967,Insumos!$B$1:$B$764,Insumos!$C$1:$C$764)</f>
        <v>M</v>
      </c>
      <c r="F2967" s="179">
        <v>1.05</v>
      </c>
      <c r="G2967" s="177">
        <f>IF(B2967="insumo",_xlfn.XLOOKUP($D2967,Insumos!$B$1:$B$764,Insumos!$D$1:$D$764),"")</f>
        <v>78.599999999999994</v>
      </c>
      <c r="H2967" s="177" cm="1">
        <f t="array" ref="H2967">_xlfn.IFS(B2967="Serviço",SUMIFS(H2968:$H$3085,C2968:$C$3085,$C2967),B2967="Insumo",F2967*G2967,B2967="Etapa","")</f>
        <v>82.53</v>
      </c>
      <c r="I2967" s="178"/>
    </row>
    <row r="2968" spans="1:9" hidden="1" outlineLevel="2" x14ac:dyDescent="0.25">
      <c r="A2968" s="175">
        <f t="shared" si="100"/>
        <v>7</v>
      </c>
      <c r="B2968" s="175" t="s">
        <v>327</v>
      </c>
      <c r="C2968" s="175" t="str">
        <f t="shared" si="99"/>
        <v>Calha em alumínio - 40 cm</v>
      </c>
      <c r="D2968" s="175" t="s">
        <v>376</v>
      </c>
      <c r="E2968" s="176" t="str">
        <f>_xlfn.XLOOKUP(D2968,Insumos!$B$1:$B$764,Insumos!$C$1:$C$764)</f>
        <v>KG</v>
      </c>
      <c r="F2968" s="179">
        <v>2.5000000000000001E-2</v>
      </c>
      <c r="G2968" s="177">
        <f>IF(B2968="insumo",_xlfn.XLOOKUP($D2968,Insumos!$B$1:$B$764,Insumos!$D$1:$D$764),"")</f>
        <v>15.65</v>
      </c>
      <c r="H2968" s="177" cm="1">
        <f t="array" ref="H2968">_xlfn.IFS(B2968="Serviço",SUMIFS(H2969:$H$3085,C2969:$C$3085,$C2968),B2968="Insumo",F2968*G2968,B2968="Etapa","")</f>
        <v>0.39125000000000004</v>
      </c>
      <c r="I2968" s="178"/>
    </row>
    <row r="2969" spans="1:9" hidden="1" outlineLevel="2" x14ac:dyDescent="0.25">
      <c r="A2969" s="175">
        <f t="shared" si="100"/>
        <v>8</v>
      </c>
      <c r="B2969" s="175" t="s">
        <v>327</v>
      </c>
      <c r="C2969" s="175" t="str">
        <f t="shared" si="99"/>
        <v>Calha em alumínio - 40 cm</v>
      </c>
      <c r="D2969" s="175" t="s">
        <v>1011</v>
      </c>
      <c r="E2969" s="176" t="str">
        <f>_xlfn.XLOOKUP(D2969,Insumos!$B$1:$B$764,Insumos!$C$1:$C$764)</f>
        <v>KG</v>
      </c>
      <c r="F2969" s="179">
        <v>4.8999999999999998E-3</v>
      </c>
      <c r="G2969" s="177">
        <f>IF(B2969="insumo",_xlfn.XLOOKUP($D2969,Insumos!$B$1:$B$764,Insumos!$D$1:$D$764),"")</f>
        <v>71.510000000000005</v>
      </c>
      <c r="H2969" s="177" cm="1">
        <f t="array" ref="H2969">_xlfn.IFS(B2969="Serviço",SUMIFS(H2970:$H$3085,C2970:$C$3085,$C2969),B2969="Insumo",F2969*G2969,B2969="Etapa","")</f>
        <v>0.35039900000000002</v>
      </c>
      <c r="I2969" s="178"/>
    </row>
    <row r="2970" spans="1:9" hidden="1" outlineLevel="2" x14ac:dyDescent="0.25">
      <c r="A2970" s="175">
        <f t="shared" si="100"/>
        <v>10</v>
      </c>
      <c r="B2970" s="175" t="s">
        <v>327</v>
      </c>
      <c r="C2970" s="175" t="str">
        <f t="shared" si="99"/>
        <v>Calha em alumínio - 40 cm</v>
      </c>
      <c r="D2970" s="175" t="s">
        <v>1012</v>
      </c>
      <c r="E2970" s="176" t="str">
        <f>_xlfn.XLOOKUP(D2970,Insumos!$B$1:$B$764,Insumos!$C$1:$C$764)</f>
        <v>UN</v>
      </c>
      <c r="F2970" s="179">
        <v>0.161</v>
      </c>
      <c r="G2970" s="177">
        <f>IF(B2970="insumo",_xlfn.XLOOKUP($D2970,Insumos!$B$1:$B$764,Insumos!$D$1:$D$764),"")</f>
        <v>31.7</v>
      </c>
      <c r="H2970" s="177" cm="1">
        <f t="array" ref="H2970">_xlfn.IFS(B2970="Serviço",SUMIFS(H2971:$H$3085,C2971:$C$3085,$C2970),B2970="Insumo",F2970*G2970,B2970="Etapa","")</f>
        <v>5.1036999999999999</v>
      </c>
      <c r="I2970" s="178"/>
    </row>
    <row r="2971" spans="1:9" hidden="1" outlineLevel="2" x14ac:dyDescent="0.25">
      <c r="A2971" s="175">
        <f t="shared" si="100"/>
        <v>8</v>
      </c>
      <c r="B2971" s="175" t="s">
        <v>327</v>
      </c>
      <c r="C2971" s="175" t="str">
        <f t="shared" si="99"/>
        <v>Calha em alumínio - 40 cm</v>
      </c>
      <c r="D2971" s="175" t="s">
        <v>1013</v>
      </c>
      <c r="E2971" s="176" t="str">
        <f>_xlfn.XLOOKUP(D2971,Insumos!$B$1:$B$764,Insumos!$C$1:$C$764)</f>
        <v>KG</v>
      </c>
      <c r="F2971" s="179">
        <v>0.18</v>
      </c>
      <c r="G2971" s="177">
        <f>IF(B2971="insumo",_xlfn.XLOOKUP($D2971,Insumos!$B$1:$B$764,Insumos!$D$1:$D$764),"")</f>
        <v>163.07</v>
      </c>
      <c r="H2971" s="177" cm="1">
        <f t="array" ref="H2971">_xlfn.IFS(B2971="Serviço",SUMIFS(H2972:$H$3085,C2972:$C$3085,$C2971),B2971="Insumo",F2971*G2971,B2971="Etapa","")</f>
        <v>29.352599999999999</v>
      </c>
      <c r="I2971" s="178"/>
    </row>
    <row r="2972" spans="1:9" outlineLevel="1" collapsed="1" x14ac:dyDescent="0.25">
      <c r="A2972" s="175">
        <f t="shared" si="100"/>
        <v>1</v>
      </c>
      <c r="B2972" s="175" t="s">
        <v>109</v>
      </c>
      <c r="C2972" s="175" t="str">
        <f t="shared" si="99"/>
        <v>Calha em alumínio - 94x94</v>
      </c>
      <c r="D2972" s="175" t="s">
        <v>1020</v>
      </c>
      <c r="E2972" s="176" t="s">
        <v>25</v>
      </c>
      <c r="F2972" s="175"/>
      <c r="G2972" s="177" t="str">
        <f>IF(B2972="insumo",_xlfn.XLOOKUP($D2972,Insumos!$B$1:$B$764,Insumos!$D$1:$D$764),"")</f>
        <v/>
      </c>
      <c r="H2972" s="177" cm="1">
        <f t="array" ref="H2972">_xlfn.IFS(B2972="Serviço",SUMIFS(H2973:$H$3085,C2973:$C$3085,$C2972),B2972="Insumo",F2972*G2972,B2972="Etapa","")</f>
        <v>98.162948999999998</v>
      </c>
      <c r="I2972" s="178" t="s">
        <v>195</v>
      </c>
    </row>
    <row r="2973" spans="1:9" hidden="1" outlineLevel="2" x14ac:dyDescent="0.25">
      <c r="A2973" s="175">
        <f t="shared" si="100"/>
        <v>1</v>
      </c>
      <c r="B2973" s="175" t="s">
        <v>327</v>
      </c>
      <c r="C2973" s="175" t="str">
        <f t="shared" si="99"/>
        <v>Calha em alumínio - 94x94</v>
      </c>
      <c r="D2973" s="175" t="s">
        <v>1020</v>
      </c>
      <c r="E2973" s="176" t="str">
        <f>_xlfn.XLOOKUP(D2973,Insumos!$B$1:$B$764,Insumos!$C$1:$C$764)</f>
        <v>M</v>
      </c>
      <c r="F2973" s="179">
        <v>1.05</v>
      </c>
      <c r="G2973" s="177">
        <f>IF(B2973="insumo",_xlfn.XLOOKUP($D2973,Insumos!$B$1:$B$764,Insumos!$D$1:$D$764),"")</f>
        <v>59.966666666666669</v>
      </c>
      <c r="H2973" s="177" cm="1">
        <f t="array" ref="H2973">_xlfn.IFS(B2973="Serviço",SUMIFS(H2974:$H$3085,C2974:$C$3085,$C2973),B2973="Insumo",F2973*G2973,B2973="Etapa","")</f>
        <v>62.965000000000003</v>
      </c>
      <c r="I2973" s="178"/>
    </row>
    <row r="2974" spans="1:9" hidden="1" outlineLevel="2" x14ac:dyDescent="0.25">
      <c r="A2974" s="175">
        <f t="shared" si="100"/>
        <v>7</v>
      </c>
      <c r="B2974" s="175" t="s">
        <v>327</v>
      </c>
      <c r="C2974" s="175" t="str">
        <f t="shared" si="99"/>
        <v>Calha em alumínio - 94x94</v>
      </c>
      <c r="D2974" s="175" t="s">
        <v>376</v>
      </c>
      <c r="E2974" s="176" t="str">
        <f>_xlfn.XLOOKUP(D2974,Insumos!$B$1:$B$764,Insumos!$C$1:$C$764)</f>
        <v>KG</v>
      </c>
      <c r="F2974" s="179">
        <v>2.5000000000000001E-2</v>
      </c>
      <c r="G2974" s="177">
        <f>IF(B2974="insumo",_xlfn.XLOOKUP($D2974,Insumos!$B$1:$B$764,Insumos!$D$1:$D$764),"")</f>
        <v>15.65</v>
      </c>
      <c r="H2974" s="177" cm="1">
        <f t="array" ref="H2974">_xlfn.IFS(B2974="Serviço",SUMIFS(H2975:$H$3085,C2975:$C$3085,$C2974),B2974="Insumo",F2974*G2974,B2974="Etapa","")</f>
        <v>0.39125000000000004</v>
      </c>
      <c r="I2974" s="178"/>
    </row>
    <row r="2975" spans="1:9" hidden="1" outlineLevel="2" x14ac:dyDescent="0.25">
      <c r="A2975" s="175">
        <f t="shared" si="100"/>
        <v>8</v>
      </c>
      <c r="B2975" s="175" t="s">
        <v>327</v>
      </c>
      <c r="C2975" s="175" t="str">
        <f t="shared" si="99"/>
        <v>Calha em alumínio - 94x94</v>
      </c>
      <c r="D2975" s="175" t="s">
        <v>1011</v>
      </c>
      <c r="E2975" s="176" t="str">
        <f>_xlfn.XLOOKUP(D2975,Insumos!$B$1:$B$764,Insumos!$C$1:$C$764)</f>
        <v>KG</v>
      </c>
      <c r="F2975" s="179">
        <v>4.8999999999999998E-3</v>
      </c>
      <c r="G2975" s="177">
        <f>IF(B2975="insumo",_xlfn.XLOOKUP($D2975,Insumos!$B$1:$B$764,Insumos!$D$1:$D$764),"")</f>
        <v>71.510000000000005</v>
      </c>
      <c r="H2975" s="177" cm="1">
        <f t="array" ref="H2975">_xlfn.IFS(B2975="Serviço",SUMIFS(H2976:$H$3085,C2976:$C$3085,$C2975),B2975="Insumo",F2975*G2975,B2975="Etapa","")</f>
        <v>0.35039900000000002</v>
      </c>
      <c r="I2975" s="178"/>
    </row>
    <row r="2976" spans="1:9" hidden="1" outlineLevel="2" x14ac:dyDescent="0.25">
      <c r="A2976" s="175">
        <f t="shared" si="100"/>
        <v>10</v>
      </c>
      <c r="B2976" s="175" t="s">
        <v>327</v>
      </c>
      <c r="C2976" s="175" t="str">
        <f t="shared" si="99"/>
        <v>Calha em alumínio - 94x94</v>
      </c>
      <c r="D2976" s="175" t="s">
        <v>1012</v>
      </c>
      <c r="E2976" s="176" t="str">
        <f>_xlfn.XLOOKUP(D2976,Insumos!$B$1:$B$764,Insumos!$C$1:$C$764)</f>
        <v>UN</v>
      </c>
      <c r="F2976" s="179">
        <v>0.161</v>
      </c>
      <c r="G2976" s="177">
        <f>IF(B2976="insumo",_xlfn.XLOOKUP($D2976,Insumos!$B$1:$B$764,Insumos!$D$1:$D$764),"")</f>
        <v>31.7</v>
      </c>
      <c r="H2976" s="177" cm="1">
        <f t="array" ref="H2976">_xlfn.IFS(B2976="Serviço",SUMIFS(H2977:$H$3085,C2977:$C$3085,$C2976),B2976="Insumo",F2976*G2976,B2976="Etapa","")</f>
        <v>5.1036999999999999</v>
      </c>
      <c r="I2976" s="178"/>
    </row>
    <row r="2977" spans="1:9" hidden="1" outlineLevel="2" x14ac:dyDescent="0.25">
      <c r="A2977" s="175">
        <f t="shared" si="100"/>
        <v>8</v>
      </c>
      <c r="B2977" s="175" t="s">
        <v>327</v>
      </c>
      <c r="C2977" s="175" t="str">
        <f t="shared" si="99"/>
        <v>Calha em alumínio - 94x94</v>
      </c>
      <c r="D2977" s="175" t="s">
        <v>1013</v>
      </c>
      <c r="E2977" s="176" t="str">
        <f>_xlfn.XLOOKUP(D2977,Insumos!$B$1:$B$764,Insumos!$C$1:$C$764)</f>
        <v>KG</v>
      </c>
      <c r="F2977" s="179">
        <v>0.18</v>
      </c>
      <c r="G2977" s="177">
        <f>IF(B2977="insumo",_xlfn.XLOOKUP($D2977,Insumos!$B$1:$B$764,Insumos!$D$1:$D$764),"")</f>
        <v>163.07</v>
      </c>
      <c r="H2977" s="177" cm="1">
        <f t="array" ref="H2977">_xlfn.IFS(B2977="Serviço",SUMIFS(H2978:$H$3085,C2978:$C$3085,$C2977),B2977="Insumo",F2977*G2977,B2977="Etapa","")</f>
        <v>29.352599999999999</v>
      </c>
      <c r="I2977" s="178"/>
    </row>
    <row r="2978" spans="1:9" outlineLevel="1" x14ac:dyDescent="0.25">
      <c r="A2978" s="175">
        <f t="shared" si="100"/>
        <v>1</v>
      </c>
      <c r="B2978" s="175" t="s">
        <v>109</v>
      </c>
      <c r="C2978" s="175" t="str">
        <f t="shared" si="99"/>
        <v>Rufo em alumínio - m2</v>
      </c>
      <c r="D2978" s="175" t="s">
        <v>2846</v>
      </c>
      <c r="E2978" s="176" t="s">
        <v>25</v>
      </c>
      <c r="F2978" s="175"/>
      <c r="G2978" s="177" t="str">
        <f>IF(B2978="insumo",_xlfn.XLOOKUP($D2978,Insumos!$B$1:$B$764,Insumos!$D$1:$D$764),"")</f>
        <v/>
      </c>
      <c r="H2978" s="177" cm="1">
        <f t="array" ref="H2978">_xlfn.IFS(B2978="Serviço",SUMIFS(H2979:$H$3085,C2979:$C$3085,$C2978),B2978="Insumo",F2978*G2978,B2978="Etapa","")</f>
        <v>172.40224800000001</v>
      </c>
      <c r="I2978" s="178" t="s">
        <v>195</v>
      </c>
    </row>
    <row r="2979" spans="1:9" outlineLevel="2" x14ac:dyDescent="0.25">
      <c r="A2979" s="175">
        <f t="shared" si="100"/>
        <v>8</v>
      </c>
      <c r="B2979" s="175" t="s">
        <v>327</v>
      </c>
      <c r="C2979" s="175" t="str">
        <f t="shared" si="99"/>
        <v>Rufo em alumínio - m2</v>
      </c>
      <c r="D2979" s="175" t="s">
        <v>1011</v>
      </c>
      <c r="E2979" s="176" t="str">
        <f>_xlfn.XLOOKUP(D2979,Insumos!$B$1:$B$764,Insumos!$C$1:$C$764)</f>
        <v>KG</v>
      </c>
      <c r="F2979" s="179">
        <v>4.7999999999999996E-3</v>
      </c>
      <c r="G2979" s="177">
        <f>IF(B2979="insumo",_xlfn.XLOOKUP($D2979,Insumos!$B$1:$B$764,Insumos!$D$1:$D$764),"")</f>
        <v>71.510000000000005</v>
      </c>
      <c r="H2979" s="177" cm="1">
        <f t="array" ref="H2979">_xlfn.IFS(B2979="Serviço",SUMIFS(H2980:$H$3085,C2980:$C$3085,$C2979),B2979="Insumo",F2979*G2979,B2979="Etapa","")</f>
        <v>0.343248</v>
      </c>
      <c r="I2979" s="178"/>
    </row>
    <row r="2980" spans="1:9" outlineLevel="2" x14ac:dyDescent="0.25">
      <c r="A2980" s="175">
        <f t="shared" si="100"/>
        <v>2</v>
      </c>
      <c r="B2980" s="175" t="s">
        <v>327</v>
      </c>
      <c r="C2980" s="175" t="str">
        <f t="shared" si="99"/>
        <v>Rufo em alumínio - m2</v>
      </c>
      <c r="D2980" s="175" t="s">
        <v>1021</v>
      </c>
      <c r="E2980" s="176" t="str">
        <f>_xlfn.XLOOKUP(D2980,Insumos!$B$1:$B$764,Insumos!$C$1:$C$764)</f>
        <v>M</v>
      </c>
      <c r="F2980" s="179">
        <v>4.2</v>
      </c>
      <c r="G2980" s="177">
        <f>IF(B2980="insumo",_xlfn.XLOOKUP($D2980,Insumos!$B$1:$B$764,Insumos!$D$1:$D$764),"")</f>
        <v>28</v>
      </c>
      <c r="H2980" s="177" cm="1">
        <f t="array" ref="H2980">_xlfn.IFS(B2980="Serviço",SUMIFS(H2981:$H$3085,C2981:$C$3085,$C2980),B2980="Insumo",F2980*G2980,B2980="Etapa","")</f>
        <v>117.60000000000001</v>
      </c>
      <c r="I2980" s="178"/>
    </row>
    <row r="2981" spans="1:9" outlineLevel="2" x14ac:dyDescent="0.25">
      <c r="A2981" s="175">
        <f t="shared" si="100"/>
        <v>10</v>
      </c>
      <c r="B2981" s="175" t="s">
        <v>327</v>
      </c>
      <c r="C2981" s="175" t="str">
        <f t="shared" si="99"/>
        <v>Rufo em alumínio - m2</v>
      </c>
      <c r="D2981" s="175" t="s">
        <v>1012</v>
      </c>
      <c r="E2981" s="176" t="str">
        <f>_xlfn.XLOOKUP(D2981,Insumos!$B$1:$B$764,Insumos!$C$1:$C$764)</f>
        <v>UN</v>
      </c>
      <c r="F2981" s="179">
        <v>0.79200000000000004</v>
      </c>
      <c r="G2981" s="177">
        <f>IF(B2981="insumo",_xlfn.XLOOKUP($D2981,Insumos!$B$1:$B$764,Insumos!$D$1:$D$764),"")</f>
        <v>31.7</v>
      </c>
      <c r="H2981" s="177" cm="1">
        <f t="array" ref="H2981">_xlfn.IFS(B2981="Serviço",SUMIFS(H2982:$H$3085,C2982:$C$3085,$C2981),B2981="Insumo",F2981*G2981,B2981="Etapa","")</f>
        <v>25.106400000000001</v>
      </c>
      <c r="I2981" s="178"/>
    </row>
    <row r="2982" spans="1:9" outlineLevel="2" x14ac:dyDescent="0.25">
      <c r="A2982" s="175">
        <f t="shared" si="100"/>
        <v>8</v>
      </c>
      <c r="B2982" s="175" t="s">
        <v>327</v>
      </c>
      <c r="C2982" s="175" t="str">
        <f t="shared" si="99"/>
        <v>Rufo em alumínio - m2</v>
      </c>
      <c r="D2982" s="175" t="s">
        <v>1013</v>
      </c>
      <c r="E2982" s="176" t="str">
        <f>_xlfn.XLOOKUP(D2982,Insumos!$B$1:$B$764,Insumos!$C$1:$C$764)</f>
        <v>KG</v>
      </c>
      <c r="F2982" s="179">
        <v>0.18</v>
      </c>
      <c r="G2982" s="177">
        <f>IF(B2982="insumo",_xlfn.XLOOKUP($D2982,Insumos!$B$1:$B$764,Insumos!$D$1:$D$764),"")</f>
        <v>163.07</v>
      </c>
      <c r="H2982" s="177" cm="1">
        <f t="array" ref="H2982">_xlfn.IFS(B2982="Serviço",SUMIFS(H2983:$H$3085,C2983:$C$3085,$C2982),B2982="Insumo",F2982*G2982,B2982="Etapa","")</f>
        <v>29.352599999999999</v>
      </c>
      <c r="I2982" s="178"/>
    </row>
    <row r="2983" spans="1:9" outlineLevel="1" collapsed="1" x14ac:dyDescent="0.25">
      <c r="A2983" s="175">
        <f t="shared" si="100"/>
        <v>1</v>
      </c>
      <c r="B2983" s="175" t="s">
        <v>109</v>
      </c>
      <c r="C2983" s="175" t="str">
        <f t="shared" si="99"/>
        <v>Rufo em alumínio</v>
      </c>
      <c r="D2983" s="175" t="s">
        <v>270</v>
      </c>
      <c r="E2983" s="176" t="s">
        <v>25</v>
      </c>
      <c r="F2983" s="175"/>
      <c r="G2983" s="177" t="str">
        <f>IF(B2983="insumo",_xlfn.XLOOKUP($D2983,Insumos!$B$1:$B$764,Insumos!$D$1:$D$764),"")</f>
        <v/>
      </c>
      <c r="H2983" s="177" cm="1">
        <f t="array" ref="H2983">_xlfn.IFS(B2983="Serviço",SUMIFS(H2984:$H$3085,C2984:$C$3085,$C2983),B2983="Insumo",F2983*G2983,B2983="Etapa","")</f>
        <v>43.100562000000004</v>
      </c>
      <c r="I2983" s="178" t="s">
        <v>195</v>
      </c>
    </row>
    <row r="2984" spans="1:9" hidden="1" outlineLevel="2" x14ac:dyDescent="0.25">
      <c r="A2984" s="175">
        <f t="shared" si="100"/>
        <v>8</v>
      </c>
      <c r="B2984" s="175" t="s">
        <v>327</v>
      </c>
      <c r="C2984" s="175" t="str">
        <f t="shared" si="99"/>
        <v>Rufo em alumínio</v>
      </c>
      <c r="D2984" s="175" t="s">
        <v>1011</v>
      </c>
      <c r="E2984" s="176" t="str">
        <f>_xlfn.XLOOKUP(D2984,Insumos!$B$1:$B$764,Insumos!$C$1:$C$764)</f>
        <v>KG</v>
      </c>
      <c r="F2984" s="179">
        <v>1.1999999999999999E-3</v>
      </c>
      <c r="G2984" s="177">
        <f>IF(B2984="insumo",_xlfn.XLOOKUP($D2984,Insumos!$B$1:$B$764,Insumos!$D$1:$D$764),"")</f>
        <v>71.510000000000005</v>
      </c>
      <c r="H2984" s="177" cm="1">
        <f t="array" ref="H2984">_xlfn.IFS(B2984="Serviço",SUMIFS(H2985:$H$3085,C2985:$C$3085,$C2984),B2984="Insumo",F2984*G2984,B2984="Etapa","")</f>
        <v>8.5811999999999999E-2</v>
      </c>
      <c r="I2984" s="178"/>
    </row>
    <row r="2985" spans="1:9" hidden="1" outlineLevel="2" x14ac:dyDescent="0.25">
      <c r="A2985" s="175">
        <f t="shared" si="100"/>
        <v>2</v>
      </c>
      <c r="B2985" s="175" t="s">
        <v>327</v>
      </c>
      <c r="C2985" s="175" t="str">
        <f t="shared" si="99"/>
        <v>Rufo em alumínio</v>
      </c>
      <c r="D2985" s="175" t="s">
        <v>1021</v>
      </c>
      <c r="E2985" s="176" t="str">
        <f>_xlfn.XLOOKUP(D2985,Insumos!$B$1:$B$764,Insumos!$C$1:$C$764)</f>
        <v>M</v>
      </c>
      <c r="F2985" s="179">
        <v>1.05</v>
      </c>
      <c r="G2985" s="177">
        <f>IF(B2985="insumo",_xlfn.XLOOKUP($D2985,Insumos!$B$1:$B$764,Insumos!$D$1:$D$764),"")</f>
        <v>28</v>
      </c>
      <c r="H2985" s="177" cm="1">
        <f t="array" ref="H2985">_xlfn.IFS(B2985="Serviço",SUMIFS(H2986:$H$3085,C2986:$C$3085,$C2985),B2985="Insumo",F2985*G2985,B2985="Etapa","")</f>
        <v>29.400000000000002</v>
      </c>
      <c r="I2985" s="178"/>
    </row>
    <row r="2986" spans="1:9" hidden="1" outlineLevel="2" x14ac:dyDescent="0.25">
      <c r="A2986" s="175">
        <f t="shared" si="100"/>
        <v>10</v>
      </c>
      <c r="B2986" s="175" t="s">
        <v>327</v>
      </c>
      <c r="C2986" s="175" t="str">
        <f t="shared" si="99"/>
        <v>Rufo em alumínio</v>
      </c>
      <c r="D2986" s="175" t="s">
        <v>1012</v>
      </c>
      <c r="E2986" s="176" t="str">
        <f>_xlfn.XLOOKUP(D2986,Insumos!$B$1:$B$764,Insumos!$C$1:$C$764)</f>
        <v>UN</v>
      </c>
      <c r="F2986" s="179">
        <v>0.19800000000000001</v>
      </c>
      <c r="G2986" s="177">
        <f>IF(B2986="insumo",_xlfn.XLOOKUP($D2986,Insumos!$B$1:$B$764,Insumos!$D$1:$D$764),"")</f>
        <v>31.7</v>
      </c>
      <c r="H2986" s="177" cm="1">
        <f t="array" ref="H2986">_xlfn.IFS(B2986="Serviço",SUMIFS(H2987:$H$3085,C2987:$C$3085,$C2986),B2986="Insumo",F2986*G2986,B2986="Etapa","")</f>
        <v>6.2766000000000002</v>
      </c>
      <c r="I2986" s="178"/>
    </row>
    <row r="2987" spans="1:9" hidden="1" outlineLevel="2" x14ac:dyDescent="0.25">
      <c r="A2987" s="175">
        <f t="shared" si="100"/>
        <v>8</v>
      </c>
      <c r="B2987" s="175" t="s">
        <v>327</v>
      </c>
      <c r="C2987" s="175" t="str">
        <f t="shared" si="99"/>
        <v>Rufo em alumínio</v>
      </c>
      <c r="D2987" s="175" t="s">
        <v>1013</v>
      </c>
      <c r="E2987" s="176" t="str">
        <f>_xlfn.XLOOKUP(D2987,Insumos!$B$1:$B$764,Insumos!$C$1:$C$764)</f>
        <v>KG</v>
      </c>
      <c r="F2987" s="179">
        <v>4.4999999999999998E-2</v>
      </c>
      <c r="G2987" s="177">
        <f>IF(B2987="insumo",_xlfn.XLOOKUP($D2987,Insumos!$B$1:$B$764,Insumos!$D$1:$D$764),"")</f>
        <v>163.07</v>
      </c>
      <c r="H2987" s="177" cm="1">
        <f t="array" ref="H2987">_xlfn.IFS(B2987="Serviço",SUMIFS(H2988:$H$3085,C2988:$C$3085,$C2987),B2987="Insumo",F2987*G2987,B2987="Etapa","")</f>
        <v>7.3381499999999997</v>
      </c>
      <c r="I2987" s="178"/>
    </row>
    <row r="2988" spans="1:9" outlineLevel="1" collapsed="1" x14ac:dyDescent="0.25">
      <c r="A2988" s="175">
        <f t="shared" si="100"/>
        <v>1</v>
      </c>
      <c r="B2988" s="175" t="s">
        <v>109</v>
      </c>
      <c r="C2988" s="175" t="str">
        <f t="shared" si="99"/>
        <v>Pergolado com 2 pilares sustentação</v>
      </c>
      <c r="D2988" s="175" t="s">
        <v>1245</v>
      </c>
      <c r="E2988" s="176" t="s">
        <v>131</v>
      </c>
      <c r="F2988" s="175"/>
      <c r="G2988" s="177" t="str">
        <f>IF(B2988="insumo",_xlfn.XLOOKUP($D2988,Insumos!$B$1:$B$764,Insumos!$D$1:$D$764),"")</f>
        <v/>
      </c>
      <c r="H2988" s="177" cm="1">
        <f t="array" ref="H2988">_xlfn.IFS(B2988="Serviço",SUMIFS(H2989:$H$3085,C2989:$C$3085,$C2988),B2988="Insumo",F2988*G2988,B2988="Etapa","")</f>
        <v>1999.6986899563319</v>
      </c>
      <c r="I2988" s="178" t="s">
        <v>195</v>
      </c>
    </row>
    <row r="2989" spans="1:9" hidden="1" outlineLevel="2" x14ac:dyDescent="0.25">
      <c r="A2989" s="175">
        <f t="shared" si="100"/>
        <v>4</v>
      </c>
      <c r="B2989" s="175" t="s">
        <v>327</v>
      </c>
      <c r="C2989" s="175" t="str">
        <f t="shared" si="99"/>
        <v>Pergolado com 2 pilares sustentação</v>
      </c>
      <c r="D2989" s="175" t="s">
        <v>999</v>
      </c>
      <c r="E2989" s="176" t="s">
        <v>131</v>
      </c>
      <c r="F2989" s="179">
        <v>1</v>
      </c>
      <c r="G2989" s="179">
        <f>30657/27.48</f>
        <v>1115.6113537117903</v>
      </c>
      <c r="H2989" s="177" cm="1">
        <f t="array" ref="H2989">_xlfn.IFS(B2989="Serviço",SUMIFS(H2990:$H$3085,C2990:$C$3085,$C2989),B2989="Insumo",F2989*G2989,B2989="Etapa","")</f>
        <v>1115.6113537117903</v>
      </c>
      <c r="I2989" s="178"/>
    </row>
    <row r="2990" spans="1:9" hidden="1" outlineLevel="2" x14ac:dyDescent="0.25">
      <c r="A2990" s="175">
        <f t="shared" si="100"/>
        <v>3</v>
      </c>
      <c r="B2990" s="175" t="s">
        <v>327</v>
      </c>
      <c r="C2990" s="175" t="str">
        <f t="shared" si="99"/>
        <v>Pergolado com 2 pilares sustentação</v>
      </c>
      <c r="D2990" s="175" t="s">
        <v>1246</v>
      </c>
      <c r="E2990" s="176" t="s">
        <v>131</v>
      </c>
      <c r="F2990" s="179">
        <v>1</v>
      </c>
      <c r="G2990" s="179">
        <f>3300/27.48</f>
        <v>120.08733624454149</v>
      </c>
      <c r="H2990" s="177" cm="1">
        <f t="array" ref="H2990">_xlfn.IFS(B2990="Serviço",SUMIFS(H2991:$H$3085,C2991:$C$3085,$C2990),B2990="Insumo",F2990*G2990,B2990="Etapa","")</f>
        <v>120.08733624454149</v>
      </c>
      <c r="I2990" s="178"/>
    </row>
    <row r="2991" spans="1:9" hidden="1" outlineLevel="2" x14ac:dyDescent="0.25">
      <c r="A2991" s="175">
        <f t="shared" si="100"/>
        <v>2</v>
      </c>
      <c r="B2991" s="175" t="s">
        <v>327</v>
      </c>
      <c r="C2991" s="175" t="str">
        <f t="shared" si="99"/>
        <v>Pergolado com 2 pilares sustentação</v>
      </c>
      <c r="D2991" s="175" t="s">
        <v>1247</v>
      </c>
      <c r="E2991" s="176" t="s">
        <v>131</v>
      </c>
      <c r="F2991" s="179">
        <v>2</v>
      </c>
      <c r="G2991" s="179">
        <v>382</v>
      </c>
      <c r="H2991" s="177" cm="1">
        <f t="array" ref="H2991">_xlfn.IFS(B2991="Serviço",SUMIFS(H2992:$H$3085,C2992:$C$3085,$C2991),B2991="Insumo",F2991*G2991,B2991="Etapa","")</f>
        <v>764</v>
      </c>
      <c r="I2991" s="178"/>
    </row>
    <row r="2992" spans="1:9" outlineLevel="1" x14ac:dyDescent="0.25">
      <c r="A2992" s="175">
        <f t="shared" si="100"/>
        <v>1</v>
      </c>
      <c r="B2992" s="175" t="s">
        <v>109</v>
      </c>
      <c r="C2992" s="175" t="str">
        <f t="shared" si="99"/>
        <v>Pergolado com 4 pilares sustentação</v>
      </c>
      <c r="D2992" s="175" t="s">
        <v>1248</v>
      </c>
      <c r="E2992" s="176" t="s">
        <v>131</v>
      </c>
      <c r="F2992" s="175"/>
      <c r="G2992" s="175"/>
      <c r="H2992" s="177" cm="1">
        <f t="array" ref="H2992">_xlfn.IFS(B2992="Serviço",SUMIFS(H2993:$H$3085,C2993:$C$3085,$C2992),B2992="Insumo",F2992*G2992,B2992="Etapa","")</f>
        <v>2763.6986899563317</v>
      </c>
      <c r="I2992" s="178" t="s">
        <v>195</v>
      </c>
    </row>
    <row r="2993" spans="1:9" outlineLevel="2" x14ac:dyDescent="0.25">
      <c r="A2993" s="175">
        <f t="shared" si="100"/>
        <v>4</v>
      </c>
      <c r="B2993" s="175" t="s">
        <v>327</v>
      </c>
      <c r="C2993" s="175" t="str">
        <f t="shared" si="99"/>
        <v>Pergolado com 4 pilares sustentação</v>
      </c>
      <c r="D2993" s="175" t="s">
        <v>999</v>
      </c>
      <c r="E2993" s="176" t="s">
        <v>131</v>
      </c>
      <c r="F2993" s="179">
        <v>1</v>
      </c>
      <c r="G2993" s="179">
        <f>30657/27.48</f>
        <v>1115.6113537117903</v>
      </c>
      <c r="H2993" s="177" cm="1">
        <f t="array" ref="H2993">_xlfn.IFS(B2993="Serviço",SUMIFS(H2994:$H$3085,C2994:$C$3085,$C2993),B2993="Insumo",F2993*G2993,B2993="Etapa","")</f>
        <v>1115.6113537117903</v>
      </c>
      <c r="I2993" s="178"/>
    </row>
    <row r="2994" spans="1:9" outlineLevel="2" x14ac:dyDescent="0.25">
      <c r="A2994" s="175">
        <f t="shared" si="100"/>
        <v>3</v>
      </c>
      <c r="B2994" s="175" t="s">
        <v>327</v>
      </c>
      <c r="C2994" s="175" t="str">
        <f t="shared" ref="C2994:C3057" si="101">IF(B2994="serviço",D2994,C2993)</f>
        <v>Pergolado com 4 pilares sustentação</v>
      </c>
      <c r="D2994" s="175" t="s">
        <v>1246</v>
      </c>
      <c r="E2994" s="176" t="s">
        <v>131</v>
      </c>
      <c r="F2994" s="179">
        <v>1</v>
      </c>
      <c r="G2994" s="179">
        <f>3300/27.48</f>
        <v>120.08733624454149</v>
      </c>
      <c r="H2994" s="177" cm="1">
        <f t="array" ref="H2994">_xlfn.IFS(B2994="Serviço",SUMIFS(H2995:$H$3085,C2995:$C$3085,$C2994),B2994="Insumo",F2994*G2994,B2994="Etapa","")</f>
        <v>120.08733624454149</v>
      </c>
      <c r="I2994" s="178"/>
    </row>
    <row r="2995" spans="1:9" outlineLevel="2" x14ac:dyDescent="0.25">
      <c r="A2995" s="175">
        <f t="shared" si="100"/>
        <v>2</v>
      </c>
      <c r="B2995" s="175" t="s">
        <v>327</v>
      </c>
      <c r="C2995" s="175" t="str">
        <f t="shared" si="101"/>
        <v>Pergolado com 4 pilares sustentação</v>
      </c>
      <c r="D2995" s="175" t="s">
        <v>1247</v>
      </c>
      <c r="E2995" s="176" t="s">
        <v>131</v>
      </c>
      <c r="F2995" s="179">
        <v>4</v>
      </c>
      <c r="G2995" s="179">
        <v>382</v>
      </c>
      <c r="H2995" s="177" cm="1">
        <f t="array" ref="H2995">_xlfn.IFS(B2995="Serviço",SUMIFS(H2996:$H$3085,C2996:$C$3085,$C2995),B2995="Insumo",F2995*G2995,B2995="Etapa","")</f>
        <v>1528</v>
      </c>
      <c r="I2995" s="178"/>
    </row>
    <row r="2996" spans="1:9" outlineLevel="1" collapsed="1" x14ac:dyDescent="0.25">
      <c r="A2996" s="175">
        <f t="shared" si="100"/>
        <v>1</v>
      </c>
      <c r="B2996" s="175" t="s">
        <v>109</v>
      </c>
      <c r="C2996" s="175" t="str">
        <f t="shared" si="101"/>
        <v>Pergolado sem pilares sustentação - metálico</v>
      </c>
      <c r="D2996" s="175" t="s">
        <v>6950</v>
      </c>
      <c r="E2996" s="176" t="s">
        <v>131</v>
      </c>
      <c r="F2996" s="175"/>
      <c r="G2996" s="175"/>
      <c r="H2996" s="177" cm="1">
        <f t="array" ref="H2996">_xlfn.IFS(B2996="Serviço",SUMIFS(H2997:$H$3085,C2997:$C$3085,$C2996),B2996="Insumo",F2996*G2996,B2996="Etapa","")</f>
        <v>1235.6986899563319</v>
      </c>
      <c r="I2996" s="178" t="s">
        <v>195</v>
      </c>
    </row>
    <row r="2997" spans="1:9" hidden="1" outlineLevel="2" x14ac:dyDescent="0.25">
      <c r="A2997" s="175">
        <f t="shared" si="100"/>
        <v>4</v>
      </c>
      <c r="B2997" s="175" t="s">
        <v>327</v>
      </c>
      <c r="C2997" s="175" t="str">
        <f t="shared" si="101"/>
        <v>Pergolado sem pilares sustentação - metálico</v>
      </c>
      <c r="D2997" s="175" t="s">
        <v>999</v>
      </c>
      <c r="E2997" s="176" t="s">
        <v>131</v>
      </c>
      <c r="F2997" s="179">
        <v>1</v>
      </c>
      <c r="G2997" s="179">
        <f>30657/27.48</f>
        <v>1115.6113537117903</v>
      </c>
      <c r="H2997" s="177" cm="1">
        <f t="array" ref="H2997">_xlfn.IFS(B2997="Serviço",SUMIFS(H2998:$H$3085,C2998:$C$3085,$C2997),B2997="Insumo",F2997*G2997,B2997="Etapa","")</f>
        <v>1115.6113537117903</v>
      </c>
      <c r="I2997" s="178"/>
    </row>
    <row r="2998" spans="1:9" hidden="1" outlineLevel="2" x14ac:dyDescent="0.25">
      <c r="A2998" s="175">
        <f t="shared" si="100"/>
        <v>3</v>
      </c>
      <c r="B2998" s="175" t="s">
        <v>327</v>
      </c>
      <c r="C2998" s="175" t="str">
        <f t="shared" si="101"/>
        <v>Pergolado sem pilares sustentação - metálico</v>
      </c>
      <c r="D2998" s="175" t="s">
        <v>1246</v>
      </c>
      <c r="E2998" s="176" t="s">
        <v>131</v>
      </c>
      <c r="F2998" s="179">
        <v>1</v>
      </c>
      <c r="G2998" s="179">
        <f>3300/27.48</f>
        <v>120.08733624454149</v>
      </c>
      <c r="H2998" s="177" cm="1">
        <f t="array" ref="H2998">_xlfn.IFS(B2998="Serviço",SUMIFS(H2999:$H$3085,C2999:$C$3085,$C2998),B2998="Insumo",F2998*G2998,B2998="Etapa","")</f>
        <v>120.08733624454149</v>
      </c>
      <c r="I2998" s="178"/>
    </row>
    <row r="2999" spans="1:9" outlineLevel="1" collapsed="1" x14ac:dyDescent="0.25">
      <c r="A2999" s="175">
        <f t="shared" si="100"/>
        <v>1</v>
      </c>
      <c r="B2999" s="175" t="s">
        <v>109</v>
      </c>
      <c r="C2999" s="175" t="str">
        <f t="shared" si="101"/>
        <v>Mão de obra coberturas</v>
      </c>
      <c r="D2999" s="175" t="s">
        <v>272</v>
      </c>
      <c r="E2999" s="176" t="s">
        <v>13</v>
      </c>
      <c r="F2999" s="179"/>
      <c r="G2999" s="177" t="str">
        <f>IF(B2999="insumo",_xlfn.XLOOKUP($D2999,Insumos!$B$1:$B$764,Insumos!$D$1:$D$764),"")</f>
        <v/>
      </c>
      <c r="H2999" s="177" cm="1">
        <f t="array" ref="H2999">_xlfn.IFS(B2999="Serviço",SUMIFS(H3000:$H$3085,C3000:$C$3085,$C2999),B2999="Insumo",F2999*G2999,B2999="Etapa","")</f>
        <v>220</v>
      </c>
      <c r="I2999" s="178" t="s">
        <v>195</v>
      </c>
    </row>
    <row r="3000" spans="1:9" hidden="1" outlineLevel="2" x14ac:dyDescent="0.25">
      <c r="A3000" s="175">
        <f t="shared" si="100"/>
        <v>1</v>
      </c>
      <c r="B3000" s="175" t="s">
        <v>327</v>
      </c>
      <c r="C3000" s="175" t="str">
        <f t="shared" si="101"/>
        <v>Mão de obra coberturas</v>
      </c>
      <c r="D3000" s="175" t="s">
        <v>272</v>
      </c>
      <c r="E3000" s="176" t="str">
        <f>_xlfn.XLOOKUP(D3000,Insumos!$B$1:$B$764,Insumos!$C$1:$C$764)</f>
        <v>M2</v>
      </c>
      <c r="F3000" s="179">
        <v>1</v>
      </c>
      <c r="G3000" s="177">
        <f>IF(B3000="insumo",_xlfn.XLOOKUP($D3000,Insumos!$B$1:$B$764,Insumos!$D$1:$D$764),"")</f>
        <v>220</v>
      </c>
      <c r="H3000" s="177" cm="1">
        <f t="array" ref="H3000">_xlfn.IFS(B3000="Serviço",SUMIFS(H3001:$H$3085,C3001:$C$3085,$C3000),B3000="Insumo",F3000*G3000,B3000="Etapa","")</f>
        <v>220</v>
      </c>
      <c r="I3000" s="178"/>
    </row>
    <row r="3001" spans="1:9" collapsed="1" x14ac:dyDescent="0.25">
      <c r="A3001" s="172">
        <f t="shared" si="100"/>
        <v>1</v>
      </c>
      <c r="B3001" s="172" t="s">
        <v>107</v>
      </c>
      <c r="C3001" s="172"/>
      <c r="D3001" s="172" t="s">
        <v>1022</v>
      </c>
      <c r="E3001" s="173"/>
      <c r="F3001" s="174"/>
      <c r="G3001" s="180" t="str">
        <f>IF(B3001="insumo",_xlfn.XLOOKUP($D3001,Insumos!$B$1:$B$764,Insumos!$D$1:$D$764),"")</f>
        <v/>
      </c>
      <c r="H3001" s="177" t="str" cm="1">
        <f t="array" ref="H3001">_xlfn.IFS(B3001="Serviço",SUMIFS(H3002:$H$3085,C3002:$C$3085,$C3001),B3001="Insumo",F3001*G3001,B3001="Etapa","")</f>
        <v/>
      </c>
      <c r="I3001" s="174"/>
    </row>
    <row r="3002" spans="1:9" hidden="1" outlineLevel="1" collapsed="1" x14ac:dyDescent="0.25">
      <c r="A3002" s="175">
        <f t="shared" si="100"/>
        <v>1</v>
      </c>
      <c r="B3002" s="175" t="s">
        <v>109</v>
      </c>
      <c r="C3002" s="175" t="str">
        <f t="shared" si="101"/>
        <v>Execução Rede Elétrica  (Produtividade 300m/dia)</v>
      </c>
      <c r="D3002" s="175" t="s">
        <v>1023</v>
      </c>
      <c r="E3002" s="176" t="s">
        <v>25</v>
      </c>
      <c r="F3002" s="175"/>
      <c r="G3002" s="177" t="str">
        <f>IF(B3002="insumo",_xlfn.XLOOKUP($D3002,Insumos!$B$1:$B$764,Insumos!$D$1:$D$764),"")</f>
        <v/>
      </c>
      <c r="H3002" s="177" cm="1">
        <f t="array" ref="H3002">_xlfn.IFS(B3002="Serviço",SUMIFS(H3003:$H$3085,C3003:$C$3085,$C3002),B3002="Insumo",F3002*G3002,B3002="Etapa","")</f>
        <v>7.3972999999999995</v>
      </c>
      <c r="I3002" s="178" t="s">
        <v>195</v>
      </c>
    </row>
    <row r="3003" spans="1:9" hidden="1" outlineLevel="2" x14ac:dyDescent="0.25">
      <c r="A3003" s="175">
        <f t="shared" si="100"/>
        <v>4</v>
      </c>
      <c r="B3003" s="175" t="s">
        <v>327</v>
      </c>
      <c r="C3003" s="175" t="str">
        <f t="shared" si="101"/>
        <v>Execução Rede Elétrica  (Produtividade 300m/dia)</v>
      </c>
      <c r="D3003" s="175" t="s">
        <v>1024</v>
      </c>
      <c r="E3003" s="176" t="str">
        <f>_xlfn.XLOOKUP(D3003,Insumos!$B$1:$B$764,Insumos!$C$1:$C$764)</f>
        <v>MÊS</v>
      </c>
      <c r="F3003" s="179">
        <v>5.4700000000000007E-4</v>
      </c>
      <c r="G3003" s="177">
        <f>IF(B3003="insumo",_xlfn.XLOOKUP($D3003,Insumos!$B$1:$B$764,Insumos!$D$1:$D$764),"")</f>
        <v>1500</v>
      </c>
      <c r="H3003" s="177" cm="1">
        <f t="array" ref="H3003">_xlfn.IFS(B3003="Serviço",SUMIFS(H3004:$H$3085,C3004:$C$3085,$C3003),B3003="Insumo",F3003*G3003,B3003="Etapa","")</f>
        <v>0.82050000000000012</v>
      </c>
      <c r="I3003" s="178"/>
    </row>
    <row r="3004" spans="1:9" hidden="1" outlineLevel="2" x14ac:dyDescent="0.25">
      <c r="A3004" s="175">
        <f t="shared" si="100"/>
        <v>4</v>
      </c>
      <c r="B3004" s="175" t="s">
        <v>327</v>
      </c>
      <c r="C3004" s="175" t="str">
        <f t="shared" si="101"/>
        <v>Execução Rede Elétrica  (Produtividade 300m/dia)</v>
      </c>
      <c r="D3004" s="175" t="s">
        <v>1025</v>
      </c>
      <c r="E3004" s="176" t="str">
        <f>_xlfn.XLOOKUP(D3004,Insumos!$B$1:$B$764,Insumos!$C$1:$C$764)</f>
        <v>MÊS</v>
      </c>
      <c r="F3004" s="179">
        <v>2.5700000000000001E-4</v>
      </c>
      <c r="G3004" s="177">
        <f>IF(B3004="insumo",_xlfn.XLOOKUP($D3004,Insumos!$B$1:$B$764,Insumos!$D$1:$D$764),"")</f>
        <v>3200</v>
      </c>
      <c r="H3004" s="177" cm="1">
        <f t="array" ref="H3004">_xlfn.IFS(B3004="Serviço",SUMIFS(H3005:$H$3085,C3005:$C$3085,$C3004),B3004="Insumo",F3004*G3004,B3004="Etapa","")</f>
        <v>0.82240000000000002</v>
      </c>
      <c r="I3004" s="178"/>
    </row>
    <row r="3005" spans="1:9" hidden="1" outlineLevel="2" x14ac:dyDescent="0.25">
      <c r="A3005" s="175">
        <f t="shared" si="100"/>
        <v>7</v>
      </c>
      <c r="B3005" s="175" t="s">
        <v>327</v>
      </c>
      <c r="C3005" s="175" t="str">
        <f t="shared" si="101"/>
        <v>Execução Rede Elétrica  (Produtividade 300m/dia)</v>
      </c>
      <c r="D3005" s="175" t="s">
        <v>1026</v>
      </c>
      <c r="E3005" s="176" t="str">
        <f>_xlfn.XLOOKUP(D3005,Insumos!$B$1:$B$764,Insumos!$C$1:$C$764)</f>
        <v>MÊS</v>
      </c>
      <c r="F3005" s="179">
        <v>3.57E-4</v>
      </c>
      <c r="G3005" s="177">
        <f>IF(B3005="insumo",_xlfn.XLOOKUP($D3005,Insumos!$B$1:$B$764,Insumos!$D$1:$D$764),"")</f>
        <v>3450</v>
      </c>
      <c r="H3005" s="177" cm="1">
        <f t="array" ref="H3005">_xlfn.IFS(B3005="Serviço",SUMIFS(H3006:$H$3085,C3006:$C$3085,$C3005),B3005="Insumo",F3005*G3005,B3005="Etapa","")</f>
        <v>1.2316499999999999</v>
      </c>
      <c r="I3005" s="178"/>
    </row>
    <row r="3006" spans="1:9" hidden="1" outlineLevel="2" x14ac:dyDescent="0.25">
      <c r="A3006" s="175">
        <f t="shared" si="100"/>
        <v>4</v>
      </c>
      <c r="B3006" s="175" t="s">
        <v>327</v>
      </c>
      <c r="C3006" s="175" t="str">
        <f t="shared" si="101"/>
        <v>Execução Rede Elétrica  (Produtividade 300m/dia)</v>
      </c>
      <c r="D3006" s="175" t="s">
        <v>1027</v>
      </c>
      <c r="E3006" s="176" t="str">
        <f>_xlfn.XLOOKUP(D3006,Insumos!$B$1:$B$764,Insumos!$C$1:$C$764)</f>
        <v>MÊS</v>
      </c>
      <c r="F3006" s="179">
        <v>2.4600000000000002E-4</v>
      </c>
      <c r="G3006" s="177">
        <f>IF(B3006="insumo",_xlfn.XLOOKUP($D3006,Insumos!$B$1:$B$764,Insumos!$D$1:$D$764),"")</f>
        <v>5000</v>
      </c>
      <c r="H3006" s="177" cm="1">
        <f t="array" ref="H3006">_xlfn.IFS(B3006="Serviço",SUMIFS(H3007:$H$3085,C3007:$C$3085,$C3006),B3006="Insumo",F3006*G3006,B3006="Etapa","")</f>
        <v>1.23</v>
      </c>
      <c r="I3006" s="178"/>
    </row>
    <row r="3007" spans="1:9" hidden="1" outlineLevel="2" x14ac:dyDescent="0.25">
      <c r="A3007" s="175">
        <f t="shared" si="100"/>
        <v>4</v>
      </c>
      <c r="B3007" s="175" t="s">
        <v>327</v>
      </c>
      <c r="C3007" s="175" t="str">
        <f t="shared" si="101"/>
        <v>Execução Rede Elétrica  (Produtividade 300m/dia)</v>
      </c>
      <c r="D3007" s="175" t="s">
        <v>1028</v>
      </c>
      <c r="E3007" s="176" t="str">
        <f>_xlfn.XLOOKUP(D3007,Insumos!$B$1:$B$764,Insumos!$C$1:$C$764)</f>
        <v>MÊS</v>
      </c>
      <c r="F3007" s="179">
        <v>1.8100000000000001E-4</v>
      </c>
      <c r="G3007" s="177">
        <f>IF(B3007="insumo",_xlfn.XLOOKUP($D3007,Insumos!$B$1:$B$764,Insumos!$D$1:$D$764),"")</f>
        <v>4550</v>
      </c>
      <c r="H3007" s="177" cm="1">
        <f t="array" ref="H3007">_xlfn.IFS(B3007="Serviço",SUMIFS(H3008:$H$3085,C3008:$C$3085,$C3007),B3007="Insumo",F3007*G3007,B3007="Etapa","")</f>
        <v>0.82355</v>
      </c>
      <c r="I3007" s="178"/>
    </row>
    <row r="3008" spans="1:9" hidden="1" outlineLevel="2" x14ac:dyDescent="0.25">
      <c r="A3008" s="175">
        <f t="shared" si="100"/>
        <v>4</v>
      </c>
      <c r="B3008" s="175" t="s">
        <v>327</v>
      </c>
      <c r="C3008" s="175" t="str">
        <f t="shared" si="101"/>
        <v>Execução Rede Elétrica  (Produtividade 300m/dia)</v>
      </c>
      <c r="D3008" s="175" t="s">
        <v>1029</v>
      </c>
      <c r="E3008" s="176" t="str">
        <f>_xlfn.XLOOKUP(D3008,Insumos!$B$1:$B$764,Insumos!$C$1:$C$764)</f>
        <v>MÊS</v>
      </c>
      <c r="F3008" s="179">
        <v>3.9199999999999999E-4</v>
      </c>
      <c r="G3008" s="177">
        <f>IF(B3008="insumo",_xlfn.XLOOKUP($D3008,Insumos!$B$1:$B$764,Insumos!$D$1:$D$764),"")</f>
        <v>4200</v>
      </c>
      <c r="H3008" s="177" cm="1">
        <f t="array" ref="H3008">_xlfn.IFS(B3008="Serviço",SUMIFS(H3009:$H$3085,C3009:$C$3085,$C3008),B3008="Insumo",F3008*G3008,B3008="Etapa","")</f>
        <v>1.6463999999999999</v>
      </c>
      <c r="I3008" s="178"/>
    </row>
    <row r="3009" spans="1:9" hidden="1" outlineLevel="2" x14ac:dyDescent="0.25">
      <c r="A3009" s="175">
        <f t="shared" si="100"/>
        <v>4</v>
      </c>
      <c r="B3009" s="175" t="s">
        <v>327</v>
      </c>
      <c r="C3009" s="175" t="str">
        <f t="shared" si="101"/>
        <v>Execução Rede Elétrica  (Produtividade 300m/dia)</v>
      </c>
      <c r="D3009" s="175" t="s">
        <v>1030</v>
      </c>
      <c r="E3009" s="176" t="str">
        <f>_xlfn.XLOOKUP(D3009,Insumos!$B$1:$B$764,Insumos!$C$1:$C$764)</f>
        <v>MÊS</v>
      </c>
      <c r="F3009" s="179">
        <v>2.42E-4</v>
      </c>
      <c r="G3009" s="177">
        <f>IF(B3009="insumo",_xlfn.XLOOKUP($D3009,Insumos!$B$1:$B$764,Insumos!$D$1:$D$764),"")</f>
        <v>3400</v>
      </c>
      <c r="H3009" s="177" cm="1">
        <f t="array" ref="H3009">_xlfn.IFS(B3009="Serviço",SUMIFS(H3010:$H$3085,C3010:$C$3085,$C3009),B3009="Insumo",F3009*G3009,B3009="Etapa","")</f>
        <v>0.82279999999999998</v>
      </c>
      <c r="I3009" s="178"/>
    </row>
    <row r="3010" spans="1:9" hidden="1" outlineLevel="1" collapsed="1" x14ac:dyDescent="0.25">
      <c r="A3010" s="175">
        <f t="shared" ref="A3010:A3073" si="102">COUNTIFS($D$2:$D$3085,D3010,$B$2:$B$3085,B3010)</f>
        <v>1</v>
      </c>
      <c r="B3010" s="175" t="s">
        <v>109</v>
      </c>
      <c r="C3010" s="175" t="str">
        <f t="shared" si="101"/>
        <v>Execução Rede de Drenagem  (Produtividade 200m/dia)</v>
      </c>
      <c r="D3010" s="175" t="s">
        <v>1031</v>
      </c>
      <c r="E3010" s="176" t="s">
        <v>25</v>
      </c>
      <c r="F3010" s="175"/>
      <c r="G3010" s="177" t="str">
        <f>IF(B3010="insumo",_xlfn.XLOOKUP($D3010,Insumos!$B$1:$B$764,Insumos!$D$1:$D$764),"")</f>
        <v/>
      </c>
      <c r="H3010" s="177" cm="1">
        <f t="array" ref="H3010">_xlfn.IFS(B3010="Serviço",SUMIFS(H3011:$H$3085,C3011:$C$3085,$C3010),B3010="Insumo",F3010*G3010,B3010="Etapa","")</f>
        <v>9.8455000000000013</v>
      </c>
      <c r="I3010" s="178" t="s">
        <v>195</v>
      </c>
    </row>
    <row r="3011" spans="1:9" hidden="1" outlineLevel="2" x14ac:dyDescent="0.25">
      <c r="A3011" s="175">
        <f t="shared" si="102"/>
        <v>4</v>
      </c>
      <c r="B3011" s="175" t="s">
        <v>327</v>
      </c>
      <c r="C3011" s="175" t="str">
        <f t="shared" si="101"/>
        <v>Execução Rede de Drenagem  (Produtividade 200m/dia)</v>
      </c>
      <c r="D3011" s="175" t="s">
        <v>1024</v>
      </c>
      <c r="E3011" s="176" t="str">
        <f>_xlfn.XLOOKUP(D3011,Insumos!$B$1:$B$764,Insumos!$C$1:$C$764)</f>
        <v>MÊS</v>
      </c>
      <c r="F3011" s="179">
        <v>8.1999999999999998E-4</v>
      </c>
      <c r="G3011" s="177">
        <f>IF(B3011="insumo",_xlfn.XLOOKUP($D3011,Insumos!$B$1:$B$764,Insumos!$D$1:$D$764),"")</f>
        <v>1500</v>
      </c>
      <c r="H3011" s="177" cm="1">
        <f t="array" ref="H3011">_xlfn.IFS(B3011="Serviço",SUMIFS(H3012:$H$3085,C3012:$C$3085,$C3011),B3011="Insumo",F3011*G3011,B3011="Etapa","")</f>
        <v>1.23</v>
      </c>
      <c r="I3011" s="178"/>
    </row>
    <row r="3012" spans="1:9" hidden="1" outlineLevel="2" x14ac:dyDescent="0.25">
      <c r="A3012" s="175">
        <f t="shared" si="102"/>
        <v>4</v>
      </c>
      <c r="B3012" s="175" t="s">
        <v>327</v>
      </c>
      <c r="C3012" s="175" t="str">
        <f t="shared" si="101"/>
        <v>Execução Rede de Drenagem  (Produtividade 200m/dia)</v>
      </c>
      <c r="D3012" s="175" t="s">
        <v>1025</v>
      </c>
      <c r="E3012" s="176" t="str">
        <f>_xlfn.XLOOKUP(D3012,Insumos!$B$1:$B$764,Insumos!$C$1:$C$764)</f>
        <v>MÊS</v>
      </c>
      <c r="F3012" s="179">
        <v>3.8400000000000001E-4</v>
      </c>
      <c r="G3012" s="177">
        <f>IF(B3012="insumo",_xlfn.XLOOKUP($D3012,Insumos!$B$1:$B$764,Insumos!$D$1:$D$764),"")</f>
        <v>3200</v>
      </c>
      <c r="H3012" s="177" cm="1">
        <f t="array" ref="H3012">_xlfn.IFS(B3012="Serviço",SUMIFS(H3013:$H$3085,C3013:$C$3085,$C3012),B3012="Insumo",F3012*G3012,B3012="Etapa","")</f>
        <v>1.2288000000000001</v>
      </c>
      <c r="I3012" s="178"/>
    </row>
    <row r="3013" spans="1:9" hidden="1" outlineLevel="2" x14ac:dyDescent="0.25">
      <c r="A3013" s="175">
        <f t="shared" si="102"/>
        <v>7</v>
      </c>
      <c r="B3013" s="175" t="s">
        <v>327</v>
      </c>
      <c r="C3013" s="175" t="str">
        <f t="shared" si="101"/>
        <v>Execução Rede de Drenagem  (Produtividade 200m/dia)</v>
      </c>
      <c r="D3013" s="175" t="s">
        <v>1026</v>
      </c>
      <c r="E3013" s="176" t="str">
        <f>_xlfn.XLOOKUP(D3013,Insumos!$B$1:$B$764,Insumos!$C$1:$C$764)</f>
        <v>MÊS</v>
      </c>
      <c r="F3013" s="179">
        <v>3.57E-4</v>
      </c>
      <c r="G3013" s="177">
        <f>IF(B3013="insumo",_xlfn.XLOOKUP($D3013,Insumos!$B$1:$B$764,Insumos!$D$1:$D$764),"")</f>
        <v>3450</v>
      </c>
      <c r="H3013" s="177" cm="1">
        <f t="array" ref="H3013">_xlfn.IFS(B3013="Serviço",SUMIFS(H3014:$H$3085,C3014:$C$3085,$C3013),B3013="Insumo",F3013*G3013,B3013="Etapa","")</f>
        <v>1.2316499999999999</v>
      </c>
      <c r="I3013" s="178"/>
    </row>
    <row r="3014" spans="1:9" hidden="1" outlineLevel="2" x14ac:dyDescent="0.25">
      <c r="A3014" s="175">
        <f t="shared" si="102"/>
        <v>4</v>
      </c>
      <c r="B3014" s="175" t="s">
        <v>327</v>
      </c>
      <c r="C3014" s="175" t="str">
        <f t="shared" si="101"/>
        <v>Execução Rede de Drenagem  (Produtividade 200m/dia)</v>
      </c>
      <c r="D3014" s="175" t="s">
        <v>1027</v>
      </c>
      <c r="E3014" s="176" t="str">
        <f>_xlfn.XLOOKUP(D3014,Insumos!$B$1:$B$764,Insumos!$C$1:$C$764)</f>
        <v>MÊS</v>
      </c>
      <c r="F3014" s="179">
        <v>2.4600000000000002E-4</v>
      </c>
      <c r="G3014" s="177">
        <f>IF(B3014="insumo",_xlfn.XLOOKUP($D3014,Insumos!$B$1:$B$764,Insumos!$D$1:$D$764),"")</f>
        <v>5000</v>
      </c>
      <c r="H3014" s="177" cm="1">
        <f t="array" ref="H3014">_xlfn.IFS(B3014="Serviço",SUMIFS(H3015:$H$3085,C3015:$C$3085,$C3014),B3014="Insumo",F3014*G3014,B3014="Etapa","")</f>
        <v>1.23</v>
      </c>
      <c r="I3014" s="178"/>
    </row>
    <row r="3015" spans="1:9" hidden="1" outlineLevel="2" x14ac:dyDescent="0.25">
      <c r="A3015" s="175">
        <f t="shared" si="102"/>
        <v>4</v>
      </c>
      <c r="B3015" s="175" t="s">
        <v>327</v>
      </c>
      <c r="C3015" s="175" t="str">
        <f t="shared" si="101"/>
        <v>Execução Rede de Drenagem  (Produtividade 200m/dia)</v>
      </c>
      <c r="D3015" s="175" t="s">
        <v>1028</v>
      </c>
      <c r="E3015" s="176" t="str">
        <f>_xlfn.XLOOKUP(D3015,Insumos!$B$1:$B$764,Insumos!$C$1:$C$764)</f>
        <v>MÊS</v>
      </c>
      <c r="F3015" s="179">
        <v>2.7100000000000003E-4</v>
      </c>
      <c r="G3015" s="177">
        <f>IF(B3015="insumo",_xlfn.XLOOKUP($D3015,Insumos!$B$1:$B$764,Insumos!$D$1:$D$764),"")</f>
        <v>4550</v>
      </c>
      <c r="H3015" s="177" cm="1">
        <f t="array" ref="H3015">_xlfn.IFS(B3015="Serviço",SUMIFS(H3016:$H$3085,C3016:$C$3085,$C3015),B3015="Insumo",F3015*G3015,B3015="Etapa","")</f>
        <v>1.2330500000000002</v>
      </c>
      <c r="I3015" s="178"/>
    </row>
    <row r="3016" spans="1:9" hidden="1" outlineLevel="2" x14ac:dyDescent="0.25">
      <c r="A3016" s="175">
        <f t="shared" si="102"/>
        <v>4</v>
      </c>
      <c r="B3016" s="175" t="s">
        <v>327</v>
      </c>
      <c r="C3016" s="175" t="str">
        <f t="shared" si="101"/>
        <v>Execução Rede de Drenagem  (Produtividade 200m/dia)</v>
      </c>
      <c r="D3016" s="175" t="s">
        <v>1029</v>
      </c>
      <c r="E3016" s="176" t="str">
        <f>_xlfn.XLOOKUP(D3016,Insumos!$B$1:$B$764,Insumos!$C$1:$C$764)</f>
        <v>MÊS</v>
      </c>
      <c r="F3016" s="179">
        <v>5.8600000000000004E-4</v>
      </c>
      <c r="G3016" s="177">
        <f>IF(B3016="insumo",_xlfn.XLOOKUP($D3016,Insumos!$B$1:$B$764,Insumos!$D$1:$D$764),"")</f>
        <v>4200</v>
      </c>
      <c r="H3016" s="177" cm="1">
        <f t="array" ref="H3016">_xlfn.IFS(B3016="Serviço",SUMIFS(H3017:$H$3085,C3017:$C$3085,$C3016),B3016="Insumo",F3016*G3016,B3016="Etapa","")</f>
        <v>2.4612000000000003</v>
      </c>
      <c r="I3016" s="178"/>
    </row>
    <row r="3017" spans="1:9" hidden="1" outlineLevel="2" x14ac:dyDescent="0.25">
      <c r="A3017" s="175">
        <f t="shared" si="102"/>
        <v>4</v>
      </c>
      <c r="B3017" s="175" t="s">
        <v>327</v>
      </c>
      <c r="C3017" s="175" t="str">
        <f t="shared" si="101"/>
        <v>Execução Rede de Drenagem  (Produtividade 200m/dia)</v>
      </c>
      <c r="D3017" s="175" t="s">
        <v>1030</v>
      </c>
      <c r="E3017" s="176" t="str">
        <f>_xlfn.XLOOKUP(D3017,Insumos!$B$1:$B$764,Insumos!$C$1:$C$764)</f>
        <v>MÊS</v>
      </c>
      <c r="F3017" s="179">
        <v>3.6200000000000002E-4</v>
      </c>
      <c r="G3017" s="177">
        <f>IF(B3017="insumo",_xlfn.XLOOKUP($D3017,Insumos!$B$1:$B$764,Insumos!$D$1:$D$764),"")</f>
        <v>3400</v>
      </c>
      <c r="H3017" s="177" cm="1">
        <f t="array" ref="H3017">_xlfn.IFS(B3017="Serviço",SUMIFS(H3018:$H$3085,C3018:$C$3085,$C3017),B3017="Insumo",F3017*G3017,B3017="Etapa","")</f>
        <v>1.2308000000000001</v>
      </c>
      <c r="I3017" s="178"/>
    </row>
    <row r="3018" spans="1:9" hidden="1" outlineLevel="1" collapsed="1" x14ac:dyDescent="0.25">
      <c r="A3018" s="175">
        <f t="shared" si="102"/>
        <v>1</v>
      </c>
      <c r="B3018" s="175" t="s">
        <v>109</v>
      </c>
      <c r="C3018" s="175" t="str">
        <f t="shared" si="101"/>
        <v>Execução Rede água  (Produtividade 300m/dia)</v>
      </c>
      <c r="D3018" s="175" t="s">
        <v>1032</v>
      </c>
      <c r="E3018" s="176" t="s">
        <v>25</v>
      </c>
      <c r="F3018" s="175"/>
      <c r="G3018" s="177" t="str">
        <f>IF(B3018="insumo",_xlfn.XLOOKUP($D3018,Insumos!$B$1:$B$764,Insumos!$D$1:$D$764),"")</f>
        <v/>
      </c>
      <c r="H3018" s="177" cm="1">
        <f t="array" ref="H3018">_xlfn.IFS(B3018="Serviço",SUMIFS(H3019:$H$3085,C3019:$C$3085,$C3018),B3018="Insumo",F3018*G3018,B3018="Etapa","")</f>
        <v>7.3972999999999995</v>
      </c>
      <c r="I3018" s="178" t="s">
        <v>195</v>
      </c>
    </row>
    <row r="3019" spans="1:9" hidden="1" outlineLevel="2" x14ac:dyDescent="0.25">
      <c r="A3019" s="175">
        <f t="shared" si="102"/>
        <v>4</v>
      </c>
      <c r="B3019" s="175" t="s">
        <v>327</v>
      </c>
      <c r="C3019" s="175" t="str">
        <f t="shared" si="101"/>
        <v>Execução Rede água  (Produtividade 300m/dia)</v>
      </c>
      <c r="D3019" s="175" t="s">
        <v>1024</v>
      </c>
      <c r="E3019" s="176" t="str">
        <f>_xlfn.XLOOKUP(D3019,Insumos!$B$1:$B$764,Insumos!$C$1:$C$764)</f>
        <v>MÊS</v>
      </c>
      <c r="F3019" s="179">
        <v>5.4700000000000007E-4</v>
      </c>
      <c r="G3019" s="177">
        <f>IF(B3019="insumo",_xlfn.XLOOKUP($D3019,Insumos!$B$1:$B$764,Insumos!$D$1:$D$764),"")</f>
        <v>1500</v>
      </c>
      <c r="H3019" s="177" cm="1">
        <f t="array" ref="H3019">_xlfn.IFS(B3019="Serviço",SUMIFS(H3020:$H$3085,C3020:$C$3085,$C3019),B3019="Insumo",F3019*G3019,B3019="Etapa","")</f>
        <v>0.82050000000000012</v>
      </c>
      <c r="I3019" s="178"/>
    </row>
    <row r="3020" spans="1:9" hidden="1" outlineLevel="2" x14ac:dyDescent="0.25">
      <c r="A3020" s="175">
        <f t="shared" si="102"/>
        <v>4</v>
      </c>
      <c r="B3020" s="175" t="s">
        <v>327</v>
      </c>
      <c r="C3020" s="175" t="str">
        <f t="shared" si="101"/>
        <v>Execução Rede água  (Produtividade 300m/dia)</v>
      </c>
      <c r="D3020" s="175" t="s">
        <v>1025</v>
      </c>
      <c r="E3020" s="176" t="str">
        <f>_xlfn.XLOOKUP(D3020,Insumos!$B$1:$B$764,Insumos!$C$1:$C$764)</f>
        <v>MÊS</v>
      </c>
      <c r="F3020" s="179">
        <v>2.5700000000000001E-4</v>
      </c>
      <c r="G3020" s="177">
        <f>IF(B3020="insumo",_xlfn.XLOOKUP($D3020,Insumos!$B$1:$B$764,Insumos!$D$1:$D$764),"")</f>
        <v>3200</v>
      </c>
      <c r="H3020" s="177" cm="1">
        <f t="array" ref="H3020">_xlfn.IFS(B3020="Serviço",SUMIFS(H3021:$H$3085,C3021:$C$3085,$C3020),B3020="Insumo",F3020*G3020,B3020="Etapa","")</f>
        <v>0.82240000000000002</v>
      </c>
      <c r="I3020" s="178"/>
    </row>
    <row r="3021" spans="1:9" hidden="1" outlineLevel="2" x14ac:dyDescent="0.25">
      <c r="A3021" s="175">
        <f t="shared" si="102"/>
        <v>7</v>
      </c>
      <c r="B3021" s="175" t="s">
        <v>327</v>
      </c>
      <c r="C3021" s="175" t="str">
        <f t="shared" si="101"/>
        <v>Execução Rede água  (Produtividade 300m/dia)</v>
      </c>
      <c r="D3021" s="175" t="s">
        <v>1026</v>
      </c>
      <c r="E3021" s="176" t="str">
        <f>_xlfn.XLOOKUP(D3021,Insumos!$B$1:$B$764,Insumos!$C$1:$C$764)</f>
        <v>MÊS</v>
      </c>
      <c r="F3021" s="179">
        <v>3.57E-4</v>
      </c>
      <c r="G3021" s="177">
        <f>IF(B3021="insumo",_xlfn.XLOOKUP($D3021,Insumos!$B$1:$B$764,Insumos!$D$1:$D$764),"")</f>
        <v>3450</v>
      </c>
      <c r="H3021" s="177" cm="1">
        <f t="array" ref="H3021">_xlfn.IFS(B3021="Serviço",SUMIFS(H3022:$H$3085,C3022:$C$3085,$C3021),B3021="Insumo",F3021*G3021,B3021="Etapa","")</f>
        <v>1.2316499999999999</v>
      </c>
      <c r="I3021" s="178"/>
    </row>
    <row r="3022" spans="1:9" hidden="1" outlineLevel="2" x14ac:dyDescent="0.25">
      <c r="A3022" s="175">
        <f t="shared" si="102"/>
        <v>4</v>
      </c>
      <c r="B3022" s="175" t="s">
        <v>327</v>
      </c>
      <c r="C3022" s="175" t="str">
        <f t="shared" si="101"/>
        <v>Execução Rede água  (Produtividade 300m/dia)</v>
      </c>
      <c r="D3022" s="175" t="s">
        <v>1027</v>
      </c>
      <c r="E3022" s="176" t="str">
        <f>_xlfn.XLOOKUP(D3022,Insumos!$B$1:$B$764,Insumos!$C$1:$C$764)</f>
        <v>MÊS</v>
      </c>
      <c r="F3022" s="179">
        <v>2.4600000000000002E-4</v>
      </c>
      <c r="G3022" s="177">
        <f>IF(B3022="insumo",_xlfn.XLOOKUP($D3022,Insumos!$B$1:$B$764,Insumos!$D$1:$D$764),"")</f>
        <v>5000</v>
      </c>
      <c r="H3022" s="177" cm="1">
        <f t="array" ref="H3022">_xlfn.IFS(B3022="Serviço",SUMIFS(H3023:$H$3085,C3023:$C$3085,$C3022),B3022="Insumo",F3022*G3022,B3022="Etapa","")</f>
        <v>1.23</v>
      </c>
      <c r="I3022" s="178"/>
    </row>
    <row r="3023" spans="1:9" hidden="1" outlineLevel="2" x14ac:dyDescent="0.25">
      <c r="A3023" s="175">
        <f t="shared" si="102"/>
        <v>4</v>
      </c>
      <c r="B3023" s="175" t="s">
        <v>327</v>
      </c>
      <c r="C3023" s="175" t="str">
        <f t="shared" si="101"/>
        <v>Execução Rede água  (Produtividade 300m/dia)</v>
      </c>
      <c r="D3023" s="175" t="s">
        <v>1028</v>
      </c>
      <c r="E3023" s="176" t="str">
        <f>_xlfn.XLOOKUP(D3023,Insumos!$B$1:$B$764,Insumos!$C$1:$C$764)</f>
        <v>MÊS</v>
      </c>
      <c r="F3023" s="179">
        <v>1.8100000000000001E-4</v>
      </c>
      <c r="G3023" s="177">
        <f>IF(B3023="insumo",_xlfn.XLOOKUP($D3023,Insumos!$B$1:$B$764,Insumos!$D$1:$D$764),"")</f>
        <v>4550</v>
      </c>
      <c r="H3023" s="177" cm="1">
        <f t="array" ref="H3023">_xlfn.IFS(B3023="Serviço",SUMIFS(H3024:$H$3085,C3024:$C$3085,$C3023),B3023="Insumo",F3023*G3023,B3023="Etapa","")</f>
        <v>0.82355</v>
      </c>
      <c r="I3023" s="178"/>
    </row>
    <row r="3024" spans="1:9" hidden="1" outlineLevel="2" x14ac:dyDescent="0.25">
      <c r="A3024" s="175">
        <f t="shared" si="102"/>
        <v>4</v>
      </c>
      <c r="B3024" s="175" t="s">
        <v>327</v>
      </c>
      <c r="C3024" s="175" t="str">
        <f t="shared" si="101"/>
        <v>Execução Rede água  (Produtividade 300m/dia)</v>
      </c>
      <c r="D3024" s="175" t="s">
        <v>1029</v>
      </c>
      <c r="E3024" s="176" t="str">
        <f>_xlfn.XLOOKUP(D3024,Insumos!$B$1:$B$764,Insumos!$C$1:$C$764)</f>
        <v>MÊS</v>
      </c>
      <c r="F3024" s="179">
        <v>3.9199999999999999E-4</v>
      </c>
      <c r="G3024" s="177">
        <f>IF(B3024="insumo",_xlfn.XLOOKUP($D3024,Insumos!$B$1:$B$764,Insumos!$D$1:$D$764),"")</f>
        <v>4200</v>
      </c>
      <c r="H3024" s="177" cm="1">
        <f t="array" ref="H3024">_xlfn.IFS(B3024="Serviço",SUMIFS(H3025:$H$3085,C3025:$C$3085,$C3024),B3024="Insumo",F3024*G3024,B3024="Etapa","")</f>
        <v>1.6463999999999999</v>
      </c>
      <c r="I3024" s="178"/>
    </row>
    <row r="3025" spans="1:9" hidden="1" outlineLevel="2" x14ac:dyDescent="0.25">
      <c r="A3025" s="175">
        <f t="shared" si="102"/>
        <v>4</v>
      </c>
      <c r="B3025" s="175" t="s">
        <v>327</v>
      </c>
      <c r="C3025" s="175" t="str">
        <f t="shared" si="101"/>
        <v>Execução Rede água  (Produtividade 300m/dia)</v>
      </c>
      <c r="D3025" s="175" t="s">
        <v>1030</v>
      </c>
      <c r="E3025" s="176" t="str">
        <f>_xlfn.XLOOKUP(D3025,Insumos!$B$1:$B$764,Insumos!$C$1:$C$764)</f>
        <v>MÊS</v>
      </c>
      <c r="F3025" s="179">
        <v>2.42E-4</v>
      </c>
      <c r="G3025" s="177">
        <f>IF(B3025="insumo",_xlfn.XLOOKUP($D3025,Insumos!$B$1:$B$764,Insumos!$D$1:$D$764),"")</f>
        <v>3400</v>
      </c>
      <c r="H3025" s="177" cm="1">
        <f t="array" ref="H3025">_xlfn.IFS(B3025="Serviço",SUMIFS(H3026:$H$3085,C3026:$C$3085,$C3025),B3025="Insumo",F3025*G3025,B3025="Etapa","")</f>
        <v>0.82279999999999998</v>
      </c>
      <c r="I3025" s="178"/>
    </row>
    <row r="3026" spans="1:9" hidden="1" outlineLevel="1" collapsed="1" x14ac:dyDescent="0.25">
      <c r="A3026" s="175">
        <f t="shared" si="102"/>
        <v>1</v>
      </c>
      <c r="B3026" s="175" t="s">
        <v>109</v>
      </c>
      <c r="C3026" s="175" t="str">
        <f t="shared" si="101"/>
        <v>Execução Rede Esgoto  (Produtividade 150m/dia)</v>
      </c>
      <c r="D3026" s="175" t="s">
        <v>1033</v>
      </c>
      <c r="E3026" s="176" t="s">
        <v>25</v>
      </c>
      <c r="F3026" s="175"/>
      <c r="G3026" s="177" t="str">
        <f>IF(B3026="insumo",_xlfn.XLOOKUP($D3026,Insumos!$B$1:$B$764,Insumos!$D$1:$D$764),"")</f>
        <v/>
      </c>
      <c r="H3026" s="177" cm="1">
        <f t="array" ref="H3026">_xlfn.IFS(B3026="Serviço",SUMIFS(H3027:$H$3085,C3027:$C$3085,$C3026),B3026="Insumo",F3026*G3026,B3026="Etapa","")</f>
        <v>12.308499999999999</v>
      </c>
      <c r="I3026" s="178" t="s">
        <v>195</v>
      </c>
    </row>
    <row r="3027" spans="1:9" hidden="1" outlineLevel="2" x14ac:dyDescent="0.25">
      <c r="A3027" s="175">
        <f t="shared" si="102"/>
        <v>4</v>
      </c>
      <c r="B3027" s="175" t="s">
        <v>327</v>
      </c>
      <c r="C3027" s="175" t="str">
        <f t="shared" si="101"/>
        <v>Execução Rede Esgoto  (Produtividade 150m/dia)</v>
      </c>
      <c r="D3027" s="175" t="s">
        <v>1024</v>
      </c>
      <c r="E3027" s="176" t="str">
        <f>_xlfn.XLOOKUP(D3027,Insumos!$B$1:$B$764,Insumos!$C$1:$C$764)</f>
        <v>MÊS</v>
      </c>
      <c r="F3027" s="179">
        <v>1.093E-3</v>
      </c>
      <c r="G3027" s="177">
        <f>IF(B3027="insumo",_xlfn.XLOOKUP($D3027,Insumos!$B$1:$B$764,Insumos!$D$1:$D$764),"")</f>
        <v>1500</v>
      </c>
      <c r="H3027" s="177" cm="1">
        <f t="array" ref="H3027">_xlfn.IFS(B3027="Serviço",SUMIFS(H3028:$H$3085,C3028:$C$3085,$C3027),B3027="Insumo",F3027*G3027,B3027="Etapa","")</f>
        <v>1.6395</v>
      </c>
      <c r="I3027" s="178"/>
    </row>
    <row r="3028" spans="1:9" hidden="1" outlineLevel="2" x14ac:dyDescent="0.25">
      <c r="A3028" s="175">
        <f t="shared" si="102"/>
        <v>4</v>
      </c>
      <c r="B3028" s="175" t="s">
        <v>327</v>
      </c>
      <c r="C3028" s="175" t="str">
        <f t="shared" si="101"/>
        <v>Execução Rede Esgoto  (Produtividade 150m/dia)</v>
      </c>
      <c r="D3028" s="175" t="s">
        <v>1025</v>
      </c>
      <c r="E3028" s="176" t="str">
        <f>_xlfn.XLOOKUP(D3028,Insumos!$B$1:$B$764,Insumos!$C$1:$C$764)</f>
        <v>MÊS</v>
      </c>
      <c r="F3028" s="179">
        <v>5.13E-4</v>
      </c>
      <c r="G3028" s="177">
        <f>IF(B3028="insumo",_xlfn.XLOOKUP($D3028,Insumos!$B$1:$B$764,Insumos!$D$1:$D$764),"")</f>
        <v>3200</v>
      </c>
      <c r="H3028" s="177" cm="1">
        <f t="array" ref="H3028">_xlfn.IFS(B3028="Serviço",SUMIFS(H3029:$H$3085,C3029:$C$3085,$C3028),B3028="Insumo",F3028*G3028,B3028="Etapa","")</f>
        <v>1.6415999999999999</v>
      </c>
      <c r="I3028" s="178"/>
    </row>
    <row r="3029" spans="1:9" hidden="1" outlineLevel="2" x14ac:dyDescent="0.25">
      <c r="A3029" s="175">
        <f t="shared" si="102"/>
        <v>7</v>
      </c>
      <c r="B3029" s="175" t="s">
        <v>327</v>
      </c>
      <c r="C3029" s="175" t="str">
        <f t="shared" si="101"/>
        <v>Execução Rede Esgoto  (Produtividade 150m/dia)</v>
      </c>
      <c r="D3029" s="175" t="s">
        <v>1026</v>
      </c>
      <c r="E3029" s="176" t="str">
        <f>_xlfn.XLOOKUP(D3029,Insumos!$B$1:$B$764,Insumos!$C$1:$C$764)</f>
        <v>MÊS</v>
      </c>
      <c r="F3029" s="179">
        <v>3.57E-4</v>
      </c>
      <c r="G3029" s="177">
        <f>IF(B3029="insumo",_xlfn.XLOOKUP($D3029,Insumos!$B$1:$B$764,Insumos!$D$1:$D$764),"")</f>
        <v>3450</v>
      </c>
      <c r="H3029" s="177" cm="1">
        <f t="array" ref="H3029">_xlfn.IFS(B3029="Serviço",SUMIFS(H3030:$H$3085,C3030:$C$3085,$C3029),B3029="Insumo",F3029*G3029,B3029="Etapa","")</f>
        <v>1.2316499999999999</v>
      </c>
      <c r="I3029" s="178"/>
    </row>
    <row r="3030" spans="1:9" hidden="1" outlineLevel="2" x14ac:dyDescent="0.25">
      <c r="A3030" s="175">
        <f t="shared" si="102"/>
        <v>4</v>
      </c>
      <c r="B3030" s="175" t="s">
        <v>327</v>
      </c>
      <c r="C3030" s="175" t="str">
        <f t="shared" si="101"/>
        <v>Execução Rede Esgoto  (Produtividade 150m/dia)</v>
      </c>
      <c r="D3030" s="175" t="s">
        <v>1027</v>
      </c>
      <c r="E3030" s="176" t="str">
        <f>_xlfn.XLOOKUP(D3030,Insumos!$B$1:$B$764,Insumos!$C$1:$C$764)</f>
        <v>MÊS</v>
      </c>
      <c r="F3030" s="179">
        <v>2.4600000000000002E-4</v>
      </c>
      <c r="G3030" s="177">
        <f>IF(B3030="insumo",_xlfn.XLOOKUP($D3030,Insumos!$B$1:$B$764,Insumos!$D$1:$D$764),"")</f>
        <v>5000</v>
      </c>
      <c r="H3030" s="177" cm="1">
        <f t="array" ref="H3030">_xlfn.IFS(B3030="Serviço",SUMIFS(H3031:$H$3085,C3031:$C$3085,$C3030),B3030="Insumo",F3030*G3030,B3030="Etapa","")</f>
        <v>1.23</v>
      </c>
      <c r="I3030" s="178"/>
    </row>
    <row r="3031" spans="1:9" hidden="1" outlineLevel="2" x14ac:dyDescent="0.25">
      <c r="A3031" s="175">
        <f t="shared" si="102"/>
        <v>4</v>
      </c>
      <c r="B3031" s="175" t="s">
        <v>327</v>
      </c>
      <c r="C3031" s="175" t="str">
        <f t="shared" si="101"/>
        <v>Execução Rede Esgoto  (Produtividade 150m/dia)</v>
      </c>
      <c r="D3031" s="175" t="s">
        <v>1028</v>
      </c>
      <c r="E3031" s="176" t="str">
        <f>_xlfn.XLOOKUP(D3031,Insumos!$B$1:$B$764,Insumos!$C$1:$C$764)</f>
        <v>MÊS</v>
      </c>
      <c r="F3031" s="179">
        <v>3.6100000000000005E-4</v>
      </c>
      <c r="G3031" s="177">
        <f>IF(B3031="insumo",_xlfn.XLOOKUP($D3031,Insumos!$B$1:$B$764,Insumos!$D$1:$D$764),"")</f>
        <v>4550</v>
      </c>
      <c r="H3031" s="177" cm="1">
        <f t="array" ref="H3031">_xlfn.IFS(B3031="Serviço",SUMIFS(H3032:$H$3085,C3032:$C$3085,$C3031),B3031="Insumo",F3031*G3031,B3031="Etapa","")</f>
        <v>1.6425500000000002</v>
      </c>
      <c r="I3031" s="178"/>
    </row>
    <row r="3032" spans="1:9" hidden="1" outlineLevel="2" x14ac:dyDescent="0.25">
      <c r="A3032" s="175">
        <f t="shared" si="102"/>
        <v>4</v>
      </c>
      <c r="B3032" s="175" t="s">
        <v>327</v>
      </c>
      <c r="C3032" s="175" t="str">
        <f t="shared" si="101"/>
        <v>Execução Rede Esgoto  (Produtividade 150m/dia)</v>
      </c>
      <c r="D3032" s="175" t="s">
        <v>1029</v>
      </c>
      <c r="E3032" s="176" t="str">
        <f>_xlfn.XLOOKUP(D3032,Insumos!$B$1:$B$764,Insumos!$C$1:$C$764)</f>
        <v>MÊS</v>
      </c>
      <c r="F3032" s="179">
        <v>7.8200000000000003E-4</v>
      </c>
      <c r="G3032" s="177">
        <f>IF(B3032="insumo",_xlfn.XLOOKUP($D3032,Insumos!$B$1:$B$764,Insumos!$D$1:$D$764),"")</f>
        <v>4200</v>
      </c>
      <c r="H3032" s="177" cm="1">
        <f t="array" ref="H3032">_xlfn.IFS(B3032="Serviço",SUMIFS(H3033:$H$3085,C3033:$C$3085,$C3032),B3032="Insumo",F3032*G3032,B3032="Etapa","")</f>
        <v>3.2844000000000002</v>
      </c>
      <c r="I3032" s="178"/>
    </row>
    <row r="3033" spans="1:9" hidden="1" outlineLevel="2" x14ac:dyDescent="0.25">
      <c r="A3033" s="175">
        <f t="shared" si="102"/>
        <v>4</v>
      </c>
      <c r="B3033" s="175" t="s">
        <v>327</v>
      </c>
      <c r="C3033" s="175" t="str">
        <f t="shared" si="101"/>
        <v>Execução Rede Esgoto  (Produtividade 150m/dia)</v>
      </c>
      <c r="D3033" s="175" t="s">
        <v>1030</v>
      </c>
      <c r="E3033" s="176" t="str">
        <f>_xlfn.XLOOKUP(D3033,Insumos!$B$1:$B$764,Insumos!$C$1:$C$764)</f>
        <v>MÊS</v>
      </c>
      <c r="F3033" s="179">
        <v>4.8200000000000001E-4</v>
      </c>
      <c r="G3033" s="177">
        <f>IF(B3033="insumo",_xlfn.XLOOKUP($D3033,Insumos!$B$1:$B$764,Insumos!$D$1:$D$764),"")</f>
        <v>3400</v>
      </c>
      <c r="H3033" s="177" cm="1">
        <f t="array" ref="H3033">_xlfn.IFS(B3033="Serviço",SUMIFS(H3034:$H$3085,C3034:$C$3085,$C3033),B3033="Insumo",F3033*G3033,B3033="Etapa","")</f>
        <v>1.6388</v>
      </c>
      <c r="I3033" s="178"/>
    </row>
    <row r="3034" spans="1:9" hidden="1" outlineLevel="1" collapsed="1" x14ac:dyDescent="0.25">
      <c r="A3034" s="175">
        <f t="shared" si="102"/>
        <v>1</v>
      </c>
      <c r="B3034" s="175" t="s">
        <v>109</v>
      </c>
      <c r="C3034" s="175" t="str">
        <f t="shared" si="101"/>
        <v>Sarjeta extrusada</v>
      </c>
      <c r="D3034" s="175" t="s">
        <v>1034</v>
      </c>
      <c r="E3034" s="176" t="s">
        <v>25</v>
      </c>
      <c r="F3034" s="175"/>
      <c r="G3034" s="177" t="str">
        <f>IF(B3034="insumo",_xlfn.XLOOKUP($D3034,Insumos!$B$1:$B$764,Insumos!$D$1:$D$764),"")</f>
        <v/>
      </c>
      <c r="H3034" s="177" cm="1">
        <f t="array" ref="H3034">_xlfn.IFS(B3034="Serviço",SUMIFS(H3035:$H$3085,C3035:$C$3085,$C3034),B3034="Insumo",F3034*G3034,B3034="Etapa","")</f>
        <v>20.09</v>
      </c>
      <c r="I3034" s="178" t="s">
        <v>195</v>
      </c>
    </row>
    <row r="3035" spans="1:9" hidden="1" outlineLevel="2" x14ac:dyDescent="0.25">
      <c r="A3035" s="175">
        <f t="shared" si="102"/>
        <v>9</v>
      </c>
      <c r="B3035" s="175" t="s">
        <v>327</v>
      </c>
      <c r="C3035" s="175" t="str">
        <f t="shared" si="101"/>
        <v>Sarjeta extrusada</v>
      </c>
      <c r="D3035" s="175" t="s">
        <v>339</v>
      </c>
      <c r="E3035" s="176" t="str">
        <f>_xlfn.XLOOKUP(D3035,Insumos!$B$1:$B$764,Insumos!$C$1:$C$764)</f>
        <v>M3</v>
      </c>
      <c r="F3035" s="179">
        <v>4.1000000000000002E-2</v>
      </c>
      <c r="G3035" s="177">
        <f>IF(B3035="insumo",_xlfn.XLOOKUP($D3035,Insumos!$B$1:$B$764,Insumos!$D$1:$D$764),"")</f>
        <v>490</v>
      </c>
      <c r="H3035" s="177" cm="1">
        <f t="array" ref="H3035">_xlfn.IFS(B3035="Serviço",SUMIFS(H3036:$H$3085,C3036:$C$3085,$C3035),B3035="Insumo",F3035*G3035,B3035="Etapa","")</f>
        <v>20.09</v>
      </c>
      <c r="I3035" s="178"/>
    </row>
    <row r="3036" spans="1:9" hidden="1" outlineLevel="1" collapsed="1" x14ac:dyDescent="0.25">
      <c r="A3036" s="175">
        <f t="shared" si="102"/>
        <v>1</v>
      </c>
      <c r="B3036" s="175" t="s">
        <v>109</v>
      </c>
      <c r="C3036" s="175" t="str">
        <f t="shared" si="101"/>
        <v>Pavimentação em Pedras Naturais na calçada</v>
      </c>
      <c r="D3036" s="175" t="s">
        <v>1776</v>
      </c>
      <c r="E3036" s="176" t="s">
        <v>13</v>
      </c>
      <c r="F3036" s="175"/>
      <c r="G3036" s="177" t="str">
        <f>IF(B3036="insumo",_xlfn.XLOOKUP($D3036,Insumos!$B$1:$B$764,Insumos!$D$1:$D$764),"")</f>
        <v/>
      </c>
      <c r="H3036" s="177" cm="1">
        <f t="array" ref="H3036">_xlfn.IFS(B3036="Serviço",SUMIFS(H3037:$H$3085,C3037:$C$3085,$C3036),B3036="Insumo",F3036*G3036,B3036="Etapa","")</f>
        <v>856.61500000000012</v>
      </c>
      <c r="I3036" s="178" t="s">
        <v>195</v>
      </c>
    </row>
    <row r="3037" spans="1:9" hidden="1" outlineLevel="2" x14ac:dyDescent="0.25">
      <c r="A3037" s="175">
        <f t="shared" si="102"/>
        <v>10</v>
      </c>
      <c r="B3037" s="175" t="s">
        <v>327</v>
      </c>
      <c r="C3037" s="175" t="str">
        <f t="shared" si="101"/>
        <v>Pavimentação em Pedras Naturais na calçada</v>
      </c>
      <c r="D3037" s="175" t="s">
        <v>689</v>
      </c>
      <c r="E3037" s="176" t="str">
        <f>_xlfn.XLOOKUP(D3037,Insumos!$B$1:$B$764,Insumos!$C$1:$C$764)</f>
        <v>M2</v>
      </c>
      <c r="F3037" s="179">
        <v>1.1000000000000001</v>
      </c>
      <c r="G3037" s="177">
        <f>IF(B3037="insumo",_xlfn.XLOOKUP($D3037,Insumos!$B$1:$B$764,Insumos!$D$1:$D$764),"")</f>
        <v>750</v>
      </c>
      <c r="H3037" s="177" cm="1">
        <f t="array" ref="H3037">_xlfn.IFS(B3037="Serviço",SUMIFS(H3038:$H$3085,C3038:$C$3085,$C3037),B3037="Insumo",F3037*G3037,B3037="Etapa","")</f>
        <v>825.00000000000011</v>
      </c>
      <c r="I3037" s="178"/>
    </row>
    <row r="3038" spans="1:9" hidden="1" outlineLevel="2" x14ac:dyDescent="0.25">
      <c r="A3038" s="175">
        <f t="shared" si="102"/>
        <v>118</v>
      </c>
      <c r="B3038" s="175" t="s">
        <v>327</v>
      </c>
      <c r="C3038" s="175" t="str">
        <f t="shared" si="101"/>
        <v>Pavimentação em Pedras Naturais na calçada</v>
      </c>
      <c r="D3038" s="175" t="s">
        <v>654</v>
      </c>
      <c r="E3038" s="176" t="str">
        <f>_xlfn.XLOOKUP(D3038,Insumos!$B$1:$B$764,Insumos!$C$1:$C$764)</f>
        <v>KG</v>
      </c>
      <c r="F3038" s="179">
        <v>9</v>
      </c>
      <c r="G3038" s="177">
        <f>IF(B3038="insumo",_xlfn.XLOOKUP($D3038,Insumos!$B$1:$B$764,Insumos!$D$1:$D$764),"")</f>
        <v>2.5499999999999998</v>
      </c>
      <c r="H3038" s="177" cm="1">
        <f t="array" ref="H3038">_xlfn.IFS(B3038="Serviço",SUMIFS(H3039:$H$3085,C3039:$C$3085,$C3038),B3038="Insumo",F3038*G3038,B3038="Etapa","")</f>
        <v>22.95</v>
      </c>
      <c r="I3038" s="178"/>
    </row>
    <row r="3039" spans="1:9" hidden="1" outlineLevel="2" x14ac:dyDescent="0.25">
      <c r="A3039" s="175">
        <f t="shared" si="102"/>
        <v>18</v>
      </c>
      <c r="B3039" s="175" t="s">
        <v>327</v>
      </c>
      <c r="C3039" s="175" t="str">
        <f t="shared" si="101"/>
        <v>Pavimentação em Pedras Naturais na calçada</v>
      </c>
      <c r="D3039" s="175" t="s">
        <v>694</v>
      </c>
      <c r="E3039" s="176" t="str">
        <f>_xlfn.XLOOKUP(D3039,Insumos!$B$1:$B$764,Insumos!$C$1:$C$764)</f>
        <v>UN</v>
      </c>
      <c r="F3039" s="179">
        <v>0.5</v>
      </c>
      <c r="G3039" s="177">
        <f>IF(B3039="insumo",_xlfn.XLOOKUP($D3039,Insumos!$B$1:$B$764,Insumos!$D$1:$D$764),"")</f>
        <v>17.329999999999998</v>
      </c>
      <c r="H3039" s="177" cm="1">
        <f t="array" ref="H3039">_xlfn.IFS(B3039="Serviço",SUMIFS(H3040:$H$3085,C3040:$C$3085,$C3039),B3039="Insumo",F3039*G3039,B3039="Etapa","")</f>
        <v>8.6649999999999991</v>
      </c>
      <c r="I3039" s="178"/>
    </row>
    <row r="3040" spans="1:9" hidden="1" outlineLevel="1" collapsed="1" x14ac:dyDescent="0.25">
      <c r="A3040" s="175">
        <f t="shared" si="102"/>
        <v>1</v>
      </c>
      <c r="B3040" s="175" t="s">
        <v>109</v>
      </c>
      <c r="C3040" s="175" t="str">
        <f t="shared" si="101"/>
        <v>Mão de obra para execução de pedra natural em piso áreas externas</v>
      </c>
      <c r="D3040" s="175" t="s">
        <v>1857</v>
      </c>
      <c r="E3040" s="176" t="s">
        <v>13</v>
      </c>
      <c r="F3040" s="175"/>
      <c r="G3040" s="177" t="str">
        <f>IF(B3040="insumo",_xlfn.XLOOKUP($D3040,Insumos!$B$1:$B$764,Insumos!$D$1:$D$764),"")</f>
        <v/>
      </c>
      <c r="H3040" s="177" cm="1">
        <f t="array" ref="H3040">_xlfn.IFS(B3040="Serviço",SUMIFS(H3041:$H$3085,C3041:$C$3085,$C3040),B3040="Insumo",F3040*G3040,B3040="Etapa","")</f>
        <v>40</v>
      </c>
      <c r="I3040" s="178" t="s">
        <v>195</v>
      </c>
    </row>
    <row r="3041" spans="1:9" hidden="1" outlineLevel="2" x14ac:dyDescent="0.25">
      <c r="A3041" s="175">
        <f t="shared" si="102"/>
        <v>2</v>
      </c>
      <c r="B3041" s="175" t="s">
        <v>327</v>
      </c>
      <c r="C3041" s="175" t="str">
        <f t="shared" si="101"/>
        <v>Mão de obra para execução de pedra natural em piso áreas externas</v>
      </c>
      <c r="D3041" s="175" t="s">
        <v>1857</v>
      </c>
      <c r="E3041" s="176" t="str">
        <f>_xlfn.XLOOKUP(D3041,Insumos!$B$1:$B$764,Insumos!$C$1:$C$764)</f>
        <v>M2</v>
      </c>
      <c r="F3041" s="179">
        <v>1</v>
      </c>
      <c r="G3041" s="177">
        <f>IF(B3041="insumo",_xlfn.XLOOKUP($D3041,Insumos!$B$1:$B$764,Insumos!$D$1:$D$764),"")</f>
        <v>40</v>
      </c>
      <c r="H3041" s="177" cm="1">
        <f t="array" ref="H3041">_xlfn.IFS(B3041="Serviço",SUMIFS(H3042:$H$3085,C3042:$C$3085,$C3041),B3041="Insumo",F3041*G3041,B3041="Etapa","")</f>
        <v>40</v>
      </c>
      <c r="I3041" s="178"/>
    </row>
    <row r="3042" spans="1:9" hidden="1" outlineLevel="1" collapsed="1" x14ac:dyDescent="0.25">
      <c r="A3042" s="175">
        <f t="shared" si="102"/>
        <v>1</v>
      </c>
      <c r="B3042" s="175" t="s">
        <v>109</v>
      </c>
      <c r="C3042" s="175" t="str">
        <f t="shared" si="101"/>
        <v>Mão de obra para execução de piso de concreto estampado em piso áreas externas</v>
      </c>
      <c r="D3042" s="175" t="s">
        <v>1990</v>
      </c>
      <c r="E3042" s="176" t="s">
        <v>13</v>
      </c>
      <c r="F3042" s="175"/>
      <c r="G3042" s="177" t="str">
        <f>IF(B3042="insumo",_xlfn.XLOOKUP($D3042,Insumos!$B$1:$B$764,Insumos!$D$1:$D$764),"")</f>
        <v/>
      </c>
      <c r="H3042" s="177" cm="1">
        <f t="array" ref="H3042">_xlfn.IFS(B3042="Serviço",SUMIFS(H3043:$H$3085,C3043:$C$3085,$C3042),B3042="Insumo",F3042*G3042,B3042="Etapa","")</f>
        <v>40</v>
      </c>
      <c r="I3042" s="178" t="s">
        <v>195</v>
      </c>
    </row>
    <row r="3043" spans="1:9" hidden="1" outlineLevel="2" x14ac:dyDescent="0.25">
      <c r="A3043" s="175">
        <f t="shared" si="102"/>
        <v>2</v>
      </c>
      <c r="B3043" s="175" t="s">
        <v>327</v>
      </c>
      <c r="C3043" s="175" t="str">
        <f t="shared" si="101"/>
        <v>Mão de obra para execução de piso de concreto estampado em piso áreas externas</v>
      </c>
      <c r="D3043" s="175" t="s">
        <v>1857</v>
      </c>
      <c r="E3043" s="176" t="str">
        <f>_xlfn.XLOOKUP(D3043,Insumos!$B$1:$B$764,Insumos!$C$1:$C$764)</f>
        <v>M2</v>
      </c>
      <c r="F3043" s="179">
        <v>1</v>
      </c>
      <c r="G3043" s="177">
        <f>IF(B3043="insumo",_xlfn.XLOOKUP($D3043,Insumos!$B$1:$B$764,Insumos!$D$1:$D$764),"")</f>
        <v>40</v>
      </c>
      <c r="H3043" s="177" cm="1">
        <f t="array" ref="H3043">_xlfn.IFS(B3043="Serviço",SUMIFS(H3044:$H$3085,C3044:$C$3085,$C3043),B3043="Insumo",F3043*G3043,B3043="Etapa","")</f>
        <v>40</v>
      </c>
      <c r="I3043" s="178"/>
    </row>
    <row r="3044" spans="1:9" hidden="1" outlineLevel="1" collapsed="1" x14ac:dyDescent="0.25">
      <c r="A3044" s="175">
        <f t="shared" si="102"/>
        <v>1</v>
      </c>
      <c r="B3044" s="175" t="s">
        <v>109</v>
      </c>
      <c r="C3044" s="175" t="str">
        <f t="shared" si="101"/>
        <v>Execução de sarjeta extrusada</v>
      </c>
      <c r="D3044" s="175" t="s">
        <v>1035</v>
      </c>
      <c r="E3044" s="176" t="s">
        <v>25</v>
      </c>
      <c r="F3044" s="175"/>
      <c r="G3044" s="177" t="str">
        <f>IF(B3044="insumo",_xlfn.XLOOKUP($D3044,Insumos!$B$1:$B$764,Insumos!$D$1:$D$764),"")</f>
        <v/>
      </c>
      <c r="H3044" s="177" cm="1">
        <f t="array" ref="H3044">_xlfn.IFS(B3044="Serviço",SUMIFS(H3045:$H$3085,C3045:$C$3085,$C3044),B3044="Insumo",F3044*G3044,B3044="Etapa","")</f>
        <v>4.08</v>
      </c>
      <c r="I3044" s="178" t="s">
        <v>195</v>
      </c>
    </row>
    <row r="3045" spans="1:9" hidden="1" outlineLevel="2" x14ac:dyDescent="0.25">
      <c r="A3045" s="175">
        <f t="shared" si="102"/>
        <v>1</v>
      </c>
      <c r="B3045" s="175" t="s">
        <v>327</v>
      </c>
      <c r="C3045" s="175" t="str">
        <f t="shared" si="101"/>
        <v>Execução de sarjeta extrusada</v>
      </c>
      <c r="D3045" s="175" t="s">
        <v>1036</v>
      </c>
      <c r="E3045" s="176" t="str">
        <f>_xlfn.XLOOKUP(D3045,Insumos!$B$1:$B$764,Insumos!$C$1:$C$764)</f>
        <v>MÊS</v>
      </c>
      <c r="F3045" s="179">
        <v>6.8000000000000005E-4</v>
      </c>
      <c r="G3045" s="177">
        <f>IF(B3045="insumo",_xlfn.XLOOKUP($D3045,Insumos!$B$1:$B$764,Insumos!$D$1:$D$764),"")</f>
        <v>1000</v>
      </c>
      <c r="H3045" s="177" cm="1">
        <f t="array" ref="H3045">_xlfn.IFS(B3045="Serviço",SUMIFS(H3046:$H$3085,C3046:$C$3085,$C3045),B3045="Insumo",F3045*G3045,B3045="Etapa","")</f>
        <v>0.68</v>
      </c>
      <c r="I3045" s="178"/>
    </row>
    <row r="3046" spans="1:9" hidden="1" outlineLevel="2" x14ac:dyDescent="0.25">
      <c r="A3046" s="175">
        <f t="shared" si="102"/>
        <v>1</v>
      </c>
      <c r="B3046" s="175" t="s">
        <v>327</v>
      </c>
      <c r="C3046" s="175" t="str">
        <f t="shared" si="101"/>
        <v>Execução de sarjeta extrusada</v>
      </c>
      <c r="D3046" s="175" t="s">
        <v>1037</v>
      </c>
      <c r="E3046" s="176" t="str">
        <f>_xlfn.XLOOKUP(D3046,Insumos!$B$1:$B$764,Insumos!$C$1:$C$764)</f>
        <v>MÊS</v>
      </c>
      <c r="F3046" s="179">
        <v>4.5333333333333337E-4</v>
      </c>
      <c r="G3046" s="177">
        <f>IF(B3046="insumo",_xlfn.XLOOKUP($D3046,Insumos!$B$1:$B$764,Insumos!$D$1:$D$764),"")</f>
        <v>1500</v>
      </c>
      <c r="H3046" s="177" cm="1">
        <f t="array" ref="H3046">_xlfn.IFS(B3046="Serviço",SUMIFS(H3047:$H$3085,C3047:$C$3085,$C3046),B3046="Insumo",F3046*G3046,B3046="Etapa","")</f>
        <v>0.68</v>
      </c>
      <c r="I3046" s="178"/>
    </row>
    <row r="3047" spans="1:9" hidden="1" outlineLevel="2" x14ac:dyDescent="0.25">
      <c r="A3047" s="175">
        <f t="shared" si="102"/>
        <v>7</v>
      </c>
      <c r="B3047" s="175" t="s">
        <v>327</v>
      </c>
      <c r="C3047" s="175" t="str">
        <f t="shared" si="101"/>
        <v>Execução de sarjeta extrusada</v>
      </c>
      <c r="D3047" s="175" t="s">
        <v>1026</v>
      </c>
      <c r="E3047" s="176" t="str">
        <f>_xlfn.XLOOKUP(D3047,Insumos!$B$1:$B$764,Insumos!$C$1:$C$764)</f>
        <v>MÊS</v>
      </c>
      <c r="F3047" s="179">
        <v>1.9710144927536234E-4</v>
      </c>
      <c r="G3047" s="177">
        <f>IF(B3047="insumo",_xlfn.XLOOKUP($D3047,Insumos!$B$1:$B$764,Insumos!$D$1:$D$764),"")</f>
        <v>3450</v>
      </c>
      <c r="H3047" s="177" cm="1">
        <f t="array" ref="H3047">_xlfn.IFS(B3047="Serviço",SUMIFS(H3048:$H$3085,C3048:$C$3085,$C3047),B3047="Insumo",F3047*G3047,B3047="Etapa","")</f>
        <v>0.68</v>
      </c>
      <c r="I3047" s="178"/>
    </row>
    <row r="3048" spans="1:9" hidden="1" outlineLevel="2" x14ac:dyDescent="0.25">
      <c r="A3048" s="175">
        <f t="shared" si="102"/>
        <v>7</v>
      </c>
      <c r="B3048" s="175" t="s">
        <v>327</v>
      </c>
      <c r="C3048" s="175" t="str">
        <f t="shared" si="101"/>
        <v>Execução de sarjeta extrusada</v>
      </c>
      <c r="D3048" s="175" t="s">
        <v>1026</v>
      </c>
      <c r="E3048" s="176" t="str">
        <f>_xlfn.XLOOKUP(D3048,Insumos!$B$1:$B$764,Insumos!$C$1:$C$764)</f>
        <v>MÊS</v>
      </c>
      <c r="F3048" s="179">
        <v>1.9710144927536234E-4</v>
      </c>
      <c r="G3048" s="177">
        <f>IF(B3048="insumo",_xlfn.XLOOKUP($D3048,Insumos!$B$1:$B$764,Insumos!$D$1:$D$764),"")</f>
        <v>3450</v>
      </c>
      <c r="H3048" s="177" cm="1">
        <f t="array" ref="H3048">_xlfn.IFS(B3048="Serviço",SUMIFS(H3049:$H$3085,C3049:$C$3085,$C3048),B3048="Insumo",F3048*G3048,B3048="Etapa","")</f>
        <v>0.68</v>
      </c>
      <c r="I3048" s="178"/>
    </row>
    <row r="3049" spans="1:9" hidden="1" outlineLevel="2" x14ac:dyDescent="0.25">
      <c r="A3049" s="175">
        <f t="shared" si="102"/>
        <v>1</v>
      </c>
      <c r="B3049" s="175" t="s">
        <v>327</v>
      </c>
      <c r="C3049" s="175" t="str">
        <f t="shared" si="101"/>
        <v>Execução de sarjeta extrusada</v>
      </c>
      <c r="D3049" s="175" t="s">
        <v>1038</v>
      </c>
      <c r="E3049" s="176" t="str">
        <f>_xlfn.XLOOKUP(D3049,Insumos!$B$1:$B$764,Insumos!$C$1:$C$764)</f>
        <v>MÊS</v>
      </c>
      <c r="F3049" s="179">
        <v>2.2666666666666668E-4</v>
      </c>
      <c r="G3049" s="177">
        <f>IF(B3049="insumo",_xlfn.XLOOKUP($D3049,Insumos!$B$1:$B$764,Insumos!$D$1:$D$764),"")</f>
        <v>3000</v>
      </c>
      <c r="H3049" s="177" cm="1">
        <f t="array" ref="H3049">_xlfn.IFS(B3049="Serviço",SUMIFS(H3050:$H$3085,C3050:$C$3085,$C3049),B3049="Insumo",F3049*G3049,B3049="Etapa","")</f>
        <v>0.68</v>
      </c>
      <c r="I3049" s="178"/>
    </row>
    <row r="3050" spans="1:9" hidden="1" outlineLevel="2" x14ac:dyDescent="0.25">
      <c r="A3050" s="175">
        <f t="shared" si="102"/>
        <v>1</v>
      </c>
      <c r="B3050" s="175" t="s">
        <v>327</v>
      </c>
      <c r="C3050" s="175" t="str">
        <f t="shared" si="101"/>
        <v>Execução de sarjeta extrusada</v>
      </c>
      <c r="D3050" s="175" t="s">
        <v>1039</v>
      </c>
      <c r="E3050" s="176" t="str">
        <f>_xlfn.XLOOKUP(D3050,Insumos!$B$1:$B$764,Insumos!$C$1:$C$764)</f>
        <v>MÊS</v>
      </c>
      <c r="F3050" s="179">
        <v>2.8333333333333335E-4</v>
      </c>
      <c r="G3050" s="177">
        <f>IF(B3050="insumo",_xlfn.XLOOKUP($D3050,Insumos!$B$1:$B$764,Insumos!$D$1:$D$764),"")</f>
        <v>2400</v>
      </c>
      <c r="H3050" s="177" cm="1">
        <f t="array" ref="H3050">_xlfn.IFS(B3050="Serviço",SUMIFS(H3051:$H$3085,C3051:$C$3085,$C3050),B3050="Insumo",F3050*G3050,B3050="Etapa","")</f>
        <v>0.68</v>
      </c>
      <c r="I3050" s="178"/>
    </row>
    <row r="3051" spans="1:9" hidden="1" outlineLevel="1" collapsed="1" x14ac:dyDescent="0.25">
      <c r="A3051" s="175">
        <f t="shared" si="102"/>
        <v>1</v>
      </c>
      <c r="B3051" s="175" t="s">
        <v>109</v>
      </c>
      <c r="C3051" s="175" t="str">
        <f t="shared" si="101"/>
        <v>Base bica corrida e=20cm</v>
      </c>
      <c r="D3051" s="175" t="s">
        <v>1040</v>
      </c>
      <c r="E3051" s="176" t="s">
        <v>390</v>
      </c>
      <c r="F3051" s="175"/>
      <c r="G3051" s="177" t="str">
        <f>IF(B3051="insumo",_xlfn.XLOOKUP($D3051,Insumos!$B$1:$B$764,Insumos!$D$1:$D$764),"")</f>
        <v/>
      </c>
      <c r="H3051" s="177" cm="1">
        <f t="array" ref="H3051">_xlfn.IFS(B3051="Serviço",SUMIFS(H3052:$H$3085,C3052:$C$3085,$C3051),B3051="Insumo",F3051*G3051,B3051="Etapa","")</f>
        <v>150.15</v>
      </c>
      <c r="I3051" s="178" t="s">
        <v>195</v>
      </c>
    </row>
    <row r="3052" spans="1:9" hidden="1" outlineLevel="2" x14ac:dyDescent="0.25">
      <c r="A3052" s="175">
        <f t="shared" si="102"/>
        <v>1</v>
      </c>
      <c r="B3052" s="175" t="s">
        <v>327</v>
      </c>
      <c r="C3052" s="175" t="str">
        <f t="shared" si="101"/>
        <v>Base bica corrida e=20cm</v>
      </c>
      <c r="D3052" s="175" t="s">
        <v>1041</v>
      </c>
      <c r="E3052" s="176" t="str">
        <f>_xlfn.XLOOKUP(D3052,Insumos!$B$1:$B$764,Insumos!$C$1:$C$764)</f>
        <v>M3</v>
      </c>
      <c r="F3052" s="179">
        <v>1.05</v>
      </c>
      <c r="G3052" s="177">
        <f>IF(B3052="insumo",_xlfn.XLOOKUP($D3052,Insumos!$B$1:$B$764,Insumos!$D$1:$D$764),"")</f>
        <v>143</v>
      </c>
      <c r="H3052" s="177" cm="1">
        <f t="array" ref="H3052">_xlfn.IFS(B3052="Serviço",SUMIFS(H3053:$H$3085,C3053:$C$3085,$C3052),B3052="Insumo",F3052*G3052,B3052="Etapa","")</f>
        <v>150.15</v>
      </c>
      <c r="I3052" s="178"/>
    </row>
    <row r="3053" spans="1:9" hidden="1" outlineLevel="1" collapsed="1" x14ac:dyDescent="0.25">
      <c r="A3053" s="175">
        <f t="shared" si="102"/>
        <v>1</v>
      </c>
      <c r="B3053" s="175" t="s">
        <v>109</v>
      </c>
      <c r="C3053" s="175" t="str">
        <f t="shared" si="101"/>
        <v>Mão de obra para execução de base</v>
      </c>
      <c r="D3053" s="175" t="s">
        <v>1042</v>
      </c>
      <c r="E3053" s="176" t="s">
        <v>390</v>
      </c>
      <c r="F3053" s="175"/>
      <c r="G3053" s="177" t="str">
        <f>IF(B3053="insumo",_xlfn.XLOOKUP($D3053,Insumos!$B$1:$B$764,Insumos!$D$1:$D$764),"")</f>
        <v/>
      </c>
      <c r="H3053" s="177" cm="1">
        <f t="array" ref="H3053">_xlfn.IFS(B3053="Serviço",SUMIFS(H3054:$H$3085,C3054:$C$3085,$C3053),B3053="Insumo",F3053*G3053,B3053="Etapa","")</f>
        <v>5.08</v>
      </c>
      <c r="I3053" s="178" t="s">
        <v>195</v>
      </c>
    </row>
    <row r="3054" spans="1:9" hidden="1" outlineLevel="2" x14ac:dyDescent="0.25">
      <c r="A3054" s="175">
        <f t="shared" si="102"/>
        <v>1</v>
      </c>
      <c r="B3054" s="175" t="s">
        <v>327</v>
      </c>
      <c r="C3054" s="175" t="str">
        <f t="shared" si="101"/>
        <v>Mão de obra para execução de base</v>
      </c>
      <c r="D3054" s="175" t="s">
        <v>1043</v>
      </c>
      <c r="E3054" s="176" t="str">
        <f>_xlfn.XLOOKUP(D3054,Insumos!$B$1:$B$764,Insumos!$C$1:$C$764)</f>
        <v>MÊS</v>
      </c>
      <c r="F3054" s="179">
        <v>1.8142857142857145E-4</v>
      </c>
      <c r="G3054" s="177">
        <f>IF(B3054="insumo",_xlfn.XLOOKUP($D3054,Insumos!$B$1:$B$764,Insumos!$D$1:$D$764),"")</f>
        <v>4000</v>
      </c>
      <c r="H3054" s="177" cm="1">
        <f t="array" ref="H3054">_xlfn.IFS(B3054="Serviço",SUMIFS(H3055:$H$3085,C3055:$C$3085,$C3054),B3054="Insumo",F3054*G3054,B3054="Etapa","")</f>
        <v>0.72571428571428576</v>
      </c>
      <c r="I3054" s="178"/>
    </row>
    <row r="3055" spans="1:9" hidden="1" outlineLevel="2" x14ac:dyDescent="0.25">
      <c r="A3055" s="175">
        <f t="shared" si="102"/>
        <v>1</v>
      </c>
      <c r="B3055" s="175" t="s">
        <v>327</v>
      </c>
      <c r="C3055" s="175" t="str">
        <f t="shared" si="101"/>
        <v>Mão de obra para execução de base</v>
      </c>
      <c r="D3055" s="175" t="s">
        <v>1044</v>
      </c>
      <c r="E3055" s="176" t="str">
        <f>_xlfn.XLOOKUP(D3055,Insumos!$B$1:$B$764,Insumos!$C$1:$C$764)</f>
        <v>MÊS</v>
      </c>
      <c r="F3055" s="179">
        <v>4.8380952380952383E-4</v>
      </c>
      <c r="G3055" s="177">
        <f>IF(B3055="insumo",_xlfn.XLOOKUP($D3055,Insumos!$B$1:$B$764,Insumos!$D$1:$D$764),"")</f>
        <v>1500</v>
      </c>
      <c r="H3055" s="177" cm="1">
        <f t="array" ref="H3055">_xlfn.IFS(B3055="Serviço",SUMIFS(H3056:$H$3085,C3056:$C$3085,$C3055),B3055="Insumo",F3055*G3055,B3055="Etapa","")</f>
        <v>0.72571428571428576</v>
      </c>
      <c r="I3055" s="178"/>
    </row>
    <row r="3056" spans="1:9" hidden="1" outlineLevel="2" x14ac:dyDescent="0.25">
      <c r="A3056" s="175">
        <f t="shared" si="102"/>
        <v>1</v>
      </c>
      <c r="B3056" s="175" t="s">
        <v>327</v>
      </c>
      <c r="C3056" s="175" t="str">
        <f t="shared" si="101"/>
        <v>Mão de obra para execução de base</v>
      </c>
      <c r="D3056" s="175" t="s">
        <v>1045</v>
      </c>
      <c r="E3056" s="176" t="str">
        <f>_xlfn.XLOOKUP(D3056,Insumos!$B$1:$B$764,Insumos!$C$1:$C$764)</f>
        <v>MÊS</v>
      </c>
      <c r="F3056" s="179">
        <v>3.628571428571429E-4</v>
      </c>
      <c r="G3056" s="177">
        <f>IF(B3056="insumo",_xlfn.XLOOKUP($D3056,Insumos!$B$1:$B$764,Insumos!$D$1:$D$764),"")</f>
        <v>2000</v>
      </c>
      <c r="H3056" s="177" cm="1">
        <f t="array" ref="H3056">_xlfn.IFS(B3056="Serviço",SUMIFS(H3057:$H$3085,C3057:$C$3085,$C3056),B3056="Insumo",F3056*G3056,B3056="Etapa","")</f>
        <v>0.72571428571428576</v>
      </c>
      <c r="I3056" s="178"/>
    </row>
    <row r="3057" spans="1:9" hidden="1" outlineLevel="2" x14ac:dyDescent="0.25">
      <c r="A3057" s="175">
        <f t="shared" si="102"/>
        <v>7</v>
      </c>
      <c r="B3057" s="175" t="s">
        <v>327</v>
      </c>
      <c r="C3057" s="175" t="str">
        <f t="shared" si="101"/>
        <v>Mão de obra para execução de base</v>
      </c>
      <c r="D3057" s="175" t="s">
        <v>1026</v>
      </c>
      <c r="E3057" s="176" t="str">
        <f>_xlfn.XLOOKUP(D3057,Insumos!$B$1:$B$764,Insumos!$C$1:$C$764)</f>
        <v>MÊS</v>
      </c>
      <c r="F3057" s="179">
        <v>2.10351966873706E-4</v>
      </c>
      <c r="G3057" s="177">
        <f>IF(B3057="insumo",_xlfn.XLOOKUP($D3057,Insumos!$B$1:$B$764,Insumos!$D$1:$D$764),"")</f>
        <v>3450</v>
      </c>
      <c r="H3057" s="177" cm="1">
        <f t="array" ref="H3057">_xlfn.IFS(B3057="Serviço",SUMIFS(H3058:$H$3085,C3058:$C$3085,$C3057),B3057="Insumo",F3057*G3057,B3057="Etapa","")</f>
        <v>0.72571428571428565</v>
      </c>
      <c r="I3057" s="178"/>
    </row>
    <row r="3058" spans="1:9" hidden="1" outlineLevel="2" x14ac:dyDescent="0.25">
      <c r="A3058" s="175">
        <f t="shared" si="102"/>
        <v>1</v>
      </c>
      <c r="B3058" s="175" t="s">
        <v>327</v>
      </c>
      <c r="C3058" s="175" t="str">
        <f t="shared" ref="C3058:C3084" si="103">IF(B3058="serviço",D3058,C3057)</f>
        <v>Mão de obra para execução de base</v>
      </c>
      <c r="D3058" s="175" t="s">
        <v>1046</v>
      </c>
      <c r="E3058" s="176" t="str">
        <f>_xlfn.XLOOKUP(D3058,Insumos!$B$1:$B$764,Insumos!$C$1:$C$764)</f>
        <v>MÊS</v>
      </c>
      <c r="F3058" s="179">
        <v>2.4190476190476192E-4</v>
      </c>
      <c r="G3058" s="177">
        <f>IF(B3058="insumo",_xlfn.XLOOKUP($D3058,Insumos!$B$1:$B$764,Insumos!$D$1:$D$764),"")</f>
        <v>3000</v>
      </c>
      <c r="H3058" s="177" cm="1">
        <f t="array" ref="H3058">_xlfn.IFS(B3058="Serviço",SUMIFS(H3059:$H$3085,C3059:$C$3085,$C3058),B3058="Insumo",F3058*G3058,B3058="Etapa","")</f>
        <v>0.72571428571428576</v>
      </c>
      <c r="I3058" s="178"/>
    </row>
    <row r="3059" spans="1:9" hidden="1" outlineLevel="2" x14ac:dyDescent="0.25">
      <c r="A3059" s="175">
        <f t="shared" si="102"/>
        <v>1</v>
      </c>
      <c r="B3059" s="175" t="s">
        <v>327</v>
      </c>
      <c r="C3059" s="175" t="str">
        <f t="shared" si="103"/>
        <v>Mão de obra para execução de base</v>
      </c>
      <c r="D3059" s="175" t="s">
        <v>1047</v>
      </c>
      <c r="E3059" s="176" t="str">
        <f>_xlfn.XLOOKUP(D3059,Insumos!$B$1:$B$764,Insumos!$C$1:$C$764)</f>
        <v>MÊS</v>
      </c>
      <c r="F3059" s="179">
        <v>3.0238095238095241E-4</v>
      </c>
      <c r="G3059" s="177">
        <f>IF(B3059="insumo",_xlfn.XLOOKUP($D3059,Insumos!$B$1:$B$764,Insumos!$D$1:$D$764),"")</f>
        <v>2400</v>
      </c>
      <c r="H3059" s="177" cm="1">
        <f t="array" ref="H3059">_xlfn.IFS(B3059="Serviço",SUMIFS(H3060:$H$3085,C3060:$C$3085,$C3059),B3059="Insumo",F3059*G3059,B3059="Etapa","")</f>
        <v>0.72571428571428576</v>
      </c>
      <c r="I3059" s="178"/>
    </row>
    <row r="3060" spans="1:9" hidden="1" outlineLevel="2" x14ac:dyDescent="0.25">
      <c r="A3060" s="175">
        <f t="shared" si="102"/>
        <v>1</v>
      </c>
      <c r="B3060" s="175" t="s">
        <v>327</v>
      </c>
      <c r="C3060" s="175" t="str">
        <f t="shared" si="103"/>
        <v>Mão de obra para execução de base</v>
      </c>
      <c r="D3060" s="175" t="s">
        <v>1048</v>
      </c>
      <c r="E3060" s="176" t="str">
        <f>_xlfn.XLOOKUP(D3060,Insumos!$B$1:$B$764,Insumos!$C$1:$C$764)</f>
        <v>MÊS</v>
      </c>
      <c r="F3060" s="179">
        <v>1.1164835164835164E-4</v>
      </c>
      <c r="G3060" s="177">
        <f>IF(B3060="insumo",_xlfn.XLOOKUP($D3060,Insumos!$B$1:$B$764,Insumos!$D$1:$D$764),"")</f>
        <v>6500</v>
      </c>
      <c r="H3060" s="177" cm="1">
        <f t="array" ref="H3060">_xlfn.IFS(B3060="Serviço",SUMIFS(H3061:$H$3085,C3061:$C$3085,$C3060),B3060="Insumo",F3060*G3060,B3060="Etapa","")</f>
        <v>0.72571428571428565</v>
      </c>
      <c r="I3060" s="178"/>
    </row>
    <row r="3061" spans="1:9" hidden="1" outlineLevel="1" collapsed="1" x14ac:dyDescent="0.25">
      <c r="A3061" s="175">
        <f t="shared" si="102"/>
        <v>1</v>
      </c>
      <c r="B3061" s="175" t="s">
        <v>109</v>
      </c>
      <c r="C3061" s="175" t="str">
        <f t="shared" si="103"/>
        <v>Pavimentação em Intertravado 10x20x06cm</v>
      </c>
      <c r="D3061" s="175" t="s">
        <v>2883</v>
      </c>
      <c r="E3061" s="176" t="s">
        <v>13</v>
      </c>
      <c r="F3061" s="175"/>
      <c r="G3061" s="177" t="str">
        <f>IF(B3061="insumo",_xlfn.XLOOKUP($D3061,Insumos!$B$1:$B$764,Insumos!$D$1:$D$764),"")</f>
        <v/>
      </c>
      <c r="H3061" s="177" cm="1">
        <f t="array" ref="H3061">_xlfn.IFS(B3061="Serviço",SUMIFS(H3062:$H$3085,C3062:$C$3085,$C3061),B3061="Insumo",F3061*G3061,B3061="Etapa","")</f>
        <v>108.03500000000001</v>
      </c>
      <c r="I3061" s="178" t="s">
        <v>195</v>
      </c>
    </row>
    <row r="3062" spans="1:9" hidden="1" outlineLevel="2" x14ac:dyDescent="0.25">
      <c r="A3062" s="175">
        <f t="shared" si="102"/>
        <v>2</v>
      </c>
      <c r="B3062" s="175" t="s">
        <v>327</v>
      </c>
      <c r="C3062" s="175" t="str">
        <f t="shared" si="103"/>
        <v>Pavimentação em Intertravado 10x20x06cm</v>
      </c>
      <c r="D3062" s="175" t="s">
        <v>1050</v>
      </c>
      <c r="E3062" s="176" t="str">
        <f>_xlfn.XLOOKUP(D3062,Insumos!$B$1:$B$764,Insumos!$C$1:$C$764)</f>
        <v>M2</v>
      </c>
      <c r="F3062" s="179">
        <v>1.05</v>
      </c>
      <c r="G3062" s="177">
        <f>IF(B3062="insumo",_xlfn.XLOOKUP($D3062,Insumos!$B$1:$B$764,Insumos!$D$1:$D$764),"")</f>
        <v>75.900000000000006</v>
      </c>
      <c r="H3062" s="177" cm="1">
        <f t="array" ref="H3062">_xlfn.IFS(B3062="Serviço",SUMIFS(H3063:$H$3085,C3063:$C$3085,$C3062),B3062="Insumo",F3062*G3062,B3062="Etapa","")</f>
        <v>79.695000000000007</v>
      </c>
      <c r="I3062" s="178"/>
    </row>
    <row r="3063" spans="1:9" hidden="1" outlineLevel="2" x14ac:dyDescent="0.25">
      <c r="A3063" s="175">
        <f t="shared" si="102"/>
        <v>2</v>
      </c>
      <c r="B3063" s="175" t="s">
        <v>327</v>
      </c>
      <c r="C3063" s="175" t="str">
        <f t="shared" si="103"/>
        <v>Pavimentação em Intertravado 10x20x06cm</v>
      </c>
      <c r="D3063" s="175" t="s">
        <v>1051</v>
      </c>
      <c r="E3063" s="176" t="str">
        <f>_xlfn.XLOOKUP(D3063,Insumos!$B$1:$B$764,Insumos!$C$1:$C$764)</f>
        <v>M3</v>
      </c>
      <c r="F3063" s="179">
        <v>0.09</v>
      </c>
      <c r="G3063" s="177">
        <f>IF(B3063="insumo",_xlfn.XLOOKUP($D3063,Insumos!$B$1:$B$764,Insumos!$D$1:$D$764),"")</f>
        <v>300</v>
      </c>
      <c r="H3063" s="177" cm="1">
        <f t="array" ref="H3063">_xlfn.IFS(B3063="Serviço",SUMIFS(H3064:$H$3085,C3064:$C$3085,$C3063),B3063="Insumo",F3063*G3063,B3063="Etapa","")</f>
        <v>27</v>
      </c>
      <c r="I3063" s="178"/>
    </row>
    <row r="3064" spans="1:9" hidden="1" outlineLevel="2" x14ac:dyDescent="0.25">
      <c r="A3064" s="175">
        <f t="shared" si="102"/>
        <v>2</v>
      </c>
      <c r="B3064" s="175" t="s">
        <v>327</v>
      </c>
      <c r="C3064" s="175" t="str">
        <f t="shared" si="103"/>
        <v>Pavimentação em Intertravado 10x20x06cm</v>
      </c>
      <c r="D3064" s="175" t="s">
        <v>1052</v>
      </c>
      <c r="E3064" s="176" t="str">
        <f>_xlfn.XLOOKUP(D3064,Insumos!$B$1:$B$764,Insumos!$C$1:$C$764)</f>
        <v>M3</v>
      </c>
      <c r="F3064" s="179">
        <v>0.01</v>
      </c>
      <c r="G3064" s="177">
        <f>IF(B3064="insumo",_xlfn.XLOOKUP($D3064,Insumos!$B$1:$B$764,Insumos!$D$1:$D$764),"")</f>
        <v>134</v>
      </c>
      <c r="H3064" s="177" cm="1">
        <f t="array" ref="H3064">_xlfn.IFS(B3064="Serviço",SUMIFS(H3065:$H$3085,C3065:$C$3085,$C3064),B3064="Insumo",F3064*G3064,B3064="Etapa","")</f>
        <v>1.34</v>
      </c>
      <c r="I3064" s="178"/>
    </row>
    <row r="3065" spans="1:9" hidden="1" outlineLevel="1" collapsed="1" x14ac:dyDescent="0.25">
      <c r="A3065" s="175">
        <f t="shared" si="102"/>
        <v>1</v>
      </c>
      <c r="B3065" s="175" t="s">
        <v>109</v>
      </c>
      <c r="C3065" s="175" t="str">
        <f t="shared" si="103"/>
        <v>Pavimentação em Intertravado 10x20x06cm, Para vias, Calçadas e entrada das casas</v>
      </c>
      <c r="D3065" s="175" t="s">
        <v>1049</v>
      </c>
      <c r="E3065" s="176" t="s">
        <v>13</v>
      </c>
      <c r="F3065" s="175"/>
      <c r="G3065" s="177" t="str">
        <f>IF(B3065="insumo",_xlfn.XLOOKUP($D3065,Insumos!$B$1:$B$764,Insumos!$D$1:$D$764),"")</f>
        <v/>
      </c>
      <c r="H3065" s="177" cm="1">
        <f t="array" ref="H3065">_xlfn.IFS(B3065="Serviço",SUMIFS(H3066:$H$3085,C3066:$C$3085,$C3065),B3065="Insumo",F3065*G3065,B3065="Etapa","")</f>
        <v>108.03500000000001</v>
      </c>
      <c r="I3065" s="178" t="s">
        <v>195</v>
      </c>
    </row>
    <row r="3066" spans="1:9" hidden="1" outlineLevel="2" x14ac:dyDescent="0.25">
      <c r="A3066" s="175">
        <f t="shared" si="102"/>
        <v>2</v>
      </c>
      <c r="B3066" s="175" t="s">
        <v>327</v>
      </c>
      <c r="C3066" s="175" t="str">
        <f t="shared" si="103"/>
        <v>Pavimentação em Intertravado 10x20x06cm, Para vias, Calçadas e entrada das casas</v>
      </c>
      <c r="D3066" s="175" t="s">
        <v>1050</v>
      </c>
      <c r="E3066" s="176" t="str">
        <f>_xlfn.XLOOKUP(D3066,Insumos!$B$1:$B$764,Insumos!$C$1:$C$764)</f>
        <v>M2</v>
      </c>
      <c r="F3066" s="179">
        <v>1.05</v>
      </c>
      <c r="G3066" s="177">
        <f>IF(B3066="insumo",_xlfn.XLOOKUP($D3066,Insumos!$B$1:$B$764,Insumos!$D$1:$D$764),"")</f>
        <v>75.900000000000006</v>
      </c>
      <c r="H3066" s="177" cm="1">
        <f t="array" ref="H3066">_xlfn.IFS(B3066="Serviço",SUMIFS(H3067:$H$3085,C3067:$C$3085,$C3066),B3066="Insumo",F3066*G3066,B3066="Etapa","")</f>
        <v>79.695000000000007</v>
      </c>
      <c r="I3066" s="178"/>
    </row>
    <row r="3067" spans="1:9" hidden="1" outlineLevel="2" x14ac:dyDescent="0.25">
      <c r="A3067" s="175">
        <f t="shared" si="102"/>
        <v>2</v>
      </c>
      <c r="B3067" s="175" t="s">
        <v>327</v>
      </c>
      <c r="C3067" s="175" t="str">
        <f t="shared" si="103"/>
        <v>Pavimentação em Intertravado 10x20x06cm, Para vias, Calçadas e entrada das casas</v>
      </c>
      <c r="D3067" s="175" t="s">
        <v>1051</v>
      </c>
      <c r="E3067" s="176" t="str">
        <f>_xlfn.XLOOKUP(D3067,Insumos!$B$1:$B$764,Insumos!$C$1:$C$764)</f>
        <v>M3</v>
      </c>
      <c r="F3067" s="179">
        <v>0.09</v>
      </c>
      <c r="G3067" s="177">
        <f>IF(B3067="insumo",_xlfn.XLOOKUP($D3067,Insumos!$B$1:$B$764,Insumos!$D$1:$D$764),"")</f>
        <v>300</v>
      </c>
      <c r="H3067" s="177" cm="1">
        <f t="array" ref="H3067">_xlfn.IFS(B3067="Serviço",SUMIFS(H3068:$H$3085,C3068:$C$3085,$C3067),B3067="Insumo",F3067*G3067,B3067="Etapa","")</f>
        <v>27</v>
      </c>
      <c r="I3067" s="178"/>
    </row>
    <row r="3068" spans="1:9" hidden="1" outlineLevel="2" x14ac:dyDescent="0.25">
      <c r="A3068" s="175">
        <f t="shared" si="102"/>
        <v>2</v>
      </c>
      <c r="B3068" s="175" t="s">
        <v>327</v>
      </c>
      <c r="C3068" s="175" t="str">
        <f t="shared" si="103"/>
        <v>Pavimentação em Intertravado 10x20x06cm, Para vias, Calçadas e entrada das casas</v>
      </c>
      <c r="D3068" s="175" t="s">
        <v>1052</v>
      </c>
      <c r="E3068" s="176" t="str">
        <f>_xlfn.XLOOKUP(D3068,Insumos!$B$1:$B$764,Insumos!$C$1:$C$764)</f>
        <v>M3</v>
      </c>
      <c r="F3068" s="179">
        <v>0.01</v>
      </c>
      <c r="G3068" s="177">
        <f>IF(B3068="insumo",_xlfn.XLOOKUP($D3068,Insumos!$B$1:$B$764,Insumos!$D$1:$D$764),"")</f>
        <v>134</v>
      </c>
      <c r="H3068" s="177" cm="1">
        <f t="array" ref="H3068">_xlfn.IFS(B3068="Serviço",SUMIFS(H3069:$H$3085,C3069:$C$3085,$C3068),B3068="Insumo",F3068*G3068,B3068="Etapa","")</f>
        <v>1.34</v>
      </c>
      <c r="I3068" s="178"/>
    </row>
    <row r="3069" spans="1:9" hidden="1" outlineLevel="1" collapsed="1" x14ac:dyDescent="0.25">
      <c r="A3069" s="175">
        <f t="shared" si="102"/>
        <v>1</v>
      </c>
      <c r="B3069" s="175" t="s">
        <v>109</v>
      </c>
      <c r="C3069" s="175" t="str">
        <f t="shared" si="103"/>
        <v>Mão de Obra Instalação Pavimentação em Intertravado</v>
      </c>
      <c r="D3069" s="175" t="s">
        <v>1053</v>
      </c>
      <c r="E3069" s="176" t="s">
        <v>13</v>
      </c>
      <c r="F3069" s="175"/>
      <c r="G3069" s="177" t="str">
        <f>IF(B3069="insumo",_xlfn.XLOOKUP($D3069,Insumos!$B$1:$B$764,Insumos!$D$1:$D$764),"")</f>
        <v/>
      </c>
      <c r="H3069" s="177" cm="1">
        <f t="array" ref="H3069">_xlfn.IFS(B3069="Serviço",SUMIFS(H3070:$H$3085,C3070:$C$3085,$C3069),B3069="Insumo",F3069*G3069,B3069="Etapa","")</f>
        <v>50</v>
      </c>
      <c r="I3069" s="178" t="s">
        <v>195</v>
      </c>
    </row>
    <row r="3070" spans="1:9" hidden="1" outlineLevel="2" x14ac:dyDescent="0.25">
      <c r="A3070" s="175">
        <f t="shared" si="102"/>
        <v>1</v>
      </c>
      <c r="B3070" s="175" t="s">
        <v>327</v>
      </c>
      <c r="C3070" s="175" t="str">
        <f t="shared" si="103"/>
        <v>Mão de Obra Instalação Pavimentação em Intertravado</v>
      </c>
      <c r="D3070" s="175" t="s">
        <v>1054</v>
      </c>
      <c r="E3070" s="176" t="str">
        <f>_xlfn.XLOOKUP(D3070,Insumos!$B$1:$B$764,Insumos!$C$1:$C$764)</f>
        <v>M2</v>
      </c>
      <c r="F3070" s="179">
        <v>1</v>
      </c>
      <c r="G3070" s="177">
        <f>IF(B3070="insumo",_xlfn.XLOOKUP($D3070,Insumos!$B$1:$B$764,Insumos!$D$1:$D$764),"")</f>
        <v>50</v>
      </c>
      <c r="H3070" s="177" cm="1">
        <f t="array" ref="H3070">_xlfn.IFS(B3070="Serviço",SUMIFS(H3071:$H$3085,C3071:$C$3085,$C3070),B3070="Insumo",F3070*G3070,B3070="Etapa","")</f>
        <v>50</v>
      </c>
      <c r="I3070" s="178"/>
    </row>
    <row r="3071" spans="1:9" hidden="1" outlineLevel="1" collapsed="1" x14ac:dyDescent="0.25">
      <c r="A3071" s="175">
        <f t="shared" si="102"/>
        <v>1</v>
      </c>
      <c r="B3071" s="175" t="s">
        <v>109</v>
      </c>
      <c r="C3071" s="175" t="str">
        <f t="shared" si="103"/>
        <v>Pinturas das faixas de Pedestres</v>
      </c>
      <c r="D3071" s="175" t="s">
        <v>1055</v>
      </c>
      <c r="E3071" s="176" t="s">
        <v>13</v>
      </c>
      <c r="F3071" s="175"/>
      <c r="G3071" s="177" t="str">
        <f>IF(B3071="insumo",_xlfn.XLOOKUP($D3071,Insumos!$B$1:$B$764,Insumos!$D$1:$D$764),"")</f>
        <v/>
      </c>
      <c r="H3071" s="177" cm="1">
        <f t="array" ref="H3071">_xlfn.IFS(B3071="Serviço",SUMIFS(H3072:$H$3085,C3072:$C$3085,$C3071),B3071="Insumo",F3071*G3071,B3071="Etapa","")</f>
        <v>28.335750000000001</v>
      </c>
      <c r="I3071" s="178" t="s">
        <v>195</v>
      </c>
    </row>
    <row r="3072" spans="1:9" hidden="1" outlineLevel="2" x14ac:dyDescent="0.25">
      <c r="A3072" s="175">
        <f t="shared" si="102"/>
        <v>6</v>
      </c>
      <c r="B3072" s="175" t="s">
        <v>327</v>
      </c>
      <c r="C3072" s="175" t="str">
        <f t="shared" si="103"/>
        <v>Pinturas das faixas de Pedestres</v>
      </c>
      <c r="D3072" s="175" t="s">
        <v>823</v>
      </c>
      <c r="E3072" s="176" t="str">
        <f>_xlfn.XLOOKUP(D3072,Insumos!$B$1:$B$764,Insumos!$C$1:$C$764)</f>
        <v>L</v>
      </c>
      <c r="F3072" s="179">
        <v>2.1000000000000001E-2</v>
      </c>
      <c r="G3072" s="177">
        <f>IF(B3072="insumo",_xlfn.XLOOKUP($D3072,Insumos!$B$1:$B$764,Insumos!$D$1:$D$764),"")</f>
        <v>21.99</v>
      </c>
      <c r="H3072" s="177" cm="1">
        <f t="array" ref="H3072">_xlfn.IFS(B3072="Serviço",SUMIFS(H3073:$H$3085,C3073:$C$3085,$C3072),B3072="Insumo",F3072*G3072,B3072="Etapa","")</f>
        <v>0.46178999999999998</v>
      </c>
      <c r="I3072" s="178"/>
    </row>
    <row r="3073" spans="1:9" hidden="1" outlineLevel="2" x14ac:dyDescent="0.25">
      <c r="A3073" s="175">
        <f t="shared" si="102"/>
        <v>2</v>
      </c>
      <c r="B3073" s="175" t="s">
        <v>327</v>
      </c>
      <c r="C3073" s="175" t="str">
        <f t="shared" si="103"/>
        <v>Pinturas das faixas de Pedestres</v>
      </c>
      <c r="D3073" s="175" t="s">
        <v>1056</v>
      </c>
      <c r="E3073" s="176" t="str">
        <f>_xlfn.XLOOKUP(D3073,Insumos!$B$1:$B$764,Insumos!$C$1:$C$764)</f>
        <v>L</v>
      </c>
      <c r="F3073" s="179">
        <v>0.42699999999999999</v>
      </c>
      <c r="G3073" s="177">
        <f>IF(B3073="insumo",_xlfn.XLOOKUP($D3073,Insumos!$B$1:$B$764,Insumos!$D$1:$D$764),"")</f>
        <v>35.42</v>
      </c>
      <c r="H3073" s="177" cm="1">
        <f t="array" ref="H3073">_xlfn.IFS(B3073="Serviço",SUMIFS(H3074:$H$3085,C3074:$C$3085,$C3073),B3073="Insumo",F3073*G3073,B3073="Etapa","")</f>
        <v>15.12434</v>
      </c>
      <c r="I3073" s="178"/>
    </row>
    <row r="3074" spans="1:9" hidden="1" outlineLevel="2" x14ac:dyDescent="0.25">
      <c r="A3074" s="175">
        <f t="shared" ref="A3074" si="104">COUNTIFS($D$2:$D$3085,D3074,$B$2:$B$3085,B3074)</f>
        <v>13</v>
      </c>
      <c r="B3074" s="175" t="s">
        <v>327</v>
      </c>
      <c r="C3074" s="175" t="str">
        <f t="shared" si="103"/>
        <v>Pinturas das faixas de Pedestres</v>
      </c>
      <c r="D3074" s="175" t="s">
        <v>819</v>
      </c>
      <c r="E3074" s="176" t="str">
        <f>_xlfn.XLOOKUP(D3074,Insumos!$B$1:$B$764,Insumos!$C$1:$C$764)</f>
        <v>UN</v>
      </c>
      <c r="F3074" s="179">
        <v>1.2E-2</v>
      </c>
      <c r="G3074" s="177">
        <f>IF(B3074="insumo",_xlfn.XLOOKUP($D3074,Insumos!$B$1:$B$764,Insumos!$D$1:$D$764),"")</f>
        <v>11.26</v>
      </c>
      <c r="H3074" s="177" cm="1">
        <f t="array" ref="H3074">_xlfn.IFS(B3074="Serviço",SUMIFS(H3075:$H$3085,C3075:$C$3085,$C3074),B3074="Insumo",F3074*G3074,B3074="Etapa","")</f>
        <v>0.13511999999999999</v>
      </c>
      <c r="I3074" s="178"/>
    </row>
    <row r="3075" spans="1:9" hidden="1" outlineLevel="2" x14ac:dyDescent="0.25">
      <c r="A3075" s="175">
        <f t="shared" ref="A3075:A3085" si="105">COUNTIFS($D$2:$D$3085,D3075,$B$2:$B$3085,B3075)</f>
        <v>2</v>
      </c>
      <c r="B3075" s="175" t="s">
        <v>327</v>
      </c>
      <c r="C3075" s="175" t="str">
        <f t="shared" si="103"/>
        <v>Pinturas das faixas de Pedestres</v>
      </c>
      <c r="D3075" s="175" t="s">
        <v>1057</v>
      </c>
      <c r="E3075" s="176" t="str">
        <f>_xlfn.XLOOKUP(D3075,Insumos!$B$1:$B$764,Insumos!$C$1:$C$764)</f>
        <v>L</v>
      </c>
      <c r="F3075" s="179">
        <v>0.25</v>
      </c>
      <c r="G3075" s="177">
        <f>IF(B3075="insumo",_xlfn.XLOOKUP($D3075,Insumos!$B$1:$B$764,Insumos!$D$1:$D$764),"")</f>
        <v>40.25</v>
      </c>
      <c r="H3075" s="177" cm="1">
        <f t="array" ref="H3075">_xlfn.IFS(B3075="Serviço",SUMIFS(H3076:$H$3085,C3076:$C$3085,$C3075),B3075="Insumo",F3075*G3075,B3075="Etapa","")</f>
        <v>10.0625</v>
      </c>
      <c r="I3075" s="178"/>
    </row>
    <row r="3076" spans="1:9" hidden="1" outlineLevel="2" x14ac:dyDescent="0.25">
      <c r="A3076" s="175">
        <f t="shared" si="105"/>
        <v>2</v>
      </c>
      <c r="B3076" s="175" t="s">
        <v>327</v>
      </c>
      <c r="C3076" s="175" t="str">
        <f t="shared" si="103"/>
        <v>Pinturas das faixas de Pedestres</v>
      </c>
      <c r="D3076" s="175" t="s">
        <v>1058</v>
      </c>
      <c r="E3076" s="176" t="str">
        <f>_xlfn.XLOOKUP(D3076,Insumos!$B$1:$B$764,Insumos!$C$1:$C$764)</f>
        <v>KG</v>
      </c>
      <c r="F3076" s="179">
        <v>0.11</v>
      </c>
      <c r="G3076" s="177">
        <f>IF(B3076="insumo",_xlfn.XLOOKUP($D3076,Insumos!$B$1:$B$764,Insumos!$D$1:$D$764),"")</f>
        <v>23.2</v>
      </c>
      <c r="H3076" s="177" cm="1">
        <f t="array" ref="H3076">_xlfn.IFS(B3076="Serviço",SUMIFS(H3077:$H$3085,C3077:$C$3085,$C3076),B3076="Insumo",F3076*G3076,B3076="Etapa","")</f>
        <v>2.552</v>
      </c>
      <c r="I3076" s="178"/>
    </row>
    <row r="3077" spans="1:9" hidden="1" outlineLevel="1" collapsed="1" x14ac:dyDescent="0.25">
      <c r="A3077" s="175">
        <f t="shared" si="105"/>
        <v>1</v>
      </c>
      <c r="B3077" s="175" t="s">
        <v>109</v>
      </c>
      <c r="C3077" s="175" t="str">
        <f t="shared" si="103"/>
        <v xml:space="preserve">Pinturas das vias com tinta acrilica </v>
      </c>
      <c r="D3077" s="175" t="s">
        <v>1059</v>
      </c>
      <c r="E3077" s="176" t="s">
        <v>13</v>
      </c>
      <c r="F3077" s="175"/>
      <c r="G3077" s="177" t="str">
        <f>IF(B3077="insumo",_xlfn.XLOOKUP($D3077,Insumos!$B$1:$B$764,Insumos!$D$1:$D$764),"")</f>
        <v/>
      </c>
      <c r="H3077" s="177" cm="1">
        <f t="array" ref="H3077">_xlfn.IFS(B3077="Serviço",SUMIFS(H3078:$H$3085,C3078:$C$3085,$C3077),B3077="Insumo",F3077*G3077,B3077="Etapa","")</f>
        <v>2.8284899999999999</v>
      </c>
      <c r="I3077" s="178" t="s">
        <v>195</v>
      </c>
    </row>
    <row r="3078" spans="1:9" hidden="1" outlineLevel="2" x14ac:dyDescent="0.25">
      <c r="A3078" s="175">
        <f t="shared" si="105"/>
        <v>6</v>
      </c>
      <c r="B3078" s="175" t="s">
        <v>327</v>
      </c>
      <c r="C3078" s="175" t="str">
        <f t="shared" si="103"/>
        <v xml:space="preserve">Pinturas das vias com tinta acrilica </v>
      </c>
      <c r="D3078" s="175" t="s">
        <v>823</v>
      </c>
      <c r="E3078" s="176" t="str">
        <f>_xlfn.XLOOKUP(D3078,Insumos!$B$1:$B$764,Insumos!$C$1:$C$764)</f>
        <v>L</v>
      </c>
      <c r="F3078" s="179">
        <v>2E-3</v>
      </c>
      <c r="G3078" s="177">
        <f>IF(B3078="insumo",_xlfn.XLOOKUP($D3078,Insumos!$B$1:$B$764,Insumos!$D$1:$D$764),"")</f>
        <v>21.99</v>
      </c>
      <c r="H3078" s="177" cm="1">
        <f t="array" ref="H3078">_xlfn.IFS(B3078="Serviço",SUMIFS(H3079:$H$3085,C3079:$C$3085,$C3078),B3078="Insumo",F3078*G3078,B3078="Etapa","")</f>
        <v>4.3979999999999998E-2</v>
      </c>
      <c r="I3078" s="178"/>
    </row>
    <row r="3079" spans="1:9" hidden="1" outlineLevel="2" x14ac:dyDescent="0.25">
      <c r="A3079" s="175">
        <f t="shared" si="105"/>
        <v>2</v>
      </c>
      <c r="B3079" s="175" t="s">
        <v>327</v>
      </c>
      <c r="C3079" s="175" t="str">
        <f t="shared" si="103"/>
        <v xml:space="preserve">Pinturas das vias com tinta acrilica </v>
      </c>
      <c r="D3079" s="175" t="s">
        <v>1056</v>
      </c>
      <c r="E3079" s="176" t="str">
        <f>_xlfn.XLOOKUP(D3079,Insumos!$B$1:$B$764,Insumos!$C$1:$C$764)</f>
        <v>L</v>
      </c>
      <c r="F3079" s="179">
        <v>4.2999999999999997E-2</v>
      </c>
      <c r="G3079" s="177">
        <f>IF(B3079="insumo",_xlfn.XLOOKUP($D3079,Insumos!$B$1:$B$764,Insumos!$D$1:$D$764),"")</f>
        <v>35.42</v>
      </c>
      <c r="H3079" s="177" cm="1">
        <f t="array" ref="H3079">_xlfn.IFS(B3079="Serviço",SUMIFS(H3080:$H$3085,C3080:$C$3085,$C3079),B3079="Insumo",F3079*G3079,B3079="Etapa","")</f>
        <v>1.5230599999999999</v>
      </c>
      <c r="I3079" s="178"/>
    </row>
    <row r="3080" spans="1:9" hidden="1" outlineLevel="2" x14ac:dyDescent="0.25">
      <c r="A3080" s="175">
        <f t="shared" si="105"/>
        <v>2</v>
      </c>
      <c r="B3080" s="175" t="s">
        <v>327</v>
      </c>
      <c r="C3080" s="175" t="str">
        <f t="shared" si="103"/>
        <v xml:space="preserve">Pinturas das vias com tinta acrilica </v>
      </c>
      <c r="D3080" s="175" t="s">
        <v>1057</v>
      </c>
      <c r="E3080" s="176" t="str">
        <f>_xlfn.XLOOKUP(D3080,Insumos!$B$1:$B$764,Insumos!$C$1:$C$764)</f>
        <v>L</v>
      </c>
      <c r="F3080" s="179">
        <v>2.5000000000000001E-2</v>
      </c>
      <c r="G3080" s="177">
        <f>IF(B3080="insumo",_xlfn.XLOOKUP($D3080,Insumos!$B$1:$B$764,Insumos!$D$1:$D$764),"")</f>
        <v>40.25</v>
      </c>
      <c r="H3080" s="177" cm="1">
        <f t="array" ref="H3080">_xlfn.IFS(B3080="Serviço",SUMIFS(H3081:$H$3085,C3081:$C$3085,$C3080),B3080="Insumo",F3080*G3080,B3080="Etapa","")</f>
        <v>1.0062500000000001</v>
      </c>
      <c r="I3080" s="178"/>
    </row>
    <row r="3081" spans="1:9" hidden="1" outlineLevel="2" x14ac:dyDescent="0.25">
      <c r="A3081" s="175">
        <f t="shared" si="105"/>
        <v>2</v>
      </c>
      <c r="B3081" s="175" t="s">
        <v>327</v>
      </c>
      <c r="C3081" s="175" t="str">
        <f t="shared" si="103"/>
        <v xml:space="preserve">Pinturas das vias com tinta acrilica </v>
      </c>
      <c r="D3081" s="175" t="s">
        <v>1058</v>
      </c>
      <c r="E3081" s="176" t="str">
        <f>_xlfn.XLOOKUP(D3081,Insumos!$B$1:$B$764,Insumos!$C$1:$C$764)</f>
        <v>KG</v>
      </c>
      <c r="F3081" s="179">
        <v>1.0999999999999999E-2</v>
      </c>
      <c r="G3081" s="177">
        <f>IF(B3081="insumo",_xlfn.XLOOKUP($D3081,Insumos!$B$1:$B$764,Insumos!$D$1:$D$764),"")</f>
        <v>23.2</v>
      </c>
      <c r="H3081" s="177" cm="1">
        <f t="array" ref="H3081">_xlfn.IFS(B3081="Serviço",SUMIFS(H3082:$H$3085,C3082:$C$3085,$C3081),B3081="Insumo",F3081*G3081,B3081="Etapa","")</f>
        <v>0.25519999999999998</v>
      </c>
      <c r="I3081" s="178"/>
    </row>
    <row r="3082" spans="1:9" hidden="1" outlineLevel="1" collapsed="1" x14ac:dyDescent="0.25">
      <c r="A3082" s="175">
        <f t="shared" si="105"/>
        <v>1</v>
      </c>
      <c r="B3082" s="175" t="s">
        <v>109</v>
      </c>
      <c r="C3082" s="175" t="str">
        <f t="shared" si="103"/>
        <v>Mão de Obra Pinturas das faixas de Pedestres</v>
      </c>
      <c r="D3082" s="175" t="s">
        <v>1060</v>
      </c>
      <c r="E3082" s="176" t="s">
        <v>13</v>
      </c>
      <c r="F3082" s="175"/>
      <c r="G3082" s="177" t="str">
        <f>IF(B3082="insumo",_xlfn.XLOOKUP($D3082,Insumos!$B$1:$B$764,Insumos!$D$1:$D$764),"")</f>
        <v/>
      </c>
      <c r="H3082" s="177" cm="1">
        <f t="array" ref="H3082">_xlfn.IFS(B3082="Serviço",SUMIFS(H3083:$H$3085,C3083:$C$3085,$C3082),B3082="Insumo",F3082*G3082,B3082="Etapa","")</f>
        <v>20</v>
      </c>
      <c r="I3082" s="178" t="s">
        <v>195</v>
      </c>
    </row>
    <row r="3083" spans="1:9" hidden="1" outlineLevel="2" x14ac:dyDescent="0.25">
      <c r="A3083" s="175">
        <f t="shared" si="105"/>
        <v>1</v>
      </c>
      <c r="B3083" s="175" t="s">
        <v>327</v>
      </c>
      <c r="C3083" s="175" t="str">
        <f t="shared" si="103"/>
        <v>Mão de Obra Pinturas das faixas de Pedestres</v>
      </c>
      <c r="D3083" s="175" t="s">
        <v>1060</v>
      </c>
      <c r="E3083" s="176" t="str">
        <f>_xlfn.XLOOKUP(D3083,Insumos!$B$1:$B$764,Insumos!$C$1:$C$764)</f>
        <v>M2</v>
      </c>
      <c r="F3083" s="179">
        <v>1</v>
      </c>
      <c r="G3083" s="177">
        <f>IF(B3083="insumo",_xlfn.XLOOKUP($D3083,Insumos!$B$1:$B$764,Insumos!$D$1:$D$764),"")</f>
        <v>20</v>
      </c>
      <c r="H3083" s="177" cm="1">
        <f t="array" ref="H3083">_xlfn.IFS(B3083="Serviço",SUMIFS(H3084:$H$3085,C3084:$C$3085,$C3083),B3083="Insumo",F3083*G3083,B3083="Etapa","")</f>
        <v>20</v>
      </c>
      <c r="I3083" s="178"/>
    </row>
    <row r="3084" spans="1:9" hidden="1" outlineLevel="1" collapsed="1" x14ac:dyDescent="0.25">
      <c r="A3084" s="175">
        <f t="shared" si="105"/>
        <v>1</v>
      </c>
      <c r="B3084" s="175" t="s">
        <v>109</v>
      </c>
      <c r="C3084" s="175" t="str">
        <f t="shared" si="103"/>
        <v>Mão de Obra Pinturas das vias</v>
      </c>
      <c r="D3084" s="175" t="s">
        <v>1061</v>
      </c>
      <c r="E3084" s="176" t="s">
        <v>25</v>
      </c>
      <c r="F3084" s="175"/>
      <c r="G3084" s="177" t="str">
        <f>IF(B3084="insumo",_xlfn.XLOOKUP($D3084,Insumos!$B$1:$B$764,Insumos!$D$1:$D$764),"")</f>
        <v/>
      </c>
      <c r="H3084" s="177" cm="1">
        <f t="array" aca="1" ref="H3084" ca="1">_xlfn.IFS(B3084="Serviço",SUMIFS(H3085:$H$3085,C3085:$C$3085,$C3084),B3084="Insumo",F3084*G3084,B3084="Etapa","")</f>
        <v>5</v>
      </c>
      <c r="I3084" s="178" t="s">
        <v>195</v>
      </c>
    </row>
    <row r="3085" spans="1:9" hidden="1" outlineLevel="2" x14ac:dyDescent="0.25">
      <c r="A3085" s="175">
        <f t="shared" si="105"/>
        <v>1</v>
      </c>
      <c r="B3085" s="175" t="s">
        <v>327</v>
      </c>
      <c r="C3085" s="175" t="str">
        <f>IF(B3085="serviço",D3085,C3084)</f>
        <v>Mão de Obra Pinturas das vias</v>
      </c>
      <c r="D3085" s="175" t="s">
        <v>1061</v>
      </c>
      <c r="E3085" s="176" t="str">
        <f>_xlfn.XLOOKUP(D3085,Insumos!$B$1:$B$764,Insumos!$C$1:$C$764)</f>
        <v>M</v>
      </c>
      <c r="F3085" s="179">
        <v>1</v>
      </c>
      <c r="G3085" s="177">
        <f>IF(B3085="insumo",_xlfn.XLOOKUP($D3085,Insumos!$B$1:$B$764,Insumos!$D$1:$D$764),"")</f>
        <v>5</v>
      </c>
      <c r="H3085" s="177" cm="1">
        <f t="array" aca="1" ref="H3085" ca="1">_xlfn.IFS(B3085="Serviço",SUMIFS(H$3085:$H3086,C$3085:$C3086,$C3085),B3085="Insumo",F3085*G3085,B3085="Etapa","")</f>
        <v>5</v>
      </c>
      <c r="I3085" s="178"/>
    </row>
  </sheetData>
  <autoFilter ref="B1:I3085" xr:uid="{65D854C9-D0CF-4927-804E-5E062CD88E8E}"/>
  <conditionalFormatting sqref="A245:A399 D357:G431 D664:F667 F665:G671 D668:E671 A836:B974 A977:B985 A988:B996 A999:B1007 A1010:B1018 A1021:B1033 A1062:B1079 D1063:F1063 G1063:G1067 D1068:G1068 D1069:F1069 G1069:G1073 D1074:G1074 D1075:E1079 G1075:G1079 A1749:B1864 A2133:B2319 A1236:B1568 D858:E859 G858:G859 D860:G906 D840:E848 G840:G848 D1031:G1062 D1541:E1542 G1541:G1542 D2199:G2210">
    <cfRule type="expression" dxfId="3957" priority="1986">
      <formula>$B245="Subetapa"</formula>
    </cfRule>
  </conditionalFormatting>
  <conditionalFormatting sqref="A696:A704">
    <cfRule type="expression" dxfId="3956" priority="1664">
      <formula>$B696="Subetapa"</formula>
    </cfRule>
    <cfRule type="expression" dxfId="3955" priority="1663">
      <formula>$B696="Serviço"</formula>
    </cfRule>
  </conditionalFormatting>
  <conditionalFormatting sqref="A705:A740 A774:A786 A788:A793 B796:B827 A693:B695 A1050:B1103 D1103:G1103 A1104:A1129 B1104:B1141 B2327:B2349 A2497:B2556 B2777:B2833 A2778:A2802 A907:B1030 A1034:B1046 D2099:G2192 A2222:B2324 D2309:G2324 D2497:G2547 D2978:G2988 D2992 D2996 D2327:G2341 I300:I716 H717:I728 I729:I795 D249:G286 F290:G290 D300:G327 D2199:G2214 B760:B761 B763:B764 A1543:B1779 D1705:G1712 D2236:E2236 G2236 I2489:I2550 E1700 G1700 A1235:B1272 A1322:B1325 A1327:B1330 A1341:B1515 A1521:B1531 A1783:B1783 A2133:B2199 A2204:B2220 I837:I917 H918:I929 I930:I1155 E2025:E2027 D1224:F1227 I1180:I1302 H1303:I1304 I1305:I1542 A1144:B1155 E550:G552 B552 G2025:G2027 D2217:G2226 D2229:G2229 D2232:G2232 D1476:G1515 D1521:G1522 B1224:B1234 H2350:I2351 I2352:I2445 E2231 G2231 E2228 G2228 D2268:G2271 E2273 G2273 A2489:B2491 D2489:G2491 D1779:G1779 D2303:H2308 H249:H716 D291:G291 H729:H917 D761 H930:H1302 H1305:H2302 E1473:G1475 D1474:D1475 E1527:G1527 E1762:G1762 D1763:G1775 D1783:G1783 D1787:G1787 D1791:F1791 E1836:E1839 D1840:F1840 E1841:E1844 E1901:E1904 G1901:G1904 D1905:G1905 D1906:E1909 G1906:G1909 D1910:G1910 D1911:E1914 G1911:G1914 D1915:G1915 D1916:E1919 G1916:G1919 E2007:G2009 D2008:D2009 E2050:G2052 D2051:D2052 G2197 H2309:H2349 D2934:G2934 E2935:G2977">
    <cfRule type="expression" dxfId="3954" priority="3113">
      <formula>$B249="Serviço"</formula>
    </cfRule>
  </conditionalFormatting>
  <conditionalFormatting sqref="A787">
    <cfRule type="expression" dxfId="3953" priority="3069">
      <formula>$B787="Subetapa"</formula>
    </cfRule>
    <cfRule type="expression" dxfId="3952" priority="3068">
      <formula>$B787="Serviço"</formula>
    </cfRule>
  </conditionalFormatting>
  <conditionalFormatting sqref="A794">
    <cfRule type="expression" dxfId="3951" priority="3064">
      <formula>$B794="Serviço"</formula>
    </cfRule>
    <cfRule type="expression" dxfId="3950" priority="3065">
      <formula>$B794="Subetapa"</formula>
    </cfRule>
  </conditionalFormatting>
  <conditionalFormatting sqref="A796:A827 A1130:B1139 A2777 A3085:C3085">
    <cfRule type="expression" dxfId="3949" priority="3056">
      <formula>$B796="Serviço"</formula>
    </cfRule>
  </conditionalFormatting>
  <conditionalFormatting sqref="A796:A827 B1093:B1141 A1130:B1139 A2777 A3085:C3085 D2547:G2551 D1776:E1778 G1776:G1778 G1780:G1782 D1784:E1786 G1784:G1786 D1788:E1790 D1792:E1794 E2233:E2234 G2233:G2234 D2256:E2257 G2256:G2257 D2259:E2259 G2259 D2988:D2998 D2133:G2192 A975:A1021 B976:B985 B987:B996 B998:B1007 B1009:B1018 B1020:B1021 A1063:A1067 A1069:A1073 A1075:A1129 A2989:A2991 A2993:A2995 A2996:B2998 A2320:A2353 A3044:B3084 A1194:B1223 D2999:G3001 A1034:A1046 A1050:A1061 G976:G985 D987:E996 G987:G996 E1020:G1020 G1021:G1030 D1780:E1782 D2311:D2317 D2320 B2320:B2323">
    <cfRule type="expression" dxfId="3948" priority="3057">
      <formula>$B796="Subetapa"</formula>
    </cfRule>
  </conditionalFormatting>
  <conditionalFormatting sqref="A1140:A1141">
    <cfRule type="expression" dxfId="3947" priority="1570">
      <formula>$B1140="Serviço"</formula>
    </cfRule>
    <cfRule type="expression" dxfId="3946" priority="1571">
      <formula>$B1140="Subetapa"</formula>
    </cfRule>
  </conditionalFormatting>
  <conditionalFormatting sqref="A1178:A1186">
    <cfRule type="expression" dxfId="3945" priority="2117">
      <formula>$B1178="Subetapa"</formula>
    </cfRule>
    <cfRule type="expression" dxfId="3944" priority="2116">
      <formula>$B1178="Serviço"</formula>
    </cfRule>
  </conditionalFormatting>
  <conditionalFormatting sqref="A1183">
    <cfRule type="expression" dxfId="3943" priority="3111">
      <formula>$B1183="Serviço"</formula>
    </cfRule>
    <cfRule type="expression" dxfId="3942" priority="3112">
      <formula>$B1183="Subetapa"</formula>
    </cfRule>
  </conditionalFormatting>
  <conditionalFormatting sqref="A1186:A1187">
    <cfRule type="expression" dxfId="3941" priority="3110">
      <formula>$B1186="Subetapa"</formula>
    </cfRule>
    <cfRule type="expression" dxfId="3940" priority="3109">
      <formula>$B1186="Serviço"</formula>
    </cfRule>
  </conditionalFormatting>
  <conditionalFormatting sqref="A1188">
    <cfRule type="expression" dxfId="3939" priority="404">
      <formula>$B1188="Subetapa"</formula>
    </cfRule>
  </conditionalFormatting>
  <conditionalFormatting sqref="A1188:A1192">
    <cfRule type="expression" dxfId="3938" priority="403">
      <formula>$B1188="Serviço"</formula>
    </cfRule>
  </conditionalFormatting>
  <conditionalFormatting sqref="A1189:A1193">
    <cfRule type="expression" dxfId="3937" priority="2089">
      <formula>$B1189="Subetapa"</formula>
    </cfRule>
  </conditionalFormatting>
  <conditionalFormatting sqref="A1224:A1234">
    <cfRule type="expression" dxfId="3936" priority="329">
      <formula>$B1224="Serviço"</formula>
    </cfRule>
  </conditionalFormatting>
  <conditionalFormatting sqref="A1569:A1585 B1575:B1585 A1586:B1662">
    <cfRule type="expression" dxfId="3935" priority="2261">
      <formula>$B1569="Subetapa"</formula>
    </cfRule>
  </conditionalFormatting>
  <conditionalFormatting sqref="A2325:A2353">
    <cfRule type="expression" dxfId="3934" priority="1442">
      <formula>$B2325="Serviço"</formula>
    </cfRule>
  </conditionalFormatting>
  <conditionalFormatting sqref="A2714:A2716">
    <cfRule type="expression" dxfId="3933" priority="3077">
      <formula>$B2714="Serviço"</formula>
    </cfRule>
    <cfRule type="expression" dxfId="3932" priority="3078">
      <formula>$B2714="Subetapa"</formula>
    </cfRule>
  </conditionalFormatting>
  <conditionalFormatting sqref="A2715">
    <cfRule type="expression" dxfId="3931" priority="3075">
      <formula>$B2715="Serviço"</formula>
    </cfRule>
    <cfRule type="expression" dxfId="3930" priority="3076">
      <formula>$B2715="Subetapa"</formula>
    </cfRule>
  </conditionalFormatting>
  <conditionalFormatting sqref="A2803:A2862">
    <cfRule type="expression" dxfId="3929" priority="2661">
      <formula>$B2803="Subetapa"</formula>
    </cfRule>
    <cfRule type="expression" dxfId="3928" priority="2660">
      <formula>$B2803="Serviço"</formula>
    </cfRule>
  </conditionalFormatting>
  <conditionalFormatting sqref="A2999:A3043">
    <cfRule type="expression" dxfId="3927" priority="1318">
      <formula>$B2999="Subetapa"</formula>
    </cfRule>
  </conditionalFormatting>
  <conditionalFormatting sqref="A209:B244 A487:A552">
    <cfRule type="expression" dxfId="3926" priority="1927">
      <formula>$B209="Serviço"</formula>
    </cfRule>
    <cfRule type="expression" dxfId="3925" priority="1928">
      <formula>$B209="Subetapa"</formula>
    </cfRule>
  </conditionalFormatting>
  <conditionalFormatting sqref="A400:B486">
    <cfRule type="expression" dxfId="3924" priority="1035">
      <formula>$B400="Serviço"</formula>
    </cfRule>
    <cfRule type="expression" dxfId="3923" priority="1036">
      <formula>$B400="Subetapa"</formula>
    </cfRule>
  </conditionalFormatting>
  <conditionalFormatting sqref="A695:B695">
    <cfRule type="expression" dxfId="3922" priority="3106">
      <formula>$B695="Subetapa"</formula>
    </cfRule>
    <cfRule type="expression" dxfId="3921" priority="3105">
      <formula>$B695="Serviço"</formula>
    </cfRule>
  </conditionalFormatting>
  <conditionalFormatting sqref="A698:B698">
    <cfRule type="expression" dxfId="3920" priority="729">
      <formula>$B698="Subetapa"</formula>
    </cfRule>
    <cfRule type="expression" dxfId="3919" priority="728">
      <formula>$B698="Serviço"</formula>
    </cfRule>
  </conditionalFormatting>
  <conditionalFormatting sqref="A701:B701 A704:B704">
    <cfRule type="expression" dxfId="3918" priority="1661">
      <formula>$B701="Serviço"</formula>
    </cfRule>
    <cfRule type="expression" dxfId="3917" priority="1662">
      <formula>$B701="Subetapa"</formula>
    </cfRule>
  </conditionalFormatting>
  <conditionalFormatting sqref="A707:B707 A775:B780 D775:D780 A790:B792 A794:B796 A799:B799 A802:B802">
    <cfRule type="expression" dxfId="3916" priority="3108">
      <formula>$B707="Subetapa"</formula>
    </cfRule>
  </conditionalFormatting>
  <conditionalFormatting sqref="A710:B710">
    <cfRule type="expression" dxfId="3915" priority="629">
      <formula>$B710="Serviço"</formula>
    </cfRule>
    <cfRule type="expression" dxfId="3914" priority="630">
      <formula>$B710="Subetapa"</formula>
    </cfRule>
  </conditionalFormatting>
  <conditionalFormatting sqref="A713:B713 A741:B744">
    <cfRule type="expression" dxfId="3913" priority="2893">
      <formula>$B713="Subetapa"</formula>
    </cfRule>
  </conditionalFormatting>
  <conditionalFormatting sqref="A716:B716 A728:B728 A740:B740">
    <cfRule type="expression" dxfId="3912" priority="382">
      <formula>$B716="Subetapa"</formula>
    </cfRule>
    <cfRule type="expression" dxfId="3911" priority="381">
      <formula>$B716="Serviço"</formula>
    </cfRule>
  </conditionalFormatting>
  <conditionalFormatting sqref="A719:B719">
    <cfRule type="expression" dxfId="3910" priority="9">
      <formula>$B719="Serviço"</formula>
    </cfRule>
    <cfRule type="expression" dxfId="3909" priority="10">
      <formula>$B719="Subetapa"</formula>
    </cfRule>
  </conditionalFormatting>
  <conditionalFormatting sqref="A722:B722">
    <cfRule type="expression" dxfId="3908" priority="7">
      <formula>$B722="Serviço"</formula>
    </cfRule>
    <cfRule type="expression" dxfId="3907" priority="8">
      <formula>$B722="Subetapa"</formula>
    </cfRule>
  </conditionalFormatting>
  <conditionalFormatting sqref="A725:B725">
    <cfRule type="expression" dxfId="3906" priority="12">
      <formula>$B725="Subetapa"</formula>
    </cfRule>
    <cfRule type="expression" dxfId="3905" priority="11">
      <formula>$B725="Serviço"</formula>
    </cfRule>
  </conditionalFormatting>
  <conditionalFormatting sqref="A731:B731">
    <cfRule type="expression" dxfId="3904" priority="377">
      <formula>$B731="Serviço"</formula>
    </cfRule>
    <cfRule type="expression" dxfId="3903" priority="378">
      <formula>$B731="Subetapa"</formula>
    </cfRule>
  </conditionalFormatting>
  <conditionalFormatting sqref="A734:B734">
    <cfRule type="expression" dxfId="3902" priority="375">
      <formula>$B734="Serviço"</formula>
    </cfRule>
    <cfRule type="expression" dxfId="3901" priority="376">
      <formula>$B734="Subetapa"</formula>
    </cfRule>
  </conditionalFormatting>
  <conditionalFormatting sqref="A737:B737">
    <cfRule type="expression" dxfId="3900" priority="380">
      <formula>$B737="Subetapa"</formula>
    </cfRule>
    <cfRule type="expression" dxfId="3899" priority="379">
      <formula>$B737="Serviço"</formula>
    </cfRule>
  </conditionalFormatting>
  <conditionalFormatting sqref="A741:B744 A713:B713">
    <cfRule type="expression" dxfId="3898" priority="2892">
      <formula>$B713="Serviço"</formula>
    </cfRule>
  </conditionalFormatting>
  <conditionalFormatting sqref="A743:B743">
    <cfRule type="expression" dxfId="3897" priority="2891">
      <formula>$B743="Subetapa"</formula>
    </cfRule>
    <cfRule type="expression" dxfId="3896" priority="2890">
      <formula>$B743="Serviço"</formula>
    </cfRule>
  </conditionalFormatting>
  <conditionalFormatting sqref="A745:B747">
    <cfRule type="expression" dxfId="3895" priority="2878">
      <formula>$B745="Serviço"</formula>
    </cfRule>
    <cfRule type="expression" dxfId="3894" priority="2879">
      <formula>$B745="Subetapa"</formula>
    </cfRule>
  </conditionalFormatting>
  <conditionalFormatting sqref="A746:B746">
    <cfRule type="expression" dxfId="3893" priority="2877">
      <formula>$B746="Subetapa"</formula>
    </cfRule>
    <cfRule type="expression" dxfId="3892" priority="2876">
      <formula>$B746="Serviço"</formula>
    </cfRule>
  </conditionalFormatting>
  <conditionalFormatting sqref="A748:B749">
    <cfRule type="expression" dxfId="3891" priority="734">
      <formula>$B748="Serviço"</formula>
    </cfRule>
    <cfRule type="expression" dxfId="3890" priority="735">
      <formula>$B748="Subetapa"</formula>
    </cfRule>
  </conditionalFormatting>
  <conditionalFormatting sqref="A749:B749">
    <cfRule type="expression" dxfId="3889" priority="733">
      <formula>$B749="Subetapa"</formula>
    </cfRule>
    <cfRule type="expression" dxfId="3888" priority="732">
      <formula>$B749="Serviço"</formula>
    </cfRule>
  </conditionalFormatting>
  <conditionalFormatting sqref="A750:B753">
    <cfRule type="expression" dxfId="3887" priority="2864">
      <formula>$B750="Serviço"</formula>
    </cfRule>
    <cfRule type="expression" dxfId="3886" priority="2865">
      <formula>$B750="Subetapa"</formula>
    </cfRule>
  </conditionalFormatting>
  <conditionalFormatting sqref="A752:B752">
    <cfRule type="expression" dxfId="3885" priority="2863">
      <formula>$B752="Subetapa"</formula>
    </cfRule>
    <cfRule type="expression" dxfId="3884" priority="2862">
      <formula>$B752="Serviço"</formula>
    </cfRule>
  </conditionalFormatting>
  <conditionalFormatting sqref="A754:B755 A757:B764">
    <cfRule type="expression" dxfId="3883" priority="2851">
      <formula>$B754="Subetapa"</formula>
    </cfRule>
  </conditionalFormatting>
  <conditionalFormatting sqref="A755:B756">
    <cfRule type="expression" dxfId="3882" priority="632">
      <formula>$B755="Subetapa"</formula>
    </cfRule>
    <cfRule type="expression" dxfId="3881" priority="631">
      <formula>$B755="Serviço"</formula>
    </cfRule>
  </conditionalFormatting>
  <conditionalFormatting sqref="A757:B764 A754:B755">
    <cfRule type="expression" dxfId="3880" priority="2850">
      <formula>$B754="Serviço"</formula>
    </cfRule>
  </conditionalFormatting>
  <conditionalFormatting sqref="A758:B758">
    <cfRule type="expression" dxfId="3879" priority="2849">
      <formula>$B758="Subetapa"</formula>
    </cfRule>
    <cfRule type="expression" dxfId="3878" priority="2848">
      <formula>$B758="Serviço"</formula>
    </cfRule>
  </conditionalFormatting>
  <conditionalFormatting sqref="A765:B773">
    <cfRule type="expression" dxfId="3877" priority="1648">
      <formula>$B765="Subetapa"</formula>
    </cfRule>
    <cfRule type="expression" dxfId="3876" priority="1647">
      <formula>$B765="Serviço"</formula>
    </cfRule>
  </conditionalFormatting>
  <conditionalFormatting sqref="A782:B788 D782:D792">
    <cfRule type="expression" dxfId="3875" priority="3071">
      <formula>$B782="Subetapa"</formula>
    </cfRule>
    <cfRule type="expression" dxfId="3874" priority="3070">
      <formula>$B782="Serviço"</formula>
    </cfRule>
  </conditionalFormatting>
  <conditionalFormatting sqref="A794:B796 A799:B799 A802:B802 A707:B707 A775:B780 D775:D780 A790:B792">
    <cfRule type="expression" dxfId="3873" priority="3107">
      <formula>$B707="Serviço"</formula>
    </cfRule>
  </conditionalFormatting>
  <conditionalFormatting sqref="A805:B805">
    <cfRule type="expression" dxfId="3872" priority="2980">
      <formula>$B805="Serviço"</formula>
    </cfRule>
    <cfRule type="expression" dxfId="3871" priority="2981">
      <formula>$B805="Subetapa"</formula>
    </cfRule>
  </conditionalFormatting>
  <conditionalFormatting sqref="A808:B808">
    <cfRule type="expression" dxfId="3870" priority="3100">
      <formula>$B808="Subetapa"</formula>
    </cfRule>
    <cfRule type="expression" dxfId="3869" priority="3099">
      <formula>$B808="Serviço"</formula>
    </cfRule>
  </conditionalFormatting>
  <conditionalFormatting sqref="A811:B811 A814:B814">
    <cfRule type="expression" dxfId="3868" priority="3104">
      <formula>$B811="Subetapa"</formula>
    </cfRule>
    <cfRule type="expression" dxfId="3867" priority="3103">
      <formula>$B811="Serviço"</formula>
    </cfRule>
  </conditionalFormatting>
  <conditionalFormatting sqref="A817:B818">
    <cfRule type="expression" dxfId="3866" priority="3101">
      <formula>$B817="Serviço"</formula>
    </cfRule>
    <cfRule type="expression" dxfId="3865" priority="3102">
      <formula>$B817="Subetapa"</formula>
    </cfRule>
  </conditionalFormatting>
  <conditionalFormatting sqref="A821:B827">
    <cfRule type="expression" dxfId="3864" priority="3098">
      <formula>$B821="Subetapa"</formula>
    </cfRule>
    <cfRule type="expression" dxfId="3863" priority="3097">
      <formula>$B821="Serviço"</formula>
    </cfRule>
  </conditionalFormatting>
  <conditionalFormatting sqref="A828:B837">
    <cfRule type="expression" dxfId="3862" priority="1669">
      <formula>$B828="Serviço"</formula>
    </cfRule>
    <cfRule type="expression" dxfId="3861" priority="1670">
      <formula>$B828="Subetapa"</formula>
    </cfRule>
  </conditionalFormatting>
  <conditionalFormatting sqref="A836:B906 A1021:B1033 A245:A399 D357:G431 D664:F667 F665:G671 D668:E671 A909:B917 A932:B940 A943:B951 A954:B962 A977:B985 A988:B996 A999:B1007 A1010:B1018 D1063:F1063 A1063:B1067 G1063:G1067 D1068:G1068 D1069:F1069 A1069:B1073 G1069:G1073 D1074:G1074 A1075:B1079 D1075:E1079 G1075:G1079">
    <cfRule type="expression" dxfId="3860" priority="1985">
      <formula>$B245="Serviço"</formula>
    </cfRule>
  </conditionalFormatting>
  <conditionalFormatting sqref="A920:B929">
    <cfRule type="expression" dxfId="3859" priority="1">
      <formula>$B920="Serviço"</formula>
    </cfRule>
  </conditionalFormatting>
  <conditionalFormatting sqref="A965:B965">
    <cfRule type="expression" dxfId="3858" priority="503">
      <formula>$B965="Subetapa"</formula>
    </cfRule>
  </conditionalFormatting>
  <conditionalFormatting sqref="A965:B974">
    <cfRule type="expression" dxfId="3857" priority="502">
      <formula>$B965="Serviço"</formula>
    </cfRule>
  </conditionalFormatting>
  <conditionalFormatting sqref="A1033:B1049">
    <cfRule type="expression" dxfId="3856" priority="628">
      <formula>$B1033="Subetapa"</formula>
    </cfRule>
    <cfRule type="expression" dxfId="3855" priority="627">
      <formula>$B1033="Serviço"</formula>
    </cfRule>
  </conditionalFormatting>
  <conditionalFormatting sqref="A1049:B1061">
    <cfRule type="expression" dxfId="3854" priority="626">
      <formula>$B1049="Subetapa"</formula>
    </cfRule>
    <cfRule type="expression" dxfId="3853" priority="625">
      <formula>$B1049="Serviço"</formula>
    </cfRule>
  </conditionalFormatting>
  <conditionalFormatting sqref="A1082:B1091">
    <cfRule type="expression" dxfId="3852" priority="3095">
      <formula>$B1082="Serviço"</formula>
    </cfRule>
    <cfRule type="expression" dxfId="3851" priority="3096">
      <formula>$B1082="Subetapa"</formula>
    </cfRule>
  </conditionalFormatting>
  <conditionalFormatting sqref="A1094:B1103">
    <cfRule type="expression" dxfId="3850" priority="3090">
      <formula>$B1094="Subetapa"</formula>
    </cfRule>
    <cfRule type="expression" dxfId="3849" priority="3089">
      <formula>$B1094="Serviço"</formula>
    </cfRule>
  </conditionalFormatting>
  <conditionalFormatting sqref="A1106:B1115">
    <cfRule type="expression" dxfId="3848" priority="3092">
      <formula>$B1106="Subetapa"</formula>
    </cfRule>
    <cfRule type="expression" dxfId="3847" priority="3091">
      <formula>$B1106="Serviço"</formula>
    </cfRule>
  </conditionalFormatting>
  <conditionalFormatting sqref="A1118:B1127">
    <cfRule type="expression" dxfId="3846" priority="3087">
      <formula>$B1118="Serviço"</formula>
    </cfRule>
    <cfRule type="expression" dxfId="3845" priority="3088">
      <formula>$B1118="Subetapa"</formula>
    </cfRule>
  </conditionalFormatting>
  <conditionalFormatting sqref="A1142:B1143">
    <cfRule type="expression" dxfId="3844" priority="1085">
      <formula>$B1142="Serviço"</formula>
    </cfRule>
  </conditionalFormatting>
  <conditionalFormatting sqref="A1142:B1177">
    <cfRule type="expression" dxfId="3843" priority="1208">
      <formula>$B1142="Subetapa"</formula>
    </cfRule>
  </conditionalFormatting>
  <conditionalFormatting sqref="A1145:B1149">
    <cfRule type="expression" dxfId="3842" priority="979">
      <formula>$B1145="Serviço"</formula>
    </cfRule>
  </conditionalFormatting>
  <conditionalFormatting sqref="A1151:B1177">
    <cfRule type="expression" dxfId="3841" priority="977">
      <formula>$B1151="Serviço"</formula>
    </cfRule>
  </conditionalFormatting>
  <conditionalFormatting sqref="A1193:B1223 A1273:B1321 A1326:B1326">
    <cfRule type="expression" dxfId="3840" priority="1009">
      <formula>$B1193="Serviço"</formula>
    </cfRule>
  </conditionalFormatting>
  <conditionalFormatting sqref="A1224:B1235">
    <cfRule type="expression" dxfId="3839" priority="330">
      <formula>$B1224="Subetapa"</formula>
    </cfRule>
  </conditionalFormatting>
  <conditionalFormatting sqref="A1331:B1340">
    <cfRule type="expression" dxfId="3838" priority="307">
      <formula>$B1331="Serviço"</formula>
    </cfRule>
  </conditionalFormatting>
  <conditionalFormatting sqref="A1516:B1520 D1516:G1520">
    <cfRule type="expression" dxfId="3837" priority="427">
      <formula>$B1516="Serviço"</formula>
    </cfRule>
  </conditionalFormatting>
  <conditionalFormatting sqref="A1532:B1542">
    <cfRule type="expression" dxfId="3836" priority="327">
      <formula>$B1532="Serviço"</formula>
    </cfRule>
  </conditionalFormatting>
  <conditionalFormatting sqref="A1695:B1748">
    <cfRule type="expression" dxfId="3835" priority="316">
      <formula>$B1695="Subetapa"</formula>
    </cfRule>
  </conditionalFormatting>
  <conditionalFormatting sqref="A1780:B1782 D1780:E1782">
    <cfRule type="expression" dxfId="3834" priority="114">
      <formula>$B1780="Serviço"</formula>
    </cfRule>
  </conditionalFormatting>
  <conditionalFormatting sqref="A1784:B1869">
    <cfRule type="expression" dxfId="3833" priority="1499">
      <formula>$B1784="Serviço"</formula>
    </cfRule>
  </conditionalFormatting>
  <conditionalFormatting sqref="A1865:B1996">
    <cfRule type="expression" dxfId="3832" priority="1058">
      <formula>$B1865="Subetapa"</formula>
    </cfRule>
  </conditionalFormatting>
  <conditionalFormatting sqref="A1870:B2013 I1875:I1919 I1997:I2013 A2017:B2038 A2039:A2117 D2548:G2557 D2558:E2558 G2558 D2559:G2559 D2560:E2561 G2560:G2561 D2675:E2675 D2682:E2682 D2684:E2684 D2711:G2731 A2717:A2734 I2557:I2638 A2739:A2742 G2675 G2682 G2684 I2709 B2714:B2734">
    <cfRule type="expression" dxfId="3831" priority="2690">
      <formula>$B1870="Serviço"</formula>
    </cfRule>
  </conditionalFormatting>
  <conditionalFormatting sqref="A2014:B2016">
    <cfRule type="expression" dxfId="3830" priority="289">
      <formula>$B2014="Subetapa"</formula>
    </cfRule>
    <cfRule type="expression" dxfId="3829" priority="290">
      <formula>$B2014="Serviço"</formula>
    </cfRule>
  </conditionalFormatting>
  <conditionalFormatting sqref="A2118:B2132">
    <cfRule type="expression" dxfId="3828" priority="1004">
      <formula>$B2118="Serviço"</formula>
    </cfRule>
    <cfRule type="expression" dxfId="3827" priority="1005">
      <formula>$B2118="Subetapa"</formula>
    </cfRule>
  </conditionalFormatting>
  <conditionalFormatting sqref="A2200:B2203">
    <cfRule type="expression" dxfId="3826" priority="971">
      <formula>$B2200="Serviço"</formula>
    </cfRule>
  </conditionalFormatting>
  <conditionalFormatting sqref="A2221:B2221">
    <cfRule type="expression" dxfId="3825" priority="1223">
      <formula>$B2221="Serviço"</formula>
    </cfRule>
  </conditionalFormatting>
  <conditionalFormatting sqref="A2347:B2347">
    <cfRule type="expression" dxfId="3824" priority="3085">
      <formula>$B2347="Serviço"</formula>
    </cfRule>
    <cfRule type="expression" dxfId="3823" priority="3086">
      <formula>$B2347="Subetapa"</formula>
    </cfRule>
  </conditionalFormatting>
  <conditionalFormatting sqref="A2354:B2452">
    <cfRule type="expression" dxfId="3822" priority="982">
      <formula>$B2354="Subetapa"</formula>
    </cfRule>
  </conditionalFormatting>
  <conditionalFormatting sqref="A2354:B2476">
    <cfRule type="expression" dxfId="3821" priority="981">
      <formula>$B2354="Serviço"</formula>
    </cfRule>
  </conditionalFormatting>
  <conditionalFormatting sqref="A2453:B2458">
    <cfRule type="expression" dxfId="3820" priority="680">
      <formula>$B2453="Subetapa"</formula>
    </cfRule>
  </conditionalFormatting>
  <conditionalFormatting sqref="A2459:B2476">
    <cfRule type="expression" dxfId="3819" priority="994">
      <formula>$B2459="Subetapa"</formula>
    </cfRule>
  </conditionalFormatting>
  <conditionalFormatting sqref="A2477:B2488 D2477:G2488">
    <cfRule type="expression" dxfId="3818" priority="57">
      <formula>$B2477="Serviço"</formula>
    </cfRule>
  </conditionalFormatting>
  <conditionalFormatting sqref="A2477:B2546 D2477:G2546 I2492:I2546">
    <cfRule type="expression" dxfId="3817" priority="183">
      <formula>$B2477="Subetapa"</formula>
    </cfRule>
  </conditionalFormatting>
  <conditionalFormatting sqref="A2492:B2496 D2492:G2496">
    <cfRule type="expression" dxfId="3816" priority="182">
      <formula>$B2492="Serviço"</formula>
    </cfRule>
  </conditionalFormatting>
  <conditionalFormatting sqref="A2548:B2549">
    <cfRule type="expression" dxfId="3815" priority="3073">
      <formula>$B2548="Serviço"</formula>
    </cfRule>
    <cfRule type="expression" dxfId="3814" priority="3074">
      <formula>$B2548="Subetapa"</formula>
    </cfRule>
  </conditionalFormatting>
  <conditionalFormatting sqref="A2553:B2554">
    <cfRule type="expression" dxfId="3813" priority="1128">
      <formula>$B2553="Serviço"</formula>
    </cfRule>
  </conditionalFormatting>
  <conditionalFormatting sqref="A2557:B2710">
    <cfRule type="expression" dxfId="3812" priority="989">
      <formula>$B2557="Serviço"</formula>
    </cfRule>
  </conditionalFormatting>
  <conditionalFormatting sqref="A2711:B2713">
    <cfRule type="expression" dxfId="3811" priority="3083">
      <formula>$B2711="Serviço"</formula>
    </cfRule>
    <cfRule type="expression" dxfId="3810" priority="3084">
      <formula>$B2711="Subetapa"</formula>
    </cfRule>
  </conditionalFormatting>
  <conditionalFormatting sqref="A2712:B2712">
    <cfRule type="expression" dxfId="3809" priority="3081">
      <formula>$B2712="Serviço"</formula>
    </cfRule>
    <cfRule type="expression" dxfId="3808" priority="3082">
      <formula>$B2712="Subetapa"</formula>
    </cfRule>
  </conditionalFormatting>
  <conditionalFormatting sqref="A2735:B2738">
    <cfRule type="expression" dxfId="3807" priority="987">
      <formula>$B2735="Subetapa"</formula>
    </cfRule>
    <cfRule type="expression" dxfId="3806" priority="988">
      <formula>$B2735="Serviço"</formula>
    </cfRule>
  </conditionalFormatting>
  <conditionalFormatting sqref="A2739:B2742">
    <cfRule type="expression" dxfId="3805" priority="2155">
      <formula>$B2739="Subetapa"</formula>
    </cfRule>
  </conditionalFormatting>
  <conditionalFormatting sqref="A2741:B2774 I2743:I2774">
    <cfRule type="expression" dxfId="3804" priority="1690">
      <formula>$B2741="Serviço"</formula>
    </cfRule>
    <cfRule type="expression" dxfId="3803" priority="1691">
      <formula>$B2741="Subetapa"</formula>
    </cfRule>
  </conditionalFormatting>
  <conditionalFormatting sqref="A2744:B2744 D2744:G2744">
    <cfRule type="expression" dxfId="3802" priority="1689">
      <formula>$B2744="Subetapa"</formula>
    </cfRule>
  </conditionalFormatting>
  <conditionalFormatting sqref="A2744:B2744">
    <cfRule type="expression" dxfId="3801" priority="1688">
      <formula>$B2744="Serviço"</formula>
    </cfRule>
  </conditionalFormatting>
  <conditionalFormatting sqref="A2775:B2776 D2775:G2776 I2775:I2776">
    <cfRule type="expression" dxfId="3800" priority="175">
      <formula>$B2775="Subetapa"</formula>
    </cfRule>
  </conditionalFormatting>
  <conditionalFormatting sqref="A2775:B2776 D2775:G2777 I2775:I2811">
    <cfRule type="expression" dxfId="3799" priority="178">
      <formula>$B2775="Serviço"</formula>
    </cfRule>
  </conditionalFormatting>
  <conditionalFormatting sqref="A2779:B2785 D2779:D2785">
    <cfRule type="expression" dxfId="3798" priority="3072">
      <formula>$B2779="Subetapa"</formula>
    </cfRule>
  </conditionalFormatting>
  <conditionalFormatting sqref="A2863:B2926">
    <cfRule type="expression" dxfId="3797" priority="1049">
      <formula>$B2863="Subetapa"</formula>
    </cfRule>
  </conditionalFormatting>
  <conditionalFormatting sqref="A2863:B2928">
    <cfRule type="expression" dxfId="3796" priority="1025">
      <formula>$B2863="Serviço"</formula>
    </cfRule>
  </conditionalFormatting>
  <conditionalFormatting sqref="A2929:B2998 D2929">
    <cfRule type="expression" dxfId="3795" priority="1560">
      <formula>$B2929="Serviço"</formula>
    </cfRule>
  </conditionalFormatting>
  <conditionalFormatting sqref="A3036:B3084 I3034:I3043">
    <cfRule type="expression" dxfId="3794" priority="1319">
      <formula>$B3034="Serviço"</formula>
    </cfRule>
  </conditionalFormatting>
  <conditionalFormatting sqref="A2:C148">
    <cfRule type="expression" dxfId="3793" priority="1094">
      <formula>$B2="Subetapa"</formula>
    </cfRule>
  </conditionalFormatting>
  <conditionalFormatting sqref="A2:I208">
    <cfRule type="expression" dxfId="3792" priority="884">
      <formula>$B2="Serviço"</formula>
    </cfRule>
  </conditionalFormatting>
  <conditionalFormatting sqref="A208:I208">
    <cfRule type="expression" dxfId="3791" priority="2621">
      <formula>$B208="Subetapa"</formula>
    </cfRule>
  </conditionalFormatting>
  <conditionalFormatting sqref="B245:B247">
    <cfRule type="expression" dxfId="3790" priority="2638">
      <formula>$B245="Serviço"</formula>
    </cfRule>
    <cfRule type="expression" dxfId="3789" priority="2639">
      <formula>$B245="Subetapa"</formula>
    </cfRule>
  </conditionalFormatting>
  <conditionalFormatting sqref="B249:B399">
    <cfRule type="expression" dxfId="3788" priority="1082">
      <formula>$B249="Subetapa"</formula>
    </cfRule>
  </conditionalFormatting>
  <conditionalFormatting sqref="B487:B551">
    <cfRule type="expression" dxfId="3787" priority="975">
      <formula>$B487="Serviço"</formula>
    </cfRule>
  </conditionalFormatting>
  <conditionalFormatting sqref="B487:B552">
    <cfRule type="expression" dxfId="3786" priority="976">
      <formula>$B487="Subetapa"</formula>
    </cfRule>
  </conditionalFormatting>
  <conditionalFormatting sqref="B696:B705">
    <cfRule type="expression" dxfId="3785" priority="1665">
      <formula>$B696="Serviço"</formula>
    </cfRule>
    <cfRule type="expression" dxfId="3784" priority="1666">
      <formula>$B696="Subetapa"</formula>
    </cfRule>
  </conditionalFormatting>
  <conditionalFormatting sqref="B706:B740">
    <cfRule type="expression" dxfId="3783" priority="3344">
      <formula>$B706="Serviço"</formula>
    </cfRule>
    <cfRule type="expression" dxfId="3782" priority="3345">
      <formula>$B706="Subetapa"</formula>
    </cfRule>
  </conditionalFormatting>
  <conditionalFormatting sqref="B766:B767">
    <cfRule type="expression" dxfId="3781" priority="2324">
      <formula>$B766="Serviço"</formula>
    </cfRule>
    <cfRule type="expression" dxfId="3780" priority="2325">
      <formula>$B766="Subetapa"</formula>
    </cfRule>
  </conditionalFormatting>
  <conditionalFormatting sqref="B769:B770">
    <cfRule type="expression" dxfId="3779" priority="1650">
      <formula>$B769="Subetapa"</formula>
    </cfRule>
    <cfRule type="expression" dxfId="3778" priority="1649">
      <formula>$B769="Serviço"</formula>
    </cfRule>
  </conditionalFormatting>
  <conditionalFormatting sqref="B772:B774">
    <cfRule type="expression" dxfId="3777" priority="2313">
      <formula>$B772="Subetapa"</formula>
    </cfRule>
    <cfRule type="expression" dxfId="3776" priority="2312">
      <formula>$B772="Serviço"</formula>
    </cfRule>
  </conditionalFormatting>
  <conditionalFormatting sqref="B775:B794">
    <cfRule type="expression" dxfId="3775" priority="3135">
      <formula>$B775="Serviço"</formula>
    </cfRule>
    <cfRule type="expression" dxfId="3774" priority="3136">
      <formula>$B775="Subetapa"</formula>
    </cfRule>
  </conditionalFormatting>
  <conditionalFormatting sqref="B975">
    <cfRule type="expression" dxfId="3773" priority="478">
      <formula>$B975="Subetapa"</formula>
    </cfRule>
  </conditionalFormatting>
  <conditionalFormatting sqref="B986">
    <cfRule type="expression" dxfId="3772" priority="483">
      <formula>$B986="Subetapa"</formula>
    </cfRule>
  </conditionalFormatting>
  <conditionalFormatting sqref="B997">
    <cfRule type="expression" dxfId="3771" priority="488">
      <formula>$B997="Subetapa"</formula>
    </cfRule>
  </conditionalFormatting>
  <conditionalFormatting sqref="B1008">
    <cfRule type="expression" dxfId="3770" priority="496">
      <formula>$B1008="Subetapa"</formula>
    </cfRule>
  </conditionalFormatting>
  <conditionalFormatting sqref="B1019">
    <cfRule type="expression" dxfId="3769" priority="457">
      <formula>$B1019="Subetapa"</formula>
    </cfRule>
  </conditionalFormatting>
  <conditionalFormatting sqref="B1178:B1179">
    <cfRule type="expression" dxfId="3768" priority="1046">
      <formula>$B1178="Serviço"</formula>
    </cfRule>
    <cfRule type="expression" dxfId="3767" priority="1047">
      <formula>$B1178="Subetapa"</formula>
    </cfRule>
  </conditionalFormatting>
  <conditionalFormatting sqref="B1180:B1183 I1180">
    <cfRule type="expression" dxfId="3766" priority="3282">
      <formula>$B1180="Subetapa"</formula>
    </cfRule>
  </conditionalFormatting>
  <conditionalFormatting sqref="B1180:B1183">
    <cfRule type="expression" dxfId="3765" priority="3281">
      <formula>$B1180="Serviço"</formula>
    </cfRule>
  </conditionalFormatting>
  <conditionalFormatting sqref="B1183:B1192">
    <cfRule type="expression" dxfId="3764" priority="1044">
      <formula>$B1183="Serviço"</formula>
    </cfRule>
  </conditionalFormatting>
  <conditionalFormatting sqref="B1183:B1193">
    <cfRule type="expression" dxfId="3763" priority="2095">
      <formula>$B1183="Subetapa"</formula>
    </cfRule>
  </conditionalFormatting>
  <conditionalFormatting sqref="B1186">
    <cfRule type="expression" dxfId="3762" priority="3530">
      <formula>$B1186="Serviço"</formula>
    </cfRule>
    <cfRule type="expression" dxfId="3761" priority="3531">
      <formula>$B1186="Subetapa"</formula>
    </cfRule>
  </conditionalFormatting>
  <conditionalFormatting sqref="B2039:B2117">
    <cfRule type="expression" dxfId="3760" priority="1055">
      <formula>$B2039="Subetapa"</formula>
    </cfRule>
    <cfRule type="expression" dxfId="3759" priority="1054">
      <formula>$B2039="Serviço"</formula>
    </cfRule>
  </conditionalFormatting>
  <conditionalFormatting sqref="B2193:B2194 D2193:D2194">
    <cfRule type="expression" dxfId="3758" priority="3529">
      <formula>$B2193="Subetapa"</formula>
    </cfRule>
  </conditionalFormatting>
  <conditionalFormatting sqref="B2324 D2324:G2324 B2329:B2349">
    <cfRule type="expression" dxfId="3757" priority="3305">
      <formula>$B2324="Subetapa"</formula>
    </cfRule>
  </conditionalFormatting>
  <conditionalFormatting sqref="B2325:B2326">
    <cfRule type="expression" dxfId="3756" priority="996">
      <formula>$B2325="Subetapa"</formula>
    </cfRule>
    <cfRule type="expression" dxfId="3755" priority="995">
      <formula>$B2325="Serviço"</formula>
    </cfRule>
  </conditionalFormatting>
  <conditionalFormatting sqref="B2327:B2328 D2327:G2328">
    <cfRule type="expression" dxfId="3754" priority="262">
      <formula>$B2327="Subetapa"</formula>
    </cfRule>
  </conditionalFormatting>
  <conditionalFormatting sqref="B2350:B2353">
    <cfRule type="expression" dxfId="3753" priority="1083">
      <formula>$B2350="Serviço"</formula>
    </cfRule>
    <cfRule type="expression" dxfId="3752" priority="1084">
      <formula>$B2350="Subetapa"</formula>
    </cfRule>
  </conditionalFormatting>
  <conditionalFormatting sqref="B2714:B2715">
    <cfRule type="expression" dxfId="3751" priority="3474">
      <formula>$B2714="Subetapa"</formula>
    </cfRule>
  </conditionalFormatting>
  <conditionalFormatting sqref="B2715:B2734">
    <cfRule type="expression" dxfId="3750" priority="1096">
      <formula>$B2715="Subetapa"</formula>
    </cfRule>
  </conditionalFormatting>
  <conditionalFormatting sqref="B2739:B2742">
    <cfRule type="expression" dxfId="3749" priority="2154">
      <formula>$B2739="Serviço"</formula>
    </cfRule>
  </conditionalFormatting>
  <conditionalFormatting sqref="B2834:B2862">
    <cfRule type="expression" dxfId="3748" priority="1105">
      <formula>$B2834="Serviço"</formula>
    </cfRule>
  </conditionalFormatting>
  <conditionalFormatting sqref="B2989:B2991">
    <cfRule type="expression" dxfId="3747" priority="1026">
      <formula>$B2989="Subetapa"</formula>
    </cfRule>
  </conditionalFormatting>
  <conditionalFormatting sqref="B2993:B2995">
    <cfRule type="expression" dxfId="3746" priority="1028">
      <formula>$B2993="Subetapa"</formula>
    </cfRule>
  </conditionalFormatting>
  <conditionalFormatting sqref="B2999:B3043 D3036:G3043">
    <cfRule type="expression" dxfId="3745" priority="1321">
      <formula>$B2999="Subetapa"</formula>
    </cfRule>
  </conditionalFormatting>
  <conditionalFormatting sqref="B149:C196">
    <cfRule type="expression" dxfId="3744" priority="1092">
      <formula>$B149="Subetapa"</formula>
    </cfRule>
  </conditionalFormatting>
  <conditionalFormatting sqref="B197:H207">
    <cfRule type="expression" dxfId="3743" priority="887">
      <formula>$B197="Subetapa"</formula>
    </cfRule>
  </conditionalFormatting>
  <conditionalFormatting sqref="B248:I248 B249:B399">
    <cfRule type="expression" dxfId="3742" priority="1034">
      <formula>$B248="Serviço"</formula>
    </cfRule>
  </conditionalFormatting>
  <conditionalFormatting sqref="C209:C247">
    <cfRule type="expression" dxfId="3741" priority="1031">
      <formula>$B209="Subetapa"</formula>
    </cfRule>
  </conditionalFormatting>
  <conditionalFormatting sqref="C249:C3084">
    <cfRule type="expression" dxfId="3740" priority="21">
      <formula>$B249="Serviço"</formula>
    </cfRule>
    <cfRule type="expression" dxfId="3739" priority="22">
      <formula>$B249="Subetapa"</formula>
    </cfRule>
  </conditionalFormatting>
  <conditionalFormatting sqref="C209:I247">
    <cfRule type="expression" dxfId="3738" priority="817">
      <formula>$B209="Serviço"</formula>
    </cfRule>
  </conditionalFormatting>
  <conditionalFormatting sqref="D269:D281">
    <cfRule type="expression" dxfId="3737" priority="3337">
      <formula>$B269="Subetapa"</formula>
    </cfRule>
  </conditionalFormatting>
  <conditionalFormatting sqref="D292:D295">
    <cfRule type="expression" dxfId="3736" priority="1952">
      <formula>$B292="Subetapa"</formula>
    </cfRule>
    <cfRule type="expression" dxfId="3735" priority="1951">
      <formula>$B292="Serviço"</formula>
    </cfRule>
  </conditionalFormatting>
  <conditionalFormatting sqref="D344:D348">
    <cfRule type="expression" dxfId="3734" priority="2476">
      <formula>$B344="Serviço"</formula>
    </cfRule>
    <cfRule type="expression" dxfId="3733" priority="2477">
      <formula>$B344="Subetapa"</formula>
    </cfRule>
  </conditionalFormatting>
  <conditionalFormatting sqref="D349">
    <cfRule type="expression" dxfId="3732" priority="2469">
      <formula>#REF!="Subetapa"</formula>
    </cfRule>
    <cfRule type="expression" dxfId="3731" priority="2468">
      <formula>#REF!="Serviço"</formula>
    </cfRule>
  </conditionalFormatting>
  <conditionalFormatting sqref="D356">
    <cfRule type="expression" dxfId="3730" priority="3055">
      <formula>#REF!="Subetapa"</formula>
    </cfRule>
    <cfRule type="expression" dxfId="3729" priority="3054">
      <formula>#REF!="Serviço"</formula>
    </cfRule>
  </conditionalFormatting>
  <conditionalFormatting sqref="D437">
    <cfRule type="expression" dxfId="3728" priority="3053">
      <formula>#REF!="Subetapa"</formula>
    </cfRule>
    <cfRule type="expression" dxfId="3727" priority="3052">
      <formula>#REF!="Serviço"</formula>
    </cfRule>
  </conditionalFormatting>
  <conditionalFormatting sqref="D545">
    <cfRule type="expression" dxfId="3726" priority="3049">
      <formula>#REF!="Subetapa"</formula>
    </cfRule>
    <cfRule type="expression" dxfId="3725" priority="3048">
      <formula>#REF!="Serviço"</formula>
    </cfRule>
  </conditionalFormatting>
  <conditionalFormatting sqref="D550:D552">
    <cfRule type="expression" dxfId="3724" priority="1196">
      <formula>$B550="Serviço"</formula>
    </cfRule>
  </conditionalFormatting>
  <conditionalFormatting sqref="D630">
    <cfRule type="expression" dxfId="3723" priority="3340">
      <formula>$B630="Serviço"</formula>
    </cfRule>
    <cfRule type="expression" dxfId="3722" priority="3341">
      <formula>$B630="Subetapa"</formula>
    </cfRule>
  </conditionalFormatting>
  <conditionalFormatting sqref="D760">
    <cfRule type="expression" dxfId="3721" priority="2821">
      <formula>$A760=2</formula>
    </cfRule>
  </conditionalFormatting>
  <conditionalFormatting sqref="D781">
    <cfRule type="expression" dxfId="3720" priority="3347">
      <formula>$B781="Subetapa"</formula>
    </cfRule>
  </conditionalFormatting>
  <conditionalFormatting sqref="D827">
    <cfRule type="expression" dxfId="3719" priority="3051">
      <formula>#REF!="Subetapa"</formula>
    </cfRule>
    <cfRule type="expression" dxfId="3718" priority="3050">
      <formula>#REF!="Serviço"</formula>
    </cfRule>
  </conditionalFormatting>
  <conditionalFormatting sqref="D1020:D1022">
    <cfRule type="expression" dxfId="3717" priority="448">
      <formula>$B1020="Subetapa"</formula>
    </cfRule>
  </conditionalFormatting>
  <conditionalFormatting sqref="D1093:D1103">
    <cfRule type="expression" dxfId="3716" priority="3094">
      <formula>$B1093="Subetapa"</formula>
    </cfRule>
  </conditionalFormatting>
  <conditionalFormatting sqref="D1427:D1435">
    <cfRule type="expression" dxfId="3715" priority="1264">
      <formula>$B1427="Serviço"</formula>
    </cfRule>
  </conditionalFormatting>
  <conditionalFormatting sqref="D1445">
    <cfRule type="expression" dxfId="3714" priority="267">
      <formula>$B1445="Subetapa"</formula>
    </cfRule>
  </conditionalFormatting>
  <conditionalFormatting sqref="D1448">
    <cfRule type="expression" dxfId="3713" priority="2971">
      <formula>$A1448=2</formula>
    </cfRule>
  </conditionalFormatting>
  <conditionalFormatting sqref="D1473">
    <cfRule type="expression" dxfId="3712" priority="2974">
      <formula>$A1473=2</formula>
    </cfRule>
  </conditionalFormatting>
  <conditionalFormatting sqref="D1523:D1525">
    <cfRule type="expression" dxfId="3711" priority="2970">
      <formula>$B1523="Subetapa"</formula>
    </cfRule>
  </conditionalFormatting>
  <conditionalFormatting sqref="D1526:D1527">
    <cfRule type="expression" dxfId="3710" priority="2556">
      <formula>$A1526=2</formula>
    </cfRule>
  </conditionalFormatting>
  <conditionalFormatting sqref="D1565:D1566 D1568 D2933">
    <cfRule type="expression" dxfId="3709" priority="3487">
      <formula>$I1565="ETAPA"</formula>
    </cfRule>
    <cfRule type="expression" dxfId="3708" priority="3486">
      <formula>$I1565="CÉLULA CONSTRUTIVA"</formula>
    </cfRule>
    <cfRule type="expression" dxfId="3707" priority="3485">
      <formula>$I1565="SUBETAPA"</formula>
    </cfRule>
  </conditionalFormatting>
  <conditionalFormatting sqref="D1567">
    <cfRule type="expression" dxfId="3706" priority="425">
      <formula>$B1567="Subetapa"</formula>
    </cfRule>
  </conditionalFormatting>
  <conditionalFormatting sqref="D1762">
    <cfRule type="expression" dxfId="3705" priority="2964">
      <formula>$A1762=2</formula>
    </cfRule>
  </conditionalFormatting>
  <conditionalFormatting sqref="D1836:D1839 F2236 F2558 F2560:F2561 F2675 F2682 F2684">
    <cfRule type="expression" dxfId="3704" priority="1896">
      <formula>$A1836="Subetapa"</formula>
    </cfRule>
  </conditionalFormatting>
  <conditionalFormatting sqref="D1841">
    <cfRule type="expression" dxfId="3703" priority="2965">
      <formula>$A1841=2</formula>
    </cfRule>
  </conditionalFormatting>
  <conditionalFormatting sqref="D1842:D1844 D1902:D1904 D1840:F1840 D1906:E1909 D1911:E1914 D1916:E1919 D1855:F1855 D1856:E1859 D1845:F1845 D1846:E1849 D1850:F1850 D1851:E1854">
    <cfRule type="expression" dxfId="3702" priority="3317">
      <formula>$B1840="Subetapa"</formula>
    </cfRule>
  </conditionalFormatting>
  <conditionalFormatting sqref="D1901">
    <cfRule type="expression" dxfId="3701" priority="2966">
      <formula>$A1901=2</formula>
    </cfRule>
  </conditionalFormatting>
  <conditionalFormatting sqref="D2007">
    <cfRule type="expression" dxfId="3700" priority="2967">
      <formula>$A2007=2</formula>
    </cfRule>
  </conditionalFormatting>
  <conditionalFormatting sqref="D2025:D2027 D2231">
    <cfRule type="expression" dxfId="3699" priority="1875">
      <formula>$A2025="Subetapa"</formula>
    </cfRule>
  </conditionalFormatting>
  <conditionalFormatting sqref="D2050">
    <cfRule type="expression" dxfId="3698" priority="2963">
      <formula>$A2050=2</formula>
    </cfRule>
  </conditionalFormatting>
  <conditionalFormatting sqref="D2185">
    <cfRule type="expression" dxfId="3697" priority="674">
      <formula>$B2185="Subetapa"</formula>
    </cfRule>
  </conditionalFormatting>
  <conditionalFormatting sqref="D2193:D2194 B2193:B2194">
    <cfRule type="expression" dxfId="3696" priority="3528">
      <formula>$B2193="Serviço"</formula>
    </cfRule>
  </conditionalFormatting>
  <conditionalFormatting sqref="D2193:D2196">
    <cfRule type="expression" dxfId="3695" priority="3307">
      <formula>$B2193="Subetapa"</formula>
    </cfRule>
    <cfRule type="expression" dxfId="3694" priority="3306">
      <formula>$B2193="Serviço"</formula>
    </cfRule>
  </conditionalFormatting>
  <conditionalFormatting sqref="D2198 D2215">
    <cfRule type="expression" dxfId="3693" priority="2942">
      <formula>$B2198="Serviço"</formula>
    </cfRule>
  </conditionalFormatting>
  <conditionalFormatting sqref="D2216">
    <cfRule type="expression" dxfId="3692" priority="1220">
      <formula>$A2216="Subetapa"</formula>
    </cfRule>
    <cfRule type="expression" dxfId="3691" priority="1217">
      <formula>$A2216="Serviço"</formula>
    </cfRule>
    <cfRule type="expression" dxfId="3690" priority="1218">
      <formula>$A2216="Subetapa"</formula>
    </cfRule>
    <cfRule type="expression" dxfId="3689" priority="1219">
      <formula>$A2216="Serviço"</formula>
    </cfRule>
  </conditionalFormatting>
  <conditionalFormatting sqref="D2227">
    <cfRule type="expression" dxfId="3688" priority="223">
      <formula>$A2227="Subetapa"</formula>
    </cfRule>
    <cfRule type="expression" dxfId="3687" priority="222">
      <formula>$A2227="Serviço"</formula>
    </cfRule>
  </conditionalFormatting>
  <conditionalFormatting sqref="D2227:D2228">
    <cfRule type="expression" dxfId="3686" priority="225">
      <formula>$A2227="Subetapa"</formula>
    </cfRule>
    <cfRule type="expression" dxfId="3685" priority="224">
      <formula>$A2227="Serviço"</formula>
    </cfRule>
  </conditionalFormatting>
  <conditionalFormatting sqref="D2228">
    <cfRule type="expression" dxfId="3684" priority="235">
      <formula>$A2228="Subetapa"</formula>
    </cfRule>
    <cfRule type="expression" dxfId="3683" priority="234">
      <formula>$A2228="Serviço"</formula>
    </cfRule>
  </conditionalFormatting>
  <conditionalFormatting sqref="D2230">
    <cfRule type="expression" dxfId="3682" priority="241">
      <formula>$A2230="Subetapa"</formula>
    </cfRule>
    <cfRule type="expression" dxfId="3681" priority="240">
      <formula>$A2230="Serviço"</formula>
    </cfRule>
  </conditionalFormatting>
  <conditionalFormatting sqref="D2230:D2231">
    <cfRule type="expression" dxfId="3680" priority="242">
      <formula>$A2230="Serviço"</formula>
    </cfRule>
    <cfRule type="expression" dxfId="3679" priority="243">
      <formula>$A2230="Subetapa"</formula>
    </cfRule>
  </conditionalFormatting>
  <conditionalFormatting sqref="D2231 D2025:D2027">
    <cfRule type="expression" dxfId="3678" priority="1874">
      <formula>$A2025="Serviço"</formula>
    </cfRule>
  </conditionalFormatting>
  <conditionalFormatting sqref="D2233">
    <cfRule type="expression" dxfId="3677" priority="1851">
      <formula>$A2233="Serviço"</formula>
    </cfRule>
    <cfRule type="expression" dxfId="3676" priority="1852">
      <formula>$A2233="Subetapa"</formula>
    </cfRule>
  </conditionalFormatting>
  <conditionalFormatting sqref="D2233:D2234">
    <cfRule type="expression" dxfId="3675" priority="1850">
      <formula>$A2233="Subetapa"</formula>
    </cfRule>
    <cfRule type="expression" dxfId="3674" priority="1849">
      <formula>$A2233="Serviço"</formula>
    </cfRule>
  </conditionalFormatting>
  <conditionalFormatting sqref="D2272">
    <cfRule type="expression" dxfId="3673" priority="207">
      <formula>$A2272="Subetapa"</formula>
    </cfRule>
    <cfRule type="expression" dxfId="3672" priority="206">
      <formula>$A2272="Serviço"</formula>
    </cfRule>
  </conditionalFormatting>
  <conditionalFormatting sqref="D2272:D2273">
    <cfRule type="expression" dxfId="3671" priority="209">
      <formula>$A2272="Subetapa"</formula>
    </cfRule>
    <cfRule type="expression" dxfId="3670" priority="208">
      <formula>$A2272="Serviço"</formula>
    </cfRule>
  </conditionalFormatting>
  <conditionalFormatting sqref="D2273">
    <cfRule type="expression" dxfId="3669" priority="215">
      <formula>$A2273="Subetapa"</formula>
    </cfRule>
    <cfRule type="expression" dxfId="3668" priority="214">
      <formula>$A2273="Serviço"</formula>
    </cfRule>
  </conditionalFormatting>
  <conditionalFormatting sqref="D2307:D2309">
    <cfRule type="expression" dxfId="3667" priority="13">
      <formula>$B2307="Subetapa"</formula>
    </cfRule>
  </conditionalFormatting>
  <conditionalFormatting sqref="D2451:D2453 D2455:D2456">
    <cfRule type="expression" dxfId="3666" priority="1292">
      <formula>$B2451="Subetapa"</formula>
    </cfRule>
  </conditionalFormatting>
  <conditionalFormatting sqref="D2451:D2457">
    <cfRule type="expression" dxfId="3665" priority="1190">
      <formula>$B2451="Serviço"</formula>
    </cfRule>
  </conditionalFormatting>
  <conditionalFormatting sqref="D2454">
    <cfRule type="expression" dxfId="3664" priority="681">
      <formula>$B2454="Subetapa"</formula>
    </cfRule>
  </conditionalFormatting>
  <conditionalFormatting sqref="D2456">
    <cfRule type="expression" dxfId="3663" priority="1189">
      <formula>$B2456="Subetapa"</formula>
    </cfRule>
  </conditionalFormatting>
  <conditionalFormatting sqref="D2458">
    <cfRule type="expression" dxfId="3662" priority="1282">
      <formula>$B2458="Subetapa"</formula>
    </cfRule>
  </conditionalFormatting>
  <conditionalFormatting sqref="D2548:D2549">
    <cfRule type="expression" dxfId="3661" priority="1143">
      <formula>$B2548="Serviço"</formula>
    </cfRule>
    <cfRule type="expression" dxfId="3660" priority="1144">
      <formula>$B2548="Subetapa"</formula>
    </cfRule>
  </conditionalFormatting>
  <conditionalFormatting sqref="D2553:D2554">
    <cfRule type="expression" dxfId="3659" priority="2946">
      <formula>$B2553="Serviço"</formula>
    </cfRule>
    <cfRule type="expression" dxfId="3658" priority="2947">
      <formula>$B2553="Subetapa"</formula>
    </cfRule>
  </conditionalFormatting>
  <conditionalFormatting sqref="D2586">
    <cfRule type="expression" dxfId="3657" priority="672">
      <formula>$B2586="Serviço"</formula>
    </cfRule>
  </conditionalFormatting>
  <conditionalFormatting sqref="D2610">
    <cfRule type="expression" dxfId="3656" priority="179">
      <formula>$B2610="Serviço"</formula>
    </cfRule>
  </conditionalFormatting>
  <conditionalFormatting sqref="D2612">
    <cfRule type="expression" dxfId="3655" priority="180">
      <formula>$B2612="Serviço"</formula>
    </cfRule>
  </conditionalFormatting>
  <conditionalFormatting sqref="D2614">
    <cfRule type="expression" dxfId="3654" priority="181">
      <formula>$B2614="Serviço"</formula>
    </cfRule>
  </conditionalFormatting>
  <conditionalFormatting sqref="D2616">
    <cfRule type="expression" dxfId="3653" priority="673">
      <formula>$B2616="Serviço"</formula>
    </cfRule>
  </conditionalFormatting>
  <conditionalFormatting sqref="D2711:D2734 F2732:G2734">
    <cfRule type="expression" dxfId="3652" priority="2163">
      <formula>$B2711="Subetapa"</formula>
    </cfRule>
  </conditionalFormatting>
  <conditionalFormatting sqref="D2735:D2738 F2735:G2738">
    <cfRule type="expression" dxfId="3651" priority="1348">
      <formula>$B2735="Subetapa"</formula>
    </cfRule>
  </conditionalFormatting>
  <conditionalFormatting sqref="D2769:D2774">
    <cfRule type="expression" dxfId="3650" priority="2764">
      <formula>$I2769="ETAPA"</formula>
    </cfRule>
    <cfRule type="expression" dxfId="3649" priority="2763">
      <formula>$I2769="CÉLULA CONSTRUTIVA"</formula>
    </cfRule>
    <cfRule type="expression" dxfId="3648" priority="2762">
      <formula>$I2769="SUBETAPA"</formula>
    </cfRule>
  </conditionalFormatting>
  <conditionalFormatting sqref="D2778">
    <cfRule type="expression" dxfId="3647" priority="3459">
      <formula>$B2778="Subetapa"</formula>
    </cfRule>
  </conditionalFormatting>
  <conditionalFormatting sqref="D2786:D2801">
    <cfRule type="expression" dxfId="3646" priority="3327">
      <formula>$B2786="Subetapa"</formula>
    </cfRule>
  </conditionalFormatting>
  <conditionalFormatting sqref="D2803:D2810 F2803:F2810 B2786:B2842">
    <cfRule type="expression" dxfId="3645" priority="3194">
      <formula>$B2786="Subetapa"</formula>
    </cfRule>
  </conditionalFormatting>
  <conditionalFormatting sqref="D2886:D2890">
    <cfRule type="expression" dxfId="3644" priority="3447">
      <formula>$B2886="Subetapa"</formula>
    </cfRule>
    <cfRule type="expression" dxfId="3643" priority="3446">
      <formula>$B2886="Serviço"</formula>
    </cfRule>
  </conditionalFormatting>
  <conditionalFormatting sqref="D2932">
    <cfRule type="expression" dxfId="3642" priority="3484">
      <formula>$B2932="Subetapa"</formula>
    </cfRule>
    <cfRule type="expression" dxfId="3641" priority="3483">
      <formula>$B2932="Serviço"</formula>
    </cfRule>
  </conditionalFormatting>
  <conditionalFormatting sqref="D2934:D2942 I2883">
    <cfRule type="expression" dxfId="3640" priority="3534">
      <formula>$B2883="Serviço"</formula>
    </cfRule>
  </conditionalFormatting>
  <conditionalFormatting sqref="D2938">
    <cfRule type="expression" dxfId="3639" priority="3512">
      <formula>$B2938="Serviço"</formula>
    </cfRule>
    <cfRule type="expression" dxfId="3638" priority="3513">
      <formula>$B2938="Subetapa"</formula>
    </cfRule>
  </conditionalFormatting>
  <conditionalFormatting sqref="D2942:D2949">
    <cfRule type="expression" dxfId="3637" priority="3467">
      <formula>$B2942="Serviço"</formula>
    </cfRule>
    <cfRule type="expression" dxfId="3636" priority="3468">
      <formula>$B2942="Subetapa"</formula>
    </cfRule>
  </conditionalFormatting>
  <conditionalFormatting sqref="D2948 D2802:G2802 G2803:G2842 D2811:F2811 E2863:G2884 G2886:G2888 F2887:F2888 I2887:I2888 D2893:G2893 I2893 E3002:E3035 D3026 F3026:G3026 F3028 I2812:I2842 E2191:E2198 G2191 E1713:E1715 G1713:G1715 E267 G267 E281 G281 E325:E327 D351:D355 E351:G356 D432:D436 E432:G437 D542:D544 E542:G545 E775:E792 D820:D826 E820:G827 E1460:E1461 E1466:E1469 G1466:G1469 E1524 E1672:E1674 G1672:G1674 E1676:E1678 G1676:G1678 E1680:E1682 G1680:G1682 E1684:E1686 G1684:G1686 E1688:E1690 G1688:G1690 E1692:E1694 E1706:E1708 G1706:G1708 E2886:F2886 E2887:E2890 E2932:G2933 E3051:G3068">
    <cfRule type="expression" dxfId="3635" priority="3526">
      <formula>$B267="Serviço"</formula>
    </cfRule>
  </conditionalFormatting>
  <conditionalFormatting sqref="D2950:D2954">
    <cfRule type="expression" dxfId="3634" priority="3481">
      <formula>$B2950="Serviço"</formula>
    </cfRule>
    <cfRule type="expression" dxfId="3633" priority="3482">
      <formula>$B2950="Subetapa"</formula>
    </cfRule>
  </conditionalFormatting>
  <conditionalFormatting sqref="D2954:D2960">
    <cfRule type="expression" dxfId="3632" priority="3480">
      <formula>$B2954="Subetapa"</formula>
    </cfRule>
    <cfRule type="expression" dxfId="3631" priority="3479">
      <formula>$B2954="Serviço"</formula>
    </cfRule>
  </conditionalFormatting>
  <conditionalFormatting sqref="D2960:D2965">
    <cfRule type="expression" dxfId="3630" priority="3504">
      <formula>$B2960="Serviço"</formula>
    </cfRule>
    <cfRule type="expression" dxfId="3629" priority="3505">
      <formula>$B2960="Subetapa"</formula>
    </cfRule>
  </conditionalFormatting>
  <conditionalFormatting sqref="D2966">
    <cfRule type="expression" dxfId="3628" priority="1276">
      <formula>$B2966="Subetapa"</formula>
    </cfRule>
    <cfRule type="expression" dxfId="3627" priority="1275">
      <formula>$B2966="Serviço"</formula>
    </cfRule>
    <cfRule type="expression" dxfId="3626" priority="1274">
      <formula>$B2966="Subetapa"</formula>
    </cfRule>
    <cfRule type="expression" dxfId="3625" priority="1273">
      <formula>$B2966="Serviço"</formula>
    </cfRule>
  </conditionalFormatting>
  <conditionalFormatting sqref="D2967:D2978 D2983">
    <cfRule type="expression" dxfId="3624" priority="3508">
      <formula>$B2967="Serviço"</formula>
    </cfRule>
    <cfRule type="expression" dxfId="3623" priority="3509">
      <formula>$B2967="Subetapa"</formula>
    </cfRule>
  </conditionalFormatting>
  <conditionalFormatting sqref="D2972">
    <cfRule type="expression" dxfId="3622" priority="3507">
      <formula>$B2972="Subetapa"</formula>
    </cfRule>
    <cfRule type="expression" dxfId="3621" priority="3506">
      <formula>$B2972="Serviço"</formula>
    </cfRule>
  </conditionalFormatting>
  <conditionalFormatting sqref="D3002:D3009">
    <cfRule type="expression" dxfId="3620" priority="3400">
      <formula>$B3002="Serviço"</formula>
    </cfRule>
    <cfRule type="expression" dxfId="3619" priority="3401">
      <formula>$B3002="Subetapa"</formula>
    </cfRule>
  </conditionalFormatting>
  <conditionalFormatting sqref="D3010:D3025">
    <cfRule type="expression" dxfId="3618" priority="3418">
      <formula>$B3010="Subetapa"</formula>
    </cfRule>
  </conditionalFormatting>
  <conditionalFormatting sqref="D3018:D3025">
    <cfRule type="expression" dxfId="3617" priority="3417">
      <formula>$B3018="Serviço"</formula>
    </cfRule>
  </conditionalFormatting>
  <conditionalFormatting sqref="D3027:D3034">
    <cfRule type="expression" dxfId="3616" priority="3411">
      <formula>$B3027="Serviço"</formula>
    </cfRule>
    <cfRule type="expression" dxfId="3615" priority="3412">
      <formula>$B3027="Subetapa"</formula>
    </cfRule>
  </conditionalFormatting>
  <conditionalFormatting sqref="D3034:D3035 F3034:G3035 D3044">
    <cfRule type="expression" dxfId="3614" priority="3408">
      <formula>$B3034="Subetapa"</formula>
    </cfRule>
  </conditionalFormatting>
  <conditionalFormatting sqref="D3051">
    <cfRule type="expression" dxfId="3613" priority="3391">
      <formula>$B3051="Subetapa"</formula>
    </cfRule>
    <cfRule type="expression" dxfId="3612" priority="3390">
      <formula>$B3051="Serviço"</formula>
    </cfRule>
  </conditionalFormatting>
  <conditionalFormatting sqref="D3051:D3053">
    <cfRule type="expression" dxfId="3611" priority="3393">
      <formula>$B3051="Subetapa"</formula>
    </cfRule>
    <cfRule type="expression" dxfId="3610" priority="3392">
      <formula>$B3051="Serviço"</formula>
    </cfRule>
  </conditionalFormatting>
  <conditionalFormatting sqref="D3053:D3063">
    <cfRule type="expression" dxfId="3609" priority="3396">
      <formula>$B3053="Serviço"</formula>
    </cfRule>
    <cfRule type="expression" dxfId="3608" priority="3397">
      <formula>$B3053="Subetapa"</formula>
    </cfRule>
  </conditionalFormatting>
  <conditionalFormatting sqref="D3061">
    <cfRule type="expression" dxfId="3607" priority="409">
      <formula>$B3061="Serviço"</formula>
    </cfRule>
    <cfRule type="expression" dxfId="3606" priority="410">
      <formula>$B3061="Subetapa"</formula>
    </cfRule>
  </conditionalFormatting>
  <conditionalFormatting sqref="D3064:D3065">
    <cfRule type="expression" dxfId="3605" priority="408">
      <formula>$B3064="Subetapa"</formula>
    </cfRule>
    <cfRule type="expression" dxfId="3604" priority="407">
      <formula>$B3064="Serviço"</formula>
    </cfRule>
  </conditionalFormatting>
  <conditionalFormatting sqref="D3065:D3084">
    <cfRule type="expression" dxfId="3603" priority="3331">
      <formula>$B3065="Subetapa"</formula>
    </cfRule>
    <cfRule type="expression" dxfId="3602" priority="3330">
      <formula>$B3065="Serviço"</formula>
    </cfRule>
  </conditionalFormatting>
  <conditionalFormatting sqref="D290:E290">
    <cfRule type="expression" dxfId="3601" priority="1950">
      <formula>$B290="Subetapa"</formula>
    </cfRule>
    <cfRule type="expression" dxfId="3600" priority="1949">
      <formula>$B290="Serviço"</formula>
    </cfRule>
  </conditionalFormatting>
  <conditionalFormatting sqref="D637:E640">
    <cfRule type="expression" dxfId="3599" priority="2349">
      <formula>$B637="Subetapa"</formula>
    </cfRule>
    <cfRule type="expression" dxfId="3598" priority="2348">
      <formula>$B637="Serviço"</formula>
    </cfRule>
  </conditionalFormatting>
  <conditionalFormatting sqref="D643:E650">
    <cfRule type="expression" dxfId="3597" priority="638">
      <formula>$B643="Subetapa"</formula>
    </cfRule>
    <cfRule type="expression" dxfId="3596" priority="637">
      <formula>$B643="Serviço"</formula>
    </cfRule>
  </conditionalFormatting>
  <conditionalFormatting sqref="D652:E660">
    <cfRule type="expression" dxfId="3595" priority="395">
      <formula>$B652="Serviço"</formula>
    </cfRule>
    <cfRule type="expression" dxfId="3594" priority="396">
      <formula>$B652="Subetapa"</formula>
    </cfRule>
  </conditionalFormatting>
  <conditionalFormatting sqref="D919:E929">
    <cfRule type="expression" dxfId="3593" priority="5">
      <formula>$B919="Subetapa"</formula>
    </cfRule>
  </conditionalFormatting>
  <conditionalFormatting sqref="D931:E940">
    <cfRule type="expression" dxfId="3592" priority="521">
      <formula>$B931="Subetapa"</formula>
    </cfRule>
  </conditionalFormatting>
  <conditionalFormatting sqref="D977:E985">
    <cfRule type="expression" dxfId="3591" priority="453">
      <formula>$B977="Subetapa"</formula>
    </cfRule>
    <cfRule type="expression" dxfId="3590" priority="452">
      <formula>$B977="Serviço"</formula>
    </cfRule>
  </conditionalFormatting>
  <conditionalFormatting sqref="D1064:E1067">
    <cfRule type="expression" dxfId="3589" priority="605">
      <formula>$B1064="Serviço"</formula>
    </cfRule>
    <cfRule type="expression" dxfId="3588" priority="606">
      <formula>$B1064="Subetapa"</formula>
    </cfRule>
  </conditionalFormatting>
  <conditionalFormatting sqref="D1070:E1073">
    <cfRule type="expression" dxfId="3587" priority="623">
      <formula>$B1070="Serviço"</formula>
    </cfRule>
    <cfRule type="expression" dxfId="3586" priority="624">
      <formula>$B1070="Subetapa"</formula>
    </cfRule>
  </conditionalFormatting>
  <conditionalFormatting sqref="D1352:E1355">
    <cfRule type="expression" dxfId="3585" priority="60">
      <formula>$B1352="Serviço"</formula>
    </cfRule>
  </conditionalFormatting>
  <conditionalFormatting sqref="D1357:E1360">
    <cfRule type="expression" dxfId="3584" priority="63">
      <formula>$B1357="Serviço"</formula>
    </cfRule>
  </conditionalFormatting>
  <conditionalFormatting sqref="D1362:E1365">
    <cfRule type="expression" dxfId="3583" priority="143">
      <formula>$B1362="Serviço"</formula>
    </cfRule>
  </conditionalFormatting>
  <conditionalFormatting sqref="D1422:E1425">
    <cfRule type="expression" dxfId="3582" priority="79">
      <formula>$B1422="Serviço"</formula>
    </cfRule>
  </conditionalFormatting>
  <conditionalFormatting sqref="D1796:E1799">
    <cfRule type="expression" dxfId="3581" priority="1308">
      <formula>$B1796="Subetapa"</formula>
    </cfRule>
    <cfRule type="expression" dxfId="3580" priority="1307">
      <formula>$B1796="Serviço"</formula>
    </cfRule>
  </conditionalFormatting>
  <conditionalFormatting sqref="D1866:E1869">
    <cfRule type="expression" dxfId="3579" priority="2234">
      <formula>$B1866="Subetapa"</formula>
    </cfRule>
  </conditionalFormatting>
  <conditionalFormatting sqref="D1871:E1874">
    <cfRule type="expression" dxfId="3578" priority="2244">
      <formula>$B1871="Subetapa"</formula>
    </cfRule>
    <cfRule type="expression" dxfId="3577" priority="2243">
      <formula>$B1871="Serviço"</formula>
    </cfRule>
  </conditionalFormatting>
  <conditionalFormatting sqref="D2238:E2239 G2238:G2239">
    <cfRule type="expression" dxfId="3576" priority="77">
      <formula>$B2238="Subetapa"</formula>
    </cfRule>
  </conditionalFormatting>
  <conditionalFormatting sqref="D2241:E2242 G2241:G2242">
    <cfRule type="expression" dxfId="3575" priority="94">
      <formula>$B2241="Subetapa"</formula>
    </cfRule>
  </conditionalFormatting>
  <conditionalFormatting sqref="D2244:E2245 G2244:G2245">
    <cfRule type="expression" dxfId="3574" priority="110">
      <formula>$B2244="Subetapa"</formula>
    </cfRule>
  </conditionalFormatting>
  <conditionalFormatting sqref="D2247:E2248 G2247:G2248">
    <cfRule type="expression" dxfId="3573" priority="122">
      <formula>$B2247="Subetapa"</formula>
    </cfRule>
  </conditionalFormatting>
  <conditionalFormatting sqref="D2250:E2251 G2250:G2251">
    <cfRule type="expression" dxfId="3572" priority="141">
      <formula>$B2250="Subetapa"</formula>
    </cfRule>
  </conditionalFormatting>
  <conditionalFormatting sqref="D2253:E2254 G2253:G2254">
    <cfRule type="expression" dxfId="3571" priority="152">
      <formula>$B2253="Subetapa"</formula>
    </cfRule>
  </conditionalFormatting>
  <conditionalFormatting sqref="D2266:E2267 G2266:G2267">
    <cfRule type="expression" dxfId="3570" priority="200">
      <formula>$B2266="Subetapa"</formula>
    </cfRule>
  </conditionalFormatting>
  <conditionalFormatting sqref="D2655:E2658 D2654:F2654">
    <cfRule type="expression" dxfId="3569" priority="1405">
      <formula>$B2654="Subetapa"</formula>
    </cfRule>
  </conditionalFormatting>
  <conditionalFormatting sqref="D2655:E2658 G2655:G2658">
    <cfRule type="expression" dxfId="3568" priority="1401">
      <formula>$B2655="Serviço"</formula>
    </cfRule>
  </conditionalFormatting>
  <conditionalFormatting sqref="D268:F268 E269:G269">
    <cfRule type="expression" dxfId="3567" priority="3338">
      <formula>$B268="Subetapa"</formula>
    </cfRule>
  </conditionalFormatting>
  <conditionalFormatting sqref="D282:F282 D283:G283 D284:F284 D285:G285 D286:F286 F290:F291 D291:E291 D300:F300 D301:G303 D304:F304 D305:G307 D308:F308 D309:G311 D312:F312 D313:G315 D316:F316 D317:G319 D320:F320 D321:G323 D287:G287">
    <cfRule type="expression" dxfId="3566" priority="3336">
      <formula>$B282="Subetapa"</formula>
    </cfRule>
  </conditionalFormatting>
  <conditionalFormatting sqref="D288:F288">
    <cfRule type="expression" dxfId="3565" priority="2063">
      <formula>$B288="Subetapa"</formula>
    </cfRule>
  </conditionalFormatting>
  <conditionalFormatting sqref="D328:F328">
    <cfRule type="expression" dxfId="3564" priority="3352">
      <formula>$B328="Serviço"</formula>
    </cfRule>
    <cfRule type="expression" dxfId="3563" priority="3353">
      <formula>$B328="Subetapa"</formula>
    </cfRule>
  </conditionalFormatting>
  <conditionalFormatting sqref="D641:F641">
    <cfRule type="expression" dxfId="3562" priority="2340">
      <formula>$B641="Serviço"</formula>
    </cfRule>
    <cfRule type="expression" dxfId="3561" priority="2341">
      <formula>$B641="Subetapa"</formula>
    </cfRule>
  </conditionalFormatting>
  <conditionalFormatting sqref="D976:F976">
    <cfRule type="expression" dxfId="3560" priority="473">
      <formula>$B976="Serviço"</formula>
    </cfRule>
    <cfRule type="expression" dxfId="3559" priority="474">
      <formula>$B976="Subetapa"</formula>
    </cfRule>
  </conditionalFormatting>
  <conditionalFormatting sqref="D1023:F1030">
    <cfRule type="expression" dxfId="3558" priority="455">
      <formula>$B1023="Subetapa"</formula>
    </cfRule>
  </conditionalFormatting>
  <conditionalFormatting sqref="D1209:F1223 D1273:G1330">
    <cfRule type="expression" dxfId="3557" priority="1633">
      <formula>$B1209="Serviço"</formula>
    </cfRule>
  </conditionalFormatting>
  <conditionalFormatting sqref="D1209:F1227 D1273:G1330">
    <cfRule type="expression" dxfId="3556" priority="1634">
      <formula>$B1209="Subetapa"</formula>
    </cfRule>
  </conditionalFormatting>
  <conditionalFormatting sqref="D1228:F1235">
    <cfRule type="expression" dxfId="3555" priority="332">
      <formula>$B1228="Subetapa"</formula>
    </cfRule>
    <cfRule type="expression" dxfId="3554" priority="331">
      <formula>$B1228="Serviço"</formula>
    </cfRule>
  </conditionalFormatting>
  <conditionalFormatting sqref="D1236:F1239">
    <cfRule type="expression" dxfId="3553" priority="362">
      <formula>$B1236="Serviço"</formula>
    </cfRule>
    <cfRule type="expression" dxfId="3552" priority="363">
      <formula>$B1236="Subetapa"</formula>
    </cfRule>
  </conditionalFormatting>
  <conditionalFormatting sqref="D1240:F1241">
    <cfRule type="expression" dxfId="3551" priority="339">
      <formula>$B1240="Subetapa"</formula>
    </cfRule>
    <cfRule type="expression" dxfId="3550" priority="338">
      <formula>$B1240="Serviço"</formula>
    </cfRule>
  </conditionalFormatting>
  <conditionalFormatting sqref="D1242:F1272">
    <cfRule type="expression" dxfId="3549" priority="357">
      <formula>$B1242="Subetapa"</formula>
    </cfRule>
    <cfRule type="expression" dxfId="3548" priority="356">
      <formula>$B1242="Serviço"</formula>
    </cfRule>
  </conditionalFormatting>
  <conditionalFormatting sqref="D1331:F1331 D1332:E1335 G1331:G1340">
    <cfRule type="expression" dxfId="3547" priority="309">
      <formula>$B1331="Subetapa"</formula>
    </cfRule>
  </conditionalFormatting>
  <conditionalFormatting sqref="D1331:F1331 D1332:E1335">
    <cfRule type="expression" dxfId="3546" priority="308">
      <formula>$B1331="Serviço"</formula>
    </cfRule>
  </conditionalFormatting>
  <conditionalFormatting sqref="D1336:F1336 D1337:E1340">
    <cfRule type="expression" dxfId="3545" priority="314">
      <formula>$B1336="Serviço"</formula>
    </cfRule>
    <cfRule type="expression" dxfId="3544" priority="315">
      <formula>$B1336="Subetapa"</formula>
    </cfRule>
  </conditionalFormatting>
  <conditionalFormatting sqref="D1341:F1341 D1342:E1345 D1346:F1346 D1347:E1350 D1351:F1351 D1352 D1356:F1356 D1361:F1361 D1416:F1416 D1417:E1420 D1421:F1421 D1426:F1426 E1427:E1430 E1431:F1431 E1432:E1435 D1436:F1436 D1437:E1440 D1447:F1447 E1448:G1449 D1449 D1842:D1844 D1902:D1904">
    <cfRule type="expression" dxfId="3543" priority="3316">
      <formula>$B1341="Serviço"</formula>
    </cfRule>
  </conditionalFormatting>
  <conditionalFormatting sqref="D1441:F1443">
    <cfRule type="expression" dxfId="3542" priority="374">
      <formula>$B1441="Serviço"</formula>
    </cfRule>
  </conditionalFormatting>
  <conditionalFormatting sqref="D1444:F1444">
    <cfRule type="expression" dxfId="3541" priority="270">
      <formula>$B1444="Serviço"</formula>
    </cfRule>
  </conditionalFormatting>
  <conditionalFormatting sqref="D1450:F1464">
    <cfRule type="expression" dxfId="3540" priority="2057">
      <formula>$B1450="Serviço"</formula>
    </cfRule>
  </conditionalFormatting>
  <conditionalFormatting sqref="D1523:F1525">
    <cfRule type="expression" dxfId="3539" priority="2969">
      <formula>$B1523="Serviço"</formula>
    </cfRule>
  </conditionalFormatting>
  <conditionalFormatting sqref="D1693:F1694">
    <cfRule type="expression" dxfId="3538" priority="1626">
      <formula>$B1693="Serviço"</formula>
    </cfRule>
  </conditionalFormatting>
  <conditionalFormatting sqref="D1703:F1704">
    <cfRule type="expression" dxfId="3537" priority="1630">
      <formula>$B1703="Serviço"</formula>
    </cfRule>
  </conditionalFormatting>
  <conditionalFormatting sqref="D1795:F1795">
    <cfRule type="expression" dxfId="3536" priority="1304">
      <formula>$B1795="Subetapa"</formula>
    </cfRule>
    <cfRule type="expression" dxfId="3535" priority="1303">
      <formula>$B1795="Serviço"</formula>
    </cfRule>
  </conditionalFormatting>
  <conditionalFormatting sqref="D1800:F1800 D1801:E1804 D1805:F1805 D1806:E1809">
    <cfRule type="expression" dxfId="3534" priority="1584">
      <formula>$B1800="Serviço"</formula>
    </cfRule>
    <cfRule type="expression" dxfId="3533" priority="1585">
      <formula>$B1800="Subetapa"</formula>
    </cfRule>
  </conditionalFormatting>
  <conditionalFormatting sqref="D1835:F1835">
    <cfRule type="expression" dxfId="3532" priority="1893">
      <formula>$B1835="Serviço"</formula>
    </cfRule>
    <cfRule type="expression" dxfId="3531" priority="1894">
      <formula>$B1835="Subetapa"</formula>
    </cfRule>
  </conditionalFormatting>
  <conditionalFormatting sqref="D1845:F1845 D1846:E1849">
    <cfRule type="expression" dxfId="3530" priority="300">
      <formula>$B1845="Serviço"</formula>
    </cfRule>
  </conditionalFormatting>
  <conditionalFormatting sqref="D1850:F1850 D1851:E1854">
    <cfRule type="expression" dxfId="3529" priority="293">
      <formula>$B1850="Serviço"</formula>
    </cfRule>
  </conditionalFormatting>
  <conditionalFormatting sqref="D1855:F1855 D1856:E1859 D1860:G1865 D1866:E1869 G1866:G1869 D1870:G1870">
    <cfRule type="expression" dxfId="3528" priority="2231">
      <formula>$B1855="Serviço"</formula>
    </cfRule>
  </conditionalFormatting>
  <conditionalFormatting sqref="D1875:F1875 D1876:E1879">
    <cfRule type="expression" dxfId="3527" priority="85">
      <formula>$B1875="Subetapa"</formula>
    </cfRule>
    <cfRule type="expression" dxfId="3526" priority="84">
      <formula>$B1875="Serviço"</formula>
    </cfRule>
  </conditionalFormatting>
  <conditionalFormatting sqref="D1880:F1880 D1881:E1884">
    <cfRule type="expression" dxfId="3525" priority="159">
      <formula>$B1880="Serviço"</formula>
    </cfRule>
    <cfRule type="expression" dxfId="3524" priority="160">
      <formula>$B1880="Subetapa"</formula>
    </cfRule>
  </conditionalFormatting>
  <conditionalFormatting sqref="D1885:F1885 D1886:E1889">
    <cfRule type="expression" dxfId="3523" priority="164">
      <formula>$B1885="Subetapa"</formula>
    </cfRule>
    <cfRule type="expression" dxfId="3522" priority="163">
      <formula>$B1885="Serviço"</formula>
    </cfRule>
  </conditionalFormatting>
  <conditionalFormatting sqref="D1890:F1890 D1891:E1894">
    <cfRule type="expression" dxfId="3521" priority="2053">
      <formula>$B1890="Serviço"</formula>
    </cfRule>
    <cfRule type="expression" dxfId="3520" priority="2054">
      <formula>$B1890="Subetapa"</formula>
    </cfRule>
  </conditionalFormatting>
  <conditionalFormatting sqref="D2197:F2197 F2198:G2198 E2215:F2215">
    <cfRule type="expression" dxfId="3519" priority="3488">
      <formula>$B2197="Serviço"</formula>
    </cfRule>
  </conditionalFormatting>
  <conditionalFormatting sqref="D2309:F2309 D2310:G2310 E2311:F2311 E2314:F2314 E2320:F2320 D2323:F2323 D2329:F2329 D2330:G2330 D2331:F2331 D2332:G2332 D2333:F2333 D2334:G2334 D2335:F2335 D2336:G2336 D2337:F2337 D2338:G2338 D2339:F2339 D2340:G2340 D2341:F2341">
    <cfRule type="expression" dxfId="3518" priority="3489">
      <formula>$B2309="Subetapa"</formula>
    </cfRule>
  </conditionalFormatting>
  <conditionalFormatting sqref="D2325:F2325 D2326:G2326">
    <cfRule type="expression" dxfId="3517" priority="1451">
      <formula>$B2325="Subetapa"</formula>
    </cfRule>
  </conditionalFormatting>
  <conditionalFormatting sqref="D2457:F2457 E2458:G2458">
    <cfRule type="expression" dxfId="3516" priority="1285">
      <formula>$B2457="Subetapa"</formula>
    </cfRule>
  </conditionalFormatting>
  <conditionalFormatting sqref="D2659:F2659 D2660:E2663 D2685:F2685">
    <cfRule type="expression" dxfId="3515" priority="3315">
      <formula>$B2659="Subetapa"</formula>
    </cfRule>
  </conditionalFormatting>
  <conditionalFormatting sqref="D2664:F2664 D2665:E2668">
    <cfRule type="expression" dxfId="3514" priority="1392">
      <formula>$B2664="Subetapa"</formula>
    </cfRule>
  </conditionalFormatting>
  <conditionalFormatting sqref="D2669:F2669 D2670:E2673">
    <cfRule type="expression" dxfId="3513" priority="1383">
      <formula>$B2669="Subetapa"</formula>
    </cfRule>
  </conditionalFormatting>
  <conditionalFormatting sqref="D2674:F2674">
    <cfRule type="expression" dxfId="3512" priority="1372">
      <formula>$B2674="Subetapa"</formula>
    </cfRule>
  </conditionalFormatting>
  <conditionalFormatting sqref="D2676:F2676 D2677:E2680">
    <cfRule type="expression" dxfId="3511" priority="1361">
      <formula>$B2676="Subetapa"</formula>
    </cfRule>
  </conditionalFormatting>
  <conditionalFormatting sqref="D2681:F2681">
    <cfRule type="expression" dxfId="3510" priority="1339">
      <formula>$B2681="Subetapa"</formula>
    </cfRule>
  </conditionalFormatting>
  <conditionalFormatting sqref="D2683:F2683">
    <cfRule type="expression" dxfId="3509" priority="1328">
      <formula>$B2683="Subetapa"</formula>
    </cfRule>
  </conditionalFormatting>
  <conditionalFormatting sqref="D2778:F2801">
    <cfRule type="expression" dxfId="3508" priority="3121">
      <formula>$B2778="Serviço"</formula>
    </cfRule>
  </conditionalFormatting>
  <conditionalFormatting sqref="D2803:F2810">
    <cfRule type="expression" dxfId="3507" priority="3193">
      <formula>$B2803="Serviço"</formula>
    </cfRule>
  </conditionalFormatting>
  <conditionalFormatting sqref="D2812:F2842">
    <cfRule type="expression" dxfId="3506" priority="3434">
      <formula>$B2812="Subetapa"</formula>
    </cfRule>
    <cfRule type="expression" dxfId="3505" priority="3433">
      <formula>$B2812="Serviço"</formula>
    </cfRule>
  </conditionalFormatting>
  <conditionalFormatting sqref="D2899:F2899">
    <cfRule type="expression" dxfId="3504" priority="173">
      <formula>$B2899="Serviço"</formula>
    </cfRule>
    <cfRule type="expression" dxfId="3503" priority="174">
      <formula>$B2899="Subetapa"</formula>
    </cfRule>
  </conditionalFormatting>
  <conditionalFormatting sqref="D2901:F2901 D2903:F2903 D2902:G2902">
    <cfRule type="expression" dxfId="3502" priority="3328">
      <formula>$B2901="Serviço"</formula>
    </cfRule>
  </conditionalFormatting>
  <conditionalFormatting sqref="D2901:F2901 D2902:G2902 D2903:F2903">
    <cfRule type="expression" dxfId="3501" priority="3329">
      <formula>$B2901="Subetapa"</formula>
    </cfRule>
  </conditionalFormatting>
  <conditionalFormatting sqref="D2909:F2909 D2913:F2913">
    <cfRule type="expression" dxfId="3500" priority="3449">
      <formula>$B2909="Subetapa"</formula>
    </cfRule>
    <cfRule type="expression" dxfId="3499" priority="3448">
      <formula>$B2909="Serviço"</formula>
    </cfRule>
  </conditionalFormatting>
  <conditionalFormatting sqref="D2915:F2915 D2916:G2916 D2917:F2917">
    <cfRule type="expression" dxfId="3498" priority="3441">
      <formula>$B2915="Subetapa"</formula>
    </cfRule>
  </conditionalFormatting>
  <conditionalFormatting sqref="D2917:F2917 D2915:F2915 D2916:G2916">
    <cfRule type="expression" dxfId="3497" priority="3440">
      <formula>$B2915="Serviço"</formula>
    </cfRule>
  </conditionalFormatting>
  <conditionalFormatting sqref="D3010:F3017">
    <cfRule type="expression" dxfId="3496" priority="3183">
      <formula>$B3010="Serviço"</formula>
    </cfRule>
  </conditionalFormatting>
  <conditionalFormatting sqref="D3071:F3071">
    <cfRule type="expression" dxfId="3495" priority="3384">
      <formula>$B3071="Serviço"</formula>
    </cfRule>
    <cfRule type="expression" dxfId="3494" priority="3385">
      <formula>$B3071="Subetapa"</formula>
    </cfRule>
  </conditionalFormatting>
  <conditionalFormatting sqref="D267:G267 E280:G281 D324:G327 D351:D355 E351:G356 D432:D436 E432:G437 D542:D544 E542:G545 E775:E780 E781:G781 E782:E792 D820:D826 E820:G827 D1459:G1461 D1465:G1469 E1523:G1525 D1671:G1692 D1693:E1694 D1705:G1708 E2193:E2196 E2198 E2778:E2810 D2802 F2802:G2802 G2803:G2842 D2811:F2811 I2812:I2842 E2863:G2883 E2884:F2886 G2884:G2888 F2887:F2888 I2887:I2888 E2887:E2890 D2893:G2893 I2893 E2932:G2933 D2948 E3002:E3035 D3026 F3026:G3026 F3028 E3051:G3068 D2197:D2198 G2198 D1342:E1345 D1346:G1346 D1347:E1350 D1351:G1351 D1352:E1355 D1356:G1356 D1361:G1361 D1416:G1416 D1417:E1420 D1421:G1421 D1426:G1426 E1427:E1430 E1431:G1431 E1432:E1435 D1436:G1436 D1437:E1440 D1447:G1447 E1448:G1449 D1449 G291 E1527:G1527 E1836:E1839 E1841:E1844 E1901:E1904 F2731:G2731 G1693:G1694 G1417:G1420 G1422:G1425 G1427:G1430 G1432:G1435 G1437:G1440 D1427:D1435 G1342:G1345 G1347:G1350 G1352:G1355 G1357:G1360 G1362:G1365 D1362:E1365 D1422:E1425 D1357:E1360">
    <cfRule type="expression" dxfId="3493" priority="3527">
      <formula>$B267="Subetapa"</formula>
    </cfRule>
  </conditionalFormatting>
  <conditionalFormatting sqref="D287:G289">
    <cfRule type="expression" dxfId="3492" priority="2062">
      <formula>$B287="Serviço"</formula>
    </cfRule>
  </conditionalFormatting>
  <conditionalFormatting sqref="D329:G343">
    <cfRule type="expression" dxfId="3491" priority="2467">
      <formula>$B329="Subetapa"</formula>
    </cfRule>
    <cfRule type="expression" dxfId="3490" priority="2466">
      <formula>$B329="Serviço"</formula>
    </cfRule>
  </conditionalFormatting>
  <conditionalFormatting sqref="D438:G541">
    <cfRule type="expression" dxfId="3489" priority="892">
      <formula>$B438="Serviço"</formula>
    </cfRule>
    <cfRule type="expression" dxfId="3488" priority="893">
      <formula>$B438="Subetapa"</formula>
    </cfRule>
  </conditionalFormatting>
  <conditionalFormatting sqref="D546:G549">
    <cfRule type="expression" dxfId="3487" priority="744">
      <formula>$B546="Serviço"</formula>
    </cfRule>
  </conditionalFormatting>
  <conditionalFormatting sqref="D546:G552">
    <cfRule type="expression" dxfId="3486" priority="1197">
      <formula>$B546="Subetapa"</formula>
    </cfRule>
  </conditionalFormatting>
  <conditionalFormatting sqref="D553:G629 A553:B692">
    <cfRule type="expression" dxfId="3485" priority="740">
      <formula>$B553="Serviço"</formula>
    </cfRule>
    <cfRule type="expression" dxfId="3484" priority="973">
      <formula>$B553="Subetapa"</formula>
    </cfRule>
  </conditionalFormatting>
  <conditionalFormatting sqref="D630:G633">
    <cfRule type="expression" dxfId="3483" priority="3343">
      <formula>$B630="Subetapa"</formula>
    </cfRule>
    <cfRule type="expression" dxfId="3482" priority="3342">
      <formula>$B630="Serviço"</formula>
    </cfRule>
  </conditionalFormatting>
  <conditionalFormatting sqref="D634:G636">
    <cfRule type="expression" dxfId="3481" priority="2414">
      <formula>$B634="Serviço"</formula>
    </cfRule>
    <cfRule type="expression" dxfId="3480" priority="2415">
      <formula>$B634="Subetapa"</formula>
    </cfRule>
  </conditionalFormatting>
  <conditionalFormatting sqref="D642:G642">
    <cfRule type="expression" dxfId="3479" priority="649">
      <formula>$B642="Serviço"</formula>
    </cfRule>
    <cfRule type="expression" dxfId="3478" priority="650">
      <formula>$B642="Subetapa"</formula>
    </cfRule>
  </conditionalFormatting>
  <conditionalFormatting sqref="D651:G651">
    <cfRule type="expression" dxfId="3477" priority="401">
      <formula>$B651="Serviço"</formula>
    </cfRule>
    <cfRule type="expression" dxfId="3476" priority="402">
      <formula>$B651="Subetapa"</formula>
    </cfRule>
  </conditionalFormatting>
  <conditionalFormatting sqref="D661:G663">
    <cfRule type="expression" dxfId="3475" priority="392">
      <formula>$B661="Subetapa"</formula>
    </cfRule>
    <cfRule type="expression" dxfId="3474" priority="391">
      <formula>$B661="Serviço"</formula>
    </cfRule>
  </conditionalFormatting>
  <conditionalFormatting sqref="D672:G759">
    <cfRule type="expression" dxfId="3473" priority="722">
      <formula>$B672="Serviço"</formula>
    </cfRule>
    <cfRule type="expression" dxfId="3472" priority="723">
      <formula>$B672="Subetapa"</formula>
    </cfRule>
  </conditionalFormatting>
  <conditionalFormatting sqref="D762:G774">
    <cfRule type="expression" dxfId="3471" priority="794">
      <formula>$B762="Serviço"</formula>
    </cfRule>
    <cfRule type="expression" dxfId="3470" priority="795">
      <formula>$B762="Subetapa"</formula>
    </cfRule>
  </conditionalFormatting>
  <conditionalFormatting sqref="D781:G781">
    <cfRule type="expression" dxfId="3469" priority="3346">
      <formula>$B781="Serviço"</formula>
    </cfRule>
  </conditionalFormatting>
  <conditionalFormatting sqref="D793:G819">
    <cfRule type="expression" dxfId="3468" priority="933">
      <formula>$B793="Subetapa"</formula>
    </cfRule>
    <cfRule type="expression" dxfId="3467" priority="815">
      <formula>$B793="Serviço"</formula>
    </cfRule>
  </conditionalFormatting>
  <conditionalFormatting sqref="D828:G839">
    <cfRule type="expression" dxfId="3466" priority="797">
      <formula>$B828="Subetapa"</formula>
    </cfRule>
  </conditionalFormatting>
  <conditionalFormatting sqref="D828:G848">
    <cfRule type="expression" dxfId="3465" priority="588">
      <formula>$B828="Serviço"</formula>
    </cfRule>
  </conditionalFormatting>
  <conditionalFormatting sqref="D849:G857">
    <cfRule type="expression" dxfId="3464" priority="602">
      <formula>$B849="Subetapa"</formula>
    </cfRule>
  </conditionalFormatting>
  <conditionalFormatting sqref="D849:G906">
    <cfRule type="expression" dxfId="3463" priority="598">
      <formula>$B849="Serviço"</formula>
    </cfRule>
  </conditionalFormatting>
  <conditionalFormatting sqref="D907:G908 D909:E917 G909:G917">
    <cfRule type="expression" dxfId="3462" priority="529">
      <formula>$B907="Subetapa"</formula>
    </cfRule>
  </conditionalFormatting>
  <conditionalFormatting sqref="D907:G918">
    <cfRule type="expression" dxfId="3461" priority="515">
      <formula>$B907="Serviço"</formula>
    </cfRule>
  </conditionalFormatting>
  <conditionalFormatting sqref="D919:G929">
    <cfRule type="expression" dxfId="3460" priority="3">
      <formula>$B919="Serviço"</formula>
    </cfRule>
  </conditionalFormatting>
  <conditionalFormatting sqref="D930:G930 G931:G940">
    <cfRule type="expression" dxfId="3459" priority="525">
      <formula>$B930="Subetapa"</formula>
    </cfRule>
  </conditionalFormatting>
  <conditionalFormatting sqref="D930:G964">
    <cfRule type="expression" dxfId="3458" priority="507">
      <formula>$B930="Serviço"</formula>
    </cfRule>
  </conditionalFormatting>
  <conditionalFormatting sqref="D941:G964">
    <cfRule type="expression" dxfId="3457" priority="531">
      <formula>$B941="Subetapa"</formula>
    </cfRule>
  </conditionalFormatting>
  <conditionalFormatting sqref="D965:G975 G976:G985">
    <cfRule type="expression" dxfId="3456" priority="477">
      <formula>$B965="Serviço"</formula>
    </cfRule>
  </conditionalFormatting>
  <conditionalFormatting sqref="D965:G975">
    <cfRule type="expression" dxfId="3455" priority="479">
      <formula>$B965="Subetapa"</formula>
    </cfRule>
  </conditionalFormatting>
  <conditionalFormatting sqref="D986:G986">
    <cfRule type="expression" dxfId="3454" priority="484">
      <formula>$B986="Subetapa"</formula>
    </cfRule>
  </conditionalFormatting>
  <conditionalFormatting sqref="D986:G998">
    <cfRule type="expression" dxfId="3453" priority="460">
      <formula>$B986="Serviço"</formula>
    </cfRule>
  </conditionalFormatting>
  <conditionalFormatting sqref="D997:G998">
    <cfRule type="expression" dxfId="3452" priority="489">
      <formula>$B997="Subetapa"</formula>
    </cfRule>
  </conditionalFormatting>
  <conditionalFormatting sqref="D999:G1019">
    <cfRule type="expression" dxfId="3451" priority="446">
      <formula>$B999="Subetapa"</formula>
    </cfRule>
  </conditionalFormatting>
  <conditionalFormatting sqref="D999:G1062">
    <cfRule type="expression" dxfId="3450" priority="445">
      <formula>$B999="Serviço"</formula>
    </cfRule>
  </conditionalFormatting>
  <conditionalFormatting sqref="D1080:G1092">
    <cfRule type="expression" dxfId="3449" priority="570">
      <formula>$B1080="Subetapa"</formula>
    </cfRule>
  </conditionalFormatting>
  <conditionalFormatting sqref="D1080:G1093">
    <cfRule type="expression" dxfId="3448" priority="569">
      <formula>$B1080="Serviço"</formula>
    </cfRule>
  </conditionalFormatting>
  <conditionalFormatting sqref="D1104:G1105 D1106:E1114 G1106:G1114 D1115:G1117 D1118:E1126 G1118:G1126 D1127:G1127 D1094:E1102 G1094:G1102">
    <cfRule type="expression" dxfId="3447" priority="3093">
      <formula>$B1094="Serviço"</formula>
    </cfRule>
  </conditionalFormatting>
  <conditionalFormatting sqref="D1127:G1129 D1130:E1138 G1130:G1138 D1139:G1186 D1104:G1105 D1106:E1114 G1106:G1114 D1115:G1117 D1118:E1126 G1118:G1126">
    <cfRule type="expression" dxfId="3446" priority="747">
      <formula>$B1104="Subetapa"</formula>
    </cfRule>
  </conditionalFormatting>
  <conditionalFormatting sqref="D1128:G1186">
    <cfRule type="expression" dxfId="3445" priority="544">
      <formula>$B1128="Serviço"</formula>
    </cfRule>
  </conditionalFormatting>
  <conditionalFormatting sqref="D1187:G1193">
    <cfRule type="expression" dxfId="3444" priority="405">
      <formula>$B1187="Serviço"</formula>
    </cfRule>
    <cfRule type="expression" dxfId="3443" priority="406">
      <formula>$B1187="Subetapa"</formula>
    </cfRule>
  </conditionalFormatting>
  <conditionalFormatting sqref="D1194:G1197">
    <cfRule type="expression" dxfId="3442" priority="3047">
      <formula>$B1194="Subetapa"</formula>
    </cfRule>
    <cfRule type="expression" dxfId="3441" priority="3046">
      <formula>$B1194="Serviço"</formula>
    </cfRule>
  </conditionalFormatting>
  <conditionalFormatting sqref="D1198:G1199">
    <cfRule type="expression" dxfId="3440" priority="3524">
      <formula>$B1198="Serviço"</formula>
    </cfRule>
    <cfRule type="expression" dxfId="3439" priority="3525">
      <formula>$B1198="Subetapa"</formula>
    </cfRule>
  </conditionalFormatting>
  <conditionalFormatting sqref="D1200:G1207">
    <cfRule type="expression" dxfId="3438" priority="1249">
      <formula>$B1200="Serviço"</formula>
    </cfRule>
    <cfRule type="expression" dxfId="3437" priority="1250">
      <formula>$B1200="Subetapa"</formula>
    </cfRule>
  </conditionalFormatting>
  <conditionalFormatting sqref="D1208:G1208 G1209:G1272">
    <cfRule type="expression" dxfId="3436" priority="3518">
      <formula>$B1208="Serviço"</formula>
    </cfRule>
    <cfRule type="expression" dxfId="3435" priority="3519">
      <formula>$B1208="Subetapa"</formula>
    </cfRule>
  </conditionalFormatting>
  <conditionalFormatting sqref="D1366:G1375">
    <cfRule type="expression" dxfId="3434" priority="1806">
      <formula>$B1366="Subetapa"</formula>
    </cfRule>
  </conditionalFormatting>
  <conditionalFormatting sqref="D1376:G1376 D1377:E1380 G1377:G1380">
    <cfRule type="expression" dxfId="3433" priority="88">
      <formula>$B1376="Subetapa"</formula>
    </cfRule>
  </conditionalFormatting>
  <conditionalFormatting sqref="D1381:G1381 D1382:E1385 G1382:G1385">
    <cfRule type="expression" dxfId="3432" priority="98">
      <formula>$B1381="Subetapa"</formula>
    </cfRule>
  </conditionalFormatting>
  <conditionalFormatting sqref="D1386:G1386 D1387:E1390 G1387:G1390">
    <cfRule type="expression" dxfId="3431" priority="68">
      <formula>$B1386="Subetapa"</formula>
    </cfRule>
  </conditionalFormatting>
  <conditionalFormatting sqref="D1391:G1391 D1392:E1395 G1392:G1395">
    <cfRule type="expression" dxfId="3430" priority="71">
      <formula>$B1391="Subetapa"</formula>
    </cfRule>
  </conditionalFormatting>
  <conditionalFormatting sqref="D1396:G1396 D1397:E1400 G1397:G1400">
    <cfRule type="expression" dxfId="3429" priority="101">
      <formula>$B1396="Subetapa"</formula>
    </cfRule>
  </conditionalFormatting>
  <conditionalFormatting sqref="D1401:G1401 D1402:E1405 G1402:G1405 D1396:G1396 D1397:E1400 G1397:G1400 D1381:G1381 D1382:E1385 G1382:G1385 D1366:G1376 D1377:E1380 G1377:G1380 D1391:G1391 D1392:E1395 G1392:G1395 D1386:G1386 D1387:E1390 G1387:G1390 D1406:G1406 D1407:E1410 G1407:G1410">
    <cfRule type="expression" dxfId="3428" priority="1792">
      <formula>$B1366="Serviço"</formula>
    </cfRule>
  </conditionalFormatting>
  <conditionalFormatting sqref="D1401:G1401 D1402:E1405 G1402:G1405">
    <cfRule type="expression" dxfId="3427" priority="104">
      <formula>$B1401="Subetapa"</formula>
    </cfRule>
  </conditionalFormatting>
  <conditionalFormatting sqref="D1406:G1406 D1407:E1410 G1407:G1410">
    <cfRule type="expression" dxfId="3426" priority="1793">
      <formula>$B1406="Subetapa"</formula>
    </cfRule>
  </conditionalFormatting>
  <conditionalFormatting sqref="D1411:G1411 D1412:E1415 G1412:G1415">
    <cfRule type="expression" dxfId="3425" priority="1787">
      <formula>$B1411="Subetapa"</formula>
    </cfRule>
  </conditionalFormatting>
  <conditionalFormatting sqref="D1441:G1443">
    <cfRule type="expression" dxfId="3424" priority="373">
      <formula>$B1441="Subetapa"</formula>
    </cfRule>
  </conditionalFormatting>
  <conditionalFormatting sqref="D1444:G1444 E1445:G1446 D1446">
    <cfRule type="expression" dxfId="3423" priority="271">
      <formula>$B1444="Subetapa"</formula>
    </cfRule>
  </conditionalFormatting>
  <conditionalFormatting sqref="D1445:G1446">
    <cfRule type="expression" dxfId="3422" priority="268">
      <formula>$B1445="Serviço"</formula>
    </cfRule>
  </conditionalFormatting>
  <conditionalFormatting sqref="D1450:G1452">
    <cfRule type="expression" dxfId="3421" priority="2058">
      <formula>$B1450="Subetapa"</formula>
    </cfRule>
  </conditionalFormatting>
  <conditionalFormatting sqref="D1453:G1455">
    <cfRule type="expression" dxfId="3420" priority="442">
      <formula>$B1453="Subetapa"</formula>
    </cfRule>
  </conditionalFormatting>
  <conditionalFormatting sqref="D1456:G1458">
    <cfRule type="expression" dxfId="3419" priority="444">
      <formula>$B1456="Subetapa"</formula>
    </cfRule>
  </conditionalFormatting>
  <conditionalFormatting sqref="D1462:G1464">
    <cfRule type="expression" dxfId="3418" priority="2216">
      <formula>$B1462="Subetapa"</formula>
    </cfRule>
  </conditionalFormatting>
  <conditionalFormatting sqref="D1465:G1472">
    <cfRule type="expression" dxfId="3417" priority="2972">
      <formula>$B1465="Serviço"</formula>
    </cfRule>
  </conditionalFormatting>
  <conditionalFormatting sqref="D1470:G1471">
    <cfRule type="expression" dxfId="3416" priority="154">
      <formula>$B1470="Subetapa"</formula>
    </cfRule>
  </conditionalFormatting>
  <conditionalFormatting sqref="D1472:G1472">
    <cfRule type="expression" dxfId="3415" priority="2973">
      <formula>$B1472="Subetapa"</formula>
    </cfRule>
  </conditionalFormatting>
  <conditionalFormatting sqref="D1476:G1522">
    <cfRule type="expression" dxfId="3414" priority="428">
      <formula>$B1476="Subetapa"</formula>
    </cfRule>
  </conditionalFormatting>
  <conditionalFormatting sqref="D1528:G1540">
    <cfRule type="expression" dxfId="3413" priority="324">
      <formula>$B1528="Subetapa"</formula>
    </cfRule>
  </conditionalFormatting>
  <conditionalFormatting sqref="D1528:G1542">
    <cfRule type="expression" dxfId="3412" priority="323">
      <formula>$B1528="Serviço"</formula>
    </cfRule>
  </conditionalFormatting>
  <conditionalFormatting sqref="D1543:G1566 E1567:G1567 D1568:G1670">
    <cfRule type="expression" dxfId="3411" priority="785">
      <formula>$B1543="Subetapa"</formula>
    </cfRule>
  </conditionalFormatting>
  <conditionalFormatting sqref="D1543:G1593 I1543:I1874">
    <cfRule type="expression" dxfId="3410" priority="426">
      <formula>$B1543="Serviço"</formula>
    </cfRule>
  </conditionalFormatting>
  <conditionalFormatting sqref="D1594:G1692 G1692:G1694">
    <cfRule type="expression" dxfId="3409" priority="2478">
      <formula>$B1594="Serviço"</formula>
    </cfRule>
  </conditionalFormatting>
  <conditionalFormatting sqref="D1695:G1696 D1697:E1698">
    <cfRule type="expression" dxfId="3408" priority="321">
      <formula>$B1695="Subetapa"</formula>
    </cfRule>
  </conditionalFormatting>
  <conditionalFormatting sqref="D1695:G1702">
    <cfRule type="expression" dxfId="3407" priority="317">
      <formula>$B1695="Serviço"</formula>
    </cfRule>
  </conditionalFormatting>
  <conditionalFormatting sqref="D1699:G1702 D1703:E1704 G1703:G1704">
    <cfRule type="expression" dxfId="3406" priority="2259">
      <formula>$B1699="Subetapa"</formula>
    </cfRule>
  </conditionalFormatting>
  <conditionalFormatting sqref="D1713:G1746">
    <cfRule type="expression" dxfId="3405" priority="2031">
      <formula>$B1713="Serviço"</formula>
    </cfRule>
  </conditionalFormatting>
  <conditionalFormatting sqref="D1719:G1719">
    <cfRule type="expression" dxfId="3404" priority="1625">
      <formula>$B1719="Subetapa"</formula>
    </cfRule>
  </conditionalFormatting>
  <conditionalFormatting sqref="D1720:G1732 D1734:G1746">
    <cfRule type="expression" dxfId="3403" priority="2032">
      <formula>$B1720="Subetapa"</formula>
    </cfRule>
  </conditionalFormatting>
  <conditionalFormatting sqref="D1733:G1733">
    <cfRule type="expression" dxfId="3402" priority="1313">
      <formula>$B1733="Subetapa"</formula>
    </cfRule>
  </conditionalFormatting>
  <conditionalFormatting sqref="D1747:G1761">
    <cfRule type="expression" dxfId="3401" priority="273">
      <formula>$B1747="Subetapa"</formula>
    </cfRule>
    <cfRule type="expression" dxfId="3400" priority="272">
      <formula>$B1747="Serviço"</formula>
    </cfRule>
  </conditionalFormatting>
  <conditionalFormatting sqref="D1779:G1779">
    <cfRule type="expression" dxfId="3399" priority="116">
      <formula>$B1779="Subetapa"</formula>
    </cfRule>
  </conditionalFormatting>
  <conditionalFormatting sqref="D1860:G1865 G1866:G1869">
    <cfRule type="expression" dxfId="3398" priority="2232">
      <formula>$B1860="Subetapa"</formula>
    </cfRule>
  </conditionalFormatting>
  <conditionalFormatting sqref="D1870:G1870">
    <cfRule type="expression" dxfId="3397" priority="2242">
      <formula>$B1870="Subetapa"</formula>
    </cfRule>
  </conditionalFormatting>
  <conditionalFormatting sqref="D1895:G1900">
    <cfRule type="expression" dxfId="3396" priority="2237">
      <formula>$B1895="Serviço"</formula>
    </cfRule>
    <cfRule type="expression" dxfId="3395" priority="2238">
      <formula>$B1895="Subetapa"</formula>
    </cfRule>
  </conditionalFormatting>
  <conditionalFormatting sqref="D1920:G1920 D1921:E1924 G1921:G1924 D1925:G1925 D1926:E1929 G1926:G1929">
    <cfRule type="expression" dxfId="3394" priority="1780">
      <formula>$B1920="Serviço"</formula>
    </cfRule>
    <cfRule type="expression" dxfId="3393" priority="1781">
      <formula>$B1920="Subetapa"</formula>
    </cfRule>
  </conditionalFormatting>
  <conditionalFormatting sqref="D1930:G1930 D1931:E1934 G1931:G1934">
    <cfRule type="expression" dxfId="3392" priority="1761">
      <formula>$B1930="Subetapa"</formula>
    </cfRule>
    <cfRule type="expression" dxfId="3391" priority="1760">
      <formula>$B1930="Serviço"</formula>
    </cfRule>
  </conditionalFormatting>
  <conditionalFormatting sqref="D1935:G1935 D1936:E1939 G1936:G1939">
    <cfRule type="expression" dxfId="3390" priority="1765">
      <formula>$B1935="Subetapa"</formula>
    </cfRule>
    <cfRule type="expression" dxfId="3389" priority="1764">
      <formula>$B1935="Serviço"</formula>
    </cfRule>
  </conditionalFormatting>
  <conditionalFormatting sqref="D1940:G1940 D1941:E1944 G1941:G1944">
    <cfRule type="expression" dxfId="3388" priority="1751">
      <formula>$B1940="Subetapa"</formula>
    </cfRule>
    <cfRule type="expression" dxfId="3387" priority="1750">
      <formula>$B1940="Serviço"</formula>
    </cfRule>
  </conditionalFormatting>
  <conditionalFormatting sqref="D1945:G1945 D1946:E1949 G1946:G1949">
    <cfRule type="expression" dxfId="3386" priority="1756">
      <formula>$B1945="Serviço"</formula>
    </cfRule>
    <cfRule type="expression" dxfId="3385" priority="1757">
      <formula>$B1945="Subetapa"</formula>
    </cfRule>
  </conditionalFormatting>
  <conditionalFormatting sqref="D1950:G1950 D1951:E1951 G1951">
    <cfRule type="expression" dxfId="3384" priority="126">
      <formula>$B1950="Serviço"</formula>
    </cfRule>
    <cfRule type="expression" dxfId="3383" priority="127">
      <formula>$B1950="Subetapa"</formula>
    </cfRule>
  </conditionalFormatting>
  <conditionalFormatting sqref="D1952:G1952 D1953:E1956 G1953:G1956">
    <cfRule type="expression" dxfId="3382" priority="130">
      <formula>$B1952="Serviço"</formula>
    </cfRule>
    <cfRule type="expression" dxfId="3381" priority="131">
      <formula>$B1952="Subetapa"</formula>
    </cfRule>
  </conditionalFormatting>
  <conditionalFormatting sqref="D1957:G1957 D1958:E1961 G1958:G1961">
    <cfRule type="expression" dxfId="3380" priority="134">
      <formula>$B1957="Serviço"</formula>
    </cfRule>
    <cfRule type="expression" dxfId="3379" priority="135">
      <formula>$B1957="Subetapa"</formula>
    </cfRule>
  </conditionalFormatting>
  <conditionalFormatting sqref="D1962:G1962 D1963:E1966 G1963:G1966">
    <cfRule type="expression" dxfId="3378" priority="297">
      <formula>$B1962="Subetapa"</formula>
    </cfRule>
    <cfRule type="expression" dxfId="3377" priority="296">
      <formula>$B1962="Serviço"</formula>
    </cfRule>
  </conditionalFormatting>
  <conditionalFormatting sqref="D1967:G1967 D1968:E1971 G1968:G1971">
    <cfRule type="expression" dxfId="3376" priority="1773">
      <formula>$B1967="Subetapa"</formula>
    </cfRule>
    <cfRule type="expression" dxfId="3375" priority="1772">
      <formula>$B1967="Serviço"</formula>
    </cfRule>
  </conditionalFormatting>
  <conditionalFormatting sqref="D1972:G1972 D1973:E1976 G1973:G1976 D1977:G1977 D1978:E1981 G1978:G1981">
    <cfRule type="expression" dxfId="3374" priority="1768">
      <formula>$B1972="Serviço"</formula>
    </cfRule>
    <cfRule type="expression" dxfId="3373" priority="1769">
      <formula>$B1972="Subetapa"</formula>
    </cfRule>
  </conditionalFormatting>
  <conditionalFormatting sqref="D1982:G2006">
    <cfRule type="expression" dxfId="3372" priority="1753">
      <formula>$B1982="Subetapa"</formula>
    </cfRule>
    <cfRule type="expression" dxfId="3371" priority="1752">
      <formula>$B1982="Serviço"</formula>
    </cfRule>
  </conditionalFormatting>
  <conditionalFormatting sqref="D2010:G2016 I2014:I2349">
    <cfRule type="expression" dxfId="3370" priority="286">
      <formula>$B2010="Serviço"</formula>
    </cfRule>
  </conditionalFormatting>
  <conditionalFormatting sqref="D2014:G2016 I2014:I2476">
    <cfRule type="expression" dxfId="3369" priority="285">
      <formula>$B2014="Subetapa"</formula>
    </cfRule>
  </conditionalFormatting>
  <conditionalFormatting sqref="D2017:G2024 B2017">
    <cfRule type="expression" dxfId="3368" priority="283">
      <formula>$B2017="Subetapa"</formula>
    </cfRule>
  </conditionalFormatting>
  <conditionalFormatting sqref="D2017:G2024">
    <cfRule type="expression" dxfId="3367" priority="282">
      <formula>$B2017="Serviço"</formula>
    </cfRule>
  </conditionalFormatting>
  <conditionalFormatting sqref="D2028:G2049">
    <cfRule type="expression" dxfId="3366" priority="2219">
      <formula>$B2028="Serviço"</formula>
    </cfRule>
    <cfRule type="expression" dxfId="3365" priority="2220">
      <formula>$B2028="Subetapa"</formula>
    </cfRule>
  </conditionalFormatting>
  <conditionalFormatting sqref="D2053:G2098">
    <cfRule type="expression" dxfId="3364" priority="266">
      <formula>$B2053="Serviço"</formula>
    </cfRule>
  </conditionalFormatting>
  <conditionalFormatting sqref="D2053:G2132">
    <cfRule type="expression" dxfId="3363" priority="265">
      <formula>$B2053="Subetapa"</formula>
    </cfRule>
  </conditionalFormatting>
  <conditionalFormatting sqref="D2211:G2215">
    <cfRule type="expression" dxfId="3362" priority="2943">
      <formula>$B2211="Subetapa"</formula>
    </cfRule>
  </conditionalFormatting>
  <conditionalFormatting sqref="D2217:G2226 D2229:G2229 D2232:G2232">
    <cfRule type="expression" dxfId="3361" priority="810">
      <formula>$B2217="Subetapa"</formula>
    </cfRule>
  </conditionalFormatting>
  <conditionalFormatting sqref="D2235:G2235 D1776:E1778 G1776:G1778 G1780:G1782 D1784:E1786 G1784:G1786 D1788:E1790 D1792:E1794 I1920:I1996 E2233:E2234 G2233:G2234 D2255:G2255 D2256:E2257 G2256:G2257 D2258:G2258 D2259:E2259 G2259 D2988:D2998">
    <cfRule type="expression" dxfId="3360" priority="2608">
      <formula>$B1776="Serviço"</formula>
    </cfRule>
  </conditionalFormatting>
  <conditionalFormatting sqref="D2235:G2235">
    <cfRule type="expression" dxfId="3359" priority="1302">
      <formula>$B2235="Subetapa"</formula>
    </cfRule>
  </conditionalFormatting>
  <conditionalFormatting sqref="D2237:G2237 D2238:E2239 G2238:G2239">
    <cfRule type="expression" dxfId="3358" priority="76">
      <formula>$B2237="Serviço"</formula>
    </cfRule>
  </conditionalFormatting>
  <conditionalFormatting sqref="D2237:G2237">
    <cfRule type="expression" dxfId="3357" priority="78">
      <formula>$B2237="Subetapa"</formula>
    </cfRule>
  </conditionalFormatting>
  <conditionalFormatting sqref="D2240:G2240 D2241:E2242 G2241:G2242">
    <cfRule type="expression" dxfId="3356" priority="93">
      <formula>$B2240="Serviço"</formula>
    </cfRule>
  </conditionalFormatting>
  <conditionalFormatting sqref="D2240:G2240">
    <cfRule type="expression" dxfId="3355" priority="95">
      <formula>$B2240="Subetapa"</formula>
    </cfRule>
  </conditionalFormatting>
  <conditionalFormatting sqref="D2243:G2243 D2244:E2245 G2244:G2245">
    <cfRule type="expression" dxfId="3354" priority="109">
      <formula>$B2243="Serviço"</formula>
    </cfRule>
  </conditionalFormatting>
  <conditionalFormatting sqref="D2243:G2243">
    <cfRule type="expression" dxfId="3353" priority="111">
      <formula>$B2243="Subetapa"</formula>
    </cfRule>
  </conditionalFormatting>
  <conditionalFormatting sqref="D2246:G2246 D2247:E2248 G2247:G2248">
    <cfRule type="expression" dxfId="3352" priority="121">
      <formula>$B2246="Serviço"</formula>
    </cfRule>
  </conditionalFormatting>
  <conditionalFormatting sqref="D2246:G2246">
    <cfRule type="expression" dxfId="3351" priority="123">
      <formula>$B2246="Subetapa"</formula>
    </cfRule>
  </conditionalFormatting>
  <conditionalFormatting sqref="D2249:G2249 D2250:E2251 G2250:G2251">
    <cfRule type="expression" dxfId="3350" priority="140">
      <formula>$B2249="Serviço"</formula>
    </cfRule>
  </conditionalFormatting>
  <conditionalFormatting sqref="D2249:G2249">
    <cfRule type="expression" dxfId="3349" priority="142">
      <formula>$B2249="Subetapa"</formula>
    </cfRule>
  </conditionalFormatting>
  <conditionalFormatting sqref="D2252:G2252 D2253:E2254 G2253:G2254">
    <cfRule type="expression" dxfId="3348" priority="151">
      <formula>$B2252="Serviço"</formula>
    </cfRule>
  </conditionalFormatting>
  <conditionalFormatting sqref="D2252:G2252">
    <cfRule type="expression" dxfId="3347" priority="153">
      <formula>$B2252="Subetapa"</formula>
    </cfRule>
  </conditionalFormatting>
  <conditionalFormatting sqref="D2260:G2265 D2266:E2267 G2266:G2267">
    <cfRule type="expression" dxfId="3346" priority="199">
      <formula>$B2260="Serviço"</formula>
    </cfRule>
  </conditionalFormatting>
  <conditionalFormatting sqref="D2260:G2265">
    <cfRule type="expression" dxfId="3345" priority="201">
      <formula>$B2260="Subetapa"</formula>
    </cfRule>
  </conditionalFormatting>
  <conditionalFormatting sqref="D2268:G2271">
    <cfRule type="expression" dxfId="3344" priority="216">
      <formula>$B2268="Subetapa"</formula>
    </cfRule>
  </conditionalFormatting>
  <conditionalFormatting sqref="D2274:G2302">
    <cfRule type="expression" dxfId="3343" priority="1863">
      <formula>$B2274="Serviço"</formula>
    </cfRule>
    <cfRule type="expression" dxfId="3342" priority="1864">
      <formula>$B2274="Subetapa"</formula>
    </cfRule>
  </conditionalFormatting>
  <conditionalFormatting sqref="D2303:G2308">
    <cfRule type="expression" dxfId="3341" priority="14">
      <formula>$B2303="Subetapa"</formula>
    </cfRule>
  </conditionalFormatting>
  <conditionalFormatting sqref="D2318:G2319">
    <cfRule type="expression" dxfId="3340" priority="684">
      <formula>$B2318="Subetapa"</formula>
    </cfRule>
  </conditionalFormatting>
  <conditionalFormatting sqref="D2325:G2326">
    <cfRule type="expression" dxfId="3339" priority="1448">
      <formula>$B2325="Serviço"</formula>
    </cfRule>
  </conditionalFormatting>
  <conditionalFormatting sqref="D2342:G2450">
    <cfRule type="expression" dxfId="3338" priority="1278">
      <formula>$B2342="Subetapa"</formula>
    </cfRule>
    <cfRule type="expression" dxfId="3337" priority="1277">
      <formula>$B2342="Serviço"</formula>
    </cfRule>
  </conditionalFormatting>
  <conditionalFormatting sqref="D2459:G2476">
    <cfRule type="expression" dxfId="3336" priority="1417">
      <formula>$B2459="Subetapa"</formula>
    </cfRule>
  </conditionalFormatting>
  <conditionalFormatting sqref="D2562:G2570 E2571:G2571 D2572:G2575 E2576:G2576 D2577:G2580 E2581:G2581 D2582:G2606">
    <cfRule type="expression" dxfId="3335" priority="1254">
      <formula>$B2562="Serviço"</formula>
    </cfRule>
  </conditionalFormatting>
  <conditionalFormatting sqref="D2582:G2653 D2562:G2570 E2571:G2571 D2572:G2575 E2576:G2576 D2577:G2580 E2581:G2581">
    <cfRule type="expression" dxfId="3334" priority="753">
      <formula>$B2562="Subetapa"</formula>
    </cfRule>
  </conditionalFormatting>
  <conditionalFormatting sqref="D2607:G2654">
    <cfRule type="expression" dxfId="3333" priority="1400">
      <formula>$B2607="Serviço"</formula>
    </cfRule>
  </conditionalFormatting>
  <conditionalFormatting sqref="D2659:G2659 G2660:G2663 D2660:E2663">
    <cfRule type="expression" dxfId="3332" priority="3003">
      <formula>$B2659="Serviço"</formula>
    </cfRule>
  </conditionalFormatting>
  <conditionalFormatting sqref="D2664:G2664 G2665:G2668 D2665:E2668">
    <cfRule type="expression" dxfId="3331" priority="1391">
      <formula>$B2664="Serviço"</formula>
    </cfRule>
  </conditionalFormatting>
  <conditionalFormatting sqref="D2669:G2669 G2670:G2673 D2670:E2673">
    <cfRule type="expression" dxfId="3330" priority="1382">
      <formula>$B2669="Serviço"</formula>
    </cfRule>
  </conditionalFormatting>
  <conditionalFormatting sqref="D2674:G2674">
    <cfRule type="expression" dxfId="3329" priority="1371">
      <formula>$B2674="Serviço"</formula>
    </cfRule>
  </conditionalFormatting>
  <conditionalFormatting sqref="D2676:G2676 G2677:G2680 D2677:E2680">
    <cfRule type="expression" dxfId="3328" priority="1360">
      <formula>$B2676="Serviço"</formula>
    </cfRule>
  </conditionalFormatting>
  <conditionalFormatting sqref="D2681:G2681">
    <cfRule type="expression" dxfId="3327" priority="1338">
      <formula>$B2681="Serviço"</formula>
    </cfRule>
  </conditionalFormatting>
  <conditionalFormatting sqref="D2683:G2683">
    <cfRule type="expression" dxfId="3326" priority="1327">
      <formula>$B2683="Serviço"</formula>
    </cfRule>
  </conditionalFormatting>
  <conditionalFormatting sqref="D2685:G2710">
    <cfRule type="expression" dxfId="3325" priority="1590">
      <formula>$B2685="Serviço"</formula>
    </cfRule>
  </conditionalFormatting>
  <conditionalFormatting sqref="D2686:G2695">
    <cfRule type="expression" dxfId="3324" priority="2953">
      <formula>$B2686="Subetapa"</formula>
    </cfRule>
  </conditionalFormatting>
  <conditionalFormatting sqref="D2696:G2710">
    <cfRule type="expression" dxfId="3323" priority="791">
      <formula>$B2696="Subetapa"</formula>
    </cfRule>
  </conditionalFormatting>
  <conditionalFormatting sqref="D2732:G2733 D2734 F2734:G2734">
    <cfRule type="expression" dxfId="3322" priority="2162">
      <formula>$B2732="Serviço"</formula>
    </cfRule>
  </conditionalFormatting>
  <conditionalFormatting sqref="D2735:G2735 D2736 F2736:G2736 D2737:G2737 D2738 F2738:G2738">
    <cfRule type="expression" dxfId="3321" priority="1347">
      <formula>$B2735="Serviço"</formula>
    </cfRule>
  </conditionalFormatting>
  <conditionalFormatting sqref="D2739:G2743 D2745:G2745 D2751:G2751">
    <cfRule type="expression" dxfId="3320" priority="1714">
      <formula>$B2739="Subetapa"</formula>
    </cfRule>
  </conditionalFormatting>
  <conditionalFormatting sqref="D2746:G2750">
    <cfRule type="expression" dxfId="3319" priority="1693">
      <formula>$B2746="Subetapa"</formula>
    </cfRule>
  </conditionalFormatting>
  <conditionalFormatting sqref="D2748:G2748">
    <cfRule type="expression" dxfId="3318" priority="1692">
      <formula>$B2748="Serviço"</formula>
    </cfRule>
  </conditionalFormatting>
  <conditionalFormatting sqref="D2749:G2753 D2739:G2747">
    <cfRule type="expression" dxfId="3317" priority="1713">
      <formula>$B2739="Serviço"</formula>
    </cfRule>
  </conditionalFormatting>
  <conditionalFormatting sqref="D2752:G2756">
    <cfRule type="expression" dxfId="3316" priority="1697">
      <formula>$B2752="Subetapa"</formula>
    </cfRule>
  </conditionalFormatting>
  <conditionalFormatting sqref="D2754:G2754">
    <cfRule type="expression" dxfId="3315" priority="1696">
      <formula>$B2754="Serviço"</formula>
    </cfRule>
  </conditionalFormatting>
  <conditionalFormatting sqref="D2755:G2774 I2744">
    <cfRule type="expression" dxfId="3314" priority="1727">
      <formula>$B2744="Serviço"</formula>
    </cfRule>
  </conditionalFormatting>
  <conditionalFormatting sqref="D2757:G2774 D2777:G2777 I2777:I2811">
    <cfRule type="expression" dxfId="3313" priority="2757">
      <formula>$B2757="Subetapa"</formula>
    </cfRule>
  </conditionalFormatting>
  <conditionalFormatting sqref="D2843:G2843 B2843:B2862">
    <cfRule type="expression" dxfId="3312" priority="2667">
      <formula>$B2843="Subetapa"</formula>
    </cfRule>
  </conditionalFormatting>
  <conditionalFormatting sqref="D2843:G2843">
    <cfRule type="expression" dxfId="3311" priority="2666">
      <formula>$B2843="Serviço"</formula>
    </cfRule>
  </conditionalFormatting>
  <conditionalFormatting sqref="D2844:G2854 D2855:D2884">
    <cfRule type="expression" dxfId="3310" priority="2656">
      <formula>$B2844="Serviço"</formula>
    </cfRule>
    <cfRule type="expression" dxfId="3309" priority="2657">
      <formula>$B2844="Subetapa"</formula>
    </cfRule>
  </conditionalFormatting>
  <conditionalFormatting sqref="D2885:G2885">
    <cfRule type="expression" dxfId="3308" priority="3462">
      <formula>$B2885="Serviço"</formula>
    </cfRule>
  </conditionalFormatting>
  <conditionalFormatting sqref="D2891:G2892">
    <cfRule type="expression" dxfId="3307" priority="3033">
      <formula>$B2891="Serviço"</formula>
    </cfRule>
    <cfRule type="expression" dxfId="3306" priority="3034">
      <formula>$B2891="Subetapa"</formula>
    </cfRule>
  </conditionalFormatting>
  <conditionalFormatting sqref="D2894:G2898">
    <cfRule type="expression" dxfId="3305" priority="928">
      <formula>$B2894="Serviço"</formula>
    </cfRule>
    <cfRule type="expression" dxfId="3304" priority="929">
      <formula>$B2894="Subetapa"</formula>
    </cfRule>
  </conditionalFormatting>
  <conditionalFormatting sqref="D2900:G2900 I2900">
    <cfRule type="expression" dxfId="3303" priority="167">
      <formula>$B2900="Serviço"</formula>
    </cfRule>
    <cfRule type="expression" dxfId="3302" priority="168">
      <formula>$B2900="Subetapa"</formula>
    </cfRule>
  </conditionalFormatting>
  <conditionalFormatting sqref="D2904:G2904 I2904">
    <cfRule type="expression" dxfId="3301" priority="3123">
      <formula>$B2904="Serviço"</formula>
    </cfRule>
    <cfRule type="expression" dxfId="3300" priority="3124">
      <formula>$B2904="Subetapa"</formula>
    </cfRule>
  </conditionalFormatting>
  <conditionalFormatting sqref="D2905:G2905 I2905">
    <cfRule type="expression" dxfId="3299" priority="3240">
      <formula>$B2905="Subetapa"</formula>
    </cfRule>
    <cfRule type="expression" dxfId="3298" priority="3239">
      <formula>$B2905="Serviço"</formula>
    </cfRule>
  </conditionalFormatting>
  <conditionalFormatting sqref="D2906:G2906 I2906">
    <cfRule type="expression" dxfId="3297" priority="3222">
      <formula>$B2906="Subetapa"</formula>
    </cfRule>
    <cfRule type="expression" dxfId="3296" priority="3221">
      <formula>$B2906="Serviço"</formula>
    </cfRule>
  </conditionalFormatting>
  <conditionalFormatting sqref="D2907:G2907 I2907">
    <cfRule type="expression" dxfId="3295" priority="3236">
      <formula>$B2907="Subetapa"</formula>
    </cfRule>
    <cfRule type="expression" dxfId="3294" priority="3235">
      <formula>$B2907="Serviço"</formula>
    </cfRule>
  </conditionalFormatting>
  <conditionalFormatting sqref="D2908:G2908 I2908">
    <cfRule type="expression" dxfId="3293" priority="3220">
      <formula>$B2908="Subetapa"</formula>
    </cfRule>
    <cfRule type="expression" dxfId="3292" priority="3219">
      <formula>$B2908="Serviço"</formula>
    </cfRule>
  </conditionalFormatting>
  <conditionalFormatting sqref="D2910:G2912">
    <cfRule type="expression" dxfId="3291" priority="964">
      <formula>$B2910="Subetapa"</formula>
    </cfRule>
    <cfRule type="expression" dxfId="3290" priority="963">
      <formula>$B2910="Serviço"</formula>
    </cfRule>
  </conditionalFormatting>
  <conditionalFormatting sqref="D2914:G2914 I2914">
    <cfRule type="expression" dxfId="3289" priority="3210">
      <formula>$B2914="Subetapa"</formula>
    </cfRule>
    <cfRule type="expression" dxfId="3288" priority="3209">
      <formula>$B2914="Serviço"</formula>
    </cfRule>
  </conditionalFormatting>
  <conditionalFormatting sqref="D2918:G2926">
    <cfRule type="expression" dxfId="3287" priority="846">
      <formula>$B2918="Subetapa"</formula>
    </cfRule>
  </conditionalFormatting>
  <conditionalFormatting sqref="D2918:G2928">
    <cfRule type="expression" dxfId="3286" priority="845">
      <formula>$B2918="Serviço"</formula>
    </cfRule>
  </conditionalFormatting>
  <conditionalFormatting sqref="D2927:G2929">
    <cfRule type="expression" dxfId="3285" priority="1561">
      <formula>$B2927="Subetapa"</formula>
    </cfRule>
  </conditionalFormatting>
  <conditionalFormatting sqref="D2930:G2931 A2927:B2988">
    <cfRule type="expression" dxfId="3284" priority="1569">
      <formula>$B2927="Subetapa"</formula>
    </cfRule>
  </conditionalFormatting>
  <conditionalFormatting sqref="D2999:G3001 A2999:B3035">
    <cfRule type="expression" dxfId="3283" priority="936">
      <formula>$B2999="Serviço"</formula>
    </cfRule>
  </conditionalFormatting>
  <conditionalFormatting sqref="D3026:G3026">
    <cfRule type="expression" dxfId="3282" priority="3431">
      <formula>$B3026="Serviço"</formula>
    </cfRule>
    <cfRule type="expression" dxfId="3281" priority="3432">
      <formula>$B3026="Subetapa"</formula>
    </cfRule>
  </conditionalFormatting>
  <conditionalFormatting sqref="D3036:G3043">
    <cfRule type="expression" dxfId="3280" priority="985">
      <formula>$B3036="Serviço"</formula>
    </cfRule>
  </conditionalFormatting>
  <conditionalFormatting sqref="D3044:G3050">
    <cfRule type="expression" dxfId="3279" priority="3430">
      <formula>$B3044="Subetapa"</formula>
    </cfRule>
    <cfRule type="expression" dxfId="3278" priority="3429">
      <formula>$B3044="Serviço"</formula>
    </cfRule>
  </conditionalFormatting>
  <conditionalFormatting sqref="D3069:G3069 I3069 G3071">
    <cfRule type="expression" dxfId="3277" priority="3022">
      <formula>$B3069="Subetapa"</formula>
    </cfRule>
    <cfRule type="expression" dxfId="3276" priority="3021">
      <formula>$B3069="Serviço"</formula>
    </cfRule>
  </conditionalFormatting>
  <conditionalFormatting sqref="D3077:G3077">
    <cfRule type="expression" dxfId="3275" priority="3379">
      <formula>$B3077="Subetapa"</formula>
    </cfRule>
    <cfRule type="expression" dxfId="3274" priority="3378">
      <formula>$B3077="Serviço"</formula>
    </cfRule>
  </conditionalFormatting>
  <conditionalFormatting sqref="D3082:G3082">
    <cfRule type="expression" dxfId="3273" priority="3374">
      <formula>$B3082="Serviço"</formula>
    </cfRule>
    <cfRule type="expression" dxfId="3272" priority="3375">
      <formula>$B3082="Subetapa"</formula>
    </cfRule>
  </conditionalFormatting>
  <conditionalFormatting sqref="D3084:G3085">
    <cfRule type="expression" dxfId="3271" priority="3361">
      <formula>$B3084="Subetapa"</formula>
    </cfRule>
    <cfRule type="expression" dxfId="3270" priority="3360">
      <formula>$B3084="Serviço"</formula>
    </cfRule>
  </conditionalFormatting>
  <conditionalFormatting sqref="D151:H196">
    <cfRule type="expression" dxfId="3269" priority="916">
      <formula>$B151="Subetapa"</formula>
    </cfRule>
  </conditionalFormatting>
  <conditionalFormatting sqref="D2:I150">
    <cfRule type="expression" dxfId="3268" priority="885">
      <formula>$B2="Subetapa"</formula>
    </cfRule>
  </conditionalFormatting>
  <conditionalFormatting sqref="D209:I246">
    <cfRule type="expression" dxfId="3267" priority="818">
      <formula>$B209="Subetapa"</formula>
    </cfRule>
  </conditionalFormatting>
  <conditionalFormatting sqref="E271 G271">
    <cfRule type="expression" dxfId="3266" priority="651">
      <formula>$B271="Serviço"</formula>
    </cfRule>
  </conditionalFormatting>
  <conditionalFormatting sqref="E273 G273">
    <cfRule type="expression" dxfId="3265" priority="653">
      <formula>$B273="Serviço"</formula>
    </cfRule>
  </conditionalFormatting>
  <conditionalFormatting sqref="E275 G275">
    <cfRule type="expression" dxfId="3264" priority="655">
      <formula>$B275="Serviço"</formula>
    </cfRule>
  </conditionalFormatting>
  <conditionalFormatting sqref="E277 G277">
    <cfRule type="expression" dxfId="3263" priority="657">
      <formula>$B277="Serviço"</formula>
    </cfRule>
  </conditionalFormatting>
  <conditionalFormatting sqref="E279 G279">
    <cfRule type="expression" dxfId="3262" priority="659">
      <formula>$B279="Serviço"</formula>
    </cfRule>
  </conditionalFormatting>
  <conditionalFormatting sqref="E1367:E1370 E1372:E1375">
    <cfRule type="expression" dxfId="3261" priority="1805">
      <formula>$B1367="Serviço"</formula>
    </cfRule>
  </conditionalFormatting>
  <conditionalFormatting sqref="E1442:E1443">
    <cfRule type="expression" dxfId="3260" priority="372">
      <formula>$B1442="Serviço"</formula>
    </cfRule>
  </conditionalFormatting>
  <conditionalFormatting sqref="E1454:E1455">
    <cfRule type="expression" dxfId="3259" priority="441">
      <formula>$B1454="Serviço"</formula>
    </cfRule>
  </conditionalFormatting>
  <conditionalFormatting sqref="E1457:E1458">
    <cfRule type="expression" dxfId="3258" priority="443">
      <formula>$B1457="Serviço"</formula>
    </cfRule>
  </conditionalFormatting>
  <conditionalFormatting sqref="E1463:E1464">
    <cfRule type="expression" dxfId="3257" priority="2215">
      <formula>$B1463="Serviço"</formula>
    </cfRule>
  </conditionalFormatting>
  <conditionalFormatting sqref="E1696:E1698">
    <cfRule type="expression" dxfId="3256" priority="320">
      <formula>$B1696="Serviço"</formula>
    </cfRule>
  </conditionalFormatting>
  <conditionalFormatting sqref="E1702:E1704">
    <cfRule type="expression" dxfId="3255" priority="2258">
      <formula>$B1702="Serviço"</formula>
    </cfRule>
  </conditionalFormatting>
  <conditionalFormatting sqref="E2015:E2016">
    <cfRule type="expression" dxfId="3254" priority="284">
      <formula>$B2015="Serviço"</formula>
    </cfRule>
  </conditionalFormatting>
  <conditionalFormatting sqref="E2025:E2027">
    <cfRule type="expression" dxfId="3253" priority="1876">
      <formula>$B2025="Subetapa"</formula>
    </cfRule>
  </conditionalFormatting>
  <conditionalFormatting sqref="E2158:E2161 G2158:G2161">
    <cfRule type="expression" dxfId="3252" priority="2206">
      <formula>$B2158="Serviço"</formula>
    </cfRule>
  </conditionalFormatting>
  <conditionalFormatting sqref="E2216 G2216">
    <cfRule type="expression" dxfId="3251" priority="1222">
      <formula>$B2216="Subetapa"</formula>
    </cfRule>
  </conditionalFormatting>
  <conditionalFormatting sqref="E2216">
    <cfRule type="expression" dxfId="3250" priority="1221">
      <formula>$B2216="Serviço"</formula>
    </cfRule>
  </conditionalFormatting>
  <conditionalFormatting sqref="E2227 G2227">
    <cfRule type="expression" dxfId="3249" priority="226">
      <formula>$B2227="Serviço"</formula>
    </cfRule>
  </conditionalFormatting>
  <conditionalFormatting sqref="E2227:E2228 G2227:G2228">
    <cfRule type="expression" dxfId="3248" priority="227">
      <formula>$B2227="Subetapa"</formula>
    </cfRule>
  </conditionalFormatting>
  <conditionalFormatting sqref="E2230 G2230">
    <cfRule type="expression" dxfId="3247" priority="244">
      <formula>$B2230="Serviço"</formula>
    </cfRule>
  </conditionalFormatting>
  <conditionalFormatting sqref="E2230:E2231 G2230:G2231">
    <cfRule type="expression" dxfId="3246" priority="245">
      <formula>$B2230="Subetapa"</formula>
    </cfRule>
  </conditionalFormatting>
  <conditionalFormatting sqref="E2272 G2272">
    <cfRule type="expression" dxfId="3245" priority="210">
      <formula>$B2272="Serviço"</formula>
    </cfRule>
  </conditionalFormatting>
  <conditionalFormatting sqref="E2272:E2273 G2272:G2273">
    <cfRule type="expression" dxfId="3244" priority="211">
      <formula>$B2272="Subetapa"</formula>
    </cfRule>
  </conditionalFormatting>
  <conditionalFormatting sqref="E2713:E2734">
    <cfRule type="expression" dxfId="3243" priority="2165">
      <formula>$B2713="Subetapa"</formula>
    </cfRule>
  </conditionalFormatting>
  <conditionalFormatting sqref="E2733:E2738">
    <cfRule type="expression" dxfId="3242" priority="1349">
      <formula>$B2733="Serviço"</formula>
    </cfRule>
  </conditionalFormatting>
  <conditionalFormatting sqref="E2735:E2738">
    <cfRule type="expression" dxfId="3241" priority="1350">
      <formula>$B2735="Subetapa"</formula>
    </cfRule>
  </conditionalFormatting>
  <conditionalFormatting sqref="E2802 E2811">
    <cfRule type="containsText" dxfId="3240" priority="3458" operator="containsText" text="INSERIR">
      <formula>NOT(ISERROR(SEARCH("INSERIR",E2802)))</formula>
    </cfRule>
  </conditionalFormatting>
  <conditionalFormatting sqref="E2917">
    <cfRule type="containsText" dxfId="3239" priority="3439" operator="containsText" text="INSERIR">
      <formula>NOT(ISERROR(SEARCH("INSERIR",E2917)))</formula>
    </cfRule>
  </conditionalFormatting>
  <conditionalFormatting sqref="E292:F292 E293:G293 E294:F294 E295:G295 D296:F296 D297:G299">
    <cfRule type="expression" dxfId="3238" priority="1972">
      <formula>$B292="Subetapa"</formula>
    </cfRule>
  </conditionalFormatting>
  <conditionalFormatting sqref="E1021:F1022">
    <cfRule type="expression" dxfId="3237" priority="450">
      <formula>$B1021="Subetapa"</formula>
    </cfRule>
  </conditionalFormatting>
  <conditionalFormatting sqref="E1526:F1526">
    <cfRule type="expression" dxfId="3236" priority="2561">
      <formula>$B1526="Serviço"</formula>
    </cfRule>
  </conditionalFormatting>
  <conditionalFormatting sqref="E2451:F2451 E2452:G2452">
    <cfRule type="expression" dxfId="3235" priority="1297">
      <formula>$B2451="Subetapa"</formula>
    </cfRule>
  </conditionalFormatting>
  <conditionalFormatting sqref="E2989:F2989 F2990:F2991 E2990:E2998">
    <cfRule type="expression" dxfId="3234" priority="1823">
      <formula>$B2989="Serviço"</formula>
    </cfRule>
    <cfRule type="expression" dxfId="3233" priority="1834">
      <formula>$B2989="Subetapa"</formula>
    </cfRule>
  </conditionalFormatting>
  <conditionalFormatting sqref="E270:G271">
    <cfRule type="expression" dxfId="3232" priority="652">
      <formula>$B270="Subetapa"</formula>
    </cfRule>
  </conditionalFormatting>
  <conditionalFormatting sqref="E272:G273">
    <cfRule type="expression" dxfId="3231" priority="654">
      <formula>$B272="Subetapa"</formula>
    </cfRule>
  </conditionalFormatting>
  <conditionalFormatting sqref="E274:G275">
    <cfRule type="expression" dxfId="3230" priority="656">
      <formula>$B274="Subetapa"</formula>
    </cfRule>
  </conditionalFormatting>
  <conditionalFormatting sqref="E276:G277">
    <cfRule type="expression" dxfId="3229" priority="658">
      <formula>$B276="Subetapa"</formula>
    </cfRule>
  </conditionalFormatting>
  <conditionalFormatting sqref="E278:G279">
    <cfRule type="expression" dxfId="3228" priority="660">
      <formula>$B278="Subetapa"</formula>
    </cfRule>
  </conditionalFormatting>
  <conditionalFormatting sqref="E292:G295 D296:G299 I249:I299">
    <cfRule type="expression" dxfId="3227" priority="1970">
      <formula>$B249="Serviço"</formula>
    </cfRule>
  </conditionalFormatting>
  <conditionalFormatting sqref="E344:G349">
    <cfRule type="expression" dxfId="3226" priority="875">
      <formula>$B344="Serviço"</formula>
    </cfRule>
    <cfRule type="expression" dxfId="3225" priority="876">
      <formula>$B344="Subetapa"</formula>
    </cfRule>
  </conditionalFormatting>
  <conditionalFormatting sqref="E760:G761">
    <cfRule type="expression" dxfId="3224" priority="902">
      <formula>$B760="Serviço"</formula>
    </cfRule>
    <cfRule type="expression" dxfId="3223" priority="903">
      <formula>$B760="Subetapa"</formula>
    </cfRule>
  </conditionalFormatting>
  <conditionalFormatting sqref="E1093:G1103">
    <cfRule type="expression" dxfId="3222" priority="568">
      <formula>$B1093="Subetapa"</formula>
    </cfRule>
  </conditionalFormatting>
  <conditionalFormatting sqref="E1526:G1526">
    <cfRule type="expression" dxfId="3221" priority="2563">
      <formula>$B1526="Subetapa"</formula>
    </cfRule>
  </conditionalFormatting>
  <conditionalFormatting sqref="E2315:G2317">
    <cfRule type="expression" dxfId="3220" priority="683">
      <formula>$B2315="Subetapa"</formula>
    </cfRule>
  </conditionalFormatting>
  <conditionalFormatting sqref="E2451:G2452">
    <cfRule type="expression" dxfId="3219" priority="1294">
      <formula>$B2451="Serviço"</formula>
    </cfRule>
  </conditionalFormatting>
  <conditionalFormatting sqref="E2453:G2454">
    <cfRule type="expression" dxfId="3218" priority="682">
      <formula>$B2453="Serviço"</formula>
    </cfRule>
  </conditionalFormatting>
  <conditionalFormatting sqref="E2453:G2456">
    <cfRule type="expression" dxfId="3217" priority="679">
      <formula>$B2453="Subetapa"</formula>
    </cfRule>
  </conditionalFormatting>
  <conditionalFormatting sqref="E2455:G2457 D2458:G2476">
    <cfRule type="expression" dxfId="3216" priority="1284">
      <formula>$B2455="Serviço"</formula>
    </cfRule>
  </conditionalFormatting>
  <conditionalFormatting sqref="E2855:G2862">
    <cfRule type="expression" dxfId="3215" priority="891">
      <formula>$B2855="Subetapa"</formula>
    </cfRule>
    <cfRule type="expression" dxfId="3214" priority="890">
      <formula>$B2855="Serviço"</formula>
    </cfRule>
  </conditionalFormatting>
  <conditionalFormatting sqref="E2929:G2929 D2930:G2931">
    <cfRule type="expression" dxfId="3213" priority="1565">
      <formula>$B2929="Serviço"</formula>
    </cfRule>
  </conditionalFormatting>
  <conditionalFormatting sqref="E3070:G3070">
    <cfRule type="expression" dxfId="3212" priority="3399">
      <formula>$B3070="Subetapa"</formula>
    </cfRule>
    <cfRule type="expression" dxfId="3211" priority="3398">
      <formula>$B3070="Serviço"</formula>
    </cfRule>
  </conditionalFormatting>
  <conditionalFormatting sqref="E3072:G3076">
    <cfRule type="expression" dxfId="3210" priority="955">
      <formula>$B3072="Serviço"</formula>
    </cfRule>
    <cfRule type="expression" dxfId="3209" priority="956">
      <formula>$B3072="Subetapa"</formula>
    </cfRule>
  </conditionalFormatting>
  <conditionalFormatting sqref="E3078:G3081">
    <cfRule type="expression" dxfId="3208" priority="954">
      <formula>$B3078="Subetapa"</formula>
    </cfRule>
    <cfRule type="expression" dxfId="3207" priority="953">
      <formula>$B3078="Serviço"</formula>
    </cfRule>
  </conditionalFormatting>
  <conditionalFormatting sqref="E3083:G3083">
    <cfRule type="expression" dxfId="3206" priority="3371">
      <formula>$B3083="Subetapa"</formula>
    </cfRule>
    <cfRule type="expression" dxfId="3205" priority="3370">
      <formula>$B3083="Serviço"</formula>
    </cfRule>
  </conditionalFormatting>
  <conditionalFormatting sqref="F643:F648">
    <cfRule type="expression" dxfId="3204" priority="647">
      <formula>$B643="Serviço"</formula>
    </cfRule>
    <cfRule type="expression" dxfId="3203" priority="648">
      <formula>$B643="Subetapa"</formula>
    </cfRule>
  </conditionalFormatting>
  <conditionalFormatting sqref="F652:F658">
    <cfRule type="expression" dxfId="3202" priority="400">
      <formula>$B652="Subetapa"</formula>
    </cfRule>
    <cfRule type="expression" dxfId="3201" priority="399">
      <formula>$B652="Serviço"</formula>
    </cfRule>
  </conditionalFormatting>
  <conditionalFormatting sqref="F840:F846">
    <cfRule type="expression" dxfId="3200" priority="590">
      <formula>$B840="Subetapa"</formula>
    </cfRule>
  </conditionalFormatting>
  <conditionalFormatting sqref="F847:F848">
    <cfRule type="expression" dxfId="3199" priority="587">
      <formula>$B847="Subetapa"</formula>
    </cfRule>
  </conditionalFormatting>
  <conditionalFormatting sqref="F858:F859">
    <cfRule type="expression" dxfId="3198" priority="597">
      <formula>$B858="Subetapa"</formula>
    </cfRule>
  </conditionalFormatting>
  <conditionalFormatting sqref="F909:F915">
    <cfRule type="expression" dxfId="3197" priority="517">
      <formula>$B909="Subetapa"</formula>
    </cfRule>
  </conditionalFormatting>
  <conditionalFormatting sqref="F916:F917">
    <cfRule type="expression" dxfId="3196" priority="514">
      <formula>$B916="Subetapa"</formula>
    </cfRule>
  </conditionalFormatting>
  <conditionalFormatting sqref="F919:F927">
    <cfRule type="expression" dxfId="3195" priority="4">
      <formula>$B919="Subetapa"</formula>
    </cfRule>
  </conditionalFormatting>
  <conditionalFormatting sqref="F928:F929">
    <cfRule type="expression" dxfId="3194" priority="2">
      <formula>$B928="Subetapa"</formula>
    </cfRule>
  </conditionalFormatting>
  <conditionalFormatting sqref="F931:F938">
    <cfRule type="expression" dxfId="3193" priority="509">
      <formula>$B931="Subetapa"</formula>
    </cfRule>
  </conditionalFormatting>
  <conditionalFormatting sqref="F939:F940">
    <cfRule type="expression" dxfId="3192" priority="506">
      <formula>$B939="Subetapa"</formula>
    </cfRule>
  </conditionalFormatting>
  <conditionalFormatting sqref="F977:F983">
    <cfRule type="expression" dxfId="3191" priority="470">
      <formula>$B977="Subetapa"</formula>
    </cfRule>
  </conditionalFormatting>
  <conditionalFormatting sqref="F977:F985">
    <cfRule type="expression" dxfId="3190" priority="468">
      <formula>$B977="Serviço"</formula>
    </cfRule>
  </conditionalFormatting>
  <conditionalFormatting sqref="F984:F985">
    <cfRule type="expression" dxfId="3189" priority="467">
      <formula>$B984="Subetapa"</formula>
    </cfRule>
  </conditionalFormatting>
  <conditionalFormatting sqref="F987:F994">
    <cfRule type="expression" dxfId="3188" priority="462">
      <formula>$B987="Subetapa"</formula>
    </cfRule>
  </conditionalFormatting>
  <conditionalFormatting sqref="F995:F996">
    <cfRule type="expression" dxfId="3187" priority="459">
      <formula>$B995="Subetapa"</formula>
    </cfRule>
  </conditionalFormatting>
  <conditionalFormatting sqref="F1064:F1065">
    <cfRule type="expression" dxfId="3186" priority="585">
      <formula>$B1064="Serviço"</formula>
    </cfRule>
  </conditionalFormatting>
  <conditionalFormatting sqref="F1064:F1066">
    <cfRule type="expression" dxfId="3185" priority="586">
      <formula>$B1064="Subetapa"</formula>
    </cfRule>
  </conditionalFormatting>
  <conditionalFormatting sqref="F1066">
    <cfRule type="expression" dxfId="3184" priority="610">
      <formula>$B1066="Serviço"</formula>
    </cfRule>
  </conditionalFormatting>
  <conditionalFormatting sqref="F1067">
    <cfRule type="expression" dxfId="3183" priority="584">
      <formula>$B1067="Serviço"</formula>
    </cfRule>
    <cfRule type="expression" dxfId="3182" priority="583">
      <formula>$B1067="Subetapa"</formula>
    </cfRule>
  </conditionalFormatting>
  <conditionalFormatting sqref="F1070:F1071">
    <cfRule type="expression" dxfId="3181" priority="579">
      <formula>$B1070="Serviço"</formula>
    </cfRule>
  </conditionalFormatting>
  <conditionalFormatting sqref="F1070:F1072">
    <cfRule type="expression" dxfId="3180" priority="580">
      <formula>$B1070="Subetapa"</formula>
    </cfRule>
  </conditionalFormatting>
  <conditionalFormatting sqref="F1072">
    <cfRule type="expression" dxfId="3179" priority="582">
      <formula>$B1072="Serviço"</formula>
    </cfRule>
  </conditionalFormatting>
  <conditionalFormatting sqref="F1073">
    <cfRule type="expression" dxfId="3178" priority="578">
      <formula>$B1073="Serviço"</formula>
    </cfRule>
    <cfRule type="expression" dxfId="3177" priority="577">
      <formula>$B1073="Subetapa"</formula>
    </cfRule>
  </conditionalFormatting>
  <conditionalFormatting sqref="F1075:F1077">
    <cfRule type="expression" dxfId="3176" priority="573">
      <formula>$B1075="Serviço"</formula>
    </cfRule>
  </conditionalFormatting>
  <conditionalFormatting sqref="F1075:F1078">
    <cfRule type="expression" dxfId="3175" priority="574">
      <formula>$B1075="Subetapa"</formula>
    </cfRule>
  </conditionalFormatting>
  <conditionalFormatting sqref="F1078">
    <cfRule type="expression" dxfId="3174" priority="576">
      <formula>$B1078="Serviço"</formula>
    </cfRule>
  </conditionalFormatting>
  <conditionalFormatting sqref="F1079">
    <cfRule type="expression" dxfId="3173" priority="572">
      <formula>$B1079="Serviço"</formula>
    </cfRule>
    <cfRule type="expression" dxfId="3172" priority="571">
      <formula>$B1079="Subetapa"</formula>
    </cfRule>
  </conditionalFormatting>
  <conditionalFormatting sqref="F1094:F1102">
    <cfRule type="expression" dxfId="3171" priority="567">
      <formula>$B1094="Serviço"</formula>
    </cfRule>
  </conditionalFormatting>
  <conditionalFormatting sqref="F1106:F1112">
    <cfRule type="expression" dxfId="3170" priority="558">
      <formula>$B1106="Subetapa"</formula>
    </cfRule>
  </conditionalFormatting>
  <conditionalFormatting sqref="F1106:F1114">
    <cfRule type="expression" dxfId="3169" priority="556">
      <formula>$B1106="Serviço"</formula>
    </cfRule>
  </conditionalFormatting>
  <conditionalFormatting sqref="F1113:F1114">
    <cfRule type="expression" dxfId="3168" priority="555">
      <formula>$B1113="Subetapa"</formula>
    </cfRule>
  </conditionalFormatting>
  <conditionalFormatting sqref="F1118:F1124">
    <cfRule type="expression" dxfId="3167" priority="552">
      <formula>$B1118="Subetapa"</formula>
    </cfRule>
  </conditionalFormatting>
  <conditionalFormatting sqref="F1118:F1126">
    <cfRule type="expression" dxfId="3166" priority="550">
      <formula>$B1118="Serviço"</formula>
    </cfRule>
  </conditionalFormatting>
  <conditionalFormatting sqref="F1125:F1126">
    <cfRule type="expression" dxfId="3165" priority="549">
      <formula>$B1125="Subetapa"</formula>
    </cfRule>
  </conditionalFormatting>
  <conditionalFormatting sqref="F1130:F1136">
    <cfRule type="expression" dxfId="3164" priority="546">
      <formula>$B1130="Subetapa"</formula>
    </cfRule>
  </conditionalFormatting>
  <conditionalFormatting sqref="F1137:F1138">
    <cfRule type="expression" dxfId="3163" priority="543">
      <formula>$B1137="Subetapa"</formula>
    </cfRule>
  </conditionalFormatting>
  <conditionalFormatting sqref="F1195">
    <cfRule type="expression" dxfId="3162" priority="2977">
      <formula>$B1195="Subetapa"</formula>
    </cfRule>
    <cfRule type="expression" dxfId="3161" priority="2976">
      <formula>$B1195="Serviço"</formula>
    </cfRule>
  </conditionalFormatting>
  <conditionalFormatting sqref="F1198">
    <cfRule type="expression" dxfId="3160" priority="3523">
      <formula>$B1198="Subetapa"</formula>
    </cfRule>
    <cfRule type="expression" dxfId="3159" priority="3522">
      <formula>$B1198="Serviço"</formula>
    </cfRule>
  </conditionalFormatting>
  <conditionalFormatting sqref="F1201">
    <cfRule type="expression" dxfId="3158" priority="3532">
      <formula>$B1201="Serviço"</formula>
    </cfRule>
    <cfRule type="expression" dxfId="3157" priority="3533">
      <formula>$B1201="Subetapa"</formula>
    </cfRule>
  </conditionalFormatting>
  <conditionalFormatting sqref="F1205">
    <cfRule type="expression" dxfId="3156" priority="1247">
      <formula>$B1205="Serviço"</formula>
    </cfRule>
    <cfRule type="expression" dxfId="3155" priority="1248">
      <formula>$B1205="Subetapa"</formula>
    </cfRule>
  </conditionalFormatting>
  <conditionalFormatting sqref="F1208">
    <cfRule type="expression" dxfId="3154" priority="3517">
      <formula>$B1208="Subetapa"</formula>
    </cfRule>
    <cfRule type="expression" dxfId="3153" priority="3516">
      <formula>$B1208="Serviço"</formula>
    </cfRule>
  </conditionalFormatting>
  <conditionalFormatting sqref="F1237">
    <cfRule type="expression" dxfId="3152" priority="347">
      <formula>$B1237="Subetapa"</formula>
    </cfRule>
    <cfRule type="expression" dxfId="3151" priority="346">
      <formula>$B1237="Serviço"</formula>
    </cfRule>
  </conditionalFormatting>
  <conditionalFormatting sqref="F1239">
    <cfRule type="expression" dxfId="3150" priority="361">
      <formula>$B1239="Subetapa"</formula>
    </cfRule>
    <cfRule type="expression" dxfId="3149" priority="360">
      <formula>$B1239="Serviço"</formula>
    </cfRule>
  </conditionalFormatting>
  <conditionalFormatting sqref="F1241">
    <cfRule type="expression" dxfId="3148" priority="368">
      <formula>$B1241="Serviço"</formula>
    </cfRule>
    <cfRule type="expression" dxfId="3147" priority="369">
      <formula>$B1241="Subetapa"</formula>
    </cfRule>
  </conditionalFormatting>
  <conditionalFormatting sqref="F1243">
    <cfRule type="expression" dxfId="3146" priority="336">
      <formula>$B1243="Serviço"</formula>
    </cfRule>
    <cfRule type="expression" dxfId="3145" priority="337">
      <formula>$B1243="Subetapa"</formula>
    </cfRule>
  </conditionalFormatting>
  <conditionalFormatting sqref="F1247">
    <cfRule type="expression" dxfId="3144" priority="355">
      <formula>$B1247="Subetapa"</formula>
    </cfRule>
    <cfRule type="expression" dxfId="3143" priority="354">
      <formula>$B1247="Serviço"</formula>
    </cfRule>
  </conditionalFormatting>
  <conditionalFormatting sqref="F1332:F1335">
    <cfRule type="expression" dxfId="3142" priority="306">
      <formula>$A1332="Subetapa"</formula>
    </cfRule>
    <cfRule type="expression" dxfId="3141" priority="305">
      <formula>$A1332="Serviço"</formula>
    </cfRule>
  </conditionalFormatting>
  <conditionalFormatting sqref="F1337:F1340">
    <cfRule type="expression" dxfId="3140" priority="310">
      <formula>$A1337="Serviço"</formula>
    </cfRule>
    <cfRule type="expression" dxfId="3139" priority="311">
      <formula>$A1337="Subetapa"</formula>
    </cfRule>
  </conditionalFormatting>
  <conditionalFormatting sqref="F1342:F1345 F1776:F1778 F1780:F1782 F1784:F1786 F1788:F1790 F1792:F1794">
    <cfRule type="expression" dxfId="3138" priority="1919">
      <formula>$A1342="Serviço"</formula>
    </cfRule>
    <cfRule type="expression" dxfId="3137" priority="1920">
      <formula>$A1342="Subetapa"</formula>
    </cfRule>
  </conditionalFormatting>
  <conditionalFormatting sqref="F1347:F1350">
    <cfRule type="expression" dxfId="3136" priority="1916">
      <formula>$A1347="Subetapa"</formula>
    </cfRule>
    <cfRule type="expression" dxfId="3135" priority="1915">
      <formula>$A1347="Serviço"</formula>
    </cfRule>
  </conditionalFormatting>
  <conditionalFormatting sqref="F1352:F1355">
    <cfRule type="expression" dxfId="3134" priority="61">
      <formula>$A1352="Serviço"</formula>
    </cfRule>
    <cfRule type="expression" dxfId="3133" priority="62">
      <formula>$A1352="Subetapa"</formula>
    </cfRule>
  </conditionalFormatting>
  <conditionalFormatting sqref="F1357:F1360">
    <cfRule type="expression" dxfId="3132" priority="64">
      <formula>$A1357="Serviço"</formula>
    </cfRule>
    <cfRule type="expression" dxfId="3131" priority="65">
      <formula>$A1357="Subetapa"</formula>
    </cfRule>
  </conditionalFormatting>
  <conditionalFormatting sqref="F1362:F1365">
    <cfRule type="expression" dxfId="3130" priority="145">
      <formula>$A1362="Subetapa"</formula>
    </cfRule>
    <cfRule type="expression" dxfId="3129" priority="144">
      <formula>$A1362="Serviço"</formula>
    </cfRule>
  </conditionalFormatting>
  <conditionalFormatting sqref="F1377:F1380">
    <cfRule type="expression" dxfId="3128" priority="86">
      <formula>$A1377="Serviço"</formula>
    </cfRule>
    <cfRule type="expression" dxfId="3127" priority="87">
      <formula>$A1377="Subetapa"</formula>
    </cfRule>
  </conditionalFormatting>
  <conditionalFormatting sqref="F1382:F1385">
    <cfRule type="expression" dxfId="3126" priority="97">
      <formula>$A1382="Subetapa"</formula>
    </cfRule>
    <cfRule type="expression" dxfId="3125" priority="96">
      <formula>$A1382="Serviço"</formula>
    </cfRule>
  </conditionalFormatting>
  <conditionalFormatting sqref="F1387:F1390">
    <cfRule type="expression" dxfId="3124" priority="67">
      <formula>$A1387="Subetapa"</formula>
    </cfRule>
    <cfRule type="expression" dxfId="3123" priority="66">
      <formula>$A1387="Serviço"</formula>
    </cfRule>
  </conditionalFormatting>
  <conditionalFormatting sqref="F1392:F1395">
    <cfRule type="expression" dxfId="3122" priority="70">
      <formula>$A1392="Subetapa"</formula>
    </cfRule>
    <cfRule type="expression" dxfId="3121" priority="69">
      <formula>$A1392="Serviço"</formula>
    </cfRule>
  </conditionalFormatting>
  <conditionalFormatting sqref="F1397:F1400">
    <cfRule type="expression" dxfId="3120" priority="100">
      <formula>$A1397="Subetapa"</formula>
    </cfRule>
    <cfRule type="expression" dxfId="3119" priority="99">
      <formula>$A1397="Serviço"</formula>
    </cfRule>
  </conditionalFormatting>
  <conditionalFormatting sqref="F1402:F1405">
    <cfRule type="expression" dxfId="3118" priority="102">
      <formula>$A1402="Serviço"</formula>
    </cfRule>
    <cfRule type="expression" dxfId="3117" priority="103">
      <formula>$A1402="Subetapa"</formula>
    </cfRule>
  </conditionalFormatting>
  <conditionalFormatting sqref="F1407:F1410">
    <cfRule type="expression" dxfId="3116" priority="1790">
      <formula>$A1407="Serviço"</formula>
    </cfRule>
    <cfRule type="expression" dxfId="3115" priority="1791">
      <formula>$A1407="Subetapa"</formula>
    </cfRule>
  </conditionalFormatting>
  <conditionalFormatting sqref="F1412:F1415">
    <cfRule type="expression" dxfId="3114" priority="1782">
      <formula>$A1412="Serviço"</formula>
    </cfRule>
    <cfRule type="expression" dxfId="3113" priority="1783">
      <formula>$A1412="Subetapa"</formula>
    </cfRule>
  </conditionalFormatting>
  <conditionalFormatting sqref="F1417:F1420">
    <cfRule type="expression" dxfId="3112" priority="1918">
      <formula>$A1417="Subetapa"</formula>
    </cfRule>
    <cfRule type="expression" dxfId="3111" priority="1917">
      <formula>$A1417="Serviço"</formula>
    </cfRule>
  </conditionalFormatting>
  <conditionalFormatting sqref="F1422:F1425">
    <cfRule type="expression" dxfId="3110" priority="80">
      <formula>$A1422="Serviço"</formula>
    </cfRule>
    <cfRule type="expression" dxfId="3109" priority="81">
      <formula>$A1422="Subetapa"</formula>
    </cfRule>
  </conditionalFormatting>
  <conditionalFormatting sqref="F1427:F1430">
    <cfRule type="expression" dxfId="3108" priority="1266">
      <formula>$A1427="Serviço"</formula>
    </cfRule>
    <cfRule type="expression" dxfId="3107" priority="1267">
      <formula>$A1427="Subetapa"</formula>
    </cfRule>
  </conditionalFormatting>
  <conditionalFormatting sqref="F1432:F1435">
    <cfRule type="expression" dxfId="3106" priority="1913">
      <formula>$A1432="Serviço"</formula>
    </cfRule>
    <cfRule type="expression" dxfId="3105" priority="1914">
      <formula>$A1432="Subetapa"</formula>
    </cfRule>
  </conditionalFormatting>
  <conditionalFormatting sqref="F1437:F1440">
    <cfRule type="expression" dxfId="3104" priority="1911">
      <formula>$A1437="Serviço"</formula>
    </cfRule>
    <cfRule type="expression" dxfId="3103" priority="1912">
      <formula>$A1437="Subetapa"</formula>
    </cfRule>
  </conditionalFormatting>
  <conditionalFormatting sqref="F1541:F1542">
    <cfRule type="expression" dxfId="3102" priority="322">
      <formula>$B1541="Subetapa"</formula>
    </cfRule>
  </conditionalFormatting>
  <conditionalFormatting sqref="F1693:F1694">
    <cfRule type="expression" dxfId="3101" priority="1627">
      <formula>$B1693="Subetapa"</formula>
    </cfRule>
  </conditionalFormatting>
  <conditionalFormatting sqref="F1703:F1704">
    <cfRule type="expression" dxfId="3100" priority="1631">
      <formula>$B1703="Subetapa"</formula>
    </cfRule>
  </conditionalFormatting>
  <conditionalFormatting sqref="F1796:F1799">
    <cfRule type="expression" dxfId="3099" priority="1306">
      <formula>$A1796="Subetapa"</formula>
    </cfRule>
    <cfRule type="expression" dxfId="3098" priority="1305">
      <formula>$A1796="Serviço"</formula>
    </cfRule>
  </conditionalFormatting>
  <conditionalFormatting sqref="F1801:F1804 F1806:F1809">
    <cfRule type="expression" dxfId="3097" priority="1580">
      <formula>$A1801="Serviço"</formula>
    </cfRule>
    <cfRule type="expression" dxfId="3096" priority="1581">
      <formula>$A1801="Subetapa"</formula>
    </cfRule>
  </conditionalFormatting>
  <conditionalFormatting sqref="F1811:F1814">
    <cfRule type="expression" dxfId="3095" priority="302">
      <formula>$A1811="Subetapa"</formula>
    </cfRule>
    <cfRule type="expression" dxfId="3094" priority="301">
      <formula>$A1811="Serviço"</formula>
    </cfRule>
  </conditionalFormatting>
  <conditionalFormatting sqref="F1816:F1819">
    <cfRule type="expression" dxfId="3093" priority="303">
      <formula>$A1816="Serviço"</formula>
    </cfRule>
    <cfRule type="expression" dxfId="3092" priority="304">
      <formula>$A1816="Subetapa"</formula>
    </cfRule>
  </conditionalFormatting>
  <conditionalFormatting sqref="F1821:F1824">
    <cfRule type="expression" dxfId="3091" priority="439">
      <formula>$A1821="Serviço"</formula>
    </cfRule>
    <cfRule type="expression" dxfId="3090" priority="440">
      <formula>$A1821="Subetapa"</formula>
    </cfRule>
  </conditionalFormatting>
  <conditionalFormatting sqref="F1826:F1829 F1831:F1834">
    <cfRule type="expression" dxfId="3089" priority="1572">
      <formula>$A1826="Serviço"</formula>
    </cfRule>
    <cfRule type="expression" dxfId="3088" priority="1573">
      <formula>$A1826="Subetapa"</formula>
    </cfRule>
  </conditionalFormatting>
  <conditionalFormatting sqref="F1836:F1839">
    <cfRule type="expression" dxfId="3087" priority="1892">
      <formula>$A1836="Subetapa"</formula>
    </cfRule>
    <cfRule type="expression" dxfId="3086" priority="1891">
      <formula>$A1836="Serviço"</formula>
    </cfRule>
  </conditionalFormatting>
  <conditionalFormatting sqref="F1841:F1844">
    <cfRule type="expression" dxfId="3085" priority="1905">
      <formula>$A1841="Serviço"</formula>
    </cfRule>
    <cfRule type="expression" dxfId="3084" priority="1906">
      <formula>$A1841="Subetapa"</formula>
    </cfRule>
  </conditionalFormatting>
  <conditionalFormatting sqref="F1846:F1849">
    <cfRule type="expression" dxfId="3083" priority="298">
      <formula>$A1846="Serviço"</formula>
    </cfRule>
    <cfRule type="expression" dxfId="3082" priority="299">
      <formula>$A1846="Subetapa"</formula>
    </cfRule>
  </conditionalFormatting>
  <conditionalFormatting sqref="F1851:F1854">
    <cfRule type="expression" dxfId="3081" priority="292">
      <formula>$A1851="Subetapa"</formula>
    </cfRule>
    <cfRule type="expression" dxfId="3080" priority="291">
      <formula>$A1851="Serviço"</formula>
    </cfRule>
  </conditionalFormatting>
  <conditionalFormatting sqref="F1856:F1859">
    <cfRule type="expression" dxfId="3079" priority="1908">
      <formula>$A1856="Subetapa"</formula>
    </cfRule>
    <cfRule type="expression" dxfId="3078" priority="1907">
      <formula>$A1856="Serviço"</formula>
    </cfRule>
  </conditionalFormatting>
  <conditionalFormatting sqref="F1866:F1869">
    <cfRule type="expression" dxfId="3077" priority="1883">
      <formula>$A1866="Serviço"</formula>
    </cfRule>
    <cfRule type="expression" dxfId="3076" priority="1884">
      <formula>$A1866="Subetapa"</formula>
    </cfRule>
  </conditionalFormatting>
  <conditionalFormatting sqref="F1871:F1874">
    <cfRule type="expression" dxfId="3075" priority="1886">
      <formula>$A1871="Subetapa"</formula>
    </cfRule>
    <cfRule type="expression" dxfId="3074" priority="1885">
      <formula>$A1871="Serviço"</formula>
    </cfRule>
  </conditionalFormatting>
  <conditionalFormatting sqref="F1876:F1879">
    <cfRule type="expression" dxfId="3073" priority="83">
      <formula>$A1876="Subetapa"</formula>
    </cfRule>
    <cfRule type="expression" dxfId="3072" priority="82">
      <formula>$A1876="Serviço"</formula>
    </cfRule>
  </conditionalFormatting>
  <conditionalFormatting sqref="F1881:F1884">
    <cfRule type="expression" dxfId="3071" priority="157">
      <formula>$A1881="Serviço"</formula>
    </cfRule>
    <cfRule type="expression" dxfId="3070" priority="158">
      <formula>$A1881="Subetapa"</formula>
    </cfRule>
  </conditionalFormatting>
  <conditionalFormatting sqref="F1886:F1889">
    <cfRule type="expression" dxfId="3069" priority="161">
      <formula>$A1886="Serviço"</formula>
    </cfRule>
    <cfRule type="expression" dxfId="3068" priority="162">
      <formula>$A1886="Subetapa"</formula>
    </cfRule>
  </conditionalFormatting>
  <conditionalFormatting sqref="F1891:F1894">
    <cfRule type="expression" dxfId="3067" priority="1887">
      <formula>$A1891="Serviço"</formula>
    </cfRule>
    <cfRule type="expression" dxfId="3066" priority="1888">
      <formula>$A1891="Subetapa"</formula>
    </cfRule>
  </conditionalFormatting>
  <conditionalFormatting sqref="F1901:F1904">
    <cfRule type="expression" dxfId="3065" priority="1877">
      <formula>$A1901="Serviço"</formula>
    </cfRule>
    <cfRule type="expression" dxfId="3064" priority="1878">
      <formula>$A1901="Subetapa"</formula>
    </cfRule>
  </conditionalFormatting>
  <conditionalFormatting sqref="F1906:F1909">
    <cfRule type="expression" dxfId="3063" priority="1880">
      <formula>$A1906="Subetapa"</formula>
    </cfRule>
    <cfRule type="expression" dxfId="3062" priority="1879">
      <formula>$A1906="Serviço"</formula>
    </cfRule>
  </conditionalFormatting>
  <conditionalFormatting sqref="F1911:F1914">
    <cfRule type="expression" dxfId="3061" priority="113">
      <formula>$A1911="Subetapa"</formula>
    </cfRule>
    <cfRule type="expression" dxfId="3060" priority="112">
      <formula>$A1911="Serviço"</formula>
    </cfRule>
  </conditionalFormatting>
  <conditionalFormatting sqref="F1916:F1919">
    <cfRule type="expression" dxfId="3059" priority="1889">
      <formula>$A1916="Serviço"</formula>
    </cfRule>
    <cfRule type="expression" dxfId="3058" priority="1890">
      <formula>$A1916="Subetapa"</formula>
    </cfRule>
  </conditionalFormatting>
  <conditionalFormatting sqref="F1921:F1924 F1926:F1929">
    <cfRule type="expression" dxfId="3057" priority="1775">
      <formula>$A1921="Subetapa"</formula>
    </cfRule>
    <cfRule type="expression" dxfId="3056" priority="1774">
      <formula>$A1921="Serviço"</formula>
    </cfRule>
  </conditionalFormatting>
  <conditionalFormatting sqref="F1931:F1934">
    <cfRule type="expression" dxfId="3055" priority="1758">
      <formula>$A1931="Serviço"</formula>
    </cfRule>
    <cfRule type="expression" dxfId="3054" priority="1759">
      <formula>$A1931="Subetapa"</formula>
    </cfRule>
  </conditionalFormatting>
  <conditionalFormatting sqref="F1936:F1939">
    <cfRule type="expression" dxfId="3053" priority="1763">
      <formula>$A1936="Subetapa"</formula>
    </cfRule>
    <cfRule type="expression" dxfId="3052" priority="1762">
      <formula>$A1936="Serviço"</formula>
    </cfRule>
  </conditionalFormatting>
  <conditionalFormatting sqref="F1941:F1944">
    <cfRule type="expression" dxfId="3051" priority="1748">
      <formula>$A1941="Serviço"</formula>
    </cfRule>
    <cfRule type="expression" dxfId="3050" priority="1749">
      <formula>$A1941="Subetapa"</formula>
    </cfRule>
  </conditionalFormatting>
  <conditionalFormatting sqref="F1946:F1949">
    <cfRule type="expression" dxfId="3049" priority="1755">
      <formula>$A1946="Subetapa"</formula>
    </cfRule>
    <cfRule type="expression" dxfId="3048" priority="1754">
      <formula>$A1946="Serviço"</formula>
    </cfRule>
  </conditionalFormatting>
  <conditionalFormatting sqref="F1951">
    <cfRule type="expression" dxfId="3047" priority="125">
      <formula>$A1951="Subetapa"</formula>
    </cfRule>
    <cfRule type="expression" dxfId="3046" priority="124">
      <formula>$A1951="Serviço"</formula>
    </cfRule>
  </conditionalFormatting>
  <conditionalFormatting sqref="F1953:F1956">
    <cfRule type="expression" dxfId="3045" priority="129">
      <formula>$A1953="Subetapa"</formula>
    </cfRule>
    <cfRule type="expression" dxfId="3044" priority="128">
      <formula>$A1953="Serviço"</formula>
    </cfRule>
  </conditionalFormatting>
  <conditionalFormatting sqref="F1958:F1961">
    <cfRule type="expression" dxfId="3043" priority="133">
      <formula>$A1958="Subetapa"</formula>
    </cfRule>
    <cfRule type="expression" dxfId="3042" priority="132">
      <formula>$A1958="Serviço"</formula>
    </cfRule>
  </conditionalFormatting>
  <conditionalFormatting sqref="F1963:F1966">
    <cfRule type="expression" dxfId="3041" priority="294">
      <formula>$A1963="Serviço"</formula>
    </cfRule>
    <cfRule type="expression" dxfId="3040" priority="295">
      <formula>$A1963="Subetapa"</formula>
    </cfRule>
  </conditionalFormatting>
  <conditionalFormatting sqref="F1968:F1971">
    <cfRule type="expression" dxfId="3039" priority="1770">
      <formula>$A1968="Serviço"</formula>
    </cfRule>
    <cfRule type="expression" dxfId="3038" priority="1771">
      <formula>$A1968="Subetapa"</formula>
    </cfRule>
  </conditionalFormatting>
  <conditionalFormatting sqref="F1973:F1976 F1978:F1981">
    <cfRule type="expression" dxfId="3037" priority="1766">
      <formula>$A1973="Serviço"</formula>
    </cfRule>
    <cfRule type="expression" dxfId="3036" priority="1767">
      <formula>$A1973="Subetapa"</formula>
    </cfRule>
  </conditionalFormatting>
  <conditionalFormatting sqref="F2025:F2027">
    <cfRule type="expression" dxfId="3035" priority="1872">
      <formula>$A2025="Subetapa"</formula>
    </cfRule>
    <cfRule type="expression" dxfId="3034" priority="1871">
      <formula>$A2025="Serviço"</formula>
    </cfRule>
  </conditionalFormatting>
  <conditionalFormatting sqref="F2195">
    <cfRule type="expression" dxfId="3033" priority="3309">
      <formula>$B2195="Subetapa"</formula>
    </cfRule>
    <cfRule type="expression" dxfId="3032" priority="3308">
      <formula>$B2195="Serviço"</formula>
    </cfRule>
  </conditionalFormatting>
  <conditionalFormatting sqref="F2216">
    <cfRule type="expression" dxfId="3031" priority="1216">
      <formula>$A2216="Subetapa"</formula>
    </cfRule>
    <cfRule type="expression" dxfId="3030" priority="1215">
      <formula>$A2216="Serviço"</formula>
    </cfRule>
    <cfRule type="expression" dxfId="3029" priority="1214">
      <formula>$A2216="Subetapa"</formula>
    </cfRule>
    <cfRule type="expression" dxfId="3028" priority="1213">
      <formula>$A2216="Serviço"</formula>
    </cfRule>
  </conditionalFormatting>
  <conditionalFormatting sqref="F2227">
    <cfRule type="expression" dxfId="3027" priority="219">
      <formula>$A2227="Subetapa"</formula>
    </cfRule>
    <cfRule type="expression" dxfId="3026" priority="218">
      <formula>$A2227="Serviço"</formula>
    </cfRule>
  </conditionalFormatting>
  <conditionalFormatting sqref="F2227:F2228">
    <cfRule type="expression" dxfId="3025" priority="221">
      <formula>$A2227="Subetapa"</formula>
    </cfRule>
    <cfRule type="expression" dxfId="3024" priority="220">
      <formula>$A2227="Serviço"</formula>
    </cfRule>
  </conditionalFormatting>
  <conditionalFormatting sqref="F2228">
    <cfRule type="expression" dxfId="3023" priority="231">
      <formula>$A2228="Subetapa"</formula>
    </cfRule>
    <cfRule type="expression" dxfId="3022" priority="230">
      <formula>$A2228="Serviço"</formula>
    </cfRule>
  </conditionalFormatting>
  <conditionalFormatting sqref="F2230">
    <cfRule type="expression" dxfId="3021" priority="236">
      <formula>$A2230="Serviço"</formula>
    </cfRule>
    <cfRule type="expression" dxfId="3020" priority="237">
      <formula>$A2230="Subetapa"</formula>
    </cfRule>
  </conditionalFormatting>
  <conditionalFormatting sqref="F2230:F2231">
    <cfRule type="expression" dxfId="3019" priority="238">
      <formula>$A2230="Serviço"</formula>
    </cfRule>
    <cfRule type="expression" dxfId="3018" priority="239">
      <formula>$A2230="Subetapa"</formula>
    </cfRule>
  </conditionalFormatting>
  <conditionalFormatting sqref="F2231">
    <cfRule type="expression" dxfId="3017" priority="250">
      <formula>$A2231="Serviço"</formula>
    </cfRule>
    <cfRule type="expression" dxfId="3016" priority="251">
      <formula>$A2231="Subetapa"</formula>
    </cfRule>
  </conditionalFormatting>
  <conditionalFormatting sqref="F2233">
    <cfRule type="expression" dxfId="3015" priority="1848">
      <formula>$A2233="Subetapa"</formula>
    </cfRule>
    <cfRule type="expression" dxfId="3014" priority="1846">
      <formula>$A2233="Subetapa"</formula>
    </cfRule>
    <cfRule type="expression" dxfId="3013" priority="1845">
      <formula>$A2233="Serviço"</formula>
    </cfRule>
    <cfRule type="expression" dxfId="3012" priority="1847">
      <formula>$A2233="Serviço"</formula>
    </cfRule>
  </conditionalFormatting>
  <conditionalFormatting sqref="F2234">
    <cfRule type="expression" dxfId="3011" priority="1212">
      <formula>$B2234="Subetapa"</formula>
    </cfRule>
    <cfRule type="expression" dxfId="3010" priority="1211">
      <formula>$B2234="Serviço"</formula>
    </cfRule>
  </conditionalFormatting>
  <conditionalFormatting sqref="F2236 D1836:D1839 F2558 F2560:F2561 F2675 F2682 F2684">
    <cfRule type="expression" dxfId="3009" priority="1895">
      <formula>$A1836="Serviço"</formula>
    </cfRule>
  </conditionalFormatting>
  <conditionalFormatting sqref="F2236">
    <cfRule type="expression" dxfId="3008" priority="1298">
      <formula>$A2236="Serviço"</formula>
    </cfRule>
    <cfRule type="expression" dxfId="3007" priority="1299">
      <formula>$A2236="Subetapa"</formula>
    </cfRule>
  </conditionalFormatting>
  <conditionalFormatting sqref="F2238:F2239">
    <cfRule type="expression" dxfId="3006" priority="74">
      <formula>$A2238="Serviço"</formula>
    </cfRule>
    <cfRule type="expression" dxfId="3005" priority="75">
      <formula>$A2238="Subetapa"</formula>
    </cfRule>
  </conditionalFormatting>
  <conditionalFormatting sqref="F2239">
    <cfRule type="expression" dxfId="3004" priority="73">
      <formula>$A2239="Subetapa"</formula>
    </cfRule>
    <cfRule type="expression" dxfId="3003" priority="72">
      <formula>$A2239="Serviço"</formula>
    </cfRule>
  </conditionalFormatting>
  <conditionalFormatting sqref="F2241:F2242">
    <cfRule type="expression" dxfId="3002" priority="91">
      <formula>$A2241="Serviço"</formula>
    </cfRule>
    <cfRule type="expression" dxfId="3001" priority="92">
      <formula>$A2241="Subetapa"</formula>
    </cfRule>
  </conditionalFormatting>
  <conditionalFormatting sqref="F2242">
    <cfRule type="expression" dxfId="3000" priority="89">
      <formula>$A2242="Serviço"</formula>
    </cfRule>
    <cfRule type="expression" dxfId="2999" priority="90">
      <formula>$A2242="Subetapa"</formula>
    </cfRule>
  </conditionalFormatting>
  <conditionalFormatting sqref="F2244:F2245">
    <cfRule type="expression" dxfId="2998" priority="108">
      <formula>$A2244="Subetapa"</formula>
    </cfRule>
    <cfRule type="expression" dxfId="2997" priority="107">
      <formula>$A2244="Serviço"</formula>
    </cfRule>
  </conditionalFormatting>
  <conditionalFormatting sqref="F2245">
    <cfRule type="expression" dxfId="2996" priority="106">
      <formula>$A2245="Subetapa"</formula>
    </cfRule>
    <cfRule type="expression" dxfId="2995" priority="105">
      <formula>$A2245="Serviço"</formula>
    </cfRule>
  </conditionalFormatting>
  <conditionalFormatting sqref="F2247:F2248">
    <cfRule type="expression" dxfId="2994" priority="119">
      <formula>$A2247="Serviço"</formula>
    </cfRule>
    <cfRule type="expression" dxfId="2993" priority="120">
      <formula>$A2247="Subetapa"</formula>
    </cfRule>
  </conditionalFormatting>
  <conditionalFormatting sqref="F2248">
    <cfRule type="expression" dxfId="2992" priority="118">
      <formula>$A2248="Subetapa"</formula>
    </cfRule>
    <cfRule type="expression" dxfId="2991" priority="117">
      <formula>$A2248="Serviço"</formula>
    </cfRule>
  </conditionalFormatting>
  <conditionalFormatting sqref="F2250:F2251">
    <cfRule type="expression" dxfId="2990" priority="138">
      <formula>$A2250="Serviço"</formula>
    </cfRule>
    <cfRule type="expression" dxfId="2989" priority="139">
      <formula>$A2250="Subetapa"</formula>
    </cfRule>
  </conditionalFormatting>
  <conditionalFormatting sqref="F2251">
    <cfRule type="expression" dxfId="2988" priority="136">
      <formula>$A2251="Serviço"</formula>
    </cfRule>
    <cfRule type="expression" dxfId="2987" priority="137">
      <formula>$A2251="Subetapa"</formula>
    </cfRule>
  </conditionalFormatting>
  <conditionalFormatting sqref="F2253:F2254">
    <cfRule type="expression" dxfId="2986" priority="149">
      <formula>$A2253="Serviço"</formula>
    </cfRule>
    <cfRule type="expression" dxfId="2985" priority="150">
      <formula>$A2253="Subetapa"</formula>
    </cfRule>
  </conditionalFormatting>
  <conditionalFormatting sqref="F2254">
    <cfRule type="expression" dxfId="2984" priority="148">
      <formula>$A2254="Subetapa"</formula>
    </cfRule>
    <cfRule type="expression" dxfId="2983" priority="147">
      <formula>$A2254="Serviço"</formula>
    </cfRule>
  </conditionalFormatting>
  <conditionalFormatting sqref="F2256:F2257">
    <cfRule type="expression" dxfId="2982" priority="1862">
      <formula>$A2256="Subetapa"</formula>
    </cfRule>
    <cfRule type="expression" dxfId="2981" priority="1861">
      <formula>$A2256="Serviço"</formula>
    </cfRule>
  </conditionalFormatting>
  <conditionalFormatting sqref="F2257">
    <cfRule type="expression" dxfId="2980" priority="1860">
      <formula>$A2257="Subetapa"</formula>
    </cfRule>
    <cfRule type="expression" dxfId="2979" priority="1859">
      <formula>$A2257="Serviço"</formula>
    </cfRule>
  </conditionalFormatting>
  <conditionalFormatting sqref="F2259">
    <cfRule type="expression" dxfId="2978" priority="1605">
      <formula>$A2259="Subetapa"</formula>
    </cfRule>
    <cfRule type="expression" dxfId="2977" priority="1604">
      <formula>$A2259="Serviço"</formula>
    </cfRule>
  </conditionalFormatting>
  <conditionalFormatting sqref="F2266:F2267">
    <cfRule type="expression" dxfId="2976" priority="197">
      <formula>$A2266="Serviço"</formula>
    </cfRule>
    <cfRule type="expression" dxfId="2975" priority="198">
      <formula>$A2266="Subetapa"</formula>
    </cfRule>
  </conditionalFormatting>
  <conditionalFormatting sqref="F2267">
    <cfRule type="expression" dxfId="2974" priority="195">
      <formula>$A2267="Serviço"</formula>
    </cfRule>
    <cfRule type="expression" dxfId="2973" priority="196">
      <formula>$A2267="Subetapa"</formula>
    </cfRule>
  </conditionalFormatting>
  <conditionalFormatting sqref="F2272">
    <cfRule type="expression" dxfId="2972" priority="202">
      <formula>$A2272="Serviço"</formula>
    </cfRule>
    <cfRule type="expression" dxfId="2971" priority="203">
      <formula>$A2272="Subetapa"</formula>
    </cfRule>
  </conditionalFormatting>
  <conditionalFormatting sqref="F2272:F2273">
    <cfRule type="expression" dxfId="2970" priority="205">
      <formula>$A2272="Subetapa"</formula>
    </cfRule>
    <cfRule type="expression" dxfId="2969" priority="204">
      <formula>$A2272="Serviço"</formula>
    </cfRule>
  </conditionalFormatting>
  <conditionalFormatting sqref="F2273">
    <cfRule type="expression" dxfId="2968" priority="213">
      <formula>$A2273="Subetapa"</formula>
    </cfRule>
    <cfRule type="expression" dxfId="2967" priority="212">
      <formula>$A2273="Serviço"</formula>
    </cfRule>
  </conditionalFormatting>
  <conditionalFormatting sqref="F2655:F2658">
    <cfRule type="expression" dxfId="2966" priority="1396">
      <formula>$A2655="Subetapa"</formula>
    </cfRule>
    <cfRule type="expression" dxfId="2965" priority="1395">
      <formula>$A2655="Serviço"</formula>
    </cfRule>
  </conditionalFormatting>
  <conditionalFormatting sqref="F2660:F2663">
    <cfRule type="expression" dxfId="2964" priority="1842">
      <formula>$A2660="Serviço"</formula>
    </cfRule>
    <cfRule type="expression" dxfId="2963" priority="1843">
      <formula>$A2660="Subetapa"</formula>
    </cfRule>
  </conditionalFormatting>
  <conditionalFormatting sqref="F2665:F2668">
    <cfRule type="expression" dxfId="2962" priority="1386">
      <formula>$A2665="Serviço"</formula>
    </cfRule>
    <cfRule type="expression" dxfId="2961" priority="1387">
      <formula>$A2665="Subetapa"</formula>
    </cfRule>
  </conditionalFormatting>
  <conditionalFormatting sqref="F2670:F2673">
    <cfRule type="expression" dxfId="2960" priority="1377">
      <formula>$A2670="Serviço"</formula>
    </cfRule>
    <cfRule type="expression" dxfId="2959" priority="1378">
      <formula>$A2670="Subetapa"</formula>
    </cfRule>
  </conditionalFormatting>
  <conditionalFormatting sqref="F2677:F2680">
    <cfRule type="expression" dxfId="2958" priority="1355">
      <formula>$A2677="Serviço"</formula>
    </cfRule>
    <cfRule type="expression" dxfId="2957" priority="1356">
      <formula>$A2677="Subetapa"</formula>
    </cfRule>
  </conditionalFormatting>
  <conditionalFormatting sqref="F2778:F2801">
    <cfRule type="expression" dxfId="2956" priority="3122">
      <formula>$B2778="Subetapa"</formula>
    </cfRule>
  </conditionalFormatting>
  <conditionalFormatting sqref="F3002:F3009">
    <cfRule type="expression" dxfId="2955" priority="3404">
      <formula>$B3002="Serviço"</formula>
    </cfRule>
    <cfRule type="expression" dxfId="2954" priority="3405">
      <formula>$B3002="Subetapa"</formula>
    </cfRule>
  </conditionalFormatting>
  <conditionalFormatting sqref="F3005:F3006">
    <cfRule type="expression" dxfId="2953" priority="3403">
      <formula>$B3005="Subetapa"</formula>
    </cfRule>
    <cfRule type="expression" dxfId="2952" priority="3402">
      <formula>$B3005="Serviço"</formula>
    </cfRule>
  </conditionalFormatting>
  <conditionalFormatting sqref="F3018:F3025">
    <cfRule type="expression" dxfId="2951" priority="3426">
      <formula>$B3018="Subetapa"</formula>
    </cfRule>
    <cfRule type="expression" dxfId="2950" priority="3425">
      <formula>$B3018="Serviço"</formula>
    </cfRule>
  </conditionalFormatting>
  <conditionalFormatting sqref="F3021:F3022">
    <cfRule type="expression" dxfId="2949" priority="3424">
      <formula>$B3021="Subetapa"</formula>
    </cfRule>
    <cfRule type="expression" dxfId="2948" priority="3423">
      <formula>$B3021="Serviço"</formula>
    </cfRule>
  </conditionalFormatting>
  <conditionalFormatting sqref="F3029:F3030">
    <cfRule type="expression" dxfId="2947" priority="3420">
      <formula>$B3029="Subetapa"</formula>
    </cfRule>
    <cfRule type="expression" dxfId="2946" priority="3419">
      <formula>$B3029="Serviço"</formula>
    </cfRule>
  </conditionalFormatting>
  <conditionalFormatting sqref="F637:G641">
    <cfRule type="expression" dxfId="2945" priority="2338">
      <formula>$B637="Serviço"</formula>
    </cfRule>
    <cfRule type="expression" dxfId="2944" priority="2339">
      <formula>$B637="Subetapa"</formula>
    </cfRule>
  </conditionalFormatting>
  <conditionalFormatting sqref="F644:G650">
    <cfRule type="expression" dxfId="2943" priority="641">
      <formula>$B644="Serviço"</formula>
    </cfRule>
    <cfRule type="expression" dxfId="2942" priority="642">
      <formula>$B644="Subetapa"</formula>
    </cfRule>
  </conditionalFormatting>
  <conditionalFormatting sqref="F653:G660">
    <cfRule type="expression" dxfId="2941" priority="393">
      <formula>$B653="Serviço"</formula>
    </cfRule>
    <cfRule type="expression" dxfId="2940" priority="394">
      <formula>$B653="Subetapa"</formula>
    </cfRule>
  </conditionalFormatting>
  <conditionalFormatting sqref="F775:G780">
    <cfRule type="expression" dxfId="2939" priority="937">
      <formula>$B775="Serviço"</formula>
    </cfRule>
    <cfRule type="expression" dxfId="2938" priority="938">
      <formula>$B775="Subetapa"</formula>
    </cfRule>
  </conditionalFormatting>
  <conditionalFormatting sqref="F782:G792">
    <cfRule type="expression" dxfId="2937" priority="931">
      <formula>$B782="Subetapa"</formula>
    </cfRule>
    <cfRule type="expression" dxfId="2936" priority="930">
      <formula>$B782="Serviço"</formula>
    </cfRule>
  </conditionalFormatting>
  <conditionalFormatting sqref="F1697:G1698">
    <cfRule type="expression" dxfId="2935" priority="318">
      <formula>$B1697="Subetapa"</formula>
    </cfRule>
  </conditionalFormatting>
  <conditionalFormatting sqref="F2193:G2196">
    <cfRule type="expression" dxfId="2934" priority="3310">
      <formula>$B2193="Serviço"</formula>
    </cfRule>
    <cfRule type="expression" dxfId="2933" priority="3311">
      <formula>$B2193="Subetapa"</formula>
    </cfRule>
  </conditionalFormatting>
  <conditionalFormatting sqref="F2778:G2778">
    <cfRule type="expression" dxfId="2932" priority="3457" stopIfTrue="1">
      <formula>$B2778="insumo"</formula>
    </cfRule>
    <cfRule type="expression" dxfId="2931" priority="3456" stopIfTrue="1">
      <formula>$B2778="complemento do insumo"</formula>
    </cfRule>
  </conditionalFormatting>
  <conditionalFormatting sqref="F2786:G2786">
    <cfRule type="expression" dxfId="2930" priority="3324" stopIfTrue="1">
      <formula>$B2786="complemento do insumo"</formula>
    </cfRule>
    <cfRule type="expression" dxfId="2929" priority="3325" stopIfTrue="1">
      <formula>$B2786="insumo"</formula>
    </cfRule>
  </conditionalFormatting>
  <conditionalFormatting sqref="F2802:G2802 F2811:G2811 F2883:G2883 I2883 F2885:G2885 I2885 F2887:G2887 I2887 F2893:G2893 I2893">
    <cfRule type="expression" dxfId="2928" priority="3461" stopIfTrue="1">
      <formula>$B2802="insumo"</formula>
    </cfRule>
  </conditionalFormatting>
  <conditionalFormatting sqref="F2820:G2820 I2820">
    <cfRule type="expression" dxfId="2927" priority="3257" stopIfTrue="1">
      <formula>$B2820="complemento do insumo"</formula>
    </cfRule>
    <cfRule type="expression" dxfId="2926" priority="3258" stopIfTrue="1">
      <formula>$B2820="insumo"</formula>
    </cfRule>
  </conditionalFormatting>
  <conditionalFormatting sqref="F2833:G2833 I2833">
    <cfRule type="expression" dxfId="2925" priority="3195" stopIfTrue="1">
      <formula>$B2833="complemento do insumo"</formula>
    </cfRule>
    <cfRule type="expression" dxfId="2924" priority="3196" stopIfTrue="1">
      <formula>$B2833="insumo"</formula>
    </cfRule>
  </conditionalFormatting>
  <conditionalFormatting sqref="F2843:G2843 I2843">
    <cfRule type="expression" dxfId="2923" priority="2662" stopIfTrue="1">
      <formula>$B2843="complemento do insumo"</formula>
    </cfRule>
    <cfRule type="expression" dxfId="2922" priority="2663" stopIfTrue="1">
      <formula>$B2843="insumo"</formula>
    </cfRule>
  </conditionalFormatting>
  <conditionalFormatting sqref="F2853:G2853 I2853">
    <cfRule type="expression" dxfId="2921" priority="1245" stopIfTrue="1">
      <formula>$B2853="complemento do insumo"</formula>
    </cfRule>
    <cfRule type="expression" dxfId="2920" priority="1246" stopIfTrue="1">
      <formula>$B2853="insumo"</formula>
    </cfRule>
  </conditionalFormatting>
  <conditionalFormatting sqref="F2863:G2863 I2863">
    <cfRule type="expression" dxfId="2919" priority="3189" stopIfTrue="1">
      <formula>$B2863="complemento do insumo"</formula>
    </cfRule>
    <cfRule type="expression" dxfId="2918" priority="3190" stopIfTrue="1">
      <formula>$B2863="insumo"</formula>
    </cfRule>
  </conditionalFormatting>
  <conditionalFormatting sqref="F2873:G2873 I2873">
    <cfRule type="expression" dxfId="2917" priority="3186" stopIfTrue="1">
      <formula>$B2873="insumo"</formula>
    </cfRule>
    <cfRule type="expression" dxfId="2916" priority="3185" stopIfTrue="1">
      <formula>$B2873="complemento do insumo"</formula>
    </cfRule>
  </conditionalFormatting>
  <conditionalFormatting sqref="F2889:G2889 I2889">
    <cfRule type="expression" dxfId="2915" priority="3205" stopIfTrue="1">
      <formula>$B2889="complemento do insumo"</formula>
    </cfRule>
    <cfRule type="expression" dxfId="2914" priority="3206" stopIfTrue="1">
      <formula>$B2889="insumo"</formula>
    </cfRule>
  </conditionalFormatting>
  <conditionalFormatting sqref="F2889:G2890 I2889:I2890">
    <cfRule type="expression" dxfId="2913" priority="3208">
      <formula>$B2889="Subetapa"</formula>
    </cfRule>
    <cfRule type="expression" dxfId="2912" priority="3207">
      <formula>$B2889="Serviço"</formula>
    </cfRule>
  </conditionalFormatting>
  <conditionalFormatting sqref="F2891:G2891 I2891">
    <cfRule type="expression" dxfId="2911" priority="3250" stopIfTrue="1">
      <formula>$B2891="insumo"</formula>
    </cfRule>
    <cfRule type="expression" dxfId="2910" priority="3249" stopIfTrue="1">
      <formula>$B2891="complemento do insumo"</formula>
    </cfRule>
  </conditionalFormatting>
  <conditionalFormatting sqref="F2895:G2895 I2895">
    <cfRule type="expression" dxfId="2909" priority="3246" stopIfTrue="1">
      <formula>$B2895="insumo"</formula>
    </cfRule>
    <cfRule type="expression" dxfId="2908" priority="3245" stopIfTrue="1">
      <formula>$B2895="complemento do insumo"</formula>
    </cfRule>
  </conditionalFormatting>
  <conditionalFormatting sqref="F2897:G2897 I2897">
    <cfRule type="expression" dxfId="2907" priority="3202" stopIfTrue="1">
      <formula>$B2897="insumo"</formula>
    </cfRule>
    <cfRule type="expression" dxfId="2906" priority="3201" stopIfTrue="1">
      <formula>$B2897="complemento do insumo"</formula>
    </cfRule>
  </conditionalFormatting>
  <conditionalFormatting sqref="F2899:G2899 I2899">
    <cfRule type="expression" dxfId="2905" priority="170" stopIfTrue="1">
      <formula>$B2899="insumo"</formula>
    </cfRule>
    <cfRule type="expression" dxfId="2904" priority="169" stopIfTrue="1">
      <formula>$B2899="complemento do insumo"</formula>
    </cfRule>
  </conditionalFormatting>
  <conditionalFormatting sqref="F2901:G2901 I2901">
    <cfRule type="expression" dxfId="2903" priority="3242" stopIfTrue="1">
      <formula>$B2901="insumo"</formula>
    </cfRule>
    <cfRule type="expression" dxfId="2902" priority="3241" stopIfTrue="1">
      <formula>$B2901="complemento do insumo"</formula>
    </cfRule>
  </conditionalFormatting>
  <conditionalFormatting sqref="F2903:G2903 I2903">
    <cfRule type="expression" dxfId="2901" priority="3126" stopIfTrue="1">
      <formula>$B2903="insumo"</formula>
    </cfRule>
    <cfRule type="expression" dxfId="2900" priority="3125" stopIfTrue="1">
      <formula>$B2903="complemento do insumo"</formula>
    </cfRule>
  </conditionalFormatting>
  <conditionalFormatting sqref="F2905:G2905 I2905">
    <cfRule type="expression" dxfId="2899" priority="3237" stopIfTrue="1">
      <formula>$B2905="complemento do insumo"</formula>
    </cfRule>
    <cfRule type="expression" dxfId="2898" priority="3238" stopIfTrue="1">
      <formula>$B2905="insumo"</formula>
    </cfRule>
  </conditionalFormatting>
  <conditionalFormatting sqref="F2907:G2907 I2907">
    <cfRule type="expression" dxfId="2897" priority="3233" stopIfTrue="1">
      <formula>$B2907="complemento do insumo"</formula>
    </cfRule>
    <cfRule type="expression" dxfId="2896" priority="3234" stopIfTrue="1">
      <formula>$B2907="insumo"</formula>
    </cfRule>
  </conditionalFormatting>
  <conditionalFormatting sqref="F2909:G2909 I2909">
    <cfRule type="expression" dxfId="2895" priority="3230" stopIfTrue="1">
      <formula>$B2909="insumo"</formula>
    </cfRule>
    <cfRule type="expression" dxfId="2894" priority="3229" stopIfTrue="1">
      <formula>$B2909="complemento do insumo"</formula>
    </cfRule>
  </conditionalFormatting>
  <conditionalFormatting sqref="F2913:G2913 I2913">
    <cfRule type="expression" dxfId="2893" priority="3212" stopIfTrue="1">
      <formula>$B2913="insumo"</formula>
    </cfRule>
    <cfRule type="expression" dxfId="2892" priority="3211" stopIfTrue="1">
      <formula>$B2913="complemento do insumo"</formula>
    </cfRule>
  </conditionalFormatting>
  <conditionalFormatting sqref="F2915:G2915 I2915">
    <cfRule type="expression" dxfId="2891" priority="3215" stopIfTrue="1">
      <formula>$B2915="complemento do insumo"</formula>
    </cfRule>
    <cfRule type="expression" dxfId="2890" priority="3216" stopIfTrue="1">
      <formula>$B2915="insumo"</formula>
    </cfRule>
  </conditionalFormatting>
  <conditionalFormatting sqref="F2917:G2917 I2917">
    <cfRule type="expression" dxfId="2889" priority="3198" stopIfTrue="1">
      <formula>$B2917="insumo"</formula>
    </cfRule>
    <cfRule type="expression" dxfId="2888" priority="3197" stopIfTrue="1">
      <formula>$B2917="complemento do insumo"</formula>
    </cfRule>
  </conditionalFormatting>
  <conditionalFormatting sqref="F2992:G2998 G2989:G2991">
    <cfRule type="expression" dxfId="2887" priority="1810">
      <formula>$B2989="Subetapa"</formula>
    </cfRule>
  </conditionalFormatting>
  <conditionalFormatting sqref="F2992:G2998">
    <cfRule type="expression" dxfId="2886" priority="1809">
      <formula>$B2992="Serviço"</formula>
    </cfRule>
  </conditionalFormatting>
  <conditionalFormatting sqref="F3010:G3017">
    <cfRule type="expression" dxfId="2885" priority="3184">
      <formula>$B3010="Subetapa"</formula>
    </cfRule>
  </conditionalFormatting>
  <conditionalFormatting sqref="F3027:G3033">
    <cfRule type="expression" dxfId="2884" priority="3422">
      <formula>$B3027="Subetapa"</formula>
    </cfRule>
    <cfRule type="expression" dxfId="2883" priority="3421">
      <formula>$B3027="Serviço"</formula>
    </cfRule>
  </conditionalFormatting>
  <conditionalFormatting sqref="F3034:G3035 D3034:D3035 D3044">
    <cfRule type="expression" dxfId="2882" priority="3407">
      <formula>$B3034="Serviço"</formula>
    </cfRule>
  </conditionalFormatting>
  <conditionalFormatting sqref="F3044:G3044 I3044">
    <cfRule type="expression" dxfId="2881" priority="3178">
      <formula>$B3044="Subetapa"</formula>
    </cfRule>
  </conditionalFormatting>
  <conditionalFormatting sqref="G268">
    <cfRule type="expression" dxfId="2880" priority="3012">
      <formula>$B268="Subetapa"</formula>
    </cfRule>
  </conditionalFormatting>
  <conditionalFormatting sqref="G282">
    <cfRule type="expression" dxfId="2879" priority="1206">
      <formula>$B282="Subetapa"</formula>
    </cfRule>
  </conditionalFormatting>
  <conditionalFormatting sqref="G284 G286 G290 G300 G304 G312 G316 G320">
    <cfRule type="expression" dxfId="2878" priority="3011">
      <formula>$B284="Subetapa"</formula>
    </cfRule>
  </conditionalFormatting>
  <conditionalFormatting sqref="G288">
    <cfRule type="expression" dxfId="2877" priority="2061">
      <formula>$B288="Subetapa"</formula>
    </cfRule>
  </conditionalFormatting>
  <conditionalFormatting sqref="G292 G294 G296">
    <cfRule type="expression" dxfId="2876" priority="1967">
      <formula>$B292="Subetapa"</formula>
    </cfRule>
  </conditionalFormatting>
  <conditionalFormatting sqref="G308">
    <cfRule type="expression" dxfId="2875" priority="661">
      <formula>$B308="Subetapa"</formula>
    </cfRule>
  </conditionalFormatting>
  <conditionalFormatting sqref="G325:G328 D350:G350">
    <cfRule type="expression" dxfId="2874" priority="3019">
      <formula>$B325="Serviço"</formula>
    </cfRule>
  </conditionalFormatting>
  <conditionalFormatting sqref="G328 D350:G350 I328:I792">
    <cfRule type="expression" dxfId="2873" priority="3020">
      <formula>$B328="Subetapa"</formula>
    </cfRule>
  </conditionalFormatting>
  <conditionalFormatting sqref="G643">
    <cfRule type="expression" dxfId="2872" priority="646">
      <formula>$B643="Subetapa"</formula>
    </cfRule>
    <cfRule type="expression" dxfId="2871" priority="645">
      <formula>$B643="Serviço"</formula>
    </cfRule>
  </conditionalFormatting>
  <conditionalFormatting sqref="G652">
    <cfRule type="expression" dxfId="2870" priority="397">
      <formula>$B652="Serviço"</formula>
    </cfRule>
    <cfRule type="expression" dxfId="2869" priority="398">
      <formula>$B652="Subetapa"</formula>
    </cfRule>
  </conditionalFormatting>
  <conditionalFormatting sqref="G664">
    <cfRule type="expression" dxfId="2868" priority="2392">
      <formula>$B664="Serviço"</formula>
    </cfRule>
    <cfRule type="expression" dxfId="2867" priority="2393">
      <formula>$B664="Subetapa"</formula>
    </cfRule>
  </conditionalFormatting>
  <conditionalFormatting sqref="G919:G929 D918:G918">
    <cfRule type="expression" dxfId="2866" priority="6">
      <formula>$B918="Subetapa"</formula>
    </cfRule>
  </conditionalFormatting>
  <conditionalFormatting sqref="G1331:G1365">
    <cfRule type="expression" dxfId="2865" priority="146">
      <formula>$B1331="Serviço"</formula>
    </cfRule>
  </conditionalFormatting>
  <conditionalFormatting sqref="G1412:G1464 D1411:G1411 D1412:E1415">
    <cfRule type="expression" dxfId="2864" priority="1786">
      <formula>$B1411="Serviço"</formula>
    </cfRule>
  </conditionalFormatting>
  <conditionalFormatting sqref="G1523:G1526">
    <cfRule type="expression" dxfId="2863" priority="883">
      <formula>$B1523="Serviço"</formula>
    </cfRule>
  </conditionalFormatting>
  <conditionalFormatting sqref="G1702:G1704">
    <cfRule type="expression" dxfId="2862" priority="2253">
      <formula>$B1702="Serviço"</formula>
    </cfRule>
  </conditionalFormatting>
  <conditionalFormatting sqref="G1788:G1859 D1810:F1810 D1811:E1814 D1815:F1815 D1816:E1819 D1820:F1820 D1821:E1824 D1825:F1825 D1826:E1829 D1830:F1830 D1831:E1834">
    <cfRule type="expression" dxfId="2861" priority="1576">
      <formula>$B1788="Serviço"</formula>
    </cfRule>
    <cfRule type="expression" dxfId="2860" priority="1577">
      <formula>$B1788="Subetapa"</formula>
    </cfRule>
  </conditionalFormatting>
  <conditionalFormatting sqref="G1871:G1894">
    <cfRule type="expression" dxfId="2859" priority="2052">
      <formula>$B1871="Subetapa"</formula>
    </cfRule>
    <cfRule type="expression" dxfId="2858" priority="2051">
      <formula>$B1871="Serviço"</formula>
    </cfRule>
  </conditionalFormatting>
  <conditionalFormatting sqref="G2025:G2027">
    <cfRule type="expression" dxfId="2857" priority="814">
      <formula>$B2025="Subetapa"</formula>
    </cfRule>
  </conditionalFormatting>
  <conditionalFormatting sqref="G2215:G2216">
    <cfRule type="expression" dxfId="2856" priority="748">
      <formula>$B2215="Serviço"</formula>
    </cfRule>
  </conditionalFormatting>
  <conditionalFormatting sqref="G2309 G2311 G2314 G2323 G2329 G2333 G2337 G2339 G2341">
    <cfRule type="expression" dxfId="2855" priority="3039">
      <formula>$B2309="Subetapa"</formula>
    </cfRule>
  </conditionalFormatting>
  <conditionalFormatting sqref="G2320">
    <cfRule type="expression" dxfId="2854" priority="1195">
      <formula>$B2320="Subetapa"</formula>
    </cfRule>
  </conditionalFormatting>
  <conditionalFormatting sqref="G2325">
    <cfRule type="expression" dxfId="2853" priority="1447">
      <formula>$B2325="Subetapa"</formula>
    </cfRule>
  </conditionalFormatting>
  <conditionalFormatting sqref="G2331">
    <cfRule type="expression" dxfId="2852" priority="424">
      <formula>$B2331="Subetapa"</formula>
    </cfRule>
  </conditionalFormatting>
  <conditionalFormatting sqref="G2335">
    <cfRule type="expression" dxfId="2851" priority="217">
      <formula>$B2335="Subetapa"</formula>
    </cfRule>
  </conditionalFormatting>
  <conditionalFormatting sqref="G2451">
    <cfRule type="expression" dxfId="2850" priority="1293">
      <formula>$B2451="Subetapa"</formula>
    </cfRule>
  </conditionalFormatting>
  <conditionalFormatting sqref="G2457">
    <cfRule type="expression" dxfId="2849" priority="1283">
      <formula>$B2457="Subetapa"</formula>
    </cfRule>
  </conditionalFormatting>
  <conditionalFormatting sqref="G2654">
    <cfRule type="expression" dxfId="2848" priority="1397">
      <formula>$B2654="Subetapa"</formula>
    </cfRule>
  </conditionalFormatting>
  <conditionalFormatting sqref="G2655:G2663">
    <cfRule type="expression" dxfId="2847" priority="1402">
      <formula>$B2655="Subetapa"</formula>
    </cfRule>
  </conditionalFormatting>
  <conditionalFormatting sqref="G2664:G2675">
    <cfRule type="expression" dxfId="2846" priority="1381">
      <formula>$B2664="Subetapa"</formula>
    </cfRule>
  </conditionalFormatting>
  <conditionalFormatting sqref="G2676:G2685">
    <cfRule type="expression" dxfId="2845" priority="1359">
      <formula>$B2676="Subetapa"</formula>
    </cfRule>
  </conditionalFormatting>
  <conditionalFormatting sqref="G2778:G2801">
    <cfRule type="expression" dxfId="2844" priority="908">
      <formula>$B2778="Serviço"</formula>
    </cfRule>
    <cfRule type="expression" dxfId="2843" priority="909">
      <formula>$B2778="Subetapa"</formula>
    </cfRule>
  </conditionalFormatting>
  <conditionalFormatting sqref="G2899">
    <cfRule type="expression" dxfId="2842" priority="166">
      <formula>$B2899="Subetapa"</formula>
    </cfRule>
    <cfRule type="expression" dxfId="2841" priority="165">
      <formula>$B2899="Serviço"</formula>
    </cfRule>
  </conditionalFormatting>
  <conditionalFormatting sqref="G2901 G2903">
    <cfRule type="expression" dxfId="2840" priority="3005">
      <formula>$B2901="Serviço"</formula>
    </cfRule>
    <cfRule type="expression" dxfId="2839" priority="3006">
      <formula>$B2901="Subetapa"</formula>
    </cfRule>
  </conditionalFormatting>
  <conditionalFormatting sqref="G2909 G2913">
    <cfRule type="expression" dxfId="2838" priority="3032">
      <formula>$B2909="Subetapa"</formula>
    </cfRule>
    <cfRule type="expression" dxfId="2837" priority="3031">
      <formula>$B2909="Serviço"</formula>
    </cfRule>
  </conditionalFormatting>
  <conditionalFormatting sqref="G2915 G2917">
    <cfRule type="expression" dxfId="2836" priority="3028">
      <formula>$B2915="Subetapa"</formula>
    </cfRule>
    <cfRule type="expression" dxfId="2835" priority="3027">
      <formula>$B2915="Serviço"</formula>
    </cfRule>
  </conditionalFormatting>
  <conditionalFormatting sqref="G2989:G2991">
    <cfRule type="expression" dxfId="2834" priority="1808">
      <formula>$B2989="Serviço"</formula>
    </cfRule>
  </conditionalFormatting>
  <conditionalFormatting sqref="G3002:G3009">
    <cfRule type="expression" dxfId="2833" priority="3024">
      <formula>$B3002="Subetapa"</formula>
    </cfRule>
  </conditionalFormatting>
  <conditionalFormatting sqref="G3002:G3025">
    <cfRule type="expression" dxfId="2832" priority="910">
      <formula>$B3002="Serviço"</formula>
    </cfRule>
  </conditionalFormatting>
  <conditionalFormatting sqref="G3018:G3025">
    <cfRule type="expression" dxfId="2831" priority="3026">
      <formula>$B3018="Subetapa"</formula>
    </cfRule>
  </conditionalFormatting>
  <conditionalFormatting sqref="H2352:H3085">
    <cfRule type="expression" dxfId="2830" priority="951">
      <formula>$B2352="Serviço"</formula>
    </cfRule>
  </conditionalFormatting>
  <conditionalFormatting sqref="H3085">
    <cfRule type="expression" dxfId="2829" priority="952">
      <formula>$B3085="Subetapa"</formula>
    </cfRule>
  </conditionalFormatting>
  <conditionalFormatting sqref="I151:I207">
    <cfRule type="expression" dxfId="2828" priority="2619">
      <formula>$B151="Subetapa"</formula>
    </cfRule>
  </conditionalFormatting>
  <conditionalFormatting sqref="I247:I327 D249:G266 H249:H3084 A693:B695 A705:A740 B760:B761 D761 B763:B764 A774:A786 A788:A793 B796:B827 B1080:B1092 E1473:G1475 D1474:D1475 B1569:B1574 B1671:B1694 E1762:G1762 D1763:G1775 D1783:G1783 D1787:G1787 D1791:F1791 G1901:G1904 D1905:G1905 G1906:G1909 D1910:G1910 G1911:G1914 D1915:G1915 G1916:G1919 E2007:G2009 D2008:D2009 E2050:G2052 D2051:D2052 F2197:G2197 B2777:B2778 A2778 A2786:A2802 D2934:G2934 E2935:G2977 D2978:G2988 D2992 D2996 B1997:B2013 B2018:B2038 D2255:G2255 D2258:G2258 D289:G289 A2992:B2992 D247:H248 B248:C248 D2010:G2013 E2193:E2197 F2198">
    <cfRule type="expression" dxfId="2827" priority="3114">
      <formula>$B247="Subetapa"</formula>
    </cfRule>
  </conditionalFormatting>
  <conditionalFormatting sqref="I793:I795">
    <cfRule type="expression" dxfId="2826" priority="3134">
      <formula>$B793="Subetapa"</formula>
    </cfRule>
  </conditionalFormatting>
  <conditionalFormatting sqref="I796:I836">
    <cfRule type="expression" dxfId="2825" priority="1671">
      <formula>$B796="Serviço"</formula>
    </cfRule>
  </conditionalFormatting>
  <conditionalFormatting sqref="I796:I1030">
    <cfRule type="expression" dxfId="2824" priority="1926">
      <formula>$B796="Subetapa"</formula>
    </cfRule>
  </conditionalFormatting>
  <conditionalFormatting sqref="I1031:I1179">
    <cfRule type="expression" dxfId="2823" priority="1210">
      <formula>$B1031="Subetapa"</formula>
    </cfRule>
  </conditionalFormatting>
  <conditionalFormatting sqref="I1156:I1179">
    <cfRule type="expression" dxfId="2822" priority="1209">
      <formula>$B1156="Serviço"</formula>
    </cfRule>
  </conditionalFormatting>
  <conditionalFormatting sqref="I1181:I1531">
    <cfRule type="expression" dxfId="2821" priority="1252">
      <formula>$B1181="Subetapa"</formula>
    </cfRule>
  </conditionalFormatting>
  <conditionalFormatting sqref="I1205">
    <cfRule type="expression" dxfId="2820" priority="1251">
      <formula>$B1205="Serviço"</formula>
    </cfRule>
  </conditionalFormatting>
  <conditionalFormatting sqref="I1241 I1247">
    <cfRule type="expression" dxfId="2819" priority="371">
      <formula>$B1241="Subetapa"</formula>
    </cfRule>
  </conditionalFormatting>
  <conditionalFormatting sqref="I1243">
    <cfRule type="expression" dxfId="2818" priority="341">
      <formula>$B1243="Subetapa"</formula>
    </cfRule>
    <cfRule type="expression" dxfId="2817" priority="340">
      <formula>$B1243="Serviço"</formula>
    </cfRule>
  </conditionalFormatting>
  <conditionalFormatting sqref="I1532:I1899">
    <cfRule type="expression" dxfId="2816" priority="326">
      <formula>$B1532="Subetapa"</formula>
    </cfRule>
  </conditionalFormatting>
  <conditionalFormatting sqref="I1900:I2013 D1709:G1718 D1341:G1341 B1663:B1670 A1663:A1694 A1997:A2013 A2017:A2117 D2236:E2236 G2236 E2312:G2313 D2321:G2322 D2552:G2557 D2558:E2558 G2558 D2559:G2559 D2560:E2561 G2560:G2561 D2675:E2675 D2682:E2682 D2684:E2684 E2711:G2712 F2713:G2730 A2717:A2734">
    <cfRule type="expression" dxfId="2815" priority="2609">
      <formula>$B1341="Subetapa"</formula>
    </cfRule>
  </conditionalFormatting>
  <conditionalFormatting sqref="I2193:I2195">
    <cfRule type="expression" dxfId="2814" priority="3278">
      <formula>$B2193="Subetapa"</formula>
    </cfRule>
  </conditionalFormatting>
  <conditionalFormatting sqref="I2446:I2478">
    <cfRule type="expression" dxfId="2813" priority="194">
      <formula>$B2446="Serviço"</formula>
    </cfRule>
  </conditionalFormatting>
  <conditionalFormatting sqref="I2477:I2478">
    <cfRule type="expression" dxfId="2812" priority="189">
      <formula>$B2477="Subetapa"</formula>
    </cfRule>
  </conditionalFormatting>
  <conditionalFormatting sqref="I2479:I2482 I2485:I2491">
    <cfRule type="expression" dxfId="2811" priority="768">
      <formula>$B2479="Subetapa"</formula>
    </cfRule>
  </conditionalFormatting>
  <conditionalFormatting sqref="I2479:I2488">
    <cfRule type="expression" dxfId="2810" priority="423">
      <formula>$B2479="Serviço"</formula>
    </cfRule>
  </conditionalFormatting>
  <conditionalFormatting sqref="I2483:I2484">
    <cfRule type="expression" dxfId="2809" priority="416">
      <formula>$B2483="Subetapa"</formula>
    </cfRule>
  </conditionalFormatting>
  <conditionalFormatting sqref="I2547:I2550">
    <cfRule type="expression" dxfId="2808" priority="3262">
      <formula>$B2547="Subetapa"</formula>
    </cfRule>
  </conditionalFormatting>
  <conditionalFormatting sqref="I2548:I2556">
    <cfRule type="expression" dxfId="2807" priority="2578">
      <formula>$B2548="Serviço"</formula>
    </cfRule>
  </conditionalFormatting>
  <conditionalFormatting sqref="I2548:I2618 A2547:B2710 A149:A207">
    <cfRule type="expression" dxfId="2806" priority="2579">
      <formula>$B149="Subetapa"</formula>
    </cfRule>
  </conditionalFormatting>
  <conditionalFormatting sqref="I2553:I2555">
    <cfRule type="expression" dxfId="2805" priority="2948">
      <formula>$B2553="Serviço"</formula>
    </cfRule>
    <cfRule type="expression" dxfId="2804" priority="2949">
      <formula>$B2553="Subetapa"</formula>
    </cfRule>
  </conditionalFormatting>
  <conditionalFormatting sqref="I2619:I2712">
    <cfRule type="expression" dxfId="2803" priority="1358">
      <formula>$B2619="Subetapa"</formula>
    </cfRule>
  </conditionalFormatting>
  <conditionalFormatting sqref="I2639:I2717">
    <cfRule type="expression" dxfId="2802" priority="1357">
      <formula>$B2639="Serviço"</formula>
    </cfRule>
  </conditionalFormatting>
  <conditionalFormatting sqref="I2712:I2742">
    <cfRule type="expression" dxfId="2801" priority="1345">
      <formula>$B2712="Subetapa"</formula>
    </cfRule>
  </conditionalFormatting>
  <conditionalFormatting sqref="I2715">
    <cfRule type="expression" dxfId="2800" priority="3264">
      <formula>$B2715="Subetapa"</formula>
    </cfRule>
  </conditionalFormatting>
  <conditionalFormatting sqref="I2718:I2742">
    <cfRule type="expression" dxfId="2799" priority="1344">
      <formula>$B2718="Serviço"</formula>
    </cfRule>
  </conditionalFormatting>
  <conditionalFormatting sqref="I2744">
    <cfRule type="expression" dxfId="2798" priority="1687">
      <formula>$B2744="Subetapa"</formula>
    </cfRule>
  </conditionalFormatting>
  <conditionalFormatting sqref="I2843:I2862">
    <cfRule type="expression" dxfId="2797" priority="2665">
      <formula>$B2843="Subetapa"</formula>
    </cfRule>
    <cfRule type="expression" dxfId="2796" priority="2664">
      <formula>$B2843="Serviço"</formula>
    </cfRule>
  </conditionalFormatting>
  <conditionalFormatting sqref="I2863:I2872">
    <cfRule type="expression" dxfId="2795" priority="3192">
      <formula>$B2863="Subetapa"</formula>
    </cfRule>
    <cfRule type="expression" dxfId="2794" priority="3191">
      <formula>$B2863="Serviço"</formula>
    </cfRule>
  </conditionalFormatting>
  <conditionalFormatting sqref="I2873:I2882">
    <cfRule type="expression" dxfId="2793" priority="3188">
      <formula>$B2873="Subetapa"</formula>
    </cfRule>
    <cfRule type="expression" dxfId="2792" priority="3187">
      <formula>$B2873="Serviço"</formula>
    </cfRule>
  </conditionalFormatting>
  <conditionalFormatting sqref="I2883 D2934:D2942 D2885 I1201 I1208">
    <cfRule type="expression" dxfId="2791" priority="3535">
      <formula>$B1201="Subetapa"</formula>
    </cfRule>
  </conditionalFormatting>
  <conditionalFormatting sqref="I2884:I2886">
    <cfRule type="expression" dxfId="2790" priority="3228">
      <formula>$B2884="Subetapa"</formula>
    </cfRule>
    <cfRule type="expression" dxfId="2789" priority="3227">
      <formula>$B2884="Serviço"</formula>
    </cfRule>
  </conditionalFormatting>
  <conditionalFormatting sqref="I2885 F2802:G2802 F2811:G2811 F2883:G2883 I2883 F2885:G2885 F2887:G2887 I2887 F2893:G2893 I2893">
    <cfRule type="expression" dxfId="2788" priority="3460" stopIfTrue="1">
      <formula>$B2802="complemento do insumo"</formula>
    </cfRule>
  </conditionalFormatting>
  <conditionalFormatting sqref="I2891">
    <cfRule type="expression" dxfId="2787" priority="3252">
      <formula>$B2891="Subetapa"</formula>
    </cfRule>
    <cfRule type="expression" dxfId="2786" priority="3251">
      <formula>$B2891="Serviço"</formula>
    </cfRule>
  </conditionalFormatting>
  <conditionalFormatting sqref="I2892">
    <cfRule type="expression" dxfId="2785" priority="3225">
      <formula>$B2892="Serviço"</formula>
    </cfRule>
    <cfRule type="expression" dxfId="2784" priority="3226">
      <formula>$B2892="Subetapa"</formula>
    </cfRule>
  </conditionalFormatting>
  <conditionalFormatting sqref="I2894">
    <cfRule type="expression" dxfId="2783" priority="3224">
      <formula>$B2894="Subetapa"</formula>
    </cfRule>
    <cfRule type="expression" dxfId="2782" priority="3223">
      <formula>$B2894="Serviço"</formula>
    </cfRule>
  </conditionalFormatting>
  <conditionalFormatting sqref="I2895">
    <cfRule type="expression" dxfId="2781" priority="3248">
      <formula>$B2895="Subetapa"</formula>
    </cfRule>
    <cfRule type="expression" dxfId="2780" priority="3247">
      <formula>$B2895="Serviço"</formula>
    </cfRule>
  </conditionalFormatting>
  <conditionalFormatting sqref="I2896:I2897">
    <cfRule type="expression" dxfId="2779" priority="3203">
      <formula>$B2896="Serviço"</formula>
    </cfRule>
    <cfRule type="expression" dxfId="2778" priority="3204">
      <formula>$B2896="Subetapa"</formula>
    </cfRule>
  </conditionalFormatting>
  <conditionalFormatting sqref="I2898:I2899">
    <cfRule type="expression" dxfId="2777" priority="171">
      <formula>$B2898="Serviço"</formula>
    </cfRule>
    <cfRule type="expression" dxfId="2776" priority="172">
      <formula>$B2898="Subetapa"</formula>
    </cfRule>
  </conditionalFormatting>
  <conditionalFormatting sqref="I2901">
    <cfRule type="expression" dxfId="2775" priority="3244">
      <formula>$B2901="Subetapa"</formula>
    </cfRule>
    <cfRule type="expression" dxfId="2774" priority="3243">
      <formula>$B2901="Serviço"</formula>
    </cfRule>
  </conditionalFormatting>
  <conditionalFormatting sqref="I2902:I2903">
    <cfRule type="expression" dxfId="2773" priority="3127">
      <formula>$B2902="Serviço"</formula>
    </cfRule>
    <cfRule type="expression" dxfId="2772" priority="3128">
      <formula>$B2902="Subetapa"</formula>
    </cfRule>
  </conditionalFormatting>
  <conditionalFormatting sqref="I2909">
    <cfRule type="expression" dxfId="2771" priority="3232">
      <formula>$B2909="Subetapa"</formula>
    </cfRule>
    <cfRule type="expression" dxfId="2770" priority="3231">
      <formula>$B2909="Serviço"</formula>
    </cfRule>
  </conditionalFormatting>
  <conditionalFormatting sqref="I2910:I2913">
    <cfRule type="expression" dxfId="2769" priority="3214">
      <formula>$B2910="Subetapa"</formula>
    </cfRule>
    <cfRule type="expression" dxfId="2768" priority="3213">
      <formula>$B2910="Serviço"</formula>
    </cfRule>
  </conditionalFormatting>
  <conditionalFormatting sqref="I2915:I2916">
    <cfRule type="expression" dxfId="2767" priority="3218">
      <formula>$B2915="Subetapa"</formula>
    </cfRule>
    <cfRule type="expression" dxfId="2766" priority="3217">
      <formula>$B2915="Serviço"</formula>
    </cfRule>
  </conditionalFormatting>
  <conditionalFormatting sqref="I2917:I3009">
    <cfRule type="expression" dxfId="2765" priority="1564">
      <formula>$B2917="Subetapa"</formula>
    </cfRule>
  </conditionalFormatting>
  <conditionalFormatting sqref="I2917:I3017">
    <cfRule type="expression" dxfId="2764" priority="1563">
      <formula>$B2917="Serviço"</formula>
    </cfRule>
  </conditionalFormatting>
  <conditionalFormatting sqref="I3010:I3026">
    <cfRule type="expression" dxfId="2763" priority="3182">
      <formula>$B3010="Subetapa"</formula>
    </cfRule>
  </conditionalFormatting>
  <conditionalFormatting sqref="I3018:I3026">
    <cfRule type="expression" dxfId="2762" priority="3181">
      <formula>$B3018="Serviço"</formula>
    </cfRule>
  </conditionalFormatting>
  <conditionalFormatting sqref="I3026:I3034 F3034:G3034">
    <cfRule type="expression" dxfId="2761" priority="3173">
      <formula>$B3026="Serviço"</formula>
    </cfRule>
    <cfRule type="expression" dxfId="2760" priority="3174">
      <formula>$B3026="Subetapa"</formula>
    </cfRule>
  </conditionalFormatting>
  <conditionalFormatting sqref="I3034:I3035">
    <cfRule type="expression" dxfId="2759" priority="3172">
      <formula>$B3034="Subetapa"</formula>
    </cfRule>
  </conditionalFormatting>
  <conditionalFormatting sqref="I3036:I3043">
    <cfRule type="expression" dxfId="2758" priority="760">
      <formula>$B3036="Subetapa"</formula>
    </cfRule>
  </conditionalFormatting>
  <conditionalFormatting sqref="I3044 F3044:G3044">
    <cfRule type="expression" dxfId="2757" priority="3177">
      <formula>$B3044="Serviço"</formula>
    </cfRule>
  </conditionalFormatting>
  <conditionalFormatting sqref="I3044:I3051">
    <cfRule type="expression" dxfId="2756" priority="3163">
      <formula>$B3044="Serviço"</formula>
    </cfRule>
    <cfRule type="expression" dxfId="2755" priority="3164">
      <formula>$B3044="Subetapa"</formula>
    </cfRule>
  </conditionalFormatting>
  <conditionalFormatting sqref="I3051:I3061 I3065">
    <cfRule type="expression" dxfId="2754" priority="3161">
      <formula>$B3051="Serviço"</formula>
    </cfRule>
    <cfRule type="expression" dxfId="2753" priority="3162">
      <formula>$B3051="Subetapa"</formula>
    </cfRule>
  </conditionalFormatting>
  <conditionalFormatting sqref="I3053">
    <cfRule type="expression" dxfId="2752" priority="3176">
      <formula>$B3053="Subetapa"</formula>
    </cfRule>
    <cfRule type="expression" dxfId="2751" priority="3175">
      <formula>$B3053="Serviço"</formula>
    </cfRule>
  </conditionalFormatting>
  <conditionalFormatting sqref="I3061:I3071">
    <cfRule type="expression" dxfId="2750" priority="3155">
      <formula>$B3061="Serviço"</formula>
    </cfRule>
    <cfRule type="expression" dxfId="2749" priority="3156">
      <formula>$B3061="Subetapa"</formula>
    </cfRule>
  </conditionalFormatting>
  <conditionalFormatting sqref="I3071:I3077">
    <cfRule type="expression" dxfId="2748" priority="3152">
      <formula>$B3071="Subetapa"</formula>
    </cfRule>
    <cfRule type="expression" dxfId="2747" priority="3151">
      <formula>$B3071="Serviço"</formula>
    </cfRule>
  </conditionalFormatting>
  <conditionalFormatting sqref="I3077:I3082">
    <cfRule type="expression" dxfId="2746" priority="3149">
      <formula>$B3077="Serviço"</formula>
    </cfRule>
    <cfRule type="expression" dxfId="2745" priority="3150">
      <formula>$B3077="Subetapa"</formula>
    </cfRule>
  </conditionalFormatting>
  <conditionalFormatting sqref="I3082:I3085">
    <cfRule type="expression" dxfId="2744" priority="3145">
      <formula>$B3082="Serviço"</formula>
    </cfRule>
    <cfRule type="expression" dxfId="2743" priority="3146">
      <formula>$B3082="Subetapa"</formula>
    </cfRule>
  </conditionalFormatting>
  <conditionalFormatting sqref="I3084">
    <cfRule type="expression" dxfId="2742" priority="3148">
      <formula>$B3084="Subetapa"</formula>
    </cfRule>
    <cfRule type="expression" dxfId="2741" priority="3147">
      <formula>$B3084="Serviço"</formula>
    </cfRule>
  </conditionalFormatting>
  <conditionalFormatting sqref="J1252">
    <cfRule type="expression" dxfId="2740" priority="59">
      <formula>$B1252="Subetapa"</formula>
    </cfRule>
    <cfRule type="expression" dxfId="2739" priority="58">
      <formula>$B1252="Serviço"</formula>
    </cfRule>
  </conditionalFormatting>
  <dataValidations count="1">
    <dataValidation type="list" allowBlank="1" showInputMessage="1" showErrorMessage="1" sqref="C2 B2:B3085" xr:uid="{0A1A4E83-BD89-493B-9968-D8DEF9FA7F95}">
      <formula1>"Unidade Construtiva,Célula Construtiva,Etapa,Subetapa,Serviço,Insumo,Complemento do Insumo"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2A075-7EFE-46F8-B94A-B04246A85C2C}">
  <sheetPr>
    <tabColor rgb="FFFFFF00"/>
    <outlinePr summaryBelow="0"/>
  </sheetPr>
  <dimension ref="A1:I764"/>
  <sheetViews>
    <sheetView showGridLines="0" zoomScale="115" zoomScaleNormal="115" workbookViewId="0">
      <pane ySplit="1" topLeftCell="A300" activePane="bottomLeft" state="frozen"/>
      <selection activeCell="D1862" sqref="D1862"/>
      <selection pane="bottomLeft" activeCell="A310" sqref="A310:XFD310"/>
    </sheetView>
  </sheetViews>
  <sheetFormatPr defaultRowHeight="15" x14ac:dyDescent="0.25"/>
  <cols>
    <col min="1" max="1" width="9.85546875" style="192" bestFit="1" customWidth="1"/>
    <col min="2" max="2" width="78.7109375" style="192" customWidth="1"/>
    <col min="3" max="3" width="9.140625" style="169" bestFit="1" customWidth="1"/>
    <col min="4" max="4" width="17.7109375" style="193" customWidth="1"/>
    <col min="5" max="5" width="15.140625" style="193" bestFit="1" customWidth="1"/>
    <col min="6" max="7" width="12.42578125" style="193" customWidth="1"/>
    <col min="8" max="8" width="31.42578125" style="193" bestFit="1" customWidth="1"/>
    <col min="9" max="16384" width="9.140625" style="168"/>
  </cols>
  <sheetData>
    <row r="1" spans="1:9" x14ac:dyDescent="0.25">
      <c r="A1" s="169" t="s">
        <v>332</v>
      </c>
      <c r="B1" s="169" t="s">
        <v>0</v>
      </c>
      <c r="C1" s="169" t="s">
        <v>333</v>
      </c>
      <c r="D1" s="194">
        <v>1</v>
      </c>
      <c r="E1" s="171" t="s">
        <v>185</v>
      </c>
      <c r="F1" s="171" t="s">
        <v>1062</v>
      </c>
      <c r="G1" s="171" t="s">
        <v>1063</v>
      </c>
      <c r="H1" s="171" t="s">
        <v>104</v>
      </c>
      <c r="I1" s="168" t="s">
        <v>1064</v>
      </c>
    </row>
    <row r="2" spans="1:9" x14ac:dyDescent="0.25">
      <c r="A2" s="175">
        <f t="shared" ref="A2:A70" si="0">COUNTIFS($B$2:$B$764,B2)</f>
        <v>1</v>
      </c>
      <c r="B2" s="175" t="s">
        <v>430</v>
      </c>
      <c r="C2" s="176" t="s">
        <v>428</v>
      </c>
      <c r="D2" s="178">
        <f>E2*$D$1</f>
        <v>13.69</v>
      </c>
      <c r="E2" s="178">
        <v>13.69</v>
      </c>
      <c r="F2" s="178" t="s">
        <v>144</v>
      </c>
      <c r="G2" s="178" t="s">
        <v>1065</v>
      </c>
      <c r="H2" s="178"/>
      <c r="I2" s="168" t="s">
        <v>39</v>
      </c>
    </row>
    <row r="3" spans="1:9" x14ac:dyDescent="0.25">
      <c r="A3" s="175">
        <f t="shared" si="0"/>
        <v>1</v>
      </c>
      <c r="B3" s="175" t="s">
        <v>492</v>
      </c>
      <c r="C3" s="176" t="s">
        <v>428</v>
      </c>
      <c r="D3" s="178">
        <f t="shared" ref="D3:D83" si="1">E3*$D$1</f>
        <v>16.71</v>
      </c>
      <c r="E3" s="178">
        <v>16.71</v>
      </c>
      <c r="F3" s="178" t="s">
        <v>144</v>
      </c>
      <c r="G3" s="178" t="s">
        <v>1065</v>
      </c>
      <c r="H3" s="178"/>
      <c r="I3" s="168" t="s">
        <v>39</v>
      </c>
    </row>
    <row r="4" spans="1:9" x14ac:dyDescent="0.25">
      <c r="A4" s="175">
        <f t="shared" si="0"/>
        <v>1</v>
      </c>
      <c r="B4" s="175" t="s">
        <v>2360</v>
      </c>
      <c r="C4" s="176" t="s">
        <v>2361</v>
      </c>
      <c r="D4" s="178">
        <f>E4*$D$1</f>
        <v>3.82</v>
      </c>
      <c r="E4" s="178">
        <v>3.82</v>
      </c>
      <c r="F4" s="178" t="s">
        <v>144</v>
      </c>
      <c r="G4" s="178" t="s">
        <v>1066</v>
      </c>
      <c r="H4" s="178"/>
      <c r="I4" s="168" t="s">
        <v>39</v>
      </c>
    </row>
    <row r="5" spans="1:9" x14ac:dyDescent="0.25">
      <c r="A5" s="175">
        <f t="shared" si="0"/>
        <v>1</v>
      </c>
      <c r="B5" s="175" t="s">
        <v>2462</v>
      </c>
      <c r="C5" s="176" t="s">
        <v>428</v>
      </c>
      <c r="D5" s="178">
        <f>E5*$D$1</f>
        <v>15.5</v>
      </c>
      <c r="E5" s="178">
        <v>15.5</v>
      </c>
      <c r="F5" s="178" t="s">
        <v>144</v>
      </c>
      <c r="G5" s="178" t="s">
        <v>1066</v>
      </c>
      <c r="H5" s="178"/>
      <c r="I5" s="168" t="s">
        <v>39</v>
      </c>
    </row>
    <row r="6" spans="1:9" x14ac:dyDescent="0.25">
      <c r="A6" s="175">
        <f t="shared" si="0"/>
        <v>1</v>
      </c>
      <c r="B6" s="175" t="s">
        <v>427</v>
      </c>
      <c r="C6" s="176" t="s">
        <v>428</v>
      </c>
      <c r="D6" s="178">
        <f t="shared" si="1"/>
        <v>7.6873385012919897</v>
      </c>
      <c r="E6" s="178">
        <v>7.6873385012919897</v>
      </c>
      <c r="F6" s="178" t="s">
        <v>144</v>
      </c>
      <c r="G6" s="178" t="s">
        <v>1066</v>
      </c>
      <c r="H6" s="178"/>
      <c r="I6" s="168" t="s">
        <v>39</v>
      </c>
    </row>
    <row r="7" spans="1:9" x14ac:dyDescent="0.25">
      <c r="A7" s="175">
        <f t="shared" si="0"/>
        <v>1</v>
      </c>
      <c r="B7" s="175" t="s">
        <v>1174</v>
      </c>
      <c r="C7" s="176" t="s">
        <v>428</v>
      </c>
      <c r="D7" s="178">
        <f t="shared" si="1"/>
        <v>8.2873385012919893</v>
      </c>
      <c r="E7" s="178">
        <v>8.2873385012919893</v>
      </c>
      <c r="F7" s="178" t="s">
        <v>144</v>
      </c>
      <c r="G7" s="178" t="s">
        <v>1066</v>
      </c>
      <c r="H7" s="178"/>
      <c r="I7" s="168" t="s">
        <v>39</v>
      </c>
    </row>
    <row r="8" spans="1:9" x14ac:dyDescent="0.25">
      <c r="A8" s="175">
        <f t="shared" si="0"/>
        <v>1</v>
      </c>
      <c r="B8" s="175" t="s">
        <v>1167</v>
      </c>
      <c r="C8" s="176" t="s">
        <v>428</v>
      </c>
      <c r="D8" s="178">
        <f t="shared" si="1"/>
        <v>302.92200000000003</v>
      </c>
      <c r="E8" s="178">
        <v>302.92200000000003</v>
      </c>
      <c r="F8" s="178" t="s">
        <v>144</v>
      </c>
      <c r="G8" s="178" t="s">
        <v>1066</v>
      </c>
      <c r="H8" s="178"/>
      <c r="I8" s="168" t="s">
        <v>39</v>
      </c>
    </row>
    <row r="9" spans="1:9" x14ac:dyDescent="0.25">
      <c r="A9" s="175">
        <f t="shared" si="0"/>
        <v>1</v>
      </c>
      <c r="B9" s="175" t="s">
        <v>1168</v>
      </c>
      <c r="C9" s="176" t="s">
        <v>428</v>
      </c>
      <c r="D9" s="178">
        <f t="shared" si="1"/>
        <v>466.33699999999999</v>
      </c>
      <c r="E9" s="178">
        <v>466.33699999999999</v>
      </c>
      <c r="F9" s="178" t="s">
        <v>144</v>
      </c>
      <c r="G9" s="178" t="s">
        <v>1066</v>
      </c>
      <c r="H9" s="178"/>
      <c r="I9" s="168" t="s">
        <v>39</v>
      </c>
    </row>
    <row r="10" spans="1:9" x14ac:dyDescent="0.25">
      <c r="A10" s="175">
        <f t="shared" si="0"/>
        <v>1</v>
      </c>
      <c r="B10" s="175" t="s">
        <v>1170</v>
      </c>
      <c r="C10" s="176" t="s">
        <v>428</v>
      </c>
      <c r="D10" s="178">
        <f t="shared" si="1"/>
        <v>937.63900000000001</v>
      </c>
      <c r="E10" s="178">
        <v>937.63900000000001</v>
      </c>
      <c r="F10" s="178" t="s">
        <v>144</v>
      </c>
      <c r="G10" s="178" t="s">
        <v>1066</v>
      </c>
      <c r="H10" s="178"/>
      <c r="I10" s="168" t="s">
        <v>39</v>
      </c>
    </row>
    <row r="11" spans="1:9" x14ac:dyDescent="0.25">
      <c r="A11" s="175">
        <f t="shared" si="0"/>
        <v>1</v>
      </c>
      <c r="B11" s="175" t="s">
        <v>1172</v>
      </c>
      <c r="C11" s="176" t="s">
        <v>428</v>
      </c>
      <c r="D11" s="178">
        <f t="shared" si="1"/>
        <v>1609.6659999999999</v>
      </c>
      <c r="E11" s="178">
        <v>1609.6659999999999</v>
      </c>
      <c r="F11" s="178" t="s">
        <v>144</v>
      </c>
      <c r="G11" s="178" t="s">
        <v>1066</v>
      </c>
      <c r="H11" s="178"/>
      <c r="I11" s="168" t="s">
        <v>39</v>
      </c>
    </row>
    <row r="12" spans="1:9" x14ac:dyDescent="0.25">
      <c r="A12" s="175">
        <f t="shared" si="0"/>
        <v>1</v>
      </c>
      <c r="B12" s="175" t="s">
        <v>435</v>
      </c>
      <c r="C12" s="176" t="s">
        <v>428</v>
      </c>
      <c r="D12" s="178">
        <f t="shared" si="1"/>
        <v>5.76</v>
      </c>
      <c r="E12" s="178">
        <v>5.76</v>
      </c>
      <c r="F12" s="178" t="s">
        <v>144</v>
      </c>
      <c r="G12" s="178" t="s">
        <v>1066</v>
      </c>
      <c r="H12" s="178"/>
      <c r="I12" s="168" t="s">
        <v>39</v>
      </c>
    </row>
    <row r="13" spans="1:9" x14ac:dyDescent="0.25">
      <c r="A13" s="175">
        <f t="shared" si="0"/>
        <v>1</v>
      </c>
      <c r="B13" s="175" t="s">
        <v>453</v>
      </c>
      <c r="C13" s="176" t="s">
        <v>428</v>
      </c>
      <c r="D13" s="178">
        <f t="shared" si="1"/>
        <v>5.59</v>
      </c>
      <c r="E13" s="178">
        <v>5.59</v>
      </c>
      <c r="F13" s="178" t="s">
        <v>144</v>
      </c>
      <c r="G13" s="178" t="s">
        <v>1066</v>
      </c>
      <c r="H13" s="178"/>
      <c r="I13" s="168" t="s">
        <v>39</v>
      </c>
    </row>
    <row r="14" spans="1:9" x14ac:dyDescent="0.25">
      <c r="A14" s="175">
        <f t="shared" si="0"/>
        <v>1</v>
      </c>
      <c r="B14" s="175" t="s">
        <v>436</v>
      </c>
      <c r="C14" s="176" t="s">
        <v>428</v>
      </c>
      <c r="D14" s="178">
        <f t="shared" si="1"/>
        <v>5.59</v>
      </c>
      <c r="E14" s="178">
        <v>5.59</v>
      </c>
      <c r="F14" s="178" t="s">
        <v>144</v>
      </c>
      <c r="G14" s="178" t="s">
        <v>1066</v>
      </c>
      <c r="H14" s="178"/>
      <c r="I14" s="168" t="s">
        <v>39</v>
      </c>
    </row>
    <row r="15" spans="1:9" x14ac:dyDescent="0.25">
      <c r="A15" s="175">
        <f t="shared" si="0"/>
        <v>1</v>
      </c>
      <c r="B15" s="175" t="s">
        <v>437</v>
      </c>
      <c r="C15" s="176" t="s">
        <v>428</v>
      </c>
      <c r="D15" s="178">
        <f t="shared" si="1"/>
        <v>5.59</v>
      </c>
      <c r="E15" s="178">
        <v>5.59</v>
      </c>
      <c r="F15" s="178" t="s">
        <v>144</v>
      </c>
      <c r="G15" s="178" t="s">
        <v>1066</v>
      </c>
      <c r="H15" s="178"/>
      <c r="I15" s="168" t="s">
        <v>39</v>
      </c>
    </row>
    <row r="16" spans="1:9" x14ac:dyDescent="0.25">
      <c r="A16" s="175">
        <f t="shared" si="0"/>
        <v>1</v>
      </c>
      <c r="B16" s="175" t="s">
        <v>454</v>
      </c>
      <c r="C16" s="176" t="s">
        <v>428</v>
      </c>
      <c r="D16" s="178">
        <f t="shared" si="1"/>
        <v>5.83</v>
      </c>
      <c r="E16" s="178">
        <v>5.83</v>
      </c>
      <c r="F16" s="178" t="s">
        <v>144</v>
      </c>
      <c r="G16" s="178" t="s">
        <v>1066</v>
      </c>
      <c r="H16" s="178"/>
      <c r="I16" s="168" t="s">
        <v>39</v>
      </c>
    </row>
    <row r="17" spans="1:9" x14ac:dyDescent="0.25">
      <c r="A17" s="175">
        <f t="shared" si="0"/>
        <v>1</v>
      </c>
      <c r="B17" s="175" t="s">
        <v>429</v>
      </c>
      <c r="C17" s="176" t="s">
        <v>428</v>
      </c>
      <c r="D17" s="178">
        <f t="shared" si="1"/>
        <v>6.04</v>
      </c>
      <c r="E17" s="178">
        <v>6.04</v>
      </c>
      <c r="F17" s="178" t="s">
        <v>144</v>
      </c>
      <c r="G17" s="178" t="s">
        <v>1066</v>
      </c>
      <c r="H17" s="178"/>
      <c r="I17" s="168" t="s">
        <v>39</v>
      </c>
    </row>
    <row r="18" spans="1:9" x14ac:dyDescent="0.25">
      <c r="A18" s="175">
        <f t="shared" si="0"/>
        <v>1</v>
      </c>
      <c r="B18" s="175" t="s">
        <v>433</v>
      </c>
      <c r="C18" s="176" t="s">
        <v>428</v>
      </c>
      <c r="D18" s="178">
        <f t="shared" si="1"/>
        <v>6.04</v>
      </c>
      <c r="E18" s="178">
        <v>6.04</v>
      </c>
      <c r="F18" s="178" t="s">
        <v>144</v>
      </c>
      <c r="G18" s="178" t="s">
        <v>1066</v>
      </c>
      <c r="H18" s="178"/>
      <c r="I18" s="168" t="s">
        <v>39</v>
      </c>
    </row>
    <row r="19" spans="1:9" x14ac:dyDescent="0.25">
      <c r="A19" s="175">
        <f t="shared" si="0"/>
        <v>1</v>
      </c>
      <c r="B19" s="175" t="s">
        <v>439</v>
      </c>
      <c r="C19" s="176" t="s">
        <v>428</v>
      </c>
      <c r="D19" s="178">
        <f t="shared" si="1"/>
        <v>6.54</v>
      </c>
      <c r="E19" s="178">
        <v>6.54</v>
      </c>
      <c r="F19" s="178" t="s">
        <v>144</v>
      </c>
      <c r="G19" s="178" t="s">
        <v>1066</v>
      </c>
      <c r="H19" s="178"/>
      <c r="I19" s="168" t="s">
        <v>39</v>
      </c>
    </row>
    <row r="20" spans="1:9" x14ac:dyDescent="0.25">
      <c r="A20" s="175">
        <f t="shared" si="0"/>
        <v>1</v>
      </c>
      <c r="B20" s="175" t="s">
        <v>1164</v>
      </c>
      <c r="C20" s="176" t="s">
        <v>428</v>
      </c>
      <c r="D20" s="178">
        <f t="shared" si="1"/>
        <v>7.4623999999999997</v>
      </c>
      <c r="E20" s="178">
        <v>7.4623999999999997</v>
      </c>
      <c r="F20" s="178" t="s">
        <v>144</v>
      </c>
      <c r="G20" s="178" t="s">
        <v>1066</v>
      </c>
      <c r="H20" s="178"/>
      <c r="I20" s="168" t="s">
        <v>39</v>
      </c>
    </row>
    <row r="21" spans="1:9" x14ac:dyDescent="0.25">
      <c r="A21" s="175">
        <f t="shared" si="0"/>
        <v>1</v>
      </c>
      <c r="B21" s="175" t="s">
        <v>900</v>
      </c>
      <c r="C21" s="176" t="s">
        <v>131</v>
      </c>
      <c r="D21" s="178">
        <f t="shared" si="1"/>
        <v>702.08</v>
      </c>
      <c r="E21" s="178">
        <v>702.08</v>
      </c>
      <c r="F21" s="178" t="s">
        <v>144</v>
      </c>
      <c r="G21" s="178" t="s">
        <v>1067</v>
      </c>
      <c r="H21" s="178"/>
      <c r="I21" s="168" t="s">
        <v>39</v>
      </c>
    </row>
    <row r="22" spans="1:9" x14ac:dyDescent="0.25">
      <c r="A22" s="175">
        <f t="shared" si="0"/>
        <v>1</v>
      </c>
      <c r="B22" s="175" t="s">
        <v>589</v>
      </c>
      <c r="C22" s="176" t="s">
        <v>13</v>
      </c>
      <c r="D22" s="178">
        <f t="shared" si="1"/>
        <v>0.43</v>
      </c>
      <c r="E22" s="178">
        <v>0.43</v>
      </c>
      <c r="F22" s="178" t="s">
        <v>144</v>
      </c>
      <c r="G22" s="178" t="s">
        <v>1067</v>
      </c>
      <c r="H22" s="178"/>
      <c r="I22" s="168" t="s">
        <v>39</v>
      </c>
    </row>
    <row r="23" spans="1:9" x14ac:dyDescent="0.25">
      <c r="A23" s="175">
        <f t="shared" si="0"/>
        <v>1</v>
      </c>
      <c r="B23" s="175" t="s">
        <v>353</v>
      </c>
      <c r="C23" s="176" t="s">
        <v>428</v>
      </c>
      <c r="D23" s="178">
        <f t="shared" si="1"/>
        <v>6.1</v>
      </c>
      <c r="E23" s="178">
        <v>6.1</v>
      </c>
      <c r="F23" s="178" t="s">
        <v>144</v>
      </c>
      <c r="G23" s="178" t="s">
        <v>1068</v>
      </c>
      <c r="H23" s="178"/>
      <c r="I23" s="168" t="s">
        <v>39</v>
      </c>
    </row>
    <row r="24" spans="1:9" x14ac:dyDescent="0.25">
      <c r="A24" s="175">
        <f t="shared" si="0"/>
        <v>1</v>
      </c>
      <c r="B24" s="175" t="s">
        <v>498</v>
      </c>
      <c r="C24" s="176" t="s">
        <v>428</v>
      </c>
      <c r="D24" s="178">
        <f t="shared" si="1"/>
        <v>4.88</v>
      </c>
      <c r="E24" s="178">
        <v>4.88</v>
      </c>
      <c r="F24" s="178" t="s">
        <v>144</v>
      </c>
      <c r="G24" s="178" t="s">
        <v>1068</v>
      </c>
      <c r="H24" s="178"/>
      <c r="I24" s="168" t="s">
        <v>39</v>
      </c>
    </row>
    <row r="25" spans="1:9" x14ac:dyDescent="0.25">
      <c r="A25" s="175">
        <f t="shared" si="0"/>
        <v>1</v>
      </c>
      <c r="B25" s="175" t="s">
        <v>2453</v>
      </c>
      <c r="C25" s="176" t="s">
        <v>428</v>
      </c>
      <c r="D25" s="178">
        <f>E25*$D$1</f>
        <v>8.5370370370370363</v>
      </c>
      <c r="E25" s="178">
        <f>225.89/26.46</f>
        <v>8.5370370370370363</v>
      </c>
      <c r="F25" s="178" t="s">
        <v>144</v>
      </c>
      <c r="G25" s="178" t="s">
        <v>1068</v>
      </c>
      <c r="H25" s="178"/>
      <c r="I25" s="168" t="s">
        <v>39</v>
      </c>
    </row>
    <row r="26" spans="1:9" x14ac:dyDescent="0.25">
      <c r="A26" s="175">
        <f t="shared" si="0"/>
        <v>1</v>
      </c>
      <c r="B26" s="175" t="s">
        <v>496</v>
      </c>
      <c r="C26" s="176" t="s">
        <v>428</v>
      </c>
      <c r="D26" s="178">
        <f t="shared" si="1"/>
        <v>9.1447124304267149</v>
      </c>
      <c r="E26" s="178">
        <v>9.1447124304267149</v>
      </c>
      <c r="F26" s="178" t="s">
        <v>144</v>
      </c>
      <c r="G26" s="178" t="s">
        <v>1068</v>
      </c>
      <c r="H26" s="178"/>
      <c r="I26" s="168" t="s">
        <v>39</v>
      </c>
    </row>
    <row r="27" spans="1:9" x14ac:dyDescent="0.25">
      <c r="A27" s="175">
        <f t="shared" si="0"/>
        <v>1</v>
      </c>
      <c r="B27" s="175" t="s">
        <v>587</v>
      </c>
      <c r="C27" s="176" t="s">
        <v>131</v>
      </c>
      <c r="D27" s="178">
        <f t="shared" si="1"/>
        <v>2.5</v>
      </c>
      <c r="E27" s="178">
        <v>2.5</v>
      </c>
      <c r="F27" s="178" t="s">
        <v>144</v>
      </c>
      <c r="G27" s="178" t="s">
        <v>1069</v>
      </c>
      <c r="H27" s="178"/>
      <c r="I27" s="168" t="s">
        <v>39</v>
      </c>
    </row>
    <row r="28" spans="1:9" x14ac:dyDescent="0.25">
      <c r="A28" s="175">
        <f t="shared" si="0"/>
        <v>1</v>
      </c>
      <c r="B28" s="175" t="s">
        <v>627</v>
      </c>
      <c r="C28" s="176" t="s">
        <v>13</v>
      </c>
      <c r="D28" s="178">
        <f t="shared" si="1"/>
        <v>14.27</v>
      </c>
      <c r="E28" s="178">
        <v>14.27</v>
      </c>
      <c r="F28" s="178" t="s">
        <v>144</v>
      </c>
      <c r="G28" s="178" t="s">
        <v>1069</v>
      </c>
      <c r="H28" s="178"/>
      <c r="I28" s="168" t="s">
        <v>39</v>
      </c>
    </row>
    <row r="29" spans="1:9" x14ac:dyDescent="0.25">
      <c r="A29" s="175">
        <f t="shared" si="0"/>
        <v>1</v>
      </c>
      <c r="B29" s="175" t="s">
        <v>579</v>
      </c>
      <c r="C29" s="176" t="s">
        <v>131</v>
      </c>
      <c r="D29" s="178">
        <f t="shared" si="1"/>
        <v>7</v>
      </c>
      <c r="E29" s="178">
        <v>7</v>
      </c>
      <c r="F29" s="178" t="s">
        <v>1070</v>
      </c>
      <c r="G29" s="178" t="s">
        <v>1839</v>
      </c>
      <c r="H29" s="178"/>
      <c r="I29" s="168" t="s">
        <v>1163</v>
      </c>
    </row>
    <row r="30" spans="1:9" x14ac:dyDescent="0.25">
      <c r="A30" s="175">
        <f t="shared" si="0"/>
        <v>1</v>
      </c>
      <c r="B30" s="175" t="s">
        <v>582</v>
      </c>
      <c r="C30" s="176" t="s">
        <v>131</v>
      </c>
      <c r="D30" s="178">
        <f t="shared" si="1"/>
        <v>5.95</v>
      </c>
      <c r="E30" s="178">
        <v>5.95</v>
      </c>
      <c r="F30" s="178" t="s">
        <v>1070</v>
      </c>
      <c r="G30" s="178" t="s">
        <v>1839</v>
      </c>
      <c r="H30" s="178"/>
      <c r="I30" s="168" t="s">
        <v>1163</v>
      </c>
    </row>
    <row r="31" spans="1:9" x14ac:dyDescent="0.25">
      <c r="A31" s="175">
        <f t="shared" si="0"/>
        <v>1</v>
      </c>
      <c r="B31" s="175" t="s">
        <v>341</v>
      </c>
      <c r="C31" s="176" t="s">
        <v>131</v>
      </c>
      <c r="D31" s="178">
        <f t="shared" si="1"/>
        <v>2.95</v>
      </c>
      <c r="E31" s="178">
        <v>2.95</v>
      </c>
      <c r="F31" s="178" t="s">
        <v>1070</v>
      </c>
      <c r="G31" s="178" t="s">
        <v>1071</v>
      </c>
      <c r="H31" s="178"/>
      <c r="I31" s="168" t="s">
        <v>1072</v>
      </c>
    </row>
    <row r="32" spans="1:9" x14ac:dyDescent="0.25">
      <c r="A32" s="175">
        <f t="shared" si="0"/>
        <v>1</v>
      </c>
      <c r="B32" s="175" t="s">
        <v>563</v>
      </c>
      <c r="C32" s="176" t="s">
        <v>131</v>
      </c>
      <c r="D32" s="178">
        <f t="shared" si="1"/>
        <v>4.1861538461538466</v>
      </c>
      <c r="E32" s="178">
        <v>4.1861538461538466</v>
      </c>
      <c r="F32" s="178" t="s">
        <v>1070</v>
      </c>
      <c r="G32" s="178" t="s">
        <v>1071</v>
      </c>
      <c r="H32" s="178"/>
      <c r="I32" s="168" t="s">
        <v>1072</v>
      </c>
    </row>
    <row r="33" spans="1:9" x14ac:dyDescent="0.25">
      <c r="A33" s="175">
        <f t="shared" si="0"/>
        <v>1</v>
      </c>
      <c r="B33" s="175" t="s">
        <v>562</v>
      </c>
      <c r="C33" s="176" t="s">
        <v>131</v>
      </c>
      <c r="D33" s="178">
        <f t="shared" si="1"/>
        <v>3.9889743589743589</v>
      </c>
      <c r="E33" s="178">
        <v>3.9889743589743589</v>
      </c>
      <c r="F33" s="178" t="s">
        <v>1070</v>
      </c>
      <c r="G33" s="178" t="s">
        <v>1071</v>
      </c>
      <c r="H33" s="178"/>
      <c r="I33" s="168" t="s">
        <v>1072</v>
      </c>
    </row>
    <row r="34" spans="1:9" x14ac:dyDescent="0.25">
      <c r="A34" s="175">
        <f t="shared" si="0"/>
        <v>1</v>
      </c>
      <c r="B34" s="175" t="s">
        <v>561</v>
      </c>
      <c r="C34" s="176" t="s">
        <v>131</v>
      </c>
      <c r="D34" s="178">
        <f t="shared" si="1"/>
        <v>1.3760000000000001</v>
      </c>
      <c r="E34" s="178">
        <v>1.3760000000000001</v>
      </c>
      <c r="F34" s="178" t="s">
        <v>1070</v>
      </c>
      <c r="G34" s="178" t="s">
        <v>1071</v>
      </c>
      <c r="H34" s="178"/>
      <c r="I34" s="168" t="s">
        <v>1072</v>
      </c>
    </row>
    <row r="35" spans="1:9" x14ac:dyDescent="0.25">
      <c r="A35" s="175">
        <f t="shared" si="0"/>
        <v>1</v>
      </c>
      <c r="B35" s="175" t="s">
        <v>1073</v>
      </c>
      <c r="C35" s="176" t="s">
        <v>131</v>
      </c>
      <c r="D35" s="178">
        <f t="shared" si="1"/>
        <v>1.998</v>
      </c>
      <c r="E35" s="178">
        <v>1.998</v>
      </c>
      <c r="F35" s="178" t="s">
        <v>1070</v>
      </c>
      <c r="G35" s="178" t="s">
        <v>1071</v>
      </c>
      <c r="H35" s="178"/>
      <c r="I35" s="168" t="s">
        <v>1072</v>
      </c>
    </row>
    <row r="36" spans="1:9" x14ac:dyDescent="0.25">
      <c r="A36" s="175">
        <f t="shared" si="0"/>
        <v>1</v>
      </c>
      <c r="B36" s="175" t="s">
        <v>560</v>
      </c>
      <c r="C36" s="176" t="s">
        <v>131</v>
      </c>
      <c r="D36" s="178">
        <f t="shared" si="1"/>
        <v>1.998</v>
      </c>
      <c r="E36" s="178">
        <v>1.998</v>
      </c>
      <c r="F36" s="178" t="s">
        <v>1070</v>
      </c>
      <c r="G36" s="178" t="s">
        <v>1071</v>
      </c>
      <c r="H36" s="178"/>
      <c r="I36" s="168" t="s">
        <v>1072</v>
      </c>
    </row>
    <row r="37" spans="1:9" x14ac:dyDescent="0.25">
      <c r="A37" s="175">
        <f t="shared" si="0"/>
        <v>1</v>
      </c>
      <c r="B37" s="175" t="s">
        <v>559</v>
      </c>
      <c r="C37" s="176" t="s">
        <v>131</v>
      </c>
      <c r="D37" s="178">
        <f t="shared" si="1"/>
        <v>4.0199999999999996</v>
      </c>
      <c r="E37" s="178">
        <v>4.0199999999999996</v>
      </c>
      <c r="F37" s="178" t="s">
        <v>1070</v>
      </c>
      <c r="G37" s="178" t="s">
        <v>1071</v>
      </c>
      <c r="H37" s="178"/>
      <c r="I37" s="168" t="s">
        <v>1072</v>
      </c>
    </row>
    <row r="38" spans="1:9" x14ac:dyDescent="0.25">
      <c r="A38" s="175">
        <f t="shared" si="0"/>
        <v>1</v>
      </c>
      <c r="B38" s="175" t="s">
        <v>569</v>
      </c>
      <c r="C38" s="176" t="s">
        <v>131</v>
      </c>
      <c r="D38" s="178">
        <f t="shared" si="1"/>
        <v>4.1861538461538466</v>
      </c>
      <c r="E38" s="178">
        <v>4.1861538461538466</v>
      </c>
      <c r="F38" s="178" t="s">
        <v>1070</v>
      </c>
      <c r="G38" s="178" t="s">
        <v>1071</v>
      </c>
      <c r="H38" s="178"/>
      <c r="I38" s="168" t="s">
        <v>1072</v>
      </c>
    </row>
    <row r="39" spans="1:9" x14ac:dyDescent="0.25">
      <c r="A39" s="175">
        <f t="shared" si="0"/>
        <v>1</v>
      </c>
      <c r="B39" s="175" t="s">
        <v>568</v>
      </c>
      <c r="C39" s="176" t="s">
        <v>131</v>
      </c>
      <c r="D39" s="178">
        <f t="shared" si="1"/>
        <v>3.9889743589743589</v>
      </c>
      <c r="E39" s="178">
        <v>3.9889743589743589</v>
      </c>
      <c r="F39" s="178" t="s">
        <v>1070</v>
      </c>
      <c r="G39" s="178" t="s">
        <v>1071</v>
      </c>
      <c r="H39" s="178"/>
      <c r="I39" s="168" t="s">
        <v>1072</v>
      </c>
    </row>
    <row r="40" spans="1:9" x14ac:dyDescent="0.25">
      <c r="A40" s="175">
        <f t="shared" si="0"/>
        <v>1</v>
      </c>
      <c r="B40" s="175" t="s">
        <v>567</v>
      </c>
      <c r="C40" s="176" t="s">
        <v>131</v>
      </c>
      <c r="D40" s="178">
        <f t="shared" si="1"/>
        <v>1.4359999999999999</v>
      </c>
      <c r="E40" s="178">
        <v>1.4359999999999999</v>
      </c>
      <c r="F40" s="178" t="s">
        <v>1070</v>
      </c>
      <c r="G40" s="178" t="s">
        <v>1071</v>
      </c>
      <c r="H40" s="178"/>
      <c r="I40" s="168" t="s">
        <v>1072</v>
      </c>
    </row>
    <row r="41" spans="1:9" x14ac:dyDescent="0.25">
      <c r="A41" s="175">
        <f t="shared" si="0"/>
        <v>1</v>
      </c>
      <c r="B41" s="175" t="s">
        <v>566</v>
      </c>
      <c r="C41" s="176" t="s">
        <v>131</v>
      </c>
      <c r="D41" s="178">
        <f t="shared" si="1"/>
        <v>2.0979999999999999</v>
      </c>
      <c r="E41" s="178">
        <v>2.0979999999999999</v>
      </c>
      <c r="F41" s="178" t="s">
        <v>1070</v>
      </c>
      <c r="G41" s="178" t="s">
        <v>1071</v>
      </c>
      <c r="H41" s="178"/>
      <c r="I41" s="168" t="s">
        <v>1072</v>
      </c>
    </row>
    <row r="42" spans="1:9" x14ac:dyDescent="0.25">
      <c r="A42" s="175">
        <f t="shared" si="0"/>
        <v>1</v>
      </c>
      <c r="B42" s="175" t="s">
        <v>565</v>
      </c>
      <c r="C42" s="176" t="s">
        <v>131</v>
      </c>
      <c r="D42" s="178">
        <f t="shared" si="1"/>
        <v>4.1890000000000001</v>
      </c>
      <c r="E42" s="178">
        <v>4.1890000000000001</v>
      </c>
      <c r="F42" s="178" t="s">
        <v>1070</v>
      </c>
      <c r="G42" s="178" t="s">
        <v>1071</v>
      </c>
      <c r="H42" s="178"/>
      <c r="I42" s="168" t="s">
        <v>1072</v>
      </c>
    </row>
    <row r="43" spans="1:9" x14ac:dyDescent="0.25">
      <c r="A43" s="175">
        <f t="shared" si="0"/>
        <v>1</v>
      </c>
      <c r="B43" s="175" t="s">
        <v>572</v>
      </c>
      <c r="C43" s="176" t="s">
        <v>131</v>
      </c>
      <c r="D43" s="178">
        <f t="shared" si="1"/>
        <v>3.22</v>
      </c>
      <c r="E43" s="178">
        <v>3.22</v>
      </c>
      <c r="F43" s="178" t="s">
        <v>1070</v>
      </c>
      <c r="G43" s="178" t="s">
        <v>1071</v>
      </c>
      <c r="H43" s="178"/>
      <c r="I43" s="168" t="s">
        <v>1072</v>
      </c>
    </row>
    <row r="44" spans="1:9" x14ac:dyDescent="0.25">
      <c r="A44" s="175">
        <f t="shared" si="0"/>
        <v>1</v>
      </c>
      <c r="B44" s="175" t="s">
        <v>570</v>
      </c>
      <c r="C44" s="176" t="s">
        <v>131</v>
      </c>
      <c r="D44" s="178">
        <f t="shared" si="1"/>
        <v>3.3050000000000002</v>
      </c>
      <c r="E44" s="178">
        <v>3.3050000000000002</v>
      </c>
      <c r="F44" s="178" t="s">
        <v>1070</v>
      </c>
      <c r="G44" s="178" t="s">
        <v>1071</v>
      </c>
      <c r="H44" s="178"/>
      <c r="I44" s="168" t="s">
        <v>1072</v>
      </c>
    </row>
    <row r="45" spans="1:9" x14ac:dyDescent="0.25">
      <c r="A45" s="175">
        <f t="shared" si="0"/>
        <v>1</v>
      </c>
      <c r="B45" s="175" t="s">
        <v>573</v>
      </c>
      <c r="C45" s="176" t="s">
        <v>131</v>
      </c>
      <c r="D45" s="178">
        <f t="shared" si="1"/>
        <v>4.09</v>
      </c>
      <c r="E45" s="178">
        <v>4.09</v>
      </c>
      <c r="F45" s="178" t="s">
        <v>1070</v>
      </c>
      <c r="G45" s="178" t="s">
        <v>1071</v>
      </c>
      <c r="H45" s="178"/>
      <c r="I45" s="168" t="s">
        <v>1072</v>
      </c>
    </row>
    <row r="46" spans="1:9" x14ac:dyDescent="0.25">
      <c r="A46" s="175">
        <f t="shared" si="0"/>
        <v>1</v>
      </c>
      <c r="B46" s="175" t="s">
        <v>550</v>
      </c>
      <c r="C46" s="176" t="s">
        <v>131</v>
      </c>
      <c r="D46" s="178">
        <f t="shared" si="1"/>
        <v>1.69</v>
      </c>
      <c r="E46" s="178">
        <v>1.69</v>
      </c>
      <c r="F46" s="178" t="s">
        <v>1070</v>
      </c>
      <c r="G46" s="178" t="s">
        <v>1071</v>
      </c>
      <c r="H46" s="178"/>
      <c r="I46" s="168" t="s">
        <v>1072</v>
      </c>
    </row>
    <row r="47" spans="1:9" x14ac:dyDescent="0.25">
      <c r="A47" s="175">
        <f t="shared" si="0"/>
        <v>1</v>
      </c>
      <c r="B47" s="175" t="s">
        <v>553</v>
      </c>
      <c r="C47" s="176" t="s">
        <v>131</v>
      </c>
      <c r="D47" s="178">
        <f t="shared" si="1"/>
        <v>2.76</v>
      </c>
      <c r="E47" s="178">
        <v>2.76</v>
      </c>
      <c r="F47" s="178" t="s">
        <v>1070</v>
      </c>
      <c r="G47" s="178" t="s">
        <v>1071</v>
      </c>
      <c r="H47" s="178"/>
      <c r="I47" s="168" t="s">
        <v>1072</v>
      </c>
    </row>
    <row r="48" spans="1:9" x14ac:dyDescent="0.25">
      <c r="A48" s="175">
        <f t="shared" ref="A48:A51" si="2">COUNTIFS($B$2:$B$764,B48)</f>
        <v>1</v>
      </c>
      <c r="B48" s="175" t="s">
        <v>6962</v>
      </c>
      <c r="C48" s="176" t="s">
        <v>131</v>
      </c>
      <c r="D48" s="178">
        <f t="shared" si="1"/>
        <v>4.5</v>
      </c>
      <c r="E48" s="178">
        <v>4.5</v>
      </c>
      <c r="F48" s="178" t="s">
        <v>1070</v>
      </c>
      <c r="G48" s="178" t="s">
        <v>1074</v>
      </c>
      <c r="H48" s="178"/>
      <c r="I48" s="168" t="s">
        <v>1072</v>
      </c>
    </row>
    <row r="49" spans="1:9" x14ac:dyDescent="0.25">
      <c r="A49" s="175">
        <f t="shared" si="2"/>
        <v>1</v>
      </c>
      <c r="B49" s="175" t="s">
        <v>6963</v>
      </c>
      <c r="C49" s="176" t="s">
        <v>131</v>
      </c>
      <c r="D49" s="178">
        <f t="shared" si="1"/>
        <v>6.5</v>
      </c>
      <c r="E49" s="178">
        <v>6.5</v>
      </c>
      <c r="F49" s="178" t="s">
        <v>1070</v>
      </c>
      <c r="G49" s="178" t="s">
        <v>1074</v>
      </c>
      <c r="H49" s="178"/>
      <c r="I49" s="168" t="s">
        <v>1072</v>
      </c>
    </row>
    <row r="50" spans="1:9" x14ac:dyDescent="0.25">
      <c r="A50" s="175">
        <f t="shared" si="2"/>
        <v>1</v>
      </c>
      <c r="B50" s="175" t="s">
        <v>6964</v>
      </c>
      <c r="C50" s="176" t="s">
        <v>131</v>
      </c>
      <c r="D50" s="178">
        <f t="shared" si="1"/>
        <v>10</v>
      </c>
      <c r="E50" s="178">
        <v>10</v>
      </c>
      <c r="F50" s="178" t="s">
        <v>1070</v>
      </c>
      <c r="G50" s="178" t="s">
        <v>1074</v>
      </c>
      <c r="H50" s="178"/>
      <c r="I50" s="168" t="s">
        <v>1072</v>
      </c>
    </row>
    <row r="51" spans="1:9" x14ac:dyDescent="0.25">
      <c r="A51" s="175">
        <f t="shared" si="2"/>
        <v>1</v>
      </c>
      <c r="B51" s="175" t="s">
        <v>6965</v>
      </c>
      <c r="C51" s="176" t="s">
        <v>131</v>
      </c>
      <c r="D51" s="178">
        <f t="shared" si="1"/>
        <v>9.5</v>
      </c>
      <c r="E51" s="178">
        <v>9.5</v>
      </c>
      <c r="F51" s="178" t="s">
        <v>1070</v>
      </c>
      <c r="G51" s="178" t="s">
        <v>1074</v>
      </c>
      <c r="H51" s="178"/>
      <c r="I51" s="168" t="s">
        <v>1072</v>
      </c>
    </row>
    <row r="52" spans="1:9" x14ac:dyDescent="0.25">
      <c r="A52" s="175">
        <f t="shared" ref="A52" si="3">COUNTIFS($B$2:$B$764,B52)</f>
        <v>1</v>
      </c>
      <c r="B52" s="175" t="s">
        <v>6966</v>
      </c>
      <c r="C52" s="176" t="s">
        <v>131</v>
      </c>
      <c r="D52" s="178">
        <f t="shared" ref="D52" si="4">E52*$D$1</f>
        <v>14.5</v>
      </c>
      <c r="E52" s="178">
        <v>14.5</v>
      </c>
      <c r="F52" s="178" t="s">
        <v>1070</v>
      </c>
      <c r="G52" s="178" t="s">
        <v>1074</v>
      </c>
      <c r="H52" s="178"/>
      <c r="I52" s="168" t="s">
        <v>1072</v>
      </c>
    </row>
    <row r="53" spans="1:9" x14ac:dyDescent="0.25">
      <c r="A53" s="175">
        <f t="shared" si="0"/>
        <v>1</v>
      </c>
      <c r="B53" s="175" t="s">
        <v>3000</v>
      </c>
      <c r="C53" s="176" t="s">
        <v>131</v>
      </c>
      <c r="D53" s="178">
        <f t="shared" ref="D53:D56" si="5">E53*$D$1</f>
        <v>4.8</v>
      </c>
      <c r="E53" s="178">
        <v>4.8</v>
      </c>
      <c r="F53" s="178" t="s">
        <v>1070</v>
      </c>
      <c r="G53" s="178" t="s">
        <v>1074</v>
      </c>
      <c r="H53" s="178"/>
      <c r="I53" s="168" t="s">
        <v>1072</v>
      </c>
    </row>
    <row r="54" spans="1:9" x14ac:dyDescent="0.25">
      <c r="A54" s="175">
        <f t="shared" si="0"/>
        <v>1</v>
      </c>
      <c r="B54" s="175" t="s">
        <v>3001</v>
      </c>
      <c r="C54" s="176" t="s">
        <v>131</v>
      </c>
      <c r="D54" s="178">
        <f t="shared" ref="D54" si="6">E54*$D$1</f>
        <v>6.8</v>
      </c>
      <c r="E54" s="178">
        <v>6.8</v>
      </c>
      <c r="F54" s="178" t="s">
        <v>1070</v>
      </c>
      <c r="G54" s="178" t="s">
        <v>1074</v>
      </c>
      <c r="H54" s="178"/>
      <c r="I54" s="168" t="s">
        <v>1072</v>
      </c>
    </row>
    <row r="55" spans="1:9" x14ac:dyDescent="0.25">
      <c r="A55" s="175">
        <f t="shared" si="0"/>
        <v>1</v>
      </c>
      <c r="B55" s="175" t="s">
        <v>3003</v>
      </c>
      <c r="C55" s="176" t="s">
        <v>131</v>
      </c>
      <c r="D55" s="178">
        <f t="shared" si="5"/>
        <v>9.8000000000000007</v>
      </c>
      <c r="E55" s="178">
        <v>9.8000000000000007</v>
      </c>
      <c r="F55" s="178" t="s">
        <v>1070</v>
      </c>
      <c r="G55" s="178" t="s">
        <v>1074</v>
      </c>
      <c r="H55" s="178"/>
      <c r="I55" s="168" t="s">
        <v>1072</v>
      </c>
    </row>
    <row r="56" spans="1:9" x14ac:dyDescent="0.25">
      <c r="A56" s="175">
        <f t="shared" si="0"/>
        <v>1</v>
      </c>
      <c r="B56" s="175" t="s">
        <v>3002</v>
      </c>
      <c r="C56" s="176" t="s">
        <v>131</v>
      </c>
      <c r="D56" s="178">
        <f t="shared" si="5"/>
        <v>8.5</v>
      </c>
      <c r="E56" s="178">
        <v>8.5</v>
      </c>
      <c r="F56" s="178" t="s">
        <v>1070</v>
      </c>
      <c r="G56" s="178" t="s">
        <v>1074</v>
      </c>
      <c r="H56" s="178"/>
      <c r="I56" s="168" t="s">
        <v>1072</v>
      </c>
    </row>
    <row r="57" spans="1:9" x14ac:dyDescent="0.25">
      <c r="A57" s="175">
        <f t="shared" si="0"/>
        <v>1</v>
      </c>
      <c r="B57" s="175" t="s">
        <v>538</v>
      </c>
      <c r="C57" s="176" t="s">
        <v>131</v>
      </c>
      <c r="D57" s="178">
        <f t="shared" si="1"/>
        <v>1.4</v>
      </c>
      <c r="E57" s="178">
        <v>1.4</v>
      </c>
      <c r="F57" s="178" t="s">
        <v>1070</v>
      </c>
      <c r="G57" s="178" t="s">
        <v>1074</v>
      </c>
      <c r="H57" s="178"/>
      <c r="I57" s="168" t="s">
        <v>1072</v>
      </c>
    </row>
    <row r="58" spans="1:9" x14ac:dyDescent="0.25">
      <c r="A58" s="175">
        <f t="shared" si="0"/>
        <v>1</v>
      </c>
      <c r="B58" s="175" t="s">
        <v>1075</v>
      </c>
      <c r="C58" s="176" t="s">
        <v>131</v>
      </c>
      <c r="D58" s="178">
        <f t="shared" si="1"/>
        <v>0.99</v>
      </c>
      <c r="E58" s="178">
        <v>0.99</v>
      </c>
      <c r="F58" s="178" t="s">
        <v>1070</v>
      </c>
      <c r="G58" s="178" t="s">
        <v>1074</v>
      </c>
      <c r="H58" s="178"/>
      <c r="I58" s="168" t="s">
        <v>1072</v>
      </c>
    </row>
    <row r="59" spans="1:9" x14ac:dyDescent="0.25">
      <c r="A59" s="175">
        <f t="shared" si="0"/>
        <v>1</v>
      </c>
      <c r="B59" s="175" t="s">
        <v>535</v>
      </c>
      <c r="C59" s="176" t="s">
        <v>131</v>
      </c>
      <c r="D59" s="178">
        <f t="shared" si="1"/>
        <v>0.99</v>
      </c>
      <c r="E59" s="178">
        <v>0.99</v>
      </c>
      <c r="F59" s="178" t="s">
        <v>1070</v>
      </c>
      <c r="G59" s="178" t="s">
        <v>1074</v>
      </c>
      <c r="H59" s="178"/>
      <c r="I59" s="168" t="s">
        <v>1072</v>
      </c>
    </row>
    <row r="60" spans="1:9" x14ac:dyDescent="0.25">
      <c r="A60" s="175">
        <f t="shared" si="0"/>
        <v>1</v>
      </c>
      <c r="B60" s="175" t="s">
        <v>1736</v>
      </c>
      <c r="C60" s="176" t="s">
        <v>131</v>
      </c>
      <c r="D60" s="178">
        <f t="shared" si="1"/>
        <v>1.24</v>
      </c>
      <c r="E60" s="178">
        <v>1.24</v>
      </c>
      <c r="F60" s="178" t="s">
        <v>1070</v>
      </c>
      <c r="G60" s="178" t="s">
        <v>1074</v>
      </c>
      <c r="H60" s="178"/>
      <c r="I60" s="168" t="s">
        <v>1072</v>
      </c>
    </row>
    <row r="61" spans="1:9" x14ac:dyDescent="0.25">
      <c r="A61" s="175">
        <f t="shared" si="0"/>
        <v>1</v>
      </c>
      <c r="B61" s="175" t="s">
        <v>1737</v>
      </c>
      <c r="C61" s="176" t="s">
        <v>131</v>
      </c>
      <c r="D61" s="178">
        <f t="shared" si="1"/>
        <v>2.6</v>
      </c>
      <c r="E61" s="178">
        <v>2.6</v>
      </c>
      <c r="F61" s="178" t="s">
        <v>1070</v>
      </c>
      <c r="G61" s="178" t="s">
        <v>1074</v>
      </c>
      <c r="H61" s="178"/>
      <c r="I61" s="168" t="s">
        <v>1072</v>
      </c>
    </row>
    <row r="62" spans="1:9" x14ac:dyDescent="0.25">
      <c r="A62" s="175">
        <f t="shared" si="0"/>
        <v>1</v>
      </c>
      <c r="B62" s="175" t="s">
        <v>540</v>
      </c>
      <c r="C62" s="176" t="s">
        <v>131</v>
      </c>
      <c r="D62" s="178">
        <f t="shared" si="1"/>
        <v>2.7</v>
      </c>
      <c r="E62" s="178">
        <v>2.7</v>
      </c>
      <c r="F62" s="178" t="s">
        <v>1070</v>
      </c>
      <c r="G62" s="178" t="s">
        <v>1074</v>
      </c>
      <c r="H62" s="178"/>
      <c r="I62" s="168" t="s">
        <v>1072</v>
      </c>
    </row>
    <row r="63" spans="1:9" x14ac:dyDescent="0.25">
      <c r="A63" s="175">
        <f t="shared" si="0"/>
        <v>1</v>
      </c>
      <c r="B63" s="175" t="s">
        <v>2825</v>
      </c>
      <c r="C63" s="176" t="s">
        <v>131</v>
      </c>
      <c r="D63" s="178">
        <f t="shared" si="1"/>
        <v>2.9</v>
      </c>
      <c r="E63" s="178">
        <v>2.9</v>
      </c>
      <c r="F63" s="178" t="s">
        <v>1070</v>
      </c>
      <c r="G63" s="178" t="s">
        <v>1074</v>
      </c>
      <c r="H63" s="168"/>
      <c r="I63" s="168" t="s">
        <v>1072</v>
      </c>
    </row>
    <row r="64" spans="1:9" x14ac:dyDescent="0.25">
      <c r="A64" s="175">
        <f t="shared" si="0"/>
        <v>1</v>
      </c>
      <c r="B64" s="175" t="s">
        <v>2988</v>
      </c>
      <c r="C64" s="176" t="s">
        <v>131</v>
      </c>
      <c r="D64" s="178">
        <f t="shared" ref="D64" si="7">E64*$D$1</f>
        <v>3.98</v>
      </c>
      <c r="E64" s="178">
        <v>3.98</v>
      </c>
      <c r="F64" s="178" t="s">
        <v>1070</v>
      </c>
      <c r="G64" s="178" t="s">
        <v>1074</v>
      </c>
      <c r="H64" s="168"/>
      <c r="I64" s="168" t="s">
        <v>1072</v>
      </c>
    </row>
    <row r="65" spans="1:9" x14ac:dyDescent="0.25">
      <c r="A65" s="175">
        <f t="shared" si="0"/>
        <v>1</v>
      </c>
      <c r="B65" s="175" t="s">
        <v>1178</v>
      </c>
      <c r="C65" s="176" t="s">
        <v>131</v>
      </c>
      <c r="D65" s="178">
        <f t="shared" si="1"/>
        <v>15</v>
      </c>
      <c r="E65" s="178">
        <v>15</v>
      </c>
      <c r="F65" s="178" t="s">
        <v>1070</v>
      </c>
      <c r="G65" s="178" t="s">
        <v>1074</v>
      </c>
      <c r="H65" s="168"/>
      <c r="I65" s="168" t="s">
        <v>1072</v>
      </c>
    </row>
    <row r="66" spans="1:9" x14ac:dyDescent="0.25">
      <c r="A66" s="175">
        <f t="shared" si="0"/>
        <v>1</v>
      </c>
      <c r="B66" s="175" t="s">
        <v>577</v>
      </c>
      <c r="C66" s="176" t="s">
        <v>131</v>
      </c>
      <c r="D66" s="178">
        <f t="shared" si="1"/>
        <v>11.99</v>
      </c>
      <c r="E66" s="178">
        <v>11.99</v>
      </c>
      <c r="F66" s="178" t="s">
        <v>1070</v>
      </c>
      <c r="G66" s="178" t="s">
        <v>1074</v>
      </c>
      <c r="H66" s="178"/>
      <c r="I66" s="168" t="s">
        <v>1072</v>
      </c>
    </row>
    <row r="67" spans="1:9" x14ac:dyDescent="0.25">
      <c r="A67" s="175">
        <f t="shared" si="0"/>
        <v>1</v>
      </c>
      <c r="B67" s="175" t="s">
        <v>542</v>
      </c>
      <c r="C67" s="176" t="s">
        <v>131</v>
      </c>
      <c r="D67" s="178">
        <f t="shared" si="1"/>
        <v>1.05</v>
      </c>
      <c r="E67" s="178">
        <v>1.05</v>
      </c>
      <c r="F67" s="178" t="s">
        <v>1070</v>
      </c>
      <c r="G67" s="178" t="s">
        <v>1074</v>
      </c>
      <c r="H67" s="178"/>
      <c r="I67" s="168" t="s">
        <v>1072</v>
      </c>
    </row>
    <row r="68" spans="1:9" x14ac:dyDescent="0.25">
      <c r="A68" s="175">
        <f t="shared" si="0"/>
        <v>1</v>
      </c>
      <c r="B68" s="175" t="s">
        <v>544</v>
      </c>
      <c r="C68" s="176" t="s">
        <v>131</v>
      </c>
      <c r="D68" s="178">
        <f t="shared" si="1"/>
        <v>1.18</v>
      </c>
      <c r="E68" s="178">
        <v>1.18</v>
      </c>
      <c r="F68" s="178" t="s">
        <v>1070</v>
      </c>
      <c r="G68" s="178" t="s">
        <v>1074</v>
      </c>
      <c r="H68" s="178"/>
      <c r="I68" s="168" t="s">
        <v>1072</v>
      </c>
    </row>
    <row r="69" spans="1:9" x14ac:dyDescent="0.25">
      <c r="A69" s="175">
        <f t="shared" si="0"/>
        <v>1</v>
      </c>
      <c r="B69" s="175" t="s">
        <v>546</v>
      </c>
      <c r="C69" s="176" t="s">
        <v>131</v>
      </c>
      <c r="D69" s="178">
        <f>E69*$D$1</f>
        <v>1.53</v>
      </c>
      <c r="E69" s="178">
        <v>1.53</v>
      </c>
      <c r="F69" s="178" t="s">
        <v>1070</v>
      </c>
      <c r="G69" s="178" t="s">
        <v>1074</v>
      </c>
      <c r="H69" s="178"/>
      <c r="I69" s="168" t="s">
        <v>1072</v>
      </c>
    </row>
    <row r="70" spans="1:9" x14ac:dyDescent="0.25">
      <c r="A70" s="175">
        <f t="shared" si="0"/>
        <v>1</v>
      </c>
      <c r="B70" s="175" t="s">
        <v>2386</v>
      </c>
      <c r="C70" s="176" t="s">
        <v>131</v>
      </c>
      <c r="D70" s="178">
        <f t="shared" si="1"/>
        <v>2.75</v>
      </c>
      <c r="E70" s="178">
        <v>2.75</v>
      </c>
      <c r="F70" s="178" t="s">
        <v>1070</v>
      </c>
      <c r="G70" s="178" t="s">
        <v>1074</v>
      </c>
      <c r="H70" s="178"/>
      <c r="I70" s="168" t="s">
        <v>1072</v>
      </c>
    </row>
    <row r="71" spans="1:9" x14ac:dyDescent="0.25">
      <c r="A71" s="175">
        <f t="shared" ref="A71:A135" si="8">COUNTIFS($B$2:$B$764,B71)</f>
        <v>1</v>
      </c>
      <c r="B71" s="175" t="s">
        <v>548</v>
      </c>
      <c r="C71" s="176" t="s">
        <v>131</v>
      </c>
      <c r="D71" s="178">
        <f t="shared" ref="D71" si="9">E71*$D$1</f>
        <v>2.69</v>
      </c>
      <c r="E71" s="178">
        <v>2.69</v>
      </c>
      <c r="F71" s="178" t="s">
        <v>1070</v>
      </c>
      <c r="G71" s="178" t="s">
        <v>1074</v>
      </c>
      <c r="H71" s="178"/>
      <c r="I71" s="168" t="s">
        <v>1072</v>
      </c>
    </row>
    <row r="72" spans="1:9" x14ac:dyDescent="0.25">
      <c r="A72" s="175">
        <f t="shared" si="8"/>
        <v>1</v>
      </c>
      <c r="B72" s="175" t="s">
        <v>2823</v>
      </c>
      <c r="C72" s="176" t="s">
        <v>131</v>
      </c>
      <c r="D72" s="178">
        <f t="shared" si="1"/>
        <v>4.59</v>
      </c>
      <c r="E72" s="178">
        <v>4.59</v>
      </c>
      <c r="F72" s="178" t="s">
        <v>1070</v>
      </c>
      <c r="G72" s="178" t="s">
        <v>1074</v>
      </c>
      <c r="H72" s="178"/>
      <c r="I72" s="168" t="s">
        <v>1072</v>
      </c>
    </row>
    <row r="73" spans="1:9" x14ac:dyDescent="0.25">
      <c r="A73" s="175">
        <f t="shared" si="8"/>
        <v>1</v>
      </c>
      <c r="B73" s="183" t="s">
        <v>555</v>
      </c>
      <c r="C73" s="176" t="s">
        <v>390</v>
      </c>
      <c r="D73" s="178">
        <f t="shared" si="1"/>
        <v>10.71</v>
      </c>
      <c r="E73" s="178">
        <v>10.71</v>
      </c>
      <c r="F73" s="178" t="s">
        <v>1076</v>
      </c>
      <c r="G73" s="178" t="s">
        <v>1077</v>
      </c>
      <c r="H73" s="178"/>
      <c r="I73" s="168" t="s">
        <v>1076</v>
      </c>
    </row>
    <row r="74" spans="1:9" x14ac:dyDescent="0.25">
      <c r="A74" s="175">
        <f t="shared" si="8"/>
        <v>1</v>
      </c>
      <c r="B74" s="183" t="s">
        <v>1739</v>
      </c>
      <c r="C74" s="176" t="s">
        <v>390</v>
      </c>
      <c r="D74" s="178">
        <f t="shared" si="1"/>
        <v>12.9</v>
      </c>
      <c r="E74" s="178">
        <v>12.9</v>
      </c>
      <c r="F74" s="178" t="s">
        <v>1076</v>
      </c>
      <c r="G74" s="178" t="s">
        <v>1077</v>
      </c>
      <c r="H74" s="178"/>
      <c r="I74" s="168" t="s">
        <v>1076</v>
      </c>
    </row>
    <row r="75" spans="1:9" x14ac:dyDescent="0.25">
      <c r="A75" s="175">
        <f t="shared" si="8"/>
        <v>1</v>
      </c>
      <c r="B75" s="183" t="s">
        <v>557</v>
      </c>
      <c r="C75" s="176" t="s">
        <v>390</v>
      </c>
      <c r="D75" s="178">
        <f t="shared" si="1"/>
        <v>17.91</v>
      </c>
      <c r="E75" s="178">
        <v>17.91</v>
      </c>
      <c r="F75" s="178" t="s">
        <v>1076</v>
      </c>
      <c r="G75" s="178" t="s">
        <v>1077</v>
      </c>
      <c r="H75" s="178"/>
      <c r="I75" s="168" t="s">
        <v>1076</v>
      </c>
    </row>
    <row r="76" spans="1:9" x14ac:dyDescent="0.25">
      <c r="A76" s="175">
        <f t="shared" si="8"/>
        <v>1</v>
      </c>
      <c r="B76" s="183" t="s">
        <v>4097</v>
      </c>
      <c r="C76" s="176" t="s">
        <v>390</v>
      </c>
      <c r="D76" s="178">
        <f t="shared" ref="D76" si="10">E76*$D$1</f>
        <v>43.48</v>
      </c>
      <c r="E76" s="178">
        <v>43.48</v>
      </c>
      <c r="F76" s="178" t="s">
        <v>1076</v>
      </c>
      <c r="G76" s="178" t="s">
        <v>1078</v>
      </c>
      <c r="H76" s="178"/>
      <c r="I76" s="168" t="s">
        <v>1076</v>
      </c>
    </row>
    <row r="77" spans="1:9" ht="18" x14ac:dyDescent="0.25">
      <c r="A77" s="175">
        <f t="shared" si="8"/>
        <v>1</v>
      </c>
      <c r="B77" s="183" t="s">
        <v>1741</v>
      </c>
      <c r="C77" s="176" t="s">
        <v>390</v>
      </c>
      <c r="D77" s="178">
        <f t="shared" si="1"/>
        <v>657.89</v>
      </c>
      <c r="E77" s="178">
        <v>657.89</v>
      </c>
      <c r="F77" s="178" t="s">
        <v>1076</v>
      </c>
      <c r="G77" s="178" t="s">
        <v>1078</v>
      </c>
      <c r="H77" s="178"/>
      <c r="I77" s="168" t="s">
        <v>1076</v>
      </c>
    </row>
    <row r="78" spans="1:9" ht="18" x14ac:dyDescent="0.25">
      <c r="A78" s="175">
        <f t="shared" si="8"/>
        <v>1</v>
      </c>
      <c r="B78" s="183" t="s">
        <v>658</v>
      </c>
      <c r="C78" s="176" t="s">
        <v>390</v>
      </c>
      <c r="D78" s="178">
        <f t="shared" si="1"/>
        <v>633.27</v>
      </c>
      <c r="E78" s="178">
        <v>633.27</v>
      </c>
      <c r="F78" s="178" t="s">
        <v>1076</v>
      </c>
      <c r="G78" s="178" t="s">
        <v>1078</v>
      </c>
      <c r="H78" s="178"/>
      <c r="I78" s="168" t="s">
        <v>1076</v>
      </c>
    </row>
    <row r="79" spans="1:9" x14ac:dyDescent="0.25">
      <c r="A79" s="175">
        <f t="shared" si="8"/>
        <v>1</v>
      </c>
      <c r="B79" s="175" t="s">
        <v>342</v>
      </c>
      <c r="C79" s="176" t="s">
        <v>428</v>
      </c>
      <c r="D79" s="178">
        <f t="shared" si="1"/>
        <v>0.46</v>
      </c>
      <c r="E79" s="178">
        <v>0.46</v>
      </c>
      <c r="F79" s="178" t="s">
        <v>1076</v>
      </c>
      <c r="G79" s="178" t="s">
        <v>1079</v>
      </c>
      <c r="H79" s="178"/>
      <c r="I79" s="168" t="s">
        <v>1076</v>
      </c>
    </row>
    <row r="80" spans="1:9" x14ac:dyDescent="0.25">
      <c r="A80" s="175">
        <f t="shared" si="8"/>
        <v>1</v>
      </c>
      <c r="B80" s="175" t="s">
        <v>1180</v>
      </c>
      <c r="C80" s="176" t="s">
        <v>5</v>
      </c>
      <c r="D80" s="178">
        <f t="shared" si="1"/>
        <v>2.5619999999999998</v>
      </c>
      <c r="E80" s="178">
        <v>2.5619999999999998</v>
      </c>
      <c r="F80" s="178" t="s">
        <v>1076</v>
      </c>
      <c r="G80" s="178" t="s">
        <v>1082</v>
      </c>
      <c r="H80" s="178"/>
      <c r="I80" s="168" t="s">
        <v>1076</v>
      </c>
    </row>
    <row r="81" spans="1:9" x14ac:dyDescent="0.25">
      <c r="A81" s="175">
        <f t="shared" si="8"/>
        <v>1</v>
      </c>
      <c r="B81" s="175" t="s">
        <v>780</v>
      </c>
      <c r="C81" s="176" t="s">
        <v>428</v>
      </c>
      <c r="D81" s="178">
        <f t="shared" si="1"/>
        <v>0.97750000000000004</v>
      </c>
      <c r="E81" s="178">
        <v>0.97750000000000004</v>
      </c>
      <c r="F81" s="178" t="s">
        <v>1076</v>
      </c>
      <c r="G81" s="178" t="s">
        <v>1078</v>
      </c>
      <c r="H81" s="178"/>
      <c r="I81" s="168" t="s">
        <v>1076</v>
      </c>
    </row>
    <row r="82" spans="1:9" x14ac:dyDescent="0.25">
      <c r="A82" s="175">
        <f t="shared" si="8"/>
        <v>1</v>
      </c>
      <c r="B82" s="175" t="s">
        <v>1080</v>
      </c>
      <c r="C82" s="176" t="s">
        <v>428</v>
      </c>
      <c r="D82" s="178">
        <f t="shared" si="1"/>
        <v>4</v>
      </c>
      <c r="E82" s="178">
        <v>4</v>
      </c>
      <c r="F82" s="178" t="s">
        <v>1076</v>
      </c>
      <c r="G82" s="178" t="s">
        <v>1078</v>
      </c>
      <c r="H82" s="178"/>
      <c r="I82" s="168" t="s">
        <v>1076</v>
      </c>
    </row>
    <row r="83" spans="1:9" x14ac:dyDescent="0.25">
      <c r="A83" s="175">
        <f t="shared" si="8"/>
        <v>1</v>
      </c>
      <c r="B83" s="175" t="s">
        <v>654</v>
      </c>
      <c r="C83" s="176" t="s">
        <v>428</v>
      </c>
      <c r="D83" s="178">
        <f t="shared" si="1"/>
        <v>2.5499999999999998</v>
      </c>
      <c r="E83" s="178">
        <v>2.5499999999999998</v>
      </c>
      <c r="F83" s="178" t="s">
        <v>1076</v>
      </c>
      <c r="G83" s="178" t="s">
        <v>1078</v>
      </c>
      <c r="H83" s="178"/>
      <c r="I83" s="168" t="s">
        <v>1076</v>
      </c>
    </row>
    <row r="84" spans="1:9" x14ac:dyDescent="0.25">
      <c r="A84" s="175">
        <f t="shared" ref="A84" si="11">COUNTIFS($B$2:$B$764,B84)</f>
        <v>1</v>
      </c>
      <c r="B84" s="175" t="s">
        <v>6977</v>
      </c>
      <c r="C84" s="176" t="s">
        <v>428</v>
      </c>
      <c r="D84" s="178">
        <f t="shared" ref="D84" si="12">E84*$D$1</f>
        <v>5.5</v>
      </c>
      <c r="E84" s="178">
        <f>33/6</f>
        <v>5.5</v>
      </c>
      <c r="F84" s="178" t="s">
        <v>1076</v>
      </c>
      <c r="G84" s="178" t="s">
        <v>1078</v>
      </c>
      <c r="H84" s="178"/>
      <c r="I84" s="168" t="s">
        <v>1076</v>
      </c>
    </row>
    <row r="85" spans="1:9" x14ac:dyDescent="0.25">
      <c r="A85" s="175">
        <f t="shared" si="8"/>
        <v>1</v>
      </c>
      <c r="B85" s="175" t="s">
        <v>1081</v>
      </c>
      <c r="C85" s="176" t="s">
        <v>428</v>
      </c>
      <c r="D85" s="178">
        <f t="shared" ref="D85:D151" si="13">E85*$D$1</f>
        <v>1.36</v>
      </c>
      <c r="E85" s="178">
        <v>1.36</v>
      </c>
      <c r="F85" s="178" t="s">
        <v>1076</v>
      </c>
      <c r="G85" s="178" t="s">
        <v>1078</v>
      </c>
      <c r="H85" s="178"/>
      <c r="I85" s="168" t="s">
        <v>1076</v>
      </c>
    </row>
    <row r="86" spans="1:9" x14ac:dyDescent="0.25">
      <c r="A86" s="175">
        <f t="shared" si="8"/>
        <v>1</v>
      </c>
      <c r="B86" s="175" t="s">
        <v>661</v>
      </c>
      <c r="C86" s="176" t="s">
        <v>428</v>
      </c>
      <c r="D86" s="178">
        <f t="shared" si="13"/>
        <v>2.2949999999999999</v>
      </c>
      <c r="E86" s="178">
        <v>2.2949999999999999</v>
      </c>
      <c r="F86" s="178" t="s">
        <v>1076</v>
      </c>
      <c r="G86" s="178" t="s">
        <v>1082</v>
      </c>
      <c r="H86" s="178"/>
      <c r="I86" s="168" t="s">
        <v>1076</v>
      </c>
    </row>
    <row r="87" spans="1:9" x14ac:dyDescent="0.25">
      <c r="A87" s="175">
        <f t="shared" si="8"/>
        <v>1</v>
      </c>
      <c r="B87" s="175" t="s">
        <v>1837</v>
      </c>
      <c r="C87" s="176" t="s">
        <v>428</v>
      </c>
      <c r="D87" s="178">
        <f t="shared" si="13"/>
        <v>19.116</v>
      </c>
      <c r="E87" s="178">
        <v>19.116</v>
      </c>
      <c r="F87" s="178" t="s">
        <v>1076</v>
      </c>
      <c r="G87" s="178" t="s">
        <v>1082</v>
      </c>
      <c r="H87" s="178"/>
      <c r="I87" s="168" t="s">
        <v>1076</v>
      </c>
    </row>
    <row r="88" spans="1:9" x14ac:dyDescent="0.25">
      <c r="A88" s="175">
        <f t="shared" si="8"/>
        <v>1</v>
      </c>
      <c r="B88" s="175" t="s">
        <v>580</v>
      </c>
      <c r="C88" s="176" t="s">
        <v>390</v>
      </c>
      <c r="D88" s="178">
        <f t="shared" si="13"/>
        <v>1.75</v>
      </c>
      <c r="E88" s="178">
        <v>1.75</v>
      </c>
      <c r="F88" s="178" t="s">
        <v>1076</v>
      </c>
      <c r="G88" s="178" t="s">
        <v>1082</v>
      </c>
      <c r="H88" s="178"/>
      <c r="I88" s="168" t="s">
        <v>1076</v>
      </c>
    </row>
    <row r="89" spans="1:9" x14ac:dyDescent="0.25">
      <c r="A89" s="175">
        <f t="shared" si="8"/>
        <v>1</v>
      </c>
      <c r="B89" s="175" t="s">
        <v>666</v>
      </c>
      <c r="C89" s="176" t="s">
        <v>390</v>
      </c>
      <c r="D89" s="178">
        <f t="shared" si="13"/>
        <v>605.66</v>
      </c>
      <c r="E89" s="178">
        <v>605.66</v>
      </c>
      <c r="F89" s="178" t="s">
        <v>1076</v>
      </c>
      <c r="G89" s="178" t="s">
        <v>1082</v>
      </c>
      <c r="H89" s="178"/>
      <c r="I89" s="168" t="s">
        <v>1076</v>
      </c>
    </row>
    <row r="90" spans="1:9" x14ac:dyDescent="0.25">
      <c r="A90" s="175">
        <f t="shared" si="8"/>
        <v>1</v>
      </c>
      <c r="B90" s="175" t="s">
        <v>626</v>
      </c>
      <c r="C90" s="176" t="s">
        <v>390</v>
      </c>
      <c r="D90" s="178">
        <f t="shared" si="13"/>
        <v>550</v>
      </c>
      <c r="E90" s="178">
        <v>550</v>
      </c>
      <c r="F90" s="178" t="s">
        <v>1076</v>
      </c>
      <c r="G90" s="178" t="s">
        <v>1082</v>
      </c>
      <c r="H90" s="178"/>
      <c r="I90" s="168" t="s">
        <v>1076</v>
      </c>
    </row>
    <row r="91" spans="1:9" x14ac:dyDescent="0.25">
      <c r="A91" s="175">
        <f t="shared" si="8"/>
        <v>1</v>
      </c>
      <c r="B91" s="175" t="s">
        <v>739</v>
      </c>
      <c r="C91" s="176" t="s">
        <v>428</v>
      </c>
      <c r="D91" s="178">
        <f t="shared" si="13"/>
        <v>2.9449999999999998</v>
      </c>
      <c r="E91" s="178">
        <v>2.9449999999999998</v>
      </c>
      <c r="F91" s="178" t="s">
        <v>1076</v>
      </c>
      <c r="G91" s="178" t="s">
        <v>1082</v>
      </c>
      <c r="H91" s="178"/>
      <c r="I91" s="168" t="s">
        <v>1076</v>
      </c>
    </row>
    <row r="92" spans="1:9" x14ac:dyDescent="0.25">
      <c r="A92" s="175">
        <f t="shared" si="8"/>
        <v>1</v>
      </c>
      <c r="B92" s="175" t="s">
        <v>551</v>
      </c>
      <c r="C92" s="176" t="s">
        <v>390</v>
      </c>
      <c r="D92" s="178">
        <f t="shared" si="13"/>
        <v>425</v>
      </c>
      <c r="E92" s="178">
        <v>425</v>
      </c>
      <c r="F92" s="178" t="s">
        <v>1076</v>
      </c>
      <c r="G92" s="178" t="s">
        <v>1083</v>
      </c>
      <c r="H92" s="178"/>
      <c r="I92" s="168" t="s">
        <v>1076</v>
      </c>
    </row>
    <row r="93" spans="1:9" x14ac:dyDescent="0.25">
      <c r="A93" s="175">
        <f t="shared" si="8"/>
        <v>1</v>
      </c>
      <c r="B93" s="175" t="s">
        <v>659</v>
      </c>
      <c r="C93" s="176" t="s">
        <v>390</v>
      </c>
      <c r="D93" s="178">
        <f t="shared" si="13"/>
        <v>480</v>
      </c>
      <c r="E93" s="178">
        <v>480</v>
      </c>
      <c r="F93" s="178" t="s">
        <v>1076</v>
      </c>
      <c r="G93" s="178" t="s">
        <v>1083</v>
      </c>
      <c r="H93" s="178"/>
      <c r="I93" s="168" t="s">
        <v>1076</v>
      </c>
    </row>
    <row r="94" spans="1:9" x14ac:dyDescent="0.25">
      <c r="A94" s="175">
        <f t="shared" si="8"/>
        <v>1</v>
      </c>
      <c r="B94" s="175" t="s">
        <v>536</v>
      </c>
      <c r="C94" s="176" t="s">
        <v>390</v>
      </c>
      <c r="D94" s="178">
        <f t="shared" si="13"/>
        <v>425</v>
      </c>
      <c r="E94" s="178">
        <v>425</v>
      </c>
      <c r="F94" s="178" t="s">
        <v>1076</v>
      </c>
      <c r="G94" s="178" t="s">
        <v>1083</v>
      </c>
      <c r="H94" s="178"/>
      <c r="I94" s="168" t="s">
        <v>1076</v>
      </c>
    </row>
    <row r="95" spans="1:9" x14ac:dyDescent="0.25">
      <c r="A95" s="175">
        <f t="shared" si="8"/>
        <v>1</v>
      </c>
      <c r="B95" s="175" t="s">
        <v>1050</v>
      </c>
      <c r="C95" s="176" t="s">
        <v>13</v>
      </c>
      <c r="D95" s="178">
        <f t="shared" si="13"/>
        <v>75.900000000000006</v>
      </c>
      <c r="E95" s="178">
        <v>75.900000000000006</v>
      </c>
      <c r="F95" s="178" t="s">
        <v>1084</v>
      </c>
      <c r="G95" s="178" t="s">
        <v>1084</v>
      </c>
      <c r="H95" s="178"/>
      <c r="I95" s="168" t="s">
        <v>1085</v>
      </c>
    </row>
    <row r="96" spans="1:9" x14ac:dyDescent="0.25">
      <c r="A96" s="175">
        <f t="shared" si="8"/>
        <v>1</v>
      </c>
      <c r="B96" s="175" t="s">
        <v>811</v>
      </c>
      <c r="C96" s="176" t="s">
        <v>13</v>
      </c>
      <c r="D96" s="178">
        <f t="shared" si="13"/>
        <v>65.900000000000006</v>
      </c>
      <c r="E96" s="178">
        <v>65.900000000000006</v>
      </c>
      <c r="F96" s="178" t="s">
        <v>1084</v>
      </c>
      <c r="G96" s="178" t="s">
        <v>1084</v>
      </c>
      <c r="H96" s="178"/>
      <c r="I96" s="168" t="s">
        <v>1085</v>
      </c>
    </row>
    <row r="97" spans="1:9" x14ac:dyDescent="0.25">
      <c r="A97" s="175">
        <f t="shared" si="8"/>
        <v>1</v>
      </c>
      <c r="B97" s="175" t="s">
        <v>834</v>
      </c>
      <c r="C97" s="176" t="s">
        <v>13</v>
      </c>
      <c r="D97" s="178">
        <f t="shared" si="13"/>
        <v>102.9</v>
      </c>
      <c r="E97" s="178">
        <v>102.9</v>
      </c>
      <c r="F97" s="178" t="s">
        <v>1084</v>
      </c>
      <c r="G97" s="178" t="s">
        <v>1084</v>
      </c>
      <c r="H97" s="178"/>
      <c r="I97" s="168" t="s">
        <v>1085</v>
      </c>
    </row>
    <row r="98" spans="1:9" x14ac:dyDescent="0.25">
      <c r="A98" s="175">
        <f t="shared" si="8"/>
        <v>1</v>
      </c>
      <c r="B98" s="175" t="s">
        <v>993</v>
      </c>
      <c r="C98" s="176" t="s">
        <v>190</v>
      </c>
      <c r="D98" s="178">
        <f t="shared" si="13"/>
        <v>750</v>
      </c>
      <c r="E98" s="178">
        <v>750</v>
      </c>
      <c r="F98" s="178" t="s">
        <v>1086</v>
      </c>
      <c r="G98" s="178" t="s">
        <v>1086</v>
      </c>
      <c r="H98" s="178"/>
      <c r="I98" s="168" t="s">
        <v>1087</v>
      </c>
    </row>
    <row r="99" spans="1:9" x14ac:dyDescent="0.25">
      <c r="A99" s="175">
        <f t="shared" si="8"/>
        <v>1</v>
      </c>
      <c r="B99" s="175" t="s">
        <v>995</v>
      </c>
      <c r="C99" s="176" t="s">
        <v>190</v>
      </c>
      <c r="D99" s="178">
        <f t="shared" si="13"/>
        <v>750</v>
      </c>
      <c r="E99" s="178">
        <v>750</v>
      </c>
      <c r="F99" s="178" t="s">
        <v>1086</v>
      </c>
      <c r="G99" s="178" t="s">
        <v>1086</v>
      </c>
      <c r="H99" s="178"/>
      <c r="I99" s="168" t="s">
        <v>1087</v>
      </c>
    </row>
    <row r="100" spans="1:9" x14ac:dyDescent="0.25">
      <c r="A100" s="175">
        <f t="shared" si="8"/>
        <v>1</v>
      </c>
      <c r="B100" s="175" t="s">
        <v>997</v>
      </c>
      <c r="C100" s="176" t="s">
        <v>190</v>
      </c>
      <c r="D100" s="178">
        <f t="shared" si="13"/>
        <v>750</v>
      </c>
      <c r="E100" s="178">
        <v>750</v>
      </c>
      <c r="F100" s="178" t="s">
        <v>1086</v>
      </c>
      <c r="G100" s="178" t="s">
        <v>1086</v>
      </c>
      <c r="H100" s="178"/>
      <c r="I100" s="168" t="s">
        <v>1087</v>
      </c>
    </row>
    <row r="101" spans="1:9" x14ac:dyDescent="0.25">
      <c r="A101" s="175">
        <f t="shared" si="8"/>
        <v>1</v>
      </c>
      <c r="B101" s="175" t="s">
        <v>1010</v>
      </c>
      <c r="C101" s="176" t="s">
        <v>25</v>
      </c>
      <c r="D101" s="178">
        <f t="shared" si="13"/>
        <v>18.7148</v>
      </c>
      <c r="E101" s="178">
        <v>18.7148</v>
      </c>
      <c r="F101" s="178" t="s">
        <v>179</v>
      </c>
      <c r="G101" s="178" t="s">
        <v>1088</v>
      </c>
      <c r="H101" s="178"/>
      <c r="I101" s="168" t="s">
        <v>1089</v>
      </c>
    </row>
    <row r="102" spans="1:9" x14ac:dyDescent="0.25">
      <c r="A102" s="175">
        <f t="shared" si="8"/>
        <v>1</v>
      </c>
      <c r="B102" s="175" t="s">
        <v>1015</v>
      </c>
      <c r="C102" s="176" t="s">
        <v>25</v>
      </c>
      <c r="D102" s="178">
        <f t="shared" si="13"/>
        <v>23.0336</v>
      </c>
      <c r="E102" s="178">
        <v>23.0336</v>
      </c>
      <c r="F102" s="178" t="s">
        <v>179</v>
      </c>
      <c r="G102" s="178" t="s">
        <v>1088</v>
      </c>
      <c r="H102" s="178"/>
      <c r="I102" s="168" t="s">
        <v>1089</v>
      </c>
    </row>
    <row r="103" spans="1:9" x14ac:dyDescent="0.25">
      <c r="A103" s="175">
        <f t="shared" si="8"/>
        <v>1</v>
      </c>
      <c r="B103" s="175" t="s">
        <v>1017</v>
      </c>
      <c r="C103" s="176" t="s">
        <v>25</v>
      </c>
      <c r="D103" s="178">
        <f t="shared" si="13"/>
        <v>35.99</v>
      </c>
      <c r="E103" s="178">
        <v>35.99</v>
      </c>
      <c r="F103" s="178" t="s">
        <v>179</v>
      </c>
      <c r="G103" s="178" t="s">
        <v>1088</v>
      </c>
      <c r="H103" s="178"/>
      <c r="I103" s="168" t="s">
        <v>1089</v>
      </c>
    </row>
    <row r="104" spans="1:9" x14ac:dyDescent="0.25">
      <c r="A104" s="175">
        <f t="shared" si="8"/>
        <v>1</v>
      </c>
      <c r="B104" s="175" t="s">
        <v>1019</v>
      </c>
      <c r="C104" s="176" t="s">
        <v>25</v>
      </c>
      <c r="D104" s="178">
        <f>E104*$D$1</f>
        <v>46.666666666666664</v>
      </c>
      <c r="E104" s="178">
        <v>46.666666666666664</v>
      </c>
      <c r="F104" s="178" t="s">
        <v>179</v>
      </c>
      <c r="G104" s="178" t="s">
        <v>1088</v>
      </c>
      <c r="H104" s="178"/>
      <c r="I104" s="168" t="s">
        <v>1089</v>
      </c>
    </row>
    <row r="105" spans="1:9" x14ac:dyDescent="0.25">
      <c r="A105" s="175">
        <f t="shared" si="8"/>
        <v>1</v>
      </c>
      <c r="B105" s="175" t="s">
        <v>1988</v>
      </c>
      <c r="C105" s="176" t="s">
        <v>25</v>
      </c>
      <c r="D105" s="178">
        <f t="shared" si="13"/>
        <v>78.599999999999994</v>
      </c>
      <c r="E105" s="178">
        <v>78.599999999999994</v>
      </c>
      <c r="F105" s="178" t="s">
        <v>179</v>
      </c>
      <c r="G105" s="178" t="s">
        <v>1088</v>
      </c>
      <c r="H105" s="178"/>
      <c r="I105" s="168" t="s">
        <v>1089</v>
      </c>
    </row>
    <row r="106" spans="1:9" x14ac:dyDescent="0.25">
      <c r="A106" s="175">
        <f t="shared" si="8"/>
        <v>1</v>
      </c>
      <c r="B106" s="175" t="s">
        <v>1020</v>
      </c>
      <c r="C106" s="176" t="s">
        <v>25</v>
      </c>
      <c r="D106" s="178">
        <f t="shared" si="13"/>
        <v>59.966666666666669</v>
      </c>
      <c r="E106" s="178">
        <v>59.966666666666669</v>
      </c>
      <c r="F106" s="178" t="s">
        <v>179</v>
      </c>
      <c r="G106" s="178" t="s">
        <v>1088</v>
      </c>
      <c r="H106" s="178"/>
      <c r="I106" s="168" t="s">
        <v>1089</v>
      </c>
    </row>
    <row r="107" spans="1:9" x14ac:dyDescent="0.25">
      <c r="A107" s="175">
        <f t="shared" si="8"/>
        <v>1</v>
      </c>
      <c r="B107" s="175" t="s">
        <v>1090</v>
      </c>
      <c r="C107" s="176" t="s">
        <v>25</v>
      </c>
      <c r="D107" s="178">
        <f t="shared" si="13"/>
        <v>25</v>
      </c>
      <c r="E107" s="178">
        <v>25</v>
      </c>
      <c r="F107" s="178" t="s">
        <v>179</v>
      </c>
      <c r="G107" s="178" t="s">
        <v>1091</v>
      </c>
      <c r="H107" s="178"/>
      <c r="I107" s="168" t="s">
        <v>1089</v>
      </c>
    </row>
    <row r="108" spans="1:9" x14ac:dyDescent="0.25">
      <c r="A108" s="175">
        <f t="shared" si="8"/>
        <v>1</v>
      </c>
      <c r="B108" s="175" t="s">
        <v>1021</v>
      </c>
      <c r="C108" s="176" t="s">
        <v>25</v>
      </c>
      <c r="D108" s="178">
        <f t="shared" si="13"/>
        <v>28</v>
      </c>
      <c r="E108" s="178">
        <v>28</v>
      </c>
      <c r="F108" s="178" t="s">
        <v>179</v>
      </c>
      <c r="G108" s="178" t="s">
        <v>1091</v>
      </c>
      <c r="H108" s="178"/>
      <c r="I108" s="168" t="s">
        <v>1089</v>
      </c>
    </row>
    <row r="109" spans="1:9" x14ac:dyDescent="0.25">
      <c r="A109" s="175">
        <f t="shared" si="8"/>
        <v>1</v>
      </c>
      <c r="B109" s="175" t="s">
        <v>1008</v>
      </c>
      <c r="C109" s="176" t="s">
        <v>13</v>
      </c>
      <c r="D109" s="178">
        <f t="shared" si="13"/>
        <v>198.19</v>
      </c>
      <c r="E109" s="178">
        <v>198.19</v>
      </c>
      <c r="F109" s="178" t="s">
        <v>179</v>
      </c>
      <c r="G109" s="178" t="s">
        <v>1092</v>
      </c>
      <c r="H109" s="178"/>
      <c r="I109" s="168" t="s">
        <v>1089</v>
      </c>
    </row>
    <row r="110" spans="1:9" x14ac:dyDescent="0.25">
      <c r="A110" s="175">
        <f t="shared" si="8"/>
        <v>1</v>
      </c>
      <c r="B110" s="175" t="s">
        <v>999</v>
      </c>
      <c r="C110" s="176" t="s">
        <v>131</v>
      </c>
      <c r="D110" s="178">
        <f t="shared" si="13"/>
        <v>30657</v>
      </c>
      <c r="E110" s="178">
        <v>30657</v>
      </c>
      <c r="F110" s="178" t="s">
        <v>179</v>
      </c>
      <c r="G110" s="178" t="s">
        <v>1092</v>
      </c>
      <c r="H110" s="178"/>
      <c r="I110" s="168" t="s">
        <v>1089</v>
      </c>
    </row>
    <row r="111" spans="1:9" x14ac:dyDescent="0.25">
      <c r="A111" s="175">
        <f t="shared" si="8"/>
        <v>1</v>
      </c>
      <c r="B111" s="175" t="s">
        <v>1006</v>
      </c>
      <c r="C111" s="176" t="s">
        <v>13</v>
      </c>
      <c r="D111" s="178">
        <f t="shared" si="13"/>
        <v>66.05</v>
      </c>
      <c r="E111" s="178">
        <v>66.05</v>
      </c>
      <c r="F111" s="178" t="s">
        <v>179</v>
      </c>
      <c r="G111" s="178" t="s">
        <v>1092</v>
      </c>
      <c r="H111" s="178"/>
      <c r="I111" s="168" t="s">
        <v>1089</v>
      </c>
    </row>
    <row r="112" spans="1:9" x14ac:dyDescent="0.25">
      <c r="A112" s="175">
        <f t="shared" si="8"/>
        <v>1</v>
      </c>
      <c r="B112" s="175" t="s">
        <v>354</v>
      </c>
      <c r="C112" s="176" t="s">
        <v>13</v>
      </c>
      <c r="D112" s="178">
        <f t="shared" si="13"/>
        <v>21.31</v>
      </c>
      <c r="E112" s="178">
        <v>21.31</v>
      </c>
      <c r="F112" s="178" t="s">
        <v>179</v>
      </c>
      <c r="G112" s="178" t="s">
        <v>1092</v>
      </c>
      <c r="H112" s="178"/>
      <c r="I112" s="168" t="s">
        <v>1089</v>
      </c>
    </row>
    <row r="113" spans="1:9" x14ac:dyDescent="0.25">
      <c r="A113" s="175">
        <f t="shared" si="8"/>
        <v>1</v>
      </c>
      <c r="B113" s="175" t="s">
        <v>338</v>
      </c>
      <c r="C113" s="176" t="s">
        <v>13</v>
      </c>
      <c r="D113" s="178">
        <f t="shared" si="13"/>
        <v>31</v>
      </c>
      <c r="E113" s="178">
        <v>31</v>
      </c>
      <c r="F113" s="178" t="s">
        <v>179</v>
      </c>
      <c r="G113" s="178" t="s">
        <v>1092</v>
      </c>
      <c r="H113" s="178"/>
      <c r="I113" s="168" t="s">
        <v>1089</v>
      </c>
    </row>
    <row r="114" spans="1:9" x14ac:dyDescent="0.25">
      <c r="A114" s="175">
        <f t="shared" si="8"/>
        <v>1</v>
      </c>
      <c r="B114" s="175" t="s">
        <v>377</v>
      </c>
      <c r="C114" s="176" t="s">
        <v>13</v>
      </c>
      <c r="D114" s="178">
        <f t="shared" si="13"/>
        <v>97</v>
      </c>
      <c r="E114" s="178">
        <v>97</v>
      </c>
      <c r="F114" s="178" t="s">
        <v>179</v>
      </c>
      <c r="G114" s="178" t="s">
        <v>1092</v>
      </c>
      <c r="H114" s="178"/>
      <c r="I114" s="168" t="s">
        <v>1089</v>
      </c>
    </row>
    <row r="115" spans="1:9" x14ac:dyDescent="0.25">
      <c r="A115" s="175">
        <f t="shared" si="8"/>
        <v>1</v>
      </c>
      <c r="B115" s="175" t="s">
        <v>394</v>
      </c>
      <c r="C115" s="176" t="s">
        <v>390</v>
      </c>
      <c r="D115" s="178">
        <f t="shared" si="13"/>
        <v>430.94</v>
      </c>
      <c r="E115" s="178">
        <v>430.94</v>
      </c>
      <c r="F115" s="178" t="s">
        <v>27</v>
      </c>
      <c r="G115" s="178" t="s">
        <v>27</v>
      </c>
      <c r="H115" s="178"/>
      <c r="I115" s="168" t="s">
        <v>1085</v>
      </c>
    </row>
    <row r="116" spans="1:9" x14ac:dyDescent="0.25">
      <c r="A116" s="175">
        <f t="shared" si="8"/>
        <v>1</v>
      </c>
      <c r="B116" s="175" t="s">
        <v>378</v>
      </c>
      <c r="C116" s="176" t="s">
        <v>390</v>
      </c>
      <c r="D116" s="178">
        <f t="shared" si="13"/>
        <v>352</v>
      </c>
      <c r="E116" s="178">
        <v>352</v>
      </c>
      <c r="F116" s="178" t="s">
        <v>27</v>
      </c>
      <c r="G116" s="178" t="s">
        <v>27</v>
      </c>
      <c r="H116" s="178"/>
      <c r="I116" s="168" t="s">
        <v>1085</v>
      </c>
    </row>
    <row r="117" spans="1:9" x14ac:dyDescent="0.25">
      <c r="A117" s="175">
        <f t="shared" si="8"/>
        <v>1</v>
      </c>
      <c r="B117" s="175" t="s">
        <v>1093</v>
      </c>
      <c r="C117" s="176" t="s">
        <v>390</v>
      </c>
      <c r="D117" s="178">
        <f t="shared" si="13"/>
        <v>502</v>
      </c>
      <c r="E117" s="178">
        <v>502</v>
      </c>
      <c r="F117" s="178" t="s">
        <v>27</v>
      </c>
      <c r="G117" s="178" t="s">
        <v>27</v>
      </c>
      <c r="H117" s="178"/>
      <c r="I117" s="168" t="s">
        <v>1085</v>
      </c>
    </row>
    <row r="118" spans="1:9" x14ac:dyDescent="0.25">
      <c r="A118" s="175">
        <f t="shared" si="8"/>
        <v>1</v>
      </c>
      <c r="B118" s="175" t="s">
        <v>339</v>
      </c>
      <c r="C118" s="176" t="s">
        <v>390</v>
      </c>
      <c r="D118" s="178">
        <f t="shared" si="13"/>
        <v>490</v>
      </c>
      <c r="E118" s="178">
        <v>490</v>
      </c>
      <c r="F118" s="178" t="s">
        <v>27</v>
      </c>
      <c r="G118" s="178" t="s">
        <v>27</v>
      </c>
      <c r="H118" s="178"/>
      <c r="I118" s="168" t="s">
        <v>1085</v>
      </c>
    </row>
    <row r="119" spans="1:9" x14ac:dyDescent="0.25">
      <c r="A119" s="175">
        <f t="shared" si="8"/>
        <v>1</v>
      </c>
      <c r="B119" s="175" t="s">
        <v>441</v>
      </c>
      <c r="C119" s="176" t="s">
        <v>390</v>
      </c>
      <c r="D119" s="178">
        <f t="shared" si="13"/>
        <v>492.99999999999994</v>
      </c>
      <c r="E119" s="178">
        <v>492.99999999999994</v>
      </c>
      <c r="F119" s="178" t="s">
        <v>27</v>
      </c>
      <c r="G119" s="178" t="s">
        <v>27</v>
      </c>
      <c r="H119" s="178"/>
      <c r="I119" s="168" t="s">
        <v>1085</v>
      </c>
    </row>
    <row r="120" spans="1:9" x14ac:dyDescent="0.25">
      <c r="A120" s="175">
        <f t="shared" si="8"/>
        <v>1</v>
      </c>
      <c r="B120" s="175" t="s">
        <v>457</v>
      </c>
      <c r="C120" s="176" t="s">
        <v>390</v>
      </c>
      <c r="D120" s="178">
        <f t="shared" si="13"/>
        <v>510</v>
      </c>
      <c r="E120" s="178">
        <v>510</v>
      </c>
      <c r="F120" s="178" t="s">
        <v>27</v>
      </c>
      <c r="G120" s="178" t="s">
        <v>27</v>
      </c>
      <c r="H120" s="178"/>
      <c r="I120" s="168" t="s">
        <v>1085</v>
      </c>
    </row>
    <row r="121" spans="1:9" x14ac:dyDescent="0.25">
      <c r="A121" s="175">
        <f t="shared" si="8"/>
        <v>1</v>
      </c>
      <c r="B121" s="175" t="s">
        <v>443</v>
      </c>
      <c r="C121" s="176" t="s">
        <v>390</v>
      </c>
      <c r="D121" s="178">
        <f t="shared" si="13"/>
        <v>517.65</v>
      </c>
      <c r="E121" s="178">
        <v>517.65</v>
      </c>
      <c r="F121" s="178" t="s">
        <v>27</v>
      </c>
      <c r="G121" s="178" t="s">
        <v>27</v>
      </c>
      <c r="H121" s="178"/>
      <c r="I121" s="168" t="s">
        <v>1085</v>
      </c>
    </row>
    <row r="122" spans="1:9" x14ac:dyDescent="0.25">
      <c r="A122" s="175">
        <f t="shared" si="8"/>
        <v>1</v>
      </c>
      <c r="B122" s="175" t="s">
        <v>459</v>
      </c>
      <c r="C122" s="176" t="s">
        <v>390</v>
      </c>
      <c r="D122" s="178">
        <f t="shared" si="13"/>
        <v>510</v>
      </c>
      <c r="E122" s="178">
        <v>510</v>
      </c>
      <c r="F122" s="178" t="s">
        <v>27</v>
      </c>
      <c r="G122" s="178" t="s">
        <v>27</v>
      </c>
      <c r="H122" s="178"/>
      <c r="I122" s="168" t="s">
        <v>1085</v>
      </c>
    </row>
    <row r="123" spans="1:9" x14ac:dyDescent="0.25">
      <c r="A123" s="175">
        <f t="shared" si="8"/>
        <v>1</v>
      </c>
      <c r="B123" s="175" t="s">
        <v>445</v>
      </c>
      <c r="C123" s="176" t="s">
        <v>390</v>
      </c>
      <c r="D123" s="178">
        <f t="shared" si="13"/>
        <v>565</v>
      </c>
      <c r="E123" s="178">
        <v>565</v>
      </c>
      <c r="F123" s="178" t="s">
        <v>27</v>
      </c>
      <c r="G123" s="178" t="s">
        <v>27</v>
      </c>
      <c r="H123" s="178"/>
      <c r="I123" s="168" t="s">
        <v>1085</v>
      </c>
    </row>
    <row r="124" spans="1:9" x14ac:dyDescent="0.25">
      <c r="A124" s="175">
        <f t="shared" si="8"/>
        <v>1</v>
      </c>
      <c r="B124" s="175" t="s">
        <v>446</v>
      </c>
      <c r="C124" s="176" t="s">
        <v>390</v>
      </c>
      <c r="D124" s="178">
        <f t="shared" si="13"/>
        <v>590</v>
      </c>
      <c r="E124" s="178">
        <v>590</v>
      </c>
      <c r="F124" s="178" t="s">
        <v>27</v>
      </c>
      <c r="G124" s="178" t="s">
        <v>27</v>
      </c>
      <c r="H124" s="178"/>
      <c r="I124" s="168" t="s">
        <v>1085</v>
      </c>
    </row>
    <row r="125" spans="1:9" x14ac:dyDescent="0.25">
      <c r="A125" s="175">
        <f t="shared" si="8"/>
        <v>1</v>
      </c>
      <c r="B125" s="175" t="s">
        <v>502</v>
      </c>
      <c r="C125" s="176" t="s">
        <v>390</v>
      </c>
      <c r="D125" s="178">
        <f t="shared" si="13"/>
        <v>580</v>
      </c>
      <c r="E125" s="178">
        <v>580</v>
      </c>
      <c r="F125" s="178" t="s">
        <v>27</v>
      </c>
      <c r="G125" s="178" t="s">
        <v>27</v>
      </c>
      <c r="H125" s="178"/>
      <c r="I125" s="168" t="s">
        <v>1085</v>
      </c>
    </row>
    <row r="126" spans="1:9" x14ac:dyDescent="0.25">
      <c r="A126" s="175">
        <f t="shared" si="8"/>
        <v>1</v>
      </c>
      <c r="B126" s="175" t="s">
        <v>461</v>
      </c>
      <c r="C126" s="176" t="s">
        <v>390</v>
      </c>
      <c r="D126" s="178">
        <f t="shared" si="13"/>
        <v>589.78500000000008</v>
      </c>
      <c r="E126" s="178">
        <v>589.78500000000008</v>
      </c>
      <c r="F126" s="178" t="s">
        <v>27</v>
      </c>
      <c r="G126" s="178" t="s">
        <v>27</v>
      </c>
      <c r="H126" s="178"/>
      <c r="I126" s="168" t="s">
        <v>1085</v>
      </c>
    </row>
    <row r="127" spans="1:9" x14ac:dyDescent="0.25">
      <c r="A127" s="175">
        <f t="shared" si="8"/>
        <v>1</v>
      </c>
      <c r="B127" s="175" t="s">
        <v>462</v>
      </c>
      <c r="C127" s="176" t="s">
        <v>390</v>
      </c>
      <c r="D127" s="178">
        <f t="shared" si="13"/>
        <v>610</v>
      </c>
      <c r="E127" s="178">
        <v>610</v>
      </c>
      <c r="F127" s="178" t="s">
        <v>27</v>
      </c>
      <c r="G127" s="178" t="s">
        <v>27</v>
      </c>
      <c r="H127" s="178"/>
      <c r="I127" s="168" t="s">
        <v>1085</v>
      </c>
    </row>
    <row r="128" spans="1:9" x14ac:dyDescent="0.25">
      <c r="A128" s="175">
        <f t="shared" si="8"/>
        <v>1</v>
      </c>
      <c r="B128" s="175" t="s">
        <v>1165</v>
      </c>
      <c r="C128" s="176" t="s">
        <v>390</v>
      </c>
      <c r="D128" s="178">
        <f t="shared" si="13"/>
        <v>0</v>
      </c>
      <c r="E128" s="178">
        <v>0</v>
      </c>
      <c r="F128" s="178" t="s">
        <v>27</v>
      </c>
      <c r="G128" s="178" t="s">
        <v>27</v>
      </c>
      <c r="H128" s="178"/>
      <c r="I128" s="168" t="s">
        <v>1085</v>
      </c>
    </row>
    <row r="129" spans="1:9" x14ac:dyDescent="0.25">
      <c r="A129" s="175">
        <f t="shared" si="8"/>
        <v>1</v>
      </c>
      <c r="B129" s="175" t="s">
        <v>574</v>
      </c>
      <c r="C129" s="176" t="s">
        <v>390</v>
      </c>
      <c r="D129" s="178">
        <f t="shared" si="13"/>
        <v>468.86</v>
      </c>
      <c r="E129" s="178">
        <v>468.86</v>
      </c>
      <c r="F129" s="178" t="s">
        <v>27</v>
      </c>
      <c r="G129" s="178" t="s">
        <v>27</v>
      </c>
      <c r="H129" s="178"/>
      <c r="I129" s="168" t="s">
        <v>1085</v>
      </c>
    </row>
    <row r="130" spans="1:9" x14ac:dyDescent="0.25">
      <c r="A130" s="175">
        <f t="shared" si="8"/>
        <v>1</v>
      </c>
      <c r="B130" s="175" t="s">
        <v>575</v>
      </c>
      <c r="C130" s="176" t="s">
        <v>390</v>
      </c>
      <c r="D130" s="178">
        <f t="shared" si="13"/>
        <v>493.5</v>
      </c>
      <c r="E130" s="178">
        <v>493.5</v>
      </c>
      <c r="F130" s="178" t="s">
        <v>27</v>
      </c>
      <c r="G130" s="178" t="s">
        <v>27</v>
      </c>
      <c r="H130" s="178"/>
      <c r="I130" s="168" t="s">
        <v>1085</v>
      </c>
    </row>
    <row r="131" spans="1:9" x14ac:dyDescent="0.25">
      <c r="A131" s="175">
        <f t="shared" si="8"/>
        <v>1</v>
      </c>
      <c r="B131" s="175" t="s">
        <v>511</v>
      </c>
      <c r="C131" s="176" t="s">
        <v>428</v>
      </c>
      <c r="D131" s="178">
        <f t="shared" si="13"/>
        <v>4.4400000000000004</v>
      </c>
      <c r="E131" s="178">
        <v>4.4400000000000004</v>
      </c>
      <c r="F131" s="178" t="s">
        <v>27</v>
      </c>
      <c r="G131" s="178" t="s">
        <v>1094</v>
      </c>
      <c r="H131" s="178"/>
      <c r="I131" s="168" t="s">
        <v>1085</v>
      </c>
    </row>
    <row r="132" spans="1:9" x14ac:dyDescent="0.25">
      <c r="A132" s="175">
        <f t="shared" si="8"/>
        <v>1</v>
      </c>
      <c r="B132" s="175" t="s">
        <v>512</v>
      </c>
      <c r="C132" s="176" t="s">
        <v>428</v>
      </c>
      <c r="D132" s="178">
        <f t="shared" si="13"/>
        <v>0.4</v>
      </c>
      <c r="E132" s="178">
        <v>0.4</v>
      </c>
      <c r="F132" s="178" t="s">
        <v>27</v>
      </c>
      <c r="G132" s="178" t="s">
        <v>1094</v>
      </c>
      <c r="H132" s="178"/>
      <c r="I132" s="168" t="s">
        <v>1085</v>
      </c>
    </row>
    <row r="133" spans="1:9" x14ac:dyDescent="0.25">
      <c r="A133" s="175">
        <f t="shared" si="8"/>
        <v>1</v>
      </c>
      <c r="B133" s="175" t="s">
        <v>513</v>
      </c>
      <c r="C133" s="176" t="s">
        <v>428</v>
      </c>
      <c r="D133" s="178">
        <f t="shared" si="13"/>
        <v>0.4</v>
      </c>
      <c r="E133" s="178">
        <v>0.4</v>
      </c>
      <c r="F133" s="178" t="s">
        <v>27</v>
      </c>
      <c r="G133" s="178" t="s">
        <v>1094</v>
      </c>
      <c r="H133" s="178"/>
      <c r="I133" s="168" t="s">
        <v>1085</v>
      </c>
    </row>
    <row r="134" spans="1:9" x14ac:dyDescent="0.25">
      <c r="A134" s="175">
        <f t="shared" si="8"/>
        <v>1</v>
      </c>
      <c r="B134" s="175" t="s">
        <v>514</v>
      </c>
      <c r="C134" s="176" t="s">
        <v>428</v>
      </c>
      <c r="D134" s="178">
        <f t="shared" si="13"/>
        <v>0.2</v>
      </c>
      <c r="E134" s="178">
        <v>0.2</v>
      </c>
      <c r="F134" s="178" t="s">
        <v>27</v>
      </c>
      <c r="G134" s="178" t="s">
        <v>1094</v>
      </c>
      <c r="H134" s="178"/>
      <c r="I134" s="168" t="s">
        <v>1085</v>
      </c>
    </row>
    <row r="135" spans="1:9" x14ac:dyDescent="0.25">
      <c r="A135" s="175">
        <f t="shared" si="8"/>
        <v>1</v>
      </c>
      <c r="B135" s="175" t="s">
        <v>515</v>
      </c>
      <c r="C135" s="176" t="s">
        <v>131</v>
      </c>
      <c r="D135" s="178">
        <f t="shared" si="13"/>
        <v>0.5</v>
      </c>
      <c r="E135" s="178">
        <v>0.5</v>
      </c>
      <c r="F135" s="178" t="s">
        <v>27</v>
      </c>
      <c r="G135" s="178" t="s">
        <v>1094</v>
      </c>
      <c r="H135" s="178"/>
      <c r="I135" s="168" t="s">
        <v>1085</v>
      </c>
    </row>
    <row r="136" spans="1:9" x14ac:dyDescent="0.25">
      <c r="A136" s="175">
        <f t="shared" ref="A136:A202" si="14">COUNTIFS($B$2:$B$764,B136)</f>
        <v>1</v>
      </c>
      <c r="B136" s="175" t="s">
        <v>517</v>
      </c>
      <c r="C136" s="176" t="s">
        <v>131</v>
      </c>
      <c r="D136" s="178">
        <f t="shared" si="13"/>
        <v>12.5</v>
      </c>
      <c r="E136" s="178">
        <v>12.5</v>
      </c>
      <c r="F136" s="178" t="s">
        <v>27</v>
      </c>
      <c r="G136" s="178" t="s">
        <v>1094</v>
      </c>
      <c r="H136" s="178"/>
      <c r="I136" s="168" t="s">
        <v>1085</v>
      </c>
    </row>
    <row r="137" spans="1:9" x14ac:dyDescent="0.25">
      <c r="A137" s="175">
        <f t="shared" si="14"/>
        <v>1</v>
      </c>
      <c r="B137" s="175" t="s">
        <v>518</v>
      </c>
      <c r="C137" s="176" t="s">
        <v>1095</v>
      </c>
      <c r="D137" s="178">
        <f t="shared" si="13"/>
        <v>9.1300000000000008</v>
      </c>
      <c r="E137" s="178">
        <v>9.1300000000000008</v>
      </c>
      <c r="F137" s="178" t="s">
        <v>27</v>
      </c>
      <c r="G137" s="178" t="s">
        <v>1094</v>
      </c>
      <c r="H137" s="178"/>
      <c r="I137" s="168" t="s">
        <v>1085</v>
      </c>
    </row>
    <row r="138" spans="1:9" x14ac:dyDescent="0.25">
      <c r="A138" s="175">
        <f t="shared" si="14"/>
        <v>1</v>
      </c>
      <c r="B138" s="175" t="s">
        <v>519</v>
      </c>
      <c r="C138" s="176" t="s">
        <v>131</v>
      </c>
      <c r="D138" s="178">
        <f t="shared" si="13"/>
        <v>2.85</v>
      </c>
      <c r="E138" s="178">
        <v>2.85</v>
      </c>
      <c r="F138" s="178" t="s">
        <v>27</v>
      </c>
      <c r="G138" s="178" t="s">
        <v>1094</v>
      </c>
      <c r="H138" s="178"/>
      <c r="I138" s="168" t="s">
        <v>1085</v>
      </c>
    </row>
    <row r="139" spans="1:9" x14ac:dyDescent="0.25">
      <c r="A139" s="175">
        <f t="shared" si="14"/>
        <v>1</v>
      </c>
      <c r="B139" s="175" t="s">
        <v>520</v>
      </c>
      <c r="C139" s="176" t="s">
        <v>131</v>
      </c>
      <c r="D139" s="178">
        <f t="shared" si="13"/>
        <v>1.42</v>
      </c>
      <c r="E139" s="178">
        <v>1.42</v>
      </c>
      <c r="F139" s="178" t="s">
        <v>27</v>
      </c>
      <c r="G139" s="178" t="s">
        <v>1094</v>
      </c>
      <c r="H139" s="178"/>
      <c r="I139" s="168" t="s">
        <v>1085</v>
      </c>
    </row>
    <row r="140" spans="1:9" x14ac:dyDescent="0.25">
      <c r="A140" s="175">
        <f t="shared" si="14"/>
        <v>1</v>
      </c>
      <c r="B140" s="175" t="s">
        <v>521</v>
      </c>
      <c r="C140" s="176" t="s">
        <v>131</v>
      </c>
      <c r="D140" s="178">
        <f t="shared" si="13"/>
        <v>5.68</v>
      </c>
      <c r="E140" s="178">
        <v>5.68</v>
      </c>
      <c r="F140" s="178" t="s">
        <v>27</v>
      </c>
      <c r="G140" s="178" t="s">
        <v>1094</v>
      </c>
      <c r="H140" s="178"/>
      <c r="I140" s="168" t="s">
        <v>1085</v>
      </c>
    </row>
    <row r="141" spans="1:9" x14ac:dyDescent="0.25">
      <c r="A141" s="175">
        <f t="shared" si="14"/>
        <v>1</v>
      </c>
      <c r="B141" s="175" t="s">
        <v>522</v>
      </c>
      <c r="C141" s="176" t="s">
        <v>1095</v>
      </c>
      <c r="D141" s="178">
        <f t="shared" si="13"/>
        <v>2.2999999999999998</v>
      </c>
      <c r="E141" s="178">
        <v>2.2999999999999998</v>
      </c>
      <c r="F141" s="178" t="s">
        <v>27</v>
      </c>
      <c r="G141" s="178" t="s">
        <v>1094</v>
      </c>
      <c r="H141" s="178"/>
      <c r="I141" s="168" t="s">
        <v>1085</v>
      </c>
    </row>
    <row r="142" spans="1:9" x14ac:dyDescent="0.25">
      <c r="A142" s="175">
        <f t="shared" si="14"/>
        <v>1</v>
      </c>
      <c r="B142" s="175" t="s">
        <v>523</v>
      </c>
      <c r="C142" s="176" t="s">
        <v>1095</v>
      </c>
      <c r="D142" s="178">
        <f t="shared" si="13"/>
        <v>3.4</v>
      </c>
      <c r="E142" s="178">
        <v>3.4</v>
      </c>
      <c r="F142" s="178" t="s">
        <v>27</v>
      </c>
      <c r="G142" s="178" t="s">
        <v>1094</v>
      </c>
      <c r="H142" s="178"/>
      <c r="I142" s="168" t="s">
        <v>1085</v>
      </c>
    </row>
    <row r="143" spans="1:9" x14ac:dyDescent="0.25">
      <c r="A143" s="175">
        <f t="shared" si="14"/>
        <v>1</v>
      </c>
      <c r="B143" s="175" t="s">
        <v>524</v>
      </c>
      <c r="C143" s="176" t="s">
        <v>1095</v>
      </c>
      <c r="D143" s="178">
        <f t="shared" si="13"/>
        <v>1.1000000000000001</v>
      </c>
      <c r="E143" s="178">
        <v>1.1000000000000001</v>
      </c>
      <c r="F143" s="178" t="s">
        <v>27</v>
      </c>
      <c r="G143" s="178" t="s">
        <v>1094</v>
      </c>
      <c r="H143" s="178"/>
      <c r="I143" s="168" t="s">
        <v>1085</v>
      </c>
    </row>
    <row r="144" spans="1:9" x14ac:dyDescent="0.25">
      <c r="A144" s="175">
        <f t="shared" si="14"/>
        <v>1</v>
      </c>
      <c r="B144" s="175" t="s">
        <v>601</v>
      </c>
      <c r="C144" s="176" t="s">
        <v>25</v>
      </c>
      <c r="D144" s="178">
        <f t="shared" si="13"/>
        <v>0.31</v>
      </c>
      <c r="E144" s="178">
        <v>0.31</v>
      </c>
      <c r="F144" s="178" t="s">
        <v>1096</v>
      </c>
      <c r="G144" s="178" t="s">
        <v>1067</v>
      </c>
      <c r="H144" s="178"/>
      <c r="I144" s="168" t="s">
        <v>1067</v>
      </c>
    </row>
    <row r="145" spans="1:9" x14ac:dyDescent="0.25">
      <c r="A145" s="175">
        <f t="shared" si="14"/>
        <v>1</v>
      </c>
      <c r="B145" s="175" t="s">
        <v>602</v>
      </c>
      <c r="C145" s="176" t="s">
        <v>25</v>
      </c>
      <c r="D145" s="178">
        <f t="shared" si="13"/>
        <v>2.74</v>
      </c>
      <c r="E145" s="178">
        <v>2.74</v>
      </c>
      <c r="F145" s="178" t="s">
        <v>1096</v>
      </c>
      <c r="G145" s="178" t="s">
        <v>1067</v>
      </c>
      <c r="H145" s="178"/>
      <c r="I145" s="168" t="s">
        <v>1067</v>
      </c>
    </row>
    <row r="146" spans="1:9" x14ac:dyDescent="0.25">
      <c r="A146" s="175">
        <f t="shared" si="14"/>
        <v>1</v>
      </c>
      <c r="B146" s="175" t="s">
        <v>600</v>
      </c>
      <c r="C146" s="176" t="s">
        <v>428</v>
      </c>
      <c r="D146" s="178">
        <f t="shared" si="13"/>
        <v>3.43</v>
      </c>
      <c r="E146" s="178">
        <v>3.43</v>
      </c>
      <c r="F146" s="178" t="s">
        <v>1096</v>
      </c>
      <c r="G146" s="178" t="s">
        <v>1067</v>
      </c>
      <c r="H146" s="178"/>
      <c r="I146" s="168" t="s">
        <v>1067</v>
      </c>
    </row>
    <row r="147" spans="1:9" x14ac:dyDescent="0.25">
      <c r="A147" s="175">
        <f t="shared" si="14"/>
        <v>1</v>
      </c>
      <c r="B147" s="175" t="s">
        <v>2062</v>
      </c>
      <c r="C147" s="176" t="s">
        <v>13</v>
      </c>
      <c r="D147" s="178">
        <f>E147*$D$1</f>
        <v>23.35</v>
      </c>
      <c r="E147" s="178">
        <v>23.35</v>
      </c>
      <c r="F147" s="178" t="s">
        <v>1096</v>
      </c>
      <c r="G147" s="178" t="s">
        <v>1067</v>
      </c>
      <c r="H147" s="178"/>
      <c r="I147" s="168" t="s">
        <v>1067</v>
      </c>
    </row>
    <row r="148" spans="1:9" x14ac:dyDescent="0.25">
      <c r="A148" s="175">
        <f t="shared" si="14"/>
        <v>1</v>
      </c>
      <c r="B148" s="175" t="s">
        <v>2063</v>
      </c>
      <c r="C148" s="176" t="s">
        <v>13</v>
      </c>
      <c r="D148" s="178">
        <f>E148*$D$1</f>
        <v>14.73</v>
      </c>
      <c r="E148" s="178">
        <v>14.73</v>
      </c>
      <c r="F148" s="178" t="s">
        <v>1096</v>
      </c>
      <c r="G148" s="178" t="s">
        <v>1067</v>
      </c>
      <c r="H148" s="178"/>
      <c r="I148" s="168" t="s">
        <v>1067</v>
      </c>
    </row>
    <row r="149" spans="1:9" x14ac:dyDescent="0.25">
      <c r="A149" s="175">
        <f t="shared" si="14"/>
        <v>1</v>
      </c>
      <c r="B149" s="175" t="s">
        <v>612</v>
      </c>
      <c r="C149" s="176" t="s">
        <v>13</v>
      </c>
      <c r="D149" s="178">
        <f t="shared" si="13"/>
        <v>29.194444444444446</v>
      </c>
      <c r="E149" s="178">
        <f>84.08/2.88</f>
        <v>29.194444444444446</v>
      </c>
      <c r="F149" s="178" t="s">
        <v>1096</v>
      </c>
      <c r="G149" s="178" t="s">
        <v>1067</v>
      </c>
      <c r="H149" s="178"/>
      <c r="I149" s="168" t="s">
        <v>1067</v>
      </c>
    </row>
    <row r="150" spans="1:9" x14ac:dyDescent="0.25">
      <c r="A150" s="175">
        <f t="shared" si="14"/>
        <v>1</v>
      </c>
      <c r="B150" s="175" t="s">
        <v>596</v>
      </c>
      <c r="C150" s="176" t="s">
        <v>13</v>
      </c>
      <c r="D150" s="178">
        <f t="shared" si="13"/>
        <v>18.40625</v>
      </c>
      <c r="E150" s="178">
        <f>53.01/2.88</f>
        <v>18.40625</v>
      </c>
      <c r="F150" s="178" t="s">
        <v>1096</v>
      </c>
      <c r="G150" s="178" t="s">
        <v>1067</v>
      </c>
      <c r="H150" s="178"/>
      <c r="I150" s="168" t="s">
        <v>1067</v>
      </c>
    </row>
    <row r="151" spans="1:9" x14ac:dyDescent="0.25">
      <c r="A151" s="175">
        <f t="shared" si="14"/>
        <v>1</v>
      </c>
      <c r="B151" s="175" t="s">
        <v>605</v>
      </c>
      <c r="C151" s="176" t="s">
        <v>13</v>
      </c>
      <c r="D151" s="178">
        <f t="shared" si="13"/>
        <v>12.828666666666667</v>
      </c>
      <c r="E151" s="178">
        <v>12.828666666666667</v>
      </c>
      <c r="F151" s="178" t="s">
        <v>1096</v>
      </c>
      <c r="G151" s="178" t="s">
        <v>1096</v>
      </c>
      <c r="H151" s="178"/>
      <c r="I151" s="168" t="s">
        <v>1067</v>
      </c>
    </row>
    <row r="152" spans="1:9" x14ac:dyDescent="0.25">
      <c r="A152" s="175">
        <f t="shared" si="14"/>
        <v>1</v>
      </c>
      <c r="B152" s="175" t="s">
        <v>603</v>
      </c>
      <c r="C152" s="176" t="s">
        <v>131</v>
      </c>
      <c r="D152" s="178">
        <f t="shared" ref="D152:D235" si="15">E152*$D$1</f>
        <v>0.09</v>
      </c>
      <c r="E152" s="178">
        <v>0.09</v>
      </c>
      <c r="F152" s="178" t="s">
        <v>1096</v>
      </c>
      <c r="G152" s="178" t="s">
        <v>1096</v>
      </c>
      <c r="H152" s="178"/>
      <c r="I152" s="168" t="s">
        <v>1067</v>
      </c>
    </row>
    <row r="153" spans="1:9" x14ac:dyDescent="0.25">
      <c r="A153" s="175">
        <f t="shared" si="14"/>
        <v>1</v>
      </c>
      <c r="B153" s="175" t="s">
        <v>604</v>
      </c>
      <c r="C153" s="176" t="s">
        <v>131</v>
      </c>
      <c r="D153" s="178">
        <f t="shared" si="15"/>
        <v>0.2</v>
      </c>
      <c r="E153" s="178">
        <v>0.2</v>
      </c>
      <c r="F153" s="178" t="s">
        <v>1096</v>
      </c>
      <c r="G153" s="178" t="s">
        <v>1096</v>
      </c>
      <c r="H153" s="178"/>
      <c r="I153" s="168" t="s">
        <v>1067</v>
      </c>
    </row>
    <row r="154" spans="1:9" x14ac:dyDescent="0.25">
      <c r="A154" s="175">
        <f t="shared" si="14"/>
        <v>1</v>
      </c>
      <c r="B154" s="175" t="s">
        <v>598</v>
      </c>
      <c r="C154" s="176" t="s">
        <v>25</v>
      </c>
      <c r="D154" s="178">
        <f t="shared" si="15"/>
        <v>7.03</v>
      </c>
      <c r="E154" s="178">
        <v>7.03</v>
      </c>
      <c r="F154" s="178" t="s">
        <v>1096</v>
      </c>
      <c r="G154" s="178" t="s">
        <v>1096</v>
      </c>
      <c r="H154" s="178"/>
      <c r="I154" s="168" t="s">
        <v>1067</v>
      </c>
    </row>
    <row r="155" spans="1:9" x14ac:dyDescent="0.25">
      <c r="A155" s="175">
        <f t="shared" si="14"/>
        <v>1</v>
      </c>
      <c r="B155" s="175" t="s">
        <v>609</v>
      </c>
      <c r="C155" s="176" t="s">
        <v>25</v>
      </c>
      <c r="D155" s="178">
        <f t="shared" si="15"/>
        <v>7.03</v>
      </c>
      <c r="E155" s="178">
        <v>7.03</v>
      </c>
      <c r="F155" s="178" t="s">
        <v>1096</v>
      </c>
      <c r="G155" s="178" t="s">
        <v>1096</v>
      </c>
      <c r="H155" s="178"/>
      <c r="I155" s="168" t="s">
        <v>1067</v>
      </c>
    </row>
    <row r="156" spans="1:9" x14ac:dyDescent="0.25">
      <c r="A156" s="175">
        <f t="shared" si="14"/>
        <v>1</v>
      </c>
      <c r="B156" s="175" t="s">
        <v>606</v>
      </c>
      <c r="C156" s="176" t="s">
        <v>25</v>
      </c>
      <c r="D156" s="178">
        <f t="shared" si="15"/>
        <v>16.8</v>
      </c>
      <c r="E156" s="178">
        <v>16.8</v>
      </c>
      <c r="F156" s="178" t="s">
        <v>1096</v>
      </c>
      <c r="G156" s="178" t="s">
        <v>1096</v>
      </c>
      <c r="H156" s="178"/>
      <c r="I156" s="168" t="s">
        <v>1067</v>
      </c>
    </row>
    <row r="157" spans="1:9" x14ac:dyDescent="0.25">
      <c r="A157" s="175">
        <f t="shared" si="14"/>
        <v>1</v>
      </c>
      <c r="B157" s="175" t="s">
        <v>599</v>
      </c>
      <c r="C157" s="176" t="s">
        <v>25</v>
      </c>
      <c r="D157" s="178">
        <f t="shared" si="15"/>
        <v>7.98</v>
      </c>
      <c r="E157" s="178">
        <v>7.98</v>
      </c>
      <c r="F157" s="178" t="s">
        <v>1096</v>
      </c>
      <c r="G157" s="178" t="s">
        <v>1096</v>
      </c>
      <c r="H157" s="178"/>
      <c r="I157" s="168" t="s">
        <v>1067</v>
      </c>
    </row>
    <row r="158" spans="1:9" x14ac:dyDescent="0.25">
      <c r="A158" s="175">
        <f t="shared" si="14"/>
        <v>1</v>
      </c>
      <c r="B158" s="175" t="s">
        <v>610</v>
      </c>
      <c r="C158" s="176" t="s">
        <v>25</v>
      </c>
      <c r="D158" s="178">
        <f t="shared" si="15"/>
        <v>7.98</v>
      </c>
      <c r="E158" s="178">
        <v>7.98</v>
      </c>
      <c r="F158" s="178" t="s">
        <v>1096</v>
      </c>
      <c r="G158" s="178" t="s">
        <v>1096</v>
      </c>
      <c r="H158" s="178"/>
      <c r="I158" s="168" t="s">
        <v>1067</v>
      </c>
    </row>
    <row r="159" spans="1:9" x14ac:dyDescent="0.25">
      <c r="A159" s="175">
        <f t="shared" si="14"/>
        <v>1</v>
      </c>
      <c r="B159" s="175" t="s">
        <v>607</v>
      </c>
      <c r="C159" s="176" t="s">
        <v>25</v>
      </c>
      <c r="D159" s="178">
        <f t="shared" si="15"/>
        <v>18.09</v>
      </c>
      <c r="E159" s="178">
        <v>18.09</v>
      </c>
      <c r="F159" s="178" t="s">
        <v>1096</v>
      </c>
      <c r="G159" s="178" t="s">
        <v>1096</v>
      </c>
      <c r="H159" s="178"/>
      <c r="I159" s="168" t="s">
        <v>1067</v>
      </c>
    </row>
    <row r="160" spans="1:9" x14ac:dyDescent="0.25">
      <c r="A160" s="175">
        <f t="shared" si="14"/>
        <v>1</v>
      </c>
      <c r="B160" s="175" t="s">
        <v>597</v>
      </c>
      <c r="C160" s="176" t="s">
        <v>131</v>
      </c>
      <c r="D160" s="178">
        <f t="shared" si="15"/>
        <v>0.504</v>
      </c>
      <c r="E160" s="178">
        <v>0.504</v>
      </c>
      <c r="F160" s="178" t="s">
        <v>1096</v>
      </c>
      <c r="G160" s="178" t="s">
        <v>1096</v>
      </c>
      <c r="H160" s="178"/>
      <c r="I160" s="168" t="s">
        <v>1067</v>
      </c>
    </row>
    <row r="161" spans="1:9" x14ac:dyDescent="0.25">
      <c r="A161" s="175">
        <f t="shared" si="14"/>
        <v>1</v>
      </c>
      <c r="B161" s="175" t="s">
        <v>586</v>
      </c>
      <c r="C161" s="176" t="s">
        <v>131</v>
      </c>
      <c r="D161" s="178">
        <f t="shared" si="15"/>
        <v>0.43359999999999999</v>
      </c>
      <c r="E161" s="178">
        <v>0.43359999999999999</v>
      </c>
      <c r="F161" s="178" t="s">
        <v>1096</v>
      </c>
      <c r="G161" s="178" t="s">
        <v>1096</v>
      </c>
      <c r="H161" s="178"/>
      <c r="I161" s="168" t="s">
        <v>1067</v>
      </c>
    </row>
    <row r="162" spans="1:9" x14ac:dyDescent="0.25">
      <c r="A162" s="175">
        <f t="shared" si="14"/>
        <v>1</v>
      </c>
      <c r="B162" s="175" t="s">
        <v>591</v>
      </c>
      <c r="C162" s="176" t="s">
        <v>131</v>
      </c>
      <c r="D162" s="178">
        <f t="shared" si="15"/>
        <v>377.8363900815155</v>
      </c>
      <c r="E162" s="178">
        <v>377.8363900815155</v>
      </c>
      <c r="F162" s="178" t="s">
        <v>1096</v>
      </c>
      <c r="G162" s="178" t="s">
        <v>1096</v>
      </c>
      <c r="H162" s="178"/>
      <c r="I162" s="168" t="s">
        <v>1067</v>
      </c>
    </row>
    <row r="163" spans="1:9" x14ac:dyDescent="0.25">
      <c r="A163" s="175">
        <f t="shared" si="14"/>
        <v>1</v>
      </c>
      <c r="B163" s="175" t="s">
        <v>593</v>
      </c>
      <c r="C163" s="176" t="s">
        <v>131</v>
      </c>
      <c r="D163" s="178">
        <f t="shared" si="15"/>
        <v>58.988734923708691</v>
      </c>
      <c r="E163" s="178">
        <v>58.988734923708691</v>
      </c>
      <c r="F163" s="178" t="s">
        <v>1096</v>
      </c>
      <c r="G163" s="178" t="s">
        <v>1096</v>
      </c>
      <c r="H163" s="178"/>
      <c r="I163" s="168" t="s">
        <v>1067</v>
      </c>
    </row>
    <row r="164" spans="1:9" x14ac:dyDescent="0.25">
      <c r="A164" s="175">
        <f t="shared" si="14"/>
        <v>1</v>
      </c>
      <c r="B164" s="175" t="s">
        <v>884</v>
      </c>
      <c r="C164" s="176" t="s">
        <v>131</v>
      </c>
      <c r="D164" s="178">
        <f t="shared" si="15"/>
        <v>5.17</v>
      </c>
      <c r="E164" s="178">
        <v>5.17</v>
      </c>
      <c r="F164" s="178" t="s">
        <v>1096</v>
      </c>
      <c r="G164" s="178" t="s">
        <v>1096</v>
      </c>
      <c r="H164" s="178"/>
      <c r="I164" s="168" t="s">
        <v>1067</v>
      </c>
    </row>
    <row r="165" spans="1:9" x14ac:dyDescent="0.25">
      <c r="A165" s="175">
        <f t="shared" si="14"/>
        <v>1</v>
      </c>
      <c r="B165" s="175" t="s">
        <v>382</v>
      </c>
      <c r="C165" s="176" t="s">
        <v>13</v>
      </c>
      <c r="D165" s="178">
        <f t="shared" si="15"/>
        <v>44.678759266886331</v>
      </c>
      <c r="E165" s="178">
        <v>44.678759266886331</v>
      </c>
      <c r="F165" s="178" t="s">
        <v>1097</v>
      </c>
      <c r="G165" s="178" t="s">
        <v>1097</v>
      </c>
      <c r="H165" s="178"/>
      <c r="I165" s="168" t="s">
        <v>1098</v>
      </c>
    </row>
    <row r="166" spans="1:9" x14ac:dyDescent="0.25">
      <c r="A166" s="175">
        <f t="shared" si="14"/>
        <v>1</v>
      </c>
      <c r="B166" s="175" t="s">
        <v>375</v>
      </c>
      <c r="C166" s="176" t="s">
        <v>1</v>
      </c>
      <c r="D166" s="178">
        <f t="shared" si="15"/>
        <v>880</v>
      </c>
      <c r="E166" s="178">
        <v>880</v>
      </c>
      <c r="F166" s="178" t="s">
        <v>1097</v>
      </c>
      <c r="G166" s="178" t="s">
        <v>1097</v>
      </c>
      <c r="H166" s="178"/>
      <c r="I166" s="168" t="s">
        <v>1098</v>
      </c>
    </row>
    <row r="167" spans="1:9" x14ac:dyDescent="0.25">
      <c r="A167" s="175">
        <f t="shared" si="14"/>
        <v>1</v>
      </c>
      <c r="B167" s="175" t="s">
        <v>367</v>
      </c>
      <c r="C167" s="176" t="s">
        <v>131</v>
      </c>
      <c r="D167" s="178">
        <f>E167*$D$1</f>
        <v>19</v>
      </c>
      <c r="E167" s="178">
        <v>19</v>
      </c>
      <c r="F167" s="178" t="s">
        <v>1097</v>
      </c>
      <c r="G167" s="178" t="s">
        <v>1097</v>
      </c>
      <c r="H167" s="178"/>
      <c r="I167" s="168" t="s">
        <v>1098</v>
      </c>
    </row>
    <row r="168" spans="1:9" x14ac:dyDescent="0.25">
      <c r="A168" s="175">
        <f t="shared" si="14"/>
        <v>1</v>
      </c>
      <c r="B168" s="175" t="s">
        <v>2391</v>
      </c>
      <c r="C168" s="176" t="s">
        <v>131</v>
      </c>
      <c r="D168" s="178">
        <f t="shared" si="15"/>
        <v>16</v>
      </c>
      <c r="E168" s="178">
        <v>16</v>
      </c>
      <c r="F168" s="178" t="s">
        <v>1097</v>
      </c>
      <c r="G168" s="178" t="s">
        <v>1097</v>
      </c>
      <c r="H168" s="178"/>
      <c r="I168" s="168" t="s">
        <v>1098</v>
      </c>
    </row>
    <row r="169" spans="1:9" x14ac:dyDescent="0.25">
      <c r="A169" s="175">
        <f t="shared" si="14"/>
        <v>1</v>
      </c>
      <c r="B169" s="175" t="s">
        <v>360</v>
      </c>
      <c r="C169" s="176" t="s">
        <v>131</v>
      </c>
      <c r="D169" s="178">
        <f t="shared" si="15"/>
        <v>536.53</v>
      </c>
      <c r="E169" s="178">
        <v>536.53</v>
      </c>
      <c r="F169" s="178" t="s">
        <v>1097</v>
      </c>
      <c r="G169" s="178" t="s">
        <v>1097</v>
      </c>
      <c r="H169" s="178"/>
      <c r="I169" s="168" t="s">
        <v>1098</v>
      </c>
    </row>
    <row r="170" spans="1:9" x14ac:dyDescent="0.25">
      <c r="A170" s="175">
        <f t="shared" si="14"/>
        <v>1</v>
      </c>
      <c r="B170" s="175" t="s">
        <v>361</v>
      </c>
      <c r="C170" s="176" t="s">
        <v>131</v>
      </c>
      <c r="D170" s="178">
        <f t="shared" si="15"/>
        <v>520.85</v>
      </c>
      <c r="E170" s="178">
        <v>520.85</v>
      </c>
      <c r="F170" s="178" t="s">
        <v>1097</v>
      </c>
      <c r="G170" s="178" t="s">
        <v>1097</v>
      </c>
      <c r="H170" s="178"/>
      <c r="I170" s="168" t="s">
        <v>1098</v>
      </c>
    </row>
    <row r="171" spans="1:9" x14ac:dyDescent="0.25">
      <c r="A171" s="175">
        <f t="shared" si="14"/>
        <v>1</v>
      </c>
      <c r="B171" s="175" t="s">
        <v>381</v>
      </c>
      <c r="C171" s="176" t="s">
        <v>131</v>
      </c>
      <c r="D171" s="178">
        <f t="shared" si="15"/>
        <v>33.81</v>
      </c>
      <c r="E171" s="178">
        <v>33.81</v>
      </c>
      <c r="F171" s="178" t="s">
        <v>1097</v>
      </c>
      <c r="G171" s="178" t="s">
        <v>1097</v>
      </c>
      <c r="H171" s="178" t="s">
        <v>2390</v>
      </c>
      <c r="I171" s="168" t="s">
        <v>1098</v>
      </c>
    </row>
    <row r="172" spans="1:9" x14ac:dyDescent="0.25">
      <c r="A172" s="175">
        <f t="shared" si="14"/>
        <v>1</v>
      </c>
      <c r="B172" s="175" t="s">
        <v>379</v>
      </c>
      <c r="C172" s="176" t="s">
        <v>25</v>
      </c>
      <c r="D172" s="178">
        <f t="shared" si="15"/>
        <v>5.2</v>
      </c>
      <c r="E172" s="178">
        <v>5.2</v>
      </c>
      <c r="F172" s="178" t="s">
        <v>1097</v>
      </c>
      <c r="G172" s="178" t="s">
        <v>1097</v>
      </c>
      <c r="H172" s="178"/>
      <c r="I172" s="168" t="s">
        <v>1098</v>
      </c>
    </row>
    <row r="173" spans="1:9" x14ac:dyDescent="0.25">
      <c r="A173" s="175">
        <f t="shared" si="14"/>
        <v>1</v>
      </c>
      <c r="B173" s="175" t="s">
        <v>2036</v>
      </c>
      <c r="C173" s="176" t="s">
        <v>13</v>
      </c>
      <c r="D173" s="178">
        <f>E173*$D$1</f>
        <v>5.7629999999999999</v>
      </c>
      <c r="E173" s="178">
        <f>1728.9/300</f>
        <v>5.7629999999999999</v>
      </c>
      <c r="F173" s="178" t="s">
        <v>1097</v>
      </c>
      <c r="G173" s="178" t="s">
        <v>1097</v>
      </c>
      <c r="H173" s="410" t="s">
        <v>2384</v>
      </c>
      <c r="I173" s="168" t="s">
        <v>1098</v>
      </c>
    </row>
    <row r="174" spans="1:9" x14ac:dyDescent="0.25">
      <c r="A174" s="175">
        <f t="shared" si="14"/>
        <v>1</v>
      </c>
      <c r="B174" s="175" t="s">
        <v>372</v>
      </c>
      <c r="C174" s="176" t="s">
        <v>13</v>
      </c>
      <c r="D174" s="178">
        <f t="shared" si="15"/>
        <v>3.5</v>
      </c>
      <c r="E174" s="178">
        <v>3.5</v>
      </c>
      <c r="F174" s="178" t="s">
        <v>1097</v>
      </c>
      <c r="G174" s="178" t="s">
        <v>1097</v>
      </c>
      <c r="H174" s="178"/>
      <c r="I174" s="168" t="s">
        <v>1098</v>
      </c>
    </row>
    <row r="175" spans="1:9" x14ac:dyDescent="0.25">
      <c r="A175" s="175">
        <f t="shared" si="14"/>
        <v>1</v>
      </c>
      <c r="B175" s="175" t="s">
        <v>370</v>
      </c>
      <c r="C175" s="176" t="s">
        <v>25</v>
      </c>
      <c r="D175" s="178">
        <f t="shared" si="15"/>
        <v>2.73</v>
      </c>
      <c r="E175" s="178">
        <v>2.73</v>
      </c>
      <c r="F175" s="178" t="s">
        <v>1097</v>
      </c>
      <c r="G175" s="178" t="s">
        <v>1097</v>
      </c>
      <c r="H175" s="178"/>
      <c r="I175" s="168" t="s">
        <v>1098</v>
      </c>
    </row>
    <row r="176" spans="1:9" x14ac:dyDescent="0.25">
      <c r="A176" s="175">
        <f t="shared" si="14"/>
        <v>1</v>
      </c>
      <c r="B176" s="175" t="s">
        <v>384</v>
      </c>
      <c r="C176" s="176" t="s">
        <v>127</v>
      </c>
      <c r="D176" s="178">
        <f t="shared" si="15"/>
        <v>6500</v>
      </c>
      <c r="E176" s="178">
        <v>6500</v>
      </c>
      <c r="F176" s="178" t="s">
        <v>1099</v>
      </c>
      <c r="G176" s="178" t="s">
        <v>1099</v>
      </c>
      <c r="H176" s="178"/>
      <c r="I176" s="168" t="s">
        <v>1100</v>
      </c>
    </row>
    <row r="177" spans="1:9" x14ac:dyDescent="0.25">
      <c r="A177" s="175">
        <f t="shared" si="14"/>
        <v>1</v>
      </c>
      <c r="B177" s="175" t="s">
        <v>385</v>
      </c>
      <c r="C177" s="176" t="s">
        <v>127</v>
      </c>
      <c r="D177" s="178">
        <f t="shared" si="15"/>
        <v>900</v>
      </c>
      <c r="E177" s="178">
        <v>900</v>
      </c>
      <c r="F177" s="178" t="s">
        <v>1099</v>
      </c>
      <c r="G177" s="178" t="s">
        <v>1099</v>
      </c>
      <c r="H177" s="178"/>
      <c r="I177" s="168" t="s">
        <v>1100</v>
      </c>
    </row>
    <row r="178" spans="1:9" x14ac:dyDescent="0.25">
      <c r="A178" s="175">
        <f t="shared" si="14"/>
        <v>1</v>
      </c>
      <c r="B178" s="175" t="s">
        <v>388</v>
      </c>
      <c r="C178" s="176" t="s">
        <v>29</v>
      </c>
      <c r="D178" s="178">
        <f t="shared" si="15"/>
        <v>1200</v>
      </c>
      <c r="E178" s="178">
        <v>1200</v>
      </c>
      <c r="F178" s="178" t="s">
        <v>1099</v>
      </c>
      <c r="G178" s="178" t="s">
        <v>1099</v>
      </c>
      <c r="H178" s="178"/>
      <c r="I178" s="168" t="s">
        <v>1100</v>
      </c>
    </row>
    <row r="179" spans="1:9" x14ac:dyDescent="0.25">
      <c r="A179" s="175">
        <f t="shared" si="14"/>
        <v>1</v>
      </c>
      <c r="B179" s="175" t="s">
        <v>426</v>
      </c>
      <c r="C179" s="176" t="s">
        <v>29</v>
      </c>
      <c r="D179" s="178">
        <f t="shared" si="15"/>
        <v>26000</v>
      </c>
      <c r="E179" s="178">
        <v>26000</v>
      </c>
      <c r="F179" s="178" t="s">
        <v>1099</v>
      </c>
      <c r="G179" s="178" t="s">
        <v>1099</v>
      </c>
      <c r="H179" s="178"/>
      <c r="I179" s="168" t="s">
        <v>1100</v>
      </c>
    </row>
    <row r="180" spans="1:9" x14ac:dyDescent="0.25">
      <c r="A180" s="175">
        <f t="shared" si="14"/>
        <v>1</v>
      </c>
      <c r="B180" s="175" t="s">
        <v>2346</v>
      </c>
      <c r="C180" s="176" t="s">
        <v>29</v>
      </c>
      <c r="D180" s="178">
        <f>E180*$D$1</f>
        <v>32000</v>
      </c>
      <c r="E180" s="178">
        <v>32000</v>
      </c>
      <c r="F180" s="178" t="s">
        <v>1099</v>
      </c>
      <c r="G180" s="178" t="s">
        <v>1099</v>
      </c>
      <c r="H180" s="178"/>
      <c r="I180" s="168" t="s">
        <v>1100</v>
      </c>
    </row>
    <row r="181" spans="1:9" x14ac:dyDescent="0.25">
      <c r="A181" s="175">
        <f t="shared" si="14"/>
        <v>1</v>
      </c>
      <c r="B181" s="175" t="s">
        <v>100</v>
      </c>
      <c r="C181" s="176" t="s">
        <v>29</v>
      </c>
      <c r="D181" s="178">
        <f t="shared" si="15"/>
        <v>18500</v>
      </c>
      <c r="E181" s="178">
        <v>18500</v>
      </c>
      <c r="F181" s="178" t="s">
        <v>1099</v>
      </c>
      <c r="G181" s="178" t="s">
        <v>1099</v>
      </c>
      <c r="H181" s="178"/>
      <c r="I181" s="168" t="s">
        <v>1100</v>
      </c>
    </row>
    <row r="182" spans="1:9" x14ac:dyDescent="0.25">
      <c r="A182" s="175">
        <f t="shared" si="14"/>
        <v>1</v>
      </c>
      <c r="B182" s="175" t="s">
        <v>1044</v>
      </c>
      <c r="C182" s="176" t="s">
        <v>127</v>
      </c>
      <c r="D182" s="178">
        <f t="shared" si="15"/>
        <v>1500</v>
      </c>
      <c r="E182" s="178">
        <v>1500</v>
      </c>
      <c r="F182" s="178" t="s">
        <v>1099</v>
      </c>
      <c r="G182" s="178" t="s">
        <v>1099</v>
      </c>
      <c r="H182" s="178"/>
      <c r="I182" s="168" t="s">
        <v>1100</v>
      </c>
    </row>
    <row r="183" spans="1:9" x14ac:dyDescent="0.25">
      <c r="A183" s="175">
        <f t="shared" si="14"/>
        <v>1</v>
      </c>
      <c r="B183" s="175" t="s">
        <v>1025</v>
      </c>
      <c r="C183" s="176" t="s">
        <v>127</v>
      </c>
      <c r="D183" s="178">
        <f t="shared" si="15"/>
        <v>3200</v>
      </c>
      <c r="E183" s="178">
        <v>3200</v>
      </c>
      <c r="F183" s="178" t="s">
        <v>1099</v>
      </c>
      <c r="G183" s="178" t="s">
        <v>1099</v>
      </c>
      <c r="H183" s="178"/>
      <c r="I183" s="168" t="s">
        <v>1100</v>
      </c>
    </row>
    <row r="184" spans="1:9" x14ac:dyDescent="0.25">
      <c r="A184" s="175">
        <f t="shared" si="14"/>
        <v>1</v>
      </c>
      <c r="B184" s="175" t="s">
        <v>407</v>
      </c>
      <c r="C184" s="176" t="s">
        <v>127</v>
      </c>
      <c r="D184" s="178">
        <f t="shared" si="15"/>
        <v>33660</v>
      </c>
      <c r="E184" s="178">
        <v>33660</v>
      </c>
      <c r="F184" s="178" t="s">
        <v>1099</v>
      </c>
      <c r="G184" s="178" t="s">
        <v>1099</v>
      </c>
      <c r="H184" s="178"/>
      <c r="I184" s="168" t="s">
        <v>1100</v>
      </c>
    </row>
    <row r="185" spans="1:9" x14ac:dyDescent="0.25">
      <c r="A185" s="175">
        <f t="shared" si="14"/>
        <v>1</v>
      </c>
      <c r="B185" s="175" t="s">
        <v>409</v>
      </c>
      <c r="C185" s="176" t="s">
        <v>127</v>
      </c>
      <c r="D185" s="178">
        <f t="shared" si="15"/>
        <v>15000</v>
      </c>
      <c r="E185" s="178">
        <v>15000</v>
      </c>
      <c r="F185" s="178" t="s">
        <v>1099</v>
      </c>
      <c r="G185" s="178" t="s">
        <v>1099</v>
      </c>
      <c r="H185" s="178"/>
      <c r="I185" s="168" t="s">
        <v>1100</v>
      </c>
    </row>
    <row r="186" spans="1:9" x14ac:dyDescent="0.25">
      <c r="A186" s="175">
        <f t="shared" si="14"/>
        <v>1</v>
      </c>
      <c r="B186" s="175" t="s">
        <v>533</v>
      </c>
      <c r="C186" s="176" t="s">
        <v>67</v>
      </c>
      <c r="D186" s="178">
        <f t="shared" si="15"/>
        <v>15000</v>
      </c>
      <c r="E186" s="178">
        <v>15000</v>
      </c>
      <c r="F186" s="178" t="s">
        <v>1099</v>
      </c>
      <c r="G186" s="178" t="s">
        <v>1099</v>
      </c>
      <c r="H186" s="178"/>
      <c r="I186" s="168" t="s">
        <v>1100</v>
      </c>
    </row>
    <row r="187" spans="1:9" x14ac:dyDescent="0.25">
      <c r="A187" s="175">
        <f t="shared" si="14"/>
        <v>1</v>
      </c>
      <c r="B187" s="175" t="s">
        <v>371</v>
      </c>
      <c r="C187" s="176" t="s">
        <v>131</v>
      </c>
      <c r="D187" s="178">
        <f t="shared" si="15"/>
        <v>39</v>
      </c>
      <c r="E187" s="178">
        <v>39</v>
      </c>
      <c r="F187" s="178" t="s">
        <v>1099</v>
      </c>
      <c r="G187" s="178" t="s">
        <v>1099</v>
      </c>
      <c r="H187" s="178"/>
      <c r="I187" s="168" t="s">
        <v>1100</v>
      </c>
    </row>
    <row r="188" spans="1:9" x14ac:dyDescent="0.25">
      <c r="A188" s="175">
        <f t="shared" si="14"/>
        <v>1</v>
      </c>
      <c r="B188" s="175" t="s">
        <v>529</v>
      </c>
      <c r="C188" s="176" t="s">
        <v>131</v>
      </c>
      <c r="D188" s="178">
        <f t="shared" si="15"/>
        <v>39</v>
      </c>
      <c r="E188" s="178">
        <v>39</v>
      </c>
      <c r="F188" s="178" t="s">
        <v>1099</v>
      </c>
      <c r="G188" s="178" t="s">
        <v>1099</v>
      </c>
      <c r="H188" s="178"/>
      <c r="I188" s="168" t="s">
        <v>1100</v>
      </c>
    </row>
    <row r="189" spans="1:9" x14ac:dyDescent="0.25">
      <c r="A189" s="175">
        <f t="shared" si="14"/>
        <v>1</v>
      </c>
      <c r="B189" s="175" t="s">
        <v>526</v>
      </c>
      <c r="C189" s="176" t="s">
        <v>1101</v>
      </c>
      <c r="D189" s="178">
        <f t="shared" si="15"/>
        <v>5.3064</v>
      </c>
      <c r="E189" s="178">
        <v>5.3064</v>
      </c>
      <c r="F189" s="178" t="s">
        <v>1099</v>
      </c>
      <c r="G189" s="178" t="s">
        <v>1099</v>
      </c>
      <c r="H189" s="178"/>
      <c r="I189" s="168" t="s">
        <v>1100</v>
      </c>
    </row>
    <row r="190" spans="1:9" x14ac:dyDescent="0.25">
      <c r="A190" s="175">
        <f t="shared" si="14"/>
        <v>1</v>
      </c>
      <c r="B190" s="175" t="s">
        <v>527</v>
      </c>
      <c r="C190" s="176" t="s">
        <v>29</v>
      </c>
      <c r="D190" s="178">
        <f t="shared" si="15"/>
        <v>39432.81</v>
      </c>
      <c r="E190" s="178">
        <v>39432.81</v>
      </c>
      <c r="F190" s="178" t="s">
        <v>1099</v>
      </c>
      <c r="G190" s="178" t="s">
        <v>1099</v>
      </c>
      <c r="H190" s="178"/>
      <c r="I190" s="168" t="s">
        <v>1100</v>
      </c>
    </row>
    <row r="191" spans="1:9" x14ac:dyDescent="0.25">
      <c r="A191" s="175">
        <f t="shared" si="14"/>
        <v>1</v>
      </c>
      <c r="B191" s="175" t="s">
        <v>1036</v>
      </c>
      <c r="C191" s="176" t="s">
        <v>127</v>
      </c>
      <c r="D191" s="178">
        <f t="shared" si="15"/>
        <v>1000</v>
      </c>
      <c r="E191" s="178">
        <v>1000</v>
      </c>
      <c r="F191" s="178" t="s">
        <v>1099</v>
      </c>
      <c r="G191" s="178" t="s">
        <v>1099</v>
      </c>
      <c r="H191" s="178"/>
      <c r="I191" s="168" t="s">
        <v>1100</v>
      </c>
    </row>
    <row r="192" spans="1:9" x14ac:dyDescent="0.25">
      <c r="A192" s="175">
        <f t="shared" si="14"/>
        <v>1</v>
      </c>
      <c r="B192" s="175" t="s">
        <v>1043</v>
      </c>
      <c r="C192" s="176" t="s">
        <v>127</v>
      </c>
      <c r="D192" s="178">
        <f t="shared" si="15"/>
        <v>4000</v>
      </c>
      <c r="E192" s="178">
        <v>4000</v>
      </c>
      <c r="F192" s="178" t="s">
        <v>1099</v>
      </c>
      <c r="G192" s="178" t="s">
        <v>1099</v>
      </c>
      <c r="H192" s="178"/>
      <c r="I192" s="168" t="s">
        <v>1100</v>
      </c>
    </row>
    <row r="193" spans="1:9" x14ac:dyDescent="0.25">
      <c r="A193" s="175">
        <f t="shared" si="14"/>
        <v>1</v>
      </c>
      <c r="B193" s="175" t="s">
        <v>1024</v>
      </c>
      <c r="C193" s="176" t="s">
        <v>127</v>
      </c>
      <c r="D193" s="178">
        <f t="shared" si="15"/>
        <v>1500</v>
      </c>
      <c r="E193" s="178">
        <v>1500</v>
      </c>
      <c r="F193" s="178" t="s">
        <v>1099</v>
      </c>
      <c r="G193" s="178" t="s">
        <v>1099</v>
      </c>
      <c r="H193" s="178"/>
      <c r="I193" s="168" t="s">
        <v>1100</v>
      </c>
    </row>
    <row r="194" spans="1:9" x14ac:dyDescent="0.25">
      <c r="A194" s="175">
        <f t="shared" si="14"/>
        <v>1</v>
      </c>
      <c r="B194" s="175" t="s">
        <v>1037</v>
      </c>
      <c r="C194" s="176" t="s">
        <v>127</v>
      </c>
      <c r="D194" s="178">
        <f t="shared" si="15"/>
        <v>1500</v>
      </c>
      <c r="E194" s="178">
        <v>1500</v>
      </c>
      <c r="F194" s="178" t="s">
        <v>1099</v>
      </c>
      <c r="G194" s="178" t="s">
        <v>1099</v>
      </c>
      <c r="H194" s="178"/>
      <c r="I194" s="168" t="s">
        <v>1100</v>
      </c>
    </row>
    <row r="195" spans="1:9" x14ac:dyDescent="0.25">
      <c r="A195" s="175">
        <f t="shared" si="14"/>
        <v>1</v>
      </c>
      <c r="B195" s="175" t="s">
        <v>1045</v>
      </c>
      <c r="C195" s="176" t="s">
        <v>127</v>
      </c>
      <c r="D195" s="178">
        <f t="shared" si="15"/>
        <v>2000</v>
      </c>
      <c r="E195" s="178">
        <v>2000</v>
      </c>
      <c r="F195" s="178" t="s">
        <v>1099</v>
      </c>
      <c r="G195" s="178" t="s">
        <v>1099</v>
      </c>
      <c r="H195" s="178"/>
      <c r="I195" s="168" t="s">
        <v>1100</v>
      </c>
    </row>
    <row r="196" spans="1:9" x14ac:dyDescent="0.25">
      <c r="A196" s="175">
        <f t="shared" si="14"/>
        <v>1</v>
      </c>
      <c r="B196" s="175" t="s">
        <v>410</v>
      </c>
      <c r="C196" s="176" t="s">
        <v>127</v>
      </c>
      <c r="D196" s="178">
        <f t="shared" si="15"/>
        <v>7000</v>
      </c>
      <c r="E196" s="178">
        <v>7000</v>
      </c>
      <c r="F196" s="178" t="s">
        <v>1099</v>
      </c>
      <c r="G196" s="178" t="s">
        <v>1099</v>
      </c>
      <c r="H196" s="178"/>
      <c r="I196" s="168" t="s">
        <v>1100</v>
      </c>
    </row>
    <row r="197" spans="1:9" x14ac:dyDescent="0.25">
      <c r="A197" s="175">
        <f t="shared" si="14"/>
        <v>1</v>
      </c>
      <c r="B197" s="175" t="s">
        <v>408</v>
      </c>
      <c r="C197" s="176" t="s">
        <v>127</v>
      </c>
      <c r="D197" s="178">
        <f t="shared" si="15"/>
        <v>32270</v>
      </c>
      <c r="E197" s="178">
        <v>32270</v>
      </c>
      <c r="F197" s="178" t="s">
        <v>1099</v>
      </c>
      <c r="G197" s="178" t="s">
        <v>1099</v>
      </c>
      <c r="H197" s="178"/>
      <c r="I197" s="168" t="s">
        <v>1100</v>
      </c>
    </row>
    <row r="198" spans="1:9" x14ac:dyDescent="0.25">
      <c r="A198" s="175">
        <f t="shared" ref="A198" si="16">COUNTIFS($B$2:$B$764,B198)</f>
        <v>1</v>
      </c>
      <c r="B198" s="175" t="s">
        <v>6954</v>
      </c>
      <c r="C198" s="176" t="s">
        <v>13</v>
      </c>
      <c r="D198" s="178">
        <f t="shared" ref="D198" si="17">E198*$D$1</f>
        <v>1350</v>
      </c>
      <c r="E198" s="178">
        <v>1350</v>
      </c>
      <c r="F198" s="178" t="s">
        <v>1102</v>
      </c>
      <c r="G198" s="178" t="s">
        <v>1103</v>
      </c>
      <c r="H198" s="178"/>
      <c r="I198" s="168" t="s">
        <v>1104</v>
      </c>
    </row>
    <row r="199" spans="1:9" x14ac:dyDescent="0.25">
      <c r="A199" s="175">
        <f t="shared" si="14"/>
        <v>1</v>
      </c>
      <c r="B199" s="175" t="s">
        <v>6956</v>
      </c>
      <c r="C199" s="176" t="s">
        <v>13</v>
      </c>
      <c r="D199" s="178">
        <f t="shared" si="15"/>
        <v>980</v>
      </c>
      <c r="E199" s="178">
        <v>980</v>
      </c>
      <c r="F199" s="178" t="s">
        <v>1102</v>
      </c>
      <c r="G199" s="178" t="s">
        <v>1103</v>
      </c>
      <c r="H199" s="178"/>
      <c r="I199" s="168" t="s">
        <v>1104</v>
      </c>
    </row>
    <row r="200" spans="1:9" x14ac:dyDescent="0.25">
      <c r="A200" s="175">
        <f t="shared" ref="A200" si="18">COUNTIFS($B$2:$B$764,B200)</f>
        <v>1</v>
      </c>
      <c r="B200" s="175" t="s">
        <v>6957</v>
      </c>
      <c r="C200" s="176" t="s">
        <v>13</v>
      </c>
      <c r="D200" s="178">
        <f t="shared" ref="D200" si="19">E200*$D$1</f>
        <v>1350</v>
      </c>
      <c r="E200" s="178">
        <v>1350</v>
      </c>
      <c r="F200" s="178" t="s">
        <v>1102</v>
      </c>
      <c r="G200" s="178" t="s">
        <v>1103</v>
      </c>
      <c r="H200" s="178"/>
      <c r="I200" s="168" t="s">
        <v>1104</v>
      </c>
    </row>
    <row r="201" spans="1:9" x14ac:dyDescent="0.25">
      <c r="A201" s="175">
        <f t="shared" si="14"/>
        <v>1</v>
      </c>
      <c r="B201" s="175" t="s">
        <v>63</v>
      </c>
      <c r="C201" s="176" t="s">
        <v>13</v>
      </c>
      <c r="D201" s="178">
        <f t="shared" si="15"/>
        <v>1350</v>
      </c>
      <c r="E201" s="178">
        <v>1350</v>
      </c>
      <c r="F201" s="178" t="s">
        <v>1102</v>
      </c>
      <c r="G201" s="178" t="s">
        <v>1103</v>
      </c>
      <c r="H201" s="178"/>
      <c r="I201" s="168" t="s">
        <v>1104</v>
      </c>
    </row>
    <row r="202" spans="1:9" x14ac:dyDescent="0.25">
      <c r="A202" s="175">
        <f t="shared" si="14"/>
        <v>1</v>
      </c>
      <c r="B202" s="175" t="s">
        <v>848</v>
      </c>
      <c r="C202" s="176" t="s">
        <v>13</v>
      </c>
      <c r="D202" s="178">
        <f t="shared" si="15"/>
        <v>599.91</v>
      </c>
      <c r="E202" s="178">
        <v>599.91</v>
      </c>
      <c r="F202" s="178" t="s">
        <v>1102</v>
      </c>
      <c r="G202" s="178" t="s">
        <v>1103</v>
      </c>
      <c r="H202" s="178"/>
      <c r="I202" s="168" t="s">
        <v>1104</v>
      </c>
    </row>
    <row r="203" spans="1:9" x14ac:dyDescent="0.25">
      <c r="A203" s="175">
        <f t="shared" ref="A203:A269" si="20">COUNTIFS($B$2:$B$764,B203)</f>
        <v>1</v>
      </c>
      <c r="B203" s="175" t="s">
        <v>4779</v>
      </c>
      <c r="C203" s="176" t="s">
        <v>13</v>
      </c>
      <c r="D203" s="178">
        <f t="shared" ref="D203" si="21">E203*$D$1</f>
        <v>850</v>
      </c>
      <c r="E203" s="178">
        <v>850</v>
      </c>
      <c r="F203" s="178" t="s">
        <v>1102</v>
      </c>
      <c r="G203" s="178" t="s">
        <v>1103</v>
      </c>
      <c r="H203" s="178"/>
      <c r="I203" s="168" t="s">
        <v>1104</v>
      </c>
    </row>
    <row r="204" spans="1:9" x14ac:dyDescent="0.25">
      <c r="A204" s="175">
        <f t="shared" si="20"/>
        <v>1</v>
      </c>
      <c r="B204" s="175" t="s">
        <v>847</v>
      </c>
      <c r="C204" s="176" t="s">
        <v>13</v>
      </c>
      <c r="D204" s="178">
        <f t="shared" si="15"/>
        <v>935.99</v>
      </c>
      <c r="E204" s="178">
        <v>935.99</v>
      </c>
      <c r="F204" s="178" t="s">
        <v>1102</v>
      </c>
      <c r="G204" s="178" t="s">
        <v>1103</v>
      </c>
      <c r="H204" s="178"/>
      <c r="I204" s="168" t="s">
        <v>1104</v>
      </c>
    </row>
    <row r="205" spans="1:9" x14ac:dyDescent="0.25">
      <c r="A205" s="175">
        <f t="shared" si="20"/>
        <v>1</v>
      </c>
      <c r="B205" s="175" t="s">
        <v>851</v>
      </c>
      <c r="C205" s="176" t="s">
        <v>25</v>
      </c>
      <c r="D205" s="178">
        <f t="shared" si="15"/>
        <v>530</v>
      </c>
      <c r="E205" s="178">
        <v>530</v>
      </c>
      <c r="F205" s="178" t="s">
        <v>1102</v>
      </c>
      <c r="G205" s="178" t="s">
        <v>1103</v>
      </c>
      <c r="H205" s="178"/>
      <c r="I205" s="168" t="s">
        <v>1104</v>
      </c>
    </row>
    <row r="206" spans="1:9" x14ac:dyDescent="0.25">
      <c r="A206" s="175">
        <f t="shared" si="20"/>
        <v>1</v>
      </c>
      <c r="B206" s="175" t="s">
        <v>849</v>
      </c>
      <c r="C206" s="176" t="s">
        <v>2</v>
      </c>
      <c r="D206" s="178">
        <f t="shared" si="15"/>
        <v>1014</v>
      </c>
      <c r="E206" s="178">
        <v>1014</v>
      </c>
      <c r="F206" s="178" t="s">
        <v>1102</v>
      </c>
      <c r="G206" s="178" t="s">
        <v>1103</v>
      </c>
      <c r="H206" s="178"/>
      <c r="I206" s="168" t="s">
        <v>1105</v>
      </c>
    </row>
    <row r="207" spans="1:9" x14ac:dyDescent="0.25">
      <c r="A207" s="175">
        <f t="shared" si="20"/>
        <v>1</v>
      </c>
      <c r="B207" s="175" t="s">
        <v>2875</v>
      </c>
      <c r="C207" s="176" t="s">
        <v>13</v>
      </c>
      <c r="D207" s="178">
        <f t="shared" si="15"/>
        <v>1200</v>
      </c>
      <c r="E207" s="178">
        <v>1200</v>
      </c>
      <c r="F207" s="178" t="s">
        <v>1102</v>
      </c>
      <c r="G207" s="178" t="s">
        <v>1103</v>
      </c>
      <c r="H207" s="178"/>
      <c r="I207" s="168" t="s">
        <v>1104</v>
      </c>
    </row>
    <row r="208" spans="1:9" x14ac:dyDescent="0.25">
      <c r="A208" s="175">
        <f t="shared" si="20"/>
        <v>1</v>
      </c>
      <c r="B208" s="175" t="s">
        <v>6612</v>
      </c>
      <c r="C208" s="176" t="s">
        <v>13</v>
      </c>
      <c r="D208" s="178">
        <f t="shared" si="15"/>
        <v>950</v>
      </c>
      <c r="E208" s="178">
        <v>950</v>
      </c>
      <c r="F208" s="178" t="s">
        <v>1102</v>
      </c>
      <c r="G208" s="178" t="s">
        <v>1103</v>
      </c>
      <c r="H208" s="178"/>
      <c r="I208" s="168" t="s">
        <v>1104</v>
      </c>
    </row>
    <row r="209" spans="1:9" x14ac:dyDescent="0.25">
      <c r="A209" s="175">
        <f t="shared" si="20"/>
        <v>1</v>
      </c>
      <c r="B209" s="175" t="s">
        <v>6611</v>
      </c>
      <c r="C209" s="176" t="s">
        <v>13</v>
      </c>
      <c r="D209" s="178">
        <f t="shared" ref="D209" si="22">E209*$D$1</f>
        <v>860</v>
      </c>
      <c r="E209" s="178">
        <v>860</v>
      </c>
      <c r="F209" s="178" t="s">
        <v>1102</v>
      </c>
      <c r="G209" s="178" t="s">
        <v>1103</v>
      </c>
      <c r="H209" s="178"/>
      <c r="I209" s="168" t="s">
        <v>1104</v>
      </c>
    </row>
    <row r="210" spans="1:9" x14ac:dyDescent="0.25">
      <c r="A210" s="175">
        <f t="shared" si="20"/>
        <v>1</v>
      </c>
      <c r="B210" s="175" t="s">
        <v>846</v>
      </c>
      <c r="C210" s="176" t="s">
        <v>13</v>
      </c>
      <c r="D210" s="178">
        <f t="shared" si="15"/>
        <v>1415.0275930380642</v>
      </c>
      <c r="E210" s="178">
        <v>1415.0275930380642</v>
      </c>
      <c r="F210" s="178" t="s">
        <v>1102</v>
      </c>
      <c r="G210" s="178" t="s">
        <v>1103</v>
      </c>
      <c r="H210" s="178"/>
      <c r="I210" s="168" t="s">
        <v>1104</v>
      </c>
    </row>
    <row r="211" spans="1:9" x14ac:dyDescent="0.25">
      <c r="A211" s="175">
        <f t="shared" ref="A211" si="23">COUNTIFS($B$2:$B$764,B211)</f>
        <v>1</v>
      </c>
      <c r="B211" s="175" t="s">
        <v>6930</v>
      </c>
      <c r="C211" s="176" t="s">
        <v>25</v>
      </c>
      <c r="D211" s="178">
        <f t="shared" ref="D211" si="24">E211*$D$1</f>
        <v>98.79</v>
      </c>
      <c r="E211" s="178">
        <v>98.79</v>
      </c>
      <c r="F211" s="178" t="s">
        <v>1102</v>
      </c>
      <c r="G211" s="178" t="s">
        <v>6931</v>
      </c>
      <c r="H211" s="178"/>
      <c r="I211" s="168" t="s">
        <v>1105</v>
      </c>
    </row>
    <row r="212" spans="1:9" x14ac:dyDescent="0.25">
      <c r="A212" s="175">
        <f t="shared" si="20"/>
        <v>1</v>
      </c>
      <c r="B212" s="175" t="s">
        <v>854</v>
      </c>
      <c r="C212" s="176" t="s">
        <v>25</v>
      </c>
      <c r="D212" s="178">
        <f t="shared" si="15"/>
        <v>650</v>
      </c>
      <c r="E212" s="178">
        <v>650</v>
      </c>
      <c r="F212" s="178" t="s">
        <v>1102</v>
      </c>
      <c r="G212" s="178" t="s">
        <v>1106</v>
      </c>
      <c r="H212" s="178"/>
      <c r="I212" s="168" t="s">
        <v>1104</v>
      </c>
    </row>
    <row r="213" spans="1:9" x14ac:dyDescent="0.25">
      <c r="A213" s="175">
        <f t="shared" si="20"/>
        <v>1</v>
      </c>
      <c r="B213" s="175" t="s">
        <v>853</v>
      </c>
      <c r="C213" s="176" t="s">
        <v>25</v>
      </c>
      <c r="D213" s="178">
        <f>E213*$D$1</f>
        <v>80</v>
      </c>
      <c r="E213" s="178">
        <v>80</v>
      </c>
      <c r="F213" s="178" t="s">
        <v>1102</v>
      </c>
      <c r="G213" s="178" t="s">
        <v>1107</v>
      </c>
      <c r="H213" s="178"/>
      <c r="I213" s="168" t="s">
        <v>1108</v>
      </c>
    </row>
    <row r="214" spans="1:9" x14ac:dyDescent="0.25">
      <c r="A214" s="175">
        <f t="shared" si="20"/>
        <v>1</v>
      </c>
      <c r="B214" s="175" t="s">
        <v>1847</v>
      </c>
      <c r="C214" s="176" t="s">
        <v>13</v>
      </c>
      <c r="D214" s="178">
        <f t="shared" si="15"/>
        <v>1031.7460317460318</v>
      </c>
      <c r="E214" s="178">
        <v>1031.7460317460318</v>
      </c>
      <c r="F214" s="178" t="s">
        <v>1102</v>
      </c>
      <c r="G214" s="178" t="s">
        <v>1107</v>
      </c>
      <c r="H214" s="178"/>
      <c r="I214" s="168" t="s">
        <v>1108</v>
      </c>
    </row>
    <row r="215" spans="1:9" x14ac:dyDescent="0.25">
      <c r="A215" s="175">
        <f t="shared" si="20"/>
        <v>1</v>
      </c>
      <c r="B215" s="175" t="s">
        <v>1109</v>
      </c>
      <c r="C215" s="176" t="s">
        <v>13</v>
      </c>
      <c r="D215" s="178">
        <f t="shared" si="15"/>
        <v>1300</v>
      </c>
      <c r="E215" s="178">
        <v>1300</v>
      </c>
      <c r="F215" s="178" t="s">
        <v>1102</v>
      </c>
      <c r="G215" s="178" t="s">
        <v>1107</v>
      </c>
      <c r="H215" s="178"/>
      <c r="I215" s="168" t="s">
        <v>1108</v>
      </c>
    </row>
    <row r="216" spans="1:9" x14ac:dyDescent="0.25">
      <c r="A216" s="175">
        <f t="shared" si="20"/>
        <v>1</v>
      </c>
      <c r="B216" s="175" t="s">
        <v>873</v>
      </c>
      <c r="C216" s="176" t="s">
        <v>13</v>
      </c>
      <c r="D216" s="178">
        <f>E216*$D$1</f>
        <v>1300</v>
      </c>
      <c r="E216" s="178">
        <v>1300</v>
      </c>
      <c r="F216" s="178" t="s">
        <v>1102</v>
      </c>
      <c r="G216" s="178" t="s">
        <v>1107</v>
      </c>
      <c r="H216" s="178"/>
      <c r="I216" s="168" t="s">
        <v>1108</v>
      </c>
    </row>
    <row r="217" spans="1:9" x14ac:dyDescent="0.25">
      <c r="A217" s="175">
        <f t="shared" si="20"/>
        <v>1</v>
      </c>
      <c r="B217" s="175" t="s">
        <v>1844</v>
      </c>
      <c r="C217" s="176" t="s">
        <v>13</v>
      </c>
      <c r="D217" s="178">
        <f t="shared" si="15"/>
        <v>1300</v>
      </c>
      <c r="E217" s="178">
        <v>1300</v>
      </c>
      <c r="F217" s="178" t="s">
        <v>1102</v>
      </c>
      <c r="G217" s="178" t="s">
        <v>1107</v>
      </c>
      <c r="H217" s="178"/>
      <c r="I217" s="168" t="s">
        <v>1108</v>
      </c>
    </row>
    <row r="218" spans="1:9" x14ac:dyDescent="0.25">
      <c r="A218" s="175">
        <f t="shared" si="20"/>
        <v>1</v>
      </c>
      <c r="B218" s="175" t="s">
        <v>876</v>
      </c>
      <c r="C218" s="176" t="s">
        <v>13</v>
      </c>
      <c r="D218" s="178">
        <f t="shared" si="15"/>
        <v>1358.5</v>
      </c>
      <c r="E218" s="178">
        <v>1358.5</v>
      </c>
      <c r="F218" s="178" t="s">
        <v>1102</v>
      </c>
      <c r="G218" s="178" t="s">
        <v>1107</v>
      </c>
      <c r="H218" s="178"/>
      <c r="I218" s="168" t="s">
        <v>1108</v>
      </c>
    </row>
    <row r="219" spans="1:9" x14ac:dyDescent="0.25">
      <c r="A219" s="175">
        <f t="shared" si="20"/>
        <v>1</v>
      </c>
      <c r="B219" s="175" t="s">
        <v>1985</v>
      </c>
      <c r="C219" s="176" t="s">
        <v>13</v>
      </c>
      <c r="D219" s="178">
        <f>E219*$D$1</f>
        <v>1000</v>
      </c>
      <c r="E219" s="178">
        <v>1000</v>
      </c>
      <c r="F219" s="178" t="s">
        <v>1102</v>
      </c>
      <c r="G219" s="178" t="s">
        <v>1107</v>
      </c>
      <c r="H219" s="178"/>
      <c r="I219" s="168" t="s">
        <v>1108</v>
      </c>
    </row>
    <row r="220" spans="1:9" x14ac:dyDescent="0.25">
      <c r="A220" s="175">
        <f t="shared" si="20"/>
        <v>1</v>
      </c>
      <c r="B220" s="175" t="s">
        <v>865</v>
      </c>
      <c r="C220" s="176" t="s">
        <v>13</v>
      </c>
      <c r="D220" s="178">
        <f t="shared" si="15"/>
        <v>1300</v>
      </c>
      <c r="E220" s="178">
        <v>1300</v>
      </c>
      <c r="F220" s="178" t="s">
        <v>1102</v>
      </c>
      <c r="G220" s="178" t="s">
        <v>1107</v>
      </c>
      <c r="H220" s="178"/>
      <c r="I220" s="168" t="s">
        <v>1108</v>
      </c>
    </row>
    <row r="221" spans="1:9" x14ac:dyDescent="0.25">
      <c r="A221" s="175">
        <f t="shared" si="20"/>
        <v>1</v>
      </c>
      <c r="B221" s="175" t="s">
        <v>856</v>
      </c>
      <c r="C221" s="176" t="s">
        <v>13</v>
      </c>
      <c r="D221" s="178">
        <f t="shared" si="15"/>
        <v>1300</v>
      </c>
      <c r="E221" s="178">
        <v>1300</v>
      </c>
      <c r="F221" s="178" t="s">
        <v>1102</v>
      </c>
      <c r="G221" s="178" t="s">
        <v>1107</v>
      </c>
      <c r="H221" s="178"/>
      <c r="I221" s="168" t="s">
        <v>1108</v>
      </c>
    </row>
    <row r="222" spans="1:9" x14ac:dyDescent="0.25">
      <c r="A222" s="175">
        <f t="shared" si="20"/>
        <v>1</v>
      </c>
      <c r="B222" s="175" t="s">
        <v>859</v>
      </c>
      <c r="C222" s="176" t="s">
        <v>13</v>
      </c>
      <c r="D222" s="178">
        <f t="shared" si="15"/>
        <v>1300</v>
      </c>
      <c r="E222" s="178">
        <v>1300</v>
      </c>
      <c r="F222" s="178" t="s">
        <v>1102</v>
      </c>
      <c r="G222" s="178" t="s">
        <v>1107</v>
      </c>
      <c r="H222" s="178"/>
      <c r="I222" s="168" t="s">
        <v>1108</v>
      </c>
    </row>
    <row r="223" spans="1:9" x14ac:dyDescent="0.25">
      <c r="A223" s="175">
        <f t="shared" si="20"/>
        <v>1</v>
      </c>
      <c r="B223" s="175" t="s">
        <v>869</v>
      </c>
      <c r="C223" s="176" t="s">
        <v>13</v>
      </c>
      <c r="D223" s="178">
        <f t="shared" si="15"/>
        <v>1300</v>
      </c>
      <c r="E223" s="178">
        <v>1300</v>
      </c>
      <c r="F223" s="178" t="s">
        <v>1102</v>
      </c>
      <c r="G223" s="178" t="s">
        <v>1107</v>
      </c>
      <c r="H223" s="178"/>
      <c r="I223" s="168" t="s">
        <v>1108</v>
      </c>
    </row>
    <row r="224" spans="1:9" x14ac:dyDescent="0.25">
      <c r="A224" s="175">
        <f t="shared" si="20"/>
        <v>1</v>
      </c>
      <c r="B224" s="175" t="s">
        <v>861</v>
      </c>
      <c r="C224" s="176" t="s">
        <v>13</v>
      </c>
      <c r="D224" s="178">
        <f t="shared" si="15"/>
        <v>1300</v>
      </c>
      <c r="E224" s="178">
        <v>1300</v>
      </c>
      <c r="F224" s="178" t="s">
        <v>1102</v>
      </c>
      <c r="G224" s="178" t="s">
        <v>1107</v>
      </c>
      <c r="H224" s="178"/>
      <c r="I224" s="168" t="s">
        <v>1108</v>
      </c>
    </row>
    <row r="225" spans="1:9" x14ac:dyDescent="0.25">
      <c r="A225" s="175">
        <f t="shared" si="20"/>
        <v>1</v>
      </c>
      <c r="B225" s="175" t="s">
        <v>867</v>
      </c>
      <c r="C225" s="176" t="s">
        <v>13</v>
      </c>
      <c r="D225" s="178">
        <f t="shared" si="15"/>
        <v>1300</v>
      </c>
      <c r="E225" s="178">
        <v>1300</v>
      </c>
      <c r="F225" s="178" t="s">
        <v>1102</v>
      </c>
      <c r="G225" s="178" t="s">
        <v>1107</v>
      </c>
      <c r="H225" s="178"/>
      <c r="I225" s="168" t="s">
        <v>1108</v>
      </c>
    </row>
    <row r="226" spans="1:9" x14ac:dyDescent="0.25">
      <c r="A226" s="175">
        <f t="shared" si="20"/>
        <v>1</v>
      </c>
      <c r="B226" s="175" t="s">
        <v>863</v>
      </c>
      <c r="C226" s="176" t="s">
        <v>13</v>
      </c>
      <c r="D226" s="178">
        <f t="shared" si="15"/>
        <v>1300</v>
      </c>
      <c r="E226" s="178">
        <v>1300</v>
      </c>
      <c r="F226" s="178" t="s">
        <v>1102</v>
      </c>
      <c r="G226" s="178" t="s">
        <v>1107</v>
      </c>
      <c r="H226" s="178"/>
      <c r="I226" s="168" t="s">
        <v>1108</v>
      </c>
    </row>
    <row r="227" spans="1:9" x14ac:dyDescent="0.25">
      <c r="A227" s="175">
        <f t="shared" si="20"/>
        <v>1</v>
      </c>
      <c r="B227" s="175" t="s">
        <v>1846</v>
      </c>
      <c r="C227" s="176" t="s">
        <v>13</v>
      </c>
      <c r="D227" s="178">
        <f t="shared" ref="D227:D232" si="25">E227*$D$1</f>
        <v>1358.5</v>
      </c>
      <c r="E227" s="178">
        <v>1358.5</v>
      </c>
      <c r="F227" s="178" t="s">
        <v>1102</v>
      </c>
      <c r="G227" s="178" t="s">
        <v>1107</v>
      </c>
      <c r="H227" s="178"/>
      <c r="I227" s="168" t="s">
        <v>1108</v>
      </c>
    </row>
    <row r="228" spans="1:9" x14ac:dyDescent="0.25">
      <c r="A228" s="175">
        <f t="shared" si="20"/>
        <v>1</v>
      </c>
      <c r="B228" s="175" t="s">
        <v>2868</v>
      </c>
      <c r="C228" s="176" t="s">
        <v>13</v>
      </c>
      <c r="D228" s="178">
        <f t="shared" si="25"/>
        <v>1358.5</v>
      </c>
      <c r="E228" s="178">
        <v>1358.5</v>
      </c>
      <c r="F228" s="178" t="s">
        <v>1102</v>
      </c>
      <c r="G228" s="178" t="s">
        <v>1107</v>
      </c>
      <c r="H228" s="178"/>
      <c r="I228" s="168" t="s">
        <v>1108</v>
      </c>
    </row>
    <row r="229" spans="1:9" x14ac:dyDescent="0.25">
      <c r="A229" s="175">
        <f t="shared" si="20"/>
        <v>1</v>
      </c>
      <c r="B229" s="175" t="s">
        <v>2871</v>
      </c>
      <c r="C229" s="176" t="s">
        <v>13</v>
      </c>
      <c r="D229" s="178">
        <f t="shared" si="25"/>
        <v>1494.3500000000001</v>
      </c>
      <c r="E229" s="178">
        <f>1358.5*1.1</f>
        <v>1494.3500000000001</v>
      </c>
      <c r="F229" s="178" t="s">
        <v>1102</v>
      </c>
      <c r="G229" s="178" t="s">
        <v>1107</v>
      </c>
      <c r="H229" s="178"/>
      <c r="I229" s="168" t="s">
        <v>1108</v>
      </c>
    </row>
    <row r="230" spans="1:9" x14ac:dyDescent="0.25">
      <c r="A230" s="175">
        <f t="shared" si="20"/>
        <v>1</v>
      </c>
      <c r="B230" s="175" t="s">
        <v>2872</v>
      </c>
      <c r="C230" s="176" t="s">
        <v>13</v>
      </c>
      <c r="D230" s="178">
        <f t="shared" si="25"/>
        <v>1494.3500000000001</v>
      </c>
      <c r="E230" s="178">
        <f>1358.5*1.1</f>
        <v>1494.3500000000001</v>
      </c>
      <c r="F230" s="178" t="s">
        <v>1102</v>
      </c>
      <c r="G230" s="178" t="s">
        <v>1107</v>
      </c>
      <c r="H230" s="178"/>
      <c r="I230" s="168" t="s">
        <v>1108</v>
      </c>
    </row>
    <row r="231" spans="1:9" x14ac:dyDescent="0.25">
      <c r="A231" s="175">
        <f t="shared" si="20"/>
        <v>1</v>
      </c>
      <c r="B231" s="175" t="s">
        <v>4841</v>
      </c>
      <c r="C231" s="176" t="s">
        <v>13</v>
      </c>
      <c r="D231" s="178">
        <f t="shared" si="25"/>
        <v>1833.9750000000001</v>
      </c>
      <c r="E231" s="178">
        <f>1358.5*1.35</f>
        <v>1833.9750000000001</v>
      </c>
      <c r="F231" s="178" t="s">
        <v>1102</v>
      </c>
      <c r="G231" s="178" t="s">
        <v>1107</v>
      </c>
      <c r="H231" s="178"/>
      <c r="I231" s="168" t="s">
        <v>1108</v>
      </c>
    </row>
    <row r="232" spans="1:9" x14ac:dyDescent="0.25">
      <c r="A232" s="175">
        <f t="shared" si="20"/>
        <v>1</v>
      </c>
      <c r="B232" s="175" t="s">
        <v>4842</v>
      </c>
      <c r="C232" s="176" t="s">
        <v>13</v>
      </c>
      <c r="D232" s="178">
        <f t="shared" si="25"/>
        <v>2037.75</v>
      </c>
      <c r="E232" s="178">
        <f>1358.5*1.5</f>
        <v>2037.75</v>
      </c>
      <c r="F232" s="178" t="s">
        <v>1102</v>
      </c>
      <c r="G232" s="178" t="s">
        <v>1107</v>
      </c>
      <c r="H232" s="178"/>
      <c r="I232" s="168" t="s">
        <v>1108</v>
      </c>
    </row>
    <row r="233" spans="1:9" x14ac:dyDescent="0.25">
      <c r="A233" s="175">
        <f t="shared" si="20"/>
        <v>1</v>
      </c>
      <c r="B233" s="175" t="s">
        <v>871</v>
      </c>
      <c r="C233" s="176" t="s">
        <v>13</v>
      </c>
      <c r="D233" s="178">
        <f t="shared" si="15"/>
        <v>1300</v>
      </c>
      <c r="E233" s="178">
        <v>1300</v>
      </c>
      <c r="F233" s="178" t="s">
        <v>1102</v>
      </c>
      <c r="G233" s="178" t="s">
        <v>1107</v>
      </c>
      <c r="H233" s="178"/>
      <c r="I233" s="168" t="s">
        <v>1108</v>
      </c>
    </row>
    <row r="234" spans="1:9" x14ac:dyDescent="0.25">
      <c r="A234" s="175">
        <f t="shared" si="20"/>
        <v>1</v>
      </c>
      <c r="B234" s="175" t="s">
        <v>271</v>
      </c>
      <c r="C234" s="176" t="s">
        <v>13</v>
      </c>
      <c r="D234" s="178">
        <f t="shared" si="15"/>
        <v>1014</v>
      </c>
      <c r="E234" s="178">
        <v>1014</v>
      </c>
      <c r="F234" s="178" t="s">
        <v>1102</v>
      </c>
      <c r="G234" s="178" t="s">
        <v>1110</v>
      </c>
      <c r="H234" s="178"/>
      <c r="I234" s="168" t="s">
        <v>1111</v>
      </c>
    </row>
    <row r="235" spans="1:9" x14ac:dyDescent="0.25">
      <c r="A235" s="175">
        <f t="shared" si="20"/>
        <v>1</v>
      </c>
      <c r="B235" s="175" t="s">
        <v>262</v>
      </c>
      <c r="C235" s="176" t="s">
        <v>13</v>
      </c>
      <c r="D235" s="178">
        <f t="shared" si="15"/>
        <v>1533.99</v>
      </c>
      <c r="E235" s="178">
        <v>1533.99</v>
      </c>
      <c r="F235" s="178" t="s">
        <v>1102</v>
      </c>
      <c r="G235" s="178" t="s">
        <v>1110</v>
      </c>
      <c r="H235" s="178"/>
      <c r="I235" s="168" t="s">
        <v>1111</v>
      </c>
    </row>
    <row r="236" spans="1:9" x14ac:dyDescent="0.25">
      <c r="A236" s="175">
        <f t="shared" si="20"/>
        <v>1</v>
      </c>
      <c r="B236" s="175" t="s">
        <v>850</v>
      </c>
      <c r="C236" s="176" t="s">
        <v>13</v>
      </c>
      <c r="D236" s="178">
        <f t="shared" ref="D236:D328" si="26">E236*$D$1</f>
        <v>3893.2833333333333</v>
      </c>
      <c r="E236" s="178">
        <v>3893.2833333333333</v>
      </c>
      <c r="F236" s="178" t="s">
        <v>1102</v>
      </c>
      <c r="G236" s="178" t="s">
        <v>1110</v>
      </c>
      <c r="H236" s="178"/>
      <c r="I236" s="168" t="s">
        <v>1111</v>
      </c>
    </row>
    <row r="237" spans="1:9" x14ac:dyDescent="0.25">
      <c r="A237" s="175">
        <f t="shared" si="20"/>
        <v>1</v>
      </c>
      <c r="B237" s="175" t="s">
        <v>756</v>
      </c>
      <c r="C237" s="176" t="s">
        <v>13</v>
      </c>
      <c r="D237" s="178">
        <f t="shared" si="26"/>
        <v>568.92672413793116</v>
      </c>
      <c r="E237" s="178">
        <v>568.92672413793116</v>
      </c>
      <c r="F237" s="178" t="s">
        <v>1102</v>
      </c>
      <c r="G237" s="178" t="s">
        <v>1112</v>
      </c>
      <c r="H237" s="178"/>
    </row>
    <row r="238" spans="1:9" x14ac:dyDescent="0.25">
      <c r="A238" s="175">
        <f t="shared" si="20"/>
        <v>1</v>
      </c>
      <c r="B238" s="175" t="s">
        <v>265</v>
      </c>
      <c r="C238" s="176" t="s">
        <v>2</v>
      </c>
      <c r="D238" s="178">
        <f>E238*$D$1</f>
        <v>1100</v>
      </c>
      <c r="E238" s="178">
        <v>1100</v>
      </c>
      <c r="F238" s="178" t="s">
        <v>1102</v>
      </c>
      <c r="G238" s="178" t="s">
        <v>1112</v>
      </c>
      <c r="H238" s="178"/>
      <c r="I238" s="168" t="s">
        <v>1105</v>
      </c>
    </row>
    <row r="239" spans="1:9" x14ac:dyDescent="0.25">
      <c r="A239" s="175">
        <f t="shared" si="20"/>
        <v>1</v>
      </c>
      <c r="B239" s="175" t="s">
        <v>2873</v>
      </c>
      <c r="C239" s="176" t="s">
        <v>2</v>
      </c>
      <c r="D239" s="178">
        <f>E239*$D$1</f>
        <v>1237.5</v>
      </c>
      <c r="E239" s="178">
        <f>1100*90/80</f>
        <v>1237.5</v>
      </c>
      <c r="F239" s="178" t="s">
        <v>1102</v>
      </c>
      <c r="G239" s="178" t="s">
        <v>1112</v>
      </c>
      <c r="H239" s="178"/>
      <c r="I239" s="168" t="s">
        <v>1105</v>
      </c>
    </row>
    <row r="240" spans="1:9" x14ac:dyDescent="0.25">
      <c r="A240" s="175">
        <f t="shared" si="20"/>
        <v>1</v>
      </c>
      <c r="B240" s="175" t="s">
        <v>5117</v>
      </c>
      <c r="C240" s="176" t="s">
        <v>13</v>
      </c>
      <c r="D240" s="178">
        <f t="shared" ref="D240" si="27">E240*$D$1</f>
        <v>600</v>
      </c>
      <c r="E240" s="178">
        <v>600</v>
      </c>
      <c r="F240" s="178" t="s">
        <v>1102</v>
      </c>
      <c r="G240" s="178" t="s">
        <v>1112</v>
      </c>
      <c r="H240" s="178"/>
      <c r="I240" s="168" t="s">
        <v>1105</v>
      </c>
    </row>
    <row r="241" spans="1:9" x14ac:dyDescent="0.25">
      <c r="A241" s="175">
        <f t="shared" si="20"/>
        <v>1</v>
      </c>
      <c r="B241" s="175" t="s">
        <v>1986</v>
      </c>
      <c r="C241" s="176" t="s">
        <v>2</v>
      </c>
      <c r="D241" s="178">
        <f t="shared" si="26"/>
        <v>2530</v>
      </c>
      <c r="E241" s="178">
        <v>2530</v>
      </c>
      <c r="F241" s="178" t="s">
        <v>1102</v>
      </c>
      <c r="G241" s="178" t="s">
        <v>1112</v>
      </c>
      <c r="H241" s="178"/>
      <c r="I241" s="168" t="s">
        <v>1105</v>
      </c>
    </row>
    <row r="242" spans="1:9" x14ac:dyDescent="0.25">
      <c r="A242" s="175">
        <f t="shared" si="20"/>
        <v>1</v>
      </c>
      <c r="B242" s="175" t="s">
        <v>879</v>
      </c>
      <c r="C242" s="176" t="s">
        <v>2</v>
      </c>
      <c r="D242" s="178">
        <f t="shared" ref="D242:D247" si="28">E242*$D$1</f>
        <v>13011.726190476189</v>
      </c>
      <c r="E242" s="178">
        <v>13011.726190476189</v>
      </c>
      <c r="F242" s="178" t="s">
        <v>1102</v>
      </c>
      <c r="G242" s="178" t="s">
        <v>1112</v>
      </c>
      <c r="H242" s="178"/>
      <c r="I242" s="168" t="s">
        <v>1105</v>
      </c>
    </row>
    <row r="243" spans="1:9" x14ac:dyDescent="0.25">
      <c r="A243" s="175">
        <f t="shared" si="20"/>
        <v>1</v>
      </c>
      <c r="B243" s="175" t="s">
        <v>2863</v>
      </c>
      <c r="C243" s="176" t="s">
        <v>2</v>
      </c>
      <c r="D243" s="178">
        <f t="shared" si="28"/>
        <v>8681.8666666666668</v>
      </c>
      <c r="E243" s="178">
        <f>9302*(3.2*2.45)/(3.5*2.4)</f>
        <v>8681.8666666666668</v>
      </c>
      <c r="F243" s="178" t="s">
        <v>1102</v>
      </c>
      <c r="G243" s="178" t="s">
        <v>1112</v>
      </c>
      <c r="H243" s="178"/>
      <c r="I243" s="168" t="s">
        <v>1105</v>
      </c>
    </row>
    <row r="244" spans="1:9" x14ac:dyDescent="0.25">
      <c r="A244" s="175">
        <f t="shared" si="20"/>
        <v>1</v>
      </c>
      <c r="B244" s="175" t="s">
        <v>2864</v>
      </c>
      <c r="C244" s="176" t="s">
        <v>2</v>
      </c>
      <c r="D244" s="178">
        <f t="shared" si="28"/>
        <v>7795.9619047619053</v>
      </c>
      <c r="E244" s="178">
        <f>9302*(3.2*2.2)/(3.5*2.4)</f>
        <v>7795.9619047619053</v>
      </c>
      <c r="F244" s="178" t="s">
        <v>1102</v>
      </c>
      <c r="G244" s="178" t="s">
        <v>1112</v>
      </c>
      <c r="H244" s="178"/>
      <c r="I244" s="168" t="s">
        <v>1105</v>
      </c>
    </row>
    <row r="245" spans="1:9" x14ac:dyDescent="0.25">
      <c r="A245" s="175">
        <f t="shared" si="20"/>
        <v>1</v>
      </c>
      <c r="B245" s="175" t="s">
        <v>2865</v>
      </c>
      <c r="C245" s="176" t="s">
        <v>2</v>
      </c>
      <c r="D245" s="178">
        <f t="shared" si="28"/>
        <v>2192.6142857142859</v>
      </c>
      <c r="E245" s="178">
        <f>9302*(0.9*2.2)/(3.5*2.4)</f>
        <v>2192.6142857142859</v>
      </c>
      <c r="F245" s="178" t="s">
        <v>1102</v>
      </c>
      <c r="G245" s="178" t="s">
        <v>1112</v>
      </c>
      <c r="H245" s="178"/>
      <c r="I245" s="168" t="s">
        <v>1105</v>
      </c>
    </row>
    <row r="246" spans="1:9" x14ac:dyDescent="0.25">
      <c r="A246" s="175">
        <f t="shared" si="20"/>
        <v>1</v>
      </c>
      <c r="B246" s="175" t="s">
        <v>2866</v>
      </c>
      <c r="C246" s="176" t="s">
        <v>2</v>
      </c>
      <c r="D246" s="178">
        <f t="shared" si="28"/>
        <v>1860.4</v>
      </c>
      <c r="E246" s="178">
        <f>9302*(1.5*1.12)/(3.5*2.4)</f>
        <v>1860.4</v>
      </c>
      <c r="F246" s="178" t="s">
        <v>1102</v>
      </c>
      <c r="G246" s="178" t="s">
        <v>1112</v>
      </c>
      <c r="H246" s="178"/>
      <c r="I246" s="168" t="s">
        <v>1105</v>
      </c>
    </row>
    <row r="247" spans="1:9" x14ac:dyDescent="0.25">
      <c r="A247" s="175">
        <f t="shared" si="20"/>
        <v>1</v>
      </c>
      <c r="B247" s="175" t="s">
        <v>1983</v>
      </c>
      <c r="C247" s="176" t="s">
        <v>2</v>
      </c>
      <c r="D247" s="178">
        <f t="shared" si="28"/>
        <v>10453.67619047619</v>
      </c>
      <c r="E247" s="178">
        <f>9302*(3.2*2.95)/(3.5*2.4)</f>
        <v>10453.67619047619</v>
      </c>
      <c r="F247" s="178" t="s">
        <v>1102</v>
      </c>
      <c r="G247" s="178" t="s">
        <v>1112</v>
      </c>
      <c r="H247" s="178"/>
      <c r="I247" s="168" t="s">
        <v>1105</v>
      </c>
    </row>
    <row r="248" spans="1:9" x14ac:dyDescent="0.25">
      <c r="A248" s="175">
        <f t="shared" si="20"/>
        <v>1</v>
      </c>
      <c r="B248" s="175" t="s">
        <v>1772</v>
      </c>
      <c r="C248" s="176" t="s">
        <v>2</v>
      </c>
      <c r="D248" s="178">
        <f t="shared" si="26"/>
        <v>9302</v>
      </c>
      <c r="E248" s="178">
        <v>9302</v>
      </c>
      <c r="F248" s="178" t="s">
        <v>1102</v>
      </c>
      <c r="G248" s="178" t="s">
        <v>1112</v>
      </c>
      <c r="H248" s="178"/>
      <c r="I248" s="168" t="s">
        <v>1105</v>
      </c>
    </row>
    <row r="249" spans="1:9" x14ac:dyDescent="0.25">
      <c r="A249" s="175">
        <f t="shared" si="20"/>
        <v>1</v>
      </c>
      <c r="B249" s="175" t="s">
        <v>880</v>
      </c>
      <c r="C249" s="176" t="s">
        <v>2</v>
      </c>
      <c r="D249" s="178">
        <f t="shared" si="26"/>
        <v>1089.6084620689658</v>
      </c>
      <c r="E249" s="178">
        <v>1089.6084620689658</v>
      </c>
      <c r="F249" s="178" t="s">
        <v>1102</v>
      </c>
      <c r="G249" s="178" t="s">
        <v>1112</v>
      </c>
      <c r="H249" s="178"/>
      <c r="I249" s="168" t="s">
        <v>1105</v>
      </c>
    </row>
    <row r="250" spans="1:9" x14ac:dyDescent="0.25">
      <c r="A250" s="175">
        <f t="shared" si="20"/>
        <v>1</v>
      </c>
      <c r="B250" s="175" t="s">
        <v>1268</v>
      </c>
      <c r="C250" s="176" t="s">
        <v>2</v>
      </c>
      <c r="D250" s="178">
        <f t="shared" si="26"/>
        <v>6500</v>
      </c>
      <c r="E250" s="178">
        <v>6500</v>
      </c>
      <c r="F250" s="178" t="s">
        <v>1102</v>
      </c>
      <c r="G250" s="178" t="s">
        <v>1112</v>
      </c>
      <c r="H250" s="178"/>
      <c r="I250" s="168" t="s">
        <v>1105</v>
      </c>
    </row>
    <row r="251" spans="1:9" x14ac:dyDescent="0.25">
      <c r="A251" s="175">
        <f t="shared" si="20"/>
        <v>1</v>
      </c>
      <c r="B251" s="175" t="s">
        <v>266</v>
      </c>
      <c r="C251" s="176" t="s">
        <v>2</v>
      </c>
      <c r="D251" s="178">
        <f t="shared" si="26"/>
        <v>2405</v>
      </c>
      <c r="E251" s="178">
        <v>2405</v>
      </c>
      <c r="F251" s="178" t="s">
        <v>1102</v>
      </c>
      <c r="G251" s="178" t="s">
        <v>1112</v>
      </c>
      <c r="H251" s="178"/>
      <c r="I251" s="168" t="s">
        <v>1105</v>
      </c>
    </row>
    <row r="252" spans="1:9" x14ac:dyDescent="0.25">
      <c r="A252" s="175">
        <f t="shared" si="20"/>
        <v>1</v>
      </c>
      <c r="B252" s="175" t="s">
        <v>1773</v>
      </c>
      <c r="C252" s="176" t="s">
        <v>2</v>
      </c>
      <c r="D252" s="178">
        <f>E252*$D$1</f>
        <v>975</v>
      </c>
      <c r="E252" s="178">
        <v>975</v>
      </c>
      <c r="F252" s="178" t="s">
        <v>1102</v>
      </c>
      <c r="G252" s="178" t="s">
        <v>1112</v>
      </c>
      <c r="H252" s="178"/>
      <c r="I252" s="168" t="s">
        <v>1105</v>
      </c>
    </row>
    <row r="253" spans="1:9" x14ac:dyDescent="0.25">
      <c r="A253" s="175">
        <f t="shared" si="20"/>
        <v>1</v>
      </c>
      <c r="B253" s="175" t="s">
        <v>1774</v>
      </c>
      <c r="C253" s="176" t="s">
        <v>2</v>
      </c>
      <c r="D253" s="178">
        <f>E253*$D$1</f>
        <v>2968</v>
      </c>
      <c r="E253" s="178">
        <v>2968</v>
      </c>
      <c r="F253" s="178" t="s">
        <v>1102</v>
      </c>
      <c r="G253" s="178" t="s">
        <v>1112</v>
      </c>
      <c r="H253" s="178"/>
      <c r="I253" s="168" t="s">
        <v>1105</v>
      </c>
    </row>
    <row r="254" spans="1:9" x14ac:dyDescent="0.25">
      <c r="A254" s="175">
        <f t="shared" si="20"/>
        <v>1</v>
      </c>
      <c r="B254" s="175" t="s">
        <v>616</v>
      </c>
      <c r="C254" s="176" t="s">
        <v>13</v>
      </c>
      <c r="D254" s="178">
        <f t="shared" si="26"/>
        <v>135.35555555555555</v>
      </c>
      <c r="E254" s="178">
        <v>135.35555555555555</v>
      </c>
      <c r="F254" s="178" t="s">
        <v>1102</v>
      </c>
      <c r="G254" s="178" t="s">
        <v>1112</v>
      </c>
      <c r="H254" s="178"/>
      <c r="I254" s="168" t="s">
        <v>1105</v>
      </c>
    </row>
    <row r="255" spans="1:9" x14ac:dyDescent="0.25">
      <c r="A255" s="175">
        <f t="shared" si="20"/>
        <v>1</v>
      </c>
      <c r="B255" s="175" t="s">
        <v>1267</v>
      </c>
      <c r="C255" s="176" t="s">
        <v>2</v>
      </c>
      <c r="D255" s="178">
        <f t="shared" si="26"/>
        <v>232.46</v>
      </c>
      <c r="E255" s="178">
        <v>232.46</v>
      </c>
      <c r="F255" s="178" t="s">
        <v>1102</v>
      </c>
      <c r="G255" s="178" t="s">
        <v>1113</v>
      </c>
      <c r="H255" s="178"/>
      <c r="I255" s="168" t="s">
        <v>1111</v>
      </c>
    </row>
    <row r="256" spans="1:9" x14ac:dyDescent="0.25">
      <c r="A256" s="175">
        <f t="shared" si="20"/>
        <v>1</v>
      </c>
      <c r="B256" s="175" t="s">
        <v>878</v>
      </c>
      <c r="C256" s="176" t="s">
        <v>2</v>
      </c>
      <c r="D256" s="178">
        <f t="shared" si="26"/>
        <v>1386</v>
      </c>
      <c r="E256" s="178">
        <v>1386</v>
      </c>
      <c r="F256" s="178" t="s">
        <v>1102</v>
      </c>
      <c r="G256" s="178" t="s">
        <v>1113</v>
      </c>
      <c r="H256" s="178"/>
      <c r="I256" s="168" t="s">
        <v>1111</v>
      </c>
    </row>
    <row r="257" spans="1:9" x14ac:dyDescent="0.25">
      <c r="A257" s="175">
        <f t="shared" si="20"/>
        <v>1</v>
      </c>
      <c r="B257" s="175" t="s">
        <v>643</v>
      </c>
      <c r="C257" s="176" t="s">
        <v>428</v>
      </c>
      <c r="D257" s="178">
        <f t="shared" si="26"/>
        <v>11.33</v>
      </c>
      <c r="E257" s="178">
        <v>11.33</v>
      </c>
      <c r="F257" s="178" t="s">
        <v>1114</v>
      </c>
      <c r="G257" s="178" t="s">
        <v>1114</v>
      </c>
      <c r="H257" s="178"/>
      <c r="I257" s="168" t="s">
        <v>1115</v>
      </c>
    </row>
    <row r="258" spans="1:9" x14ac:dyDescent="0.25">
      <c r="A258" s="175">
        <f t="shared" si="20"/>
        <v>1</v>
      </c>
      <c r="B258" s="175" t="s">
        <v>1116</v>
      </c>
      <c r="C258" s="176" t="s">
        <v>13</v>
      </c>
      <c r="D258" s="178">
        <f t="shared" si="26"/>
        <v>4.5999999999999996</v>
      </c>
      <c r="E258" s="178">
        <v>4.5999999999999996</v>
      </c>
      <c r="F258" s="178" t="s">
        <v>1114</v>
      </c>
      <c r="G258" s="178" t="s">
        <v>1114</v>
      </c>
      <c r="H258" s="178"/>
      <c r="I258" s="168" t="s">
        <v>1115</v>
      </c>
    </row>
    <row r="259" spans="1:9" x14ac:dyDescent="0.25">
      <c r="A259" s="175">
        <f t="shared" si="20"/>
        <v>1</v>
      </c>
      <c r="B259" s="175" t="s">
        <v>3839</v>
      </c>
      <c r="C259" s="176" t="s">
        <v>428</v>
      </c>
      <c r="D259" s="178">
        <f t="shared" ref="D259" si="29">E259*$D$1</f>
        <v>22</v>
      </c>
      <c r="E259" s="178">
        <v>22</v>
      </c>
      <c r="F259" s="178" t="s">
        <v>1114</v>
      </c>
      <c r="G259" s="178" t="s">
        <v>1114</v>
      </c>
      <c r="H259" s="178"/>
      <c r="I259" s="168" t="s">
        <v>1115</v>
      </c>
    </row>
    <row r="260" spans="1:9" x14ac:dyDescent="0.25">
      <c r="A260" s="175">
        <f t="shared" si="20"/>
        <v>1</v>
      </c>
      <c r="B260" s="175" t="s">
        <v>3840</v>
      </c>
      <c r="C260" s="176" t="s">
        <v>428</v>
      </c>
      <c r="D260" s="178">
        <f t="shared" si="26"/>
        <v>25</v>
      </c>
      <c r="E260" s="178">
        <v>25</v>
      </c>
      <c r="F260" s="178" t="s">
        <v>1114</v>
      </c>
      <c r="G260" s="178" t="s">
        <v>1114</v>
      </c>
      <c r="H260" s="178"/>
      <c r="I260" s="168" t="s">
        <v>1115</v>
      </c>
    </row>
    <row r="261" spans="1:9" x14ac:dyDescent="0.25">
      <c r="A261" s="175">
        <f t="shared" si="20"/>
        <v>1</v>
      </c>
      <c r="B261" s="175" t="s">
        <v>3841</v>
      </c>
      <c r="C261" s="176" t="s">
        <v>428</v>
      </c>
      <c r="D261" s="178">
        <f t="shared" ref="D261" si="30">E261*$D$1</f>
        <v>30</v>
      </c>
      <c r="E261" s="178">
        <f>AVERAGE(24,36)</f>
        <v>30</v>
      </c>
      <c r="F261" s="178" t="s">
        <v>1114</v>
      </c>
      <c r="G261" s="178" t="s">
        <v>1114</v>
      </c>
      <c r="H261" s="178"/>
      <c r="I261" s="168" t="s">
        <v>1115</v>
      </c>
    </row>
    <row r="262" spans="1:9" x14ac:dyDescent="0.25">
      <c r="A262" s="175">
        <f t="shared" si="20"/>
        <v>1</v>
      </c>
      <c r="B262" s="175" t="s">
        <v>3842</v>
      </c>
      <c r="C262" s="176" t="s">
        <v>428</v>
      </c>
      <c r="D262" s="178">
        <f t="shared" si="26"/>
        <v>9</v>
      </c>
      <c r="E262" s="178">
        <f>AVERAGE(6,12)</f>
        <v>9</v>
      </c>
      <c r="F262" s="178" t="s">
        <v>1114</v>
      </c>
      <c r="G262" s="178" t="s">
        <v>1114</v>
      </c>
      <c r="H262" s="178"/>
      <c r="I262" s="168" t="s">
        <v>1115</v>
      </c>
    </row>
    <row r="263" spans="1:9" x14ac:dyDescent="0.25">
      <c r="A263" s="175">
        <f t="shared" si="20"/>
        <v>1</v>
      </c>
      <c r="B263" s="175" t="s">
        <v>3843</v>
      </c>
      <c r="C263" s="176" t="s">
        <v>428</v>
      </c>
      <c r="D263" s="178">
        <f t="shared" ref="D263" si="31">E263*$D$1</f>
        <v>9.8888888888888893</v>
      </c>
      <c r="E263" s="178">
        <f t="shared" ref="E263:E264" si="32">178/18</f>
        <v>9.8888888888888893</v>
      </c>
      <c r="F263" s="178" t="s">
        <v>1114</v>
      </c>
      <c r="G263" s="178" t="s">
        <v>1114</v>
      </c>
      <c r="H263" s="178"/>
      <c r="I263" s="168" t="s">
        <v>1115</v>
      </c>
    </row>
    <row r="264" spans="1:9" x14ac:dyDescent="0.25">
      <c r="A264" s="175">
        <f t="shared" si="20"/>
        <v>1</v>
      </c>
      <c r="B264" s="175" t="s">
        <v>3844</v>
      </c>
      <c r="C264" s="176" t="s">
        <v>428</v>
      </c>
      <c r="D264" s="178">
        <f t="shared" si="26"/>
        <v>9.8888888888888893</v>
      </c>
      <c r="E264" s="178">
        <f t="shared" si="32"/>
        <v>9.8888888888888893</v>
      </c>
      <c r="F264" s="178" t="s">
        <v>1114</v>
      </c>
      <c r="G264" s="178" t="s">
        <v>1114</v>
      </c>
      <c r="H264" s="178"/>
      <c r="I264" s="168" t="s">
        <v>1115</v>
      </c>
    </row>
    <row r="265" spans="1:9" x14ac:dyDescent="0.25">
      <c r="A265" s="175">
        <f t="shared" si="20"/>
        <v>1</v>
      </c>
      <c r="B265" s="175" t="s">
        <v>3846</v>
      </c>
      <c r="C265" s="176" t="s">
        <v>428</v>
      </c>
      <c r="D265" s="178">
        <f t="shared" ref="D265:D268" si="33">E265*$D$1</f>
        <v>9.8888888888888893</v>
      </c>
      <c r="E265" s="178">
        <f>178/18</f>
        <v>9.8888888888888893</v>
      </c>
      <c r="F265" s="178" t="s">
        <v>1114</v>
      </c>
      <c r="G265" s="178" t="s">
        <v>1114</v>
      </c>
      <c r="H265" s="178"/>
      <c r="I265" s="168" t="s">
        <v>1115</v>
      </c>
    </row>
    <row r="266" spans="1:9" x14ac:dyDescent="0.25">
      <c r="A266" s="175">
        <f t="shared" si="20"/>
        <v>1</v>
      </c>
      <c r="B266" s="175" t="s">
        <v>3847</v>
      </c>
      <c r="C266" s="176" t="s">
        <v>428</v>
      </c>
      <c r="D266" s="178">
        <f t="shared" si="33"/>
        <v>24</v>
      </c>
      <c r="E266" s="178">
        <f>AVERAGE(20,28)</f>
        <v>24</v>
      </c>
      <c r="F266" s="178" t="s">
        <v>1114</v>
      </c>
      <c r="G266" s="178" t="s">
        <v>1114</v>
      </c>
      <c r="H266" s="178"/>
      <c r="I266" s="168" t="s">
        <v>1115</v>
      </c>
    </row>
    <row r="267" spans="1:9" x14ac:dyDescent="0.25">
      <c r="A267" s="175">
        <f t="shared" si="20"/>
        <v>1</v>
      </c>
      <c r="B267" s="175" t="s">
        <v>3848</v>
      </c>
      <c r="C267" s="176" t="s">
        <v>428</v>
      </c>
      <c r="D267" s="178">
        <f t="shared" ref="D267" si="34">E267*$D$1</f>
        <v>24</v>
      </c>
      <c r="E267" s="178">
        <f t="shared" ref="E267:E268" si="35">AVERAGE(20,28)</f>
        <v>24</v>
      </c>
      <c r="F267" s="178" t="s">
        <v>1114</v>
      </c>
      <c r="G267" s="178" t="s">
        <v>1114</v>
      </c>
      <c r="H267" s="178"/>
      <c r="I267" s="168" t="s">
        <v>1115</v>
      </c>
    </row>
    <row r="268" spans="1:9" x14ac:dyDescent="0.25">
      <c r="A268" s="175">
        <f t="shared" si="20"/>
        <v>1</v>
      </c>
      <c r="B268" s="175" t="s">
        <v>3849</v>
      </c>
      <c r="C268" s="176" t="s">
        <v>428</v>
      </c>
      <c r="D268" s="178">
        <f t="shared" si="33"/>
        <v>24</v>
      </c>
      <c r="E268" s="178">
        <f t="shared" si="35"/>
        <v>24</v>
      </c>
      <c r="F268" s="178" t="s">
        <v>1114</v>
      </c>
      <c r="G268" s="178" t="s">
        <v>1114</v>
      </c>
      <c r="H268" s="178"/>
      <c r="I268" s="168" t="s">
        <v>1115</v>
      </c>
    </row>
    <row r="269" spans="1:9" x14ac:dyDescent="0.25">
      <c r="A269" s="175">
        <f t="shared" si="20"/>
        <v>1</v>
      </c>
      <c r="B269" s="175" t="s">
        <v>3850</v>
      </c>
      <c r="C269" s="176" t="s">
        <v>1117</v>
      </c>
      <c r="D269" s="178">
        <f t="shared" si="26"/>
        <v>60</v>
      </c>
      <c r="E269" s="178">
        <f>AVERAGE(40,80)</f>
        <v>60</v>
      </c>
      <c r="F269" s="178" t="s">
        <v>1114</v>
      </c>
      <c r="G269" s="178" t="s">
        <v>1114</v>
      </c>
      <c r="H269" s="178"/>
      <c r="I269" s="168" t="s">
        <v>1115</v>
      </c>
    </row>
    <row r="270" spans="1:9" x14ac:dyDescent="0.25">
      <c r="A270" s="175">
        <f t="shared" ref="A270:A337" si="36">COUNTIFS($B$2:$B$764,B270)</f>
        <v>1</v>
      </c>
      <c r="B270" s="175" t="s">
        <v>3851</v>
      </c>
      <c r="C270" s="176" t="s">
        <v>428</v>
      </c>
      <c r="D270" s="178">
        <f t="shared" ref="D270" si="37">E270*$D$1</f>
        <v>30</v>
      </c>
      <c r="E270" s="178">
        <v>30</v>
      </c>
      <c r="F270" s="178" t="s">
        <v>1114</v>
      </c>
      <c r="G270" s="178" t="s">
        <v>1114</v>
      </c>
      <c r="H270" s="178"/>
      <c r="I270" s="168" t="s">
        <v>1115</v>
      </c>
    </row>
    <row r="271" spans="1:9" x14ac:dyDescent="0.25">
      <c r="A271" s="175">
        <f t="shared" si="36"/>
        <v>1</v>
      </c>
      <c r="B271" s="175" t="s">
        <v>641</v>
      </c>
      <c r="C271" s="176" t="s">
        <v>428</v>
      </c>
      <c r="D271" s="178">
        <f t="shared" si="26"/>
        <v>11.055555555555555</v>
      </c>
      <c r="E271" s="178">
        <v>11.055555555555555</v>
      </c>
      <c r="F271" s="178" t="s">
        <v>1114</v>
      </c>
      <c r="G271" s="178" t="s">
        <v>1114</v>
      </c>
      <c r="H271" s="178"/>
      <c r="I271" s="168" t="s">
        <v>1115</v>
      </c>
    </row>
    <row r="272" spans="1:9" x14ac:dyDescent="0.25">
      <c r="A272" s="175">
        <f t="shared" si="36"/>
        <v>1</v>
      </c>
      <c r="B272" s="175" t="s">
        <v>628</v>
      </c>
      <c r="C272" s="176" t="s">
        <v>1117</v>
      </c>
      <c r="D272" s="178">
        <f t="shared" si="26"/>
        <v>19.440000000000001</v>
      </c>
      <c r="E272" s="178">
        <v>19.440000000000001</v>
      </c>
      <c r="F272" s="178" t="s">
        <v>1114</v>
      </c>
      <c r="G272" s="178" t="s">
        <v>1114</v>
      </c>
      <c r="H272" s="178"/>
      <c r="I272" s="168" t="s">
        <v>1115</v>
      </c>
    </row>
    <row r="273" spans="1:9" x14ac:dyDescent="0.25">
      <c r="A273" s="175">
        <f t="shared" si="36"/>
        <v>1</v>
      </c>
      <c r="B273" s="175" t="s">
        <v>646</v>
      </c>
      <c r="C273" s="176" t="s">
        <v>428</v>
      </c>
      <c r="D273" s="178">
        <f t="shared" si="26"/>
        <v>29.277777777777779</v>
      </c>
      <c r="E273" s="178">
        <v>29.277777777777779</v>
      </c>
      <c r="F273" s="178" t="s">
        <v>1114</v>
      </c>
      <c r="G273" s="178" t="s">
        <v>1114</v>
      </c>
      <c r="H273" s="178"/>
      <c r="I273" s="168" t="s">
        <v>1115</v>
      </c>
    </row>
    <row r="274" spans="1:9" x14ac:dyDescent="0.25">
      <c r="A274" s="175">
        <f t="shared" si="36"/>
        <v>1</v>
      </c>
      <c r="B274" s="175" t="s">
        <v>648</v>
      </c>
      <c r="C274" s="176" t="s">
        <v>428</v>
      </c>
      <c r="D274" s="178">
        <f t="shared" si="26"/>
        <v>25.75</v>
      </c>
      <c r="E274" s="178">
        <v>25.75</v>
      </c>
      <c r="F274" s="178" t="s">
        <v>1114</v>
      </c>
      <c r="G274" s="178" t="s">
        <v>1114</v>
      </c>
      <c r="H274" s="178"/>
      <c r="I274" s="168" t="s">
        <v>1115</v>
      </c>
    </row>
    <row r="275" spans="1:9" x14ac:dyDescent="0.25">
      <c r="A275" s="175">
        <f t="shared" si="36"/>
        <v>1</v>
      </c>
      <c r="B275" s="175" t="s">
        <v>639</v>
      </c>
      <c r="C275" s="176" t="s">
        <v>13</v>
      </c>
      <c r="D275" s="178">
        <f t="shared" si="26"/>
        <v>37.99</v>
      </c>
      <c r="E275" s="178">
        <v>37.99</v>
      </c>
      <c r="F275" s="178" t="s">
        <v>1114</v>
      </c>
      <c r="G275" s="178" t="s">
        <v>1114</v>
      </c>
      <c r="H275" s="178"/>
      <c r="I275" s="168" t="s">
        <v>1115</v>
      </c>
    </row>
    <row r="276" spans="1:9" x14ac:dyDescent="0.25">
      <c r="A276" s="175">
        <f t="shared" si="36"/>
        <v>1</v>
      </c>
      <c r="B276" s="175" t="s">
        <v>633</v>
      </c>
      <c r="C276" s="176" t="s">
        <v>13</v>
      </c>
      <c r="D276" s="178">
        <f t="shared" si="26"/>
        <v>11.090769230769231</v>
      </c>
      <c r="E276" s="178">
        <v>11.090769230769231</v>
      </c>
      <c r="F276" s="178" t="s">
        <v>1114</v>
      </c>
      <c r="G276" s="178" t="s">
        <v>1114</v>
      </c>
      <c r="H276" s="178"/>
      <c r="I276" s="168" t="s">
        <v>1115</v>
      </c>
    </row>
    <row r="277" spans="1:9" x14ac:dyDescent="0.25">
      <c r="A277" s="175">
        <f t="shared" si="36"/>
        <v>1</v>
      </c>
      <c r="B277" s="175" t="s">
        <v>637</v>
      </c>
      <c r="C277" s="176" t="s">
        <v>13</v>
      </c>
      <c r="D277" s="178">
        <f t="shared" si="26"/>
        <v>57.02</v>
      </c>
      <c r="E277" s="178">
        <v>57.02</v>
      </c>
      <c r="F277" s="178" t="s">
        <v>1114</v>
      </c>
      <c r="G277" s="178" t="s">
        <v>1114</v>
      </c>
      <c r="H277" s="178"/>
      <c r="I277" s="168" t="s">
        <v>1115</v>
      </c>
    </row>
    <row r="278" spans="1:9" x14ac:dyDescent="0.25">
      <c r="A278" s="175">
        <f t="shared" si="36"/>
        <v>1</v>
      </c>
      <c r="B278" s="175" t="s">
        <v>635</v>
      </c>
      <c r="C278" s="176" t="s">
        <v>13</v>
      </c>
      <c r="D278" s="178">
        <f t="shared" si="26"/>
        <v>70.02</v>
      </c>
      <c r="E278" s="178">
        <v>70.02</v>
      </c>
      <c r="F278" s="178" t="s">
        <v>1114</v>
      </c>
      <c r="G278" s="178" t="s">
        <v>1114</v>
      </c>
      <c r="H278" s="178"/>
      <c r="I278" s="168" t="s">
        <v>1115</v>
      </c>
    </row>
    <row r="279" spans="1:9" x14ac:dyDescent="0.25">
      <c r="A279" s="175">
        <f t="shared" ref="A279" si="38">COUNTIFS($B$2:$B$764,B279)</f>
        <v>1</v>
      </c>
      <c r="B279" s="175" t="s">
        <v>6968</v>
      </c>
      <c r="C279" s="176" t="s">
        <v>13</v>
      </c>
      <c r="D279" s="178">
        <f t="shared" ref="D279" si="39">E279*$D$1</f>
        <v>130</v>
      </c>
      <c r="E279" s="178">
        <v>130</v>
      </c>
      <c r="F279" s="178" t="s">
        <v>1114</v>
      </c>
      <c r="G279" s="178" t="s">
        <v>1114</v>
      </c>
      <c r="H279" s="178"/>
      <c r="I279" s="168" t="s">
        <v>1115</v>
      </c>
    </row>
    <row r="280" spans="1:9" x14ac:dyDescent="0.25">
      <c r="A280" s="175">
        <f t="shared" si="36"/>
        <v>1</v>
      </c>
      <c r="B280" s="175" t="s">
        <v>6969</v>
      </c>
      <c r="C280" s="176" t="s">
        <v>13</v>
      </c>
      <c r="D280" s="178">
        <f t="shared" si="26"/>
        <v>220</v>
      </c>
      <c r="E280" s="178">
        <v>220</v>
      </c>
      <c r="F280" s="178" t="s">
        <v>1114</v>
      </c>
      <c r="G280" s="178" t="s">
        <v>1114</v>
      </c>
      <c r="H280" s="178"/>
      <c r="I280" s="168" t="s">
        <v>1115</v>
      </c>
    </row>
    <row r="281" spans="1:9" x14ac:dyDescent="0.25">
      <c r="A281" s="175">
        <f t="shared" ref="A281" si="40">COUNTIFS($B$2:$B$764,B281)</f>
        <v>1</v>
      </c>
      <c r="B281" s="175" t="s">
        <v>6971</v>
      </c>
      <c r="C281" s="176" t="s">
        <v>13</v>
      </c>
      <c r="D281" s="178">
        <f t="shared" ref="D281" si="41">E281*$D$1</f>
        <v>1200</v>
      </c>
      <c r="E281" s="178">
        <v>1200</v>
      </c>
      <c r="F281" s="178" t="s">
        <v>1114</v>
      </c>
      <c r="G281" s="178" t="s">
        <v>1114</v>
      </c>
      <c r="H281" s="178"/>
      <c r="I281" s="168" t="s">
        <v>1115</v>
      </c>
    </row>
    <row r="282" spans="1:9" x14ac:dyDescent="0.25">
      <c r="A282" s="175">
        <f t="shared" si="36"/>
        <v>1</v>
      </c>
      <c r="B282" s="175" t="s">
        <v>1744</v>
      </c>
      <c r="C282" s="176" t="s">
        <v>13</v>
      </c>
      <c r="D282" s="178">
        <f t="shared" si="26"/>
        <v>30.555555555555557</v>
      </c>
      <c r="E282" s="178">
        <f>1100/(1.2*30)</f>
        <v>30.555555555555557</v>
      </c>
      <c r="F282" s="178" t="s">
        <v>1114</v>
      </c>
      <c r="G282" s="178" t="s">
        <v>1114</v>
      </c>
      <c r="H282" s="178"/>
      <c r="I282" s="168" t="s">
        <v>1115</v>
      </c>
    </row>
    <row r="283" spans="1:9" x14ac:dyDescent="0.25">
      <c r="A283" s="175">
        <f t="shared" si="36"/>
        <v>1</v>
      </c>
      <c r="B283" s="175" t="s">
        <v>729</v>
      </c>
      <c r="C283" s="176" t="s">
        <v>1117</v>
      </c>
      <c r="D283" s="178">
        <f t="shared" si="26"/>
        <v>7.16</v>
      </c>
      <c r="E283" s="178">
        <v>7.16</v>
      </c>
      <c r="F283" s="178" t="s">
        <v>1114</v>
      </c>
      <c r="G283" s="178" t="s">
        <v>1114</v>
      </c>
      <c r="H283" s="178"/>
      <c r="I283" s="168" t="s">
        <v>1115</v>
      </c>
    </row>
    <row r="284" spans="1:9" x14ac:dyDescent="0.25">
      <c r="A284" s="175">
        <f t="shared" si="36"/>
        <v>1</v>
      </c>
      <c r="B284" s="175" t="s">
        <v>731</v>
      </c>
      <c r="C284" s="176" t="s">
        <v>1117</v>
      </c>
      <c r="D284" s="178">
        <f t="shared" si="26"/>
        <v>26.563333333333333</v>
      </c>
      <c r="E284" s="178">
        <v>26.563333333333333</v>
      </c>
      <c r="F284" s="178" t="s">
        <v>1114</v>
      </c>
      <c r="G284" s="178" t="s">
        <v>1114</v>
      </c>
      <c r="H284" s="178"/>
      <c r="I284" s="168" t="s">
        <v>1115</v>
      </c>
    </row>
    <row r="285" spans="1:9" x14ac:dyDescent="0.25">
      <c r="A285" s="175">
        <f t="shared" si="36"/>
        <v>1</v>
      </c>
      <c r="B285" s="175" t="s">
        <v>2886</v>
      </c>
      <c r="C285" s="176" t="s">
        <v>1117</v>
      </c>
      <c r="D285" s="178">
        <f t="shared" ref="D285" si="42">E285*$D$1</f>
        <v>9.3277777777777775</v>
      </c>
      <c r="E285" s="178">
        <f>167.9/18</f>
        <v>9.3277777777777775</v>
      </c>
      <c r="F285" s="178" t="s">
        <v>1114</v>
      </c>
      <c r="G285" s="178" t="s">
        <v>1114</v>
      </c>
      <c r="H285" s="178"/>
      <c r="I285" s="168" t="s">
        <v>1115</v>
      </c>
    </row>
    <row r="286" spans="1:9" x14ac:dyDescent="0.25">
      <c r="A286" s="175">
        <f t="shared" si="36"/>
        <v>1</v>
      </c>
      <c r="B286" s="175" t="s">
        <v>632</v>
      </c>
      <c r="C286" s="176" t="s">
        <v>1117</v>
      </c>
      <c r="D286" s="178">
        <f t="shared" si="26"/>
        <v>23.52</v>
      </c>
      <c r="E286" s="178">
        <v>23.52</v>
      </c>
      <c r="F286" s="178" t="s">
        <v>1114</v>
      </c>
      <c r="G286" s="178" t="s">
        <v>1114</v>
      </c>
      <c r="H286" s="178"/>
      <c r="I286" s="168" t="s">
        <v>1115</v>
      </c>
    </row>
    <row r="287" spans="1:9" x14ac:dyDescent="0.25">
      <c r="A287" s="175">
        <f t="shared" si="36"/>
        <v>1</v>
      </c>
      <c r="B287" s="175" t="s">
        <v>649</v>
      </c>
      <c r="C287" s="176" t="s">
        <v>13</v>
      </c>
      <c r="D287" s="178">
        <f t="shared" si="26"/>
        <v>1.1000000000000001</v>
      </c>
      <c r="E287" s="178">
        <v>1.1000000000000001</v>
      </c>
      <c r="F287" s="178" t="s">
        <v>1114</v>
      </c>
      <c r="G287" s="178" t="s">
        <v>1114</v>
      </c>
      <c r="H287" s="178"/>
      <c r="I287" s="168" t="s">
        <v>1115</v>
      </c>
    </row>
    <row r="288" spans="1:9" x14ac:dyDescent="0.25">
      <c r="A288" s="175">
        <f t="shared" si="36"/>
        <v>1</v>
      </c>
      <c r="B288" s="175" t="s">
        <v>929</v>
      </c>
      <c r="C288" s="176" t="s">
        <v>131</v>
      </c>
      <c r="D288" s="178">
        <f t="shared" si="26"/>
        <v>5</v>
      </c>
      <c r="E288" s="178">
        <v>5</v>
      </c>
      <c r="F288" s="178" t="s">
        <v>1118</v>
      </c>
      <c r="G288" s="178" t="s">
        <v>1118</v>
      </c>
      <c r="H288" s="178"/>
      <c r="I288" s="168" t="s">
        <v>1119</v>
      </c>
    </row>
    <row r="289" spans="1:9" x14ac:dyDescent="0.25">
      <c r="A289" s="175">
        <f t="shared" si="36"/>
        <v>1</v>
      </c>
      <c r="B289" s="175" t="s">
        <v>928</v>
      </c>
      <c r="C289" s="176" t="s">
        <v>25</v>
      </c>
      <c r="D289" s="178">
        <f t="shared" si="26"/>
        <v>0.24</v>
      </c>
      <c r="E289" s="178">
        <v>0.24</v>
      </c>
      <c r="F289" s="178" t="s">
        <v>1118</v>
      </c>
      <c r="G289" s="178" t="s">
        <v>1118</v>
      </c>
      <c r="H289" s="178"/>
      <c r="I289" s="168" t="s">
        <v>1119</v>
      </c>
    </row>
    <row r="290" spans="1:9" x14ac:dyDescent="0.25">
      <c r="A290" s="175">
        <f t="shared" si="36"/>
        <v>1</v>
      </c>
      <c r="B290" s="175" t="s">
        <v>350</v>
      </c>
      <c r="C290" s="176" t="s">
        <v>131</v>
      </c>
      <c r="D290" s="178">
        <f t="shared" si="26"/>
        <v>185.37</v>
      </c>
      <c r="E290" s="178">
        <v>185.37</v>
      </c>
      <c r="F290" s="178" t="s">
        <v>1120</v>
      </c>
      <c r="G290" s="178" t="s">
        <v>1120</v>
      </c>
      <c r="H290" s="178"/>
      <c r="I290" s="168" t="s">
        <v>1119</v>
      </c>
    </row>
    <row r="291" spans="1:9" x14ac:dyDescent="0.25">
      <c r="A291" s="175">
        <f t="shared" si="36"/>
        <v>1</v>
      </c>
      <c r="B291" s="175" t="s">
        <v>985</v>
      </c>
      <c r="C291" s="176" t="s">
        <v>131</v>
      </c>
      <c r="D291" s="178">
        <f t="shared" si="26"/>
        <v>680</v>
      </c>
      <c r="E291" s="178">
        <v>680</v>
      </c>
      <c r="F291" s="178" t="s">
        <v>1121</v>
      </c>
      <c r="G291" s="178" t="s">
        <v>328</v>
      </c>
      <c r="H291" s="178"/>
      <c r="I291" s="168" t="s">
        <v>1087</v>
      </c>
    </row>
    <row r="292" spans="1:9" x14ac:dyDescent="0.25">
      <c r="A292" s="175">
        <f t="shared" si="36"/>
        <v>1</v>
      </c>
      <c r="B292" s="175" t="s">
        <v>950</v>
      </c>
      <c r="C292" s="176" t="s">
        <v>131</v>
      </c>
      <c r="D292" s="178">
        <f t="shared" si="26"/>
        <v>150</v>
      </c>
      <c r="E292" s="178">
        <v>150</v>
      </c>
      <c r="F292" s="178" t="s">
        <v>1121</v>
      </c>
      <c r="G292" s="178" t="s">
        <v>328</v>
      </c>
      <c r="H292" s="178"/>
      <c r="I292" s="168" t="s">
        <v>1087</v>
      </c>
    </row>
    <row r="293" spans="1:9" x14ac:dyDescent="0.25">
      <c r="A293" s="175">
        <f t="shared" si="36"/>
        <v>1</v>
      </c>
      <c r="B293" s="175" t="s">
        <v>983</v>
      </c>
      <c r="C293" s="176" t="s">
        <v>131</v>
      </c>
      <c r="D293" s="178">
        <f t="shared" si="26"/>
        <v>400</v>
      </c>
      <c r="E293" s="178">
        <v>400</v>
      </c>
      <c r="F293" s="178" t="s">
        <v>1121</v>
      </c>
      <c r="G293" s="178" t="s">
        <v>1122</v>
      </c>
      <c r="H293" s="178"/>
      <c r="I293" s="168" t="s">
        <v>1122</v>
      </c>
    </row>
    <row r="294" spans="1:9" x14ac:dyDescent="0.25">
      <c r="A294" s="175">
        <f t="shared" si="36"/>
        <v>1</v>
      </c>
      <c r="B294" s="175" t="s">
        <v>987</v>
      </c>
      <c r="C294" s="176" t="s">
        <v>131</v>
      </c>
      <c r="D294" s="178">
        <f t="shared" si="26"/>
        <v>1196.32</v>
      </c>
      <c r="E294" s="178">
        <v>1196.32</v>
      </c>
      <c r="F294" s="178" t="s">
        <v>1121</v>
      </c>
      <c r="G294" s="178" t="s">
        <v>1122</v>
      </c>
      <c r="H294" s="178"/>
      <c r="I294" s="168" t="s">
        <v>1122</v>
      </c>
    </row>
    <row r="295" spans="1:9" x14ac:dyDescent="0.25">
      <c r="A295" s="175">
        <f t="shared" si="36"/>
        <v>1</v>
      </c>
      <c r="B295" s="175" t="s">
        <v>974</v>
      </c>
      <c r="C295" s="176" t="s">
        <v>131</v>
      </c>
      <c r="D295" s="178">
        <f t="shared" si="26"/>
        <v>250</v>
      </c>
      <c r="E295" s="178">
        <v>250</v>
      </c>
      <c r="F295" s="178" t="s">
        <v>1121</v>
      </c>
      <c r="G295" s="178" t="s">
        <v>1122</v>
      </c>
      <c r="H295" s="178"/>
      <c r="I295" s="168" t="s">
        <v>1122</v>
      </c>
    </row>
    <row r="296" spans="1:9" x14ac:dyDescent="0.25">
      <c r="A296" s="175">
        <f t="shared" si="36"/>
        <v>1</v>
      </c>
      <c r="B296" s="175" t="s">
        <v>931</v>
      </c>
      <c r="C296" s="176" t="s">
        <v>131</v>
      </c>
      <c r="D296" s="178">
        <f t="shared" si="26"/>
        <v>16</v>
      </c>
      <c r="E296" s="178">
        <v>16</v>
      </c>
      <c r="F296" s="178" t="s">
        <v>1121</v>
      </c>
      <c r="G296" s="178" t="s">
        <v>328</v>
      </c>
      <c r="H296" s="178"/>
      <c r="I296" s="168" t="s">
        <v>1087</v>
      </c>
    </row>
    <row r="297" spans="1:9" x14ac:dyDescent="0.25">
      <c r="A297" s="175">
        <f t="shared" si="36"/>
        <v>1</v>
      </c>
      <c r="B297" s="175" t="s">
        <v>952</v>
      </c>
      <c r="C297" s="176" t="s">
        <v>131</v>
      </c>
      <c r="D297" s="178">
        <f t="shared" si="26"/>
        <v>50</v>
      </c>
      <c r="E297" s="178">
        <v>50</v>
      </c>
      <c r="F297" s="178" t="s">
        <v>1121</v>
      </c>
      <c r="G297" s="178" t="s">
        <v>328</v>
      </c>
      <c r="H297" s="178"/>
      <c r="I297" s="168" t="s">
        <v>1087</v>
      </c>
    </row>
    <row r="298" spans="1:9" x14ac:dyDescent="0.25">
      <c r="A298" s="175">
        <f t="shared" si="36"/>
        <v>1</v>
      </c>
      <c r="B298" s="175" t="s">
        <v>940</v>
      </c>
      <c r="C298" s="176" t="s">
        <v>131</v>
      </c>
      <c r="D298" s="178">
        <f t="shared" si="26"/>
        <v>65</v>
      </c>
      <c r="E298" s="178">
        <v>65</v>
      </c>
      <c r="F298" s="178" t="s">
        <v>1121</v>
      </c>
      <c r="G298" s="178" t="s">
        <v>328</v>
      </c>
      <c r="H298" s="178"/>
      <c r="I298" s="168" t="s">
        <v>1087</v>
      </c>
    </row>
    <row r="299" spans="1:9" x14ac:dyDescent="0.25">
      <c r="A299" s="175">
        <f t="shared" si="36"/>
        <v>1</v>
      </c>
      <c r="B299" s="175" t="s">
        <v>959</v>
      </c>
      <c r="C299" s="176" t="s">
        <v>131</v>
      </c>
      <c r="D299" s="178">
        <f t="shared" si="26"/>
        <v>20</v>
      </c>
      <c r="E299" s="178">
        <v>20</v>
      </c>
      <c r="F299" s="178" t="s">
        <v>1121</v>
      </c>
      <c r="G299" s="178" t="s">
        <v>328</v>
      </c>
      <c r="H299" s="178"/>
      <c r="I299" s="168" t="s">
        <v>1087</v>
      </c>
    </row>
    <row r="300" spans="1:9" x14ac:dyDescent="0.25">
      <c r="A300" s="175">
        <f t="shared" si="36"/>
        <v>1</v>
      </c>
      <c r="B300" s="175" t="s">
        <v>980</v>
      </c>
      <c r="C300" s="176" t="s">
        <v>131</v>
      </c>
      <c r="D300" s="178">
        <f t="shared" si="26"/>
        <v>836</v>
      </c>
      <c r="E300" s="178">
        <v>836</v>
      </c>
      <c r="F300" s="178" t="s">
        <v>1121</v>
      </c>
      <c r="G300" s="178" t="s">
        <v>1123</v>
      </c>
      <c r="H300" s="178"/>
      <c r="I300" s="168" t="s">
        <v>1087</v>
      </c>
    </row>
    <row r="301" spans="1:9" x14ac:dyDescent="0.25">
      <c r="A301" s="175">
        <f t="shared" si="36"/>
        <v>1</v>
      </c>
      <c r="B301" s="175" t="s">
        <v>925</v>
      </c>
      <c r="C301" s="176" t="s">
        <v>131</v>
      </c>
      <c r="D301" s="178">
        <f t="shared" si="26"/>
        <v>310</v>
      </c>
      <c r="E301" s="178">
        <v>310</v>
      </c>
      <c r="F301" s="178" t="s">
        <v>1121</v>
      </c>
      <c r="G301" s="178" t="s">
        <v>66</v>
      </c>
      <c r="H301" s="178"/>
      <c r="I301" s="168" t="s">
        <v>1087</v>
      </c>
    </row>
    <row r="302" spans="1:9" x14ac:dyDescent="0.25">
      <c r="A302" s="175">
        <f t="shared" si="36"/>
        <v>1</v>
      </c>
      <c r="B302" s="175" t="s">
        <v>937</v>
      </c>
      <c r="C302" s="176" t="s">
        <v>131</v>
      </c>
      <c r="D302" s="178">
        <f t="shared" si="26"/>
        <v>722.53</v>
      </c>
      <c r="E302" s="178">
        <v>722.53</v>
      </c>
      <c r="F302" s="178" t="s">
        <v>1121</v>
      </c>
      <c r="G302" s="178" t="s">
        <v>66</v>
      </c>
      <c r="H302" s="178"/>
      <c r="I302" s="168" t="s">
        <v>1087</v>
      </c>
    </row>
    <row r="303" spans="1:9" x14ac:dyDescent="0.25">
      <c r="A303" s="175">
        <f t="shared" si="36"/>
        <v>1</v>
      </c>
      <c r="B303" s="175" t="s">
        <v>1124</v>
      </c>
      <c r="C303" s="176" t="s">
        <v>131</v>
      </c>
      <c r="D303" s="178">
        <f t="shared" si="26"/>
        <v>1190</v>
      </c>
      <c r="E303" s="178">
        <v>1190</v>
      </c>
      <c r="F303" s="178" t="s">
        <v>1121</v>
      </c>
      <c r="G303" s="178" t="s">
        <v>66</v>
      </c>
      <c r="H303" s="178"/>
      <c r="I303" s="168" t="s">
        <v>1087</v>
      </c>
    </row>
    <row r="304" spans="1:9" x14ac:dyDescent="0.25">
      <c r="A304" s="175">
        <f t="shared" si="36"/>
        <v>1</v>
      </c>
      <c r="B304" s="175" t="s">
        <v>1125</v>
      </c>
      <c r="C304" s="176" t="s">
        <v>131</v>
      </c>
      <c r="D304" s="178">
        <f t="shared" si="26"/>
        <v>1299</v>
      </c>
      <c r="E304" s="178">
        <v>1299</v>
      </c>
      <c r="F304" s="178" t="s">
        <v>1121</v>
      </c>
      <c r="G304" s="178" t="s">
        <v>66</v>
      </c>
      <c r="H304" s="178"/>
      <c r="I304" s="168" t="s">
        <v>1087</v>
      </c>
    </row>
    <row r="305" spans="1:9" x14ac:dyDescent="0.25">
      <c r="A305" s="175">
        <f t="shared" si="36"/>
        <v>1</v>
      </c>
      <c r="B305" s="175" t="s">
        <v>947</v>
      </c>
      <c r="C305" s="176" t="s">
        <v>131</v>
      </c>
      <c r="D305" s="178">
        <f t="shared" si="26"/>
        <v>628</v>
      </c>
      <c r="E305" s="178">
        <v>628</v>
      </c>
      <c r="F305" s="178" t="s">
        <v>1121</v>
      </c>
      <c r="G305" s="178" t="s">
        <v>66</v>
      </c>
      <c r="H305" s="178"/>
      <c r="I305" s="168" t="s">
        <v>1087</v>
      </c>
    </row>
    <row r="306" spans="1:9" x14ac:dyDescent="0.25">
      <c r="A306" s="175">
        <f t="shared" si="36"/>
        <v>1</v>
      </c>
      <c r="B306" s="175" t="s">
        <v>939</v>
      </c>
      <c r="C306" s="176" t="s">
        <v>131</v>
      </c>
      <c r="D306" s="178">
        <f t="shared" si="26"/>
        <v>272.89999999999998</v>
      </c>
      <c r="E306" s="178">
        <v>272.89999999999998</v>
      </c>
      <c r="F306" s="178" t="s">
        <v>1121</v>
      </c>
      <c r="G306" s="178" t="s">
        <v>66</v>
      </c>
      <c r="H306" s="178"/>
      <c r="I306" s="168" t="s">
        <v>1087</v>
      </c>
    </row>
    <row r="307" spans="1:9" x14ac:dyDescent="0.25">
      <c r="A307" s="175">
        <f t="shared" si="36"/>
        <v>1</v>
      </c>
      <c r="B307" s="175" t="s">
        <v>956</v>
      </c>
      <c r="C307" s="176" t="s">
        <v>131</v>
      </c>
      <c r="D307" s="178">
        <f t="shared" si="26"/>
        <v>300</v>
      </c>
      <c r="E307" s="178">
        <v>300</v>
      </c>
      <c r="F307" s="178" t="s">
        <v>1121</v>
      </c>
      <c r="G307" s="178" t="s">
        <v>66</v>
      </c>
      <c r="H307" s="178"/>
      <c r="I307" s="168" t="s">
        <v>1087</v>
      </c>
    </row>
    <row r="308" spans="1:9" x14ac:dyDescent="0.25">
      <c r="A308" s="175">
        <f t="shared" si="36"/>
        <v>1</v>
      </c>
      <c r="B308" s="175" t="s">
        <v>6618</v>
      </c>
      <c r="C308" s="176" t="s">
        <v>131</v>
      </c>
      <c r="D308" s="178">
        <f t="shared" ref="D308" si="43">E308*$D$1</f>
        <v>454</v>
      </c>
      <c r="E308" s="178">
        <v>454</v>
      </c>
      <c r="F308" s="178" t="s">
        <v>1121</v>
      </c>
      <c r="G308" s="178" t="s">
        <v>66</v>
      </c>
      <c r="H308" s="178"/>
      <c r="I308" s="168" t="s">
        <v>1087</v>
      </c>
    </row>
    <row r="309" spans="1:9" x14ac:dyDescent="0.25">
      <c r="A309" s="175">
        <f t="shared" si="36"/>
        <v>1</v>
      </c>
      <c r="B309" s="175" t="s">
        <v>945</v>
      </c>
      <c r="C309" s="176" t="s">
        <v>131</v>
      </c>
      <c r="D309" s="178">
        <f t="shared" si="26"/>
        <v>1574.1</v>
      </c>
      <c r="E309" s="178">
        <v>1574.1</v>
      </c>
      <c r="F309" s="178" t="s">
        <v>1121</v>
      </c>
      <c r="G309" s="178" t="s">
        <v>66</v>
      </c>
      <c r="H309" s="178"/>
      <c r="I309" s="168" t="s">
        <v>1087</v>
      </c>
    </row>
    <row r="310" spans="1:9" x14ac:dyDescent="0.25">
      <c r="A310" s="175">
        <f t="shared" si="36"/>
        <v>1</v>
      </c>
      <c r="B310" s="175" t="s">
        <v>2054</v>
      </c>
      <c r="C310" s="176" t="s">
        <v>131</v>
      </c>
      <c r="D310" s="178">
        <f>E310*$D$1</f>
        <v>215</v>
      </c>
      <c r="E310" s="178">
        <v>215</v>
      </c>
      <c r="F310" s="178" t="s">
        <v>1121</v>
      </c>
      <c r="G310" s="178" t="s">
        <v>66</v>
      </c>
      <c r="H310" s="178"/>
      <c r="I310" s="168" t="s">
        <v>1087</v>
      </c>
    </row>
    <row r="311" spans="1:9" x14ac:dyDescent="0.25">
      <c r="A311" s="175">
        <f t="shared" si="36"/>
        <v>1</v>
      </c>
      <c r="B311" s="175" t="s">
        <v>958</v>
      </c>
      <c r="C311" s="176" t="s">
        <v>131</v>
      </c>
      <c r="D311" s="178">
        <f t="shared" si="26"/>
        <v>203.9</v>
      </c>
      <c r="E311" s="178">
        <v>203.9</v>
      </c>
      <c r="F311" s="178" t="s">
        <v>1121</v>
      </c>
      <c r="G311" s="178" t="s">
        <v>66</v>
      </c>
      <c r="H311" s="178"/>
      <c r="I311" s="168" t="s">
        <v>1087</v>
      </c>
    </row>
    <row r="312" spans="1:9" x14ac:dyDescent="0.25">
      <c r="A312" s="175">
        <f t="shared" si="36"/>
        <v>1</v>
      </c>
      <c r="B312" s="175" t="s">
        <v>933</v>
      </c>
      <c r="C312" s="176" t="s">
        <v>131</v>
      </c>
      <c r="D312" s="178">
        <f t="shared" si="26"/>
        <v>1010.4012000000001</v>
      </c>
      <c r="E312" s="178">
        <v>1010.4012000000001</v>
      </c>
      <c r="F312" s="178" t="s">
        <v>1121</v>
      </c>
      <c r="G312" s="178" t="s">
        <v>66</v>
      </c>
      <c r="H312" s="178"/>
      <c r="I312" s="168" t="s">
        <v>1087</v>
      </c>
    </row>
    <row r="313" spans="1:9" x14ac:dyDescent="0.25">
      <c r="A313" s="175">
        <f t="shared" si="36"/>
        <v>1</v>
      </c>
      <c r="B313" s="175" t="s">
        <v>963</v>
      </c>
      <c r="C313" s="176" t="s">
        <v>131</v>
      </c>
      <c r="D313" s="178">
        <f t="shared" si="26"/>
        <v>301</v>
      </c>
      <c r="E313" s="178">
        <v>301</v>
      </c>
      <c r="F313" s="178" t="s">
        <v>1121</v>
      </c>
      <c r="G313" s="178" t="s">
        <v>66</v>
      </c>
      <c r="H313" s="178"/>
      <c r="I313" s="168" t="s">
        <v>1087</v>
      </c>
    </row>
    <row r="314" spans="1:9" x14ac:dyDescent="0.25">
      <c r="A314" s="175">
        <f t="shared" si="36"/>
        <v>1</v>
      </c>
      <c r="B314" s="175" t="s">
        <v>961</v>
      </c>
      <c r="C314" s="176" t="s">
        <v>131</v>
      </c>
      <c r="D314" s="178">
        <f t="shared" si="26"/>
        <v>325</v>
      </c>
      <c r="E314" s="178">
        <v>325</v>
      </c>
      <c r="F314" s="178" t="s">
        <v>1121</v>
      </c>
      <c r="G314" s="178" t="s">
        <v>66</v>
      </c>
      <c r="H314" s="178"/>
      <c r="I314" s="168" t="s">
        <v>1087</v>
      </c>
    </row>
    <row r="315" spans="1:9" x14ac:dyDescent="0.25">
      <c r="A315" s="175">
        <f t="shared" si="36"/>
        <v>1</v>
      </c>
      <c r="B315" s="175" t="s">
        <v>978</v>
      </c>
      <c r="C315" s="176" t="s">
        <v>131</v>
      </c>
      <c r="D315" s="178">
        <f t="shared" si="26"/>
        <v>240</v>
      </c>
      <c r="E315" s="178">
        <v>240</v>
      </c>
      <c r="F315" s="178" t="s">
        <v>1121</v>
      </c>
      <c r="G315" s="178" t="s">
        <v>1122</v>
      </c>
      <c r="H315" s="178"/>
      <c r="I315" s="168" t="s">
        <v>1122</v>
      </c>
    </row>
    <row r="316" spans="1:9" x14ac:dyDescent="0.25">
      <c r="A316" s="175">
        <f t="shared" si="36"/>
        <v>1</v>
      </c>
      <c r="B316" s="175" t="s">
        <v>976</v>
      </c>
      <c r="C316" s="176" t="s">
        <v>131</v>
      </c>
      <c r="D316" s="178">
        <f t="shared" si="26"/>
        <v>202</v>
      </c>
      <c r="E316" s="178">
        <v>202</v>
      </c>
      <c r="F316" s="178" t="s">
        <v>1121</v>
      </c>
      <c r="G316" s="178" t="s">
        <v>1122</v>
      </c>
      <c r="H316" s="178"/>
      <c r="I316" s="168" t="s">
        <v>1122</v>
      </c>
    </row>
    <row r="317" spans="1:9" x14ac:dyDescent="0.25">
      <c r="A317" s="175">
        <f t="shared" si="36"/>
        <v>1</v>
      </c>
      <c r="B317" s="175" t="s">
        <v>981</v>
      </c>
      <c r="C317" s="176" t="s">
        <v>131</v>
      </c>
      <c r="D317" s="178">
        <f t="shared" si="26"/>
        <v>44</v>
      </c>
      <c r="E317" s="178">
        <v>44</v>
      </c>
      <c r="F317" s="178" t="s">
        <v>1121</v>
      </c>
      <c r="G317" s="178" t="s">
        <v>1122</v>
      </c>
      <c r="H317" s="178"/>
      <c r="I317" s="168" t="s">
        <v>1122</v>
      </c>
    </row>
    <row r="318" spans="1:9" x14ac:dyDescent="0.25">
      <c r="A318" s="175">
        <f t="shared" si="36"/>
        <v>1</v>
      </c>
      <c r="B318" s="175" t="s">
        <v>943</v>
      </c>
      <c r="C318" s="176" t="s">
        <v>131</v>
      </c>
      <c r="D318" s="178">
        <f t="shared" si="26"/>
        <v>22</v>
      </c>
      <c r="E318" s="178">
        <v>22</v>
      </c>
      <c r="F318" s="178" t="s">
        <v>1121</v>
      </c>
      <c r="G318" s="178" t="s">
        <v>1122</v>
      </c>
      <c r="H318" s="178"/>
      <c r="I318" s="168" t="s">
        <v>1122</v>
      </c>
    </row>
    <row r="319" spans="1:9" x14ac:dyDescent="0.25">
      <c r="A319" s="175">
        <f t="shared" si="36"/>
        <v>1</v>
      </c>
      <c r="B319" s="175" t="s">
        <v>990</v>
      </c>
      <c r="C319" s="176" t="s">
        <v>131</v>
      </c>
      <c r="D319" s="178">
        <f t="shared" si="26"/>
        <v>240</v>
      </c>
      <c r="E319" s="178">
        <v>240</v>
      </c>
      <c r="F319" s="178" t="s">
        <v>1121</v>
      </c>
      <c r="G319" s="178" t="s">
        <v>1122</v>
      </c>
      <c r="H319" s="178"/>
      <c r="I319" s="168" t="s">
        <v>1122</v>
      </c>
    </row>
    <row r="320" spans="1:9" x14ac:dyDescent="0.25">
      <c r="A320" s="175">
        <f t="shared" si="36"/>
        <v>1</v>
      </c>
      <c r="B320" s="175" t="s">
        <v>948</v>
      </c>
      <c r="C320" s="176" t="s">
        <v>131</v>
      </c>
      <c r="D320" s="178">
        <f t="shared" si="26"/>
        <v>177</v>
      </c>
      <c r="E320" s="178">
        <v>177</v>
      </c>
      <c r="F320" s="178" t="s">
        <v>1121</v>
      </c>
      <c r="G320" s="178" t="s">
        <v>1122</v>
      </c>
      <c r="H320" s="178"/>
      <c r="I320" s="168" t="s">
        <v>1122</v>
      </c>
    </row>
    <row r="321" spans="1:9" x14ac:dyDescent="0.25">
      <c r="A321" s="175">
        <f t="shared" si="36"/>
        <v>1</v>
      </c>
      <c r="B321" s="175" t="s">
        <v>949</v>
      </c>
      <c r="C321" s="176" t="s">
        <v>131</v>
      </c>
      <c r="D321" s="178">
        <f t="shared" si="26"/>
        <v>517</v>
      </c>
      <c r="E321" s="178">
        <v>517</v>
      </c>
      <c r="F321" s="178" t="s">
        <v>1121</v>
      </c>
      <c r="G321" s="178" t="s">
        <v>1126</v>
      </c>
      <c r="H321" s="178"/>
      <c r="I321" s="168" t="s">
        <v>1122</v>
      </c>
    </row>
    <row r="322" spans="1:9" x14ac:dyDescent="0.25">
      <c r="A322" s="175">
        <f t="shared" si="36"/>
        <v>1</v>
      </c>
      <c r="B322" s="175" t="s">
        <v>989</v>
      </c>
      <c r="C322" s="176" t="s">
        <v>131</v>
      </c>
      <c r="D322" s="178">
        <f t="shared" si="26"/>
        <v>396.67</v>
      </c>
      <c r="E322" s="178">
        <v>396.67</v>
      </c>
      <c r="F322" s="178" t="s">
        <v>1121</v>
      </c>
      <c r="G322" s="178" t="s">
        <v>1126</v>
      </c>
      <c r="H322" s="178"/>
      <c r="I322" s="168" t="s">
        <v>1122</v>
      </c>
    </row>
    <row r="323" spans="1:9" x14ac:dyDescent="0.25">
      <c r="A323" s="175">
        <f t="shared" si="36"/>
        <v>1</v>
      </c>
      <c r="B323" s="175" t="s">
        <v>951</v>
      </c>
      <c r="C323" s="176" t="s">
        <v>131</v>
      </c>
      <c r="D323" s="178">
        <f t="shared" si="26"/>
        <v>256.89999999999998</v>
      </c>
      <c r="E323" s="178">
        <v>256.89999999999998</v>
      </c>
      <c r="F323" s="178" t="s">
        <v>1121</v>
      </c>
      <c r="G323" s="178" t="s">
        <v>1126</v>
      </c>
      <c r="H323" s="178"/>
      <c r="I323" s="168" t="s">
        <v>1122</v>
      </c>
    </row>
    <row r="324" spans="1:9" x14ac:dyDescent="0.25">
      <c r="A324" s="175">
        <f t="shared" si="36"/>
        <v>1</v>
      </c>
      <c r="B324" s="175" t="s">
        <v>942</v>
      </c>
      <c r="C324" s="176" t="s">
        <v>131</v>
      </c>
      <c r="D324" s="178">
        <f t="shared" si="26"/>
        <v>8.9</v>
      </c>
      <c r="E324" s="178">
        <v>8.9</v>
      </c>
      <c r="F324" s="178" t="s">
        <v>1121</v>
      </c>
      <c r="G324" s="178" t="s">
        <v>1126</v>
      </c>
      <c r="H324" s="178"/>
      <c r="I324" s="168" t="s">
        <v>1122</v>
      </c>
    </row>
    <row r="325" spans="1:9" x14ac:dyDescent="0.25">
      <c r="A325" s="175">
        <f t="shared" si="36"/>
        <v>1</v>
      </c>
      <c r="B325" s="175" t="s">
        <v>964</v>
      </c>
      <c r="C325" s="176" t="s">
        <v>131</v>
      </c>
      <c r="D325" s="178">
        <f t="shared" si="26"/>
        <v>35</v>
      </c>
      <c r="E325" s="178">
        <v>35</v>
      </c>
      <c r="F325" s="178" t="s">
        <v>1121</v>
      </c>
      <c r="G325" s="178" t="s">
        <v>1126</v>
      </c>
      <c r="H325" s="178"/>
      <c r="I325" s="168" t="s">
        <v>1122</v>
      </c>
    </row>
    <row r="326" spans="1:9" x14ac:dyDescent="0.25">
      <c r="A326" s="175">
        <f t="shared" si="36"/>
        <v>1</v>
      </c>
      <c r="B326" s="175" t="s">
        <v>991</v>
      </c>
      <c r="C326" s="176" t="s">
        <v>131</v>
      </c>
      <c r="D326" s="178">
        <f t="shared" si="26"/>
        <v>350</v>
      </c>
      <c r="E326" s="178">
        <v>350</v>
      </c>
      <c r="F326" s="178" t="s">
        <v>1121</v>
      </c>
      <c r="G326" s="178" t="s">
        <v>1126</v>
      </c>
      <c r="H326" s="178"/>
      <c r="I326" s="168" t="s">
        <v>1122</v>
      </c>
    </row>
    <row r="327" spans="1:9" x14ac:dyDescent="0.25">
      <c r="A327" s="175">
        <f t="shared" si="36"/>
        <v>1</v>
      </c>
      <c r="B327" s="175" t="s">
        <v>968</v>
      </c>
      <c r="C327" s="176" t="s">
        <v>131</v>
      </c>
      <c r="D327" s="178">
        <f t="shared" si="26"/>
        <v>400</v>
      </c>
      <c r="E327" s="178">
        <v>400</v>
      </c>
      <c r="F327" s="178" t="s">
        <v>1121</v>
      </c>
      <c r="G327" s="178" t="s">
        <v>1126</v>
      </c>
      <c r="H327" s="178"/>
      <c r="I327" s="168" t="s">
        <v>1122</v>
      </c>
    </row>
    <row r="328" spans="1:9" x14ac:dyDescent="0.25">
      <c r="A328" s="175">
        <f t="shared" si="36"/>
        <v>1</v>
      </c>
      <c r="B328" s="175" t="s">
        <v>970</v>
      </c>
      <c r="C328" s="176" t="s">
        <v>131</v>
      </c>
      <c r="D328" s="178">
        <f t="shared" si="26"/>
        <v>50</v>
      </c>
      <c r="E328" s="178">
        <v>50</v>
      </c>
      <c r="F328" s="178" t="s">
        <v>1121</v>
      </c>
      <c r="G328" s="178" t="s">
        <v>1126</v>
      </c>
      <c r="H328" s="178"/>
      <c r="I328" s="168" t="s">
        <v>1122</v>
      </c>
    </row>
    <row r="329" spans="1:9" x14ac:dyDescent="0.25">
      <c r="A329" s="175">
        <f t="shared" si="36"/>
        <v>1</v>
      </c>
      <c r="B329" s="175" t="s">
        <v>966</v>
      </c>
      <c r="C329" s="176" t="s">
        <v>131</v>
      </c>
      <c r="D329" s="178">
        <f t="shared" ref="D329:D400" si="44">E329*$D$1</f>
        <v>1054.93</v>
      </c>
      <c r="E329" s="178">
        <v>1054.93</v>
      </c>
      <c r="F329" s="178" t="s">
        <v>1121</v>
      </c>
      <c r="G329" s="178" t="s">
        <v>1126</v>
      </c>
      <c r="H329" s="178"/>
      <c r="I329" s="168" t="s">
        <v>1122</v>
      </c>
    </row>
    <row r="330" spans="1:9" x14ac:dyDescent="0.25">
      <c r="A330" s="175">
        <f t="shared" si="36"/>
        <v>1</v>
      </c>
      <c r="B330" s="175" t="s">
        <v>972</v>
      </c>
      <c r="C330" s="176" t="s">
        <v>131</v>
      </c>
      <c r="D330" s="178">
        <f t="shared" si="44"/>
        <v>1054.93</v>
      </c>
      <c r="E330" s="178">
        <v>1054.93</v>
      </c>
      <c r="F330" s="178" t="s">
        <v>1121</v>
      </c>
      <c r="G330" s="178" t="s">
        <v>1126</v>
      </c>
      <c r="H330" s="178"/>
      <c r="I330" s="168" t="s">
        <v>1122</v>
      </c>
    </row>
    <row r="331" spans="1:9" x14ac:dyDescent="0.25">
      <c r="A331" s="175">
        <f t="shared" si="36"/>
        <v>1</v>
      </c>
      <c r="B331" s="175" t="s">
        <v>620</v>
      </c>
      <c r="C331" s="176" t="s">
        <v>131</v>
      </c>
      <c r="D331" s="178">
        <f t="shared" si="44"/>
        <v>3489</v>
      </c>
      <c r="E331" s="178">
        <v>3489</v>
      </c>
      <c r="F331" s="178" t="s">
        <v>1121</v>
      </c>
      <c r="G331" s="178" t="s">
        <v>1126</v>
      </c>
      <c r="H331" s="178"/>
      <c r="I331" s="168" t="s">
        <v>1122</v>
      </c>
    </row>
    <row r="332" spans="1:9" x14ac:dyDescent="0.25">
      <c r="A332" s="175">
        <f t="shared" si="36"/>
        <v>1</v>
      </c>
      <c r="B332" s="175" t="s">
        <v>622</v>
      </c>
      <c r="C332" s="176" t="s">
        <v>131</v>
      </c>
      <c r="D332" s="178">
        <f t="shared" si="44"/>
        <v>1177</v>
      </c>
      <c r="E332" s="178">
        <v>1177</v>
      </c>
      <c r="F332" s="178" t="s">
        <v>1121</v>
      </c>
      <c r="G332" s="178" t="s">
        <v>1126</v>
      </c>
      <c r="H332" s="178"/>
      <c r="I332" s="168" t="s">
        <v>1122</v>
      </c>
    </row>
    <row r="333" spans="1:9" x14ac:dyDescent="0.25">
      <c r="A333" s="175">
        <f t="shared" si="36"/>
        <v>1</v>
      </c>
      <c r="B333" s="175" t="s">
        <v>363</v>
      </c>
      <c r="C333" s="176" t="s">
        <v>25</v>
      </c>
      <c r="D333" s="178">
        <f t="shared" si="44"/>
        <v>29.5</v>
      </c>
      <c r="E333" s="178">
        <v>29.5</v>
      </c>
      <c r="F333" s="178" t="s">
        <v>1107</v>
      </c>
      <c r="G333" s="178" t="s">
        <v>1107</v>
      </c>
      <c r="H333" s="178"/>
      <c r="I333" s="168" t="s">
        <v>1127</v>
      </c>
    </row>
    <row r="334" spans="1:9" x14ac:dyDescent="0.25">
      <c r="A334" s="175">
        <f t="shared" si="36"/>
        <v>1</v>
      </c>
      <c r="B334" s="175" t="s">
        <v>365</v>
      </c>
      <c r="C334" s="176" t="s">
        <v>13</v>
      </c>
      <c r="D334" s="178">
        <f t="shared" si="44"/>
        <v>46.120293847566572</v>
      </c>
      <c r="E334" s="178">
        <v>46.120293847566572</v>
      </c>
      <c r="F334" s="178" t="s">
        <v>1107</v>
      </c>
      <c r="G334" s="178" t="s">
        <v>1107</v>
      </c>
      <c r="H334" s="178"/>
      <c r="I334" s="168" t="s">
        <v>1127</v>
      </c>
    </row>
    <row r="335" spans="1:9" x14ac:dyDescent="0.25">
      <c r="A335" s="175">
        <f t="shared" si="36"/>
        <v>1</v>
      </c>
      <c r="B335" s="175" t="s">
        <v>482</v>
      </c>
      <c r="C335" s="176" t="s">
        <v>13</v>
      </c>
      <c r="D335" s="178">
        <f t="shared" si="44"/>
        <v>59.297520661157016</v>
      </c>
      <c r="E335" s="178">
        <v>59.297520661157016</v>
      </c>
      <c r="F335" s="178" t="s">
        <v>1107</v>
      </c>
      <c r="G335" s="178" t="s">
        <v>1107</v>
      </c>
      <c r="H335" s="178"/>
      <c r="I335" s="168" t="s">
        <v>1127</v>
      </c>
    </row>
    <row r="336" spans="1:9" x14ac:dyDescent="0.25">
      <c r="A336" s="175">
        <f t="shared" si="36"/>
        <v>1</v>
      </c>
      <c r="B336" s="175" t="s">
        <v>2455</v>
      </c>
      <c r="C336" s="176" t="s">
        <v>13</v>
      </c>
      <c r="D336" s="178">
        <f>E336*$D$1</f>
        <v>37.96</v>
      </c>
      <c r="E336" s="178">
        <v>37.96</v>
      </c>
      <c r="F336" s="178" t="s">
        <v>1107</v>
      </c>
      <c r="G336" s="178" t="s">
        <v>1107</v>
      </c>
      <c r="H336" s="178"/>
      <c r="I336" s="168" t="s">
        <v>1127</v>
      </c>
    </row>
    <row r="337" spans="1:9" x14ac:dyDescent="0.25">
      <c r="A337" s="175">
        <f t="shared" si="36"/>
        <v>1</v>
      </c>
      <c r="B337" s="175" t="s">
        <v>374</v>
      </c>
      <c r="C337" s="176" t="s">
        <v>13</v>
      </c>
      <c r="D337" s="178">
        <f t="shared" si="44"/>
        <v>35.78</v>
      </c>
      <c r="E337" s="178">
        <v>35.78</v>
      </c>
      <c r="F337" s="178" t="s">
        <v>1107</v>
      </c>
      <c r="G337" s="178" t="s">
        <v>1107</v>
      </c>
      <c r="H337" s="178"/>
      <c r="I337" s="168" t="s">
        <v>1127</v>
      </c>
    </row>
    <row r="338" spans="1:9" x14ac:dyDescent="0.25">
      <c r="A338" s="175">
        <f t="shared" ref="A338:A401" si="45">COUNTIFS($B$2:$B$764,B338)</f>
        <v>1</v>
      </c>
      <c r="B338" s="175" t="s">
        <v>484</v>
      </c>
      <c r="C338" s="176" t="s">
        <v>13</v>
      </c>
      <c r="D338" s="178">
        <f t="shared" si="44"/>
        <v>46.002857142857138</v>
      </c>
      <c r="E338" s="178">
        <v>46.002857142857138</v>
      </c>
      <c r="F338" s="178" t="s">
        <v>1107</v>
      </c>
      <c r="G338" s="178" t="s">
        <v>1107</v>
      </c>
      <c r="H338" s="178"/>
      <c r="I338" s="168" t="s">
        <v>1127</v>
      </c>
    </row>
    <row r="339" spans="1:9" x14ac:dyDescent="0.25">
      <c r="A339" s="175">
        <f t="shared" si="45"/>
        <v>1</v>
      </c>
      <c r="B339" s="175" t="s">
        <v>345</v>
      </c>
      <c r="C339" s="176" t="s">
        <v>131</v>
      </c>
      <c r="D339" s="178">
        <f t="shared" si="44"/>
        <v>58.46</v>
      </c>
      <c r="E339" s="178">
        <v>58.46</v>
      </c>
      <c r="F339" s="178" t="s">
        <v>1107</v>
      </c>
      <c r="G339" s="178" t="s">
        <v>1107</v>
      </c>
      <c r="H339" s="178"/>
      <c r="I339" s="168" t="s">
        <v>1127</v>
      </c>
    </row>
    <row r="340" spans="1:9" x14ac:dyDescent="0.25">
      <c r="A340" s="175">
        <f t="shared" si="45"/>
        <v>1</v>
      </c>
      <c r="B340" s="175" t="s">
        <v>749</v>
      </c>
      <c r="C340" s="176" t="s">
        <v>13</v>
      </c>
      <c r="D340" s="178">
        <f t="shared" si="44"/>
        <v>557</v>
      </c>
      <c r="E340" s="178">
        <v>557</v>
      </c>
      <c r="F340" s="178" t="s">
        <v>1107</v>
      </c>
      <c r="G340" s="178" t="s">
        <v>1128</v>
      </c>
      <c r="H340" s="178"/>
      <c r="I340" s="168" t="s">
        <v>1129</v>
      </c>
    </row>
    <row r="341" spans="1:9" x14ac:dyDescent="0.25">
      <c r="A341" s="175">
        <f t="shared" si="45"/>
        <v>1</v>
      </c>
      <c r="B341" s="175" t="s">
        <v>450</v>
      </c>
      <c r="C341" s="176" t="s">
        <v>1117</v>
      </c>
      <c r="D341" s="178">
        <f>E341*$D$1</f>
        <v>15.55</v>
      </c>
      <c r="E341" s="178">
        <v>15.55</v>
      </c>
      <c r="F341" s="178" t="s">
        <v>1107</v>
      </c>
      <c r="G341" s="178" t="s">
        <v>1067</v>
      </c>
      <c r="H341" s="178"/>
      <c r="I341" s="168" t="s">
        <v>1067</v>
      </c>
    </row>
    <row r="342" spans="1:9" x14ac:dyDescent="0.25">
      <c r="A342" s="175">
        <f t="shared" si="45"/>
        <v>1</v>
      </c>
      <c r="B342" s="175" t="s">
        <v>1971</v>
      </c>
      <c r="C342" s="176" t="s">
        <v>428</v>
      </c>
      <c r="D342" s="178">
        <f t="shared" si="44"/>
        <v>21.666666666666668</v>
      </c>
      <c r="E342" s="178">
        <f>390/18</f>
        <v>21.666666666666668</v>
      </c>
      <c r="F342" s="178" t="s">
        <v>1107</v>
      </c>
      <c r="G342" s="178" t="s">
        <v>1067</v>
      </c>
      <c r="H342" s="178"/>
      <c r="I342" s="168" t="s">
        <v>1067</v>
      </c>
    </row>
    <row r="343" spans="1:9" x14ac:dyDescent="0.25">
      <c r="A343" s="175">
        <f t="shared" si="45"/>
        <v>1</v>
      </c>
      <c r="B343" s="175" t="s">
        <v>1972</v>
      </c>
      <c r="C343" s="176" t="s">
        <v>13</v>
      </c>
      <c r="D343" s="178">
        <f>E343*$D$1</f>
        <v>650</v>
      </c>
      <c r="E343" s="178">
        <f>130/(0.4*0.5)</f>
        <v>650</v>
      </c>
      <c r="F343" s="178" t="s">
        <v>1107</v>
      </c>
      <c r="G343" s="178" t="s">
        <v>1067</v>
      </c>
      <c r="H343" s="178"/>
      <c r="I343" s="168" t="s">
        <v>1067</v>
      </c>
    </row>
    <row r="344" spans="1:9" x14ac:dyDescent="0.25">
      <c r="A344" s="175">
        <f t="shared" si="45"/>
        <v>1</v>
      </c>
      <c r="B344" s="175" t="s">
        <v>1973</v>
      </c>
      <c r="C344" s="176" t="s">
        <v>428</v>
      </c>
      <c r="D344" s="178">
        <f t="shared" si="44"/>
        <v>15.780000000000001</v>
      </c>
      <c r="E344" s="178">
        <f>78.9/5</f>
        <v>15.780000000000001</v>
      </c>
      <c r="F344" s="178" t="s">
        <v>1107</v>
      </c>
      <c r="G344" s="178" t="s">
        <v>1067</v>
      </c>
      <c r="H344" s="178"/>
      <c r="I344" s="168" t="s">
        <v>1067</v>
      </c>
    </row>
    <row r="345" spans="1:9" x14ac:dyDescent="0.25">
      <c r="A345" s="175">
        <f t="shared" si="45"/>
        <v>1</v>
      </c>
      <c r="B345" s="175" t="s">
        <v>268</v>
      </c>
      <c r="C345" s="176" t="s">
        <v>13</v>
      </c>
      <c r="D345" s="178">
        <f t="shared" si="44"/>
        <v>119.77</v>
      </c>
      <c r="E345" s="178">
        <v>119.77</v>
      </c>
      <c r="F345" s="178" t="s">
        <v>1107</v>
      </c>
      <c r="G345" s="178" t="s">
        <v>1130</v>
      </c>
      <c r="H345" s="178"/>
      <c r="I345" s="168" t="s">
        <v>1129</v>
      </c>
    </row>
    <row r="346" spans="1:9" x14ac:dyDescent="0.25">
      <c r="A346" s="175">
        <f t="shared" si="45"/>
        <v>1</v>
      </c>
      <c r="B346" s="175" t="s">
        <v>708</v>
      </c>
      <c r="C346" s="176" t="s">
        <v>13</v>
      </c>
      <c r="D346" s="178">
        <f t="shared" si="44"/>
        <v>90</v>
      </c>
      <c r="E346" s="178">
        <v>90</v>
      </c>
      <c r="F346" s="178" t="s">
        <v>1107</v>
      </c>
      <c r="G346" s="178" t="s">
        <v>1128</v>
      </c>
      <c r="H346" s="178"/>
      <c r="I346" s="168" t="s">
        <v>1129</v>
      </c>
    </row>
    <row r="347" spans="1:9" x14ac:dyDescent="0.25">
      <c r="A347" s="175">
        <f t="shared" si="45"/>
        <v>1</v>
      </c>
      <c r="B347" s="175" t="s">
        <v>346</v>
      </c>
      <c r="C347" s="176" t="s">
        <v>25</v>
      </c>
      <c r="D347" s="178">
        <f t="shared" si="44"/>
        <v>7</v>
      </c>
      <c r="E347" s="178">
        <v>7</v>
      </c>
      <c r="F347" s="178" t="s">
        <v>1107</v>
      </c>
      <c r="G347" s="178" t="s">
        <v>1107</v>
      </c>
      <c r="H347" s="178"/>
      <c r="I347" s="168" t="s">
        <v>1127</v>
      </c>
    </row>
    <row r="348" spans="1:9" x14ac:dyDescent="0.25">
      <c r="A348" s="175">
        <f t="shared" si="45"/>
        <v>1</v>
      </c>
      <c r="B348" s="175" t="s">
        <v>348</v>
      </c>
      <c r="C348" s="176" t="s">
        <v>25</v>
      </c>
      <c r="D348" s="178">
        <f t="shared" si="44"/>
        <v>2</v>
      </c>
      <c r="E348" s="178">
        <v>2</v>
      </c>
      <c r="F348" s="178" t="s">
        <v>1107</v>
      </c>
      <c r="G348" s="178" t="s">
        <v>1107</v>
      </c>
      <c r="H348" s="178"/>
      <c r="I348" s="168" t="s">
        <v>1127</v>
      </c>
    </row>
    <row r="349" spans="1:9" x14ac:dyDescent="0.25">
      <c r="A349" s="175">
        <f t="shared" si="45"/>
        <v>1</v>
      </c>
      <c r="B349" s="175" t="s">
        <v>347</v>
      </c>
      <c r="C349" s="176" t="s">
        <v>13</v>
      </c>
      <c r="D349" s="178">
        <f t="shared" si="44"/>
        <v>46.5</v>
      </c>
      <c r="E349" s="178">
        <v>46.5</v>
      </c>
      <c r="F349" s="178" t="s">
        <v>1107</v>
      </c>
      <c r="G349" s="178" t="s">
        <v>1107</v>
      </c>
      <c r="H349" s="178"/>
      <c r="I349" s="168" t="s">
        <v>1127</v>
      </c>
    </row>
    <row r="350" spans="1:9" x14ac:dyDescent="0.25">
      <c r="A350" s="175">
        <f t="shared" si="45"/>
        <v>1</v>
      </c>
      <c r="B350" s="175" t="s">
        <v>344</v>
      </c>
      <c r="C350" s="176" t="s">
        <v>13</v>
      </c>
      <c r="D350" s="178">
        <f>E350*$D$1</f>
        <v>46.5</v>
      </c>
      <c r="E350" s="178">
        <v>46.5</v>
      </c>
      <c r="F350" s="178" t="s">
        <v>1107</v>
      </c>
      <c r="G350" s="178" t="s">
        <v>1107</v>
      </c>
      <c r="H350" s="178"/>
      <c r="I350" s="168" t="s">
        <v>1127</v>
      </c>
    </row>
    <row r="351" spans="1:9" x14ac:dyDescent="0.25">
      <c r="A351" s="175">
        <f t="shared" si="45"/>
        <v>1</v>
      </c>
      <c r="B351" s="175" t="s">
        <v>2362</v>
      </c>
      <c r="C351" s="176" t="s">
        <v>2</v>
      </c>
      <c r="D351" s="178">
        <f t="shared" si="44"/>
        <v>21.12</v>
      </c>
      <c r="E351" s="178">
        <v>21.12</v>
      </c>
      <c r="F351" s="178" t="s">
        <v>1107</v>
      </c>
      <c r="G351" s="178" t="s">
        <v>1107</v>
      </c>
      <c r="H351" s="178"/>
      <c r="I351" s="168" t="s">
        <v>1127</v>
      </c>
    </row>
    <row r="352" spans="1:9" x14ac:dyDescent="0.25">
      <c r="A352" s="175">
        <f t="shared" si="45"/>
        <v>1</v>
      </c>
      <c r="B352" s="175" t="s">
        <v>368</v>
      </c>
      <c r="C352" s="176" t="s">
        <v>390</v>
      </c>
      <c r="D352" s="178">
        <f t="shared" si="44"/>
        <v>1100</v>
      </c>
      <c r="E352" s="178">
        <v>1100</v>
      </c>
      <c r="F352" s="178" t="s">
        <v>1107</v>
      </c>
      <c r="G352" s="178" t="s">
        <v>1107</v>
      </c>
      <c r="H352" s="178"/>
      <c r="I352" s="168" t="s">
        <v>1127</v>
      </c>
    </row>
    <row r="353" spans="1:9" x14ac:dyDescent="0.25">
      <c r="A353" s="175">
        <f t="shared" si="45"/>
        <v>1</v>
      </c>
      <c r="B353" s="175" t="s">
        <v>1131</v>
      </c>
      <c r="C353" s="176" t="s">
        <v>25</v>
      </c>
      <c r="D353" s="178">
        <f t="shared" si="44"/>
        <v>5.62</v>
      </c>
      <c r="E353" s="178">
        <v>5.62</v>
      </c>
      <c r="F353" s="178" t="s">
        <v>1107</v>
      </c>
      <c r="G353" s="178" t="s">
        <v>1107</v>
      </c>
      <c r="H353" s="178"/>
      <c r="I353" s="168" t="s">
        <v>1127</v>
      </c>
    </row>
    <row r="354" spans="1:9" x14ac:dyDescent="0.25">
      <c r="A354" s="175">
        <f t="shared" si="45"/>
        <v>1</v>
      </c>
      <c r="B354" s="175" t="s">
        <v>373</v>
      </c>
      <c r="C354" s="176" t="s">
        <v>390</v>
      </c>
      <c r="D354" s="178">
        <f t="shared" si="44"/>
        <v>1350</v>
      </c>
      <c r="E354" s="178">
        <v>1350</v>
      </c>
      <c r="F354" s="178" t="s">
        <v>1107</v>
      </c>
      <c r="G354" s="178" t="s">
        <v>1107</v>
      </c>
      <c r="H354" s="178"/>
      <c r="I354" s="168" t="s">
        <v>1127</v>
      </c>
    </row>
    <row r="355" spans="1:9" x14ac:dyDescent="0.25">
      <c r="A355" s="175">
        <f t="shared" si="45"/>
        <v>1</v>
      </c>
      <c r="B355" s="175" t="s">
        <v>743</v>
      </c>
      <c r="C355" s="176" t="s">
        <v>390</v>
      </c>
      <c r="D355" s="178">
        <f t="shared" si="44"/>
        <v>1050</v>
      </c>
      <c r="E355" s="178">
        <v>1050</v>
      </c>
      <c r="F355" s="178" t="s">
        <v>1107</v>
      </c>
      <c r="G355" s="178" t="s">
        <v>1107</v>
      </c>
      <c r="H355" s="178"/>
      <c r="I355" s="168" t="s">
        <v>1127</v>
      </c>
    </row>
    <row r="356" spans="1:9" x14ac:dyDescent="0.25">
      <c r="A356" s="175">
        <f t="shared" si="45"/>
        <v>1</v>
      </c>
      <c r="B356" s="175" t="s">
        <v>369</v>
      </c>
      <c r="C356" s="176" t="s">
        <v>25</v>
      </c>
      <c r="D356" s="178">
        <f t="shared" si="44"/>
        <v>21.23</v>
      </c>
      <c r="E356" s="178">
        <v>21.23</v>
      </c>
      <c r="F356" s="178" t="s">
        <v>1107</v>
      </c>
      <c r="G356" s="178" t="s">
        <v>1107</v>
      </c>
      <c r="H356" s="178"/>
      <c r="I356" s="168" t="s">
        <v>1127</v>
      </c>
    </row>
    <row r="357" spans="1:9" x14ac:dyDescent="0.25">
      <c r="A357" s="175">
        <f t="shared" si="45"/>
        <v>1</v>
      </c>
      <c r="B357" s="175" t="s">
        <v>451</v>
      </c>
      <c r="C357" s="176" t="s">
        <v>25</v>
      </c>
      <c r="D357" s="178">
        <f t="shared" si="44"/>
        <v>42.46</v>
      </c>
      <c r="E357" s="178">
        <v>42.46</v>
      </c>
      <c r="F357" s="178" t="s">
        <v>1107</v>
      </c>
      <c r="G357" s="178" t="s">
        <v>1107</v>
      </c>
      <c r="H357" s="178"/>
      <c r="I357" s="168" t="s">
        <v>1127</v>
      </c>
    </row>
    <row r="358" spans="1:9" x14ac:dyDescent="0.25">
      <c r="A358" s="175">
        <f t="shared" si="45"/>
        <v>1</v>
      </c>
      <c r="B358" s="175" t="s">
        <v>480</v>
      </c>
      <c r="C358" s="176" t="s">
        <v>25</v>
      </c>
      <c r="D358" s="178">
        <f t="shared" si="44"/>
        <v>42.46</v>
      </c>
      <c r="E358" s="178">
        <v>42.46</v>
      </c>
      <c r="F358" s="178" t="s">
        <v>1107</v>
      </c>
      <c r="G358" s="178" t="s">
        <v>1107</v>
      </c>
      <c r="H358" s="178"/>
      <c r="I358" s="168" t="s">
        <v>1127</v>
      </c>
    </row>
    <row r="359" spans="1:9" x14ac:dyDescent="0.25">
      <c r="A359" s="175">
        <f t="shared" si="45"/>
        <v>1</v>
      </c>
      <c r="B359" s="175" t="s">
        <v>1000</v>
      </c>
      <c r="C359" s="176" t="s">
        <v>131</v>
      </c>
      <c r="D359" s="178">
        <f t="shared" si="44"/>
        <v>3300</v>
      </c>
      <c r="E359" s="178">
        <v>3300</v>
      </c>
      <c r="F359" s="178" t="s">
        <v>1107</v>
      </c>
      <c r="G359" s="178" t="s">
        <v>1130</v>
      </c>
      <c r="H359" s="178"/>
      <c r="I359" s="168" t="s">
        <v>1129</v>
      </c>
    </row>
    <row r="360" spans="1:9" x14ac:dyDescent="0.25">
      <c r="A360" s="175">
        <f t="shared" si="45"/>
        <v>1</v>
      </c>
      <c r="B360" s="175" t="s">
        <v>1132</v>
      </c>
      <c r="C360" s="176" t="s">
        <v>25</v>
      </c>
      <c r="D360" s="178">
        <f t="shared" si="44"/>
        <v>62.4</v>
      </c>
      <c r="E360" s="178">
        <v>62.4</v>
      </c>
      <c r="F360" s="178" t="s">
        <v>1107</v>
      </c>
      <c r="G360" s="178" t="s">
        <v>1130</v>
      </c>
      <c r="H360" s="178"/>
      <c r="I360" s="168" t="s">
        <v>1129</v>
      </c>
    </row>
    <row r="361" spans="1:9" x14ac:dyDescent="0.25">
      <c r="A361" s="175">
        <f t="shared" si="45"/>
        <v>1</v>
      </c>
      <c r="B361" s="175" t="s">
        <v>1030</v>
      </c>
      <c r="C361" s="176" t="s">
        <v>127</v>
      </c>
      <c r="D361" s="178">
        <f t="shared" si="44"/>
        <v>3400</v>
      </c>
      <c r="E361" s="178">
        <v>3400</v>
      </c>
      <c r="F361" s="178" t="s">
        <v>1133</v>
      </c>
      <c r="G361" s="178" t="s">
        <v>1133</v>
      </c>
      <c r="H361" s="178"/>
      <c r="I361" s="168" t="s">
        <v>1134</v>
      </c>
    </row>
    <row r="362" spans="1:9" x14ac:dyDescent="0.25">
      <c r="A362" s="175">
        <f t="shared" si="45"/>
        <v>1</v>
      </c>
      <c r="B362" s="175" t="s">
        <v>1028</v>
      </c>
      <c r="C362" s="176" t="s">
        <v>127</v>
      </c>
      <c r="D362" s="178">
        <f t="shared" si="44"/>
        <v>4550</v>
      </c>
      <c r="E362" s="178">
        <v>4550</v>
      </c>
      <c r="F362" s="178" t="s">
        <v>1133</v>
      </c>
      <c r="G362" s="178" t="s">
        <v>1133</v>
      </c>
      <c r="H362" s="178"/>
      <c r="I362" s="168" t="s">
        <v>1134</v>
      </c>
    </row>
    <row r="363" spans="1:9" x14ac:dyDescent="0.25">
      <c r="A363" s="175">
        <f t="shared" si="45"/>
        <v>1</v>
      </c>
      <c r="B363" s="175" t="s">
        <v>1048</v>
      </c>
      <c r="C363" s="176" t="s">
        <v>127</v>
      </c>
      <c r="D363" s="178">
        <f t="shared" si="44"/>
        <v>6500</v>
      </c>
      <c r="E363" s="178">
        <v>6500</v>
      </c>
      <c r="F363" s="178" t="s">
        <v>1133</v>
      </c>
      <c r="G363" s="178" t="s">
        <v>1133</v>
      </c>
      <c r="H363" s="178"/>
      <c r="I363" s="168" t="s">
        <v>1134</v>
      </c>
    </row>
    <row r="364" spans="1:9" x14ac:dyDescent="0.25">
      <c r="A364" s="175">
        <f t="shared" si="45"/>
        <v>1</v>
      </c>
      <c r="B364" s="175" t="s">
        <v>1029</v>
      </c>
      <c r="C364" s="176" t="s">
        <v>127</v>
      </c>
      <c r="D364" s="178">
        <f t="shared" si="44"/>
        <v>4200</v>
      </c>
      <c r="E364" s="178">
        <v>4200</v>
      </c>
      <c r="F364" s="178" t="s">
        <v>1133</v>
      </c>
      <c r="G364" s="178" t="s">
        <v>1133</v>
      </c>
      <c r="H364" s="178"/>
      <c r="I364" s="168" t="s">
        <v>1134</v>
      </c>
    </row>
    <row r="365" spans="1:9" x14ac:dyDescent="0.25">
      <c r="A365" s="175">
        <f t="shared" si="45"/>
        <v>1</v>
      </c>
      <c r="B365" s="175" t="s">
        <v>1038</v>
      </c>
      <c r="C365" s="176" t="s">
        <v>127</v>
      </c>
      <c r="D365" s="178">
        <f t="shared" si="44"/>
        <v>3000</v>
      </c>
      <c r="E365" s="178">
        <v>3000</v>
      </c>
      <c r="F365" s="178" t="s">
        <v>1133</v>
      </c>
      <c r="G365" s="178" t="s">
        <v>1133</v>
      </c>
      <c r="H365" s="178"/>
      <c r="I365" s="168" t="s">
        <v>1134</v>
      </c>
    </row>
    <row r="366" spans="1:9" x14ac:dyDescent="0.25">
      <c r="A366" s="175">
        <f t="shared" si="45"/>
        <v>1</v>
      </c>
      <c r="B366" s="175" t="s">
        <v>411</v>
      </c>
      <c r="C366" s="176" t="s">
        <v>127</v>
      </c>
      <c r="D366" s="178">
        <f t="shared" si="44"/>
        <v>4000</v>
      </c>
      <c r="E366" s="178">
        <v>4000</v>
      </c>
      <c r="F366" s="178" t="s">
        <v>1133</v>
      </c>
      <c r="G366" s="178" t="s">
        <v>1133</v>
      </c>
      <c r="H366" s="178"/>
      <c r="I366" s="168" t="s">
        <v>1134</v>
      </c>
    </row>
    <row r="367" spans="1:9" x14ac:dyDescent="0.25">
      <c r="A367" s="175">
        <f t="shared" si="45"/>
        <v>1</v>
      </c>
      <c r="B367" s="175" t="s">
        <v>1026</v>
      </c>
      <c r="C367" s="176" t="s">
        <v>127</v>
      </c>
      <c r="D367" s="178">
        <f t="shared" si="44"/>
        <v>3450</v>
      </c>
      <c r="E367" s="178">
        <v>3450</v>
      </c>
      <c r="F367" s="178" t="s">
        <v>1133</v>
      </c>
      <c r="G367" s="178" t="s">
        <v>1133</v>
      </c>
      <c r="H367" s="178"/>
      <c r="I367" s="168" t="s">
        <v>1134</v>
      </c>
    </row>
    <row r="368" spans="1:9" x14ac:dyDescent="0.25">
      <c r="A368" s="175">
        <f t="shared" si="45"/>
        <v>1</v>
      </c>
      <c r="B368" s="175" t="s">
        <v>1027</v>
      </c>
      <c r="C368" s="176" t="s">
        <v>127</v>
      </c>
      <c r="D368" s="178">
        <f t="shared" si="44"/>
        <v>5000</v>
      </c>
      <c r="E368" s="178">
        <v>5000</v>
      </c>
      <c r="F368" s="178" t="s">
        <v>1133</v>
      </c>
      <c r="G368" s="178" t="s">
        <v>1133</v>
      </c>
      <c r="H368" s="178"/>
      <c r="I368" s="168" t="s">
        <v>1134</v>
      </c>
    </row>
    <row r="369" spans="1:9" x14ac:dyDescent="0.25">
      <c r="A369" s="175">
        <f t="shared" si="45"/>
        <v>1</v>
      </c>
      <c r="B369" s="175" t="s">
        <v>1046</v>
      </c>
      <c r="C369" s="176" t="s">
        <v>127</v>
      </c>
      <c r="D369" s="178">
        <f t="shared" si="44"/>
        <v>3000</v>
      </c>
      <c r="E369" s="178">
        <v>3000</v>
      </c>
      <c r="F369" s="178" t="s">
        <v>1133</v>
      </c>
      <c r="G369" s="178" t="s">
        <v>1133</v>
      </c>
      <c r="H369" s="178"/>
      <c r="I369" s="168" t="s">
        <v>1134</v>
      </c>
    </row>
    <row r="370" spans="1:9" x14ac:dyDescent="0.25">
      <c r="A370" s="175">
        <f t="shared" si="45"/>
        <v>1</v>
      </c>
      <c r="B370" s="175" t="s">
        <v>1047</v>
      </c>
      <c r="C370" s="176" t="s">
        <v>127</v>
      </c>
      <c r="D370" s="178">
        <f t="shared" si="44"/>
        <v>2400</v>
      </c>
      <c r="E370" s="178">
        <v>2400</v>
      </c>
      <c r="F370" s="178" t="s">
        <v>1133</v>
      </c>
      <c r="G370" s="178" t="s">
        <v>1133</v>
      </c>
      <c r="H370" s="178"/>
      <c r="I370" s="168" t="s">
        <v>1134</v>
      </c>
    </row>
    <row r="371" spans="1:9" x14ac:dyDescent="0.25">
      <c r="A371" s="175">
        <f t="shared" si="45"/>
        <v>1</v>
      </c>
      <c r="B371" s="175" t="s">
        <v>1039</v>
      </c>
      <c r="C371" s="176" t="s">
        <v>127</v>
      </c>
      <c r="D371" s="178">
        <f t="shared" si="44"/>
        <v>2400</v>
      </c>
      <c r="E371" s="178">
        <v>2400</v>
      </c>
      <c r="F371" s="178" t="s">
        <v>1133</v>
      </c>
      <c r="G371" s="178" t="s">
        <v>1135</v>
      </c>
      <c r="H371" s="178"/>
      <c r="I371" s="168" t="s">
        <v>1134</v>
      </c>
    </row>
    <row r="372" spans="1:9" x14ac:dyDescent="0.25">
      <c r="A372" s="175">
        <f t="shared" si="45"/>
        <v>1</v>
      </c>
      <c r="B372" s="175" t="s">
        <v>787</v>
      </c>
      <c r="C372" s="176" t="s">
        <v>428</v>
      </c>
      <c r="D372" s="178">
        <f t="shared" si="44"/>
        <v>25.11</v>
      </c>
      <c r="E372" s="178">
        <v>25.11</v>
      </c>
      <c r="F372" s="178" t="s">
        <v>1136</v>
      </c>
      <c r="G372" s="178" t="s">
        <v>1067</v>
      </c>
      <c r="H372" s="178"/>
      <c r="I372" s="168" t="s">
        <v>1137</v>
      </c>
    </row>
    <row r="373" spans="1:9" x14ac:dyDescent="0.25">
      <c r="A373" s="175">
        <f t="shared" si="45"/>
        <v>1</v>
      </c>
      <c r="B373" s="175" t="s">
        <v>669</v>
      </c>
      <c r="C373" s="176" t="s">
        <v>428</v>
      </c>
      <c r="D373" s="178">
        <f t="shared" si="44"/>
        <v>22.95611111111111</v>
      </c>
      <c r="E373" s="178">
        <v>22.95611111111111</v>
      </c>
      <c r="F373" s="178" t="s">
        <v>1136</v>
      </c>
      <c r="G373" s="178" t="s">
        <v>1067</v>
      </c>
      <c r="H373" s="178"/>
      <c r="I373" s="168" t="s">
        <v>1137</v>
      </c>
    </row>
    <row r="374" spans="1:9" x14ac:dyDescent="0.25">
      <c r="A374" s="175">
        <f t="shared" si="45"/>
        <v>1</v>
      </c>
      <c r="B374" s="175" t="s">
        <v>630</v>
      </c>
      <c r="C374" s="176" t="s">
        <v>1117</v>
      </c>
      <c r="D374" s="178">
        <f t="shared" si="44"/>
        <v>66.666666666666671</v>
      </c>
      <c r="E374" s="178">
        <v>66.666666666666671</v>
      </c>
      <c r="F374" s="178" t="s">
        <v>1136</v>
      </c>
      <c r="G374" s="178" t="s">
        <v>1067</v>
      </c>
      <c r="H374" s="178"/>
      <c r="I374" s="168" t="s">
        <v>1137</v>
      </c>
    </row>
    <row r="375" spans="1:9" x14ac:dyDescent="0.25">
      <c r="A375" s="175">
        <f t="shared" si="45"/>
        <v>1</v>
      </c>
      <c r="B375" s="175" t="s">
        <v>671</v>
      </c>
      <c r="C375" s="176" t="s">
        <v>1117</v>
      </c>
      <c r="D375" s="178">
        <f t="shared" si="44"/>
        <v>19.34</v>
      </c>
      <c r="E375" s="178">
        <v>19.34</v>
      </c>
      <c r="F375" s="178" t="s">
        <v>1136</v>
      </c>
      <c r="G375" s="178" t="s">
        <v>1067</v>
      </c>
      <c r="H375" s="178"/>
      <c r="I375" s="168" t="s">
        <v>1137</v>
      </c>
    </row>
    <row r="376" spans="1:9" x14ac:dyDescent="0.25">
      <c r="A376" s="175">
        <f t="shared" si="45"/>
        <v>1</v>
      </c>
      <c r="B376" s="175" t="s">
        <v>656</v>
      </c>
      <c r="C376" s="176" t="s">
        <v>428</v>
      </c>
      <c r="D376" s="178">
        <f t="shared" si="44"/>
        <v>11.2295</v>
      </c>
      <c r="E376" s="178">
        <v>11.2295</v>
      </c>
      <c r="F376" s="178" t="s">
        <v>1136</v>
      </c>
      <c r="G376" s="178" t="s">
        <v>1067</v>
      </c>
      <c r="H376" s="178"/>
      <c r="I376" s="168" t="s">
        <v>1137</v>
      </c>
    </row>
    <row r="377" spans="1:9" x14ac:dyDescent="0.25">
      <c r="A377" s="175">
        <f t="shared" si="45"/>
        <v>1</v>
      </c>
      <c r="B377" s="175" t="s">
        <v>584</v>
      </c>
      <c r="C377" s="176" t="s">
        <v>428</v>
      </c>
      <c r="D377" s="178">
        <f t="shared" si="44"/>
        <v>190</v>
      </c>
      <c r="E377" s="178">
        <v>190</v>
      </c>
      <c r="F377" s="178" t="s">
        <v>1136</v>
      </c>
      <c r="G377" s="178" t="s">
        <v>1067</v>
      </c>
      <c r="H377" s="178"/>
      <c r="I377" s="168" t="s">
        <v>1137</v>
      </c>
    </row>
    <row r="378" spans="1:9" x14ac:dyDescent="0.25">
      <c r="A378" s="175">
        <f t="shared" si="45"/>
        <v>1</v>
      </c>
      <c r="B378" s="175" t="s">
        <v>359</v>
      </c>
      <c r="C378" s="176" t="s">
        <v>131</v>
      </c>
      <c r="D378" s="178">
        <f t="shared" si="44"/>
        <v>1052.1099999999999</v>
      </c>
      <c r="E378" s="178">
        <v>1052.1099999999999</v>
      </c>
      <c r="F378" s="178" t="s">
        <v>1136</v>
      </c>
      <c r="G378" s="178" t="s">
        <v>1067</v>
      </c>
      <c r="H378" s="178"/>
      <c r="I378" s="168" t="s">
        <v>1067</v>
      </c>
    </row>
    <row r="379" spans="1:9" x14ac:dyDescent="0.25">
      <c r="A379" s="175">
        <f t="shared" si="45"/>
        <v>1</v>
      </c>
      <c r="B379" s="175" t="s">
        <v>588</v>
      </c>
      <c r="C379" s="176" t="s">
        <v>131</v>
      </c>
      <c r="D379" s="178">
        <f t="shared" si="44"/>
        <v>0.37</v>
      </c>
      <c r="E379" s="178">
        <v>0.37</v>
      </c>
      <c r="F379" s="178" t="s">
        <v>1136</v>
      </c>
      <c r="G379" s="178" t="s">
        <v>1067</v>
      </c>
      <c r="H379" s="178"/>
      <c r="I379" s="168" t="s">
        <v>1067</v>
      </c>
    </row>
    <row r="380" spans="1:9" x14ac:dyDescent="0.25">
      <c r="A380" s="175">
        <f t="shared" si="45"/>
        <v>1</v>
      </c>
      <c r="B380" s="175" t="s">
        <v>366</v>
      </c>
      <c r="C380" s="176" t="s">
        <v>131</v>
      </c>
      <c r="D380" s="178">
        <f t="shared" si="44"/>
        <v>5.3</v>
      </c>
      <c r="E380" s="178">
        <v>5.3</v>
      </c>
      <c r="F380" s="178" t="s">
        <v>1136</v>
      </c>
      <c r="G380" s="178" t="s">
        <v>1067</v>
      </c>
      <c r="H380" s="178"/>
      <c r="I380" s="168" t="s">
        <v>1067</v>
      </c>
    </row>
    <row r="381" spans="1:9" x14ac:dyDescent="0.25">
      <c r="A381" s="175">
        <f t="shared" si="45"/>
        <v>1</v>
      </c>
      <c r="B381" s="175" t="s">
        <v>2447</v>
      </c>
      <c r="C381" s="176" t="s">
        <v>25</v>
      </c>
      <c r="D381" s="178">
        <f>E381*$D$1</f>
        <v>0.8</v>
      </c>
      <c r="E381" s="178">
        <f>20/25</f>
        <v>0.8</v>
      </c>
      <c r="F381" s="178" t="s">
        <v>1136</v>
      </c>
      <c r="G381" s="178" t="s">
        <v>1067</v>
      </c>
      <c r="H381" s="178"/>
      <c r="I381" s="168" t="s">
        <v>1067</v>
      </c>
    </row>
    <row r="382" spans="1:9" x14ac:dyDescent="0.25">
      <c r="A382" s="175">
        <f t="shared" si="45"/>
        <v>1</v>
      </c>
      <c r="B382" s="175" t="s">
        <v>380</v>
      </c>
      <c r="C382" s="176" t="s">
        <v>131</v>
      </c>
      <c r="D382" s="178">
        <f t="shared" si="44"/>
        <v>1.7</v>
      </c>
      <c r="E382" s="178">
        <v>1.7</v>
      </c>
      <c r="F382" s="178" t="s">
        <v>1136</v>
      </c>
      <c r="G382" s="178" t="s">
        <v>1067</v>
      </c>
      <c r="H382" s="178"/>
      <c r="I382" s="168" t="s">
        <v>1067</v>
      </c>
    </row>
    <row r="383" spans="1:9" x14ac:dyDescent="0.25">
      <c r="A383" s="175">
        <f t="shared" si="45"/>
        <v>1</v>
      </c>
      <c r="B383" s="175" t="s">
        <v>793</v>
      </c>
      <c r="C383" s="176" t="s">
        <v>428</v>
      </c>
      <c r="D383" s="178">
        <f t="shared" si="44"/>
        <v>29.13</v>
      </c>
      <c r="E383" s="178">
        <v>29.13</v>
      </c>
      <c r="F383" s="178" t="s">
        <v>1136</v>
      </c>
      <c r="G383" s="178" t="s">
        <v>1067</v>
      </c>
      <c r="H383" s="178"/>
      <c r="I383" s="168" t="s">
        <v>1067</v>
      </c>
    </row>
    <row r="384" spans="1:9" x14ac:dyDescent="0.25">
      <c r="A384" s="175">
        <f t="shared" si="45"/>
        <v>1</v>
      </c>
      <c r="B384" s="175" t="s">
        <v>1138</v>
      </c>
      <c r="C384" s="176" t="s">
        <v>131</v>
      </c>
      <c r="D384" s="178">
        <f t="shared" si="44"/>
        <v>19.899999999999999</v>
      </c>
      <c r="E384" s="178">
        <v>19.899999999999999</v>
      </c>
      <c r="F384" s="178" t="s">
        <v>1136</v>
      </c>
      <c r="G384" s="178" t="s">
        <v>1067</v>
      </c>
      <c r="H384" s="178"/>
      <c r="I384" s="168" t="s">
        <v>1067</v>
      </c>
    </row>
    <row r="385" spans="1:9" x14ac:dyDescent="0.25">
      <c r="A385" s="175">
        <f t="shared" si="45"/>
        <v>1</v>
      </c>
      <c r="B385" s="175" t="s">
        <v>930</v>
      </c>
      <c r="C385" s="176" t="s">
        <v>131</v>
      </c>
      <c r="D385" s="178">
        <f t="shared" si="44"/>
        <v>75</v>
      </c>
      <c r="E385" s="178">
        <v>75</v>
      </c>
      <c r="F385" s="178" t="s">
        <v>1136</v>
      </c>
      <c r="G385" s="178" t="s">
        <v>1067</v>
      </c>
      <c r="H385" s="178"/>
      <c r="I385" s="168" t="s">
        <v>1137</v>
      </c>
    </row>
    <row r="386" spans="1:9" x14ac:dyDescent="0.25">
      <c r="A386" s="175">
        <f t="shared" si="45"/>
        <v>1</v>
      </c>
      <c r="B386" s="175" t="s">
        <v>857</v>
      </c>
      <c r="C386" s="176" t="s">
        <v>2</v>
      </c>
      <c r="D386" s="178">
        <f t="shared" si="44"/>
        <v>55</v>
      </c>
      <c r="E386" s="178">
        <v>55</v>
      </c>
      <c r="F386" s="178" t="s">
        <v>1136</v>
      </c>
      <c r="G386" s="178" t="s">
        <v>1067</v>
      </c>
      <c r="H386" s="178"/>
      <c r="I386" s="168" t="s">
        <v>1067</v>
      </c>
    </row>
    <row r="387" spans="1:9" x14ac:dyDescent="0.25">
      <c r="A387" s="175">
        <f t="shared" si="45"/>
        <v>1</v>
      </c>
      <c r="B387" s="175" t="s">
        <v>819</v>
      </c>
      <c r="C387" s="176" t="s">
        <v>131</v>
      </c>
      <c r="D387" s="178">
        <f t="shared" si="44"/>
        <v>11.26</v>
      </c>
      <c r="E387" s="178">
        <v>11.26</v>
      </c>
      <c r="F387" s="178" t="s">
        <v>1136</v>
      </c>
      <c r="G387" s="178" t="s">
        <v>1067</v>
      </c>
      <c r="H387" s="178"/>
      <c r="I387" s="168" t="s">
        <v>1067</v>
      </c>
    </row>
    <row r="388" spans="1:9" x14ac:dyDescent="0.25">
      <c r="A388" s="175">
        <f t="shared" si="45"/>
        <v>1</v>
      </c>
      <c r="B388" s="175" t="s">
        <v>358</v>
      </c>
      <c r="C388" s="176" t="s">
        <v>131</v>
      </c>
      <c r="D388" s="178">
        <f t="shared" si="44"/>
        <v>1.89</v>
      </c>
      <c r="E388" s="178">
        <v>1.89</v>
      </c>
      <c r="F388" s="178" t="s">
        <v>1136</v>
      </c>
      <c r="G388" s="178" t="s">
        <v>1067</v>
      </c>
      <c r="H388" s="178"/>
      <c r="I388" s="168" t="s">
        <v>1067</v>
      </c>
    </row>
    <row r="389" spans="1:9" x14ac:dyDescent="0.25">
      <c r="A389" s="175">
        <f t="shared" si="45"/>
        <v>1</v>
      </c>
      <c r="B389" s="175" t="s">
        <v>667</v>
      </c>
      <c r="C389" s="176" t="s">
        <v>131</v>
      </c>
      <c r="D389" s="178">
        <f t="shared" si="44"/>
        <v>3.13</v>
      </c>
      <c r="E389" s="178">
        <v>3.13</v>
      </c>
      <c r="F389" s="178" t="s">
        <v>1136</v>
      </c>
      <c r="G389" s="178" t="s">
        <v>1067</v>
      </c>
      <c r="H389" s="178"/>
      <c r="I389" s="168" t="s">
        <v>1067</v>
      </c>
    </row>
    <row r="390" spans="1:9" x14ac:dyDescent="0.25">
      <c r="A390" s="175">
        <f t="shared" si="45"/>
        <v>1</v>
      </c>
      <c r="B390" s="175" t="s">
        <v>337</v>
      </c>
      <c r="C390" s="176" t="s">
        <v>13</v>
      </c>
      <c r="D390" s="178">
        <f t="shared" si="44"/>
        <v>1.25</v>
      </c>
      <c r="E390" s="178">
        <v>1.25</v>
      </c>
      <c r="F390" s="178" t="s">
        <v>1136</v>
      </c>
      <c r="G390" s="178" t="s">
        <v>1067</v>
      </c>
      <c r="H390" s="178"/>
      <c r="I390" s="168" t="s">
        <v>1067</v>
      </c>
    </row>
    <row r="391" spans="1:9" x14ac:dyDescent="0.25">
      <c r="A391" s="175">
        <f t="shared" si="45"/>
        <v>1</v>
      </c>
      <c r="B391" s="175" t="s">
        <v>509</v>
      </c>
      <c r="C391" s="176" t="s">
        <v>13</v>
      </c>
      <c r="D391" s="178">
        <f t="shared" si="44"/>
        <v>2.3025000000000002</v>
      </c>
      <c r="E391" s="178">
        <v>2.3025000000000002</v>
      </c>
      <c r="F391" s="178" t="s">
        <v>1136</v>
      </c>
      <c r="G391" s="178" t="s">
        <v>1067</v>
      </c>
      <c r="H391" s="178"/>
      <c r="I391" s="168" t="s">
        <v>1067</v>
      </c>
    </row>
    <row r="392" spans="1:9" x14ac:dyDescent="0.25">
      <c r="A392" s="175">
        <f t="shared" si="45"/>
        <v>1</v>
      </c>
      <c r="B392" s="175" t="s">
        <v>883</v>
      </c>
      <c r="C392" s="176" t="s">
        <v>390</v>
      </c>
      <c r="D392" s="178">
        <f t="shared" si="44"/>
        <v>1377.4104683195592</v>
      </c>
      <c r="E392" s="178">
        <f>50/(1*0.33*0.11)</f>
        <v>1377.4104683195592</v>
      </c>
      <c r="F392" s="178" t="s">
        <v>1136</v>
      </c>
      <c r="G392" s="178" t="s">
        <v>1067</v>
      </c>
      <c r="H392" s="178"/>
      <c r="I392" s="168" t="s">
        <v>1067</v>
      </c>
    </row>
    <row r="393" spans="1:9" x14ac:dyDescent="0.25">
      <c r="A393" s="175">
        <f t="shared" si="45"/>
        <v>1</v>
      </c>
      <c r="B393" s="175" t="s">
        <v>1842</v>
      </c>
      <c r="C393" s="176" t="s">
        <v>13</v>
      </c>
      <c r="D393" s="178">
        <f>E393*$D$1</f>
        <v>151.5151515151515</v>
      </c>
      <c r="E393" s="178">
        <f>50/(1*0.33)</f>
        <v>151.5151515151515</v>
      </c>
      <c r="F393" s="178" t="s">
        <v>1136</v>
      </c>
      <c r="G393" s="178" t="s">
        <v>1067</v>
      </c>
      <c r="H393" s="178"/>
      <c r="I393" s="168" t="s">
        <v>1067</v>
      </c>
    </row>
    <row r="394" spans="1:9" x14ac:dyDescent="0.25">
      <c r="A394" s="175">
        <f t="shared" si="45"/>
        <v>1</v>
      </c>
      <c r="B394" s="175" t="s">
        <v>936</v>
      </c>
      <c r="C394" s="176" t="s">
        <v>131</v>
      </c>
      <c r="D394" s="178">
        <f t="shared" si="44"/>
        <v>35.6</v>
      </c>
      <c r="E394" s="178">
        <v>35.6</v>
      </c>
      <c r="F394" s="178" t="s">
        <v>1136</v>
      </c>
      <c r="G394" s="178" t="s">
        <v>1067</v>
      </c>
      <c r="H394" s="178"/>
      <c r="I394" s="168" t="s">
        <v>1067</v>
      </c>
    </row>
    <row r="395" spans="1:9" x14ac:dyDescent="0.25">
      <c r="A395" s="175">
        <f t="shared" si="45"/>
        <v>1</v>
      </c>
      <c r="B395" s="175" t="s">
        <v>1013</v>
      </c>
      <c r="C395" s="176" t="s">
        <v>428</v>
      </c>
      <c r="D395" s="178">
        <f t="shared" si="44"/>
        <v>163.07</v>
      </c>
      <c r="E395" s="178">
        <v>163.07</v>
      </c>
      <c r="F395" s="178" t="s">
        <v>1136</v>
      </c>
      <c r="G395" s="178" t="s">
        <v>1067</v>
      </c>
      <c r="H395" s="178"/>
      <c r="I395" s="168" t="s">
        <v>1067</v>
      </c>
    </row>
    <row r="396" spans="1:9" x14ac:dyDescent="0.25">
      <c r="A396" s="175">
        <f t="shared" si="45"/>
        <v>1</v>
      </c>
      <c r="B396" s="175" t="s">
        <v>351</v>
      </c>
      <c r="C396" s="176" t="s">
        <v>29</v>
      </c>
      <c r="D396" s="178">
        <f t="shared" si="44"/>
        <v>215</v>
      </c>
      <c r="E396" s="178">
        <v>215</v>
      </c>
      <c r="F396" s="178" t="s">
        <v>1136</v>
      </c>
      <c r="G396" s="178" t="s">
        <v>1067</v>
      </c>
      <c r="H396" s="178"/>
      <c r="I396" s="168" t="s">
        <v>1067</v>
      </c>
    </row>
    <row r="397" spans="1:9" x14ac:dyDescent="0.25">
      <c r="A397" s="175">
        <f t="shared" si="45"/>
        <v>1</v>
      </c>
      <c r="B397" s="175" t="s">
        <v>1848</v>
      </c>
      <c r="C397" s="176" t="s">
        <v>3</v>
      </c>
      <c r="D397" s="178">
        <f>E397*$D$1</f>
        <v>1.72</v>
      </c>
      <c r="E397" s="178">
        <f>86/50</f>
        <v>1.72</v>
      </c>
      <c r="F397" s="178" t="s">
        <v>1136</v>
      </c>
      <c r="G397" s="178" t="s">
        <v>1067</v>
      </c>
      <c r="H397" s="178"/>
      <c r="I397" s="168" t="s">
        <v>1067</v>
      </c>
    </row>
    <row r="398" spans="1:9" x14ac:dyDescent="0.25">
      <c r="A398" s="175">
        <f t="shared" si="45"/>
        <v>1</v>
      </c>
      <c r="B398" s="175" t="s">
        <v>1052</v>
      </c>
      <c r="C398" s="176" t="s">
        <v>390</v>
      </c>
      <c r="D398" s="178">
        <f t="shared" si="44"/>
        <v>134</v>
      </c>
      <c r="E398" s="178">
        <v>134</v>
      </c>
      <c r="F398" s="178" t="s">
        <v>1139</v>
      </c>
      <c r="G398" s="178" t="s">
        <v>1140</v>
      </c>
      <c r="H398" s="178"/>
      <c r="I398" s="168" t="s">
        <v>1139</v>
      </c>
    </row>
    <row r="399" spans="1:9" x14ac:dyDescent="0.25">
      <c r="A399" s="175">
        <f t="shared" si="45"/>
        <v>1</v>
      </c>
      <c r="B399" s="175" t="s">
        <v>624</v>
      </c>
      <c r="C399" s="176" t="s">
        <v>390</v>
      </c>
      <c r="D399" s="178">
        <f t="shared" si="44"/>
        <v>145</v>
      </c>
      <c r="E399" s="178">
        <v>145</v>
      </c>
      <c r="F399" s="178" t="s">
        <v>1139</v>
      </c>
      <c r="G399" s="178" t="s">
        <v>1140</v>
      </c>
      <c r="H399" s="178"/>
      <c r="I399" s="168" t="s">
        <v>1139</v>
      </c>
    </row>
    <row r="400" spans="1:9" x14ac:dyDescent="0.25">
      <c r="A400" s="175">
        <f t="shared" si="45"/>
        <v>1</v>
      </c>
      <c r="B400" s="175" t="s">
        <v>1041</v>
      </c>
      <c r="C400" s="176" t="s">
        <v>390</v>
      </c>
      <c r="D400" s="178">
        <f t="shared" si="44"/>
        <v>143</v>
      </c>
      <c r="E400" s="178">
        <v>143</v>
      </c>
      <c r="F400" s="178" t="s">
        <v>1139</v>
      </c>
      <c r="G400" s="178" t="s">
        <v>1141</v>
      </c>
      <c r="H400" s="178"/>
      <c r="I400" s="168" t="s">
        <v>1139</v>
      </c>
    </row>
    <row r="401" spans="1:9" x14ac:dyDescent="0.25">
      <c r="A401" s="175">
        <f t="shared" si="45"/>
        <v>1</v>
      </c>
      <c r="B401" s="175" t="s">
        <v>398</v>
      </c>
      <c r="C401" s="176" t="s">
        <v>390</v>
      </c>
      <c r="D401" s="178">
        <f t="shared" ref="D401:D478" si="46">E401*$D$1</f>
        <v>151.20000000000002</v>
      </c>
      <c r="E401" s="178">
        <v>151.20000000000002</v>
      </c>
      <c r="F401" s="178" t="s">
        <v>1139</v>
      </c>
      <c r="G401" s="178" t="s">
        <v>1141</v>
      </c>
      <c r="H401" s="178"/>
      <c r="I401" s="168" t="s">
        <v>1139</v>
      </c>
    </row>
    <row r="402" spans="1:9" x14ac:dyDescent="0.25">
      <c r="A402" s="175">
        <f t="shared" ref="A402:A467" si="47">COUNTIFS($B$2:$B$764,B402)</f>
        <v>1</v>
      </c>
      <c r="B402" s="175" t="s">
        <v>808</v>
      </c>
      <c r="C402" s="176" t="s">
        <v>390</v>
      </c>
      <c r="D402" s="178">
        <f t="shared" si="46"/>
        <v>105.71</v>
      </c>
      <c r="E402" s="178">
        <v>105.71</v>
      </c>
      <c r="F402" s="178" t="s">
        <v>1139</v>
      </c>
      <c r="G402" s="178" t="s">
        <v>1141</v>
      </c>
      <c r="H402" s="178"/>
      <c r="I402" s="168" t="s">
        <v>1139</v>
      </c>
    </row>
    <row r="403" spans="1:9" x14ac:dyDescent="0.25">
      <c r="A403" s="175">
        <f t="shared" si="47"/>
        <v>1</v>
      </c>
      <c r="B403" s="175" t="s">
        <v>1051</v>
      </c>
      <c r="C403" s="176" t="s">
        <v>390</v>
      </c>
      <c r="D403" s="178">
        <f t="shared" si="46"/>
        <v>300</v>
      </c>
      <c r="E403" s="178">
        <v>300</v>
      </c>
      <c r="F403" s="178" t="s">
        <v>1139</v>
      </c>
      <c r="G403" s="178" t="s">
        <v>1141</v>
      </c>
      <c r="H403" s="178"/>
      <c r="I403" s="168" t="s">
        <v>1139</v>
      </c>
    </row>
    <row r="404" spans="1:9" x14ac:dyDescent="0.25">
      <c r="A404" s="175">
        <f t="shared" si="47"/>
        <v>1</v>
      </c>
      <c r="B404" s="175" t="s">
        <v>713</v>
      </c>
      <c r="C404" s="176" t="s">
        <v>428</v>
      </c>
      <c r="D404" s="178">
        <f t="shared" si="46"/>
        <v>4.25</v>
      </c>
      <c r="E404" s="178">
        <v>4.25</v>
      </c>
      <c r="F404" s="178" t="s">
        <v>1139</v>
      </c>
      <c r="G404" s="178" t="s">
        <v>1142</v>
      </c>
      <c r="H404" s="178"/>
      <c r="I404" s="168" t="s">
        <v>1139</v>
      </c>
    </row>
    <row r="405" spans="1:9" x14ac:dyDescent="0.25">
      <c r="A405" s="175">
        <f t="shared" si="47"/>
        <v>1</v>
      </c>
      <c r="B405" s="175" t="s">
        <v>668</v>
      </c>
      <c r="C405" s="176" t="s">
        <v>428</v>
      </c>
      <c r="D405" s="178">
        <f t="shared" si="46"/>
        <v>3.49</v>
      </c>
      <c r="E405" s="178">
        <v>3.49</v>
      </c>
      <c r="F405" s="178" t="s">
        <v>1139</v>
      </c>
      <c r="G405" s="178" t="s">
        <v>1142</v>
      </c>
      <c r="H405" s="178"/>
      <c r="I405" s="168" t="s">
        <v>1139</v>
      </c>
    </row>
    <row r="406" spans="1:9" x14ac:dyDescent="0.25">
      <c r="A406" s="175">
        <f t="shared" si="47"/>
        <v>1</v>
      </c>
      <c r="B406" s="175" t="s">
        <v>396</v>
      </c>
      <c r="C406" s="176" t="s">
        <v>428</v>
      </c>
      <c r="D406" s="178">
        <f t="shared" si="46"/>
        <v>0.76</v>
      </c>
      <c r="E406" s="178">
        <v>0.76</v>
      </c>
      <c r="F406" s="178" t="s">
        <v>1139</v>
      </c>
      <c r="G406" s="178" t="s">
        <v>1142</v>
      </c>
      <c r="H406" s="178"/>
      <c r="I406" s="168" t="s">
        <v>1139</v>
      </c>
    </row>
    <row r="407" spans="1:9" x14ac:dyDescent="0.25">
      <c r="A407" s="175">
        <f t="shared" si="47"/>
        <v>1</v>
      </c>
      <c r="B407" s="175" t="s">
        <v>905</v>
      </c>
      <c r="C407" s="176" t="s">
        <v>428</v>
      </c>
      <c r="D407" s="178">
        <f t="shared" si="46"/>
        <v>33</v>
      </c>
      <c r="E407" s="178">
        <v>33</v>
      </c>
      <c r="F407" s="178" t="s">
        <v>1139</v>
      </c>
      <c r="G407" s="178" t="s">
        <v>1142</v>
      </c>
      <c r="H407" s="178"/>
      <c r="I407" s="168" t="s">
        <v>1139</v>
      </c>
    </row>
    <row r="408" spans="1:9" x14ac:dyDescent="0.25">
      <c r="A408" s="175">
        <f t="shared" si="47"/>
        <v>1</v>
      </c>
      <c r="B408" s="175" t="s">
        <v>745</v>
      </c>
      <c r="C408" s="176" t="s">
        <v>13</v>
      </c>
      <c r="D408" s="178">
        <f t="shared" si="46"/>
        <v>75</v>
      </c>
      <c r="E408" s="178">
        <v>75</v>
      </c>
      <c r="F408" s="178" t="s">
        <v>1139</v>
      </c>
      <c r="G408" s="178" t="s">
        <v>1142</v>
      </c>
      <c r="H408" s="178"/>
      <c r="I408" s="168" t="s">
        <v>1139</v>
      </c>
    </row>
    <row r="409" spans="1:9" x14ac:dyDescent="0.25">
      <c r="A409" s="175">
        <f t="shared" si="47"/>
        <v>1</v>
      </c>
      <c r="B409" s="175" t="s">
        <v>744</v>
      </c>
      <c r="C409" s="176" t="s">
        <v>428</v>
      </c>
      <c r="D409" s="178">
        <f t="shared" si="46"/>
        <v>9.35</v>
      </c>
      <c r="E409" s="178">
        <v>9.35</v>
      </c>
      <c r="F409" s="178" t="s">
        <v>1139</v>
      </c>
      <c r="G409" s="178" t="s">
        <v>1142</v>
      </c>
      <c r="H409" s="178"/>
      <c r="I409" s="168" t="s">
        <v>1139</v>
      </c>
    </row>
    <row r="410" spans="1:9" x14ac:dyDescent="0.25">
      <c r="A410" s="175">
        <f t="shared" si="47"/>
        <v>1</v>
      </c>
      <c r="B410" s="175" t="s">
        <v>702</v>
      </c>
      <c r="C410" s="176" t="s">
        <v>13</v>
      </c>
      <c r="D410" s="178">
        <f t="shared" si="46"/>
        <v>75.598399999999998</v>
      </c>
      <c r="E410" s="178">
        <v>75.598399999999998</v>
      </c>
      <c r="F410" s="178" t="s">
        <v>1139</v>
      </c>
      <c r="G410" s="178" t="s">
        <v>1143</v>
      </c>
      <c r="H410" s="178"/>
      <c r="I410" s="168" t="s">
        <v>1144</v>
      </c>
    </row>
    <row r="411" spans="1:9" x14ac:dyDescent="0.25">
      <c r="A411" s="175">
        <f t="shared" si="47"/>
        <v>1</v>
      </c>
      <c r="B411" s="175" t="s">
        <v>700</v>
      </c>
      <c r="C411" s="176" t="s">
        <v>3</v>
      </c>
      <c r="D411" s="178">
        <f t="shared" si="46"/>
        <v>29.99</v>
      </c>
      <c r="E411" s="178">
        <v>29.99</v>
      </c>
      <c r="F411" s="178" t="s">
        <v>1139</v>
      </c>
      <c r="G411" s="178" t="s">
        <v>1143</v>
      </c>
      <c r="H411" s="178"/>
      <c r="I411" s="168" t="s">
        <v>1144</v>
      </c>
    </row>
    <row r="412" spans="1:9" x14ac:dyDescent="0.25">
      <c r="A412" s="175">
        <f t="shared" si="47"/>
        <v>1</v>
      </c>
      <c r="B412" s="175" t="s">
        <v>1249</v>
      </c>
      <c r="C412" s="176" t="s">
        <v>25</v>
      </c>
      <c r="D412" s="178">
        <f t="shared" si="46"/>
        <v>36</v>
      </c>
      <c r="E412" s="178">
        <v>36</v>
      </c>
      <c r="F412" s="178" t="s">
        <v>1144</v>
      </c>
      <c r="G412" s="178" t="s">
        <v>1144</v>
      </c>
      <c r="H412" s="178"/>
      <c r="I412" s="168" t="s">
        <v>1144</v>
      </c>
    </row>
    <row r="413" spans="1:9" x14ac:dyDescent="0.25">
      <c r="A413" s="175">
        <f t="shared" si="47"/>
        <v>1</v>
      </c>
      <c r="B413" s="175" t="s">
        <v>2355</v>
      </c>
      <c r="C413" s="176" t="s">
        <v>2354</v>
      </c>
      <c r="D413" s="178">
        <f t="shared" si="46"/>
        <v>65</v>
      </c>
      <c r="E413" s="178">
        <f>AVERAGE(45,85)</f>
        <v>65</v>
      </c>
      <c r="F413" s="178" t="s">
        <v>1144</v>
      </c>
      <c r="G413" s="178" t="s">
        <v>1144</v>
      </c>
      <c r="H413" s="178"/>
      <c r="I413" s="168" t="s">
        <v>1144</v>
      </c>
    </row>
    <row r="414" spans="1:9" x14ac:dyDescent="0.25">
      <c r="A414" s="175">
        <f t="shared" si="47"/>
        <v>1</v>
      </c>
      <c r="B414" s="175" t="s">
        <v>2406</v>
      </c>
      <c r="C414" s="176" t="s">
        <v>2354</v>
      </c>
      <c r="D414" s="178">
        <f>E414*$D$1</f>
        <v>155</v>
      </c>
      <c r="E414" s="178">
        <f>AVERAGE(120,190)</f>
        <v>155</v>
      </c>
      <c r="F414" s="178" t="s">
        <v>1144</v>
      </c>
      <c r="G414" s="178" t="s">
        <v>1144</v>
      </c>
      <c r="H414" s="178"/>
      <c r="I414" s="168" t="s">
        <v>1144</v>
      </c>
    </row>
    <row r="415" spans="1:9" x14ac:dyDescent="0.25">
      <c r="A415" s="175">
        <f t="shared" si="47"/>
        <v>1</v>
      </c>
      <c r="B415" s="175" t="s">
        <v>845</v>
      </c>
      <c r="C415" s="176" t="s">
        <v>25</v>
      </c>
      <c r="D415" s="178">
        <f t="shared" si="46"/>
        <v>7.39</v>
      </c>
      <c r="E415" s="178">
        <v>7.39</v>
      </c>
      <c r="F415" s="178" t="s">
        <v>1144</v>
      </c>
      <c r="G415" s="178" t="s">
        <v>1144</v>
      </c>
      <c r="H415" s="178"/>
      <c r="I415" s="168" t="s">
        <v>1144</v>
      </c>
    </row>
    <row r="416" spans="1:9" x14ac:dyDescent="0.25">
      <c r="A416" s="175">
        <f t="shared" si="47"/>
        <v>1</v>
      </c>
      <c r="B416" s="175" t="s">
        <v>665</v>
      </c>
      <c r="C416" s="176" t="s">
        <v>428</v>
      </c>
      <c r="D416" s="178">
        <f t="shared" si="46"/>
        <v>5.9180000000000001</v>
      </c>
      <c r="E416" s="178">
        <v>5.9180000000000001</v>
      </c>
      <c r="F416" s="178" t="s">
        <v>1139</v>
      </c>
      <c r="G416" s="178" t="s">
        <v>1143</v>
      </c>
      <c r="H416" s="178"/>
      <c r="I416" s="168" t="s">
        <v>1139</v>
      </c>
    </row>
    <row r="417" spans="1:9" x14ac:dyDescent="0.25">
      <c r="A417" s="175">
        <f t="shared" si="47"/>
        <v>1</v>
      </c>
      <c r="B417" s="175" t="s">
        <v>663</v>
      </c>
      <c r="C417" s="176" t="s">
        <v>428</v>
      </c>
      <c r="D417" s="178">
        <f t="shared" si="46"/>
        <v>0.8</v>
      </c>
      <c r="E417" s="178">
        <v>0.8</v>
      </c>
      <c r="F417" s="178" t="s">
        <v>1139</v>
      </c>
      <c r="G417" s="178" t="s">
        <v>1143</v>
      </c>
      <c r="H417" s="178"/>
      <c r="I417" s="168" t="s">
        <v>1139</v>
      </c>
    </row>
    <row r="418" spans="1:9" x14ac:dyDescent="0.25">
      <c r="A418" s="175">
        <f t="shared" si="47"/>
        <v>1</v>
      </c>
      <c r="B418" s="175" t="s">
        <v>1001</v>
      </c>
      <c r="C418" s="176" t="s">
        <v>131</v>
      </c>
      <c r="D418" s="178">
        <f t="shared" si="46"/>
        <v>382</v>
      </c>
      <c r="E418" s="178">
        <v>382</v>
      </c>
      <c r="F418" s="178" t="s">
        <v>1107</v>
      </c>
      <c r="G418" s="178" t="s">
        <v>1145</v>
      </c>
      <c r="H418" s="178"/>
      <c r="I418" s="168" t="s">
        <v>1129</v>
      </c>
    </row>
    <row r="419" spans="1:9" x14ac:dyDescent="0.25">
      <c r="A419" s="175">
        <f t="shared" si="47"/>
        <v>1</v>
      </c>
      <c r="B419" s="175" t="s">
        <v>764</v>
      </c>
      <c r="C419" s="176" t="s">
        <v>13</v>
      </c>
      <c r="D419" s="178">
        <f t="shared" si="46"/>
        <v>11.1</v>
      </c>
      <c r="E419" s="178">
        <v>11.1</v>
      </c>
      <c r="F419" s="178" t="s">
        <v>80</v>
      </c>
      <c r="G419" s="178" t="s">
        <v>80</v>
      </c>
      <c r="H419" s="178"/>
      <c r="I419" s="168" t="s">
        <v>1146</v>
      </c>
    </row>
    <row r="420" spans="1:9" x14ac:dyDescent="0.25">
      <c r="A420" s="175">
        <f t="shared" si="47"/>
        <v>1</v>
      </c>
      <c r="B420" s="175" t="s">
        <v>763</v>
      </c>
      <c r="C420" s="176" t="s">
        <v>390</v>
      </c>
      <c r="D420" s="178">
        <f t="shared" si="46"/>
        <v>143.57</v>
      </c>
      <c r="E420" s="178">
        <v>143.57</v>
      </c>
      <c r="F420" s="178" t="s">
        <v>80</v>
      </c>
      <c r="G420" s="178" t="s">
        <v>80</v>
      </c>
      <c r="H420" s="178"/>
      <c r="I420" s="168" t="s">
        <v>1146</v>
      </c>
    </row>
    <row r="421" spans="1:9" x14ac:dyDescent="0.25">
      <c r="A421" s="175">
        <f t="shared" si="47"/>
        <v>1</v>
      </c>
      <c r="B421" s="175" t="s">
        <v>691</v>
      </c>
      <c r="C421" s="176" t="s">
        <v>131</v>
      </c>
      <c r="D421" s="178">
        <f t="shared" si="46"/>
        <v>409</v>
      </c>
      <c r="E421" s="178">
        <v>409</v>
      </c>
      <c r="F421" s="178" t="s">
        <v>1147</v>
      </c>
      <c r="G421" s="178" t="s">
        <v>1147</v>
      </c>
      <c r="H421" s="178"/>
      <c r="I421" s="168" t="s">
        <v>1144</v>
      </c>
    </row>
    <row r="422" spans="1:9" x14ac:dyDescent="0.25">
      <c r="A422" s="175">
        <f t="shared" si="47"/>
        <v>1</v>
      </c>
      <c r="B422" s="175" t="s">
        <v>685</v>
      </c>
      <c r="C422" s="176" t="s">
        <v>13</v>
      </c>
      <c r="D422" s="178">
        <f t="shared" si="46"/>
        <v>480</v>
      </c>
      <c r="E422" s="178">
        <v>480</v>
      </c>
      <c r="F422" s="178" t="s">
        <v>1147</v>
      </c>
      <c r="G422" s="178" t="s">
        <v>1147</v>
      </c>
      <c r="H422" s="178"/>
      <c r="I422" s="168" t="s">
        <v>1144</v>
      </c>
    </row>
    <row r="423" spans="1:9" x14ac:dyDescent="0.25">
      <c r="A423" s="175">
        <f t="shared" si="47"/>
        <v>1</v>
      </c>
      <c r="B423" s="175" t="s">
        <v>693</v>
      </c>
      <c r="C423" s="176" t="s">
        <v>13</v>
      </c>
      <c r="D423" s="178">
        <f t="shared" si="46"/>
        <v>195</v>
      </c>
      <c r="E423" s="178">
        <v>195</v>
      </c>
      <c r="F423" s="178" t="s">
        <v>1147</v>
      </c>
      <c r="G423" s="178" t="s">
        <v>1147</v>
      </c>
      <c r="H423" s="178"/>
      <c r="I423" s="168" t="s">
        <v>1144</v>
      </c>
    </row>
    <row r="424" spans="1:9" x14ac:dyDescent="0.25">
      <c r="A424" s="175">
        <f t="shared" si="47"/>
        <v>1</v>
      </c>
      <c r="B424" s="175" t="s">
        <v>687</v>
      </c>
      <c r="C424" s="176" t="s">
        <v>13</v>
      </c>
      <c r="D424" s="178">
        <f t="shared" si="46"/>
        <v>750</v>
      </c>
      <c r="E424" s="178">
        <v>750</v>
      </c>
      <c r="F424" s="178" t="s">
        <v>1147</v>
      </c>
      <c r="G424" s="178" t="s">
        <v>1147</v>
      </c>
      <c r="H424" s="178"/>
      <c r="I424" s="168" t="s">
        <v>1144</v>
      </c>
    </row>
    <row r="425" spans="1:9" x14ac:dyDescent="0.25">
      <c r="A425" s="175">
        <f t="shared" si="47"/>
        <v>1</v>
      </c>
      <c r="B425" s="175" t="s">
        <v>2852</v>
      </c>
      <c r="C425" s="176" t="s">
        <v>13</v>
      </c>
      <c r="D425" s="178">
        <f t="shared" ref="D425:D427" si="48">E425*$D$1</f>
        <v>265.89999999999998</v>
      </c>
      <c r="E425" s="178">
        <v>265.89999999999998</v>
      </c>
      <c r="F425" s="178" t="s">
        <v>1147</v>
      </c>
      <c r="G425" s="178" t="s">
        <v>1147</v>
      </c>
      <c r="H425" s="178"/>
      <c r="I425" s="168" t="s">
        <v>1144</v>
      </c>
    </row>
    <row r="426" spans="1:9" x14ac:dyDescent="0.25">
      <c r="A426" s="175">
        <f t="shared" si="47"/>
        <v>1</v>
      </c>
      <c r="B426" s="175" t="s">
        <v>6882</v>
      </c>
      <c r="C426" s="176" t="s">
        <v>13</v>
      </c>
      <c r="D426" s="178">
        <f t="shared" ref="D426" si="49">E426*$D$1</f>
        <v>480</v>
      </c>
      <c r="E426" s="178">
        <v>480</v>
      </c>
      <c r="F426" s="178" t="s">
        <v>1147</v>
      </c>
      <c r="G426" s="178" t="s">
        <v>1147</v>
      </c>
      <c r="H426" s="178"/>
      <c r="I426" s="168" t="s">
        <v>1144</v>
      </c>
    </row>
    <row r="427" spans="1:9" x14ac:dyDescent="0.25">
      <c r="A427" s="175">
        <f t="shared" ref="A427" si="50">COUNTIFS($B$2:$B$764,B427)</f>
        <v>1</v>
      </c>
      <c r="B427" s="175" t="s">
        <v>6880</v>
      </c>
      <c r="C427" s="176" t="s">
        <v>13</v>
      </c>
      <c r="D427" s="178">
        <f t="shared" si="48"/>
        <v>750</v>
      </c>
      <c r="E427" s="178">
        <v>750</v>
      </c>
      <c r="F427" s="178" t="s">
        <v>1147</v>
      </c>
      <c r="G427" s="178" t="s">
        <v>1147</v>
      </c>
      <c r="H427" s="178"/>
      <c r="I427" s="168" t="s">
        <v>1144</v>
      </c>
    </row>
    <row r="428" spans="1:9" x14ac:dyDescent="0.25">
      <c r="A428" s="175">
        <f t="shared" si="47"/>
        <v>1</v>
      </c>
      <c r="B428" s="175" t="s">
        <v>892</v>
      </c>
      <c r="C428" s="176" t="s">
        <v>13</v>
      </c>
      <c r="D428" s="178">
        <f t="shared" si="46"/>
        <v>850</v>
      </c>
      <c r="E428" s="178">
        <v>850</v>
      </c>
      <c r="F428" s="178" t="s">
        <v>1147</v>
      </c>
      <c r="G428" s="178" t="s">
        <v>1147</v>
      </c>
      <c r="H428" s="178"/>
      <c r="I428" s="168" t="s">
        <v>1144</v>
      </c>
    </row>
    <row r="429" spans="1:9" x14ac:dyDescent="0.25">
      <c r="A429" s="175">
        <f t="shared" si="47"/>
        <v>1</v>
      </c>
      <c r="B429" s="175" t="s">
        <v>886</v>
      </c>
      <c r="C429" s="176" t="s">
        <v>13</v>
      </c>
      <c r="D429" s="178">
        <f t="shared" si="46"/>
        <v>750</v>
      </c>
      <c r="E429" s="178">
        <v>750</v>
      </c>
      <c r="F429" s="178" t="s">
        <v>1147</v>
      </c>
      <c r="G429" s="178" t="s">
        <v>1147</v>
      </c>
      <c r="H429" s="178"/>
      <c r="I429" s="168" t="s">
        <v>1144</v>
      </c>
    </row>
    <row r="430" spans="1:9" x14ac:dyDescent="0.25">
      <c r="A430" s="175">
        <f t="shared" si="47"/>
        <v>1</v>
      </c>
      <c r="B430" s="175" t="s">
        <v>689</v>
      </c>
      <c r="C430" s="176" t="s">
        <v>13</v>
      </c>
      <c r="D430" s="178">
        <f t="shared" si="46"/>
        <v>750</v>
      </c>
      <c r="E430" s="178">
        <v>750</v>
      </c>
      <c r="F430" s="178" t="s">
        <v>1147</v>
      </c>
      <c r="G430" s="178" t="s">
        <v>1147</v>
      </c>
      <c r="H430" s="178"/>
      <c r="I430" s="168" t="s">
        <v>1144</v>
      </c>
    </row>
    <row r="431" spans="1:9" x14ac:dyDescent="0.25">
      <c r="A431" s="175">
        <f t="shared" si="47"/>
        <v>1</v>
      </c>
      <c r="B431" s="175" t="s">
        <v>3198</v>
      </c>
      <c r="C431" s="176" t="s">
        <v>13</v>
      </c>
      <c r="D431" s="178">
        <f>E431*$D$1</f>
        <v>650</v>
      </c>
      <c r="E431" s="178">
        <v>650</v>
      </c>
      <c r="F431" s="178" t="s">
        <v>1147</v>
      </c>
      <c r="G431" s="178" t="s">
        <v>1147</v>
      </c>
      <c r="H431" s="178"/>
      <c r="I431" s="168" t="s">
        <v>1144</v>
      </c>
    </row>
    <row r="432" spans="1:9" x14ac:dyDescent="0.25">
      <c r="A432" s="175">
        <f t="shared" si="47"/>
        <v>1</v>
      </c>
      <c r="B432" s="175" t="s">
        <v>1850</v>
      </c>
      <c r="C432" s="176" t="s">
        <v>13</v>
      </c>
      <c r="D432" s="178">
        <f>E432*$D$1</f>
        <v>650</v>
      </c>
      <c r="E432" s="178">
        <v>650</v>
      </c>
      <c r="F432" s="178" t="s">
        <v>1147</v>
      </c>
      <c r="G432" s="178" t="s">
        <v>1147</v>
      </c>
      <c r="H432" s="178"/>
      <c r="I432" s="168" t="s">
        <v>1144</v>
      </c>
    </row>
    <row r="433" spans="1:9" x14ac:dyDescent="0.25">
      <c r="A433" s="175">
        <f t="shared" si="47"/>
        <v>1</v>
      </c>
      <c r="B433" s="175" t="s">
        <v>935</v>
      </c>
      <c r="C433" s="176" t="s">
        <v>131</v>
      </c>
      <c r="D433" s="178">
        <f t="shared" si="46"/>
        <v>0.34</v>
      </c>
      <c r="E433" s="178">
        <v>0.34</v>
      </c>
      <c r="F433" s="178" t="s">
        <v>1148</v>
      </c>
      <c r="G433" s="178" t="s">
        <v>1148</v>
      </c>
      <c r="H433" s="178"/>
      <c r="I433" s="168" t="s">
        <v>328</v>
      </c>
    </row>
    <row r="434" spans="1:9" x14ac:dyDescent="0.25">
      <c r="A434" s="175">
        <f t="shared" si="47"/>
        <v>1</v>
      </c>
      <c r="B434" s="175" t="s">
        <v>953</v>
      </c>
      <c r="C434" s="176" t="s">
        <v>131</v>
      </c>
      <c r="D434" s="178">
        <f t="shared" si="46"/>
        <v>0.6</v>
      </c>
      <c r="E434" s="178">
        <v>0.6</v>
      </c>
      <c r="F434" s="178" t="s">
        <v>1148</v>
      </c>
      <c r="G434" s="178" t="s">
        <v>1148</v>
      </c>
      <c r="H434" s="178"/>
      <c r="I434" s="168" t="s">
        <v>328</v>
      </c>
    </row>
    <row r="435" spans="1:9" x14ac:dyDescent="0.25">
      <c r="A435" s="175">
        <f t="shared" si="47"/>
        <v>1</v>
      </c>
      <c r="B435" s="175" t="s">
        <v>926</v>
      </c>
      <c r="C435" s="176" t="s">
        <v>131</v>
      </c>
      <c r="D435" s="178">
        <f t="shared" si="46"/>
        <v>0.34</v>
      </c>
      <c r="E435" s="178">
        <v>0.34</v>
      </c>
      <c r="F435" s="178" t="s">
        <v>1148</v>
      </c>
      <c r="G435" s="178" t="s">
        <v>1148</v>
      </c>
      <c r="H435" s="178"/>
      <c r="I435" s="168" t="s">
        <v>328</v>
      </c>
    </row>
    <row r="436" spans="1:9" x14ac:dyDescent="0.25">
      <c r="A436" s="175">
        <f t="shared" si="47"/>
        <v>1</v>
      </c>
      <c r="B436" s="175" t="s">
        <v>1004</v>
      </c>
      <c r="C436" s="176" t="s">
        <v>1149</v>
      </c>
      <c r="D436" s="178">
        <f t="shared" si="46"/>
        <v>0.26</v>
      </c>
      <c r="E436" s="178">
        <v>0.26</v>
      </c>
      <c r="F436" s="178" t="s">
        <v>1148</v>
      </c>
      <c r="G436" s="178" t="s">
        <v>1148</v>
      </c>
      <c r="H436" s="178"/>
      <c r="I436" s="168" t="s">
        <v>328</v>
      </c>
    </row>
    <row r="437" spans="1:9" x14ac:dyDescent="0.25">
      <c r="A437" s="175">
        <f t="shared" si="47"/>
        <v>1</v>
      </c>
      <c r="B437" s="175" t="s">
        <v>954</v>
      </c>
      <c r="C437" s="176" t="s">
        <v>131</v>
      </c>
      <c r="D437" s="178">
        <f t="shared" si="46"/>
        <v>24.95</v>
      </c>
      <c r="E437" s="178">
        <v>24.95</v>
      </c>
      <c r="F437" s="178" t="s">
        <v>1148</v>
      </c>
      <c r="G437" s="178" t="s">
        <v>1148</v>
      </c>
      <c r="H437" s="178"/>
      <c r="I437" s="168" t="s">
        <v>328</v>
      </c>
    </row>
    <row r="438" spans="1:9" x14ac:dyDescent="0.25">
      <c r="A438" s="175">
        <f t="shared" si="47"/>
        <v>1</v>
      </c>
      <c r="B438" s="175" t="s">
        <v>941</v>
      </c>
      <c r="C438" s="176" t="s">
        <v>131</v>
      </c>
      <c r="D438" s="178">
        <f t="shared" si="46"/>
        <v>5.95</v>
      </c>
      <c r="E438" s="178">
        <v>5.95</v>
      </c>
      <c r="F438" s="178" t="s">
        <v>1148</v>
      </c>
      <c r="G438" s="178" t="s">
        <v>1148</v>
      </c>
      <c r="H438" s="178"/>
      <c r="I438" s="168" t="s">
        <v>328</v>
      </c>
    </row>
    <row r="439" spans="1:9" x14ac:dyDescent="0.25">
      <c r="A439" s="175">
        <f t="shared" si="47"/>
        <v>1</v>
      </c>
      <c r="B439" s="175" t="s">
        <v>927</v>
      </c>
      <c r="C439" s="176" t="s">
        <v>131</v>
      </c>
      <c r="D439" s="178">
        <f t="shared" si="46"/>
        <v>5.95</v>
      </c>
      <c r="E439" s="178">
        <v>5.95</v>
      </c>
      <c r="F439" s="178" t="s">
        <v>1148</v>
      </c>
      <c r="G439" s="178" t="s">
        <v>1148</v>
      </c>
      <c r="H439" s="178"/>
      <c r="I439" s="168" t="s">
        <v>328</v>
      </c>
    </row>
    <row r="440" spans="1:9" x14ac:dyDescent="0.25">
      <c r="A440" s="175">
        <f t="shared" si="47"/>
        <v>1</v>
      </c>
      <c r="B440" s="175" t="s">
        <v>1005</v>
      </c>
      <c r="C440" s="176" t="s">
        <v>131</v>
      </c>
      <c r="D440" s="178">
        <f t="shared" si="46"/>
        <v>4</v>
      </c>
      <c r="E440" s="178">
        <v>4</v>
      </c>
      <c r="F440" s="178" t="s">
        <v>1148</v>
      </c>
      <c r="G440" s="178" t="s">
        <v>1148</v>
      </c>
      <c r="H440" s="178"/>
      <c r="I440" s="168" t="s">
        <v>328</v>
      </c>
    </row>
    <row r="441" spans="1:9" x14ac:dyDescent="0.25">
      <c r="A441" s="175">
        <f t="shared" si="47"/>
        <v>1</v>
      </c>
      <c r="B441" s="175" t="s">
        <v>1150</v>
      </c>
      <c r="C441" s="176" t="s">
        <v>428</v>
      </c>
      <c r="D441" s="178">
        <f t="shared" si="46"/>
        <v>17.63</v>
      </c>
      <c r="E441" s="178">
        <v>17.63</v>
      </c>
      <c r="F441" s="178" t="s">
        <v>1148</v>
      </c>
      <c r="G441" s="178" t="s">
        <v>1148</v>
      </c>
      <c r="H441" s="178"/>
      <c r="I441" s="168" t="s">
        <v>328</v>
      </c>
    </row>
    <row r="442" spans="1:9" x14ac:dyDescent="0.25">
      <c r="A442" s="175">
        <f t="shared" si="47"/>
        <v>1</v>
      </c>
      <c r="B442" s="175" t="s">
        <v>449</v>
      </c>
      <c r="C442" s="176" t="s">
        <v>428</v>
      </c>
      <c r="D442" s="178">
        <f t="shared" si="46"/>
        <v>18.8</v>
      </c>
      <c r="E442" s="178">
        <v>18.8</v>
      </c>
      <c r="F442" s="178" t="s">
        <v>1148</v>
      </c>
      <c r="G442" s="178" t="s">
        <v>1148</v>
      </c>
      <c r="H442" s="178"/>
      <c r="I442" s="168" t="s">
        <v>328</v>
      </c>
    </row>
    <row r="443" spans="1:9" x14ac:dyDescent="0.25">
      <c r="A443" s="175">
        <f t="shared" si="47"/>
        <v>1</v>
      </c>
      <c r="B443" s="175" t="s">
        <v>364</v>
      </c>
      <c r="C443" s="176" t="s">
        <v>428</v>
      </c>
      <c r="D443" s="178">
        <f t="shared" si="46"/>
        <v>13.08</v>
      </c>
      <c r="E443" s="178">
        <v>13.08</v>
      </c>
      <c r="F443" s="178" t="s">
        <v>1148</v>
      </c>
      <c r="G443" s="178" t="s">
        <v>1148</v>
      </c>
      <c r="H443" s="178"/>
      <c r="I443" s="168" t="s">
        <v>328</v>
      </c>
    </row>
    <row r="444" spans="1:9" x14ac:dyDescent="0.25">
      <c r="A444" s="175">
        <f t="shared" si="47"/>
        <v>1</v>
      </c>
      <c r="B444" s="175" t="s">
        <v>349</v>
      </c>
      <c r="C444" s="176" t="s">
        <v>428</v>
      </c>
      <c r="D444" s="178">
        <f t="shared" si="46"/>
        <v>18.13</v>
      </c>
      <c r="E444" s="178">
        <v>18.13</v>
      </c>
      <c r="F444" s="178" t="s">
        <v>1148</v>
      </c>
      <c r="G444" s="178" t="s">
        <v>1148</v>
      </c>
      <c r="H444" s="178"/>
      <c r="I444" s="168" t="s">
        <v>328</v>
      </c>
    </row>
    <row r="445" spans="1:9" x14ac:dyDescent="0.25">
      <c r="A445" s="175">
        <f t="shared" si="47"/>
        <v>1</v>
      </c>
      <c r="B445" s="183" t="s">
        <v>2351</v>
      </c>
      <c r="C445" s="176" t="s">
        <v>428</v>
      </c>
      <c r="D445" s="178">
        <f>E445*$D$1</f>
        <v>15.85</v>
      </c>
      <c r="E445" s="178">
        <v>15.85</v>
      </c>
      <c r="F445" s="178" t="s">
        <v>1148</v>
      </c>
      <c r="G445" s="178" t="s">
        <v>1148</v>
      </c>
      <c r="H445" s="178"/>
      <c r="I445" s="168" t="s">
        <v>328</v>
      </c>
    </row>
    <row r="446" spans="1:9" x14ac:dyDescent="0.25">
      <c r="A446" s="175">
        <f t="shared" si="47"/>
        <v>1</v>
      </c>
      <c r="B446" s="175" t="s">
        <v>507</v>
      </c>
      <c r="C446" s="176" t="s">
        <v>428</v>
      </c>
      <c r="D446" s="178">
        <f t="shared" si="46"/>
        <v>15.06</v>
      </c>
      <c r="E446" s="178">
        <v>15.06</v>
      </c>
      <c r="F446" s="178" t="s">
        <v>1148</v>
      </c>
      <c r="G446" s="178" t="s">
        <v>1148</v>
      </c>
      <c r="H446" s="178"/>
      <c r="I446" s="168" t="s">
        <v>328</v>
      </c>
    </row>
    <row r="447" spans="1:9" x14ac:dyDescent="0.25">
      <c r="A447" s="175">
        <f t="shared" si="47"/>
        <v>1</v>
      </c>
      <c r="B447" s="175" t="s">
        <v>376</v>
      </c>
      <c r="C447" s="176" t="s">
        <v>428</v>
      </c>
      <c r="D447" s="178">
        <f t="shared" si="46"/>
        <v>15.65</v>
      </c>
      <c r="E447" s="178">
        <v>15.65</v>
      </c>
      <c r="F447" s="178" t="s">
        <v>1148</v>
      </c>
      <c r="G447" s="178" t="s">
        <v>1148</v>
      </c>
      <c r="H447" s="178"/>
      <c r="I447" s="168" t="s">
        <v>328</v>
      </c>
    </row>
    <row r="448" spans="1:9" x14ac:dyDescent="0.25">
      <c r="A448" s="175">
        <f t="shared" si="47"/>
        <v>1</v>
      </c>
      <c r="B448" s="175" t="s">
        <v>1151</v>
      </c>
      <c r="C448" s="176" t="s">
        <v>428</v>
      </c>
      <c r="D448" s="178">
        <f t="shared" si="46"/>
        <v>15.9</v>
      </c>
      <c r="E448" s="178">
        <v>15.9</v>
      </c>
      <c r="F448" s="178" t="s">
        <v>1148</v>
      </c>
      <c r="G448" s="178" t="s">
        <v>1148</v>
      </c>
      <c r="H448" s="178"/>
      <c r="I448" s="168" t="s">
        <v>328</v>
      </c>
    </row>
    <row r="449" spans="1:9" x14ac:dyDescent="0.25">
      <c r="A449" s="175">
        <f t="shared" si="47"/>
        <v>1</v>
      </c>
      <c r="B449" s="175" t="s">
        <v>1152</v>
      </c>
      <c r="C449" s="176" t="s">
        <v>428</v>
      </c>
      <c r="D449" s="178">
        <f t="shared" si="46"/>
        <v>16.04</v>
      </c>
      <c r="E449" s="178">
        <v>16.04</v>
      </c>
      <c r="F449" s="178" t="s">
        <v>1148</v>
      </c>
      <c r="G449" s="178" t="s">
        <v>1148</v>
      </c>
      <c r="H449" s="178"/>
      <c r="I449" s="168" t="s">
        <v>328</v>
      </c>
    </row>
    <row r="450" spans="1:9" x14ac:dyDescent="0.25">
      <c r="A450" s="175">
        <f t="shared" si="47"/>
        <v>1</v>
      </c>
      <c r="B450" s="175" t="s">
        <v>340</v>
      </c>
      <c r="C450" s="176" t="s">
        <v>428</v>
      </c>
      <c r="D450" s="178">
        <f t="shared" si="46"/>
        <v>10.029999999999999</v>
      </c>
      <c r="E450" s="178">
        <v>10.029999999999999</v>
      </c>
      <c r="F450" s="178" t="s">
        <v>1148</v>
      </c>
      <c r="G450" s="178" t="s">
        <v>1148</v>
      </c>
      <c r="H450" s="178"/>
      <c r="I450" s="168" t="s">
        <v>328</v>
      </c>
    </row>
    <row r="451" spans="1:9" x14ac:dyDescent="0.25">
      <c r="A451" s="175">
        <f t="shared" si="47"/>
        <v>1</v>
      </c>
      <c r="B451" s="175" t="s">
        <v>1011</v>
      </c>
      <c r="C451" s="176" t="s">
        <v>428</v>
      </c>
      <c r="D451" s="178">
        <f t="shared" si="46"/>
        <v>71.510000000000005</v>
      </c>
      <c r="E451" s="178">
        <v>71.510000000000005</v>
      </c>
      <c r="F451" s="178" t="s">
        <v>1148</v>
      </c>
      <c r="G451" s="178" t="s">
        <v>1148</v>
      </c>
      <c r="H451" s="178"/>
      <c r="I451" s="168" t="s">
        <v>328</v>
      </c>
    </row>
    <row r="452" spans="1:9" x14ac:dyDescent="0.25">
      <c r="A452" s="175">
        <f t="shared" si="47"/>
        <v>1</v>
      </c>
      <c r="B452" s="175" t="s">
        <v>506</v>
      </c>
      <c r="C452" s="176" t="s">
        <v>13</v>
      </c>
      <c r="D452" s="178">
        <f t="shared" si="46"/>
        <v>59.4</v>
      </c>
      <c r="E452" s="178">
        <v>59.4</v>
      </c>
      <c r="F452" s="178" t="s">
        <v>1153</v>
      </c>
      <c r="G452" s="178" t="s">
        <v>1153</v>
      </c>
      <c r="H452" s="178"/>
      <c r="I452" s="168" t="s">
        <v>1154</v>
      </c>
    </row>
    <row r="453" spans="1:9" x14ac:dyDescent="0.25">
      <c r="A453" s="175">
        <f t="shared" si="47"/>
        <v>1</v>
      </c>
      <c r="B453" s="175" t="s">
        <v>2363</v>
      </c>
      <c r="C453" s="176" t="s">
        <v>131</v>
      </c>
      <c r="D453" s="178">
        <f>E453*$D$1</f>
        <v>33.9</v>
      </c>
      <c r="E453" s="178">
        <v>33.9</v>
      </c>
      <c r="F453" s="178" t="s">
        <v>1144</v>
      </c>
      <c r="G453" s="178" t="s">
        <v>1067</v>
      </c>
      <c r="H453" s="178"/>
      <c r="I453" s="168" t="s">
        <v>1144</v>
      </c>
    </row>
    <row r="454" spans="1:9" x14ac:dyDescent="0.25">
      <c r="A454" s="175">
        <f t="shared" si="47"/>
        <v>1</v>
      </c>
      <c r="B454" s="175" t="s">
        <v>431</v>
      </c>
      <c r="C454" s="176" t="s">
        <v>131</v>
      </c>
      <c r="D454" s="178">
        <f t="shared" si="46"/>
        <v>0.27</v>
      </c>
      <c r="E454" s="178">
        <v>0.27</v>
      </c>
      <c r="F454" s="178" t="s">
        <v>1144</v>
      </c>
      <c r="G454" s="178" t="s">
        <v>1067</v>
      </c>
      <c r="H454" s="178"/>
      <c r="I454" s="168" t="s">
        <v>1144</v>
      </c>
    </row>
    <row r="455" spans="1:9" x14ac:dyDescent="0.25">
      <c r="A455" s="175">
        <f t="shared" si="47"/>
        <v>1</v>
      </c>
      <c r="B455" s="175" t="s">
        <v>674</v>
      </c>
      <c r="C455" s="176" t="s">
        <v>131</v>
      </c>
      <c r="D455" s="178">
        <f t="shared" si="46"/>
        <v>0.08</v>
      </c>
      <c r="E455" s="178">
        <v>0.08</v>
      </c>
      <c r="F455" s="178" t="s">
        <v>1144</v>
      </c>
      <c r="G455" s="178" t="s">
        <v>1067</v>
      </c>
      <c r="H455" s="178"/>
      <c r="I455" s="168" t="s">
        <v>1144</v>
      </c>
    </row>
    <row r="456" spans="1:9" x14ac:dyDescent="0.25">
      <c r="A456" s="175">
        <f t="shared" si="47"/>
        <v>1</v>
      </c>
      <c r="B456" s="175" t="s">
        <v>680</v>
      </c>
      <c r="C456" s="176" t="s">
        <v>131</v>
      </c>
      <c r="D456" s="178">
        <f t="shared" si="46"/>
        <v>0.05</v>
      </c>
      <c r="E456" s="178">
        <v>0.05</v>
      </c>
      <c r="F456" s="178" t="s">
        <v>1144</v>
      </c>
      <c r="G456" s="178" t="s">
        <v>1067</v>
      </c>
      <c r="H456" s="178"/>
      <c r="I456" s="168" t="s">
        <v>1144</v>
      </c>
    </row>
    <row r="457" spans="1:9" x14ac:dyDescent="0.25">
      <c r="A457" s="175">
        <f t="shared" si="47"/>
        <v>1</v>
      </c>
      <c r="B457" s="175" t="s">
        <v>761</v>
      </c>
      <c r="C457" s="176" t="s">
        <v>13</v>
      </c>
      <c r="D457" s="178">
        <f t="shared" si="46"/>
        <v>1904.7619047619048</v>
      </c>
      <c r="E457" s="178">
        <v>1904.7619047619048</v>
      </c>
      <c r="F457" s="178" t="s">
        <v>1144</v>
      </c>
      <c r="G457" s="178" t="s">
        <v>1067</v>
      </c>
      <c r="H457" s="178"/>
      <c r="I457" s="168" t="s">
        <v>1144</v>
      </c>
    </row>
    <row r="458" spans="1:9" x14ac:dyDescent="0.25">
      <c r="A458" s="175">
        <f t="shared" si="47"/>
        <v>1</v>
      </c>
      <c r="B458" s="175" t="s">
        <v>760</v>
      </c>
      <c r="C458" s="176" t="s">
        <v>25</v>
      </c>
      <c r="D458" s="178">
        <f t="shared" si="46"/>
        <v>133.33333333333334</v>
      </c>
      <c r="E458" s="178">
        <f>400/3</f>
        <v>133.33333333333334</v>
      </c>
      <c r="F458" s="178" t="s">
        <v>1144</v>
      </c>
      <c r="G458" s="178" t="s">
        <v>1067</v>
      </c>
      <c r="H458" s="178"/>
      <c r="I458" s="168" t="s">
        <v>1144</v>
      </c>
    </row>
    <row r="459" spans="1:9" x14ac:dyDescent="0.25">
      <c r="A459" s="175">
        <f t="shared" si="47"/>
        <v>1</v>
      </c>
      <c r="B459" s="175" t="s">
        <v>903</v>
      </c>
      <c r="C459" s="176" t="s">
        <v>1</v>
      </c>
      <c r="D459" s="178">
        <f t="shared" si="46"/>
        <v>85.55</v>
      </c>
      <c r="E459" s="178">
        <v>85.55</v>
      </c>
      <c r="F459" s="178" t="s">
        <v>1144</v>
      </c>
      <c r="G459" s="178" t="s">
        <v>1067</v>
      </c>
      <c r="H459" s="178"/>
      <c r="I459" s="168" t="s">
        <v>1144</v>
      </c>
    </row>
    <row r="460" spans="1:9" x14ac:dyDescent="0.25">
      <c r="A460" s="175">
        <f t="shared" si="47"/>
        <v>1</v>
      </c>
      <c r="B460" s="175" t="s">
        <v>1187</v>
      </c>
      <c r="C460" s="176" t="s">
        <v>428</v>
      </c>
      <c r="D460" s="178">
        <f t="shared" si="46"/>
        <v>43.8</v>
      </c>
      <c r="E460" s="178">
        <v>43.8</v>
      </c>
      <c r="F460" s="178" t="s">
        <v>1144</v>
      </c>
      <c r="G460" s="178" t="s">
        <v>1155</v>
      </c>
      <c r="H460" s="178"/>
      <c r="I460" s="168" t="s">
        <v>1144</v>
      </c>
    </row>
    <row r="461" spans="1:9" x14ac:dyDescent="0.25">
      <c r="A461" s="175">
        <f t="shared" si="47"/>
        <v>1</v>
      </c>
      <c r="B461" s="175" t="s">
        <v>675</v>
      </c>
      <c r="C461" s="176" t="s">
        <v>428</v>
      </c>
      <c r="D461" s="178">
        <f t="shared" si="46"/>
        <v>11.15</v>
      </c>
      <c r="E461" s="178">
        <v>11.15</v>
      </c>
      <c r="F461" s="178" t="s">
        <v>1144</v>
      </c>
      <c r="G461" s="178" t="s">
        <v>1155</v>
      </c>
      <c r="H461" s="178"/>
      <c r="I461" s="168" t="s">
        <v>1144</v>
      </c>
    </row>
    <row r="462" spans="1:9" x14ac:dyDescent="0.25">
      <c r="A462" s="175">
        <f t="shared" si="47"/>
        <v>1</v>
      </c>
      <c r="B462" s="175" t="s">
        <v>890</v>
      </c>
      <c r="C462" s="176" t="s">
        <v>13</v>
      </c>
      <c r="D462" s="178">
        <f t="shared" si="46"/>
        <v>503</v>
      </c>
      <c r="E462" s="178">
        <v>503</v>
      </c>
      <c r="F462" s="178" t="s">
        <v>1144</v>
      </c>
      <c r="G462" s="178" t="s">
        <v>1144</v>
      </c>
      <c r="H462" s="178"/>
      <c r="I462" s="168" t="s">
        <v>1144</v>
      </c>
    </row>
    <row r="463" spans="1:9" x14ac:dyDescent="0.25">
      <c r="A463" s="175">
        <f t="shared" si="47"/>
        <v>1</v>
      </c>
      <c r="B463" s="175" t="s">
        <v>1003</v>
      </c>
      <c r="C463" s="176" t="s">
        <v>13</v>
      </c>
      <c r="D463" s="178">
        <f t="shared" si="46"/>
        <v>880</v>
      </c>
      <c r="E463" s="178">
        <v>880</v>
      </c>
      <c r="F463" s="178" t="s">
        <v>1144</v>
      </c>
      <c r="G463" s="178" t="s">
        <v>1144</v>
      </c>
      <c r="H463" s="178"/>
      <c r="I463" s="168" t="s">
        <v>1144</v>
      </c>
    </row>
    <row r="464" spans="1:9" x14ac:dyDescent="0.25">
      <c r="A464" s="175">
        <f t="shared" si="47"/>
        <v>1</v>
      </c>
      <c r="B464" s="175" t="s">
        <v>918</v>
      </c>
      <c r="C464" s="176" t="s">
        <v>13</v>
      </c>
      <c r="D464" s="178">
        <f t="shared" si="46"/>
        <v>720</v>
      </c>
      <c r="E464" s="178">
        <f>320+240+160</f>
        <v>720</v>
      </c>
      <c r="F464" s="178" t="s">
        <v>1144</v>
      </c>
      <c r="G464" s="178" t="s">
        <v>1144</v>
      </c>
      <c r="H464" s="178"/>
      <c r="I464" s="168" t="s">
        <v>1144</v>
      </c>
    </row>
    <row r="465" spans="1:9" x14ac:dyDescent="0.25">
      <c r="A465" s="175">
        <f t="shared" si="47"/>
        <v>1</v>
      </c>
      <c r="B465" s="175" t="s">
        <v>1854</v>
      </c>
      <c r="C465" s="176" t="s">
        <v>13</v>
      </c>
      <c r="D465" s="178">
        <f>E465*$D$1</f>
        <v>720</v>
      </c>
      <c r="E465" s="178">
        <f>320+240+160</f>
        <v>720</v>
      </c>
      <c r="F465" s="178" t="s">
        <v>1144</v>
      </c>
      <c r="G465" s="178" t="s">
        <v>1144</v>
      </c>
      <c r="H465" s="178"/>
      <c r="I465" s="168" t="s">
        <v>1144</v>
      </c>
    </row>
    <row r="466" spans="1:9" x14ac:dyDescent="0.25">
      <c r="A466" s="175">
        <f t="shared" si="47"/>
        <v>1</v>
      </c>
      <c r="B466" s="175" t="s">
        <v>2857</v>
      </c>
      <c r="C466" s="176" t="s">
        <v>13</v>
      </c>
      <c r="D466" s="178">
        <f>E466*$D$1</f>
        <v>177</v>
      </c>
      <c r="E466" s="178">
        <v>177</v>
      </c>
      <c r="F466" s="178" t="s">
        <v>1144</v>
      </c>
      <c r="G466" s="178" t="s">
        <v>1144</v>
      </c>
      <c r="H466" s="178"/>
      <c r="I466" s="168" t="s">
        <v>1144</v>
      </c>
    </row>
    <row r="467" spans="1:9" x14ac:dyDescent="0.25">
      <c r="A467" s="175">
        <f t="shared" si="47"/>
        <v>1</v>
      </c>
      <c r="B467" s="175" t="s">
        <v>2855</v>
      </c>
      <c r="C467" s="176" t="s">
        <v>13</v>
      </c>
      <c r="D467" s="178">
        <f>E467*$D$1</f>
        <v>63.59</v>
      </c>
      <c r="E467" s="178">
        <v>63.59</v>
      </c>
      <c r="F467" s="178" t="s">
        <v>1144</v>
      </c>
      <c r="G467" s="178" t="s">
        <v>1144</v>
      </c>
      <c r="H467" s="178"/>
      <c r="I467" s="168" t="s">
        <v>1144</v>
      </c>
    </row>
    <row r="468" spans="1:9" x14ac:dyDescent="0.25">
      <c r="A468" s="175">
        <f t="shared" ref="A468:A547" si="51">COUNTIFS($B$2:$B$764,B468)</f>
        <v>1</v>
      </c>
      <c r="B468" s="175" t="s">
        <v>1781</v>
      </c>
      <c r="C468" s="176" t="s">
        <v>13</v>
      </c>
      <c r="D468" s="178">
        <f>E468*$D$1</f>
        <v>720</v>
      </c>
      <c r="E468" s="178">
        <f>320+240+160</f>
        <v>720</v>
      </c>
      <c r="F468" s="178" t="s">
        <v>1144</v>
      </c>
      <c r="G468" s="178" t="s">
        <v>1144</v>
      </c>
      <c r="H468" s="178"/>
      <c r="I468" s="168" t="s">
        <v>1144</v>
      </c>
    </row>
    <row r="469" spans="1:9" x14ac:dyDescent="0.25">
      <c r="A469" s="175">
        <f t="shared" si="51"/>
        <v>1</v>
      </c>
      <c r="B469" s="175" t="s">
        <v>682</v>
      </c>
      <c r="C469" s="176" t="s">
        <v>13</v>
      </c>
      <c r="D469" s="178">
        <f t="shared" si="46"/>
        <v>251.36</v>
      </c>
      <c r="E469" s="178">
        <v>251.36</v>
      </c>
      <c r="F469" s="178" t="s">
        <v>1144</v>
      </c>
      <c r="G469" s="178" t="s">
        <v>1144</v>
      </c>
      <c r="H469" s="178"/>
      <c r="I469" s="168" t="s">
        <v>1144</v>
      </c>
    </row>
    <row r="470" spans="1:9" x14ac:dyDescent="0.25">
      <c r="A470" s="175">
        <f t="shared" si="51"/>
        <v>1</v>
      </c>
      <c r="B470" s="175" t="s">
        <v>673</v>
      </c>
      <c r="C470" s="176" t="s">
        <v>13</v>
      </c>
      <c r="D470" s="178">
        <f t="shared" si="46"/>
        <v>47.23</v>
      </c>
      <c r="E470" s="178">
        <v>47.23</v>
      </c>
      <c r="F470" s="178" t="s">
        <v>1144</v>
      </c>
      <c r="G470" s="178" t="s">
        <v>1144</v>
      </c>
      <c r="H470" s="178"/>
      <c r="I470" s="168" t="s">
        <v>1144</v>
      </c>
    </row>
    <row r="471" spans="1:9" x14ac:dyDescent="0.25">
      <c r="A471" s="175">
        <f t="shared" si="51"/>
        <v>1</v>
      </c>
      <c r="B471" s="175" t="s">
        <v>788</v>
      </c>
      <c r="C471" s="176" t="s">
        <v>13</v>
      </c>
      <c r="D471" s="178">
        <f t="shared" si="46"/>
        <v>56.675999999999995</v>
      </c>
      <c r="E471" s="178">
        <v>56.675999999999995</v>
      </c>
      <c r="F471" s="178" t="s">
        <v>1144</v>
      </c>
      <c r="G471" s="178" t="s">
        <v>1144</v>
      </c>
      <c r="H471" s="178"/>
      <c r="I471" s="168" t="s">
        <v>1144</v>
      </c>
    </row>
    <row r="472" spans="1:9" x14ac:dyDescent="0.25">
      <c r="A472" s="175">
        <f t="shared" si="51"/>
        <v>1</v>
      </c>
      <c r="B472" s="175" t="s">
        <v>758</v>
      </c>
      <c r="C472" s="176" t="s">
        <v>13</v>
      </c>
      <c r="D472" s="178">
        <f t="shared" si="46"/>
        <v>146.69999999999999</v>
      </c>
      <c r="E472" s="178">
        <v>146.69999999999999</v>
      </c>
      <c r="F472" s="178" t="s">
        <v>1144</v>
      </c>
      <c r="G472" s="178" t="s">
        <v>1144</v>
      </c>
      <c r="H472" s="178"/>
      <c r="I472" s="168" t="s">
        <v>1144</v>
      </c>
    </row>
    <row r="473" spans="1:9" x14ac:dyDescent="0.25">
      <c r="A473" s="175">
        <f t="shared" si="51"/>
        <v>1</v>
      </c>
      <c r="B473" s="175" t="s">
        <v>1189</v>
      </c>
      <c r="C473" s="176" t="s">
        <v>13</v>
      </c>
      <c r="D473" s="178">
        <f t="shared" si="46"/>
        <v>165</v>
      </c>
      <c r="E473" s="178">
        <v>165</v>
      </c>
      <c r="F473" s="178" t="s">
        <v>1144</v>
      </c>
      <c r="G473" s="178" t="s">
        <v>1144</v>
      </c>
      <c r="H473" s="178"/>
      <c r="I473" s="168" t="s">
        <v>1144</v>
      </c>
    </row>
    <row r="474" spans="1:9" x14ac:dyDescent="0.25">
      <c r="A474" s="175">
        <f t="shared" si="51"/>
        <v>1</v>
      </c>
      <c r="B474" s="175" t="s">
        <v>1188</v>
      </c>
      <c r="C474" s="176" t="s">
        <v>13</v>
      </c>
      <c r="D474" s="178">
        <f t="shared" si="46"/>
        <v>372.9</v>
      </c>
      <c r="E474" s="178">
        <v>372.9</v>
      </c>
      <c r="F474" s="178" t="s">
        <v>1144</v>
      </c>
      <c r="G474" s="178" t="s">
        <v>1144</v>
      </c>
      <c r="H474" s="178"/>
      <c r="I474" s="168" t="s">
        <v>1144</v>
      </c>
    </row>
    <row r="475" spans="1:9" x14ac:dyDescent="0.25">
      <c r="A475" s="175">
        <f t="shared" si="51"/>
        <v>1</v>
      </c>
      <c r="B475" s="175" t="s">
        <v>1156</v>
      </c>
      <c r="C475" s="176" t="s">
        <v>13</v>
      </c>
      <c r="D475" s="178">
        <f t="shared" si="46"/>
        <v>123.38</v>
      </c>
      <c r="E475" s="178">
        <v>123.38</v>
      </c>
      <c r="F475" s="178" t="s">
        <v>1144</v>
      </c>
      <c r="G475" s="178" t="s">
        <v>1144</v>
      </c>
      <c r="H475" s="178"/>
      <c r="I475" s="168" t="s">
        <v>1144</v>
      </c>
    </row>
    <row r="476" spans="1:9" x14ac:dyDescent="0.25">
      <c r="A476" s="175">
        <f t="shared" si="51"/>
        <v>1</v>
      </c>
      <c r="B476" s="175" t="s">
        <v>792</v>
      </c>
      <c r="C476" s="176" t="s">
        <v>13</v>
      </c>
      <c r="D476" s="178">
        <f t="shared" si="46"/>
        <v>150</v>
      </c>
      <c r="E476" s="178">
        <v>150</v>
      </c>
      <c r="F476" s="178" t="s">
        <v>1144</v>
      </c>
      <c r="G476" s="178" t="s">
        <v>1144</v>
      </c>
      <c r="H476" s="178"/>
      <c r="I476" s="168" t="s">
        <v>1144</v>
      </c>
    </row>
    <row r="477" spans="1:9" x14ac:dyDescent="0.25">
      <c r="A477" s="175">
        <f t="shared" si="51"/>
        <v>1</v>
      </c>
      <c r="B477" s="175" t="s">
        <v>1855</v>
      </c>
      <c r="C477" s="176" t="s">
        <v>13</v>
      </c>
      <c r="D477" s="178">
        <f>E477*$D$1</f>
        <v>75.8</v>
      </c>
      <c r="E477" s="178">
        <v>75.8</v>
      </c>
      <c r="F477" s="178" t="s">
        <v>1144</v>
      </c>
      <c r="G477" s="178" t="s">
        <v>1144</v>
      </c>
      <c r="H477" s="178"/>
      <c r="I477" s="168" t="s">
        <v>1144</v>
      </c>
    </row>
    <row r="478" spans="1:9" x14ac:dyDescent="0.25">
      <c r="A478" s="175">
        <f t="shared" si="51"/>
        <v>1</v>
      </c>
      <c r="B478" s="175" t="s">
        <v>677</v>
      </c>
      <c r="C478" s="176" t="s">
        <v>13</v>
      </c>
      <c r="D478" s="178">
        <f t="shared" si="46"/>
        <v>75.8</v>
      </c>
      <c r="E478" s="178">
        <v>75.8</v>
      </c>
      <c r="F478" s="178" t="s">
        <v>1144</v>
      </c>
      <c r="G478" s="178" t="s">
        <v>1144</v>
      </c>
      <c r="H478" s="178"/>
      <c r="I478" s="168" t="s">
        <v>1144</v>
      </c>
    </row>
    <row r="479" spans="1:9" x14ac:dyDescent="0.25">
      <c r="A479" s="175">
        <f t="shared" si="51"/>
        <v>1</v>
      </c>
      <c r="B479" s="175" t="s">
        <v>768</v>
      </c>
      <c r="C479" s="176" t="s">
        <v>13</v>
      </c>
      <c r="D479" s="178">
        <f t="shared" ref="D479:D580" si="52">E479*$D$1</f>
        <v>82</v>
      </c>
      <c r="E479" s="178">
        <v>82</v>
      </c>
      <c r="F479" s="178" t="s">
        <v>1144</v>
      </c>
      <c r="G479" s="178" t="s">
        <v>1144</v>
      </c>
      <c r="H479" s="178"/>
      <c r="I479" s="168" t="s">
        <v>1144</v>
      </c>
    </row>
    <row r="480" spans="1:9" x14ac:dyDescent="0.25">
      <c r="A480" s="175">
        <f t="shared" si="51"/>
        <v>1</v>
      </c>
      <c r="B480" s="175" t="s">
        <v>1994</v>
      </c>
      <c r="C480" s="176" t="s">
        <v>13</v>
      </c>
      <c r="D480" s="178">
        <f>E480*$D$1</f>
        <v>69.944444444444443</v>
      </c>
      <c r="E480" s="178">
        <f>125.9/1.8</f>
        <v>69.944444444444443</v>
      </c>
      <c r="F480" s="178" t="s">
        <v>1144</v>
      </c>
      <c r="G480" s="178" t="s">
        <v>1144</v>
      </c>
      <c r="H480" s="178"/>
      <c r="I480" s="168" t="s">
        <v>1144</v>
      </c>
    </row>
    <row r="481" spans="1:9" x14ac:dyDescent="0.25">
      <c r="A481" s="175">
        <f t="shared" si="51"/>
        <v>1</v>
      </c>
      <c r="B481" s="175" t="s">
        <v>1995</v>
      </c>
      <c r="C481" s="176" t="s">
        <v>13</v>
      </c>
      <c r="D481" s="178">
        <f>E481*$D$1</f>
        <v>75</v>
      </c>
      <c r="E481" s="178">
        <v>75</v>
      </c>
      <c r="F481" s="178" t="s">
        <v>1144</v>
      </c>
      <c r="G481" s="178" t="s">
        <v>1144</v>
      </c>
      <c r="H481" s="178"/>
      <c r="I481" s="168" t="s">
        <v>1144</v>
      </c>
    </row>
    <row r="482" spans="1:9" x14ac:dyDescent="0.25">
      <c r="A482" s="175">
        <f t="shared" si="51"/>
        <v>1</v>
      </c>
      <c r="B482" s="175" t="s">
        <v>1993</v>
      </c>
      <c r="C482" s="176" t="s">
        <v>13</v>
      </c>
      <c r="D482" s="178">
        <f t="shared" si="52"/>
        <v>62.9</v>
      </c>
      <c r="E482" s="178">
        <v>62.9</v>
      </c>
      <c r="F482" s="178" t="s">
        <v>1144</v>
      </c>
      <c r="G482" s="178" t="s">
        <v>1144</v>
      </c>
      <c r="H482" s="178"/>
      <c r="I482" s="168" t="s">
        <v>1144</v>
      </c>
    </row>
    <row r="483" spans="1:9" x14ac:dyDescent="0.25">
      <c r="A483" s="175">
        <f t="shared" si="51"/>
        <v>1</v>
      </c>
      <c r="B483" s="175" t="s">
        <v>1991</v>
      </c>
      <c r="C483" s="176" t="s">
        <v>13</v>
      </c>
      <c r="D483" s="178">
        <f>E483*$D$1</f>
        <v>143.72999999999999</v>
      </c>
      <c r="E483" s="178">
        <v>143.72999999999999</v>
      </c>
      <c r="F483" s="178" t="s">
        <v>1144</v>
      </c>
      <c r="G483" s="178" t="s">
        <v>1144</v>
      </c>
      <c r="H483" s="178"/>
      <c r="I483" s="168" t="s">
        <v>1144</v>
      </c>
    </row>
    <row r="484" spans="1:9" x14ac:dyDescent="0.25">
      <c r="A484" s="175">
        <f t="shared" si="51"/>
        <v>1</v>
      </c>
      <c r="B484" s="175" t="s">
        <v>1190</v>
      </c>
      <c r="C484" s="176" t="s">
        <v>13</v>
      </c>
      <c r="D484" s="178">
        <f t="shared" si="52"/>
        <v>178.8</v>
      </c>
      <c r="E484" s="178">
        <v>178.8</v>
      </c>
      <c r="F484" s="178" t="s">
        <v>1144</v>
      </c>
      <c r="G484" s="178" t="s">
        <v>1144</v>
      </c>
      <c r="H484" s="178"/>
      <c r="I484" s="168" t="s">
        <v>1144</v>
      </c>
    </row>
    <row r="485" spans="1:9" x14ac:dyDescent="0.25">
      <c r="A485" s="175">
        <f t="shared" si="51"/>
        <v>1</v>
      </c>
      <c r="B485" s="175" t="s">
        <v>772</v>
      </c>
      <c r="C485" s="176" t="s">
        <v>13</v>
      </c>
      <c r="D485" s="178">
        <f t="shared" si="52"/>
        <v>75.8</v>
      </c>
      <c r="E485" s="178">
        <v>75.8</v>
      </c>
      <c r="F485" s="178" t="s">
        <v>1144</v>
      </c>
      <c r="G485" s="178" t="s">
        <v>1144</v>
      </c>
      <c r="H485" s="178"/>
      <c r="I485" s="168" t="s">
        <v>1144</v>
      </c>
    </row>
    <row r="486" spans="1:9" x14ac:dyDescent="0.25">
      <c r="A486" s="175">
        <f t="shared" si="51"/>
        <v>1</v>
      </c>
      <c r="B486" s="175" t="s">
        <v>1191</v>
      </c>
      <c r="C486" s="176" t="s">
        <v>13</v>
      </c>
      <c r="D486" s="178">
        <f t="shared" si="52"/>
        <v>116.1</v>
      </c>
      <c r="E486" s="178">
        <v>116.1</v>
      </c>
      <c r="F486" s="178" t="s">
        <v>1144</v>
      </c>
      <c r="G486" s="178" t="s">
        <v>1144</v>
      </c>
      <c r="H486" s="178"/>
      <c r="I486" s="168" t="s">
        <v>1144</v>
      </c>
    </row>
    <row r="487" spans="1:9" x14ac:dyDescent="0.25">
      <c r="A487" s="175">
        <f t="shared" si="51"/>
        <v>1</v>
      </c>
      <c r="B487" s="175" t="s">
        <v>1192</v>
      </c>
      <c r="C487" s="176" t="s">
        <v>13</v>
      </c>
      <c r="D487" s="178">
        <f t="shared" ref="D487:D488" si="53">E487*$D$1</f>
        <v>36.96</v>
      </c>
      <c r="E487" s="178">
        <v>36.96</v>
      </c>
      <c r="F487" s="178" t="s">
        <v>1144</v>
      </c>
      <c r="G487" s="178" t="s">
        <v>1144</v>
      </c>
      <c r="H487" s="178"/>
      <c r="I487" s="168" t="s">
        <v>1144</v>
      </c>
    </row>
    <row r="488" spans="1:9" x14ac:dyDescent="0.25">
      <c r="A488" s="175">
        <f t="shared" si="51"/>
        <v>1</v>
      </c>
      <c r="B488" s="175" t="s">
        <v>4247</v>
      </c>
      <c r="C488" s="176" t="s">
        <v>13</v>
      </c>
      <c r="D488" s="178">
        <f t="shared" si="53"/>
        <v>119.99</v>
      </c>
      <c r="E488" s="178">
        <v>119.99</v>
      </c>
      <c r="F488" s="178" t="s">
        <v>1144</v>
      </c>
      <c r="G488" s="178" t="s">
        <v>1144</v>
      </c>
      <c r="H488" s="178"/>
      <c r="I488" s="168" t="s">
        <v>1144</v>
      </c>
    </row>
    <row r="489" spans="1:9" x14ac:dyDescent="0.25">
      <c r="A489" s="175">
        <f t="shared" si="51"/>
        <v>1</v>
      </c>
      <c r="B489" s="175" t="s">
        <v>4244</v>
      </c>
      <c r="C489" s="176" t="s">
        <v>13</v>
      </c>
      <c r="D489" s="178">
        <f t="shared" si="52"/>
        <v>78.930000000000007</v>
      </c>
      <c r="E489" s="178">
        <v>78.930000000000007</v>
      </c>
      <c r="F489" s="178" t="s">
        <v>1144</v>
      </c>
      <c r="G489" s="178" t="s">
        <v>1144</v>
      </c>
      <c r="H489" s="178"/>
      <c r="I489" s="168" t="s">
        <v>1144</v>
      </c>
    </row>
    <row r="490" spans="1:9" x14ac:dyDescent="0.25">
      <c r="A490" s="175">
        <f t="shared" si="51"/>
        <v>1</v>
      </c>
      <c r="B490" s="175" t="s">
        <v>1193</v>
      </c>
      <c r="C490" s="176" t="s">
        <v>13</v>
      </c>
      <c r="D490" s="178">
        <f t="shared" si="52"/>
        <v>276</v>
      </c>
      <c r="E490" s="178">
        <v>276</v>
      </c>
      <c r="F490" s="178" t="s">
        <v>1144</v>
      </c>
      <c r="G490" s="178" t="s">
        <v>1144</v>
      </c>
      <c r="H490" s="178"/>
      <c r="I490" s="168" t="s">
        <v>1144</v>
      </c>
    </row>
    <row r="491" spans="1:9" x14ac:dyDescent="0.25">
      <c r="A491" s="175">
        <f t="shared" si="51"/>
        <v>1</v>
      </c>
      <c r="B491" s="175" t="s">
        <v>1194</v>
      </c>
      <c r="C491" s="176" t="s">
        <v>13</v>
      </c>
      <c r="D491" s="178">
        <f t="shared" si="52"/>
        <v>136.88999999999999</v>
      </c>
      <c r="E491" s="178">
        <v>136.88999999999999</v>
      </c>
      <c r="F491" s="178" t="s">
        <v>1144</v>
      </c>
      <c r="G491" s="178" t="s">
        <v>1144</v>
      </c>
      <c r="H491" s="178"/>
      <c r="I491" s="168" t="s">
        <v>1144</v>
      </c>
    </row>
    <row r="492" spans="1:9" x14ac:dyDescent="0.25">
      <c r="A492" s="175">
        <f t="shared" si="51"/>
        <v>1</v>
      </c>
      <c r="B492" s="175" t="s">
        <v>1195</v>
      </c>
      <c r="C492" s="176" t="s">
        <v>13</v>
      </c>
      <c r="D492" s="178">
        <f t="shared" si="52"/>
        <v>154.88999999999999</v>
      </c>
      <c r="E492" s="178">
        <v>154.88999999999999</v>
      </c>
      <c r="F492" s="178" t="s">
        <v>1144</v>
      </c>
      <c r="G492" s="178" t="s">
        <v>1144</v>
      </c>
      <c r="H492" s="178"/>
      <c r="I492" s="168" t="s">
        <v>1144</v>
      </c>
    </row>
    <row r="493" spans="1:9" x14ac:dyDescent="0.25">
      <c r="A493" s="175">
        <f t="shared" si="51"/>
        <v>1</v>
      </c>
      <c r="B493" s="175" t="s">
        <v>774</v>
      </c>
      <c r="C493" s="176" t="s">
        <v>13</v>
      </c>
      <c r="D493" s="178">
        <f t="shared" si="52"/>
        <v>80</v>
      </c>
      <c r="E493" s="178">
        <v>80</v>
      </c>
      <c r="F493" s="178" t="s">
        <v>1144</v>
      </c>
      <c r="G493" s="178" t="s">
        <v>1144</v>
      </c>
      <c r="H493" s="178"/>
      <c r="I493" s="168" t="s">
        <v>1144</v>
      </c>
    </row>
    <row r="494" spans="1:9" x14ac:dyDescent="0.25">
      <c r="A494" s="175">
        <f t="shared" si="51"/>
        <v>1</v>
      </c>
      <c r="B494" s="175" t="s">
        <v>902</v>
      </c>
      <c r="C494" s="176" t="s">
        <v>13</v>
      </c>
      <c r="D494" s="178">
        <f t="shared" si="52"/>
        <v>246.84</v>
      </c>
      <c r="E494" s="178">
        <v>246.84</v>
      </c>
      <c r="F494" s="178" t="s">
        <v>1144</v>
      </c>
      <c r="G494" s="178" t="s">
        <v>1144</v>
      </c>
      <c r="H494" s="178"/>
      <c r="I494" s="168" t="s">
        <v>1144</v>
      </c>
    </row>
    <row r="495" spans="1:9" x14ac:dyDescent="0.25">
      <c r="A495" s="175">
        <f t="shared" si="51"/>
        <v>1</v>
      </c>
      <c r="B495" s="175" t="s">
        <v>765</v>
      </c>
      <c r="C495" s="176" t="s">
        <v>13</v>
      </c>
      <c r="D495" s="178">
        <f t="shared" si="52"/>
        <v>109.89</v>
      </c>
      <c r="E495" s="178">
        <v>109.89</v>
      </c>
      <c r="F495" s="178" t="s">
        <v>1144</v>
      </c>
      <c r="G495" s="178" t="s">
        <v>1144</v>
      </c>
      <c r="H495" s="178"/>
      <c r="I495" s="168" t="s">
        <v>1144</v>
      </c>
    </row>
    <row r="496" spans="1:9" x14ac:dyDescent="0.25">
      <c r="A496" s="175">
        <f t="shared" si="51"/>
        <v>1</v>
      </c>
      <c r="B496" s="175" t="s">
        <v>784</v>
      </c>
      <c r="C496" s="176" t="s">
        <v>13</v>
      </c>
      <c r="D496" s="178">
        <f t="shared" si="52"/>
        <v>113.22</v>
      </c>
      <c r="E496" s="178">
        <v>113.22</v>
      </c>
      <c r="F496" s="178" t="s">
        <v>1144</v>
      </c>
      <c r="G496" s="178" t="s">
        <v>1144</v>
      </c>
      <c r="H496" s="178"/>
      <c r="I496" s="168" t="s">
        <v>1144</v>
      </c>
    </row>
    <row r="497" spans="1:9" x14ac:dyDescent="0.25">
      <c r="A497" s="175">
        <f t="shared" ref="A497:A499" si="54">COUNTIFS($B$2:$B$764,B497)</f>
        <v>1</v>
      </c>
      <c r="B497" s="175" t="s">
        <v>6855</v>
      </c>
      <c r="C497" s="176" t="s">
        <v>13</v>
      </c>
      <c r="D497" s="178">
        <f t="shared" ref="D497:D499" si="55">E497*$D$1</f>
        <v>143.76</v>
      </c>
      <c r="E497" s="178">
        <v>143.76</v>
      </c>
      <c r="F497" s="178" t="s">
        <v>1144</v>
      </c>
      <c r="G497" s="178" t="s">
        <v>1144</v>
      </c>
      <c r="H497" s="178"/>
      <c r="I497" s="168" t="s">
        <v>1144</v>
      </c>
    </row>
    <row r="498" spans="1:9" x14ac:dyDescent="0.25">
      <c r="A498" s="175">
        <f t="shared" si="54"/>
        <v>1</v>
      </c>
      <c r="B498" s="175" t="s">
        <v>6857</v>
      </c>
      <c r="C498" s="176" t="s">
        <v>13</v>
      </c>
      <c r="D498" s="178">
        <f t="shared" si="55"/>
        <v>135</v>
      </c>
      <c r="E498" s="178">
        <v>135</v>
      </c>
      <c r="F498" s="178" t="s">
        <v>1144</v>
      </c>
      <c r="G498" s="178" t="s">
        <v>1144</v>
      </c>
      <c r="H498" s="178"/>
      <c r="I498" s="168" t="s">
        <v>1144</v>
      </c>
    </row>
    <row r="499" spans="1:9" x14ac:dyDescent="0.25">
      <c r="A499" s="175">
        <f t="shared" si="54"/>
        <v>1</v>
      </c>
      <c r="B499" s="175" t="s">
        <v>6859</v>
      </c>
      <c r="C499" s="176" t="s">
        <v>13</v>
      </c>
      <c r="D499" s="178">
        <f t="shared" si="55"/>
        <v>220</v>
      </c>
      <c r="E499" s="178">
        <v>220</v>
      </c>
      <c r="F499" s="178" t="s">
        <v>1144</v>
      </c>
      <c r="G499" s="178" t="s">
        <v>1144</v>
      </c>
      <c r="H499" s="178"/>
      <c r="I499" s="168" t="s">
        <v>1144</v>
      </c>
    </row>
    <row r="500" spans="1:9" x14ac:dyDescent="0.25">
      <c r="A500" s="175">
        <f t="shared" si="51"/>
        <v>1</v>
      </c>
      <c r="B500" s="175" t="s">
        <v>1157</v>
      </c>
      <c r="C500" s="176" t="s">
        <v>13</v>
      </c>
      <c r="D500" s="178">
        <f t="shared" si="52"/>
        <v>67.88</v>
      </c>
      <c r="E500" s="178">
        <v>67.88</v>
      </c>
      <c r="F500" s="178" t="s">
        <v>1144</v>
      </c>
      <c r="G500" s="178" t="s">
        <v>1144</v>
      </c>
      <c r="H500" s="178"/>
      <c r="I500" s="168" t="s">
        <v>1144</v>
      </c>
    </row>
    <row r="501" spans="1:9" x14ac:dyDescent="0.25">
      <c r="A501" s="175">
        <f t="shared" si="51"/>
        <v>1</v>
      </c>
      <c r="B501" s="175" t="s">
        <v>893</v>
      </c>
      <c r="C501" s="176" t="s">
        <v>13</v>
      </c>
      <c r="D501" s="178">
        <f t="shared" si="52"/>
        <v>165</v>
      </c>
      <c r="E501" s="178">
        <v>165</v>
      </c>
      <c r="F501" s="178" t="s">
        <v>1144</v>
      </c>
      <c r="G501" s="178" t="s">
        <v>1144</v>
      </c>
      <c r="H501" s="178"/>
      <c r="I501" s="168" t="s">
        <v>1144</v>
      </c>
    </row>
    <row r="502" spans="1:9" x14ac:dyDescent="0.25">
      <c r="A502" s="175">
        <f t="shared" si="51"/>
        <v>1</v>
      </c>
      <c r="B502" s="175" t="s">
        <v>779</v>
      </c>
      <c r="C502" s="176" t="s">
        <v>13</v>
      </c>
      <c r="D502" s="178">
        <f t="shared" si="52"/>
        <v>39.64</v>
      </c>
      <c r="E502" s="178">
        <v>39.64</v>
      </c>
      <c r="F502" s="178" t="s">
        <v>1144</v>
      </c>
      <c r="G502" s="178" t="s">
        <v>1144</v>
      </c>
      <c r="H502" s="178"/>
      <c r="I502" s="168" t="s">
        <v>1144</v>
      </c>
    </row>
    <row r="503" spans="1:9" x14ac:dyDescent="0.25">
      <c r="A503" s="175">
        <f t="shared" si="51"/>
        <v>1</v>
      </c>
      <c r="B503" s="175" t="s">
        <v>895</v>
      </c>
      <c r="C503" s="176" t="s">
        <v>13</v>
      </c>
      <c r="D503" s="178">
        <f t="shared" si="52"/>
        <v>112.71</v>
      </c>
      <c r="E503" s="178">
        <v>112.71</v>
      </c>
      <c r="F503" s="178" t="s">
        <v>1144</v>
      </c>
      <c r="G503" s="178" t="s">
        <v>1144</v>
      </c>
      <c r="H503" s="178"/>
      <c r="I503" s="168" t="s">
        <v>1144</v>
      </c>
    </row>
    <row r="504" spans="1:9" x14ac:dyDescent="0.25">
      <c r="A504" s="175">
        <f t="shared" si="51"/>
        <v>1</v>
      </c>
      <c r="B504" s="175" t="s">
        <v>754</v>
      </c>
      <c r="C504" s="176" t="s">
        <v>13</v>
      </c>
      <c r="D504" s="178">
        <f t="shared" si="52"/>
        <v>1036.9504748982358</v>
      </c>
      <c r="E504" s="178">
        <v>1036.9504748982358</v>
      </c>
      <c r="F504" s="178" t="s">
        <v>1144</v>
      </c>
      <c r="G504" s="178" t="s">
        <v>1144</v>
      </c>
      <c r="H504" s="178"/>
      <c r="I504" s="168" t="s">
        <v>1144</v>
      </c>
    </row>
    <row r="505" spans="1:9" x14ac:dyDescent="0.25">
      <c r="A505" s="175">
        <f t="shared" si="51"/>
        <v>1</v>
      </c>
      <c r="B505" s="175" t="s">
        <v>767</v>
      </c>
      <c r="C505" s="176" t="s">
        <v>13</v>
      </c>
      <c r="D505" s="178">
        <f t="shared" si="52"/>
        <v>89.9</v>
      </c>
      <c r="E505" s="178">
        <v>89.9</v>
      </c>
      <c r="F505" s="178" t="s">
        <v>1144</v>
      </c>
      <c r="G505" s="178" t="s">
        <v>1144</v>
      </c>
      <c r="H505" s="178"/>
      <c r="I505" s="168" t="s">
        <v>1144</v>
      </c>
    </row>
    <row r="506" spans="1:9" x14ac:dyDescent="0.25">
      <c r="A506" s="175">
        <f t="shared" si="51"/>
        <v>1</v>
      </c>
      <c r="B506" s="175" t="s">
        <v>770</v>
      </c>
      <c r="C506" s="176" t="s">
        <v>13</v>
      </c>
      <c r="D506" s="178">
        <f t="shared" si="52"/>
        <v>136.88999999999999</v>
      </c>
      <c r="E506" s="178">
        <v>136.88999999999999</v>
      </c>
      <c r="F506" s="178" t="s">
        <v>1144</v>
      </c>
      <c r="G506" s="178" t="s">
        <v>1144</v>
      </c>
      <c r="H506" s="178"/>
      <c r="I506" s="168" t="s">
        <v>1144</v>
      </c>
    </row>
    <row r="507" spans="1:9" x14ac:dyDescent="0.25">
      <c r="A507" s="175">
        <f t="shared" si="51"/>
        <v>1</v>
      </c>
      <c r="B507" s="175" t="s">
        <v>6905</v>
      </c>
      <c r="C507" s="176" t="s">
        <v>13</v>
      </c>
      <c r="D507" s="178">
        <f t="shared" si="52"/>
        <v>115</v>
      </c>
      <c r="E507" s="178">
        <v>115</v>
      </c>
      <c r="F507" s="178" t="s">
        <v>1144</v>
      </c>
      <c r="G507" s="178" t="s">
        <v>1144</v>
      </c>
      <c r="H507" s="178"/>
      <c r="I507" s="168" t="s">
        <v>1144</v>
      </c>
    </row>
    <row r="508" spans="1:9" x14ac:dyDescent="0.25">
      <c r="A508" s="175">
        <f t="shared" si="51"/>
        <v>1</v>
      </c>
      <c r="B508" s="175" t="s">
        <v>6908</v>
      </c>
      <c r="C508" s="176" t="s">
        <v>13</v>
      </c>
      <c r="D508" s="178">
        <f t="shared" si="52"/>
        <v>235</v>
      </c>
      <c r="E508" s="178">
        <v>235</v>
      </c>
      <c r="F508" s="178" t="s">
        <v>1144</v>
      </c>
      <c r="G508" s="178" t="s">
        <v>1144</v>
      </c>
      <c r="H508" s="178"/>
      <c r="I508" s="168" t="s">
        <v>1144</v>
      </c>
    </row>
    <row r="509" spans="1:9" x14ac:dyDescent="0.25">
      <c r="A509" s="175">
        <f t="shared" ref="A509:A511" si="56">COUNTIFS($B$2:$B$764,B509)</f>
        <v>1</v>
      </c>
      <c r="B509" s="175" t="s">
        <v>6891</v>
      </c>
      <c r="C509" s="176" t="s">
        <v>13</v>
      </c>
      <c r="D509" s="178">
        <f t="shared" ref="D509:D511" si="57">E509*$D$1</f>
        <v>568</v>
      </c>
      <c r="E509" s="178">
        <v>568</v>
      </c>
      <c r="F509" s="178" t="s">
        <v>1144</v>
      </c>
      <c r="G509" s="178" t="s">
        <v>1144</v>
      </c>
      <c r="H509" s="178"/>
      <c r="I509" s="168" t="s">
        <v>1144</v>
      </c>
    </row>
    <row r="510" spans="1:9" x14ac:dyDescent="0.25">
      <c r="A510" s="175">
        <f t="shared" si="56"/>
        <v>1</v>
      </c>
      <c r="B510" s="175" t="s">
        <v>6894</v>
      </c>
      <c r="C510" s="176" t="s">
        <v>13</v>
      </c>
      <c r="D510" s="178">
        <f t="shared" si="57"/>
        <v>141</v>
      </c>
      <c r="E510" s="178">
        <v>141</v>
      </c>
      <c r="F510" s="178" t="s">
        <v>1144</v>
      </c>
      <c r="G510" s="178" t="s">
        <v>1144</v>
      </c>
      <c r="H510" s="178"/>
      <c r="I510" s="168" t="s">
        <v>1144</v>
      </c>
    </row>
    <row r="511" spans="1:9" x14ac:dyDescent="0.25">
      <c r="A511" s="175">
        <f t="shared" si="56"/>
        <v>1</v>
      </c>
      <c r="B511" s="175" t="s">
        <v>6899</v>
      </c>
      <c r="C511" s="176" t="s">
        <v>13</v>
      </c>
      <c r="D511" s="178">
        <f t="shared" si="57"/>
        <v>135</v>
      </c>
      <c r="E511" s="178">
        <v>135</v>
      </c>
      <c r="F511" s="178" t="s">
        <v>1144</v>
      </c>
      <c r="G511" s="178" t="s">
        <v>1144</v>
      </c>
      <c r="H511" s="178"/>
      <c r="I511" s="168" t="s">
        <v>1144</v>
      </c>
    </row>
    <row r="512" spans="1:9" x14ac:dyDescent="0.25">
      <c r="A512" s="175">
        <f t="shared" si="51"/>
        <v>1</v>
      </c>
      <c r="B512" s="175" t="s">
        <v>777</v>
      </c>
      <c r="C512" s="176" t="s">
        <v>13</v>
      </c>
      <c r="D512" s="178">
        <f t="shared" si="52"/>
        <v>140</v>
      </c>
      <c r="E512" s="178">
        <v>140</v>
      </c>
      <c r="F512" s="178" t="s">
        <v>1144</v>
      </c>
      <c r="G512" s="178" t="s">
        <v>1144</v>
      </c>
      <c r="H512" s="178"/>
      <c r="I512" s="168" t="s">
        <v>1144</v>
      </c>
    </row>
    <row r="513" spans="1:9" x14ac:dyDescent="0.25">
      <c r="A513" s="175">
        <f t="shared" si="51"/>
        <v>1</v>
      </c>
      <c r="B513" s="175" t="s">
        <v>782</v>
      </c>
      <c r="C513" s="176" t="s">
        <v>13</v>
      </c>
      <c r="D513" s="178">
        <f t="shared" si="52"/>
        <v>44.9</v>
      </c>
      <c r="E513" s="178">
        <v>44.9</v>
      </c>
      <c r="F513" s="178" t="s">
        <v>1144</v>
      </c>
      <c r="G513" s="178" t="s">
        <v>1144</v>
      </c>
      <c r="H513" s="178"/>
      <c r="I513" s="168" t="s">
        <v>1144</v>
      </c>
    </row>
    <row r="514" spans="1:9" x14ac:dyDescent="0.25">
      <c r="A514" s="175">
        <f t="shared" si="51"/>
        <v>1</v>
      </c>
      <c r="B514" s="175" t="s">
        <v>676</v>
      </c>
      <c r="C514" s="176" t="s">
        <v>13</v>
      </c>
      <c r="D514" s="178">
        <f t="shared" si="52"/>
        <v>112.22500000000001</v>
      </c>
      <c r="E514" s="178">
        <v>112.22500000000001</v>
      </c>
      <c r="F514" s="178" t="s">
        <v>1144</v>
      </c>
      <c r="G514" s="178" t="s">
        <v>1144</v>
      </c>
      <c r="H514" s="178"/>
      <c r="I514" s="168" t="s">
        <v>1144</v>
      </c>
    </row>
    <row r="515" spans="1:9" x14ac:dyDescent="0.25">
      <c r="A515" s="175">
        <f t="shared" si="51"/>
        <v>1</v>
      </c>
      <c r="B515" s="175" t="s">
        <v>679</v>
      </c>
      <c r="C515" s="176" t="s">
        <v>13</v>
      </c>
      <c r="D515" s="178">
        <f t="shared" si="52"/>
        <v>83.95</v>
      </c>
      <c r="E515" s="178">
        <v>83.95</v>
      </c>
      <c r="F515" s="178" t="s">
        <v>1144</v>
      </c>
      <c r="G515" s="178" t="s">
        <v>1144</v>
      </c>
      <c r="H515" s="178"/>
      <c r="I515" s="168" t="s">
        <v>1144</v>
      </c>
    </row>
    <row r="516" spans="1:9" x14ac:dyDescent="0.25">
      <c r="A516" s="175">
        <f t="shared" si="51"/>
        <v>1</v>
      </c>
      <c r="B516" s="175" t="s">
        <v>6865</v>
      </c>
      <c r="C516" s="176" t="s">
        <v>13</v>
      </c>
      <c r="D516" s="178">
        <f t="shared" si="52"/>
        <v>211</v>
      </c>
      <c r="E516" s="178">
        <v>211</v>
      </c>
      <c r="F516" s="178" t="s">
        <v>1144</v>
      </c>
      <c r="G516" s="178" t="s">
        <v>1144</v>
      </c>
      <c r="H516" s="178"/>
      <c r="I516" s="168" t="s">
        <v>1144</v>
      </c>
    </row>
    <row r="517" spans="1:9" x14ac:dyDescent="0.25">
      <c r="A517" s="175">
        <f t="shared" ref="A517" si="58">COUNTIFS($B$2:$B$764,B517)</f>
        <v>1</v>
      </c>
      <c r="B517" s="175" t="s">
        <v>6863</v>
      </c>
      <c r="C517" s="176" t="s">
        <v>13</v>
      </c>
      <c r="D517" s="178">
        <f t="shared" ref="D517" si="59">E517*$D$1</f>
        <v>175</v>
      </c>
      <c r="E517" s="178">
        <v>175</v>
      </c>
      <c r="F517" s="178" t="s">
        <v>1144</v>
      </c>
      <c r="G517" s="178" t="s">
        <v>1144</v>
      </c>
      <c r="H517" s="178"/>
      <c r="I517" s="168" t="s">
        <v>1144</v>
      </c>
    </row>
    <row r="518" spans="1:9" x14ac:dyDescent="0.25">
      <c r="A518" s="175">
        <f t="shared" si="51"/>
        <v>1</v>
      </c>
      <c r="B518" s="175" t="s">
        <v>683</v>
      </c>
      <c r="C518" s="176" t="s">
        <v>13</v>
      </c>
      <c r="D518" s="178">
        <f t="shared" si="52"/>
        <v>127.9</v>
      </c>
      <c r="E518" s="178">
        <v>127.9</v>
      </c>
      <c r="F518" s="178" t="s">
        <v>1144</v>
      </c>
      <c r="G518" s="178" t="s">
        <v>1144</v>
      </c>
      <c r="H518" s="178"/>
      <c r="I518" s="168" t="s">
        <v>1144</v>
      </c>
    </row>
    <row r="519" spans="1:9" x14ac:dyDescent="0.25">
      <c r="A519" s="175">
        <f t="shared" si="51"/>
        <v>1</v>
      </c>
      <c r="B519" s="175" t="s">
        <v>807</v>
      </c>
      <c r="C519" s="176" t="s">
        <v>13</v>
      </c>
      <c r="D519" s="178">
        <f t="shared" si="52"/>
        <v>79</v>
      </c>
      <c r="E519" s="178">
        <v>79</v>
      </c>
      <c r="F519" s="178" t="s">
        <v>1144</v>
      </c>
      <c r="G519" s="178" t="s">
        <v>1144</v>
      </c>
      <c r="H519" s="178"/>
      <c r="I519" s="168" t="s">
        <v>1144</v>
      </c>
    </row>
    <row r="520" spans="1:9" x14ac:dyDescent="0.25">
      <c r="A520" s="175">
        <f t="shared" si="51"/>
        <v>1</v>
      </c>
      <c r="B520" s="175" t="s">
        <v>809</v>
      </c>
      <c r="C520" s="176" t="s">
        <v>13</v>
      </c>
      <c r="D520" s="178">
        <f t="shared" si="52"/>
        <v>122.96296296296295</v>
      </c>
      <c r="E520" s="178">
        <v>122.96296296296295</v>
      </c>
      <c r="F520" s="178" t="s">
        <v>1144</v>
      </c>
      <c r="G520" s="178" t="s">
        <v>1144</v>
      </c>
      <c r="H520" s="178"/>
      <c r="I520" s="168" t="s">
        <v>1144</v>
      </c>
    </row>
    <row r="521" spans="1:9" x14ac:dyDescent="0.25">
      <c r="A521" s="175">
        <f t="shared" si="51"/>
        <v>1</v>
      </c>
      <c r="B521" s="175" t="s">
        <v>752</v>
      </c>
      <c r="C521" s="176" t="s">
        <v>13</v>
      </c>
      <c r="D521" s="178">
        <f t="shared" si="52"/>
        <v>138.4</v>
      </c>
      <c r="E521" s="178">
        <v>138.4</v>
      </c>
      <c r="F521" s="178" t="s">
        <v>1144</v>
      </c>
      <c r="G521" s="178" t="s">
        <v>1144</v>
      </c>
      <c r="H521" s="178"/>
      <c r="I521" s="168" t="s">
        <v>1144</v>
      </c>
    </row>
    <row r="522" spans="1:9" x14ac:dyDescent="0.25">
      <c r="A522" s="175">
        <f t="shared" ref="A522:A524" si="60">COUNTIFS($B$2:$B$764,B522)</f>
        <v>1</v>
      </c>
      <c r="B522" s="175" t="s">
        <v>6873</v>
      </c>
      <c r="C522" s="176" t="s">
        <v>13</v>
      </c>
      <c r="D522" s="178">
        <f t="shared" ref="D522:D524" si="61">E522*$D$1</f>
        <v>89</v>
      </c>
      <c r="E522" s="178">
        <v>89</v>
      </c>
      <c r="F522" s="178" t="s">
        <v>1144</v>
      </c>
      <c r="G522" s="178" t="s">
        <v>1144</v>
      </c>
      <c r="H522" s="178"/>
      <c r="I522" s="168" t="s">
        <v>1144</v>
      </c>
    </row>
    <row r="523" spans="1:9" x14ac:dyDescent="0.25">
      <c r="A523" s="175">
        <f t="shared" si="60"/>
        <v>1</v>
      </c>
      <c r="B523" s="175" t="s">
        <v>6875</v>
      </c>
      <c r="C523" s="176" t="s">
        <v>13</v>
      </c>
      <c r="D523" s="178">
        <f t="shared" si="61"/>
        <v>104</v>
      </c>
      <c r="E523" s="178">
        <v>104</v>
      </c>
      <c r="F523" s="178" t="s">
        <v>1144</v>
      </c>
      <c r="G523" s="178" t="s">
        <v>1144</v>
      </c>
      <c r="H523" s="178"/>
      <c r="I523" s="168" t="s">
        <v>1144</v>
      </c>
    </row>
    <row r="524" spans="1:9" x14ac:dyDescent="0.25">
      <c r="A524" s="175">
        <f t="shared" si="60"/>
        <v>1</v>
      </c>
      <c r="B524" s="175" t="s">
        <v>6876</v>
      </c>
      <c r="C524" s="176" t="s">
        <v>13</v>
      </c>
      <c r="D524" s="178">
        <f t="shared" si="61"/>
        <v>481.5</v>
      </c>
      <c r="E524" s="178">
        <f>963/2</f>
        <v>481.5</v>
      </c>
      <c r="F524" s="178" t="s">
        <v>1144</v>
      </c>
      <c r="G524" s="178" t="s">
        <v>1144</v>
      </c>
      <c r="H524" s="178"/>
      <c r="I524" s="168" t="s">
        <v>1144</v>
      </c>
    </row>
    <row r="525" spans="1:9" x14ac:dyDescent="0.25">
      <c r="A525" s="175">
        <f t="shared" si="51"/>
        <v>1</v>
      </c>
      <c r="B525" s="175" t="s">
        <v>786</v>
      </c>
      <c r="C525" s="176" t="s">
        <v>13</v>
      </c>
      <c r="D525" s="178">
        <f t="shared" si="52"/>
        <v>182.45</v>
      </c>
      <c r="E525" s="178">
        <v>182.45</v>
      </c>
      <c r="F525" s="178" t="s">
        <v>1144</v>
      </c>
      <c r="G525" s="178" t="s">
        <v>1144</v>
      </c>
      <c r="H525" s="178"/>
      <c r="I525" s="168" t="s">
        <v>1144</v>
      </c>
    </row>
    <row r="526" spans="1:9" x14ac:dyDescent="0.25">
      <c r="A526" s="175">
        <f t="shared" si="51"/>
        <v>1</v>
      </c>
      <c r="B526" s="175" t="s">
        <v>897</v>
      </c>
      <c r="C526" s="176" t="s">
        <v>13</v>
      </c>
      <c r="D526" s="178">
        <f t="shared" si="52"/>
        <v>280</v>
      </c>
      <c r="E526" s="178">
        <v>280</v>
      </c>
      <c r="F526" s="178" t="s">
        <v>1144</v>
      </c>
      <c r="G526" s="178" t="s">
        <v>1144</v>
      </c>
      <c r="H526" s="178"/>
      <c r="I526" s="168" t="s">
        <v>1144</v>
      </c>
    </row>
    <row r="527" spans="1:9" x14ac:dyDescent="0.25">
      <c r="A527" s="175">
        <f t="shared" si="51"/>
        <v>1</v>
      </c>
      <c r="B527" s="175" t="s">
        <v>1202</v>
      </c>
      <c r="C527" s="176" t="s">
        <v>13</v>
      </c>
      <c r="D527" s="178">
        <f t="shared" si="52"/>
        <v>250</v>
      </c>
      <c r="E527" s="178">
        <v>250</v>
      </c>
      <c r="F527" s="178" t="s">
        <v>1144</v>
      </c>
      <c r="G527" s="178" t="s">
        <v>1144</v>
      </c>
      <c r="H527" s="178"/>
      <c r="I527" s="168" t="s">
        <v>1144</v>
      </c>
    </row>
    <row r="528" spans="1:9" x14ac:dyDescent="0.25">
      <c r="A528" s="175">
        <f t="shared" si="51"/>
        <v>1</v>
      </c>
      <c r="B528" s="175" t="s">
        <v>1203</v>
      </c>
      <c r="C528" s="176" t="s">
        <v>13</v>
      </c>
      <c r="D528" s="178">
        <f t="shared" si="52"/>
        <v>332.1</v>
      </c>
      <c r="E528" s="178">
        <v>332.1</v>
      </c>
      <c r="F528" s="178" t="s">
        <v>1144</v>
      </c>
      <c r="G528" s="178" t="s">
        <v>1144</v>
      </c>
      <c r="H528" s="178"/>
      <c r="I528" s="168" t="s">
        <v>1144</v>
      </c>
    </row>
    <row r="529" spans="1:9" x14ac:dyDescent="0.25">
      <c r="A529" s="175">
        <f t="shared" ref="A529" si="62">COUNTIFS($B$2:$B$764,B529)</f>
        <v>1</v>
      </c>
      <c r="B529" s="175" t="s">
        <v>6913</v>
      </c>
      <c r="C529" s="176" t="s">
        <v>13</v>
      </c>
      <c r="D529" s="178">
        <f t="shared" ref="D529" si="63">E529*$D$1</f>
        <v>474</v>
      </c>
      <c r="E529" s="178">
        <v>474</v>
      </c>
      <c r="F529" s="178" t="s">
        <v>1144</v>
      </c>
      <c r="G529" s="178" t="s">
        <v>1144</v>
      </c>
      <c r="H529" s="178"/>
      <c r="I529" s="168" t="s">
        <v>1144</v>
      </c>
    </row>
    <row r="530" spans="1:9" x14ac:dyDescent="0.25">
      <c r="A530" s="175">
        <f t="shared" si="51"/>
        <v>1</v>
      </c>
      <c r="B530" s="175" t="s">
        <v>1204</v>
      </c>
      <c r="C530" s="176" t="s">
        <v>13</v>
      </c>
      <c r="D530" s="178">
        <f t="shared" si="52"/>
        <v>84.9</v>
      </c>
      <c r="E530" s="178">
        <v>84.9</v>
      </c>
      <c r="F530" s="178" t="s">
        <v>1144</v>
      </c>
      <c r="G530" s="178" t="s">
        <v>1144</v>
      </c>
      <c r="H530" s="178"/>
      <c r="I530" s="168" t="s">
        <v>1144</v>
      </c>
    </row>
    <row r="531" spans="1:9" x14ac:dyDescent="0.25">
      <c r="A531" s="175">
        <f t="shared" si="51"/>
        <v>1</v>
      </c>
      <c r="B531" s="175" t="s">
        <v>1965</v>
      </c>
      <c r="C531" s="176" t="s">
        <v>13</v>
      </c>
      <c r="D531" s="178">
        <f t="shared" si="52"/>
        <v>1060</v>
      </c>
      <c r="E531" s="178">
        <v>1060</v>
      </c>
      <c r="F531" s="178" t="s">
        <v>1144</v>
      </c>
      <c r="G531" s="178" t="s">
        <v>1144</v>
      </c>
      <c r="H531" s="178"/>
      <c r="I531" s="168" t="s">
        <v>1144</v>
      </c>
    </row>
    <row r="532" spans="1:9" x14ac:dyDescent="0.25">
      <c r="A532" s="175">
        <f t="shared" si="51"/>
        <v>1</v>
      </c>
      <c r="B532" s="175" t="s">
        <v>1963</v>
      </c>
      <c r="C532" s="176" t="s">
        <v>13</v>
      </c>
      <c r="D532" s="178">
        <f>E532*$D$1</f>
        <v>648</v>
      </c>
      <c r="E532" s="178">
        <v>648</v>
      </c>
      <c r="F532" s="178" t="s">
        <v>1144</v>
      </c>
      <c r="G532" s="178" t="s">
        <v>1144</v>
      </c>
      <c r="H532" s="178"/>
      <c r="I532" s="168" t="s">
        <v>1144</v>
      </c>
    </row>
    <row r="533" spans="1:9" x14ac:dyDescent="0.25">
      <c r="A533" s="175">
        <f t="shared" si="51"/>
        <v>1</v>
      </c>
      <c r="B533" s="175" t="s">
        <v>1964</v>
      </c>
      <c r="C533" s="176" t="s">
        <v>13</v>
      </c>
      <c r="D533" s="178">
        <f>E533*$D$1</f>
        <v>300</v>
      </c>
      <c r="E533" s="178">
        <v>300</v>
      </c>
      <c r="F533" s="178" t="s">
        <v>1159</v>
      </c>
      <c r="G533" s="178" t="s">
        <v>1159</v>
      </c>
      <c r="H533" s="178"/>
      <c r="I533" s="168" t="s">
        <v>1160</v>
      </c>
    </row>
    <row r="534" spans="1:9" x14ac:dyDescent="0.25">
      <c r="A534" s="175">
        <f t="shared" si="51"/>
        <v>1</v>
      </c>
      <c r="B534" s="175" t="s">
        <v>1205</v>
      </c>
      <c r="C534" s="176" t="s">
        <v>13</v>
      </c>
      <c r="D534" s="178">
        <f t="shared" si="52"/>
        <v>68.900000000000006</v>
      </c>
      <c r="E534" s="178">
        <v>68.900000000000006</v>
      </c>
      <c r="F534" s="178" t="s">
        <v>1144</v>
      </c>
      <c r="G534" s="178" t="s">
        <v>1144</v>
      </c>
      <c r="H534" s="178"/>
      <c r="I534" s="168" t="s">
        <v>1144</v>
      </c>
    </row>
    <row r="535" spans="1:9" x14ac:dyDescent="0.25">
      <c r="A535" s="175">
        <f t="shared" si="51"/>
        <v>1</v>
      </c>
      <c r="B535" s="175" t="s">
        <v>4251</v>
      </c>
      <c r="C535" s="176" t="s">
        <v>13</v>
      </c>
      <c r="D535" s="178">
        <f t="shared" ref="D535:D541" si="64">E535*$D$1</f>
        <v>67.510000000000005</v>
      </c>
      <c r="E535" s="178">
        <v>67.510000000000005</v>
      </c>
      <c r="F535" s="178" t="s">
        <v>1144</v>
      </c>
      <c r="G535" s="178" t="s">
        <v>1144</v>
      </c>
      <c r="H535" s="178"/>
      <c r="I535" s="168" t="s">
        <v>1144</v>
      </c>
    </row>
    <row r="536" spans="1:9" x14ac:dyDescent="0.25">
      <c r="A536" s="175">
        <f t="shared" si="51"/>
        <v>1</v>
      </c>
      <c r="B536" s="175" t="s">
        <v>4259</v>
      </c>
      <c r="C536" s="176" t="s">
        <v>13</v>
      </c>
      <c r="D536" s="178">
        <f t="shared" si="64"/>
        <v>160</v>
      </c>
      <c r="E536" s="178">
        <v>160</v>
      </c>
      <c r="F536" s="178" t="s">
        <v>1144</v>
      </c>
      <c r="G536" s="178" t="s">
        <v>1144</v>
      </c>
      <c r="H536" s="178"/>
      <c r="I536" s="168" t="s">
        <v>1144</v>
      </c>
    </row>
    <row r="537" spans="1:9" x14ac:dyDescent="0.25">
      <c r="A537" s="175">
        <f t="shared" ref="A537:A538" si="65">COUNTIFS($B$2:$B$764,B537)</f>
        <v>1</v>
      </c>
      <c r="B537" s="175" t="s">
        <v>6921</v>
      </c>
      <c r="C537" s="176" t="s">
        <v>13</v>
      </c>
      <c r="D537" s="178">
        <f t="shared" si="64"/>
        <v>145</v>
      </c>
      <c r="E537" s="178">
        <v>145</v>
      </c>
      <c r="F537" s="178" t="s">
        <v>1144</v>
      </c>
      <c r="G537" s="178" t="s">
        <v>1144</v>
      </c>
      <c r="H537" s="178"/>
      <c r="I537" s="168" t="s">
        <v>1144</v>
      </c>
    </row>
    <row r="538" spans="1:9" x14ac:dyDescent="0.25">
      <c r="A538" s="175">
        <f t="shared" si="65"/>
        <v>1</v>
      </c>
      <c r="B538" s="175" t="s">
        <v>6925</v>
      </c>
      <c r="C538" s="176" t="s">
        <v>13</v>
      </c>
      <c r="D538" s="178">
        <f t="shared" si="64"/>
        <v>630</v>
      </c>
      <c r="E538" s="178">
        <v>630</v>
      </c>
      <c r="F538" s="178" t="s">
        <v>1144</v>
      </c>
      <c r="G538" s="178" t="s">
        <v>1144</v>
      </c>
      <c r="H538" s="178"/>
      <c r="I538" s="168" t="s">
        <v>1144</v>
      </c>
    </row>
    <row r="539" spans="1:9" x14ac:dyDescent="0.25">
      <c r="A539" s="175">
        <f t="shared" si="51"/>
        <v>1</v>
      </c>
      <c r="B539" s="175" t="s">
        <v>4260</v>
      </c>
      <c r="C539" s="176" t="s">
        <v>13</v>
      </c>
      <c r="D539" s="178">
        <f t="shared" ref="D539" si="66">E539*$D$1</f>
        <v>200</v>
      </c>
      <c r="E539" s="178">
        <v>200</v>
      </c>
      <c r="F539" s="178" t="s">
        <v>1144</v>
      </c>
      <c r="G539" s="178" t="s">
        <v>1144</v>
      </c>
      <c r="H539" s="178"/>
      <c r="I539" s="168" t="s">
        <v>1144</v>
      </c>
    </row>
    <row r="540" spans="1:9" x14ac:dyDescent="0.25">
      <c r="A540" s="175">
        <f t="shared" si="51"/>
        <v>1</v>
      </c>
      <c r="B540" s="175" t="s">
        <v>4258</v>
      </c>
      <c r="C540" s="176" t="s">
        <v>13</v>
      </c>
      <c r="D540" s="178">
        <f t="shared" ref="D540" si="67">E540*$D$1</f>
        <v>250</v>
      </c>
      <c r="E540" s="178">
        <v>250</v>
      </c>
      <c r="F540" s="178" t="s">
        <v>1144</v>
      </c>
      <c r="G540" s="178" t="s">
        <v>1144</v>
      </c>
      <c r="H540" s="178"/>
      <c r="I540" s="168" t="s">
        <v>1144</v>
      </c>
    </row>
    <row r="541" spans="1:9" x14ac:dyDescent="0.25">
      <c r="A541" s="175">
        <f t="shared" si="51"/>
        <v>1</v>
      </c>
      <c r="B541" s="175" t="s">
        <v>4257</v>
      </c>
      <c r="C541" s="176" t="s">
        <v>13</v>
      </c>
      <c r="D541" s="178">
        <f t="shared" si="64"/>
        <v>320</v>
      </c>
      <c r="E541" s="178">
        <v>320</v>
      </c>
      <c r="F541" s="178" t="s">
        <v>1144</v>
      </c>
      <c r="G541" s="178" t="s">
        <v>1144</v>
      </c>
      <c r="H541" s="178"/>
      <c r="I541" s="168" t="s">
        <v>1144</v>
      </c>
    </row>
    <row r="542" spans="1:9" x14ac:dyDescent="0.25">
      <c r="A542" s="175">
        <f t="shared" si="51"/>
        <v>1</v>
      </c>
      <c r="B542" s="175" t="s">
        <v>1206</v>
      </c>
      <c r="C542" s="176" t="s">
        <v>13</v>
      </c>
      <c r="D542" s="178">
        <f t="shared" si="52"/>
        <v>34.9</v>
      </c>
      <c r="E542" s="178">
        <v>34.9</v>
      </c>
      <c r="F542" s="178" t="s">
        <v>1144</v>
      </c>
      <c r="G542" s="178" t="s">
        <v>1144</v>
      </c>
      <c r="H542" s="178"/>
      <c r="I542" s="168" t="s">
        <v>1144</v>
      </c>
    </row>
    <row r="543" spans="1:9" x14ac:dyDescent="0.25">
      <c r="A543" s="175">
        <f t="shared" si="51"/>
        <v>1</v>
      </c>
      <c r="B543" s="175" t="s">
        <v>1207</v>
      </c>
      <c r="C543" s="176" t="s">
        <v>13</v>
      </c>
      <c r="D543" s="178">
        <f t="shared" si="52"/>
        <v>144.9</v>
      </c>
      <c r="E543" s="178">
        <v>144.9</v>
      </c>
      <c r="F543" s="178" t="s">
        <v>1144</v>
      </c>
      <c r="G543" s="178" t="s">
        <v>1144</v>
      </c>
      <c r="H543" s="178"/>
      <c r="I543" s="168" t="s">
        <v>1144</v>
      </c>
    </row>
    <row r="544" spans="1:9" x14ac:dyDescent="0.25">
      <c r="A544" s="175">
        <f t="shared" si="51"/>
        <v>1</v>
      </c>
      <c r="B544" s="175" t="s">
        <v>2848</v>
      </c>
      <c r="C544" s="176" t="s">
        <v>13</v>
      </c>
      <c r="D544" s="178">
        <f t="shared" ref="D544" si="68">E544*$D$1</f>
        <v>72.63</v>
      </c>
      <c r="E544" s="178">
        <v>72.63</v>
      </c>
      <c r="F544" s="178" t="s">
        <v>1144</v>
      </c>
      <c r="G544" s="178" t="s">
        <v>1144</v>
      </c>
      <c r="H544" s="178"/>
      <c r="I544" s="168" t="s">
        <v>1144</v>
      </c>
    </row>
    <row r="545" spans="1:9" x14ac:dyDescent="0.25">
      <c r="A545" s="175">
        <f t="shared" si="51"/>
        <v>1</v>
      </c>
      <c r="B545" s="175" t="s">
        <v>1208</v>
      </c>
      <c r="C545" s="176" t="s">
        <v>13</v>
      </c>
      <c r="D545" s="178">
        <f t="shared" si="52"/>
        <v>76.3</v>
      </c>
      <c r="E545" s="178">
        <v>76.3</v>
      </c>
      <c r="F545" s="178" t="s">
        <v>1144</v>
      </c>
      <c r="G545" s="178" t="s">
        <v>1144</v>
      </c>
      <c r="H545" s="178"/>
      <c r="I545" s="168" t="s">
        <v>1144</v>
      </c>
    </row>
    <row r="546" spans="1:9" x14ac:dyDescent="0.25">
      <c r="A546" s="175">
        <f t="shared" si="51"/>
        <v>1</v>
      </c>
      <c r="B546" s="175" t="s">
        <v>1209</v>
      </c>
      <c r="C546" s="176" t="s">
        <v>13</v>
      </c>
      <c r="D546" s="178">
        <f t="shared" si="52"/>
        <v>85.9</v>
      </c>
      <c r="E546" s="178">
        <v>85.9</v>
      </c>
      <c r="F546" s="178" t="s">
        <v>1144</v>
      </c>
      <c r="G546" s="178" t="s">
        <v>1144</v>
      </c>
      <c r="H546" s="178"/>
      <c r="I546" s="168" t="s">
        <v>1144</v>
      </c>
    </row>
    <row r="547" spans="1:9" x14ac:dyDescent="0.25">
      <c r="A547" s="175">
        <f t="shared" si="51"/>
        <v>1</v>
      </c>
      <c r="B547" s="175" t="s">
        <v>1210</v>
      </c>
      <c r="C547" s="176" t="s">
        <v>13</v>
      </c>
      <c r="D547" s="178">
        <f t="shared" si="52"/>
        <v>202.01</v>
      </c>
      <c r="E547" s="178">
        <v>202.01</v>
      </c>
      <c r="F547" s="178" t="s">
        <v>1144</v>
      </c>
      <c r="G547" s="178" t="s">
        <v>1144</v>
      </c>
      <c r="H547" s="178"/>
      <c r="I547" s="168" t="s">
        <v>1144</v>
      </c>
    </row>
    <row r="548" spans="1:9" x14ac:dyDescent="0.25">
      <c r="A548" s="175">
        <f t="shared" ref="A548" si="69">COUNTIFS($B$2:$B$764,B548)</f>
        <v>1</v>
      </c>
      <c r="B548" s="175" t="s">
        <v>6918</v>
      </c>
      <c r="C548" s="176" t="s">
        <v>13</v>
      </c>
      <c r="D548" s="178">
        <f t="shared" ref="D548" si="70">E548*$D$1</f>
        <v>110</v>
      </c>
      <c r="E548" s="178">
        <v>110</v>
      </c>
      <c r="F548" s="178" t="s">
        <v>1144</v>
      </c>
      <c r="G548" s="178" t="s">
        <v>1144</v>
      </c>
      <c r="H548" s="178"/>
      <c r="I548" s="168" t="s">
        <v>1144</v>
      </c>
    </row>
    <row r="549" spans="1:9" x14ac:dyDescent="0.25">
      <c r="A549" s="175">
        <f t="shared" ref="A549:A613" si="71">COUNTIFS($B$2:$B$764,B549)</f>
        <v>1</v>
      </c>
      <c r="B549" s="175" t="s">
        <v>1211</v>
      </c>
      <c r="C549" s="176" t="s">
        <v>13</v>
      </c>
      <c r="D549" s="178">
        <f t="shared" si="52"/>
        <v>47.8</v>
      </c>
      <c r="E549" s="178">
        <v>47.8</v>
      </c>
      <c r="F549" s="178" t="s">
        <v>1144</v>
      </c>
      <c r="G549" s="178" t="s">
        <v>1144</v>
      </c>
      <c r="H549" s="178"/>
      <c r="I549" s="168" t="s">
        <v>1144</v>
      </c>
    </row>
    <row r="550" spans="1:9" x14ac:dyDescent="0.25">
      <c r="A550" s="175">
        <f t="shared" si="71"/>
        <v>1</v>
      </c>
      <c r="B550" s="175" t="s">
        <v>1212</v>
      </c>
      <c r="C550" s="176" t="s">
        <v>13</v>
      </c>
      <c r="D550" s="178">
        <f t="shared" si="52"/>
        <v>89.9</v>
      </c>
      <c r="E550" s="178">
        <v>89.9</v>
      </c>
      <c r="F550" s="178" t="s">
        <v>1144</v>
      </c>
      <c r="G550" s="178" t="s">
        <v>1144</v>
      </c>
      <c r="H550" s="178"/>
      <c r="I550" s="168" t="s">
        <v>1144</v>
      </c>
    </row>
    <row r="551" spans="1:9" x14ac:dyDescent="0.25">
      <c r="A551" s="175">
        <f t="shared" si="71"/>
        <v>1</v>
      </c>
      <c r="B551" s="175" t="s">
        <v>1213</v>
      </c>
      <c r="C551" s="176" t="s">
        <v>13</v>
      </c>
      <c r="D551" s="178">
        <f t="shared" si="52"/>
        <v>183.21</v>
      </c>
      <c r="E551" s="178">
        <v>183.21</v>
      </c>
      <c r="F551" s="178" t="s">
        <v>1144</v>
      </c>
      <c r="G551" s="178" t="s">
        <v>1144</v>
      </c>
      <c r="H551" s="178"/>
      <c r="I551" s="168" t="s">
        <v>1144</v>
      </c>
    </row>
    <row r="552" spans="1:9" x14ac:dyDescent="0.25">
      <c r="A552" s="175">
        <f t="shared" si="71"/>
        <v>1</v>
      </c>
      <c r="B552" s="175" t="s">
        <v>1214</v>
      </c>
      <c r="C552" s="176" t="s">
        <v>13</v>
      </c>
      <c r="D552" s="178">
        <f t="shared" si="52"/>
        <v>99.7</v>
      </c>
      <c r="E552" s="178">
        <v>99.7</v>
      </c>
      <c r="F552" s="178" t="s">
        <v>1144</v>
      </c>
      <c r="G552" s="178" t="s">
        <v>1144</v>
      </c>
      <c r="H552" s="178"/>
      <c r="I552" s="168" t="s">
        <v>1144</v>
      </c>
    </row>
    <row r="553" spans="1:9" x14ac:dyDescent="0.25">
      <c r="A553" s="175">
        <f t="shared" si="71"/>
        <v>1</v>
      </c>
      <c r="B553" s="175" t="s">
        <v>1856</v>
      </c>
      <c r="C553" s="176" t="s">
        <v>13</v>
      </c>
      <c r="D553" s="178">
        <f>E553*$D$1</f>
        <v>17</v>
      </c>
      <c r="E553" s="178">
        <v>17</v>
      </c>
      <c r="F553" s="178" t="s">
        <v>1144</v>
      </c>
      <c r="G553" s="178" t="s">
        <v>1144</v>
      </c>
      <c r="H553" s="178"/>
      <c r="I553" s="168" t="s">
        <v>1144</v>
      </c>
    </row>
    <row r="554" spans="1:9" x14ac:dyDescent="0.25">
      <c r="A554" s="175">
        <f t="shared" si="71"/>
        <v>1</v>
      </c>
      <c r="B554" s="175" t="s">
        <v>1215</v>
      </c>
      <c r="C554" s="176" t="s">
        <v>13</v>
      </c>
      <c r="D554" s="178">
        <f t="shared" si="52"/>
        <v>143.55000000000001</v>
      </c>
      <c r="E554" s="178">
        <v>143.55000000000001</v>
      </c>
      <c r="F554" s="178" t="s">
        <v>1144</v>
      </c>
      <c r="G554" s="178" t="s">
        <v>1144</v>
      </c>
      <c r="H554" s="178"/>
      <c r="I554" s="168" t="s">
        <v>1144</v>
      </c>
    </row>
    <row r="555" spans="1:9" x14ac:dyDescent="0.25">
      <c r="A555" s="175">
        <f t="shared" si="71"/>
        <v>1</v>
      </c>
      <c r="B555" s="175" t="s">
        <v>1216</v>
      </c>
      <c r="C555" s="176" t="s">
        <v>13</v>
      </c>
      <c r="D555" s="178">
        <f t="shared" si="52"/>
        <v>160</v>
      </c>
      <c r="E555" s="178">
        <v>160</v>
      </c>
      <c r="F555" s="178" t="s">
        <v>1144</v>
      </c>
      <c r="G555" s="178" t="s">
        <v>1144</v>
      </c>
      <c r="H555" s="178"/>
      <c r="I555" s="168" t="s">
        <v>1144</v>
      </c>
    </row>
    <row r="556" spans="1:9" x14ac:dyDescent="0.25">
      <c r="A556" s="175">
        <f t="shared" si="71"/>
        <v>1</v>
      </c>
      <c r="B556" s="175" t="s">
        <v>1217</v>
      </c>
      <c r="C556" s="176" t="s">
        <v>13</v>
      </c>
      <c r="D556" s="178">
        <f t="shared" si="52"/>
        <v>107.9</v>
      </c>
      <c r="E556" s="178">
        <v>107.9</v>
      </c>
      <c r="F556" s="178" t="s">
        <v>1144</v>
      </c>
      <c r="G556" s="178" t="s">
        <v>1144</v>
      </c>
      <c r="H556" s="178"/>
      <c r="I556" s="168" t="s">
        <v>1144</v>
      </c>
    </row>
    <row r="557" spans="1:9" x14ac:dyDescent="0.25">
      <c r="A557" s="175">
        <f t="shared" si="71"/>
        <v>1</v>
      </c>
      <c r="B557" s="175" t="s">
        <v>1218</v>
      </c>
      <c r="C557" s="176" t="s">
        <v>25</v>
      </c>
      <c r="D557" s="178">
        <f t="shared" si="52"/>
        <v>7</v>
      </c>
      <c r="E557" s="178">
        <v>7</v>
      </c>
      <c r="F557" s="178" t="s">
        <v>1144</v>
      </c>
      <c r="G557" s="178" t="s">
        <v>1158</v>
      </c>
      <c r="H557" s="178"/>
      <c r="I557" s="168" t="s">
        <v>1144</v>
      </c>
    </row>
    <row r="558" spans="1:9" x14ac:dyDescent="0.25">
      <c r="A558" s="175">
        <f t="shared" si="71"/>
        <v>1</v>
      </c>
      <c r="B558" s="175" t="s">
        <v>1219</v>
      </c>
      <c r="C558" s="176" t="s">
        <v>25</v>
      </c>
      <c r="D558" s="178">
        <f t="shared" si="52"/>
        <v>14</v>
      </c>
      <c r="E558" s="178">
        <v>14</v>
      </c>
      <c r="F558" s="178" t="s">
        <v>1144</v>
      </c>
      <c r="G558" s="178" t="s">
        <v>1158</v>
      </c>
      <c r="H558" s="178"/>
      <c r="I558" s="168" t="s">
        <v>1144</v>
      </c>
    </row>
    <row r="559" spans="1:9" x14ac:dyDescent="0.25">
      <c r="A559" s="175">
        <f t="shared" si="71"/>
        <v>1</v>
      </c>
      <c r="B559" s="175" t="s">
        <v>246</v>
      </c>
      <c r="C559" s="176" t="s">
        <v>13</v>
      </c>
      <c r="D559" s="178">
        <f t="shared" si="52"/>
        <v>17.95</v>
      </c>
      <c r="E559" s="178">
        <v>17.95</v>
      </c>
      <c r="F559" s="178" t="s">
        <v>1144</v>
      </c>
      <c r="G559" s="178" t="s">
        <v>1158</v>
      </c>
      <c r="H559" s="178"/>
      <c r="I559" s="168" t="s">
        <v>1144</v>
      </c>
    </row>
    <row r="560" spans="1:9" x14ac:dyDescent="0.25">
      <c r="A560" s="175">
        <f t="shared" si="71"/>
        <v>1</v>
      </c>
      <c r="B560" s="175" t="s">
        <v>799</v>
      </c>
      <c r="C560" s="176" t="s">
        <v>25</v>
      </c>
      <c r="D560" s="178">
        <f t="shared" si="52"/>
        <v>50.25</v>
      </c>
      <c r="E560" s="178">
        <v>50.25</v>
      </c>
      <c r="F560" s="178" t="s">
        <v>1144</v>
      </c>
      <c r="G560" s="178" t="s">
        <v>1158</v>
      </c>
      <c r="H560" s="178"/>
      <c r="I560" s="168" t="s">
        <v>1144</v>
      </c>
    </row>
    <row r="561" spans="1:9" x14ac:dyDescent="0.25">
      <c r="A561" s="175">
        <f t="shared" si="71"/>
        <v>1</v>
      </c>
      <c r="B561" s="175" t="s">
        <v>797</v>
      </c>
      <c r="C561" s="176" t="s">
        <v>25</v>
      </c>
      <c r="D561" s="178">
        <f t="shared" si="52"/>
        <v>28.954166666666666</v>
      </c>
      <c r="E561" s="178">
        <v>28.954166666666666</v>
      </c>
      <c r="F561" s="178" t="s">
        <v>1144</v>
      </c>
      <c r="G561" s="178" t="s">
        <v>1158</v>
      </c>
      <c r="H561" s="178"/>
      <c r="I561" s="168" t="s">
        <v>1144</v>
      </c>
    </row>
    <row r="562" spans="1:9" x14ac:dyDescent="0.25">
      <c r="A562" s="175">
        <f t="shared" si="71"/>
        <v>1</v>
      </c>
      <c r="B562" s="175" t="s">
        <v>801</v>
      </c>
      <c r="C562" s="176" t="s">
        <v>25</v>
      </c>
      <c r="D562" s="178">
        <f t="shared" si="52"/>
        <v>21.53</v>
      </c>
      <c r="E562" s="178">
        <v>21.53</v>
      </c>
      <c r="F562" s="178" t="s">
        <v>1144</v>
      </c>
      <c r="G562" s="178" t="s">
        <v>1158</v>
      </c>
      <c r="H562" s="178"/>
      <c r="I562" s="168" t="s">
        <v>1144</v>
      </c>
    </row>
    <row r="563" spans="1:9" x14ac:dyDescent="0.25">
      <c r="A563" s="175">
        <f t="shared" si="71"/>
        <v>1</v>
      </c>
      <c r="B563" s="175" t="s">
        <v>802</v>
      </c>
      <c r="C563" s="176" t="s">
        <v>131</v>
      </c>
      <c r="D563" s="178">
        <f t="shared" si="52"/>
        <v>17.0928</v>
      </c>
      <c r="E563" s="178">
        <v>17.0928</v>
      </c>
      <c r="F563" s="178" t="s">
        <v>1144</v>
      </c>
      <c r="G563" s="178" t="s">
        <v>1158</v>
      </c>
      <c r="H563" s="178"/>
      <c r="I563" s="168" t="s">
        <v>1144</v>
      </c>
    </row>
    <row r="564" spans="1:9" x14ac:dyDescent="0.25">
      <c r="A564" s="175">
        <f t="shared" si="71"/>
        <v>1</v>
      </c>
      <c r="B564" s="175" t="s">
        <v>1196</v>
      </c>
      <c r="C564" s="176" t="s">
        <v>25</v>
      </c>
      <c r="D564" s="178">
        <f t="shared" si="52"/>
        <v>35.555555555555557</v>
      </c>
      <c r="E564" s="178">
        <v>35.555555555555557</v>
      </c>
      <c r="F564" s="178" t="s">
        <v>1144</v>
      </c>
      <c r="G564" s="178" t="s">
        <v>1158</v>
      </c>
      <c r="H564" s="178"/>
      <c r="I564" s="168" t="s">
        <v>1144</v>
      </c>
    </row>
    <row r="565" spans="1:9" x14ac:dyDescent="0.25">
      <c r="A565" s="175">
        <f t="shared" si="71"/>
        <v>1</v>
      </c>
      <c r="B565" s="175" t="s">
        <v>1197</v>
      </c>
      <c r="C565" s="176" t="s">
        <v>25</v>
      </c>
      <c r="D565" s="178">
        <f t="shared" si="52"/>
        <v>53.333333333333329</v>
      </c>
      <c r="E565" s="178">
        <v>53.333333333333329</v>
      </c>
      <c r="F565" s="178" t="s">
        <v>1144</v>
      </c>
      <c r="G565" s="178" t="s">
        <v>1158</v>
      </c>
      <c r="H565" s="178"/>
      <c r="I565" s="168" t="s">
        <v>1144</v>
      </c>
    </row>
    <row r="566" spans="1:9" x14ac:dyDescent="0.25">
      <c r="A566" s="175">
        <f t="shared" si="71"/>
        <v>1</v>
      </c>
      <c r="B566" s="175" t="s">
        <v>1198</v>
      </c>
      <c r="C566" s="176" t="s">
        <v>25</v>
      </c>
      <c r="D566" s="178">
        <f t="shared" si="52"/>
        <v>58.666666666666664</v>
      </c>
      <c r="E566" s="178">
        <v>58.666666666666664</v>
      </c>
      <c r="F566" s="178" t="s">
        <v>1144</v>
      </c>
      <c r="G566" s="178" t="s">
        <v>1158</v>
      </c>
      <c r="H566" s="178"/>
      <c r="I566" s="168" t="s">
        <v>1144</v>
      </c>
    </row>
    <row r="567" spans="1:9" x14ac:dyDescent="0.25">
      <c r="A567" s="175">
        <f t="shared" si="71"/>
        <v>1</v>
      </c>
      <c r="B567" s="175" t="s">
        <v>401</v>
      </c>
      <c r="C567" s="176" t="s">
        <v>390</v>
      </c>
      <c r="D567" s="178">
        <f t="shared" si="52"/>
        <v>2.7132000000000001</v>
      </c>
      <c r="E567" s="178">
        <v>2.7132000000000001</v>
      </c>
      <c r="F567" s="178" t="s">
        <v>1159</v>
      </c>
      <c r="G567" s="178" t="s">
        <v>1159</v>
      </c>
      <c r="H567" s="178"/>
      <c r="I567" s="168" t="s">
        <v>1160</v>
      </c>
    </row>
    <row r="568" spans="1:9" x14ac:dyDescent="0.25">
      <c r="A568" s="175">
        <f t="shared" si="71"/>
        <v>1</v>
      </c>
      <c r="B568" s="175" t="s">
        <v>403</v>
      </c>
      <c r="C568" s="176" t="s">
        <v>390</v>
      </c>
      <c r="D568" s="178">
        <f t="shared" si="52"/>
        <v>4.4982000000000006</v>
      </c>
      <c r="E568" s="178">
        <v>4.4982000000000006</v>
      </c>
      <c r="F568" s="178" t="s">
        <v>1159</v>
      </c>
      <c r="G568" s="178" t="s">
        <v>1159</v>
      </c>
      <c r="H568" s="178"/>
      <c r="I568" s="168" t="s">
        <v>1160</v>
      </c>
    </row>
    <row r="569" spans="1:9" x14ac:dyDescent="0.25">
      <c r="A569" s="175">
        <f t="shared" si="71"/>
        <v>1</v>
      </c>
      <c r="B569" s="175" t="s">
        <v>405</v>
      </c>
      <c r="C569" s="176" t="s">
        <v>390</v>
      </c>
      <c r="D569" s="178">
        <f t="shared" si="52"/>
        <v>9.2718000000000007</v>
      </c>
      <c r="E569" s="178">
        <v>9.2718000000000007</v>
      </c>
      <c r="F569" s="178" t="s">
        <v>1159</v>
      </c>
      <c r="G569" s="178" t="s">
        <v>1159</v>
      </c>
      <c r="H569" s="178"/>
      <c r="I569" s="168" t="s">
        <v>1160</v>
      </c>
    </row>
    <row r="570" spans="1:9" x14ac:dyDescent="0.25">
      <c r="A570" s="175">
        <f t="shared" si="71"/>
        <v>1</v>
      </c>
      <c r="B570" s="175" t="s">
        <v>391</v>
      </c>
      <c r="C570" s="176" t="s">
        <v>390</v>
      </c>
      <c r="D570" s="178">
        <f t="shared" si="52"/>
        <v>36.36</v>
      </c>
      <c r="E570" s="178">
        <v>36.36</v>
      </c>
      <c r="F570" s="178" t="s">
        <v>1159</v>
      </c>
      <c r="G570" s="178" t="s">
        <v>1159</v>
      </c>
      <c r="H570" s="178"/>
      <c r="I570" s="168" t="s">
        <v>1160</v>
      </c>
    </row>
    <row r="571" spans="1:9" x14ac:dyDescent="0.25">
      <c r="A571" s="175">
        <f t="shared" si="71"/>
        <v>1</v>
      </c>
      <c r="B571" s="175" t="s">
        <v>1175</v>
      </c>
      <c r="C571" s="176" t="s">
        <v>390</v>
      </c>
      <c r="D571" s="178">
        <f t="shared" si="52"/>
        <v>320</v>
      </c>
      <c r="E571" s="178">
        <v>320</v>
      </c>
      <c r="F571" s="178" t="s">
        <v>1159</v>
      </c>
      <c r="G571" s="178" t="s">
        <v>1159</v>
      </c>
      <c r="H571" s="178"/>
      <c r="I571" s="168" t="s">
        <v>1160</v>
      </c>
    </row>
    <row r="572" spans="1:9" x14ac:dyDescent="0.25">
      <c r="A572" s="175">
        <f t="shared" si="71"/>
        <v>1</v>
      </c>
      <c r="B572" s="175" t="s">
        <v>532</v>
      </c>
      <c r="C572" s="176" t="s">
        <v>387</v>
      </c>
      <c r="D572" s="178">
        <f t="shared" si="52"/>
        <v>1300</v>
      </c>
      <c r="E572" s="178">
        <v>1300</v>
      </c>
      <c r="F572" s="178" t="s">
        <v>1159</v>
      </c>
      <c r="G572" s="178" t="s">
        <v>1159</v>
      </c>
      <c r="H572" s="178"/>
      <c r="I572" s="168" t="s">
        <v>1160</v>
      </c>
    </row>
    <row r="573" spans="1:9" x14ac:dyDescent="0.25">
      <c r="A573" s="175">
        <f t="shared" si="71"/>
        <v>1</v>
      </c>
      <c r="B573" s="175" t="s">
        <v>534</v>
      </c>
      <c r="C573" s="176" t="s">
        <v>29</v>
      </c>
      <c r="D573" s="178">
        <f t="shared" si="52"/>
        <v>93981.530500000008</v>
      </c>
      <c r="E573" s="178">
        <v>93981.530500000008</v>
      </c>
      <c r="F573" s="178" t="s">
        <v>1159</v>
      </c>
      <c r="G573" s="178" t="s">
        <v>1159</v>
      </c>
      <c r="H573" s="178"/>
      <c r="I573" s="168" t="s">
        <v>1160</v>
      </c>
    </row>
    <row r="574" spans="1:9" x14ac:dyDescent="0.25">
      <c r="A574" s="175">
        <f t="shared" si="71"/>
        <v>1</v>
      </c>
      <c r="B574" s="175" t="s">
        <v>423</v>
      </c>
      <c r="C574" s="176" t="s">
        <v>25</v>
      </c>
      <c r="D574" s="178">
        <f t="shared" si="52"/>
        <v>33</v>
      </c>
      <c r="E574" s="178">
        <v>33</v>
      </c>
      <c r="F574" s="178" t="s">
        <v>1159</v>
      </c>
      <c r="G574" s="178" t="s">
        <v>1159</v>
      </c>
      <c r="H574" s="178"/>
      <c r="I574" s="168" t="s">
        <v>1160</v>
      </c>
    </row>
    <row r="575" spans="1:9" x14ac:dyDescent="0.25">
      <c r="A575" s="175">
        <f t="shared" si="71"/>
        <v>1</v>
      </c>
      <c r="B575" s="175" t="s">
        <v>425</v>
      </c>
      <c r="C575" s="176" t="s">
        <v>25</v>
      </c>
      <c r="D575" s="178">
        <f>E575*$D$1</f>
        <v>39</v>
      </c>
      <c r="E575" s="178">
        <v>39</v>
      </c>
      <c r="F575" s="178" t="s">
        <v>1159</v>
      </c>
      <c r="G575" s="178" t="s">
        <v>1159</v>
      </c>
      <c r="H575" s="178"/>
      <c r="I575" s="168" t="s">
        <v>1160</v>
      </c>
    </row>
    <row r="576" spans="1:9" x14ac:dyDescent="0.25">
      <c r="A576" s="175">
        <f t="shared" si="71"/>
        <v>1</v>
      </c>
      <c r="B576" s="175" t="s">
        <v>2432</v>
      </c>
      <c r="C576" s="176" t="s">
        <v>25</v>
      </c>
      <c r="D576" s="178">
        <f t="shared" si="52"/>
        <v>52.800000000000004</v>
      </c>
      <c r="E576" s="178">
        <f>40*1.32</f>
        <v>52.800000000000004</v>
      </c>
      <c r="F576" s="178" t="s">
        <v>1159</v>
      </c>
      <c r="G576" s="178" t="s">
        <v>1159</v>
      </c>
      <c r="H576" s="178"/>
      <c r="I576" s="168" t="s">
        <v>1160</v>
      </c>
    </row>
    <row r="577" spans="1:9" x14ac:dyDescent="0.25">
      <c r="A577" s="175">
        <f t="shared" si="71"/>
        <v>1</v>
      </c>
      <c r="B577" s="175" t="s">
        <v>2431</v>
      </c>
      <c r="C577" s="176" t="s">
        <v>25</v>
      </c>
      <c r="D577" s="178">
        <f>E577*$D$1</f>
        <v>66</v>
      </c>
      <c r="E577" s="178">
        <f>50*1.32</f>
        <v>66</v>
      </c>
      <c r="F577" s="178" t="s">
        <v>1159</v>
      </c>
      <c r="G577" s="178" t="s">
        <v>1159</v>
      </c>
      <c r="H577" s="178"/>
      <c r="I577" s="168" t="s">
        <v>1160</v>
      </c>
    </row>
    <row r="578" spans="1:9" x14ac:dyDescent="0.25">
      <c r="A578" s="175">
        <f t="shared" si="71"/>
        <v>1</v>
      </c>
      <c r="B578" s="175" t="s">
        <v>2433</v>
      </c>
      <c r="C578" s="176" t="s">
        <v>25</v>
      </c>
      <c r="D578" s="178">
        <f t="shared" si="52"/>
        <v>79.2</v>
      </c>
      <c r="E578" s="178">
        <f>60*1.32</f>
        <v>79.2</v>
      </c>
      <c r="F578" s="178" t="s">
        <v>1159</v>
      </c>
      <c r="G578" s="178" t="s">
        <v>1159</v>
      </c>
      <c r="H578" s="178"/>
      <c r="I578" s="168" t="s">
        <v>1160</v>
      </c>
    </row>
    <row r="579" spans="1:9" x14ac:dyDescent="0.25">
      <c r="A579" s="175">
        <f t="shared" si="71"/>
        <v>1</v>
      </c>
      <c r="B579" s="175" t="s">
        <v>2434</v>
      </c>
      <c r="C579" s="176" t="s">
        <v>25</v>
      </c>
      <c r="D579" s="178">
        <f>E579*$D$1</f>
        <v>92.4</v>
      </c>
      <c r="E579" s="178">
        <f>70*1.32</f>
        <v>92.4</v>
      </c>
      <c r="F579" s="178" t="s">
        <v>1159</v>
      </c>
      <c r="G579" s="178" t="s">
        <v>1159</v>
      </c>
      <c r="H579" s="178"/>
      <c r="I579" s="168" t="s">
        <v>1160</v>
      </c>
    </row>
    <row r="580" spans="1:9" x14ac:dyDescent="0.25">
      <c r="A580" s="175">
        <f t="shared" si="71"/>
        <v>1</v>
      </c>
      <c r="B580" s="175" t="s">
        <v>2435</v>
      </c>
      <c r="C580" s="176" t="s">
        <v>25</v>
      </c>
      <c r="D580" s="178">
        <f t="shared" si="52"/>
        <v>105.60000000000001</v>
      </c>
      <c r="E580" s="178">
        <f>80*1.32</f>
        <v>105.60000000000001</v>
      </c>
      <c r="F580" s="178" t="s">
        <v>1159</v>
      </c>
      <c r="G580" s="178" t="s">
        <v>1159</v>
      </c>
      <c r="H580" s="178"/>
      <c r="I580" s="168" t="s">
        <v>1160</v>
      </c>
    </row>
    <row r="581" spans="1:9" x14ac:dyDescent="0.25">
      <c r="A581" s="175">
        <f t="shared" si="71"/>
        <v>1</v>
      </c>
      <c r="B581" s="175" t="s">
        <v>414</v>
      </c>
      <c r="C581" s="176" t="s">
        <v>25</v>
      </c>
      <c r="D581" s="178">
        <f t="shared" ref="D581:D657" si="72">E581*$D$1</f>
        <v>60</v>
      </c>
      <c r="E581" s="178">
        <v>60</v>
      </c>
      <c r="F581" s="178" t="s">
        <v>1159</v>
      </c>
      <c r="G581" s="178" t="s">
        <v>1159</v>
      </c>
      <c r="H581" s="178"/>
      <c r="I581" s="168" t="s">
        <v>1160</v>
      </c>
    </row>
    <row r="582" spans="1:9" x14ac:dyDescent="0.25">
      <c r="A582" s="175">
        <f t="shared" si="71"/>
        <v>1</v>
      </c>
      <c r="B582" s="175" t="s">
        <v>415</v>
      </c>
      <c r="C582" s="176" t="s">
        <v>25</v>
      </c>
      <c r="D582" s="178">
        <f t="shared" si="72"/>
        <v>75</v>
      </c>
      <c r="E582" s="178">
        <v>75</v>
      </c>
      <c r="F582" s="178" t="s">
        <v>1159</v>
      </c>
      <c r="G582" s="178" t="s">
        <v>1159</v>
      </c>
      <c r="H582" s="178"/>
      <c r="I582" s="168" t="s">
        <v>1160</v>
      </c>
    </row>
    <row r="583" spans="1:9" x14ac:dyDescent="0.25">
      <c r="A583" s="175">
        <f t="shared" si="71"/>
        <v>1</v>
      </c>
      <c r="B583" s="175" t="s">
        <v>2344</v>
      </c>
      <c r="C583" s="176" t="s">
        <v>25</v>
      </c>
      <c r="D583" s="178">
        <f>E583*$D$1</f>
        <v>150</v>
      </c>
      <c r="E583" s="178">
        <v>150</v>
      </c>
      <c r="F583" s="178" t="s">
        <v>1159</v>
      </c>
      <c r="G583" s="178" t="s">
        <v>1159</v>
      </c>
      <c r="H583" s="178"/>
      <c r="I583" s="168" t="s">
        <v>1160</v>
      </c>
    </row>
    <row r="584" spans="1:9" x14ac:dyDescent="0.25">
      <c r="A584" s="175">
        <f t="shared" si="71"/>
        <v>1</v>
      </c>
      <c r="B584" s="175" t="s">
        <v>2345</v>
      </c>
      <c r="C584" s="176" t="s">
        <v>25</v>
      </c>
      <c r="D584" s="178">
        <f>E584*$D$1</f>
        <v>180</v>
      </c>
      <c r="E584" s="178">
        <v>180</v>
      </c>
      <c r="F584" s="178" t="s">
        <v>1159</v>
      </c>
      <c r="G584" s="178" t="s">
        <v>1159</v>
      </c>
      <c r="H584" s="178"/>
      <c r="I584" s="168" t="s">
        <v>1160</v>
      </c>
    </row>
    <row r="585" spans="1:9" x14ac:dyDescent="0.25">
      <c r="A585" s="175">
        <f t="shared" si="71"/>
        <v>1</v>
      </c>
      <c r="B585" s="175" t="s">
        <v>416</v>
      </c>
      <c r="C585" s="176" t="s">
        <v>25</v>
      </c>
      <c r="D585" s="178">
        <f t="shared" si="72"/>
        <v>150</v>
      </c>
      <c r="E585" s="178">
        <v>150</v>
      </c>
      <c r="F585" s="178" t="s">
        <v>1159</v>
      </c>
      <c r="G585" s="178" t="s">
        <v>1159</v>
      </c>
      <c r="H585" s="178"/>
      <c r="I585" s="168" t="s">
        <v>1160</v>
      </c>
    </row>
    <row r="586" spans="1:9" x14ac:dyDescent="0.25">
      <c r="A586" s="175">
        <f t="shared" si="71"/>
        <v>1</v>
      </c>
      <c r="B586" s="175" t="s">
        <v>417</v>
      </c>
      <c r="C586" s="176" t="s">
        <v>25</v>
      </c>
      <c r="D586" s="178">
        <f t="shared" si="72"/>
        <v>180</v>
      </c>
      <c r="E586" s="178">
        <v>180</v>
      </c>
      <c r="F586" s="178" t="s">
        <v>1159</v>
      </c>
      <c r="G586" s="178" t="s">
        <v>1159</v>
      </c>
      <c r="H586" s="178"/>
      <c r="I586" s="168" t="s">
        <v>1160</v>
      </c>
    </row>
    <row r="587" spans="1:9" x14ac:dyDescent="0.25">
      <c r="A587" s="175">
        <f t="shared" si="71"/>
        <v>1</v>
      </c>
      <c r="B587" s="175" t="s">
        <v>418</v>
      </c>
      <c r="C587" s="176" t="s">
        <v>25</v>
      </c>
      <c r="D587" s="178">
        <f t="shared" si="72"/>
        <v>120</v>
      </c>
      <c r="E587" s="178">
        <v>120</v>
      </c>
      <c r="F587" s="178" t="s">
        <v>1159</v>
      </c>
      <c r="G587" s="178" t="s">
        <v>1159</v>
      </c>
      <c r="H587" s="178"/>
      <c r="I587" s="168" t="s">
        <v>1160</v>
      </c>
    </row>
    <row r="588" spans="1:9" x14ac:dyDescent="0.25">
      <c r="A588" s="175">
        <f t="shared" si="71"/>
        <v>1</v>
      </c>
      <c r="B588" s="175" t="s">
        <v>419</v>
      </c>
      <c r="C588" s="176" t="s">
        <v>25</v>
      </c>
      <c r="D588" s="178">
        <f t="shared" si="72"/>
        <v>135</v>
      </c>
      <c r="E588" s="178">
        <v>135</v>
      </c>
      <c r="F588" s="178" t="s">
        <v>1159</v>
      </c>
      <c r="G588" s="178" t="s">
        <v>1159</v>
      </c>
      <c r="H588" s="178"/>
      <c r="I588" s="168" t="s">
        <v>1160</v>
      </c>
    </row>
    <row r="589" spans="1:9" x14ac:dyDescent="0.25">
      <c r="A589" s="175">
        <f t="shared" si="71"/>
        <v>1</v>
      </c>
      <c r="B589" s="175" t="s">
        <v>420</v>
      </c>
      <c r="C589" s="176" t="s">
        <v>25</v>
      </c>
      <c r="D589" s="178">
        <f t="shared" si="72"/>
        <v>150</v>
      </c>
      <c r="E589" s="178">
        <v>150</v>
      </c>
      <c r="F589" s="178" t="s">
        <v>1159</v>
      </c>
      <c r="G589" s="178" t="s">
        <v>1159</v>
      </c>
      <c r="H589" s="178"/>
      <c r="I589" s="168" t="s">
        <v>1160</v>
      </c>
    </row>
    <row r="590" spans="1:9" x14ac:dyDescent="0.25">
      <c r="A590" s="175">
        <f t="shared" si="71"/>
        <v>1</v>
      </c>
      <c r="B590" s="175" t="s">
        <v>421</v>
      </c>
      <c r="C590" s="176" t="s">
        <v>25</v>
      </c>
      <c r="D590" s="178">
        <f t="shared" si="72"/>
        <v>166.66666666666669</v>
      </c>
      <c r="E590" s="178">
        <v>166.66666666666669</v>
      </c>
      <c r="F590" s="178" t="s">
        <v>1159</v>
      </c>
      <c r="G590" s="178" t="s">
        <v>1159</v>
      </c>
      <c r="H590" s="178"/>
      <c r="I590" s="168" t="s">
        <v>1160</v>
      </c>
    </row>
    <row r="591" spans="1:9" x14ac:dyDescent="0.25">
      <c r="A591" s="175">
        <f t="shared" si="71"/>
        <v>1</v>
      </c>
      <c r="B591" s="175" t="s">
        <v>463</v>
      </c>
      <c r="C591" s="176" t="s">
        <v>13</v>
      </c>
      <c r="D591" s="178">
        <f t="shared" si="72"/>
        <v>290</v>
      </c>
      <c r="E591" s="178">
        <v>290</v>
      </c>
      <c r="F591" s="178" t="s">
        <v>1159</v>
      </c>
      <c r="G591" s="178" t="s">
        <v>1159</v>
      </c>
      <c r="H591" s="178"/>
      <c r="I591" s="168" t="s">
        <v>1160</v>
      </c>
    </row>
    <row r="592" spans="1:9" x14ac:dyDescent="0.25">
      <c r="A592" s="175">
        <f t="shared" si="71"/>
        <v>1</v>
      </c>
      <c r="B592" s="175" t="s">
        <v>478</v>
      </c>
      <c r="C592" s="176" t="s">
        <v>13</v>
      </c>
      <c r="D592" s="178">
        <f t="shared" si="72"/>
        <v>166.34420509708741</v>
      </c>
      <c r="E592" s="178">
        <v>166.34420509708741</v>
      </c>
      <c r="F592" s="178" t="s">
        <v>1159</v>
      </c>
      <c r="G592" s="178" t="s">
        <v>1159</v>
      </c>
      <c r="H592" s="178"/>
      <c r="I592" s="168" t="s">
        <v>1160</v>
      </c>
    </row>
    <row r="593" spans="1:9" x14ac:dyDescent="0.25">
      <c r="A593" s="175">
        <f t="shared" ref="A593" si="73">COUNTIFS($B$2:$B$764,B593)</f>
        <v>1</v>
      </c>
      <c r="B593" s="175" t="s">
        <v>6910</v>
      </c>
      <c r="C593" s="176" t="s">
        <v>13</v>
      </c>
      <c r="D593" s="178">
        <f t="shared" ref="D593" si="74">E593*$D$1</f>
        <v>180</v>
      </c>
      <c r="E593" s="178">
        <f>85+95</f>
        <v>180</v>
      </c>
      <c r="F593" s="178" t="s">
        <v>1159</v>
      </c>
      <c r="G593" s="178" t="s">
        <v>1159</v>
      </c>
      <c r="H593" s="178"/>
      <c r="I593" s="168" t="s">
        <v>1160</v>
      </c>
    </row>
    <row r="594" spans="1:9" x14ac:dyDescent="0.25">
      <c r="A594" s="175">
        <f t="shared" si="71"/>
        <v>1</v>
      </c>
      <c r="B594" s="175" t="s">
        <v>705</v>
      </c>
      <c r="C594" s="176" t="s">
        <v>13</v>
      </c>
      <c r="D594" s="178">
        <f t="shared" si="72"/>
        <v>120</v>
      </c>
      <c r="E594" s="178">
        <v>120</v>
      </c>
      <c r="F594" s="178" t="s">
        <v>1159</v>
      </c>
      <c r="G594" s="178" t="s">
        <v>1159</v>
      </c>
      <c r="H594" s="178"/>
      <c r="I594" s="168" t="s">
        <v>1160</v>
      </c>
    </row>
    <row r="595" spans="1:9" x14ac:dyDescent="0.25">
      <c r="A595" s="175">
        <f t="shared" si="71"/>
        <v>1</v>
      </c>
      <c r="B595" s="175" t="s">
        <v>706</v>
      </c>
      <c r="C595" s="176" t="s">
        <v>13</v>
      </c>
      <c r="D595" s="178">
        <f t="shared" si="72"/>
        <v>150</v>
      </c>
      <c r="E595" s="178">
        <f>E594*1.25</f>
        <v>150</v>
      </c>
      <c r="F595" s="178" t="s">
        <v>1159</v>
      </c>
      <c r="G595" s="178" t="s">
        <v>1159</v>
      </c>
      <c r="H595" s="178"/>
      <c r="I595" s="168" t="s">
        <v>1160</v>
      </c>
    </row>
    <row r="596" spans="1:9" x14ac:dyDescent="0.25">
      <c r="A596" s="175">
        <f t="shared" si="71"/>
        <v>1</v>
      </c>
      <c r="B596" s="175" t="s">
        <v>707</v>
      </c>
      <c r="C596" s="176" t="s">
        <v>13</v>
      </c>
      <c r="D596" s="178">
        <f t="shared" si="72"/>
        <v>219.20046110145017</v>
      </c>
      <c r="E596" s="178">
        <v>219.20046110145017</v>
      </c>
      <c r="F596" s="178" t="s">
        <v>1159</v>
      </c>
      <c r="G596" s="178" t="s">
        <v>1159</v>
      </c>
      <c r="H596" s="178"/>
      <c r="I596" s="168" t="s">
        <v>1160</v>
      </c>
    </row>
    <row r="597" spans="1:9" x14ac:dyDescent="0.25">
      <c r="A597" s="175">
        <f t="shared" si="71"/>
        <v>1</v>
      </c>
      <c r="B597" s="175" t="s">
        <v>1840</v>
      </c>
      <c r="C597" s="176" t="s">
        <v>13</v>
      </c>
      <c r="D597" s="178">
        <f t="shared" si="72"/>
        <v>55</v>
      </c>
      <c r="E597" s="178">
        <v>55</v>
      </c>
      <c r="F597" s="178" t="s">
        <v>1159</v>
      </c>
      <c r="G597" s="178" t="s">
        <v>1159</v>
      </c>
      <c r="H597" s="178"/>
      <c r="I597" s="168" t="s">
        <v>1160</v>
      </c>
    </row>
    <row r="598" spans="1:9" x14ac:dyDescent="0.25">
      <c r="A598" s="175">
        <f t="shared" si="71"/>
        <v>1</v>
      </c>
      <c r="B598" s="175" t="s">
        <v>704</v>
      </c>
      <c r="C598" s="176" t="s">
        <v>13</v>
      </c>
      <c r="D598" s="178">
        <f t="shared" si="72"/>
        <v>60</v>
      </c>
      <c r="E598" s="178">
        <v>60</v>
      </c>
      <c r="F598" s="178" t="s">
        <v>1159</v>
      </c>
      <c r="G598" s="178" t="s">
        <v>1159</v>
      </c>
      <c r="H598" s="178"/>
      <c r="I598" s="168" t="s">
        <v>1160</v>
      </c>
    </row>
    <row r="599" spans="1:9" x14ac:dyDescent="0.25">
      <c r="A599" s="175">
        <f t="shared" si="71"/>
        <v>1</v>
      </c>
      <c r="B599" s="175" t="s">
        <v>1754</v>
      </c>
      <c r="C599" s="176" t="s">
        <v>13</v>
      </c>
      <c r="D599" s="178">
        <f t="shared" si="72"/>
        <v>275</v>
      </c>
      <c r="E599" s="178">
        <v>275</v>
      </c>
      <c r="F599" s="178" t="s">
        <v>1159</v>
      </c>
      <c r="G599" s="178" t="s">
        <v>1159</v>
      </c>
      <c r="H599" s="178"/>
      <c r="I599" s="168" t="s">
        <v>1160</v>
      </c>
    </row>
    <row r="600" spans="1:9" x14ac:dyDescent="0.25">
      <c r="A600" s="175">
        <f t="shared" si="71"/>
        <v>1</v>
      </c>
      <c r="B600" s="175" t="s">
        <v>1751</v>
      </c>
      <c r="C600" s="176" t="s">
        <v>13</v>
      </c>
      <c r="D600" s="178">
        <f t="shared" si="72"/>
        <v>35</v>
      </c>
      <c r="E600" s="178">
        <v>35</v>
      </c>
      <c r="F600" s="178" t="s">
        <v>1159</v>
      </c>
      <c r="G600" s="178" t="s">
        <v>1159</v>
      </c>
      <c r="H600" s="178"/>
      <c r="I600" s="168" t="s">
        <v>1160</v>
      </c>
    </row>
    <row r="601" spans="1:9" x14ac:dyDescent="0.25">
      <c r="A601" s="175">
        <f t="shared" si="71"/>
        <v>1</v>
      </c>
      <c r="B601" s="175" t="s">
        <v>1752</v>
      </c>
      <c r="C601" s="176" t="s">
        <v>13</v>
      </c>
      <c r="D601" s="178">
        <f t="shared" si="72"/>
        <v>36</v>
      </c>
      <c r="E601" s="178">
        <v>36</v>
      </c>
      <c r="F601" s="178" t="s">
        <v>1159</v>
      </c>
      <c r="G601" s="178" t="s">
        <v>1159</v>
      </c>
      <c r="H601" s="178"/>
      <c r="I601" s="168" t="s">
        <v>1160</v>
      </c>
    </row>
    <row r="602" spans="1:9" x14ac:dyDescent="0.25">
      <c r="A602" s="175">
        <f t="shared" si="71"/>
        <v>1</v>
      </c>
      <c r="B602" s="175" t="s">
        <v>1753</v>
      </c>
      <c r="C602" s="176" t="s">
        <v>13</v>
      </c>
      <c r="D602" s="178">
        <f t="shared" si="72"/>
        <v>36</v>
      </c>
      <c r="E602" s="178">
        <v>36</v>
      </c>
      <c r="F602" s="178" t="s">
        <v>1159</v>
      </c>
      <c r="G602" s="178" t="s">
        <v>1159</v>
      </c>
      <c r="H602" s="178"/>
      <c r="I602" s="168" t="s">
        <v>1160</v>
      </c>
    </row>
    <row r="603" spans="1:9" x14ac:dyDescent="0.25">
      <c r="A603" s="175">
        <f t="shared" si="71"/>
        <v>1</v>
      </c>
      <c r="B603" s="175" t="s">
        <v>1766</v>
      </c>
      <c r="C603" s="176" t="s">
        <v>13</v>
      </c>
      <c r="D603" s="178">
        <f>E603*$D$1</f>
        <v>342.63975903614454</v>
      </c>
      <c r="E603" s="178">
        <f>5687.82/16.6</f>
        <v>342.63975903614454</v>
      </c>
      <c r="F603" s="178" t="s">
        <v>1159</v>
      </c>
      <c r="G603" s="178" t="s">
        <v>1159</v>
      </c>
      <c r="H603" s="178"/>
      <c r="I603" s="168" t="s">
        <v>1160</v>
      </c>
    </row>
    <row r="604" spans="1:9" x14ac:dyDescent="0.25">
      <c r="A604" s="175">
        <f t="shared" si="71"/>
        <v>1</v>
      </c>
      <c r="B604" s="175" t="s">
        <v>789</v>
      </c>
      <c r="C604" s="176" t="s">
        <v>13</v>
      </c>
      <c r="D604" s="178">
        <f t="shared" si="72"/>
        <v>25.5</v>
      </c>
      <c r="E604" s="178">
        <v>25.5</v>
      </c>
      <c r="F604" s="178" t="s">
        <v>1159</v>
      </c>
      <c r="G604" s="178" t="s">
        <v>1159</v>
      </c>
      <c r="H604" s="178"/>
      <c r="I604" s="168" t="s">
        <v>1160</v>
      </c>
    </row>
    <row r="605" spans="1:9" x14ac:dyDescent="0.25">
      <c r="A605" s="175">
        <f t="shared" si="71"/>
        <v>1</v>
      </c>
      <c r="B605" s="175" t="s">
        <v>1161</v>
      </c>
      <c r="C605" s="176" t="s">
        <v>13</v>
      </c>
      <c r="D605" s="178">
        <f t="shared" si="72"/>
        <v>25.5</v>
      </c>
      <c r="E605" s="178">
        <v>25.5</v>
      </c>
      <c r="F605" s="178" t="s">
        <v>1159</v>
      </c>
      <c r="G605" s="178" t="s">
        <v>1159</v>
      </c>
      <c r="H605" s="178"/>
      <c r="I605" s="168" t="s">
        <v>1160</v>
      </c>
    </row>
    <row r="606" spans="1:9" x14ac:dyDescent="0.25">
      <c r="A606" s="175">
        <f t="shared" si="71"/>
        <v>1</v>
      </c>
      <c r="B606" s="175" t="s">
        <v>621</v>
      </c>
      <c r="C606" s="176" t="s">
        <v>131</v>
      </c>
      <c r="D606" s="178">
        <f t="shared" si="72"/>
        <v>400</v>
      </c>
      <c r="E606" s="178">
        <v>400</v>
      </c>
      <c r="F606" s="178" t="s">
        <v>1159</v>
      </c>
      <c r="G606" s="178" t="s">
        <v>1159</v>
      </c>
      <c r="H606" s="178"/>
      <c r="I606" s="168" t="s">
        <v>1160</v>
      </c>
    </row>
    <row r="607" spans="1:9" x14ac:dyDescent="0.25">
      <c r="A607" s="175">
        <f t="shared" si="71"/>
        <v>1</v>
      </c>
      <c r="B607" s="175" t="s">
        <v>1162</v>
      </c>
      <c r="C607" s="176" t="s">
        <v>13</v>
      </c>
      <c r="D607" s="178">
        <f t="shared" si="72"/>
        <v>25</v>
      </c>
      <c r="E607" s="178">
        <v>25</v>
      </c>
      <c r="F607" s="178" t="s">
        <v>1159</v>
      </c>
      <c r="G607" s="178" t="s">
        <v>1159</v>
      </c>
      <c r="H607" s="178"/>
      <c r="I607" s="168" t="s">
        <v>1160</v>
      </c>
    </row>
    <row r="608" spans="1:9" x14ac:dyDescent="0.25">
      <c r="A608" s="175">
        <f t="shared" si="71"/>
        <v>1</v>
      </c>
      <c r="B608" s="175" t="s">
        <v>2038</v>
      </c>
      <c r="C608" s="176" t="s">
        <v>13</v>
      </c>
      <c r="D608" s="178">
        <f>E608*$D$1</f>
        <v>40</v>
      </c>
      <c r="E608" s="178">
        <v>40</v>
      </c>
      <c r="F608" s="178" t="s">
        <v>1159</v>
      </c>
      <c r="G608" s="178" t="s">
        <v>1159</v>
      </c>
      <c r="H608" s="178"/>
      <c r="I608" s="168" t="s">
        <v>1160</v>
      </c>
    </row>
    <row r="609" spans="1:9" x14ac:dyDescent="0.25">
      <c r="A609" s="175">
        <f t="shared" si="71"/>
        <v>1</v>
      </c>
      <c r="B609" s="175" t="s">
        <v>272</v>
      </c>
      <c r="C609" s="176" t="s">
        <v>13</v>
      </c>
      <c r="D609" s="178">
        <f t="shared" si="72"/>
        <v>220</v>
      </c>
      <c r="E609" s="178">
        <v>220</v>
      </c>
      <c r="F609" s="178" t="s">
        <v>1159</v>
      </c>
      <c r="G609" s="178" t="s">
        <v>1159</v>
      </c>
      <c r="H609" s="178"/>
      <c r="I609" s="168" t="s">
        <v>1160</v>
      </c>
    </row>
    <row r="610" spans="1:9" x14ac:dyDescent="0.25">
      <c r="A610" s="175">
        <f t="shared" si="71"/>
        <v>1</v>
      </c>
      <c r="B610" s="175" t="s">
        <v>812</v>
      </c>
      <c r="C610" s="176" t="s">
        <v>131</v>
      </c>
      <c r="D610" s="178">
        <f t="shared" si="72"/>
        <v>25</v>
      </c>
      <c r="E610" s="178">
        <v>25</v>
      </c>
      <c r="F610" s="178" t="s">
        <v>1159</v>
      </c>
      <c r="G610" s="178" t="s">
        <v>1159</v>
      </c>
      <c r="H610" s="178"/>
      <c r="I610" s="168" t="s">
        <v>1160</v>
      </c>
    </row>
    <row r="611" spans="1:9" x14ac:dyDescent="0.25">
      <c r="A611" s="175">
        <f t="shared" si="71"/>
        <v>1</v>
      </c>
      <c r="B611" s="175" t="s">
        <v>254</v>
      </c>
      <c r="C611" s="176" t="s">
        <v>131</v>
      </c>
      <c r="D611" s="178">
        <f t="shared" si="72"/>
        <v>22</v>
      </c>
      <c r="E611" s="178">
        <v>22</v>
      </c>
      <c r="F611" s="178" t="s">
        <v>1159</v>
      </c>
      <c r="G611" s="178" t="s">
        <v>1159</v>
      </c>
      <c r="H611" s="178"/>
      <c r="I611" s="168" t="s">
        <v>1160</v>
      </c>
    </row>
    <row r="612" spans="1:9" x14ac:dyDescent="0.25">
      <c r="A612" s="175">
        <f t="shared" si="71"/>
        <v>1</v>
      </c>
      <c r="B612" s="175" t="s">
        <v>815</v>
      </c>
      <c r="C612" s="176" t="s">
        <v>131</v>
      </c>
      <c r="D612" s="178">
        <f t="shared" si="72"/>
        <v>50</v>
      </c>
      <c r="E612" s="178">
        <v>50</v>
      </c>
      <c r="F612" s="178" t="s">
        <v>1159</v>
      </c>
      <c r="G612" s="178" t="s">
        <v>1159</v>
      </c>
      <c r="H612" s="178"/>
      <c r="I612" s="168" t="s">
        <v>1160</v>
      </c>
    </row>
    <row r="613" spans="1:9" x14ac:dyDescent="0.25">
      <c r="A613" s="175">
        <f t="shared" si="71"/>
        <v>1</v>
      </c>
      <c r="B613" s="175" t="s">
        <v>182</v>
      </c>
      <c r="C613" s="176" t="s">
        <v>131</v>
      </c>
      <c r="D613" s="178">
        <f t="shared" si="72"/>
        <v>22</v>
      </c>
      <c r="E613" s="178">
        <v>22</v>
      </c>
      <c r="F613" s="178" t="s">
        <v>1159</v>
      </c>
      <c r="G613" s="178" t="s">
        <v>1159</v>
      </c>
      <c r="H613" s="178"/>
      <c r="I613" s="168" t="s">
        <v>1160</v>
      </c>
    </row>
    <row r="614" spans="1:9" x14ac:dyDescent="0.25">
      <c r="A614" s="175">
        <f t="shared" ref="A614:A678" si="75">COUNTIFS($B$2:$B$764,B614)</f>
        <v>1</v>
      </c>
      <c r="B614" s="175" t="s">
        <v>816</v>
      </c>
      <c r="C614" s="176" t="s">
        <v>131</v>
      </c>
      <c r="D614" s="178">
        <f t="shared" si="72"/>
        <v>22</v>
      </c>
      <c r="E614" s="178">
        <v>22</v>
      </c>
      <c r="F614" s="178" t="s">
        <v>1159</v>
      </c>
      <c r="G614" s="178" t="s">
        <v>1159</v>
      </c>
      <c r="H614" s="178"/>
      <c r="I614" s="168" t="s">
        <v>1160</v>
      </c>
    </row>
    <row r="615" spans="1:9" x14ac:dyDescent="0.25">
      <c r="A615" s="175">
        <f t="shared" si="75"/>
        <v>1</v>
      </c>
      <c r="B615" s="175" t="s">
        <v>747</v>
      </c>
      <c r="C615" s="176" t="s">
        <v>13</v>
      </c>
      <c r="D615" s="178">
        <f t="shared" si="72"/>
        <v>16.75</v>
      </c>
      <c r="E615" s="178">
        <v>16.75</v>
      </c>
      <c r="F615" s="178" t="s">
        <v>1159</v>
      </c>
      <c r="G615" s="178" t="s">
        <v>1159</v>
      </c>
      <c r="H615" s="178"/>
      <c r="I615" s="168" t="s">
        <v>1160</v>
      </c>
    </row>
    <row r="616" spans="1:9" x14ac:dyDescent="0.25">
      <c r="A616" s="175">
        <f t="shared" si="75"/>
        <v>1</v>
      </c>
      <c r="B616" s="175" t="s">
        <v>6613</v>
      </c>
      <c r="C616" s="176" t="s">
        <v>13</v>
      </c>
      <c r="D616" s="178">
        <f t="shared" ref="D616" si="76">E616*$D$1</f>
        <v>31</v>
      </c>
      <c r="E616" s="178">
        <v>31</v>
      </c>
      <c r="F616" s="178" t="s">
        <v>1159</v>
      </c>
      <c r="G616" s="178" t="s">
        <v>1159</v>
      </c>
      <c r="H616" s="178"/>
      <c r="I616" s="168" t="s">
        <v>1160</v>
      </c>
    </row>
    <row r="617" spans="1:9" x14ac:dyDescent="0.25">
      <c r="A617" s="175">
        <f t="shared" si="75"/>
        <v>1</v>
      </c>
      <c r="B617" s="175" t="s">
        <v>750</v>
      </c>
      <c r="C617" s="176" t="s">
        <v>13</v>
      </c>
      <c r="D617" s="178">
        <f t="shared" si="72"/>
        <v>210</v>
      </c>
      <c r="E617" s="178">
        <v>210</v>
      </c>
      <c r="F617" s="178" t="s">
        <v>1159</v>
      </c>
      <c r="G617" s="178" t="s">
        <v>1159</v>
      </c>
      <c r="H617" s="178"/>
      <c r="I617" s="168" t="s">
        <v>1160</v>
      </c>
    </row>
    <row r="618" spans="1:9" x14ac:dyDescent="0.25">
      <c r="A618" s="175">
        <f t="shared" si="75"/>
        <v>1</v>
      </c>
      <c r="B618" s="175" t="s">
        <v>181</v>
      </c>
      <c r="C618" s="176" t="s">
        <v>131</v>
      </c>
      <c r="D618" s="178">
        <f t="shared" si="72"/>
        <v>22</v>
      </c>
      <c r="E618" s="178">
        <v>22</v>
      </c>
      <c r="F618" s="178" t="s">
        <v>1159</v>
      </c>
      <c r="G618" s="178" t="s">
        <v>1159</v>
      </c>
      <c r="H618" s="178"/>
      <c r="I618" s="168" t="s">
        <v>1160</v>
      </c>
    </row>
    <row r="619" spans="1:9" x14ac:dyDescent="0.25">
      <c r="A619" s="175">
        <f t="shared" si="75"/>
        <v>1</v>
      </c>
      <c r="B619" s="175" t="s">
        <v>1974</v>
      </c>
      <c r="C619" s="176" t="s">
        <v>13</v>
      </c>
      <c r="D619" s="178">
        <f>E619*$D$1</f>
        <v>40</v>
      </c>
      <c r="E619" s="178">
        <v>40</v>
      </c>
      <c r="F619" s="178" t="s">
        <v>1159</v>
      </c>
      <c r="G619" s="178" t="s">
        <v>1159</v>
      </c>
      <c r="H619" s="178"/>
      <c r="I619" s="168" t="s">
        <v>1160</v>
      </c>
    </row>
    <row r="620" spans="1:9" x14ac:dyDescent="0.25">
      <c r="A620" s="175">
        <f t="shared" si="75"/>
        <v>1</v>
      </c>
      <c r="B620" s="175" t="s">
        <v>1979</v>
      </c>
      <c r="C620" s="176" t="s">
        <v>13</v>
      </c>
      <c r="D620" s="178">
        <f>E620*$D$1</f>
        <v>10</v>
      </c>
      <c r="E620" s="178">
        <v>10</v>
      </c>
      <c r="F620" s="178" t="s">
        <v>1159</v>
      </c>
      <c r="G620" s="178" t="s">
        <v>1159</v>
      </c>
      <c r="H620" s="178"/>
      <c r="I620" s="168" t="s">
        <v>1160</v>
      </c>
    </row>
    <row r="621" spans="1:9" x14ac:dyDescent="0.25">
      <c r="A621" s="175">
        <f t="shared" si="75"/>
        <v>1</v>
      </c>
      <c r="B621" s="175" t="s">
        <v>255</v>
      </c>
      <c r="C621" s="176" t="s">
        <v>131</v>
      </c>
      <c r="D621" s="178">
        <f t="shared" si="72"/>
        <v>22</v>
      </c>
      <c r="E621" s="178">
        <v>22</v>
      </c>
      <c r="F621" s="178" t="s">
        <v>1159</v>
      </c>
      <c r="G621" s="178" t="s">
        <v>1159</v>
      </c>
      <c r="H621" s="178"/>
      <c r="I621" s="168" t="s">
        <v>1160</v>
      </c>
    </row>
    <row r="622" spans="1:9" x14ac:dyDescent="0.25">
      <c r="A622" s="175">
        <f t="shared" si="75"/>
        <v>1</v>
      </c>
      <c r="B622" s="175" t="s">
        <v>174</v>
      </c>
      <c r="C622" s="176" t="s">
        <v>13</v>
      </c>
      <c r="D622" s="178">
        <f t="shared" si="72"/>
        <v>25</v>
      </c>
      <c r="E622" s="178">
        <v>25</v>
      </c>
      <c r="F622" s="178" t="s">
        <v>1159</v>
      </c>
      <c r="G622" s="178" t="s">
        <v>1159</v>
      </c>
      <c r="H622" s="178"/>
      <c r="I622" s="168" t="s">
        <v>1160</v>
      </c>
    </row>
    <row r="623" spans="1:9" x14ac:dyDescent="0.25">
      <c r="A623" s="175">
        <f t="shared" si="75"/>
        <v>1</v>
      </c>
      <c r="B623" s="175" t="s">
        <v>251</v>
      </c>
      <c r="C623" s="176" t="s">
        <v>13</v>
      </c>
      <c r="D623" s="178">
        <f t="shared" si="72"/>
        <v>40</v>
      </c>
      <c r="E623" s="178">
        <v>40</v>
      </c>
      <c r="F623" s="178" t="s">
        <v>1159</v>
      </c>
      <c r="G623" s="178" t="s">
        <v>1159</v>
      </c>
      <c r="H623" s="178"/>
      <c r="I623" s="168" t="s">
        <v>1160</v>
      </c>
    </row>
    <row r="624" spans="1:9" x14ac:dyDescent="0.25">
      <c r="A624" s="175">
        <f t="shared" si="75"/>
        <v>1</v>
      </c>
      <c r="B624" s="175" t="s">
        <v>2064</v>
      </c>
      <c r="C624" s="176" t="s">
        <v>131</v>
      </c>
      <c r="D624" s="178">
        <f>E624*$D$1</f>
        <v>10</v>
      </c>
      <c r="E624" s="178">
        <v>10</v>
      </c>
      <c r="F624" s="178" t="s">
        <v>1159</v>
      </c>
      <c r="G624" s="178" t="s">
        <v>1159</v>
      </c>
      <c r="H624" s="178"/>
      <c r="I624" s="168" t="s">
        <v>1160</v>
      </c>
    </row>
    <row r="625" spans="1:9" x14ac:dyDescent="0.25">
      <c r="A625" s="175">
        <f t="shared" si="75"/>
        <v>1</v>
      </c>
      <c r="B625" s="175" t="s">
        <v>1750</v>
      </c>
      <c r="C625" s="176" t="s">
        <v>13</v>
      </c>
      <c r="D625" s="178">
        <f t="shared" si="72"/>
        <v>20</v>
      </c>
      <c r="E625" s="178">
        <v>20</v>
      </c>
      <c r="F625" s="178" t="s">
        <v>1159</v>
      </c>
      <c r="G625" s="178" t="s">
        <v>1159</v>
      </c>
      <c r="H625" s="178"/>
      <c r="I625" s="168" t="s">
        <v>1160</v>
      </c>
    </row>
    <row r="626" spans="1:9" x14ac:dyDescent="0.25">
      <c r="A626" s="175">
        <f t="shared" si="75"/>
        <v>1</v>
      </c>
      <c r="B626" s="175" t="s">
        <v>1749</v>
      </c>
      <c r="C626" s="176" t="s">
        <v>13</v>
      </c>
      <c r="D626" s="178">
        <f t="shared" si="72"/>
        <v>40</v>
      </c>
      <c r="E626" s="178">
        <v>40</v>
      </c>
      <c r="F626" s="178" t="s">
        <v>1159</v>
      </c>
      <c r="G626" s="178" t="s">
        <v>1159</v>
      </c>
      <c r="H626" s="178"/>
      <c r="I626" s="168" t="s">
        <v>1160</v>
      </c>
    </row>
    <row r="627" spans="1:9" x14ac:dyDescent="0.25">
      <c r="A627" s="175">
        <f t="shared" si="75"/>
        <v>1</v>
      </c>
      <c r="B627" s="175" t="s">
        <v>841</v>
      </c>
      <c r="C627" s="176" t="s">
        <v>13</v>
      </c>
      <c r="D627" s="178">
        <f t="shared" si="72"/>
        <v>45</v>
      </c>
      <c r="E627" s="178">
        <v>45</v>
      </c>
      <c r="F627" s="178" t="s">
        <v>1159</v>
      </c>
      <c r="G627" s="178" t="s">
        <v>1159</v>
      </c>
      <c r="H627" s="178"/>
      <c r="I627" s="168" t="s">
        <v>1160</v>
      </c>
    </row>
    <row r="628" spans="1:9" x14ac:dyDescent="0.25">
      <c r="A628" s="175">
        <f t="shared" si="75"/>
        <v>1</v>
      </c>
      <c r="B628" s="175" t="s">
        <v>835</v>
      </c>
      <c r="C628" s="176" t="s">
        <v>13</v>
      </c>
      <c r="D628" s="178">
        <f t="shared" si="72"/>
        <v>55</v>
      </c>
      <c r="E628" s="178">
        <v>55</v>
      </c>
      <c r="F628" s="178" t="s">
        <v>1159</v>
      </c>
      <c r="G628" s="178" t="s">
        <v>1159</v>
      </c>
      <c r="H628" s="178"/>
      <c r="I628" s="168" t="s">
        <v>1160</v>
      </c>
    </row>
    <row r="629" spans="1:9" x14ac:dyDescent="0.25">
      <c r="A629" s="175">
        <f t="shared" si="75"/>
        <v>1</v>
      </c>
      <c r="B629" s="175" t="s">
        <v>836</v>
      </c>
      <c r="C629" s="176" t="s">
        <v>13</v>
      </c>
      <c r="D629" s="178">
        <f t="shared" si="72"/>
        <v>55</v>
      </c>
      <c r="E629" s="178">
        <v>55</v>
      </c>
      <c r="F629" s="178" t="s">
        <v>1159</v>
      </c>
      <c r="G629" s="178" t="s">
        <v>1159</v>
      </c>
      <c r="H629" s="178"/>
      <c r="I629" s="168" t="s">
        <v>1160</v>
      </c>
    </row>
    <row r="630" spans="1:9" x14ac:dyDescent="0.25">
      <c r="A630" s="175">
        <f t="shared" si="75"/>
        <v>1</v>
      </c>
      <c r="B630" s="175" t="s">
        <v>837</v>
      </c>
      <c r="C630" s="176" t="s">
        <v>13</v>
      </c>
      <c r="D630" s="178">
        <f t="shared" si="72"/>
        <v>23</v>
      </c>
      <c r="E630" s="178">
        <v>23</v>
      </c>
      <c r="F630" s="178" t="s">
        <v>1159</v>
      </c>
      <c r="G630" s="178" t="s">
        <v>1159</v>
      </c>
      <c r="H630" s="178"/>
      <c r="I630" s="168" t="s">
        <v>1160</v>
      </c>
    </row>
    <row r="631" spans="1:9" x14ac:dyDescent="0.25">
      <c r="A631" s="175">
        <f t="shared" si="75"/>
        <v>1</v>
      </c>
      <c r="B631" s="175" t="s">
        <v>838</v>
      </c>
      <c r="C631" s="176" t="s">
        <v>13</v>
      </c>
      <c r="D631" s="178">
        <f t="shared" si="72"/>
        <v>45</v>
      </c>
      <c r="E631" s="178">
        <v>45</v>
      </c>
      <c r="F631" s="178" t="s">
        <v>1159</v>
      </c>
      <c r="G631" s="178" t="s">
        <v>1159</v>
      </c>
      <c r="H631" s="178"/>
      <c r="I631" s="168" t="s">
        <v>1160</v>
      </c>
    </row>
    <row r="632" spans="1:9" x14ac:dyDescent="0.25">
      <c r="A632" s="175">
        <f t="shared" si="75"/>
        <v>1</v>
      </c>
      <c r="B632" s="175" t="s">
        <v>235</v>
      </c>
      <c r="C632" s="176" t="s">
        <v>13</v>
      </c>
      <c r="D632" s="178">
        <f t="shared" si="72"/>
        <v>25</v>
      </c>
      <c r="E632" s="178">
        <v>25</v>
      </c>
      <c r="F632" s="178" t="s">
        <v>1159</v>
      </c>
      <c r="G632" s="178" t="s">
        <v>1159</v>
      </c>
      <c r="H632" s="178"/>
      <c r="I632" s="168" t="s">
        <v>1160</v>
      </c>
    </row>
    <row r="633" spans="1:9" x14ac:dyDescent="0.25">
      <c r="A633" s="175">
        <f t="shared" si="75"/>
        <v>1</v>
      </c>
      <c r="B633" s="175" t="s">
        <v>814</v>
      </c>
      <c r="C633" s="176" t="s">
        <v>13</v>
      </c>
      <c r="D633" s="178">
        <f t="shared" si="72"/>
        <v>40</v>
      </c>
      <c r="E633" s="178">
        <v>40</v>
      </c>
      <c r="F633" s="178" t="s">
        <v>1159</v>
      </c>
      <c r="G633" s="178" t="s">
        <v>1159</v>
      </c>
      <c r="H633" s="178"/>
      <c r="I633" s="168" t="s">
        <v>1160</v>
      </c>
    </row>
    <row r="634" spans="1:9" x14ac:dyDescent="0.25">
      <c r="A634" s="175">
        <f t="shared" si="75"/>
        <v>1</v>
      </c>
      <c r="B634" s="175" t="s">
        <v>252</v>
      </c>
      <c r="C634" s="176" t="s">
        <v>13</v>
      </c>
      <c r="D634" s="178">
        <f t="shared" si="72"/>
        <v>40</v>
      </c>
      <c r="E634" s="178">
        <v>40</v>
      </c>
      <c r="F634" s="178" t="s">
        <v>1159</v>
      </c>
      <c r="G634" s="178" t="s">
        <v>1159</v>
      </c>
      <c r="H634" s="178"/>
      <c r="I634" s="168" t="s">
        <v>1160</v>
      </c>
    </row>
    <row r="635" spans="1:9" x14ac:dyDescent="0.25">
      <c r="A635" s="175">
        <f t="shared" si="75"/>
        <v>1</v>
      </c>
      <c r="B635" s="175" t="s">
        <v>695</v>
      </c>
      <c r="C635" s="176" t="s">
        <v>131</v>
      </c>
      <c r="D635" s="178">
        <f t="shared" si="72"/>
        <v>15</v>
      </c>
      <c r="E635" s="178">
        <v>15</v>
      </c>
      <c r="F635" s="178" t="s">
        <v>1159</v>
      </c>
      <c r="G635" s="178" t="s">
        <v>1159</v>
      </c>
      <c r="H635" s="178"/>
      <c r="I635" s="168" t="s">
        <v>1160</v>
      </c>
    </row>
    <row r="636" spans="1:9" x14ac:dyDescent="0.25">
      <c r="A636" s="175">
        <f t="shared" si="75"/>
        <v>1</v>
      </c>
      <c r="B636" s="175" t="s">
        <v>696</v>
      </c>
      <c r="C636" s="176" t="s">
        <v>131</v>
      </c>
      <c r="D636" s="178">
        <f t="shared" si="72"/>
        <v>15</v>
      </c>
      <c r="E636" s="178">
        <v>15</v>
      </c>
      <c r="F636" s="178" t="s">
        <v>1159</v>
      </c>
      <c r="G636" s="178" t="s">
        <v>1159</v>
      </c>
      <c r="H636" s="178"/>
      <c r="I636" s="168" t="s">
        <v>1160</v>
      </c>
    </row>
    <row r="637" spans="1:9" x14ac:dyDescent="0.25">
      <c r="A637" s="175">
        <f t="shared" si="75"/>
        <v>1</v>
      </c>
      <c r="B637" s="175" t="s">
        <v>173</v>
      </c>
      <c r="C637" s="176" t="s">
        <v>131</v>
      </c>
      <c r="D637" s="178">
        <f t="shared" si="72"/>
        <v>36</v>
      </c>
      <c r="E637" s="178">
        <v>36</v>
      </c>
      <c r="F637" s="178" t="s">
        <v>1159</v>
      </c>
      <c r="G637" s="178" t="s">
        <v>1159</v>
      </c>
      <c r="H637" s="178"/>
      <c r="I637" s="168" t="s">
        <v>1160</v>
      </c>
    </row>
    <row r="638" spans="1:9" x14ac:dyDescent="0.25">
      <c r="A638" s="175">
        <f t="shared" si="75"/>
        <v>1</v>
      </c>
      <c r="B638" s="175" t="s">
        <v>759</v>
      </c>
      <c r="C638" s="176" t="s">
        <v>13</v>
      </c>
      <c r="D638" s="178">
        <f t="shared" si="72"/>
        <v>150</v>
      </c>
      <c r="E638" s="178">
        <v>150</v>
      </c>
      <c r="F638" s="178" t="s">
        <v>1159</v>
      </c>
      <c r="G638" s="178" t="s">
        <v>1159</v>
      </c>
      <c r="H638" s="178"/>
      <c r="I638" s="168" t="s">
        <v>1160</v>
      </c>
    </row>
    <row r="639" spans="1:9" x14ac:dyDescent="0.25">
      <c r="A639" s="175">
        <f t="shared" si="75"/>
        <v>1</v>
      </c>
      <c r="B639" s="175" t="s">
        <v>4297</v>
      </c>
      <c r="C639" s="176" t="s">
        <v>13</v>
      </c>
      <c r="D639" s="178">
        <f t="shared" ref="D639" si="77">E639*$D$1</f>
        <v>15</v>
      </c>
      <c r="E639" s="178">
        <v>15</v>
      </c>
      <c r="F639" s="178" t="s">
        <v>1159</v>
      </c>
      <c r="G639" s="178" t="s">
        <v>1159</v>
      </c>
      <c r="H639" s="178"/>
      <c r="I639" s="168" t="s">
        <v>1160</v>
      </c>
    </row>
    <row r="640" spans="1:9" x14ac:dyDescent="0.25">
      <c r="A640" s="175">
        <f t="shared" si="75"/>
        <v>1</v>
      </c>
      <c r="B640" s="175" t="s">
        <v>253</v>
      </c>
      <c r="C640" s="176" t="s">
        <v>13</v>
      </c>
      <c r="D640" s="178">
        <f t="shared" si="72"/>
        <v>55</v>
      </c>
      <c r="E640" s="178">
        <v>55</v>
      </c>
      <c r="F640" s="178" t="s">
        <v>1159</v>
      </c>
      <c r="G640" s="178" t="s">
        <v>1159</v>
      </c>
      <c r="H640" s="178"/>
      <c r="I640" s="168" t="s">
        <v>1160</v>
      </c>
    </row>
    <row r="641" spans="1:9" x14ac:dyDescent="0.25">
      <c r="A641" s="175">
        <f t="shared" si="75"/>
        <v>1</v>
      </c>
      <c r="B641" s="175" t="s">
        <v>813</v>
      </c>
      <c r="C641" s="176" t="s">
        <v>131</v>
      </c>
      <c r="D641" s="178">
        <f t="shared" si="72"/>
        <v>25</v>
      </c>
      <c r="E641" s="178">
        <v>25</v>
      </c>
      <c r="F641" s="178" t="s">
        <v>1159</v>
      </c>
      <c r="G641" s="178" t="s">
        <v>1159</v>
      </c>
      <c r="H641" s="178"/>
      <c r="I641" s="168" t="s">
        <v>1160</v>
      </c>
    </row>
    <row r="642" spans="1:9" x14ac:dyDescent="0.25">
      <c r="A642" s="175">
        <f t="shared" si="75"/>
        <v>1</v>
      </c>
      <c r="B642" s="175" t="s">
        <v>652</v>
      </c>
      <c r="C642" s="176" t="s">
        <v>13</v>
      </c>
      <c r="D642" s="178">
        <f t="shared" si="72"/>
        <v>28</v>
      </c>
      <c r="E642" s="178">
        <v>28</v>
      </c>
      <c r="F642" s="178" t="s">
        <v>1159</v>
      </c>
      <c r="G642" s="178" t="s">
        <v>1159</v>
      </c>
      <c r="H642" s="178"/>
      <c r="I642" s="168" t="s">
        <v>1160</v>
      </c>
    </row>
    <row r="643" spans="1:9" x14ac:dyDescent="0.25">
      <c r="A643" s="175">
        <f t="shared" si="75"/>
        <v>1</v>
      </c>
      <c r="B643" s="175" t="s">
        <v>653</v>
      </c>
      <c r="C643" s="176" t="s">
        <v>131</v>
      </c>
      <c r="D643" s="178">
        <f t="shared" si="72"/>
        <v>30</v>
      </c>
      <c r="E643" s="178">
        <v>30</v>
      </c>
      <c r="F643" s="178" t="s">
        <v>1159</v>
      </c>
      <c r="G643" s="178" t="s">
        <v>1159</v>
      </c>
      <c r="H643" s="178"/>
      <c r="I643" s="168" t="s">
        <v>1160</v>
      </c>
    </row>
    <row r="644" spans="1:9" x14ac:dyDescent="0.25">
      <c r="A644" s="175">
        <f t="shared" si="75"/>
        <v>1</v>
      </c>
      <c r="B644" s="175" t="s">
        <v>121</v>
      </c>
      <c r="C644" s="176" t="s">
        <v>131</v>
      </c>
      <c r="D644" s="178">
        <f t="shared" si="72"/>
        <v>30</v>
      </c>
      <c r="E644" s="178">
        <v>30</v>
      </c>
      <c r="F644" s="178" t="s">
        <v>1159</v>
      </c>
      <c r="G644" s="178" t="s">
        <v>1159</v>
      </c>
      <c r="H644" s="178"/>
      <c r="I644" s="168" t="s">
        <v>1160</v>
      </c>
    </row>
    <row r="645" spans="1:9" x14ac:dyDescent="0.25">
      <c r="A645" s="175">
        <f t="shared" si="75"/>
        <v>1</v>
      </c>
      <c r="B645" s="175" t="s">
        <v>651</v>
      </c>
      <c r="C645" s="176" t="s">
        <v>131</v>
      </c>
      <c r="D645" s="178">
        <f t="shared" si="72"/>
        <v>30</v>
      </c>
      <c r="E645" s="178">
        <v>30</v>
      </c>
      <c r="F645" s="178" t="s">
        <v>1159</v>
      </c>
      <c r="G645" s="178" t="s">
        <v>1159</v>
      </c>
      <c r="H645" s="178"/>
      <c r="I645" s="168" t="s">
        <v>1160</v>
      </c>
    </row>
    <row r="646" spans="1:9" x14ac:dyDescent="0.25">
      <c r="A646" s="175">
        <f t="shared" si="75"/>
        <v>1</v>
      </c>
      <c r="B646" s="175" t="s">
        <v>650</v>
      </c>
      <c r="C646" s="176" t="s">
        <v>131</v>
      </c>
      <c r="D646" s="178">
        <f t="shared" si="72"/>
        <v>30</v>
      </c>
      <c r="E646" s="178">
        <v>30</v>
      </c>
      <c r="F646" s="178" t="s">
        <v>1159</v>
      </c>
      <c r="G646" s="178" t="s">
        <v>1159</v>
      </c>
      <c r="H646" s="178"/>
      <c r="I646" s="168" t="s">
        <v>1160</v>
      </c>
    </row>
    <row r="647" spans="1:9" x14ac:dyDescent="0.25">
      <c r="A647" s="175">
        <f t="shared" si="75"/>
        <v>1</v>
      </c>
      <c r="B647" s="175" t="s">
        <v>56</v>
      </c>
      <c r="C647" s="176" t="s">
        <v>131</v>
      </c>
      <c r="D647" s="178">
        <f t="shared" si="72"/>
        <v>45</v>
      </c>
      <c r="E647" s="178">
        <v>45</v>
      </c>
      <c r="F647" s="178" t="s">
        <v>1159</v>
      </c>
      <c r="G647" s="178" t="s">
        <v>1159</v>
      </c>
      <c r="H647" s="178"/>
      <c r="I647" s="168" t="s">
        <v>1160</v>
      </c>
    </row>
    <row r="648" spans="1:9" x14ac:dyDescent="0.25">
      <c r="A648" s="175">
        <f t="shared" si="75"/>
        <v>1</v>
      </c>
      <c r="B648" s="175" t="s">
        <v>709</v>
      </c>
      <c r="C648" s="176" t="s">
        <v>13</v>
      </c>
      <c r="D648" s="178">
        <f t="shared" si="72"/>
        <v>150</v>
      </c>
      <c r="E648" s="178">
        <v>150</v>
      </c>
      <c r="F648" s="178" t="s">
        <v>1159</v>
      </c>
      <c r="G648" s="178" t="s">
        <v>1159</v>
      </c>
      <c r="H648" s="178"/>
      <c r="I648" s="168" t="s">
        <v>1160</v>
      </c>
    </row>
    <row r="649" spans="1:9" x14ac:dyDescent="0.25">
      <c r="A649" s="175">
        <f t="shared" si="75"/>
        <v>1</v>
      </c>
      <c r="B649" s="175" t="s">
        <v>711</v>
      </c>
      <c r="C649" s="176" t="s">
        <v>13</v>
      </c>
      <c r="D649" s="178">
        <f t="shared" si="72"/>
        <v>150</v>
      </c>
      <c r="E649" s="178">
        <v>150</v>
      </c>
      <c r="F649" s="178" t="s">
        <v>1159</v>
      </c>
      <c r="G649" s="178" t="s">
        <v>1159</v>
      </c>
      <c r="H649" s="178"/>
      <c r="I649" s="168" t="s">
        <v>1160</v>
      </c>
    </row>
    <row r="650" spans="1:9" x14ac:dyDescent="0.25">
      <c r="A650" s="175">
        <f t="shared" si="75"/>
        <v>1</v>
      </c>
      <c r="B650" s="175" t="s">
        <v>279</v>
      </c>
      <c r="C650" s="176" t="s">
        <v>131</v>
      </c>
      <c r="D650" s="178">
        <f t="shared" si="72"/>
        <v>150</v>
      </c>
      <c r="E650" s="178">
        <v>150</v>
      </c>
      <c r="F650" s="178" t="s">
        <v>1159</v>
      </c>
      <c r="G650" s="178" t="s">
        <v>1159</v>
      </c>
      <c r="H650" s="178"/>
      <c r="I650" s="168" t="s">
        <v>1160</v>
      </c>
    </row>
    <row r="651" spans="1:9" x14ac:dyDescent="0.25">
      <c r="A651" s="175">
        <f t="shared" si="75"/>
        <v>1</v>
      </c>
      <c r="B651" s="175" t="s">
        <v>1857</v>
      </c>
      <c r="C651" s="176" t="s">
        <v>13</v>
      </c>
      <c r="D651" s="178">
        <f>E651*$D$1</f>
        <v>40</v>
      </c>
      <c r="E651" s="178">
        <v>40</v>
      </c>
      <c r="F651" s="178" t="s">
        <v>1159</v>
      </c>
      <c r="G651" s="178" t="s">
        <v>1159</v>
      </c>
      <c r="H651" s="178"/>
      <c r="I651" s="168" t="s">
        <v>1160</v>
      </c>
    </row>
    <row r="652" spans="1:9" x14ac:dyDescent="0.25">
      <c r="A652" s="175">
        <f t="shared" si="75"/>
        <v>1</v>
      </c>
      <c r="B652" s="175" t="s">
        <v>281</v>
      </c>
      <c r="C652" s="176" t="s">
        <v>13</v>
      </c>
      <c r="D652" s="178">
        <f t="shared" si="72"/>
        <v>150</v>
      </c>
      <c r="E652" s="178">
        <v>150</v>
      </c>
      <c r="F652" s="178" t="s">
        <v>1159</v>
      </c>
      <c r="G652" s="178" t="s">
        <v>1159</v>
      </c>
      <c r="H652" s="178"/>
      <c r="I652" s="168" t="s">
        <v>1160</v>
      </c>
    </row>
    <row r="653" spans="1:9" x14ac:dyDescent="0.25">
      <c r="A653" s="175">
        <f t="shared" si="75"/>
        <v>1</v>
      </c>
      <c r="B653" s="175" t="s">
        <v>2010</v>
      </c>
      <c r="C653" s="176" t="s">
        <v>131</v>
      </c>
      <c r="D653" s="178">
        <f t="shared" si="72"/>
        <v>19.333333333333332</v>
      </c>
      <c r="E653" s="178">
        <f>58/3</f>
        <v>19.333333333333332</v>
      </c>
      <c r="F653" s="178" t="s">
        <v>1159</v>
      </c>
      <c r="G653" s="178" t="s">
        <v>1159</v>
      </c>
      <c r="H653" s="178"/>
      <c r="I653" s="168" t="s">
        <v>1160</v>
      </c>
    </row>
    <row r="654" spans="1:9" x14ac:dyDescent="0.25">
      <c r="A654" s="175">
        <f t="shared" si="75"/>
        <v>1</v>
      </c>
      <c r="B654" s="175" t="s">
        <v>2009</v>
      </c>
      <c r="C654" s="176" t="s">
        <v>131</v>
      </c>
      <c r="D654" s="178">
        <f>E654*$D$1</f>
        <v>38.666666666666664</v>
      </c>
      <c r="E654" s="178">
        <f>58*2/3</f>
        <v>38.666666666666664</v>
      </c>
      <c r="F654" s="178" t="s">
        <v>1159</v>
      </c>
      <c r="G654" s="178" t="s">
        <v>1159</v>
      </c>
      <c r="H654" s="178"/>
      <c r="I654" s="168" t="s">
        <v>1160</v>
      </c>
    </row>
    <row r="655" spans="1:9" x14ac:dyDescent="0.25">
      <c r="A655" s="175">
        <f t="shared" si="75"/>
        <v>1</v>
      </c>
      <c r="B655" s="175" t="s">
        <v>920</v>
      </c>
      <c r="C655" s="176" t="s">
        <v>131</v>
      </c>
      <c r="D655" s="178">
        <f t="shared" si="72"/>
        <v>58</v>
      </c>
      <c r="E655" s="178">
        <v>58</v>
      </c>
      <c r="F655" s="178" t="s">
        <v>1159</v>
      </c>
      <c r="G655" s="178" t="s">
        <v>1159</v>
      </c>
      <c r="H655" s="178"/>
      <c r="I655" s="168" t="s">
        <v>1160</v>
      </c>
    </row>
    <row r="656" spans="1:9" x14ac:dyDescent="0.25">
      <c r="A656" s="175">
        <f t="shared" si="75"/>
        <v>1</v>
      </c>
      <c r="B656" s="175" t="s">
        <v>280</v>
      </c>
      <c r="C656" s="176" t="s">
        <v>131</v>
      </c>
      <c r="D656" s="178">
        <f t="shared" si="72"/>
        <v>150</v>
      </c>
      <c r="E656" s="178">
        <v>150</v>
      </c>
      <c r="F656" s="178" t="s">
        <v>1159</v>
      </c>
      <c r="G656" s="178" t="s">
        <v>1159</v>
      </c>
      <c r="H656" s="178"/>
      <c r="I656" s="168" t="s">
        <v>1160</v>
      </c>
    </row>
    <row r="657" spans="1:9" x14ac:dyDescent="0.25">
      <c r="A657" s="175">
        <f t="shared" si="75"/>
        <v>1</v>
      </c>
      <c r="B657" s="175" t="s">
        <v>921</v>
      </c>
      <c r="C657" s="176" t="s">
        <v>1</v>
      </c>
      <c r="D657" s="178">
        <f t="shared" si="72"/>
        <v>175</v>
      </c>
      <c r="E657" s="178">
        <v>175</v>
      </c>
      <c r="F657" s="178" t="s">
        <v>1159</v>
      </c>
      <c r="G657" s="178" t="s">
        <v>1159</v>
      </c>
      <c r="H657" s="178"/>
      <c r="I657" s="168" t="s">
        <v>1160</v>
      </c>
    </row>
    <row r="658" spans="1:9" x14ac:dyDescent="0.25">
      <c r="A658" s="175">
        <f t="shared" si="75"/>
        <v>1</v>
      </c>
      <c r="B658" s="175" t="s">
        <v>75</v>
      </c>
      <c r="C658" s="176" t="s">
        <v>131</v>
      </c>
      <c r="D658" s="178">
        <f t="shared" ref="D658:D732" si="78">E658*$D$1</f>
        <v>58</v>
      </c>
      <c r="E658" s="178">
        <v>58</v>
      </c>
      <c r="F658" s="178" t="s">
        <v>1159</v>
      </c>
      <c r="G658" s="178" t="s">
        <v>1159</v>
      </c>
      <c r="H658" s="178"/>
      <c r="I658" s="168" t="s">
        <v>1160</v>
      </c>
    </row>
    <row r="659" spans="1:9" x14ac:dyDescent="0.25">
      <c r="A659" s="175">
        <f t="shared" si="75"/>
        <v>1</v>
      </c>
      <c r="B659" s="175" t="s">
        <v>168</v>
      </c>
      <c r="C659" s="176" t="s">
        <v>13</v>
      </c>
      <c r="D659" s="178">
        <f t="shared" si="78"/>
        <v>48</v>
      </c>
      <c r="E659" s="178">
        <v>48</v>
      </c>
      <c r="F659" s="178" t="s">
        <v>1159</v>
      </c>
      <c r="G659" s="178" t="s">
        <v>1159</v>
      </c>
      <c r="H659" s="178"/>
      <c r="I659" s="168" t="s">
        <v>1160</v>
      </c>
    </row>
    <row r="660" spans="1:9" x14ac:dyDescent="0.25">
      <c r="A660" s="175">
        <f t="shared" si="75"/>
        <v>1</v>
      </c>
      <c r="B660" s="175" t="s">
        <v>617</v>
      </c>
      <c r="C660" s="176" t="s">
        <v>131</v>
      </c>
      <c r="D660" s="178">
        <f t="shared" si="78"/>
        <v>48</v>
      </c>
      <c r="E660" s="178">
        <v>48</v>
      </c>
      <c r="F660" s="178" t="s">
        <v>1159</v>
      </c>
      <c r="G660" s="178" t="s">
        <v>1159</v>
      </c>
      <c r="H660" s="178"/>
      <c r="I660" s="168" t="s">
        <v>1160</v>
      </c>
    </row>
    <row r="661" spans="1:9" x14ac:dyDescent="0.25">
      <c r="A661" s="175">
        <f t="shared" si="75"/>
        <v>1</v>
      </c>
      <c r="B661" s="175" t="s">
        <v>618</v>
      </c>
      <c r="C661" s="176" t="s">
        <v>131</v>
      </c>
      <c r="D661" s="178">
        <f t="shared" si="78"/>
        <v>48</v>
      </c>
      <c r="E661" s="178">
        <v>48</v>
      </c>
      <c r="F661" s="178" t="s">
        <v>1159</v>
      </c>
      <c r="G661" s="178" t="s">
        <v>1159</v>
      </c>
      <c r="H661" s="178"/>
      <c r="I661" s="168" t="s">
        <v>1160</v>
      </c>
    </row>
    <row r="662" spans="1:9" x14ac:dyDescent="0.25">
      <c r="A662" s="175">
        <f t="shared" si="75"/>
        <v>1</v>
      </c>
      <c r="B662" s="175" t="s">
        <v>213</v>
      </c>
      <c r="C662" s="176" t="s">
        <v>131</v>
      </c>
      <c r="D662" s="178">
        <f t="shared" si="78"/>
        <v>50</v>
      </c>
      <c r="E662" s="178">
        <v>50</v>
      </c>
      <c r="F662" s="178" t="s">
        <v>1159</v>
      </c>
      <c r="G662" s="178" t="s">
        <v>1159</v>
      </c>
      <c r="H662" s="178"/>
      <c r="I662" s="168" t="s">
        <v>1160</v>
      </c>
    </row>
    <row r="663" spans="1:9" x14ac:dyDescent="0.25">
      <c r="A663" s="175">
        <f t="shared" si="75"/>
        <v>1</v>
      </c>
      <c r="B663" s="175" t="s">
        <v>214</v>
      </c>
      <c r="C663" s="176" t="s">
        <v>131</v>
      </c>
      <c r="D663" s="178">
        <f t="shared" si="78"/>
        <v>48</v>
      </c>
      <c r="E663" s="178">
        <v>48</v>
      </c>
      <c r="F663" s="178" t="s">
        <v>1159</v>
      </c>
      <c r="G663" s="178" t="s">
        <v>1159</v>
      </c>
      <c r="H663" s="178"/>
      <c r="I663" s="168" t="s">
        <v>1160</v>
      </c>
    </row>
    <row r="664" spans="1:9" x14ac:dyDescent="0.25">
      <c r="A664" s="175">
        <f t="shared" si="75"/>
        <v>1</v>
      </c>
      <c r="B664" s="175" t="s">
        <v>231</v>
      </c>
      <c r="C664" s="176" t="s">
        <v>131</v>
      </c>
      <c r="D664" s="178">
        <f t="shared" si="78"/>
        <v>65</v>
      </c>
      <c r="E664" s="178">
        <v>65</v>
      </c>
      <c r="F664" s="178" t="s">
        <v>1159</v>
      </c>
      <c r="G664" s="178" t="s">
        <v>1159</v>
      </c>
      <c r="H664" s="178"/>
      <c r="I664" s="168" t="s">
        <v>1160</v>
      </c>
    </row>
    <row r="665" spans="1:9" x14ac:dyDescent="0.25">
      <c r="A665" s="175">
        <f t="shared" si="75"/>
        <v>1</v>
      </c>
      <c r="B665" s="175" t="s">
        <v>232</v>
      </c>
      <c r="C665" s="176" t="s">
        <v>131</v>
      </c>
      <c r="D665" s="178">
        <f t="shared" si="78"/>
        <v>55</v>
      </c>
      <c r="E665" s="178">
        <v>55</v>
      </c>
      <c r="F665" s="178" t="s">
        <v>1159</v>
      </c>
      <c r="G665" s="178" t="s">
        <v>1159</v>
      </c>
      <c r="H665" s="178"/>
      <c r="I665" s="168" t="s">
        <v>1160</v>
      </c>
    </row>
    <row r="666" spans="1:9" x14ac:dyDescent="0.25">
      <c r="A666" s="175">
        <f t="shared" si="75"/>
        <v>1</v>
      </c>
      <c r="B666" s="175" t="s">
        <v>177</v>
      </c>
      <c r="C666" s="176" t="s">
        <v>131</v>
      </c>
      <c r="D666" s="178">
        <f t="shared" si="78"/>
        <v>75</v>
      </c>
      <c r="E666" s="178">
        <v>75</v>
      </c>
      <c r="F666" s="178" t="s">
        <v>1159</v>
      </c>
      <c r="G666" s="178" t="s">
        <v>1159</v>
      </c>
      <c r="H666" s="178"/>
      <c r="I666" s="168" t="s">
        <v>1160</v>
      </c>
    </row>
    <row r="667" spans="1:9" x14ac:dyDescent="0.25">
      <c r="A667" s="175">
        <f t="shared" si="75"/>
        <v>1</v>
      </c>
      <c r="B667" s="175" t="s">
        <v>1770</v>
      </c>
      <c r="C667" s="176" t="s">
        <v>131</v>
      </c>
      <c r="D667" s="178">
        <f>E667*$D$1</f>
        <v>50</v>
      </c>
      <c r="E667" s="178">
        <v>50</v>
      </c>
      <c r="F667" s="178" t="s">
        <v>1159</v>
      </c>
      <c r="G667" s="178" t="s">
        <v>1159</v>
      </c>
      <c r="H667" s="178"/>
      <c r="I667" s="168" t="s">
        <v>1160</v>
      </c>
    </row>
    <row r="668" spans="1:9" x14ac:dyDescent="0.25">
      <c r="A668" s="175">
        <f t="shared" si="75"/>
        <v>1</v>
      </c>
      <c r="B668" s="175" t="s">
        <v>1769</v>
      </c>
      <c r="C668" s="176" t="s">
        <v>131</v>
      </c>
      <c r="D668" s="178">
        <f>E668*$D$1</f>
        <v>60</v>
      </c>
      <c r="E668" s="178">
        <v>60</v>
      </c>
      <c r="F668" s="178" t="s">
        <v>1159</v>
      </c>
      <c r="G668" s="178" t="s">
        <v>1159</v>
      </c>
      <c r="H668" s="178"/>
      <c r="I668" s="168" t="s">
        <v>1160</v>
      </c>
    </row>
    <row r="669" spans="1:9" x14ac:dyDescent="0.25">
      <c r="A669" s="175">
        <f t="shared" si="75"/>
        <v>1</v>
      </c>
      <c r="B669" s="175" t="s">
        <v>178</v>
      </c>
      <c r="C669" s="176" t="s">
        <v>131</v>
      </c>
      <c r="D669" s="178">
        <f t="shared" si="78"/>
        <v>50</v>
      </c>
      <c r="E669" s="178">
        <v>50</v>
      </c>
      <c r="F669" s="178" t="s">
        <v>1159</v>
      </c>
      <c r="G669" s="178" t="s">
        <v>1159</v>
      </c>
      <c r="H669" s="178"/>
      <c r="I669" s="168" t="s">
        <v>1160</v>
      </c>
    </row>
    <row r="670" spans="1:9" x14ac:dyDescent="0.25">
      <c r="A670" s="175">
        <f t="shared" si="75"/>
        <v>1</v>
      </c>
      <c r="B670" s="175" t="s">
        <v>64</v>
      </c>
      <c r="C670" s="176" t="s">
        <v>131</v>
      </c>
      <c r="D670" s="178">
        <f t="shared" si="78"/>
        <v>300</v>
      </c>
      <c r="E670" s="178">
        <v>300</v>
      </c>
      <c r="F670" s="178" t="s">
        <v>1159</v>
      </c>
      <c r="G670" s="178" t="s">
        <v>1159</v>
      </c>
      <c r="H670" s="178"/>
      <c r="I670" s="168" t="s">
        <v>1160</v>
      </c>
    </row>
    <row r="671" spans="1:9" x14ac:dyDescent="0.25">
      <c r="A671" s="175">
        <f t="shared" si="75"/>
        <v>1</v>
      </c>
      <c r="B671" s="175" t="s">
        <v>839</v>
      </c>
      <c r="C671" s="176" t="s">
        <v>131</v>
      </c>
      <c r="D671" s="178">
        <f t="shared" si="78"/>
        <v>45</v>
      </c>
      <c r="E671" s="178">
        <v>45</v>
      </c>
      <c r="F671" s="178" t="s">
        <v>1159</v>
      </c>
      <c r="G671" s="178" t="s">
        <v>1159</v>
      </c>
      <c r="H671" s="178"/>
      <c r="I671" s="168" t="s">
        <v>1160</v>
      </c>
    </row>
    <row r="672" spans="1:9" x14ac:dyDescent="0.25">
      <c r="A672" s="175">
        <f t="shared" si="75"/>
        <v>1</v>
      </c>
      <c r="B672" s="175" t="s">
        <v>840</v>
      </c>
      <c r="C672" s="176" t="s">
        <v>131</v>
      </c>
      <c r="D672" s="178">
        <f t="shared" si="78"/>
        <v>45</v>
      </c>
      <c r="E672" s="178">
        <v>45</v>
      </c>
      <c r="F672" s="178" t="s">
        <v>1159</v>
      </c>
      <c r="G672" s="178" t="s">
        <v>1159</v>
      </c>
      <c r="H672" s="178"/>
      <c r="I672" s="168" t="s">
        <v>1160</v>
      </c>
    </row>
    <row r="673" spans="1:9" x14ac:dyDescent="0.25">
      <c r="A673" s="175">
        <f t="shared" si="75"/>
        <v>1</v>
      </c>
      <c r="B673" s="175" t="s">
        <v>120</v>
      </c>
      <c r="C673" s="176" t="s">
        <v>131</v>
      </c>
      <c r="D673" s="178">
        <f t="shared" si="78"/>
        <v>35</v>
      </c>
      <c r="E673" s="178">
        <v>35</v>
      </c>
      <c r="F673" s="178" t="s">
        <v>1159</v>
      </c>
      <c r="G673" s="178" t="s">
        <v>1159</v>
      </c>
      <c r="H673" s="178"/>
      <c r="I673" s="168" t="s">
        <v>1160</v>
      </c>
    </row>
    <row r="674" spans="1:9" x14ac:dyDescent="0.25">
      <c r="A674" s="175">
        <f t="shared" si="75"/>
        <v>1</v>
      </c>
      <c r="B674" s="175" t="s">
        <v>74</v>
      </c>
      <c r="C674" s="176" t="s">
        <v>131</v>
      </c>
      <c r="D674" s="178">
        <f t="shared" si="78"/>
        <v>58</v>
      </c>
      <c r="E674" s="178">
        <v>58</v>
      </c>
      <c r="F674" s="178" t="s">
        <v>1159</v>
      </c>
      <c r="G674" s="178" t="s">
        <v>1159</v>
      </c>
      <c r="H674" s="178"/>
      <c r="I674" s="168" t="s">
        <v>1160</v>
      </c>
    </row>
    <row r="675" spans="1:9" x14ac:dyDescent="0.25">
      <c r="A675" s="175">
        <f t="shared" si="75"/>
        <v>1</v>
      </c>
      <c r="B675" s="175" t="s">
        <v>2015</v>
      </c>
      <c r="C675" s="176" t="s">
        <v>13</v>
      </c>
      <c r="D675" s="178">
        <f>E675*$D$1</f>
        <v>6</v>
      </c>
      <c r="E675" s="178">
        <v>6</v>
      </c>
      <c r="F675" s="178" t="s">
        <v>1159</v>
      </c>
      <c r="G675" s="178" t="s">
        <v>1159</v>
      </c>
      <c r="H675" s="178"/>
      <c r="I675" s="168" t="s">
        <v>1160</v>
      </c>
    </row>
    <row r="676" spans="1:9" x14ac:dyDescent="0.25">
      <c r="A676" s="175">
        <f t="shared" si="75"/>
        <v>1</v>
      </c>
      <c r="B676" s="175" t="s">
        <v>119</v>
      </c>
      <c r="C676" s="176" t="s">
        <v>13</v>
      </c>
      <c r="D676" s="178">
        <f t="shared" si="78"/>
        <v>20</v>
      </c>
      <c r="E676" s="178">
        <v>20</v>
      </c>
      <c r="F676" s="178" t="s">
        <v>1159</v>
      </c>
      <c r="G676" s="178" t="s">
        <v>1159</v>
      </c>
      <c r="H676" s="178"/>
      <c r="I676" s="168" t="s">
        <v>1160</v>
      </c>
    </row>
    <row r="677" spans="1:9" x14ac:dyDescent="0.25">
      <c r="A677" s="175">
        <f t="shared" si="75"/>
        <v>1</v>
      </c>
      <c r="B677" s="175" t="s">
        <v>1060</v>
      </c>
      <c r="C677" s="176" t="s">
        <v>13</v>
      </c>
      <c r="D677" s="178">
        <f t="shared" si="78"/>
        <v>20</v>
      </c>
      <c r="E677" s="178">
        <v>20</v>
      </c>
      <c r="F677" s="178" t="s">
        <v>1159</v>
      </c>
      <c r="G677" s="178" t="s">
        <v>1159</v>
      </c>
      <c r="H677" s="178"/>
      <c r="I677" s="168" t="s">
        <v>1160</v>
      </c>
    </row>
    <row r="678" spans="1:9" x14ac:dyDescent="0.25">
      <c r="A678" s="175">
        <f t="shared" si="75"/>
        <v>1</v>
      </c>
      <c r="B678" s="175" t="s">
        <v>1061</v>
      </c>
      <c r="C678" s="176" t="s">
        <v>25</v>
      </c>
      <c r="D678" s="178">
        <f t="shared" si="78"/>
        <v>5</v>
      </c>
      <c r="E678" s="178">
        <v>5</v>
      </c>
      <c r="F678" s="178" t="s">
        <v>1159</v>
      </c>
      <c r="G678" s="178" t="s">
        <v>1159</v>
      </c>
      <c r="H678" s="178"/>
      <c r="I678" s="168" t="s">
        <v>1160</v>
      </c>
    </row>
    <row r="679" spans="1:9" x14ac:dyDescent="0.25">
      <c r="A679" s="175">
        <f t="shared" ref="A679:A744" si="79">COUNTIFS($B$2:$B$764,B679)</f>
        <v>1</v>
      </c>
      <c r="B679" s="175" t="s">
        <v>149</v>
      </c>
      <c r="C679" s="176" t="s">
        <v>131</v>
      </c>
      <c r="D679" s="178">
        <f t="shared" si="78"/>
        <v>75</v>
      </c>
      <c r="E679" s="178">
        <v>75</v>
      </c>
      <c r="F679" s="178" t="s">
        <v>1159</v>
      </c>
      <c r="G679" s="178" t="s">
        <v>1159</v>
      </c>
      <c r="H679" s="178"/>
      <c r="I679" s="168" t="s">
        <v>1160</v>
      </c>
    </row>
    <row r="680" spans="1:9" x14ac:dyDescent="0.25">
      <c r="A680" s="175">
        <f t="shared" si="79"/>
        <v>1</v>
      </c>
      <c r="B680" s="175" t="s">
        <v>122</v>
      </c>
      <c r="C680" s="176" t="s">
        <v>131</v>
      </c>
      <c r="D680" s="178">
        <f t="shared" si="78"/>
        <v>50</v>
      </c>
      <c r="E680" s="178">
        <v>50</v>
      </c>
      <c r="F680" s="178" t="s">
        <v>1159</v>
      </c>
      <c r="G680" s="178" t="s">
        <v>1159</v>
      </c>
      <c r="H680" s="178"/>
      <c r="I680" s="168" t="s">
        <v>1160</v>
      </c>
    </row>
    <row r="681" spans="1:9" x14ac:dyDescent="0.25">
      <c r="A681" s="175">
        <f t="shared" si="79"/>
        <v>1</v>
      </c>
      <c r="B681" s="175" t="s">
        <v>116</v>
      </c>
      <c r="C681" s="176" t="s">
        <v>1</v>
      </c>
      <c r="D681" s="178">
        <f t="shared" si="78"/>
        <v>240</v>
      </c>
      <c r="E681" s="178">
        <v>240</v>
      </c>
      <c r="F681" s="178" t="s">
        <v>1159</v>
      </c>
      <c r="G681" s="178" t="s">
        <v>1159</v>
      </c>
      <c r="H681" s="178"/>
      <c r="I681" s="168" t="s">
        <v>1160</v>
      </c>
    </row>
    <row r="682" spans="1:9" x14ac:dyDescent="0.25">
      <c r="A682" s="175">
        <f t="shared" si="79"/>
        <v>1</v>
      </c>
      <c r="B682" s="175" t="s">
        <v>180</v>
      </c>
      <c r="C682" s="176" t="s">
        <v>1</v>
      </c>
      <c r="D682" s="178">
        <f t="shared" si="78"/>
        <v>25</v>
      </c>
      <c r="E682" s="178">
        <v>25</v>
      </c>
      <c r="F682" s="178" t="s">
        <v>1159</v>
      </c>
      <c r="G682" s="178" t="s">
        <v>1159</v>
      </c>
      <c r="H682" s="178"/>
      <c r="I682" s="168" t="s">
        <v>1160</v>
      </c>
    </row>
    <row r="683" spans="1:9" x14ac:dyDescent="0.25">
      <c r="A683" s="175">
        <f t="shared" si="79"/>
        <v>1</v>
      </c>
      <c r="B683" s="175" t="s">
        <v>413</v>
      </c>
      <c r="C683" s="176" t="s">
        <v>390</v>
      </c>
      <c r="D683" s="178">
        <f t="shared" si="78"/>
        <v>45.45</v>
      </c>
      <c r="E683" s="178">
        <v>45.45</v>
      </c>
      <c r="F683" s="178" t="s">
        <v>1159</v>
      </c>
      <c r="G683" s="178" t="s">
        <v>1159</v>
      </c>
      <c r="H683" s="178"/>
      <c r="I683" s="168" t="s">
        <v>1160</v>
      </c>
    </row>
    <row r="684" spans="1:9" x14ac:dyDescent="0.25">
      <c r="A684" s="175">
        <f t="shared" si="79"/>
        <v>1</v>
      </c>
      <c r="B684" s="175" t="s">
        <v>412</v>
      </c>
      <c r="C684" s="176" t="s">
        <v>390</v>
      </c>
      <c r="D684" s="178">
        <f t="shared" si="78"/>
        <v>45.45</v>
      </c>
      <c r="E684" s="178">
        <v>45.45</v>
      </c>
      <c r="F684" s="178" t="s">
        <v>1159</v>
      </c>
      <c r="G684" s="178" t="s">
        <v>1159</v>
      </c>
      <c r="H684" s="178"/>
      <c r="I684" s="168" t="s">
        <v>1160</v>
      </c>
    </row>
    <row r="685" spans="1:9" x14ac:dyDescent="0.25">
      <c r="A685" s="175">
        <f t="shared" si="79"/>
        <v>1</v>
      </c>
      <c r="B685" s="175" t="s">
        <v>199</v>
      </c>
      <c r="C685" s="176" t="s">
        <v>390</v>
      </c>
      <c r="D685" s="178">
        <f t="shared" si="78"/>
        <v>68.180000000000007</v>
      </c>
      <c r="E685" s="178">
        <v>68.180000000000007</v>
      </c>
      <c r="F685" s="178" t="s">
        <v>1159</v>
      </c>
      <c r="G685" s="178" t="s">
        <v>1159</v>
      </c>
      <c r="H685" s="178"/>
      <c r="I685" s="168" t="s">
        <v>1160</v>
      </c>
    </row>
    <row r="686" spans="1:9" x14ac:dyDescent="0.25">
      <c r="A686" s="175">
        <f t="shared" si="79"/>
        <v>1</v>
      </c>
      <c r="B686" s="175" t="s">
        <v>393</v>
      </c>
      <c r="C686" s="176" t="s">
        <v>390</v>
      </c>
      <c r="D686" s="178">
        <f t="shared" si="78"/>
        <v>14.55</v>
      </c>
      <c r="E686" s="178">
        <v>14.55</v>
      </c>
      <c r="F686" s="178" t="s">
        <v>1159</v>
      </c>
      <c r="G686" s="178" t="s">
        <v>1159</v>
      </c>
      <c r="H686" s="178"/>
      <c r="I686" s="168" t="s">
        <v>1160</v>
      </c>
    </row>
    <row r="687" spans="1:9" x14ac:dyDescent="0.25">
      <c r="A687" s="175">
        <f t="shared" ref="A687" si="80">COUNTIFS($B$2:$B$764,B687)</f>
        <v>1</v>
      </c>
      <c r="B687" s="175" t="s">
        <v>595</v>
      </c>
      <c r="C687" s="176" t="s">
        <v>13</v>
      </c>
      <c r="D687" s="178">
        <f t="shared" ref="D687" si="81">E687*$D$1</f>
        <v>70</v>
      </c>
      <c r="E687" s="178">
        <v>70</v>
      </c>
      <c r="F687" s="178" t="s">
        <v>1159</v>
      </c>
      <c r="G687" s="178" t="s">
        <v>1159</v>
      </c>
      <c r="H687" s="178"/>
      <c r="I687" s="168" t="s">
        <v>1160</v>
      </c>
    </row>
    <row r="688" spans="1:9" x14ac:dyDescent="0.25">
      <c r="A688" s="175">
        <f t="shared" si="79"/>
        <v>1</v>
      </c>
      <c r="B688" s="175" t="s">
        <v>6933</v>
      </c>
      <c r="C688" s="176" t="s">
        <v>13</v>
      </c>
      <c r="D688" s="178">
        <f t="shared" si="78"/>
        <v>70</v>
      </c>
      <c r="E688" s="178">
        <v>70</v>
      </c>
      <c r="F688" s="178" t="s">
        <v>1159</v>
      </c>
      <c r="G688" s="178" t="s">
        <v>1159</v>
      </c>
      <c r="H688" s="178"/>
      <c r="I688" s="168" t="s">
        <v>1160</v>
      </c>
    </row>
    <row r="689" spans="1:9" x14ac:dyDescent="0.25">
      <c r="A689" s="175">
        <f t="shared" si="79"/>
        <v>1</v>
      </c>
      <c r="B689" s="175" t="s">
        <v>447</v>
      </c>
      <c r="C689" s="176" t="s">
        <v>131</v>
      </c>
      <c r="D689" s="178">
        <f t="shared" si="78"/>
        <v>300</v>
      </c>
      <c r="E689" s="178">
        <v>300</v>
      </c>
      <c r="F689" s="178" t="s">
        <v>1159</v>
      </c>
      <c r="G689" s="178" t="s">
        <v>1159</v>
      </c>
      <c r="H689" s="178"/>
      <c r="I689" s="168" t="s">
        <v>1160</v>
      </c>
    </row>
    <row r="690" spans="1:9" x14ac:dyDescent="0.25">
      <c r="A690" s="175">
        <f t="shared" si="79"/>
        <v>1</v>
      </c>
      <c r="B690" s="175" t="s">
        <v>395</v>
      </c>
      <c r="C690" s="176" t="s">
        <v>390</v>
      </c>
      <c r="D690" s="178">
        <f t="shared" si="78"/>
        <v>40</v>
      </c>
      <c r="E690" s="178">
        <v>40</v>
      </c>
      <c r="F690" s="178" t="s">
        <v>1159</v>
      </c>
      <c r="G690" s="178" t="s">
        <v>1159</v>
      </c>
      <c r="H690" s="178"/>
      <c r="I690" s="168" t="s">
        <v>1160</v>
      </c>
    </row>
    <row r="691" spans="1:9" x14ac:dyDescent="0.25">
      <c r="A691" s="175">
        <f t="shared" si="79"/>
        <v>1</v>
      </c>
      <c r="B691" s="175" t="s">
        <v>508</v>
      </c>
      <c r="C691" s="176" t="s">
        <v>13</v>
      </c>
      <c r="D691" s="178">
        <f t="shared" si="78"/>
        <v>30</v>
      </c>
      <c r="E691" s="178">
        <v>30</v>
      </c>
      <c r="F691" s="178" t="s">
        <v>1159</v>
      </c>
      <c r="G691" s="178" t="s">
        <v>1159</v>
      </c>
      <c r="H691" s="178"/>
      <c r="I691" s="168" t="s">
        <v>1160</v>
      </c>
    </row>
    <row r="692" spans="1:9" x14ac:dyDescent="0.25">
      <c r="A692" s="175">
        <f t="shared" si="79"/>
        <v>1</v>
      </c>
      <c r="B692" s="175" t="s">
        <v>343</v>
      </c>
      <c r="C692" s="176" t="s">
        <v>13</v>
      </c>
      <c r="D692" s="178">
        <f t="shared" si="78"/>
        <v>10.5</v>
      </c>
      <c r="E692" s="178">
        <v>10.5</v>
      </c>
      <c r="F692" s="178" t="s">
        <v>1159</v>
      </c>
      <c r="G692" s="178" t="s">
        <v>1159</v>
      </c>
      <c r="H692" s="178"/>
      <c r="I692" s="168" t="s">
        <v>1160</v>
      </c>
    </row>
    <row r="693" spans="1:9" x14ac:dyDescent="0.25">
      <c r="A693" s="175">
        <f t="shared" si="79"/>
        <v>1</v>
      </c>
      <c r="B693" s="175" t="s">
        <v>2353</v>
      </c>
      <c r="C693" s="176" t="s">
        <v>2354</v>
      </c>
      <c r="D693" s="178">
        <f t="shared" si="78"/>
        <v>36</v>
      </c>
      <c r="E693" s="178">
        <f>15*2.4</f>
        <v>36</v>
      </c>
      <c r="F693" s="178" t="s">
        <v>1159</v>
      </c>
      <c r="G693" s="178" t="s">
        <v>1159</v>
      </c>
      <c r="H693" s="178"/>
      <c r="I693" s="168" t="s">
        <v>1160</v>
      </c>
    </row>
    <row r="694" spans="1:9" x14ac:dyDescent="0.25">
      <c r="A694" s="175">
        <f t="shared" si="79"/>
        <v>1</v>
      </c>
      <c r="B694" s="175" t="s">
        <v>2405</v>
      </c>
      <c r="C694" s="176" t="s">
        <v>2354</v>
      </c>
      <c r="D694" s="178">
        <f>E694*$D$1</f>
        <v>72</v>
      </c>
      <c r="E694" s="178">
        <f>30*2.4</f>
        <v>72</v>
      </c>
      <c r="F694" s="178" t="s">
        <v>1159</v>
      </c>
      <c r="G694" s="178" t="s">
        <v>1159</v>
      </c>
      <c r="H694" s="178"/>
      <c r="I694" s="168" t="s">
        <v>1160</v>
      </c>
    </row>
    <row r="695" spans="1:9" x14ac:dyDescent="0.25">
      <c r="A695" s="175">
        <f t="shared" si="79"/>
        <v>1</v>
      </c>
      <c r="B695" s="175" t="s">
        <v>844</v>
      </c>
      <c r="C695" s="176" t="s">
        <v>13</v>
      </c>
      <c r="D695" s="178">
        <f t="shared" si="78"/>
        <v>15</v>
      </c>
      <c r="E695" s="178">
        <v>15</v>
      </c>
      <c r="F695" s="178" t="s">
        <v>1159</v>
      </c>
      <c r="G695" s="178" t="s">
        <v>1159</v>
      </c>
      <c r="H695" s="178"/>
      <c r="I695" s="168" t="s">
        <v>1160</v>
      </c>
    </row>
    <row r="696" spans="1:9" x14ac:dyDescent="0.25">
      <c r="A696" s="175">
        <f t="shared" si="79"/>
        <v>1</v>
      </c>
      <c r="B696" s="175" t="s">
        <v>843</v>
      </c>
      <c r="C696" s="176" t="s">
        <v>13</v>
      </c>
      <c r="D696" s="178">
        <f t="shared" si="78"/>
        <v>30</v>
      </c>
      <c r="E696" s="178">
        <v>30</v>
      </c>
      <c r="F696" s="178" t="s">
        <v>1159</v>
      </c>
      <c r="G696" s="178" t="s">
        <v>1159</v>
      </c>
      <c r="H696" s="178"/>
      <c r="I696" s="168" t="s">
        <v>1160</v>
      </c>
    </row>
    <row r="697" spans="1:9" x14ac:dyDescent="0.25">
      <c r="A697" s="175">
        <f t="shared" si="79"/>
        <v>1</v>
      </c>
      <c r="B697" s="175" t="s">
        <v>352</v>
      </c>
      <c r="C697" s="176" t="s">
        <v>13</v>
      </c>
      <c r="D697" s="178">
        <f t="shared" si="78"/>
        <v>50</v>
      </c>
      <c r="E697" s="178">
        <v>50</v>
      </c>
      <c r="F697" s="178" t="s">
        <v>1159</v>
      </c>
      <c r="G697" s="178" t="s">
        <v>1159</v>
      </c>
      <c r="H697" s="178"/>
      <c r="I697" s="168" t="s">
        <v>1160</v>
      </c>
    </row>
    <row r="698" spans="1:9" x14ac:dyDescent="0.25">
      <c r="A698" s="175">
        <f t="shared" si="79"/>
        <v>1</v>
      </c>
      <c r="B698" s="175" t="s">
        <v>1054</v>
      </c>
      <c r="C698" s="176" t="s">
        <v>13</v>
      </c>
      <c r="D698" s="178">
        <f t="shared" si="78"/>
        <v>50</v>
      </c>
      <c r="E698" s="178">
        <v>50</v>
      </c>
      <c r="F698" s="178" t="s">
        <v>1159</v>
      </c>
      <c r="G698" s="178" t="s">
        <v>1159</v>
      </c>
      <c r="H698" s="178"/>
      <c r="I698" s="168" t="s">
        <v>1160</v>
      </c>
    </row>
    <row r="699" spans="1:9" x14ac:dyDescent="0.25">
      <c r="A699" s="175">
        <f t="shared" si="79"/>
        <v>1</v>
      </c>
      <c r="B699" s="175" t="s">
        <v>186</v>
      </c>
      <c r="C699" s="176" t="s">
        <v>2</v>
      </c>
      <c r="D699" s="178">
        <f t="shared" si="78"/>
        <v>300</v>
      </c>
      <c r="E699" s="178">
        <v>300</v>
      </c>
      <c r="F699" s="178" t="s">
        <v>1159</v>
      </c>
      <c r="G699" s="178" t="s">
        <v>1159</v>
      </c>
      <c r="H699" s="178"/>
      <c r="I699" s="168" t="s">
        <v>1160</v>
      </c>
    </row>
    <row r="700" spans="1:9" x14ac:dyDescent="0.25">
      <c r="A700" s="175">
        <f t="shared" si="79"/>
        <v>1</v>
      </c>
      <c r="B700" s="175" t="s">
        <v>914</v>
      </c>
      <c r="C700" s="176" t="s">
        <v>1117</v>
      </c>
      <c r="D700" s="178">
        <f t="shared" si="78"/>
        <v>34.719444444444441</v>
      </c>
      <c r="E700" s="178">
        <v>34.719444444444441</v>
      </c>
      <c r="F700" s="178" t="s">
        <v>1163</v>
      </c>
      <c r="G700" s="178" t="s">
        <v>1163</v>
      </c>
      <c r="H700" s="178"/>
      <c r="I700" s="168" t="s">
        <v>1163</v>
      </c>
    </row>
    <row r="701" spans="1:9" x14ac:dyDescent="0.25">
      <c r="A701" s="175">
        <f t="shared" si="79"/>
        <v>1</v>
      </c>
      <c r="B701" s="175" t="s">
        <v>916</v>
      </c>
      <c r="C701" s="176" t="s">
        <v>1117</v>
      </c>
      <c r="D701" s="178">
        <f t="shared" si="78"/>
        <v>49.972222222222221</v>
      </c>
      <c r="E701" s="178">
        <v>49.972222222222221</v>
      </c>
      <c r="F701" s="178" t="s">
        <v>1163</v>
      </c>
      <c r="G701" s="178" t="s">
        <v>1163</v>
      </c>
      <c r="H701" s="178"/>
      <c r="I701" s="168" t="s">
        <v>1163</v>
      </c>
    </row>
    <row r="702" spans="1:9" x14ac:dyDescent="0.25">
      <c r="A702" s="175">
        <f t="shared" si="79"/>
        <v>1</v>
      </c>
      <c r="B702" s="175" t="s">
        <v>1199</v>
      </c>
      <c r="C702" s="176" t="s">
        <v>1117</v>
      </c>
      <c r="D702" s="178">
        <f t="shared" si="78"/>
        <v>6.47</v>
      </c>
      <c r="E702" s="178">
        <v>6.47</v>
      </c>
      <c r="F702" s="178" t="s">
        <v>1163</v>
      </c>
      <c r="G702" s="178" t="s">
        <v>1163</v>
      </c>
      <c r="H702" s="178"/>
      <c r="I702" s="168" t="s">
        <v>1163</v>
      </c>
    </row>
    <row r="703" spans="1:9" x14ac:dyDescent="0.25">
      <c r="A703" s="175">
        <f t="shared" si="79"/>
        <v>1</v>
      </c>
      <c r="B703" s="175" t="s">
        <v>1200</v>
      </c>
      <c r="C703" s="176" t="s">
        <v>428</v>
      </c>
      <c r="D703" s="178">
        <f t="shared" si="78"/>
        <v>12.78</v>
      </c>
      <c r="E703" s="178">
        <v>12.78</v>
      </c>
      <c r="F703" s="178" t="s">
        <v>1163</v>
      </c>
      <c r="G703" s="178" t="s">
        <v>1163</v>
      </c>
      <c r="H703" s="178"/>
      <c r="I703" s="168" t="s">
        <v>1163</v>
      </c>
    </row>
    <row r="704" spans="1:9" x14ac:dyDescent="0.25">
      <c r="A704" s="175">
        <f t="shared" si="79"/>
        <v>1</v>
      </c>
      <c r="B704" s="175" t="s">
        <v>1201</v>
      </c>
      <c r="C704" s="176" t="s">
        <v>1117</v>
      </c>
      <c r="D704" s="178">
        <f t="shared" si="78"/>
        <v>43.027777777777779</v>
      </c>
      <c r="E704" s="178">
        <v>43.027777777777779</v>
      </c>
      <c r="F704" s="178" t="s">
        <v>1163</v>
      </c>
      <c r="G704" s="178" t="s">
        <v>1163</v>
      </c>
      <c r="H704" s="178"/>
      <c r="I704" s="168" t="s">
        <v>1163</v>
      </c>
    </row>
    <row r="705" spans="1:9" x14ac:dyDescent="0.25">
      <c r="A705" s="175">
        <f t="shared" si="79"/>
        <v>1</v>
      </c>
      <c r="B705" s="175" t="s">
        <v>823</v>
      </c>
      <c r="C705" s="176" t="s">
        <v>1117</v>
      </c>
      <c r="D705" s="178">
        <f t="shared" si="78"/>
        <v>21.99</v>
      </c>
      <c r="E705" s="178">
        <v>21.99</v>
      </c>
      <c r="F705" s="178" t="s">
        <v>1163</v>
      </c>
      <c r="G705" s="178" t="s">
        <v>1163</v>
      </c>
      <c r="H705" s="178"/>
      <c r="I705" s="168" t="s">
        <v>1163</v>
      </c>
    </row>
    <row r="706" spans="1:9" x14ac:dyDescent="0.25">
      <c r="A706" s="175">
        <f t="shared" si="79"/>
        <v>1</v>
      </c>
      <c r="B706" s="175" t="s">
        <v>2409</v>
      </c>
      <c r="C706" s="176" t="s">
        <v>1117</v>
      </c>
      <c r="D706" s="178">
        <f>E706*$D$1</f>
        <v>20</v>
      </c>
      <c r="E706" s="178">
        <f>360/18</f>
        <v>20</v>
      </c>
      <c r="F706" s="178" t="s">
        <v>1163</v>
      </c>
      <c r="G706" s="178" t="s">
        <v>1163</v>
      </c>
      <c r="H706" s="178"/>
      <c r="I706" s="168" t="s">
        <v>1163</v>
      </c>
    </row>
    <row r="707" spans="1:9" x14ac:dyDescent="0.25">
      <c r="A707" s="175">
        <f t="shared" si="79"/>
        <v>1</v>
      </c>
      <c r="B707" s="175" t="s">
        <v>818</v>
      </c>
      <c r="C707" s="176" t="s">
        <v>1117</v>
      </c>
      <c r="D707" s="178">
        <f t="shared" si="78"/>
        <v>50.12</v>
      </c>
      <c r="E707" s="178">
        <v>50.12</v>
      </c>
      <c r="F707" s="178" t="s">
        <v>1163</v>
      </c>
      <c r="G707" s="178" t="s">
        <v>1163</v>
      </c>
      <c r="H707" s="178"/>
      <c r="I707" s="168" t="s">
        <v>1163</v>
      </c>
    </row>
    <row r="708" spans="1:9" x14ac:dyDescent="0.25">
      <c r="A708" s="175">
        <f t="shared" si="79"/>
        <v>1</v>
      </c>
      <c r="B708" s="175" t="s">
        <v>820</v>
      </c>
      <c r="C708" s="176" t="s">
        <v>1117</v>
      </c>
      <c r="D708" s="178">
        <f t="shared" si="78"/>
        <v>137.24</v>
      </c>
      <c r="E708" s="178">
        <v>137.24</v>
      </c>
      <c r="F708" s="178" t="s">
        <v>1163</v>
      </c>
      <c r="G708" s="178" t="s">
        <v>1163</v>
      </c>
      <c r="H708" s="178"/>
      <c r="I708" s="168" t="s">
        <v>1163</v>
      </c>
    </row>
    <row r="709" spans="1:9" x14ac:dyDescent="0.25">
      <c r="A709" s="175">
        <f t="shared" si="79"/>
        <v>1</v>
      </c>
      <c r="B709" s="175" t="s">
        <v>830</v>
      </c>
      <c r="C709" s="176" t="s">
        <v>428</v>
      </c>
      <c r="D709" s="178">
        <f t="shared" si="78"/>
        <v>6.47</v>
      </c>
      <c r="E709" s="178">
        <v>6.47</v>
      </c>
      <c r="F709" s="178" t="s">
        <v>1163</v>
      </c>
      <c r="G709" s="178" t="s">
        <v>1163</v>
      </c>
      <c r="H709" s="178"/>
      <c r="I709" s="168" t="s">
        <v>1163</v>
      </c>
    </row>
    <row r="710" spans="1:9" x14ac:dyDescent="0.25">
      <c r="A710" s="175">
        <f t="shared" si="79"/>
        <v>1</v>
      </c>
      <c r="B710" s="175" t="s">
        <v>694</v>
      </c>
      <c r="C710" s="176" t="s">
        <v>131</v>
      </c>
      <c r="D710" s="178">
        <f t="shared" si="78"/>
        <v>17.329999999999998</v>
      </c>
      <c r="E710" s="178">
        <v>17.329999999999998</v>
      </c>
      <c r="F710" s="178" t="s">
        <v>1163</v>
      </c>
      <c r="G710" s="178" t="s">
        <v>1163</v>
      </c>
      <c r="H710" s="178"/>
      <c r="I710" s="168" t="s">
        <v>1163</v>
      </c>
    </row>
    <row r="711" spans="1:9" x14ac:dyDescent="0.25">
      <c r="A711" s="175">
        <f t="shared" si="79"/>
        <v>1</v>
      </c>
      <c r="B711" s="175" t="s">
        <v>832</v>
      </c>
      <c r="C711" s="176" t="s">
        <v>428</v>
      </c>
      <c r="D711" s="178">
        <f t="shared" si="78"/>
        <v>6.09</v>
      </c>
      <c r="E711" s="178">
        <v>6.09</v>
      </c>
      <c r="F711" s="178" t="s">
        <v>1163</v>
      </c>
      <c r="G711" s="178" t="s">
        <v>1163</v>
      </c>
      <c r="H711" s="178"/>
      <c r="I711" s="168" t="s">
        <v>1163</v>
      </c>
    </row>
    <row r="712" spans="1:9" x14ac:dyDescent="0.25">
      <c r="A712" s="175">
        <f t="shared" si="79"/>
        <v>1</v>
      </c>
      <c r="B712" s="175" t="s">
        <v>912</v>
      </c>
      <c r="C712" s="176" t="s">
        <v>1117</v>
      </c>
      <c r="D712" s="178">
        <f t="shared" si="78"/>
        <v>40.625</v>
      </c>
      <c r="E712" s="178">
        <v>40.625</v>
      </c>
      <c r="F712" s="178" t="s">
        <v>1163</v>
      </c>
      <c r="G712" s="178" t="s">
        <v>1163</v>
      </c>
      <c r="H712" s="178"/>
      <c r="I712" s="168" t="s">
        <v>1163</v>
      </c>
    </row>
    <row r="713" spans="1:9" x14ac:dyDescent="0.25">
      <c r="A713" s="175">
        <f t="shared" si="79"/>
        <v>1</v>
      </c>
      <c r="B713" s="175" t="s">
        <v>831</v>
      </c>
      <c r="C713" s="176" t="s">
        <v>1117</v>
      </c>
      <c r="D713" s="178">
        <f t="shared" si="78"/>
        <v>16.666666666666668</v>
      </c>
      <c r="E713" s="178">
        <v>16.666666666666668</v>
      </c>
      <c r="F713" s="178" t="s">
        <v>1163</v>
      </c>
      <c r="G713" s="178" t="s">
        <v>1163</v>
      </c>
      <c r="H713" s="178"/>
      <c r="I713" s="168" t="s">
        <v>1163</v>
      </c>
    </row>
    <row r="714" spans="1:9" x14ac:dyDescent="0.25">
      <c r="A714" s="175">
        <f t="shared" si="79"/>
        <v>1</v>
      </c>
      <c r="B714" s="175" t="s">
        <v>1220</v>
      </c>
      <c r="C714" s="176" t="s">
        <v>1117</v>
      </c>
      <c r="D714" s="178">
        <f t="shared" si="78"/>
        <v>25.26</v>
      </c>
      <c r="E714" s="178">
        <v>25.26</v>
      </c>
      <c r="F714" s="178" t="s">
        <v>1163</v>
      </c>
      <c r="G714" s="178" t="s">
        <v>1163</v>
      </c>
      <c r="H714" s="178"/>
      <c r="I714" s="168" t="s">
        <v>1163</v>
      </c>
    </row>
    <row r="715" spans="1:9" x14ac:dyDescent="0.25">
      <c r="A715" s="175">
        <f t="shared" si="79"/>
        <v>1</v>
      </c>
      <c r="B715" s="175" t="s">
        <v>1221</v>
      </c>
      <c r="C715" s="176" t="s">
        <v>1117</v>
      </c>
      <c r="D715" s="178">
        <f t="shared" si="78"/>
        <v>231.57142857142856</v>
      </c>
      <c r="E715" s="178">
        <v>231.57142857142856</v>
      </c>
      <c r="F715" s="178" t="s">
        <v>1163</v>
      </c>
      <c r="G715" s="178" t="s">
        <v>1163</v>
      </c>
      <c r="H715" s="178"/>
      <c r="I715" s="168" t="s">
        <v>1163</v>
      </c>
    </row>
    <row r="716" spans="1:9" x14ac:dyDescent="0.25">
      <c r="A716" s="175">
        <f t="shared" si="79"/>
        <v>1</v>
      </c>
      <c r="B716" s="175" t="s">
        <v>1222</v>
      </c>
      <c r="C716" s="176" t="s">
        <v>428</v>
      </c>
      <c r="D716" s="178">
        <f t="shared" si="78"/>
        <v>57.6</v>
      </c>
      <c r="E716" s="178">
        <v>57.6</v>
      </c>
      <c r="F716" s="178" t="s">
        <v>1163</v>
      </c>
      <c r="G716" s="178" t="s">
        <v>1163</v>
      </c>
      <c r="H716" s="178"/>
      <c r="I716" s="168" t="s">
        <v>1163</v>
      </c>
    </row>
    <row r="717" spans="1:9" x14ac:dyDescent="0.25">
      <c r="A717" s="175">
        <f t="shared" si="79"/>
        <v>1</v>
      </c>
      <c r="B717" s="175" t="s">
        <v>1223</v>
      </c>
      <c r="C717" s="176" t="s">
        <v>1117</v>
      </c>
      <c r="D717" s="178">
        <f t="shared" si="78"/>
        <v>36.111111111111114</v>
      </c>
      <c r="E717" s="178">
        <v>36.111111111111114</v>
      </c>
      <c r="F717" s="178" t="s">
        <v>1163</v>
      </c>
      <c r="G717" s="178" t="s">
        <v>1163</v>
      </c>
      <c r="H717" s="178"/>
      <c r="I717" s="168" t="s">
        <v>1163</v>
      </c>
    </row>
    <row r="718" spans="1:9" x14ac:dyDescent="0.25">
      <c r="A718" s="175">
        <f t="shared" si="79"/>
        <v>1</v>
      </c>
      <c r="B718" s="175" t="s">
        <v>1224</v>
      </c>
      <c r="C718" s="176" t="s">
        <v>1117</v>
      </c>
      <c r="D718" s="178">
        <f t="shared" si="78"/>
        <v>35</v>
      </c>
      <c r="E718" s="178">
        <v>35</v>
      </c>
      <c r="F718" s="178" t="s">
        <v>1163</v>
      </c>
      <c r="G718" s="178" t="s">
        <v>1163</v>
      </c>
      <c r="H718" s="178"/>
      <c r="I718" s="168" t="s">
        <v>1163</v>
      </c>
    </row>
    <row r="719" spans="1:9" x14ac:dyDescent="0.25">
      <c r="A719" s="175">
        <f t="shared" si="79"/>
        <v>1</v>
      </c>
      <c r="B719" s="175" t="s">
        <v>1225</v>
      </c>
      <c r="C719" s="176" t="s">
        <v>1117</v>
      </c>
      <c r="D719" s="178">
        <f t="shared" si="78"/>
        <v>32.233125000000001</v>
      </c>
      <c r="E719" s="178">
        <v>32.233125000000001</v>
      </c>
      <c r="F719" s="178" t="s">
        <v>1163</v>
      </c>
      <c r="G719" s="178" t="s">
        <v>1163</v>
      </c>
      <c r="H719" s="178"/>
      <c r="I719" s="168" t="s">
        <v>1163</v>
      </c>
    </row>
    <row r="720" spans="1:9" x14ac:dyDescent="0.25">
      <c r="A720" s="175">
        <f t="shared" si="79"/>
        <v>1</v>
      </c>
      <c r="B720" s="175" t="s">
        <v>1226</v>
      </c>
      <c r="C720" s="176" t="s">
        <v>1117</v>
      </c>
      <c r="D720" s="178">
        <f t="shared" si="78"/>
        <v>58.89875</v>
      </c>
      <c r="E720" s="178">
        <v>58.89875</v>
      </c>
      <c r="F720" s="178" t="s">
        <v>1163</v>
      </c>
      <c r="G720" s="178" t="s">
        <v>1163</v>
      </c>
      <c r="H720" s="178"/>
      <c r="I720" s="168" t="s">
        <v>1163</v>
      </c>
    </row>
    <row r="721" spans="1:9" x14ac:dyDescent="0.25">
      <c r="A721" s="175">
        <f t="shared" si="79"/>
        <v>1</v>
      </c>
      <c r="B721" s="175" t="s">
        <v>1227</v>
      </c>
      <c r="C721" s="176" t="s">
        <v>1117</v>
      </c>
      <c r="D721" s="178">
        <f t="shared" si="78"/>
        <v>70.478124999999991</v>
      </c>
      <c r="E721" s="178">
        <v>70.478124999999991</v>
      </c>
      <c r="F721" s="178" t="s">
        <v>1163</v>
      </c>
      <c r="G721" s="178" t="s">
        <v>1163</v>
      </c>
      <c r="H721" s="178"/>
      <c r="I721" s="168" t="s">
        <v>1163</v>
      </c>
    </row>
    <row r="722" spans="1:9" x14ac:dyDescent="0.25">
      <c r="A722" s="175">
        <f t="shared" si="79"/>
        <v>1</v>
      </c>
      <c r="B722" s="175" t="s">
        <v>1228</v>
      </c>
      <c r="C722" s="176" t="s">
        <v>1117</v>
      </c>
      <c r="D722" s="178">
        <f t="shared" si="78"/>
        <v>72.084374999999994</v>
      </c>
      <c r="E722" s="178">
        <v>72.084374999999994</v>
      </c>
      <c r="F722" s="178" t="s">
        <v>1163</v>
      </c>
      <c r="G722" s="178" t="s">
        <v>1163</v>
      </c>
      <c r="H722" s="178"/>
      <c r="I722" s="168" t="s">
        <v>1163</v>
      </c>
    </row>
    <row r="723" spans="1:9" x14ac:dyDescent="0.25">
      <c r="A723" s="175">
        <f t="shared" si="79"/>
        <v>1</v>
      </c>
      <c r="B723" s="175" t="s">
        <v>1229</v>
      </c>
      <c r="C723" s="176" t="s">
        <v>1117</v>
      </c>
      <c r="D723" s="178">
        <f t="shared" si="78"/>
        <v>25.833333333333332</v>
      </c>
      <c r="E723" s="178">
        <v>25.833333333333332</v>
      </c>
      <c r="F723" s="178" t="s">
        <v>1163</v>
      </c>
      <c r="G723" s="178" t="s">
        <v>1163</v>
      </c>
      <c r="H723" s="178"/>
      <c r="I723" s="168" t="s">
        <v>1163</v>
      </c>
    </row>
    <row r="724" spans="1:9" x14ac:dyDescent="0.25">
      <c r="A724" s="175">
        <f t="shared" si="79"/>
        <v>1</v>
      </c>
      <c r="B724" s="175" t="s">
        <v>1230</v>
      </c>
      <c r="C724" s="176" t="s">
        <v>1117</v>
      </c>
      <c r="D724" s="178">
        <f t="shared" si="78"/>
        <v>88.262499999999989</v>
      </c>
      <c r="E724" s="178">
        <v>88.262499999999989</v>
      </c>
      <c r="F724" s="178" t="s">
        <v>1163</v>
      </c>
      <c r="G724" s="178" t="s">
        <v>1163</v>
      </c>
      <c r="H724" s="178"/>
      <c r="I724" s="168" t="s">
        <v>1163</v>
      </c>
    </row>
    <row r="725" spans="1:9" x14ac:dyDescent="0.25">
      <c r="A725" s="175">
        <f t="shared" si="79"/>
        <v>1</v>
      </c>
      <c r="B725" s="175" t="s">
        <v>1231</v>
      </c>
      <c r="C725" s="176" t="s">
        <v>1117</v>
      </c>
      <c r="D725" s="178">
        <f t="shared" si="78"/>
        <v>28.833333333333332</v>
      </c>
      <c r="E725" s="178">
        <v>28.833333333333332</v>
      </c>
      <c r="F725" s="178" t="s">
        <v>1163</v>
      </c>
      <c r="G725" s="178" t="s">
        <v>1163</v>
      </c>
      <c r="H725" s="178"/>
      <c r="I725" s="168" t="s">
        <v>1163</v>
      </c>
    </row>
    <row r="726" spans="1:9" x14ac:dyDescent="0.25">
      <c r="A726" s="175">
        <f t="shared" si="79"/>
        <v>1</v>
      </c>
      <c r="B726" s="175" t="s">
        <v>2382</v>
      </c>
      <c r="C726" s="176" t="s">
        <v>1117</v>
      </c>
      <c r="D726" s="178">
        <f>E726*$D$1</f>
        <v>19.444444444444443</v>
      </c>
      <c r="E726" s="178">
        <f>350/18</f>
        <v>19.444444444444443</v>
      </c>
      <c r="F726" s="178" t="s">
        <v>1163</v>
      </c>
      <c r="G726" s="178" t="s">
        <v>1163</v>
      </c>
      <c r="H726" s="178"/>
      <c r="I726" s="168" t="s">
        <v>1163</v>
      </c>
    </row>
    <row r="727" spans="1:9" x14ac:dyDescent="0.25">
      <c r="A727" s="175">
        <f t="shared" si="79"/>
        <v>1</v>
      </c>
      <c r="B727" s="175" t="s">
        <v>1759</v>
      </c>
      <c r="C727" s="176" t="s">
        <v>1117</v>
      </c>
      <c r="D727" s="178">
        <f t="shared" si="78"/>
        <v>69.444444444444443</v>
      </c>
      <c r="E727" s="178">
        <f>1250/18</f>
        <v>69.444444444444443</v>
      </c>
      <c r="F727" s="178" t="s">
        <v>1163</v>
      </c>
      <c r="G727" s="178" t="s">
        <v>1163</v>
      </c>
      <c r="H727" s="178"/>
      <c r="I727" s="168" t="s">
        <v>1163</v>
      </c>
    </row>
    <row r="728" spans="1:9" x14ac:dyDescent="0.25">
      <c r="A728" s="175">
        <f t="shared" si="79"/>
        <v>1</v>
      </c>
      <c r="B728" s="175" t="s">
        <v>1232</v>
      </c>
      <c r="C728" s="176" t="s">
        <v>1117</v>
      </c>
      <c r="D728" s="178">
        <f t="shared" si="78"/>
        <v>62.432499999999997</v>
      </c>
      <c r="E728" s="178">
        <v>62.432499999999997</v>
      </c>
      <c r="F728" s="178" t="s">
        <v>1163</v>
      </c>
      <c r="G728" s="178" t="s">
        <v>1163</v>
      </c>
      <c r="H728" s="178"/>
      <c r="I728" s="168" t="s">
        <v>1163</v>
      </c>
    </row>
    <row r="729" spans="1:9" x14ac:dyDescent="0.25">
      <c r="A729" s="175">
        <f t="shared" ref="A729" si="82">COUNTIFS($B$2:$B$764,B729)</f>
        <v>1</v>
      </c>
      <c r="B729" s="175" t="s">
        <v>6861</v>
      </c>
      <c r="C729" s="176" t="s">
        <v>1117</v>
      </c>
      <c r="D729" s="178">
        <f t="shared" ref="D729" si="83">E729*$D$1</f>
        <v>34.375</v>
      </c>
      <c r="E729" s="178">
        <f>550/16</f>
        <v>34.375</v>
      </c>
      <c r="F729" s="178" t="s">
        <v>1163</v>
      </c>
      <c r="G729" s="178" t="s">
        <v>1163</v>
      </c>
      <c r="H729" s="178"/>
      <c r="I729" s="168" t="s">
        <v>1163</v>
      </c>
    </row>
    <row r="730" spans="1:9" x14ac:dyDescent="0.25">
      <c r="A730" s="175">
        <f t="shared" si="79"/>
        <v>1</v>
      </c>
      <c r="B730" s="175" t="s">
        <v>2881</v>
      </c>
      <c r="C730" s="176" t="s">
        <v>1117</v>
      </c>
      <c r="D730" s="178">
        <f t="shared" si="78"/>
        <v>55</v>
      </c>
      <c r="E730" s="178">
        <v>55</v>
      </c>
      <c r="F730" s="178" t="s">
        <v>1163</v>
      </c>
      <c r="G730" s="178" t="s">
        <v>1163</v>
      </c>
      <c r="H730" s="178"/>
      <c r="I730" s="168" t="s">
        <v>1163</v>
      </c>
    </row>
    <row r="731" spans="1:9" x14ac:dyDescent="0.25">
      <c r="A731" s="175">
        <f t="shared" si="79"/>
        <v>1</v>
      </c>
      <c r="B731" s="175" t="s">
        <v>2882</v>
      </c>
      <c r="C731" s="176" t="s">
        <v>1117</v>
      </c>
      <c r="D731" s="178">
        <f t="shared" ref="D731" si="84">E731*$D$1</f>
        <v>50</v>
      </c>
      <c r="E731" s="178">
        <v>50</v>
      </c>
      <c r="F731" s="178" t="s">
        <v>1163</v>
      </c>
      <c r="G731" s="178" t="s">
        <v>1163</v>
      </c>
      <c r="H731" s="178"/>
      <c r="I731" s="168" t="s">
        <v>1163</v>
      </c>
    </row>
    <row r="732" spans="1:9" x14ac:dyDescent="0.25">
      <c r="A732" s="175">
        <f t="shared" si="79"/>
        <v>1</v>
      </c>
      <c r="B732" s="175" t="s">
        <v>1233</v>
      </c>
      <c r="C732" s="176" t="s">
        <v>1117</v>
      </c>
      <c r="D732" s="178">
        <f t="shared" si="78"/>
        <v>38.277777777777779</v>
      </c>
      <c r="E732" s="178">
        <v>38.277777777777779</v>
      </c>
      <c r="F732" s="178" t="s">
        <v>1163</v>
      </c>
      <c r="G732" s="178" t="s">
        <v>1163</v>
      </c>
      <c r="H732" s="178"/>
      <c r="I732" s="168" t="s">
        <v>1163</v>
      </c>
    </row>
    <row r="733" spans="1:9" x14ac:dyDescent="0.25">
      <c r="A733" s="175">
        <f t="shared" si="79"/>
        <v>1</v>
      </c>
      <c r="B733" s="175" t="s">
        <v>1012</v>
      </c>
      <c r="C733" s="176" t="s">
        <v>131</v>
      </c>
      <c r="D733" s="178">
        <f t="shared" ref="D733:D764" si="85">E733*$D$1</f>
        <v>31.7</v>
      </c>
      <c r="E733" s="178">
        <v>31.7</v>
      </c>
      <c r="F733" s="178" t="s">
        <v>1163</v>
      </c>
      <c r="G733" s="178" t="s">
        <v>1163</v>
      </c>
      <c r="H733" s="178"/>
      <c r="I733" s="168" t="s">
        <v>1163</v>
      </c>
    </row>
    <row r="734" spans="1:9" x14ac:dyDescent="0.25">
      <c r="A734" s="175">
        <f t="shared" si="79"/>
        <v>1</v>
      </c>
      <c r="B734" s="175" t="s">
        <v>357</v>
      </c>
      <c r="C734" s="176" t="s">
        <v>1117</v>
      </c>
      <c r="D734" s="178">
        <f t="shared" si="85"/>
        <v>16</v>
      </c>
      <c r="E734" s="178">
        <v>16</v>
      </c>
      <c r="F734" s="178" t="s">
        <v>1163</v>
      </c>
      <c r="G734" s="178" t="s">
        <v>1163</v>
      </c>
      <c r="H734" s="178"/>
      <c r="I734" s="168" t="s">
        <v>1163</v>
      </c>
    </row>
    <row r="735" spans="1:9" x14ac:dyDescent="0.25">
      <c r="A735" s="175">
        <f t="shared" si="79"/>
        <v>1</v>
      </c>
      <c r="B735" s="175" t="s">
        <v>1761</v>
      </c>
      <c r="C735" s="176" t="s">
        <v>428</v>
      </c>
      <c r="D735" s="178">
        <f t="shared" si="85"/>
        <v>6.666666666666667</v>
      </c>
      <c r="E735" s="178">
        <v>6.666666666666667</v>
      </c>
      <c r="F735" s="178" t="s">
        <v>1163</v>
      </c>
      <c r="G735" s="178" t="s">
        <v>1163</v>
      </c>
      <c r="H735" s="178"/>
      <c r="I735" s="168" t="s">
        <v>1163</v>
      </c>
    </row>
    <row r="736" spans="1:9" x14ac:dyDescent="0.25">
      <c r="A736" s="175">
        <f t="shared" si="79"/>
        <v>1</v>
      </c>
      <c r="B736" s="175" t="s">
        <v>1869</v>
      </c>
      <c r="C736" s="176" t="s">
        <v>428</v>
      </c>
      <c r="D736" s="178">
        <f>E736*$D$1</f>
        <v>69.444444444444443</v>
      </c>
      <c r="E736" s="178">
        <f>1250/18</f>
        <v>69.444444444444443</v>
      </c>
      <c r="F736" s="178" t="s">
        <v>1163</v>
      </c>
      <c r="G736" s="178" t="s">
        <v>1163</v>
      </c>
      <c r="H736" s="178"/>
      <c r="I736" s="168" t="s">
        <v>1163</v>
      </c>
    </row>
    <row r="737" spans="1:9" x14ac:dyDescent="0.25">
      <c r="A737" s="175">
        <f t="shared" si="79"/>
        <v>1</v>
      </c>
      <c r="B737" s="175" t="s">
        <v>911</v>
      </c>
      <c r="C737" s="176" t="s">
        <v>428</v>
      </c>
      <c r="D737" s="178">
        <f t="shared" si="85"/>
        <v>8.3960000000000008</v>
      </c>
      <c r="E737" s="178">
        <v>8.3960000000000008</v>
      </c>
      <c r="F737" s="178" t="s">
        <v>1163</v>
      </c>
      <c r="G737" s="178" t="s">
        <v>1163</v>
      </c>
      <c r="H737" s="178"/>
      <c r="I737" s="168" t="s">
        <v>1163</v>
      </c>
    </row>
    <row r="738" spans="1:9" x14ac:dyDescent="0.25">
      <c r="A738" s="175">
        <f t="shared" si="79"/>
        <v>1</v>
      </c>
      <c r="B738" s="175" t="s">
        <v>909</v>
      </c>
      <c r="C738" s="176" t="s">
        <v>428</v>
      </c>
      <c r="D738" s="178">
        <f t="shared" si="85"/>
        <v>21.19047619047619</v>
      </c>
      <c r="E738" s="178">
        <v>21.19047619047619</v>
      </c>
      <c r="F738" s="178" t="s">
        <v>1163</v>
      </c>
      <c r="G738" s="178" t="s">
        <v>1163</v>
      </c>
      <c r="H738" s="178"/>
      <c r="I738" s="168" t="s">
        <v>1163</v>
      </c>
    </row>
    <row r="739" spans="1:9" ht="16.5" customHeight="1" x14ac:dyDescent="0.25">
      <c r="A739" s="175">
        <f t="shared" si="79"/>
        <v>1</v>
      </c>
      <c r="B739" s="175" t="s">
        <v>907</v>
      </c>
      <c r="C739" s="176" t="s">
        <v>428</v>
      </c>
      <c r="D739" s="178">
        <f t="shared" si="85"/>
        <v>28</v>
      </c>
      <c r="E739" s="178">
        <v>28</v>
      </c>
      <c r="F739" s="178" t="s">
        <v>1163</v>
      </c>
      <c r="G739" s="178" t="s">
        <v>1163</v>
      </c>
      <c r="H739" s="178"/>
      <c r="I739" s="168" t="s">
        <v>1163</v>
      </c>
    </row>
    <row r="740" spans="1:9" x14ac:dyDescent="0.25">
      <c r="A740" s="175">
        <f t="shared" si="79"/>
        <v>1</v>
      </c>
      <c r="B740" s="175" t="s">
        <v>2418</v>
      </c>
      <c r="C740" s="176" t="s">
        <v>1117</v>
      </c>
      <c r="D740" s="178">
        <f>E740*$D$1</f>
        <v>66.21875</v>
      </c>
      <c r="E740" s="178">
        <f>211.9/3.2</f>
        <v>66.21875</v>
      </c>
      <c r="F740" s="178" t="s">
        <v>1163</v>
      </c>
      <c r="G740" s="178" t="s">
        <v>1163</v>
      </c>
      <c r="H740" s="178"/>
      <c r="I740" s="168" t="s">
        <v>1163</v>
      </c>
    </row>
    <row r="741" spans="1:9" x14ac:dyDescent="0.25">
      <c r="A741" s="175">
        <f t="shared" si="79"/>
        <v>1</v>
      </c>
      <c r="B741" s="175" t="s">
        <v>2419</v>
      </c>
      <c r="C741" s="176" t="s">
        <v>1117</v>
      </c>
      <c r="D741" s="178">
        <f>E741*$D$1</f>
        <v>59.65625</v>
      </c>
      <c r="E741" s="178">
        <f>190.9/3.2</f>
        <v>59.65625</v>
      </c>
      <c r="F741" s="178" t="s">
        <v>1163</v>
      </c>
      <c r="G741" s="178" t="s">
        <v>1163</v>
      </c>
      <c r="H741" s="178"/>
      <c r="I741" s="168" t="s">
        <v>1163</v>
      </c>
    </row>
    <row r="742" spans="1:9" x14ac:dyDescent="0.25">
      <c r="A742" s="175">
        <f t="shared" si="79"/>
        <v>1</v>
      </c>
      <c r="B742" s="175" t="s">
        <v>2420</v>
      </c>
      <c r="C742" s="176" t="s">
        <v>1117</v>
      </c>
      <c r="D742" s="178">
        <f>E742*$D$1</f>
        <v>66.306250000000006</v>
      </c>
      <c r="E742" s="178">
        <f>1060.9/16</f>
        <v>66.306250000000006</v>
      </c>
      <c r="F742" s="178" t="s">
        <v>1163</v>
      </c>
      <c r="G742" s="178" t="s">
        <v>1163</v>
      </c>
      <c r="H742" s="178"/>
      <c r="I742" s="168" t="s">
        <v>1163</v>
      </c>
    </row>
    <row r="743" spans="1:9" x14ac:dyDescent="0.25">
      <c r="A743" s="175">
        <f t="shared" si="79"/>
        <v>1</v>
      </c>
      <c r="B743" s="175" t="s">
        <v>2008</v>
      </c>
      <c r="C743" s="176" t="s">
        <v>1117</v>
      </c>
      <c r="D743" s="178">
        <f t="shared" si="85"/>
        <v>54.243749999999999</v>
      </c>
      <c r="E743" s="178">
        <f>867.9/16</f>
        <v>54.243749999999999</v>
      </c>
      <c r="F743" s="178" t="s">
        <v>1163</v>
      </c>
      <c r="G743" s="178" t="s">
        <v>1163</v>
      </c>
      <c r="H743" s="178"/>
      <c r="I743" s="168" t="s">
        <v>1163</v>
      </c>
    </row>
    <row r="744" spans="1:9" x14ac:dyDescent="0.25">
      <c r="A744" s="175">
        <f t="shared" si="79"/>
        <v>1</v>
      </c>
      <c r="B744" s="175" t="s">
        <v>2007</v>
      </c>
      <c r="C744" s="176" t="s">
        <v>1117</v>
      </c>
      <c r="D744" s="178">
        <f>E744*$D$1</f>
        <v>45.618749999999999</v>
      </c>
      <c r="E744" s="178">
        <f>729.9/16</f>
        <v>45.618749999999999</v>
      </c>
      <c r="F744" s="178" t="s">
        <v>1163</v>
      </c>
      <c r="G744" s="178" t="s">
        <v>1163</v>
      </c>
      <c r="H744" s="178"/>
      <c r="I744" s="168" t="s">
        <v>1163</v>
      </c>
    </row>
    <row r="745" spans="1:9" x14ac:dyDescent="0.25">
      <c r="A745" s="175">
        <f t="shared" ref="A745:A764" si="86">COUNTIFS($B$2:$B$764,B745)</f>
        <v>1</v>
      </c>
      <c r="B745" s="175" t="s">
        <v>2005</v>
      </c>
      <c r="C745" s="176" t="s">
        <v>1117</v>
      </c>
      <c r="D745" s="178">
        <f t="shared" si="85"/>
        <v>55.431249999999999</v>
      </c>
      <c r="E745" s="178">
        <f>886.9/16</f>
        <v>55.431249999999999</v>
      </c>
      <c r="F745" s="178" t="s">
        <v>1163</v>
      </c>
      <c r="G745" s="178" t="s">
        <v>1163</v>
      </c>
      <c r="H745" s="178"/>
      <c r="I745" s="168" t="s">
        <v>1163</v>
      </c>
    </row>
    <row r="746" spans="1:9" x14ac:dyDescent="0.25">
      <c r="A746" s="175">
        <f t="shared" si="86"/>
        <v>1</v>
      </c>
      <c r="B746" s="175" t="s">
        <v>2004</v>
      </c>
      <c r="C746" s="176" t="s">
        <v>1117</v>
      </c>
      <c r="D746" s="178">
        <f>E746*$D$1</f>
        <v>34.43888888888889</v>
      </c>
      <c r="E746" s="178">
        <f>619.9/18</f>
        <v>34.43888888888889</v>
      </c>
      <c r="F746" s="178" t="s">
        <v>1163</v>
      </c>
      <c r="G746" s="178" t="s">
        <v>1163</v>
      </c>
      <c r="H746" s="178"/>
      <c r="I746" s="168" t="s">
        <v>1163</v>
      </c>
    </row>
    <row r="747" spans="1:9" x14ac:dyDescent="0.25">
      <c r="A747" s="175">
        <f t="shared" si="86"/>
        <v>1</v>
      </c>
      <c r="B747" s="175" t="s">
        <v>2002</v>
      </c>
      <c r="C747" s="176" t="s">
        <v>1117</v>
      </c>
      <c r="D747" s="178">
        <f t="shared" si="85"/>
        <v>42.772222222222219</v>
      </c>
      <c r="E747" s="178">
        <f>769.9/18</f>
        <v>42.772222222222219</v>
      </c>
      <c r="F747" s="178" t="s">
        <v>1163</v>
      </c>
      <c r="G747" s="178" t="s">
        <v>1163</v>
      </c>
      <c r="H747" s="178"/>
      <c r="I747" s="168" t="s">
        <v>1163</v>
      </c>
    </row>
    <row r="748" spans="1:9" x14ac:dyDescent="0.25">
      <c r="A748" s="175">
        <f t="shared" si="86"/>
        <v>1</v>
      </c>
      <c r="B748" s="175" t="s">
        <v>2000</v>
      </c>
      <c r="C748" s="176" t="s">
        <v>1117</v>
      </c>
      <c r="D748" s="178">
        <f>E748*$D$1</f>
        <v>23.049999999999997</v>
      </c>
      <c r="E748" s="178">
        <f>414.9/18</f>
        <v>23.049999999999997</v>
      </c>
      <c r="F748" s="178" t="s">
        <v>1163</v>
      </c>
      <c r="G748" s="178" t="s">
        <v>1163</v>
      </c>
      <c r="H748" s="178"/>
      <c r="I748" s="168" t="s">
        <v>1163</v>
      </c>
    </row>
    <row r="749" spans="1:9" x14ac:dyDescent="0.25">
      <c r="A749" s="175">
        <f t="shared" si="86"/>
        <v>1</v>
      </c>
      <c r="B749" s="175" t="s">
        <v>362</v>
      </c>
      <c r="C749" s="176" t="s">
        <v>1117</v>
      </c>
      <c r="D749" s="178">
        <f t="shared" si="85"/>
        <v>23.01</v>
      </c>
      <c r="E749" s="178">
        <v>23.01</v>
      </c>
      <c r="F749" s="178" t="s">
        <v>1163</v>
      </c>
      <c r="G749" s="178" t="s">
        <v>1163</v>
      </c>
      <c r="H749" s="178"/>
      <c r="I749" s="168" t="s">
        <v>1163</v>
      </c>
    </row>
    <row r="750" spans="1:9" x14ac:dyDescent="0.25">
      <c r="A750" s="175">
        <f t="shared" si="86"/>
        <v>1</v>
      </c>
      <c r="B750" s="175" t="s">
        <v>1056</v>
      </c>
      <c r="C750" s="176" t="s">
        <v>1117</v>
      </c>
      <c r="D750" s="178">
        <f t="shared" si="85"/>
        <v>35.42</v>
      </c>
      <c r="E750" s="178">
        <v>35.42</v>
      </c>
      <c r="F750" s="178" t="s">
        <v>1163</v>
      </c>
      <c r="G750" s="178" t="s">
        <v>1163</v>
      </c>
      <c r="H750" s="178"/>
      <c r="I750" s="168" t="s">
        <v>1163</v>
      </c>
    </row>
    <row r="751" spans="1:9" x14ac:dyDescent="0.25">
      <c r="A751" s="175">
        <f t="shared" si="86"/>
        <v>1</v>
      </c>
      <c r="B751" s="175" t="s">
        <v>828</v>
      </c>
      <c r="C751" s="176" t="s">
        <v>1117</v>
      </c>
      <c r="D751" s="178">
        <f t="shared" si="85"/>
        <v>24.5</v>
      </c>
      <c r="E751" s="178">
        <v>24.5</v>
      </c>
      <c r="F751" s="178" t="s">
        <v>1163</v>
      </c>
      <c r="G751" s="178" t="s">
        <v>1163</v>
      </c>
      <c r="H751" s="178"/>
      <c r="I751" s="168" t="s">
        <v>1163</v>
      </c>
    </row>
    <row r="752" spans="1:9" x14ac:dyDescent="0.25">
      <c r="A752" s="175">
        <f t="shared" si="86"/>
        <v>1</v>
      </c>
      <c r="B752" s="175" t="s">
        <v>821</v>
      </c>
      <c r="C752" s="176" t="s">
        <v>1117</v>
      </c>
      <c r="D752" s="178">
        <f t="shared" si="85"/>
        <v>101.92</v>
      </c>
      <c r="E752" s="178">
        <v>101.92</v>
      </c>
      <c r="F752" s="178" t="s">
        <v>1163</v>
      </c>
      <c r="G752" s="178" t="s">
        <v>1163</v>
      </c>
      <c r="H752" s="178"/>
      <c r="I752" s="168" t="s">
        <v>1163</v>
      </c>
    </row>
    <row r="753" spans="1:9" x14ac:dyDescent="0.25">
      <c r="A753" s="175">
        <f t="shared" si="86"/>
        <v>1</v>
      </c>
      <c r="B753" s="175" t="s">
        <v>826</v>
      </c>
      <c r="C753" s="176" t="s">
        <v>1117</v>
      </c>
      <c r="D753" s="178">
        <f t="shared" si="85"/>
        <v>40.25</v>
      </c>
      <c r="E753" s="178">
        <v>40.25</v>
      </c>
      <c r="F753" s="178" t="s">
        <v>1163</v>
      </c>
      <c r="G753" s="178" t="s">
        <v>1163</v>
      </c>
      <c r="H753" s="178"/>
      <c r="I753" s="168" t="s">
        <v>1163</v>
      </c>
    </row>
    <row r="754" spans="1:9" x14ac:dyDescent="0.25">
      <c r="A754" s="175">
        <f t="shared" si="86"/>
        <v>1</v>
      </c>
      <c r="B754" s="175" t="s">
        <v>1057</v>
      </c>
      <c r="C754" s="176" t="s">
        <v>1117</v>
      </c>
      <c r="D754" s="178">
        <f t="shared" si="85"/>
        <v>40.25</v>
      </c>
      <c r="E754" s="178">
        <v>40.25</v>
      </c>
      <c r="F754" s="178" t="s">
        <v>1163</v>
      </c>
      <c r="G754" s="178" t="s">
        <v>1163</v>
      </c>
      <c r="H754" s="178"/>
      <c r="I754" s="168" t="s">
        <v>1163</v>
      </c>
    </row>
    <row r="755" spans="1:9" x14ac:dyDescent="0.25">
      <c r="A755" s="175">
        <f t="shared" si="86"/>
        <v>1</v>
      </c>
      <c r="B755" s="175" t="s">
        <v>5087</v>
      </c>
      <c r="C755" s="176" t="s">
        <v>428</v>
      </c>
      <c r="D755" s="178">
        <f t="shared" ref="D755:D756" si="87">E755*$D$1</f>
        <v>0.45</v>
      </c>
      <c r="E755" s="178">
        <v>0.45</v>
      </c>
      <c r="F755" s="178" t="s">
        <v>1163</v>
      </c>
      <c r="G755" s="178" t="s">
        <v>1163</v>
      </c>
      <c r="H755" s="178"/>
      <c r="I755" s="168" t="s">
        <v>1163</v>
      </c>
    </row>
    <row r="756" spans="1:9" x14ac:dyDescent="0.25">
      <c r="A756" s="175">
        <f t="shared" si="86"/>
        <v>1</v>
      </c>
      <c r="B756" s="175" t="s">
        <v>5093</v>
      </c>
      <c r="C756" s="176" t="s">
        <v>428</v>
      </c>
      <c r="D756" s="178">
        <f t="shared" si="87"/>
        <v>13</v>
      </c>
      <c r="E756" s="178">
        <v>13</v>
      </c>
      <c r="F756" s="178" t="s">
        <v>1163</v>
      </c>
      <c r="G756" s="178" t="s">
        <v>1163</v>
      </c>
      <c r="H756" s="178"/>
      <c r="I756" s="168" t="s">
        <v>1163</v>
      </c>
    </row>
    <row r="757" spans="1:9" x14ac:dyDescent="0.25">
      <c r="A757" s="175">
        <f t="shared" si="86"/>
        <v>1</v>
      </c>
      <c r="B757" s="175" t="s">
        <v>5088</v>
      </c>
      <c r="C757" s="176" t="s">
        <v>428</v>
      </c>
      <c r="D757" s="178">
        <f t="shared" si="85"/>
        <v>18</v>
      </c>
      <c r="E757" s="178">
        <v>18</v>
      </c>
      <c r="F757" s="178" t="s">
        <v>1163</v>
      </c>
      <c r="G757" s="178" t="s">
        <v>1163</v>
      </c>
      <c r="H757" s="178"/>
      <c r="I757" s="168" t="s">
        <v>1163</v>
      </c>
    </row>
    <row r="758" spans="1:9" x14ac:dyDescent="0.25">
      <c r="A758" s="175">
        <f t="shared" si="86"/>
        <v>1</v>
      </c>
      <c r="B758" s="175" t="s">
        <v>5089</v>
      </c>
      <c r="C758" s="176" t="s">
        <v>1117</v>
      </c>
      <c r="D758" s="178">
        <f t="shared" ref="D758:D761" si="88">E758*$D$1</f>
        <v>12</v>
      </c>
      <c r="E758" s="178">
        <v>12</v>
      </c>
      <c r="F758" s="178" t="s">
        <v>1163</v>
      </c>
      <c r="G758" s="178" t="s">
        <v>1163</v>
      </c>
      <c r="H758" s="178"/>
      <c r="I758" s="168" t="s">
        <v>1163</v>
      </c>
    </row>
    <row r="759" spans="1:9" x14ac:dyDescent="0.25">
      <c r="A759" s="175">
        <f t="shared" si="86"/>
        <v>1</v>
      </c>
      <c r="B759" s="175" t="s">
        <v>7350</v>
      </c>
      <c r="C759" s="176" t="s">
        <v>428</v>
      </c>
      <c r="D759" s="178">
        <f t="shared" si="88"/>
        <v>30</v>
      </c>
      <c r="E759" s="178">
        <v>30</v>
      </c>
      <c r="F759" s="178" t="s">
        <v>1163</v>
      </c>
      <c r="G759" s="178" t="s">
        <v>1163</v>
      </c>
      <c r="H759" s="178"/>
      <c r="I759" s="168" t="s">
        <v>1163</v>
      </c>
    </row>
    <row r="760" spans="1:9" x14ac:dyDescent="0.25">
      <c r="A760" s="175">
        <f t="shared" si="86"/>
        <v>1</v>
      </c>
      <c r="B760" s="175" t="s">
        <v>7351</v>
      </c>
      <c r="C760" s="176" t="s">
        <v>428</v>
      </c>
      <c r="D760" s="178">
        <f t="shared" ref="D760" si="89">E760*$D$1</f>
        <v>25</v>
      </c>
      <c r="E760" s="178">
        <v>25</v>
      </c>
      <c r="F760" s="178" t="s">
        <v>1163</v>
      </c>
      <c r="G760" s="178" t="s">
        <v>1163</v>
      </c>
      <c r="H760" s="178"/>
      <c r="I760" s="168" t="s">
        <v>1163</v>
      </c>
    </row>
    <row r="761" spans="1:9" x14ac:dyDescent="0.25">
      <c r="A761" s="175">
        <f t="shared" si="86"/>
        <v>1</v>
      </c>
      <c r="B761" s="175" t="s">
        <v>7346</v>
      </c>
      <c r="C761" s="176" t="s">
        <v>428</v>
      </c>
      <c r="D761" s="178">
        <f t="shared" si="88"/>
        <v>26</v>
      </c>
      <c r="E761" s="178">
        <v>26</v>
      </c>
      <c r="F761" s="178" t="s">
        <v>1163</v>
      </c>
      <c r="G761" s="178" t="s">
        <v>1163</v>
      </c>
      <c r="H761" s="178"/>
      <c r="I761" s="168" t="s">
        <v>1163</v>
      </c>
    </row>
    <row r="762" spans="1:9" x14ac:dyDescent="0.25">
      <c r="A762" s="175">
        <f t="shared" si="86"/>
        <v>1</v>
      </c>
      <c r="B762" s="175" t="s">
        <v>1058</v>
      </c>
      <c r="C762" s="176" t="s">
        <v>428</v>
      </c>
      <c r="D762" s="178">
        <f t="shared" si="85"/>
        <v>23.2</v>
      </c>
      <c r="E762" s="178">
        <v>23.2</v>
      </c>
      <c r="F762" s="178" t="s">
        <v>1163</v>
      </c>
      <c r="G762" s="178" t="s">
        <v>1163</v>
      </c>
      <c r="H762" s="178"/>
      <c r="I762" s="168" t="s">
        <v>1163</v>
      </c>
    </row>
    <row r="763" spans="1:9" x14ac:dyDescent="0.25">
      <c r="A763" s="175">
        <f t="shared" si="86"/>
        <v>1</v>
      </c>
      <c r="B763" s="175" t="s">
        <v>356</v>
      </c>
      <c r="C763" s="176" t="s">
        <v>428</v>
      </c>
      <c r="D763" s="178">
        <f t="shared" si="85"/>
        <v>10</v>
      </c>
      <c r="E763" s="178">
        <v>10</v>
      </c>
      <c r="F763" s="178" t="s">
        <v>1163</v>
      </c>
      <c r="G763" s="178" t="s">
        <v>1163</v>
      </c>
      <c r="H763" s="178"/>
      <c r="I763" s="168" t="s">
        <v>1163</v>
      </c>
    </row>
    <row r="764" spans="1:9" x14ac:dyDescent="0.25">
      <c r="A764" s="175">
        <f t="shared" si="86"/>
        <v>1</v>
      </c>
      <c r="B764" s="175" t="s">
        <v>355</v>
      </c>
      <c r="C764" s="176" t="s">
        <v>1117</v>
      </c>
      <c r="D764" s="178">
        <f t="shared" si="85"/>
        <v>8.5</v>
      </c>
      <c r="E764" s="178">
        <v>8.5</v>
      </c>
      <c r="F764" s="178" t="s">
        <v>1163</v>
      </c>
      <c r="G764" s="178" t="s">
        <v>1163</v>
      </c>
      <c r="H764" s="178"/>
      <c r="I764" s="168" t="s">
        <v>1163</v>
      </c>
    </row>
  </sheetData>
  <autoFilter ref="A1:G764" xr:uid="{6024B194-CE11-463E-BD4A-0F20E9A7542D}"/>
  <conditionalFormatting sqref="B414">
    <cfRule type="expression" dxfId="2738" priority="4">
      <formula>$B414="Subetapa"</formula>
    </cfRule>
    <cfRule type="expression" dxfId="2737" priority="5">
      <formula>$B414="Serviço"</formula>
    </cfRule>
  </conditionalFormatting>
  <conditionalFormatting sqref="B694">
    <cfRule type="expression" dxfId="2736" priority="1">
      <formula>$B694="Subetapa"</formula>
    </cfRule>
    <cfRule type="expression" dxfId="2735" priority="2">
      <formula>$B694="Serviço"</formula>
    </cfRule>
    <cfRule type="expression" dxfId="2734" priority="3">
      <formula>$B694="Subetapa"</formula>
    </cfRule>
  </conditionalFormatting>
  <hyperlinks>
    <hyperlink ref="B496" r:id="rId1" display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xr:uid="{E3AE76B9-95D3-4E85-8107-43A3634FE258}"/>
    <hyperlink ref="B490" r:id="rId2" display="https://www.google.com/aclk?sa=l&amp;ai=DChcSEwiE9NbFvbKLAxV20sIEHWzsKVUYABAnGgJwdg&amp;co=1&amp;gclid=Cj0KCQiA-5a9BhCBARIsACwMkJ6mW9Xf8EEJipNUyqJzW2YCHDGaSgz6LA9l0n3I7NTk56Hc-GIf_SwaAkDqEALw_wcB&amp;sig=AOD64_0MgBtzPPr6UGA5uHDcGh3RSs4gzA&amp;ctype=5&amp;q=&amp;ved=2ahUKEwi6uMvFvbKLAxVTpJUCHa-5BCoQ9aACKAB6BAgEECo&amp;adurl=" xr:uid="{FC22E259-8DD2-4226-BAB1-4C83D8458475}"/>
    <hyperlink ref="H173" r:id="rId3" xr:uid="{72D5B8E0-39CC-4564-BB70-5019B3A5AD35}"/>
  </hyperlinks>
  <pageMargins left="0.511811024" right="0.511811024" top="0.78740157499999996" bottom="0.78740157499999996" header="0.31496062000000002" footer="0.31496062000000002"/>
  <pageSetup paperSize="9" orientation="portrait"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59D23-F463-4118-94F3-80E489751233}">
  <sheetPr>
    <tabColor theme="1"/>
    <outlinePr summaryBelow="0"/>
    <pageSetUpPr fitToPage="1"/>
  </sheetPr>
  <dimension ref="A1:U1085"/>
  <sheetViews>
    <sheetView showGridLines="0" tabSelected="1" topLeftCell="F1" zoomScale="130" zoomScaleNormal="130" zoomScaleSheetLayoutView="100" workbookViewId="0">
      <pane ySplit="7" topLeftCell="A23" activePane="bottomLeft" state="frozen"/>
      <selection activeCell="S114" sqref="S114"/>
      <selection pane="bottomLeft" activeCell="L112" sqref="L112"/>
    </sheetView>
  </sheetViews>
  <sheetFormatPr defaultColWidth="9.140625" defaultRowHeight="14.1" customHeight="1" outlineLevelRow="3" outlineLevelCol="1" x14ac:dyDescent="0.2"/>
  <cols>
    <col min="1" max="5" width="4" style="7" hidden="1" customWidth="1" outlineLevel="1"/>
    <col min="6" max="6" width="3.140625" style="439" customWidth="1" collapsed="1"/>
    <col min="7" max="7" width="7.28515625" style="14" customWidth="1"/>
    <col min="8" max="8" width="8.5703125" style="14" customWidth="1" outlineLevel="1"/>
    <col min="9" max="9" width="12.28515625" style="14" customWidth="1"/>
    <col min="10" max="10" width="97.42578125" style="7" customWidth="1"/>
    <col min="11" max="11" width="6.85546875" style="12" customWidth="1"/>
    <col min="12" max="12" width="14.85546875" style="132" customWidth="1"/>
    <col min="13" max="13" width="15.140625" style="132" bestFit="1" customWidth="1"/>
    <col min="14" max="14" width="13.85546875" style="134" customWidth="1"/>
    <col min="15" max="15" width="66.7109375" style="135" customWidth="1" outlineLevel="1"/>
    <col min="16" max="16" width="17.5703125" style="13" customWidth="1"/>
    <col min="17" max="17" width="10" style="418" customWidth="1"/>
    <col min="18" max="18" width="24.85546875" style="12" bestFit="1" customWidth="1"/>
    <col min="19" max="19" width="10" style="12" customWidth="1"/>
    <col min="20" max="20" width="10" style="7" customWidth="1"/>
    <col min="21" max="16384" width="9.140625" style="7"/>
  </cols>
  <sheetData>
    <row r="1" spans="1:21" s="4" customFormat="1" ht="6.75" customHeight="1" x14ac:dyDescent="0.2">
      <c r="F1" s="433"/>
      <c r="G1" s="2"/>
      <c r="H1" s="2"/>
      <c r="I1" s="2"/>
      <c r="J1" s="3"/>
      <c r="K1" s="19"/>
      <c r="L1" s="3"/>
      <c r="M1" s="3"/>
      <c r="N1" s="60"/>
      <c r="O1" s="3"/>
      <c r="P1" s="17"/>
      <c r="Q1" s="496"/>
      <c r="R1" s="6"/>
      <c r="S1" s="26"/>
      <c r="T1" s="25"/>
      <c r="U1" s="25"/>
    </row>
    <row r="2" spans="1:21" s="5" customFormat="1" ht="17.45" customHeight="1" x14ac:dyDescent="0.2">
      <c r="F2" s="434"/>
      <c r="G2" s="20"/>
      <c r="H2" s="43"/>
      <c r="I2" s="43"/>
      <c r="J2" s="43"/>
      <c r="K2" s="27"/>
      <c r="L2" s="27"/>
      <c r="M2" s="27"/>
      <c r="N2" s="61"/>
      <c r="O2" s="53"/>
      <c r="P2" s="16"/>
      <c r="Q2" s="497"/>
      <c r="R2" s="18"/>
      <c r="S2" s="26"/>
      <c r="T2" s="25"/>
      <c r="U2" s="25"/>
    </row>
    <row r="3" spans="1:21" s="5" customFormat="1" ht="18" customHeight="1" x14ac:dyDescent="0.2">
      <c r="F3" s="434"/>
      <c r="G3" s="21"/>
      <c r="H3" s="22"/>
      <c r="I3" s="22"/>
      <c r="J3" s="22"/>
      <c r="K3" s="28"/>
      <c r="L3" s="28"/>
      <c r="M3" s="28"/>
      <c r="N3" s="62"/>
      <c r="O3" s="54"/>
      <c r="P3" s="15"/>
      <c r="Q3" s="497"/>
      <c r="R3" s="18"/>
      <c r="S3" s="26"/>
      <c r="T3" s="25"/>
      <c r="U3" s="25"/>
    </row>
    <row r="4" spans="1:21" s="33" customFormat="1" ht="15" customHeight="1" x14ac:dyDescent="0.2">
      <c r="F4" s="435"/>
      <c r="G4" s="57" t="s">
        <v>22</v>
      </c>
      <c r="H4" s="31"/>
      <c r="I4" s="32" t="str">
        <f>'Obra '!D1</f>
        <v>Caio Prado</v>
      </c>
      <c r="J4" s="55"/>
      <c r="N4" s="63"/>
      <c r="O4" s="31" t="s">
        <v>14</v>
      </c>
      <c r="P4" s="58" t="s">
        <v>21</v>
      </c>
      <c r="Q4" s="498"/>
      <c r="R4" s="34"/>
      <c r="S4" s="26"/>
      <c r="T4" s="25"/>
      <c r="U4" s="25"/>
    </row>
    <row r="5" spans="1:21" s="35" customFormat="1" ht="15" customHeight="1" x14ac:dyDescent="0.2">
      <c r="F5" s="436"/>
      <c r="G5" s="65" t="s">
        <v>50</v>
      </c>
      <c r="H5" s="69"/>
      <c r="I5" s="9" t="str">
        <f>'Obra '!D2</f>
        <v>Indepy</v>
      </c>
      <c r="J5" s="66"/>
      <c r="N5" s="64"/>
      <c r="O5" s="67" t="s">
        <v>197</v>
      </c>
      <c r="P5" s="68">
        <v>45980</v>
      </c>
      <c r="Q5" s="498"/>
      <c r="R5" s="34"/>
      <c r="S5" s="26"/>
      <c r="T5" s="25"/>
      <c r="U5" s="25"/>
    </row>
    <row r="6" spans="1:21" s="25" customFormat="1" ht="18" customHeight="1" x14ac:dyDescent="0.2">
      <c r="A6" s="115" t="s">
        <v>105</v>
      </c>
      <c r="B6" s="115" t="s">
        <v>106</v>
      </c>
      <c r="C6" s="115" t="s">
        <v>107</v>
      </c>
      <c r="D6" s="115" t="s">
        <v>108</v>
      </c>
      <c r="E6" s="115" t="s">
        <v>109</v>
      </c>
      <c r="F6" s="436"/>
      <c r="G6" s="627" t="s">
        <v>48</v>
      </c>
      <c r="H6" s="627"/>
      <c r="I6" s="627"/>
      <c r="J6" s="627"/>
      <c r="K6" s="627"/>
      <c r="L6" s="627"/>
      <c r="M6" s="627"/>
      <c r="N6" s="627"/>
      <c r="O6" s="627"/>
      <c r="P6" s="627"/>
      <c r="Q6" s="423"/>
      <c r="R6" s="26"/>
      <c r="S6" s="26"/>
    </row>
    <row r="7" spans="1:21" s="23" customFormat="1" ht="24" customHeight="1" x14ac:dyDescent="0.2">
      <c r="A7" s="116">
        <v>0</v>
      </c>
      <c r="B7" s="116">
        <v>0</v>
      </c>
      <c r="C7" s="116">
        <v>0</v>
      </c>
      <c r="D7" s="117">
        <v>0</v>
      </c>
      <c r="E7" s="117">
        <v>0</v>
      </c>
      <c r="F7" s="437"/>
      <c r="G7" s="41" t="s">
        <v>23</v>
      </c>
      <c r="H7" s="70" t="s">
        <v>110</v>
      </c>
      <c r="I7" s="42" t="s">
        <v>15</v>
      </c>
      <c r="J7" s="59" t="s">
        <v>0</v>
      </c>
      <c r="K7" s="56" t="s">
        <v>19</v>
      </c>
      <c r="L7" s="118" t="s">
        <v>28</v>
      </c>
      <c r="M7" s="118" t="s">
        <v>99</v>
      </c>
      <c r="N7" s="118" t="s">
        <v>12</v>
      </c>
      <c r="O7" s="119" t="s">
        <v>47</v>
      </c>
      <c r="P7" s="120" t="s">
        <v>26</v>
      </c>
      <c r="Q7" s="418"/>
      <c r="R7" s="24"/>
      <c r="S7" s="26"/>
      <c r="T7" s="25"/>
      <c r="U7" s="25"/>
    </row>
    <row r="8" spans="1:21" s="25" customFormat="1" ht="13.9" customHeight="1" collapsed="1" x14ac:dyDescent="0.2">
      <c r="A8" s="116">
        <f ca="1">IF($H8="UNIDADE CONSTRUTIVA",OFFSET(A8,-1,0)+1,LARGE(A$3:A7,1))</f>
        <v>0</v>
      </c>
      <c r="B8" s="116">
        <f ca="1">IF(H8="UNIDADE CONSTRUTIVA",0,IF(H8="CÉLULA CONSTRUTIVA",OFFSET(B8,-1,0)+1,OFFSET(B8,-1,0)))</f>
        <v>1</v>
      </c>
      <c r="C8" s="116">
        <f ca="1">IF(H8="CÉLULA CONSTRUTIVA",0,IF(H8="ETAPA",OFFSET(C8,-1,0)+1,OFFSET(C8,-1,0)))</f>
        <v>0</v>
      </c>
      <c r="D8" s="117">
        <f ca="1">IF(H8="ETAPA",0,IF(H8="SUBETAPA",OFFSET(D8,-1,0)+1,OFFSET(D8,-1,0)))</f>
        <v>0</v>
      </c>
      <c r="E8" s="117">
        <f ca="1">IF(H8="Subetapa",0,IF(H8="serviço",OFFSET(E8,-1,0)+1,OFFSET(E8,-1,0)))</f>
        <v>0</v>
      </c>
      <c r="F8" s="438"/>
      <c r="G8" s="71"/>
      <c r="H8" s="72" t="s">
        <v>111</v>
      </c>
      <c r="I8" s="73" t="str">
        <f t="shared" ref="I8:I43" ca="1" si="0">IF(H8="Unidade Construtiva",TEXT(A8,"00"),IF(H8="Célula Construtiva",TEXT(B8,"00"),IF(H8="Etapa",CONCATENATE(TEXT(B8,"00"),".",TEXT(C8,"000")),IF(H8="Subetapa",CONCATENATE(TEXT(B8,"00"),".",TEXT(C8,"000"),".",TEXT(D8,"000")),IF(H8="Serviço",CONCATENATE(TEXT(B8,"00"),".",TEXT(C8,"000"),".",TEXT(D8,"000"),".",TEXT(E8,"000")),"")))))</f>
        <v>01</v>
      </c>
      <c r="J8" s="74" t="s">
        <v>35</v>
      </c>
      <c r="K8" s="440" t="s">
        <v>2445</v>
      </c>
      <c r="L8" s="114"/>
      <c r="M8" s="114"/>
      <c r="N8" s="94">
        <f ca="1">IF(H8="Serviço",M8*L8,IF(H8="CÉLULA CONSTRUTIVA",SUMIFS($N$8:$N$452,$B$8:$B$452,B8,$H$8:$H$452,"Serviço"),IF(H8="ETAPA",SUMIFS($N$8:$N$452,$B$8:$B$452,B8,$C$8:$C$452,C8,$H$8:$H$452,"Serviço"),IF(H8="SUBETAPA",SUMIFS($N$8:$N$452,$B$8:$B$452,B8,$C$8:$C$452,C8,$D$8:$D$452,D8,$H$8:$H$452,"Serviço"),0))))</f>
        <v>0</v>
      </c>
      <c r="O8" s="121">
        <f ca="1">N8/'Obra '!$E$9</f>
        <v>0</v>
      </c>
      <c r="P8" s="76"/>
      <c r="Q8" s="418" t="s">
        <v>35</v>
      </c>
      <c r="R8" s="122"/>
      <c r="S8" s="26"/>
    </row>
    <row r="9" spans="1:21" s="25" customFormat="1" ht="13.9" hidden="1" customHeight="1" outlineLevel="1" x14ac:dyDescent="0.2">
      <c r="A9" s="116">
        <f ca="1">IF($H9="UNIDADE CONSTRUTIVA",OFFSET(A9,-1,0)+1,LARGE(A$3:A8,1))</f>
        <v>0</v>
      </c>
      <c r="B9" s="116">
        <f t="shared" ref="B9:B72" ca="1" si="1">IF(H9="UNIDADE CONSTRUTIVA",0,IF(H9="CÉLULA CONSTRUTIVA",OFFSET(B9,-1,0)+1,OFFSET(B9,-1,0)))</f>
        <v>1</v>
      </c>
      <c r="C9" s="116">
        <f t="shared" ref="C9:C72" ca="1" si="2">IF(H9="CÉLULA CONSTRUTIVA",0,IF(H9="ETAPA",OFFSET(C9,-1,0)+1,OFFSET(C9,-1,0)))</f>
        <v>1</v>
      </c>
      <c r="D9" s="117">
        <f t="shared" ref="D9:D72" ca="1" si="3">IF(H9="ETAPA",0,IF(H9="SUBETAPA",OFFSET(D9,-1,0)+1,OFFSET(D9,-1,0)))</f>
        <v>0</v>
      </c>
      <c r="E9" s="117">
        <f t="shared" ref="E9:E72" ca="1" si="4">IF(H9="Subetapa",0,IF(H9="serviço",OFFSET(E9,-1,0)+1,OFFSET(E9,-1,0)))</f>
        <v>0</v>
      </c>
      <c r="F9" s="438"/>
      <c r="G9" s="71"/>
      <c r="H9" s="72" t="s">
        <v>112</v>
      </c>
      <c r="I9" s="73" t="str">
        <f t="shared" ca="1" si="0"/>
        <v>01.001</v>
      </c>
      <c r="J9" s="74" t="s">
        <v>35</v>
      </c>
      <c r="K9" s="75"/>
      <c r="L9" s="114"/>
      <c r="M9" s="114"/>
      <c r="N9" s="94">
        <f ca="1">IF(H9="Serviço",M9*L9,IF(H9="CÉLULA CONSTRUTIVA",SUMIFS($N$8:$N$452,$B$8:$B$452,B9,$H$8:$H$452,"Serviço"),IF(H9="ETAPA",SUMIFS($N$8:$N$452,$B$8:$B$452,B9,$C$8:$C$452,C9,$H$8:$H$452,"Serviço"),IF(H9="SUBETAPA",SUMIFS($N$8:$N$452,$B$8:$B$452,B9,$C$8:$C$452,C9,$D$8:$D$452,D9,$H$8:$H$452,"Serviço"),0))))</f>
        <v>0</v>
      </c>
      <c r="O9" s="121">
        <f ca="1">N9/'Obra '!$E$9</f>
        <v>0</v>
      </c>
      <c r="P9" s="76"/>
      <c r="Q9" s="418"/>
      <c r="R9" s="26"/>
      <c r="S9" s="26"/>
    </row>
    <row r="10" spans="1:21" s="25" customFormat="1" ht="13.9" hidden="1" customHeight="1" outlineLevel="1" x14ac:dyDescent="0.2">
      <c r="A10" s="116">
        <f ca="1">IF($H10="UNIDADE CONSTRUTIVA",OFFSET(A10,-1,0)+1,LARGE(A$3:A9,1))</f>
        <v>0</v>
      </c>
      <c r="B10" s="116">
        <f t="shared" ca="1" si="1"/>
        <v>1</v>
      </c>
      <c r="C10" s="116">
        <f t="shared" ca="1" si="2"/>
        <v>1</v>
      </c>
      <c r="D10" s="117">
        <f t="shared" ca="1" si="3"/>
        <v>1</v>
      </c>
      <c r="E10" s="117">
        <f t="shared" ca="1" si="4"/>
        <v>0</v>
      </c>
      <c r="F10" s="438"/>
      <c r="G10" s="71"/>
      <c r="H10" s="72" t="s">
        <v>113</v>
      </c>
      <c r="I10" s="73" t="str">
        <f t="shared" ca="1" si="0"/>
        <v>01.001.001</v>
      </c>
      <c r="J10" s="74" t="s">
        <v>1873</v>
      </c>
      <c r="K10" s="75"/>
      <c r="L10" s="123"/>
      <c r="M10" s="123"/>
      <c r="N10" s="94">
        <f ca="1">IF(H10="Serviço",M10*L10,IF(H10="CÉLULA CONSTRUTIVA",SUMIFS($N$8:$N$452,$B$8:$B$452,B10,$H$8:$H$452,"Serviço"),IF(H10="ETAPA",SUMIFS($N$8:$N$452,$B$8:$B$452,B10,$C$8:$C$452,C10,$H$8:$H$452,"Serviço"),IF(H10="SUBETAPA",SUMIFS($N$8:$N$452,$B$8:$B$452,B10,$C$8:$C$452,C10,$D$8:$D$452,D10,$H$8:$H$452,"Serviço"),0))))</f>
        <v>0</v>
      </c>
      <c r="O10" s="121">
        <f ca="1">N10/'Obra '!$E$9</f>
        <v>0</v>
      </c>
      <c r="P10" s="76"/>
      <c r="Q10" s="418"/>
      <c r="R10" s="26"/>
      <c r="S10" s="26"/>
    </row>
    <row r="11" spans="1:21" s="25" customFormat="1" ht="13.9" hidden="1" customHeight="1" outlineLevel="2" x14ac:dyDescent="0.2">
      <c r="A11" s="116">
        <f ca="1">IF($H11="UNIDADE CONSTRUTIVA",OFFSET(A11,-1,0)+1,LARGE(A$3:A10,1))</f>
        <v>0</v>
      </c>
      <c r="B11" s="116">
        <f t="shared" ca="1" si="1"/>
        <v>1</v>
      </c>
      <c r="C11" s="116">
        <f t="shared" ca="1" si="2"/>
        <v>1</v>
      </c>
      <c r="D11" s="117">
        <f t="shared" ca="1" si="3"/>
        <v>1</v>
      </c>
      <c r="E11" s="117">
        <f t="shared" ca="1" si="4"/>
        <v>1</v>
      </c>
      <c r="F11" s="438"/>
      <c r="G11" s="71"/>
      <c r="H11" s="72" t="s">
        <v>114</v>
      </c>
      <c r="I11" s="73" t="str">
        <f t="shared" ca="1" si="0"/>
        <v>01.001.001.001</v>
      </c>
      <c r="J11" s="74" t="s">
        <v>400</v>
      </c>
      <c r="K11" s="75" t="s">
        <v>4</v>
      </c>
      <c r="L11" s="114"/>
      <c r="M11" s="114">
        <f>_xlfn.XLOOKUP($J11,CPU!$D$1:$D$3085,CPU!$H$1:$H$3085)</f>
        <v>2.7132000000000001</v>
      </c>
      <c r="N11" s="94">
        <f>IF(H11="Serviço",M11*L11,IF(H11="CÉLULA CONSTRUTIVA",SUMIFS($N$111:$N$554,$B$111:$B$554,B11,$H$111:$H$554,"Serviço"),IF(H11="ETAPA",SUMIFS($N$111:$N$554,$B$111:$B$554,B11,$C$111:$C$554,C11,$H$111:$H$554,"Serviço"),IF(H11="SUBETAPA",SUMIFS($N$111:$N$554,$B$111:$B$554,B11,$C$111:$C$554,C11,$D$111:$D$554,D11,$H$111:$H$554,"Serviço"),0))))</f>
        <v>0</v>
      </c>
      <c r="O11" s="121" t="s">
        <v>2475</v>
      </c>
      <c r="P11" s="76" t="s">
        <v>198</v>
      </c>
      <c r="Q11" s="418"/>
      <c r="R11" s="26"/>
      <c r="S11" s="26"/>
    </row>
    <row r="12" spans="1:21" s="25" customFormat="1" ht="13.9" hidden="1" customHeight="1" outlineLevel="2" x14ac:dyDescent="0.2">
      <c r="A12" s="116">
        <f ca="1">IF($H12="UNIDADE CONSTRUTIVA",OFFSET(A12,-1,0)+1,LARGE(A$3:A11,1))</f>
        <v>0</v>
      </c>
      <c r="B12" s="116">
        <f t="shared" ca="1" si="1"/>
        <v>1</v>
      </c>
      <c r="C12" s="116">
        <f t="shared" ca="1" si="2"/>
        <v>1</v>
      </c>
      <c r="D12" s="117">
        <f t="shared" ca="1" si="3"/>
        <v>1</v>
      </c>
      <c r="E12" s="117">
        <f t="shared" ca="1" si="4"/>
        <v>2</v>
      </c>
      <c r="F12" s="438"/>
      <c r="G12" s="71"/>
      <c r="H12" s="72" t="s">
        <v>114</v>
      </c>
      <c r="I12" s="73" t="str">
        <f t="shared" ca="1" si="0"/>
        <v>01.001.001.002</v>
      </c>
      <c r="J12" s="74" t="s">
        <v>404</v>
      </c>
      <c r="K12" s="75" t="s">
        <v>4</v>
      </c>
      <c r="L12" s="114"/>
      <c r="M12" s="114">
        <f>_xlfn.XLOOKUP($J12,CPU!$D$1:$D$3085,CPU!$H$1:$H$3085)</f>
        <v>9.2718000000000007</v>
      </c>
      <c r="N12" s="94">
        <f>IF(H12="Serviço",M12*L12,IF(H12="CÉLULA CONSTRUTIVA",SUMIFS($N$111:$N$554,$B$111:$B$554,B12,$H$111:$H$554,"Serviço"),IF(H12="ETAPA",SUMIFS($N$111:$N$554,$B$111:$B$554,B12,$C$111:$C$554,C12,$H$111:$H$554,"Serviço"),IF(H12="SUBETAPA",SUMIFS($N$111:$N$554,$B$111:$B$554,B12,$C$111:$C$554,C12,$D$111:$D$554,D12,$H$111:$H$554,"Serviço"),0))))</f>
        <v>0</v>
      </c>
      <c r="O12" s="121" t="s">
        <v>2476</v>
      </c>
      <c r="P12" s="76" t="s">
        <v>198</v>
      </c>
      <c r="Q12" s="418"/>
      <c r="R12" s="26"/>
      <c r="S12" s="26"/>
    </row>
    <row r="13" spans="1:21" s="25" customFormat="1" ht="13.9" hidden="1" customHeight="1" outlineLevel="1" x14ac:dyDescent="0.2">
      <c r="A13" s="116">
        <f ca="1">IF($H13="UNIDADE CONSTRUTIVA",OFFSET(A13,-1,0)+1,LARGE(A$3:A12,1))</f>
        <v>0</v>
      </c>
      <c r="B13" s="116">
        <f t="shared" ca="1" si="1"/>
        <v>1</v>
      </c>
      <c r="C13" s="116">
        <f t="shared" ca="1" si="2"/>
        <v>1</v>
      </c>
      <c r="D13" s="117">
        <f t="shared" ca="1" si="3"/>
        <v>2</v>
      </c>
      <c r="E13" s="117">
        <f t="shared" ca="1" si="4"/>
        <v>0</v>
      </c>
      <c r="F13" s="438"/>
      <c r="G13" s="71"/>
      <c r="H13" s="72" t="s">
        <v>113</v>
      </c>
      <c r="I13" s="73" t="str">
        <f t="shared" ca="1" si="0"/>
        <v>01.001.002</v>
      </c>
      <c r="J13" s="74" t="s">
        <v>36</v>
      </c>
      <c r="K13" s="75"/>
      <c r="L13" s="123"/>
      <c r="M13" s="123"/>
      <c r="N13" s="94">
        <f t="shared" ref="N13:N76" ca="1" si="5">IF(H13="Serviço",M13*L13,IF(H13="CÉLULA CONSTRUTIVA",SUMIFS($N$8:$N$452,$B$8:$B$452,B13,$H$8:$H$452,"Serviço"),IF(H13="ETAPA",SUMIFS($N$8:$N$452,$B$8:$B$452,B13,$C$8:$C$452,C13,$H$8:$H$452,"Serviço"),IF(H13="SUBETAPA",SUMIFS($N$8:$N$452,$B$8:$B$452,B13,$C$8:$C$452,C13,$D$8:$D$452,D13,$H$8:$H$452,"Serviço"),0))))</f>
        <v>0</v>
      </c>
      <c r="O13" s="121">
        <f ca="1">N13/'Obra '!$E$9</f>
        <v>0</v>
      </c>
      <c r="P13" s="76"/>
      <c r="Q13" s="418"/>
      <c r="R13" s="26"/>
      <c r="S13" s="26"/>
    </row>
    <row r="14" spans="1:21" s="25" customFormat="1" ht="13.9" hidden="1" customHeight="1" outlineLevel="2" x14ac:dyDescent="0.2">
      <c r="A14" s="116">
        <f ca="1">IF($H14="UNIDADE CONSTRUTIVA",OFFSET(A14,-1,0)+1,LARGE(A$3:A13,1))</f>
        <v>0</v>
      </c>
      <c r="B14" s="116">
        <f t="shared" ca="1" si="1"/>
        <v>1</v>
      </c>
      <c r="C14" s="116">
        <f t="shared" ca="1" si="2"/>
        <v>1</v>
      </c>
      <c r="D14" s="117">
        <f t="shared" ca="1" si="3"/>
        <v>2</v>
      </c>
      <c r="E14" s="117">
        <f t="shared" ca="1" si="4"/>
        <v>1</v>
      </c>
      <c r="F14" s="438"/>
      <c r="G14" s="71"/>
      <c r="H14" s="72" t="s">
        <v>114</v>
      </c>
      <c r="I14" s="73" t="str">
        <f t="shared" ca="1" si="0"/>
        <v>01.001.002.001</v>
      </c>
      <c r="J14" s="74" t="s">
        <v>392</v>
      </c>
      <c r="K14" s="75" t="s">
        <v>4</v>
      </c>
      <c r="L14" s="114"/>
      <c r="M14" s="114">
        <f>_xlfn.XLOOKUP($J14,CPU!$D$1:$D$3085,CPU!$H$1:$H$3085)</f>
        <v>36.36</v>
      </c>
      <c r="N14" s="94">
        <f t="shared" si="5"/>
        <v>0</v>
      </c>
      <c r="O14" s="121" t="s">
        <v>2451</v>
      </c>
      <c r="P14" s="76" t="s">
        <v>198</v>
      </c>
      <c r="Q14" s="418"/>
      <c r="R14" s="26"/>
      <c r="S14" s="26"/>
    </row>
    <row r="15" spans="1:21" s="25" customFormat="1" ht="13.9" hidden="1" customHeight="1" outlineLevel="2" x14ac:dyDescent="0.2">
      <c r="A15" s="116">
        <f ca="1">IF($H15="UNIDADE CONSTRUTIVA",OFFSET(A15,-1,0)+1,LARGE(A$3:A14,1))</f>
        <v>0</v>
      </c>
      <c r="B15" s="116">
        <f t="shared" ca="1" si="1"/>
        <v>1</v>
      </c>
      <c r="C15" s="116">
        <f t="shared" ca="1" si="2"/>
        <v>1</v>
      </c>
      <c r="D15" s="117">
        <f t="shared" ca="1" si="3"/>
        <v>2</v>
      </c>
      <c r="E15" s="117">
        <f t="shared" ca="1" si="4"/>
        <v>2</v>
      </c>
      <c r="F15" s="438"/>
      <c r="G15" s="71"/>
      <c r="H15" s="72" t="s">
        <v>114</v>
      </c>
      <c r="I15" s="73" t="str">
        <f t="shared" ca="1" si="0"/>
        <v>01.001.002.002</v>
      </c>
      <c r="J15" s="74" t="s">
        <v>102</v>
      </c>
      <c r="K15" s="75" t="s">
        <v>4</v>
      </c>
      <c r="L15" s="114"/>
      <c r="M15" s="114">
        <f>_xlfn.XLOOKUP($J15,CPU!$D$1:$D$3085,CPU!$H$1:$H$3085)</f>
        <v>36.36</v>
      </c>
      <c r="N15" s="94">
        <f t="shared" si="5"/>
        <v>0</v>
      </c>
      <c r="O15" s="121" t="s">
        <v>2347</v>
      </c>
      <c r="P15" s="76" t="s">
        <v>198</v>
      </c>
      <c r="Q15" s="418"/>
      <c r="R15" s="26"/>
      <c r="S15" s="26"/>
    </row>
    <row r="16" spans="1:21" s="25" customFormat="1" ht="13.9" hidden="1" customHeight="1" outlineLevel="2" x14ac:dyDescent="0.2">
      <c r="A16" s="116">
        <f ca="1">IF($H16="UNIDADE CONSTRUTIVA",OFFSET(A16,-1,0)+1,LARGE(A$3:A15,1))</f>
        <v>0</v>
      </c>
      <c r="B16" s="116">
        <f t="shared" ca="1" si="1"/>
        <v>1</v>
      </c>
      <c r="C16" s="116">
        <f t="shared" ca="1" si="2"/>
        <v>1</v>
      </c>
      <c r="D16" s="117">
        <f t="shared" ca="1" si="3"/>
        <v>2</v>
      </c>
      <c r="E16" s="117">
        <f t="shared" ca="1" si="4"/>
        <v>3</v>
      </c>
      <c r="F16" s="438"/>
      <c r="G16" s="71"/>
      <c r="H16" s="72" t="s">
        <v>114</v>
      </c>
      <c r="I16" s="73" t="str">
        <f t="shared" ca="1" si="0"/>
        <v>01.001.002.003</v>
      </c>
      <c r="J16" s="74" t="s">
        <v>103</v>
      </c>
      <c r="K16" s="75" t="s">
        <v>4</v>
      </c>
      <c r="L16" s="114"/>
      <c r="M16" s="114">
        <f>_xlfn.XLOOKUP($J16,CPU!$D$1:$D$3085,CPU!$H$1:$H$3085)</f>
        <v>14.55</v>
      </c>
      <c r="N16" s="94">
        <f t="shared" si="5"/>
        <v>0</v>
      </c>
      <c r="O16" s="121"/>
      <c r="P16" s="76" t="s">
        <v>198</v>
      </c>
      <c r="Q16" s="418"/>
      <c r="R16" s="26"/>
      <c r="S16" s="26"/>
    </row>
    <row r="17" spans="1:19" s="25" customFormat="1" ht="13.9" hidden="1" customHeight="1" outlineLevel="1" x14ac:dyDescent="0.2">
      <c r="A17" s="116">
        <f ca="1">IF($H17="UNIDADE CONSTRUTIVA",OFFSET(A17,-1,0)+1,LARGE(A$3:A16,1))</f>
        <v>0</v>
      </c>
      <c r="B17" s="116">
        <f t="shared" ca="1" si="1"/>
        <v>1</v>
      </c>
      <c r="C17" s="116">
        <f t="shared" ca="1" si="2"/>
        <v>1</v>
      </c>
      <c r="D17" s="117">
        <f t="shared" ca="1" si="3"/>
        <v>3</v>
      </c>
      <c r="E17" s="117">
        <f t="shared" ca="1" si="4"/>
        <v>0</v>
      </c>
      <c r="F17" s="438"/>
      <c r="G17" s="71"/>
      <c r="H17" s="72" t="s">
        <v>113</v>
      </c>
      <c r="I17" s="73" t="str">
        <f t="shared" ca="1" si="0"/>
        <v>01.001.003</v>
      </c>
      <c r="J17" s="74" t="s">
        <v>1874</v>
      </c>
      <c r="K17" s="75"/>
      <c r="L17" s="123"/>
      <c r="M17" s="123"/>
      <c r="N17" s="94">
        <f t="shared" ca="1" si="5"/>
        <v>0</v>
      </c>
      <c r="O17" s="121">
        <f ca="1">N17/'Obra '!$E$9</f>
        <v>0</v>
      </c>
      <c r="P17" s="76"/>
      <c r="Q17" s="418"/>
      <c r="R17" s="26"/>
      <c r="S17" s="26"/>
    </row>
    <row r="18" spans="1:19" s="25" customFormat="1" ht="13.9" hidden="1" customHeight="1" outlineLevel="2" x14ac:dyDescent="0.2">
      <c r="A18" s="116">
        <f ca="1">IF($H18="UNIDADE CONSTRUTIVA",OFFSET(A18,-1,0)+1,LARGE(A$3:A17,1))</f>
        <v>0</v>
      </c>
      <c r="B18" s="116">
        <f t="shared" ca="1" si="1"/>
        <v>1</v>
      </c>
      <c r="C18" s="116">
        <f t="shared" ca="1" si="2"/>
        <v>1</v>
      </c>
      <c r="D18" s="117">
        <f t="shared" ca="1" si="3"/>
        <v>3</v>
      </c>
      <c r="E18" s="117">
        <f t="shared" ca="1" si="4"/>
        <v>1</v>
      </c>
      <c r="F18" s="438"/>
      <c r="G18" s="71"/>
      <c r="H18" s="72" t="s">
        <v>114</v>
      </c>
      <c r="I18" s="73" t="str">
        <f t="shared" ca="1" si="0"/>
        <v>01.001.003.001</v>
      </c>
      <c r="J18" s="74" t="s">
        <v>1176</v>
      </c>
      <c r="K18" s="75" t="s">
        <v>4</v>
      </c>
      <c r="L18" s="114"/>
      <c r="M18" s="114">
        <f>_xlfn.XLOOKUP($J18,CPU!$D$1:$D$3085,CPU!$H$1:$H$3085)</f>
        <v>518.7940000000001</v>
      </c>
      <c r="N18" s="94">
        <f t="shared" si="5"/>
        <v>0</v>
      </c>
      <c r="O18" s="121" t="s">
        <v>2450</v>
      </c>
      <c r="P18" s="76" t="s">
        <v>198</v>
      </c>
      <c r="Q18" s="418"/>
      <c r="R18" s="26"/>
      <c r="S18" s="26"/>
    </row>
    <row r="19" spans="1:19" s="25" customFormat="1" ht="13.9" hidden="1" customHeight="1" outlineLevel="1" x14ac:dyDescent="0.2">
      <c r="A19" s="116">
        <f ca="1">IF($H19="UNIDADE CONSTRUTIVA",OFFSET(A19,-1,0)+1,LARGE(A$3:A18,1))</f>
        <v>0</v>
      </c>
      <c r="B19" s="116">
        <f t="shared" ca="1" si="1"/>
        <v>1</v>
      </c>
      <c r="C19" s="116">
        <f t="shared" ca="1" si="2"/>
        <v>1</v>
      </c>
      <c r="D19" s="117">
        <f t="shared" ca="1" si="3"/>
        <v>4</v>
      </c>
      <c r="E19" s="117">
        <f t="shared" ca="1" si="4"/>
        <v>0</v>
      </c>
      <c r="F19" s="438"/>
      <c r="G19" s="71"/>
      <c r="H19" s="72" t="s">
        <v>113</v>
      </c>
      <c r="I19" s="73" t="str">
        <f t="shared" ca="1" si="0"/>
        <v>01.001.004</v>
      </c>
      <c r="J19" s="74" t="s">
        <v>1875</v>
      </c>
      <c r="K19" s="75"/>
      <c r="L19" s="123"/>
      <c r="M19" s="123"/>
      <c r="N19" s="94">
        <f t="shared" ca="1" si="5"/>
        <v>0</v>
      </c>
      <c r="O19" s="121">
        <f ca="1">N19/'Obra '!$E$9</f>
        <v>0</v>
      </c>
      <c r="P19" s="76"/>
      <c r="Q19" s="418"/>
      <c r="R19" s="26"/>
      <c r="S19" s="26"/>
    </row>
    <row r="20" spans="1:19" s="25" customFormat="1" ht="13.9" hidden="1" customHeight="1" outlineLevel="2" x14ac:dyDescent="0.2">
      <c r="A20" s="116">
        <f ca="1">IF($H20="UNIDADE CONSTRUTIVA",OFFSET(A20,-1,0)+1,LARGE(A$3:A19,1))</f>
        <v>0</v>
      </c>
      <c r="B20" s="116">
        <f t="shared" ca="1" si="1"/>
        <v>1</v>
      </c>
      <c r="C20" s="116">
        <f t="shared" ca="1" si="2"/>
        <v>1</v>
      </c>
      <c r="D20" s="117">
        <f t="shared" ca="1" si="3"/>
        <v>4</v>
      </c>
      <c r="E20" s="117">
        <f t="shared" ca="1" si="4"/>
        <v>1</v>
      </c>
      <c r="F20" s="438"/>
      <c r="G20" s="71"/>
      <c r="H20" s="72" t="s">
        <v>114</v>
      </c>
      <c r="I20" s="73" t="str">
        <f ca="1">IF(H20="Unidade Construtiva",TEXT(A20,"00"),IF(H20="Célula Construtiva",TEXT(B20,"00"),IF(H20="Etapa",CONCATENATE(TEXT(B20,"00"),".",TEXT(C20,"000")),IF(H20="Subetapa",CONCATENATE(TEXT(B20,"00"),".",TEXT(C20,"000"),".",TEXT(D20,"000")),IF(H20="Serviço",CONCATENATE(TEXT(B20,"00"),".",TEXT(C20,"000"),".",TEXT(D20,"000"),".",TEXT(E20,"000")),"")))))</f>
        <v>01.001.004.001</v>
      </c>
      <c r="J20" s="74" t="s">
        <v>413</v>
      </c>
      <c r="K20" s="75" t="s">
        <v>4</v>
      </c>
      <c r="L20" s="114"/>
      <c r="M20" s="114">
        <f>_xlfn.XLOOKUP($J20,CPU!$D$1:$D$3085,CPU!$H$1:$H$3085)</f>
        <v>45.45</v>
      </c>
      <c r="N20" s="94">
        <f t="shared" si="5"/>
        <v>0</v>
      </c>
      <c r="O20" s="121" t="s">
        <v>2474</v>
      </c>
      <c r="P20" s="76" t="s">
        <v>198</v>
      </c>
      <c r="Q20" s="418"/>
      <c r="R20" s="26"/>
      <c r="S20" s="26"/>
    </row>
    <row r="21" spans="1:19" s="25" customFormat="1" ht="13.9" hidden="1" customHeight="1" outlineLevel="2" x14ac:dyDescent="0.2">
      <c r="A21" s="116">
        <f ca="1">IF($H21="UNIDADE CONSTRUTIVA",OFFSET(A21,-1,0)+1,LARGE(A$3:A20,1))</f>
        <v>0</v>
      </c>
      <c r="B21" s="116">
        <f t="shared" ca="1" si="1"/>
        <v>1</v>
      </c>
      <c r="C21" s="116">
        <f t="shared" ca="1" si="2"/>
        <v>1</v>
      </c>
      <c r="D21" s="117">
        <f t="shared" ca="1" si="3"/>
        <v>4</v>
      </c>
      <c r="E21" s="117">
        <f t="shared" ca="1" si="4"/>
        <v>2</v>
      </c>
      <c r="F21" s="438"/>
      <c r="G21" s="71"/>
      <c r="H21" s="72" t="s">
        <v>114</v>
      </c>
      <c r="I21" s="73" t="str">
        <f t="shared" ca="1" si="0"/>
        <v>01.001.004.002</v>
      </c>
      <c r="J21" s="74" t="s">
        <v>412</v>
      </c>
      <c r="K21" s="75" t="s">
        <v>4</v>
      </c>
      <c r="L21" s="114"/>
      <c r="M21" s="114">
        <f>_xlfn.XLOOKUP($J21,CPU!$D$1:$D$3085,CPU!$H$1:$H$3085)</f>
        <v>45.45</v>
      </c>
      <c r="N21" s="94">
        <f t="shared" si="5"/>
        <v>0</v>
      </c>
      <c r="O21" s="121"/>
      <c r="P21" s="76" t="s">
        <v>198</v>
      </c>
      <c r="Q21" s="418"/>
      <c r="R21" s="26"/>
      <c r="S21" s="26"/>
    </row>
    <row r="22" spans="1:19" s="25" customFormat="1" ht="13.9" hidden="1" customHeight="1" outlineLevel="2" x14ac:dyDescent="0.2">
      <c r="A22" s="116">
        <f ca="1">IF($H22="UNIDADE CONSTRUTIVA",OFFSET(A22,-1,0)+1,LARGE(A$3:A21,1))</f>
        <v>0</v>
      </c>
      <c r="B22" s="116">
        <f t="shared" ca="1" si="1"/>
        <v>1</v>
      </c>
      <c r="C22" s="116">
        <f t="shared" ca="1" si="2"/>
        <v>1</v>
      </c>
      <c r="D22" s="117">
        <f t="shared" ca="1" si="3"/>
        <v>4</v>
      </c>
      <c r="E22" s="117">
        <f t="shared" ca="1" si="4"/>
        <v>3</v>
      </c>
      <c r="F22" s="438"/>
      <c r="G22" s="71"/>
      <c r="H22" s="72" t="s">
        <v>114</v>
      </c>
      <c r="I22" s="73" t="str">
        <f t="shared" ca="1" si="0"/>
        <v>01.001.004.003</v>
      </c>
      <c r="J22" s="74" t="s">
        <v>199</v>
      </c>
      <c r="K22" s="75" t="s">
        <v>4</v>
      </c>
      <c r="L22" s="114"/>
      <c r="M22" s="114">
        <f>_xlfn.XLOOKUP($J22,CPU!$D$1:$D$3085,CPU!$H$1:$H$3085)</f>
        <v>68.180000000000007</v>
      </c>
      <c r="N22" s="94">
        <f t="shared" si="5"/>
        <v>0</v>
      </c>
      <c r="O22" s="121" t="s">
        <v>2451</v>
      </c>
      <c r="P22" s="76" t="s">
        <v>198</v>
      </c>
      <c r="Q22" s="418"/>
      <c r="R22" s="26"/>
      <c r="S22" s="26"/>
    </row>
    <row r="23" spans="1:19" s="25" customFormat="1" ht="13.9" customHeight="1" collapsed="1" x14ac:dyDescent="0.2">
      <c r="A23" s="116">
        <f ca="1">IF($H23="UNIDADE CONSTRUTIVA",OFFSET(A23,-1,0)+1,LARGE(A$3:A22,1))</f>
        <v>0</v>
      </c>
      <c r="B23" s="116">
        <f t="shared" ca="1" si="1"/>
        <v>2</v>
      </c>
      <c r="C23" s="116">
        <f t="shared" ca="1" si="2"/>
        <v>0</v>
      </c>
      <c r="D23" s="117">
        <f t="shared" ca="1" si="3"/>
        <v>4</v>
      </c>
      <c r="E23" s="117">
        <f t="shared" ca="1" si="4"/>
        <v>3</v>
      </c>
      <c r="F23" s="438"/>
      <c r="G23" s="71"/>
      <c r="H23" s="72" t="s">
        <v>111</v>
      </c>
      <c r="I23" s="73" t="str">
        <f t="shared" ca="1" si="0"/>
        <v>02</v>
      </c>
      <c r="J23" s="74" t="s">
        <v>37</v>
      </c>
      <c r="K23" s="75"/>
      <c r="L23" s="114"/>
      <c r="M23" s="114"/>
      <c r="N23" s="94">
        <f t="shared" ca="1" si="5"/>
        <v>0</v>
      </c>
      <c r="O23" s="121">
        <f ca="1">N23/'Obra '!$E$9</f>
        <v>0</v>
      </c>
      <c r="P23" s="76"/>
      <c r="Q23" s="418" t="s">
        <v>37</v>
      </c>
      <c r="R23" s="26"/>
      <c r="S23" s="26"/>
    </row>
    <row r="24" spans="1:19" s="25" customFormat="1" ht="13.9" hidden="1" customHeight="1" outlineLevel="1" x14ac:dyDescent="0.2">
      <c r="A24" s="116">
        <f ca="1">IF($H24="UNIDADE CONSTRUTIVA",OFFSET(A24,-1,0)+1,LARGE(A$3:A23,1))</f>
        <v>0</v>
      </c>
      <c r="B24" s="116">
        <f t="shared" ca="1" si="1"/>
        <v>2</v>
      </c>
      <c r="C24" s="116">
        <f t="shared" ca="1" si="2"/>
        <v>1</v>
      </c>
      <c r="D24" s="117">
        <f t="shared" ca="1" si="3"/>
        <v>0</v>
      </c>
      <c r="E24" s="117">
        <f t="shared" ca="1" si="4"/>
        <v>3</v>
      </c>
      <c r="F24" s="438"/>
      <c r="G24" s="71"/>
      <c r="H24" s="72" t="s">
        <v>112</v>
      </c>
      <c r="I24" s="73" t="str">
        <f t="shared" ca="1" si="0"/>
        <v>02.001</v>
      </c>
      <c r="J24" s="74" t="s">
        <v>33</v>
      </c>
      <c r="K24" s="75"/>
      <c r="L24" s="114"/>
      <c r="M24" s="114"/>
      <c r="N24" s="94">
        <f t="shared" ca="1" si="5"/>
        <v>0</v>
      </c>
      <c r="O24" s="121">
        <f ca="1">N24/'Obra '!$E$9</f>
        <v>0</v>
      </c>
      <c r="P24" s="76"/>
      <c r="Q24" s="418"/>
      <c r="R24" s="26"/>
      <c r="S24" s="26"/>
    </row>
    <row r="25" spans="1:19" s="25" customFormat="1" ht="13.9" hidden="1" customHeight="1" outlineLevel="2" x14ac:dyDescent="0.2">
      <c r="A25" s="116">
        <f ca="1">IF($H25="UNIDADE CONSTRUTIVA",OFFSET(A25,-1,0)+1,LARGE(A$3:A24,1))</f>
        <v>0</v>
      </c>
      <c r="B25" s="116">
        <f t="shared" ca="1" si="1"/>
        <v>2</v>
      </c>
      <c r="C25" s="116">
        <f t="shared" ca="1" si="2"/>
        <v>1</v>
      </c>
      <c r="D25" s="117">
        <f t="shared" ca="1" si="3"/>
        <v>1</v>
      </c>
      <c r="E25" s="117">
        <f t="shared" ca="1" si="4"/>
        <v>0</v>
      </c>
      <c r="F25" s="438"/>
      <c r="G25" s="71"/>
      <c r="H25" s="72" t="s">
        <v>113</v>
      </c>
      <c r="I25" s="73" t="str">
        <f t="shared" ca="1" si="0"/>
        <v>02.001.001</v>
      </c>
      <c r="J25" s="74" t="s">
        <v>38</v>
      </c>
      <c r="K25" s="75"/>
      <c r="L25" s="114"/>
      <c r="M25" s="114"/>
      <c r="N25" s="94">
        <f t="shared" ca="1" si="5"/>
        <v>0</v>
      </c>
      <c r="O25" s="121"/>
      <c r="P25" s="76"/>
      <c r="Q25" s="418"/>
      <c r="R25" s="26"/>
      <c r="S25" s="26"/>
    </row>
    <row r="26" spans="1:19" s="25" customFormat="1" ht="13.9" hidden="1" customHeight="1" outlineLevel="3" x14ac:dyDescent="0.2">
      <c r="A26" s="116">
        <f ca="1">IF($H26="UNIDADE CONSTRUTIVA",OFFSET(A26,-1,0)+1,LARGE(A$3:A25,1))</f>
        <v>0</v>
      </c>
      <c r="B26" s="116">
        <f t="shared" ca="1" si="1"/>
        <v>2</v>
      </c>
      <c r="C26" s="116">
        <f t="shared" ca="1" si="2"/>
        <v>1</v>
      </c>
      <c r="D26" s="117">
        <f t="shared" ca="1" si="3"/>
        <v>1</v>
      </c>
      <c r="E26" s="117">
        <f t="shared" ca="1" si="4"/>
        <v>1</v>
      </c>
      <c r="F26" s="438"/>
      <c r="G26" s="71"/>
      <c r="H26" s="72" t="s">
        <v>114</v>
      </c>
      <c r="I26" s="73" t="str">
        <f t="shared" ca="1" si="0"/>
        <v>02.001.001.001</v>
      </c>
      <c r="J26" s="74" t="s">
        <v>425</v>
      </c>
      <c r="K26" s="75" t="s">
        <v>3</v>
      </c>
      <c r="L26" s="114"/>
      <c r="M26" s="114">
        <f>_xlfn.XLOOKUP($J26,CPU!$D$1:$D$3085,CPU!$H$1:$H$3085)</f>
        <v>39</v>
      </c>
      <c r="N26" s="94">
        <f t="shared" si="5"/>
        <v>0</v>
      </c>
      <c r="O26" s="121"/>
      <c r="P26" s="76" t="s">
        <v>198</v>
      </c>
      <c r="Q26" s="418"/>
      <c r="R26" s="26"/>
      <c r="S26" s="26"/>
    </row>
    <row r="27" spans="1:19" s="25" customFormat="1" ht="13.9" hidden="1" customHeight="1" outlineLevel="3" x14ac:dyDescent="0.2">
      <c r="A27" s="116">
        <f ca="1">IF($H27="UNIDADE CONSTRUTIVA",OFFSET(A27,-1,0)+1,LARGE(A$3:A26,1))</f>
        <v>0</v>
      </c>
      <c r="B27" s="116">
        <f t="shared" ca="1" si="1"/>
        <v>2</v>
      </c>
      <c r="C27" s="116">
        <f t="shared" ca="1" si="2"/>
        <v>1</v>
      </c>
      <c r="D27" s="117">
        <f t="shared" ca="1" si="3"/>
        <v>1</v>
      </c>
      <c r="E27" s="117">
        <f t="shared" ca="1" si="4"/>
        <v>2</v>
      </c>
      <c r="F27" s="438"/>
      <c r="G27" s="71"/>
      <c r="H27" s="72" t="s">
        <v>114</v>
      </c>
      <c r="I27" s="73" t="str">
        <f t="shared" ca="1" si="0"/>
        <v>02.001.001.002</v>
      </c>
      <c r="J27" s="74" t="s">
        <v>2432</v>
      </c>
      <c r="K27" s="75" t="s">
        <v>3</v>
      </c>
      <c r="L27" s="114"/>
      <c r="M27" s="114">
        <f>_xlfn.XLOOKUP($J27,CPU!$D$1:$D$3085,CPU!$H$1:$H$3085)</f>
        <v>52.800000000000004</v>
      </c>
      <c r="N27" s="94">
        <f t="shared" si="5"/>
        <v>0</v>
      </c>
      <c r="O27" s="121"/>
      <c r="P27" s="76" t="s">
        <v>198</v>
      </c>
      <c r="Q27" s="418"/>
      <c r="R27" s="26"/>
      <c r="S27" s="26"/>
    </row>
    <row r="28" spans="1:19" s="25" customFormat="1" ht="13.9" hidden="1" customHeight="1" outlineLevel="3" x14ac:dyDescent="0.2">
      <c r="A28" s="116">
        <f ca="1">IF($H28="UNIDADE CONSTRUTIVA",OFFSET(A28,-1,0)+1,LARGE(A$3:A27,1))</f>
        <v>0</v>
      </c>
      <c r="B28" s="116">
        <f t="shared" ca="1" si="1"/>
        <v>2</v>
      </c>
      <c r="C28" s="116">
        <f t="shared" ca="1" si="2"/>
        <v>1</v>
      </c>
      <c r="D28" s="117">
        <f t="shared" ca="1" si="3"/>
        <v>1</v>
      </c>
      <c r="E28" s="117">
        <f t="shared" ca="1" si="4"/>
        <v>3</v>
      </c>
      <c r="F28" s="438"/>
      <c r="G28" s="71"/>
      <c r="H28" s="72" t="s">
        <v>114</v>
      </c>
      <c r="I28" s="73" t="str">
        <f t="shared" ca="1" si="0"/>
        <v>02.001.001.003</v>
      </c>
      <c r="J28" s="74" t="s">
        <v>2431</v>
      </c>
      <c r="K28" s="75" t="s">
        <v>3</v>
      </c>
      <c r="L28" s="114"/>
      <c r="M28" s="114">
        <f>_xlfn.XLOOKUP($J28,CPU!$D$1:$D$3085,CPU!$H$1:$H$3085)</f>
        <v>66</v>
      </c>
      <c r="N28" s="94">
        <f t="shared" si="5"/>
        <v>0</v>
      </c>
      <c r="O28" s="121"/>
      <c r="P28" s="76" t="s">
        <v>198</v>
      </c>
      <c r="Q28" s="418"/>
      <c r="R28" s="26"/>
      <c r="S28" s="26"/>
    </row>
    <row r="29" spans="1:19" s="25" customFormat="1" ht="13.9" hidden="1" customHeight="1" outlineLevel="3" x14ac:dyDescent="0.2">
      <c r="A29" s="116">
        <f ca="1">IF($H29="UNIDADE CONSTRUTIVA",OFFSET(A29,-1,0)+1,LARGE(A$3:A28,1))</f>
        <v>0</v>
      </c>
      <c r="B29" s="116">
        <f t="shared" ca="1" si="1"/>
        <v>2</v>
      </c>
      <c r="C29" s="116">
        <f t="shared" ca="1" si="2"/>
        <v>1</v>
      </c>
      <c r="D29" s="117">
        <f t="shared" ca="1" si="3"/>
        <v>1</v>
      </c>
      <c r="E29" s="117">
        <f t="shared" ca="1" si="4"/>
        <v>4</v>
      </c>
      <c r="F29" s="438"/>
      <c r="G29" s="71"/>
      <c r="H29" s="72" t="s">
        <v>114</v>
      </c>
      <c r="I29" s="73" t="str">
        <f t="shared" ca="1" si="0"/>
        <v>02.001.001.004</v>
      </c>
      <c r="J29" s="74" t="s">
        <v>2433</v>
      </c>
      <c r="K29" s="75" t="s">
        <v>3</v>
      </c>
      <c r="L29" s="114"/>
      <c r="M29" s="114">
        <f>_xlfn.XLOOKUP($J29,CPU!$D$1:$D$3085,CPU!$H$1:$H$3085)</f>
        <v>79.2</v>
      </c>
      <c r="N29" s="94">
        <f t="shared" si="5"/>
        <v>0</v>
      </c>
      <c r="O29" s="121"/>
      <c r="P29" s="76" t="s">
        <v>198</v>
      </c>
      <c r="Q29" s="418"/>
      <c r="R29" s="26"/>
      <c r="S29" s="26"/>
    </row>
    <row r="30" spans="1:19" s="25" customFormat="1" ht="13.9" hidden="1" customHeight="1" outlineLevel="3" x14ac:dyDescent="0.2">
      <c r="A30" s="116">
        <f ca="1">IF($H30="UNIDADE CONSTRUTIVA",OFFSET(A30,-1,0)+1,LARGE(A$3:A29,1))</f>
        <v>0</v>
      </c>
      <c r="B30" s="116">
        <f t="shared" ca="1" si="1"/>
        <v>2</v>
      </c>
      <c r="C30" s="116">
        <f t="shared" ca="1" si="2"/>
        <v>1</v>
      </c>
      <c r="D30" s="117">
        <f t="shared" ca="1" si="3"/>
        <v>1</v>
      </c>
      <c r="E30" s="117">
        <f t="shared" ca="1" si="4"/>
        <v>5</v>
      </c>
      <c r="F30" s="438"/>
      <c r="G30" s="71"/>
      <c r="H30" s="72" t="s">
        <v>114</v>
      </c>
      <c r="I30" s="73" t="str">
        <f t="shared" ca="1" si="0"/>
        <v>02.001.001.005</v>
      </c>
      <c r="J30" s="74" t="s">
        <v>2434</v>
      </c>
      <c r="K30" s="75" t="s">
        <v>3</v>
      </c>
      <c r="L30" s="114"/>
      <c r="M30" s="114">
        <f>_xlfn.XLOOKUP($J30,CPU!$D$1:$D$3085,CPU!$H$1:$H$3085)</f>
        <v>92.4</v>
      </c>
      <c r="N30" s="94">
        <f t="shared" si="5"/>
        <v>0</v>
      </c>
      <c r="O30" s="121"/>
      <c r="P30" s="76" t="s">
        <v>198</v>
      </c>
      <c r="Q30" s="418"/>
      <c r="R30" s="26"/>
      <c r="S30" s="26"/>
    </row>
    <row r="31" spans="1:19" s="25" customFormat="1" ht="13.9" hidden="1" customHeight="1" outlineLevel="3" x14ac:dyDescent="0.2">
      <c r="A31" s="116">
        <f ca="1">IF($H31="UNIDADE CONSTRUTIVA",OFFSET(A31,-1,0)+1,LARGE(A$3:A30,1))</f>
        <v>0</v>
      </c>
      <c r="B31" s="116">
        <f t="shared" ca="1" si="1"/>
        <v>2</v>
      </c>
      <c r="C31" s="116">
        <f t="shared" ca="1" si="2"/>
        <v>1</v>
      </c>
      <c r="D31" s="117">
        <f t="shared" ca="1" si="3"/>
        <v>1</v>
      </c>
      <c r="E31" s="117">
        <f t="shared" ca="1" si="4"/>
        <v>6</v>
      </c>
      <c r="F31" s="438"/>
      <c r="G31" s="71"/>
      <c r="H31" s="72" t="s">
        <v>114</v>
      </c>
      <c r="I31" s="73" t="str">
        <f t="shared" ca="1" si="0"/>
        <v>02.001.001.006</v>
      </c>
      <c r="J31" s="74" t="s">
        <v>2435</v>
      </c>
      <c r="K31" s="75" t="s">
        <v>3</v>
      </c>
      <c r="L31" s="114"/>
      <c r="M31" s="114">
        <f>_xlfn.XLOOKUP($J31,CPU!$D$1:$D$3085,CPU!$H$1:$H$3085)</f>
        <v>105.60000000000001</v>
      </c>
      <c r="N31" s="94">
        <f t="shared" si="5"/>
        <v>0</v>
      </c>
      <c r="O31" s="121"/>
      <c r="P31" s="76" t="s">
        <v>198</v>
      </c>
      <c r="Q31" s="418"/>
      <c r="R31" s="26"/>
      <c r="S31" s="26"/>
    </row>
    <row r="32" spans="1:19" s="25" customFormat="1" ht="13.9" hidden="1" customHeight="1" outlineLevel="3" x14ac:dyDescent="0.2">
      <c r="A32" s="116">
        <f ca="1">IF($H32="UNIDADE CONSTRUTIVA",OFFSET(A32,-1,0)+1,LARGE(A$3:A31,1))</f>
        <v>0</v>
      </c>
      <c r="B32" s="116">
        <f t="shared" ca="1" si="1"/>
        <v>2</v>
      </c>
      <c r="C32" s="116">
        <f t="shared" ca="1" si="2"/>
        <v>1</v>
      </c>
      <c r="D32" s="117">
        <f t="shared" ca="1" si="3"/>
        <v>1</v>
      </c>
      <c r="E32" s="117">
        <f t="shared" ca="1" si="4"/>
        <v>7</v>
      </c>
      <c r="F32" s="438"/>
      <c r="G32" s="71"/>
      <c r="H32" s="72" t="s">
        <v>114</v>
      </c>
      <c r="I32" s="73" t="str">
        <f t="shared" ca="1" si="0"/>
        <v>02.001.001.007</v>
      </c>
      <c r="J32" s="74" t="s">
        <v>426</v>
      </c>
      <c r="K32" s="75" t="s">
        <v>67</v>
      </c>
      <c r="L32" s="114"/>
      <c r="M32" s="114">
        <f>_xlfn.XLOOKUP($J32,CPU!$D$1:$D$3085,CPU!$H$1:$H$3085)</f>
        <v>26000</v>
      </c>
      <c r="N32" s="94">
        <f t="shared" si="5"/>
        <v>0</v>
      </c>
      <c r="O32" s="121"/>
      <c r="P32" s="76" t="s">
        <v>198</v>
      </c>
      <c r="Q32" s="418"/>
      <c r="R32" s="26"/>
      <c r="S32" s="26"/>
    </row>
    <row r="33" spans="1:20" s="25" customFormat="1" ht="13.9" hidden="1" customHeight="1" outlineLevel="2" x14ac:dyDescent="0.2">
      <c r="A33" s="116">
        <f ca="1">IF($H33="UNIDADE CONSTRUTIVA",OFFSET(A33,-1,0)+1,LARGE(A$3:A32,1))</f>
        <v>0</v>
      </c>
      <c r="B33" s="116">
        <f t="shared" ca="1" si="1"/>
        <v>2</v>
      </c>
      <c r="C33" s="116">
        <f t="shared" ca="1" si="2"/>
        <v>1</v>
      </c>
      <c r="D33" s="117">
        <f t="shared" ca="1" si="3"/>
        <v>2</v>
      </c>
      <c r="E33" s="117">
        <f t="shared" ca="1" si="4"/>
        <v>0</v>
      </c>
      <c r="F33" s="438"/>
      <c r="G33" s="71"/>
      <c r="H33" s="72" t="s">
        <v>113</v>
      </c>
      <c r="I33" s="73" t="str">
        <f t="shared" ca="1" si="0"/>
        <v>02.001.002</v>
      </c>
      <c r="J33" s="74" t="s">
        <v>39</v>
      </c>
      <c r="K33" s="75"/>
      <c r="L33" s="123"/>
      <c r="M33" s="123"/>
      <c r="N33" s="94">
        <f t="shared" ca="1" si="5"/>
        <v>0</v>
      </c>
      <c r="O33" s="121"/>
      <c r="P33" s="76"/>
      <c r="Q33" s="418"/>
      <c r="R33" s="26"/>
      <c r="S33" s="26"/>
    </row>
    <row r="34" spans="1:20" s="25" customFormat="1" ht="13.9" hidden="1" customHeight="1" outlineLevel="3" x14ac:dyDescent="0.2">
      <c r="A34" s="116">
        <f ca="1">IF($H34="UNIDADE CONSTRUTIVA",OFFSET(A34,-1,0)+1,LARGE(A$3:A33,1))</f>
        <v>0</v>
      </c>
      <c r="B34" s="116">
        <f t="shared" ca="1" si="1"/>
        <v>2</v>
      </c>
      <c r="C34" s="116">
        <f t="shared" ca="1" si="2"/>
        <v>1</v>
      </c>
      <c r="D34" s="117">
        <f t="shared" ca="1" si="3"/>
        <v>2</v>
      </c>
      <c r="E34" s="117">
        <f t="shared" ca="1" si="4"/>
        <v>1</v>
      </c>
      <c r="F34" s="438"/>
      <c r="G34" s="71"/>
      <c r="H34" s="72" t="s">
        <v>114</v>
      </c>
      <c r="I34" s="73" t="str">
        <f t="shared" ca="1" si="0"/>
        <v>02.001.002.001</v>
      </c>
      <c r="J34" s="74" t="s">
        <v>40</v>
      </c>
      <c r="K34" s="75" t="s">
        <v>5</v>
      </c>
      <c r="L34" s="114"/>
      <c r="M34" s="114">
        <f>_xlfn.XLOOKUP($J34,CPU!$D$1:$D$3085,CPU!$H$1:$H$3085)</f>
        <v>6.9381450000000005</v>
      </c>
      <c r="N34" s="94">
        <f t="shared" si="5"/>
        <v>0</v>
      </c>
      <c r="O34" s="121"/>
      <c r="P34" s="76" t="s">
        <v>198</v>
      </c>
      <c r="Q34" s="418"/>
      <c r="R34" s="26"/>
      <c r="S34" s="26"/>
    </row>
    <row r="35" spans="1:20" s="25" customFormat="1" ht="13.9" hidden="1" customHeight="1" outlineLevel="3" x14ac:dyDescent="0.2">
      <c r="A35" s="116">
        <f ca="1">IF($H35="UNIDADE CONSTRUTIVA",OFFSET(A35,-1,0)+1,LARGE(A$3:A34,1))</f>
        <v>0</v>
      </c>
      <c r="B35" s="116">
        <f t="shared" ca="1" si="1"/>
        <v>2</v>
      </c>
      <c r="C35" s="116">
        <f t="shared" ca="1" si="2"/>
        <v>1</v>
      </c>
      <c r="D35" s="117">
        <f t="shared" ca="1" si="3"/>
        <v>2</v>
      </c>
      <c r="E35" s="117">
        <f t="shared" ca="1" si="4"/>
        <v>2</v>
      </c>
      <c r="F35" s="438"/>
      <c r="G35" s="71"/>
      <c r="H35" s="72" t="s">
        <v>114</v>
      </c>
      <c r="I35" s="73" t="str">
        <f t="shared" ca="1" si="0"/>
        <v>02.001.002.002</v>
      </c>
      <c r="J35" s="74" t="s">
        <v>2430</v>
      </c>
      <c r="K35" s="75" t="s">
        <v>5</v>
      </c>
      <c r="L35" s="114"/>
      <c r="M35" s="114">
        <f>_xlfn.XLOOKUP($J35,CPU!$D$1:$D$3085,CPU!$H$1:$H$3085)</f>
        <v>6.4431449999999995</v>
      </c>
      <c r="N35" s="94">
        <f t="shared" si="5"/>
        <v>0</v>
      </c>
      <c r="O35" s="121"/>
      <c r="P35" s="76" t="s">
        <v>198</v>
      </c>
      <c r="Q35" s="418"/>
      <c r="R35" s="26"/>
      <c r="S35" s="26"/>
    </row>
    <row r="36" spans="1:20" s="25" customFormat="1" ht="13.9" hidden="1" customHeight="1" outlineLevel="2" x14ac:dyDescent="0.2">
      <c r="A36" s="116">
        <f ca="1">IF($H36="UNIDADE CONSTRUTIVA",OFFSET(A36,-1,0)+1,LARGE(A$3:A35,1))</f>
        <v>0</v>
      </c>
      <c r="B36" s="116">
        <f t="shared" ca="1" si="1"/>
        <v>2</v>
      </c>
      <c r="C36" s="116">
        <f t="shared" ca="1" si="2"/>
        <v>1</v>
      </c>
      <c r="D36" s="117">
        <f t="shared" ca="1" si="3"/>
        <v>3</v>
      </c>
      <c r="E36" s="117">
        <f t="shared" ca="1" si="4"/>
        <v>0</v>
      </c>
      <c r="F36" s="438"/>
      <c r="G36" s="71"/>
      <c r="H36" s="72" t="s">
        <v>113</v>
      </c>
      <c r="I36" s="73" t="str">
        <f t="shared" ca="1" si="0"/>
        <v>02.001.003</v>
      </c>
      <c r="J36" s="74" t="s">
        <v>27</v>
      </c>
      <c r="K36" s="75"/>
      <c r="L36" s="123"/>
      <c r="M36" s="123"/>
      <c r="N36" s="94">
        <f t="shared" ca="1" si="5"/>
        <v>0</v>
      </c>
      <c r="O36" s="121"/>
      <c r="P36" s="76"/>
      <c r="Q36" s="418"/>
      <c r="R36" s="26"/>
      <c r="S36" s="26"/>
    </row>
    <row r="37" spans="1:20" s="25" customFormat="1" ht="13.9" hidden="1" customHeight="1" outlineLevel="3" x14ac:dyDescent="0.2">
      <c r="A37" s="116">
        <f ca="1">IF($H37="UNIDADE CONSTRUTIVA",OFFSET(A37,-1,0)+1,LARGE(A$3:A36,1))</f>
        <v>0</v>
      </c>
      <c r="B37" s="116">
        <f t="shared" ca="1" si="1"/>
        <v>2</v>
      </c>
      <c r="C37" s="116">
        <f t="shared" ca="1" si="2"/>
        <v>1</v>
      </c>
      <c r="D37" s="117">
        <f t="shared" ca="1" si="3"/>
        <v>3</v>
      </c>
      <c r="E37" s="117">
        <f t="shared" ca="1" si="4"/>
        <v>1</v>
      </c>
      <c r="F37" s="438"/>
      <c r="G37" s="71"/>
      <c r="H37" s="72" t="s">
        <v>114</v>
      </c>
      <c r="I37" s="73" t="str">
        <f t="shared" ca="1" si="0"/>
        <v>02.001.003.001</v>
      </c>
      <c r="J37" s="74" t="s">
        <v>440</v>
      </c>
      <c r="K37" s="75" t="s">
        <v>4</v>
      </c>
      <c r="L37" s="114"/>
      <c r="M37" s="114">
        <f>_xlfn.XLOOKUP($J37,CPU!$D$1:$D$3085,CPU!$H$1:$H$3085)</f>
        <v>693.66</v>
      </c>
      <c r="N37" s="94">
        <f t="shared" si="5"/>
        <v>0</v>
      </c>
      <c r="O37" s="121"/>
      <c r="P37" s="76" t="s">
        <v>198</v>
      </c>
      <c r="Q37" s="418"/>
      <c r="R37" s="26"/>
      <c r="S37" s="26"/>
    </row>
    <row r="38" spans="1:20" s="25" customFormat="1" ht="13.9" hidden="1" customHeight="1" outlineLevel="2" x14ac:dyDescent="0.2">
      <c r="A38" s="116">
        <f ca="1">IF($H38="UNIDADE CONSTRUTIVA",OFFSET(A38,-1,0)+1,LARGE(A$3:A37,1))</f>
        <v>0</v>
      </c>
      <c r="B38" s="116">
        <f t="shared" ca="1" si="1"/>
        <v>2</v>
      </c>
      <c r="C38" s="116">
        <f t="shared" ca="1" si="2"/>
        <v>1</v>
      </c>
      <c r="D38" s="117">
        <f t="shared" ca="1" si="3"/>
        <v>4</v>
      </c>
      <c r="E38" s="117">
        <f t="shared" ca="1" si="4"/>
        <v>0</v>
      </c>
      <c r="F38" s="438"/>
      <c r="G38" s="71"/>
      <c r="H38" s="72" t="s">
        <v>113</v>
      </c>
      <c r="I38" s="73" t="str">
        <f t="shared" ca="1" si="0"/>
        <v>02.001.004</v>
      </c>
      <c r="J38" s="74" t="s">
        <v>42</v>
      </c>
      <c r="K38" s="75"/>
      <c r="L38" s="123"/>
      <c r="M38" s="123"/>
      <c r="N38" s="94">
        <f t="shared" ca="1" si="5"/>
        <v>0</v>
      </c>
      <c r="O38" s="121"/>
      <c r="P38" s="76"/>
      <c r="Q38" s="418"/>
      <c r="R38" s="26"/>
      <c r="S38" s="26"/>
    </row>
    <row r="39" spans="1:20" s="25" customFormat="1" ht="13.9" hidden="1" customHeight="1" outlineLevel="3" x14ac:dyDescent="0.2">
      <c r="A39" s="116">
        <f ca="1">IF($H39="UNIDADE CONSTRUTIVA",OFFSET(A39,-1,0)+1,LARGE(A$3:A38,1))</f>
        <v>0</v>
      </c>
      <c r="B39" s="116">
        <f t="shared" ca="1" si="1"/>
        <v>2</v>
      </c>
      <c r="C39" s="116">
        <f t="shared" ca="1" si="2"/>
        <v>1</v>
      </c>
      <c r="D39" s="117">
        <f t="shared" ca="1" si="3"/>
        <v>4</v>
      </c>
      <c r="E39" s="117">
        <f t="shared" ca="1" si="4"/>
        <v>1</v>
      </c>
      <c r="F39" s="438"/>
      <c r="G39" s="71"/>
      <c r="H39" s="72" t="s">
        <v>114</v>
      </c>
      <c r="I39" s="73" t="str">
        <f t="shared" ca="1" si="0"/>
        <v>02.001.004.001</v>
      </c>
      <c r="J39" s="74" t="s">
        <v>200</v>
      </c>
      <c r="K39" s="75" t="s">
        <v>2</v>
      </c>
      <c r="L39" s="114"/>
      <c r="M39" s="114">
        <f>_xlfn.XLOOKUP($J39,CPU!$D$1:$D$3085,CPU!$H$1:$H$3085)</f>
        <v>300</v>
      </c>
      <c r="N39" s="94">
        <f t="shared" si="5"/>
        <v>0</v>
      </c>
      <c r="O39" s="121"/>
      <c r="P39" s="76" t="s">
        <v>198</v>
      </c>
      <c r="Q39" s="418"/>
      <c r="R39" s="26"/>
      <c r="S39" s="26"/>
    </row>
    <row r="40" spans="1:20" s="25" customFormat="1" ht="13.9" hidden="1" customHeight="1" outlineLevel="1" x14ac:dyDescent="0.2">
      <c r="A40" s="116">
        <f ca="1">IF($H40="UNIDADE CONSTRUTIVA",OFFSET(A40,-1,0)+1,LARGE(A$3:A39,1))</f>
        <v>0</v>
      </c>
      <c r="B40" s="116">
        <f t="shared" ca="1" si="1"/>
        <v>2</v>
      </c>
      <c r="C40" s="116">
        <f t="shared" ca="1" si="2"/>
        <v>2</v>
      </c>
      <c r="D40" s="117">
        <f t="shared" ca="1" si="3"/>
        <v>0</v>
      </c>
      <c r="E40" s="117">
        <f t="shared" ca="1" si="4"/>
        <v>1</v>
      </c>
      <c r="F40" s="438"/>
      <c r="G40" s="71"/>
      <c r="H40" s="72" t="s">
        <v>112</v>
      </c>
      <c r="I40" s="73" t="str">
        <f t="shared" ca="1" si="0"/>
        <v>02.002</v>
      </c>
      <c r="J40" s="74" t="s">
        <v>34</v>
      </c>
      <c r="K40" s="75"/>
      <c r="L40" s="114"/>
      <c r="M40" s="114"/>
      <c r="N40" s="94">
        <f t="shared" ca="1" si="5"/>
        <v>0</v>
      </c>
      <c r="O40" s="121">
        <f ca="1">N40/'Obra '!$E$9</f>
        <v>0</v>
      </c>
      <c r="P40" s="76"/>
      <c r="Q40" s="418"/>
      <c r="R40" s="26"/>
      <c r="S40" s="26"/>
    </row>
    <row r="41" spans="1:20" s="25" customFormat="1" ht="13.9" hidden="1" customHeight="1" outlineLevel="2" x14ac:dyDescent="0.2">
      <c r="A41" s="116">
        <f ca="1">IF($H41="UNIDADE CONSTRUTIVA",OFFSET(A41,-1,0)+1,LARGE(A$3:A40,1))</f>
        <v>0</v>
      </c>
      <c r="B41" s="116">
        <f t="shared" ca="1" si="1"/>
        <v>2</v>
      </c>
      <c r="C41" s="116">
        <f t="shared" ca="1" si="2"/>
        <v>2</v>
      </c>
      <c r="D41" s="117">
        <f t="shared" ca="1" si="3"/>
        <v>1</v>
      </c>
      <c r="E41" s="117">
        <f t="shared" ca="1" si="4"/>
        <v>0</v>
      </c>
      <c r="F41" s="438"/>
      <c r="G41" s="71"/>
      <c r="H41" s="72" t="s">
        <v>113</v>
      </c>
      <c r="I41" s="73" t="str">
        <f t="shared" ca="1" si="0"/>
        <v>02.002.001</v>
      </c>
      <c r="J41" s="74" t="s">
        <v>43</v>
      </c>
      <c r="K41" s="75"/>
      <c r="L41" s="114"/>
      <c r="M41" s="114"/>
      <c r="N41" s="94">
        <f t="shared" ca="1" si="5"/>
        <v>0</v>
      </c>
      <c r="O41" s="121"/>
      <c r="P41" s="76"/>
      <c r="Q41" s="418"/>
      <c r="R41" s="26"/>
      <c r="S41" s="26"/>
    </row>
    <row r="42" spans="1:20" s="25" customFormat="1" ht="13.9" hidden="1" customHeight="1" outlineLevel="3" x14ac:dyDescent="0.2">
      <c r="A42" s="116">
        <f ca="1">IF($H42="UNIDADE CONSTRUTIVA",OFFSET(A42,-1,0)+1,LARGE(A$3:A41,1))</f>
        <v>0</v>
      </c>
      <c r="B42" s="116">
        <f t="shared" ca="1" si="1"/>
        <v>2</v>
      </c>
      <c r="C42" s="116">
        <f t="shared" ca="1" si="2"/>
        <v>2</v>
      </c>
      <c r="D42" s="117">
        <f t="shared" ca="1" si="3"/>
        <v>1</v>
      </c>
      <c r="E42" s="117">
        <f t="shared" ca="1" si="4"/>
        <v>1</v>
      </c>
      <c r="F42" s="438"/>
      <c r="G42" s="71"/>
      <c r="H42" s="72" t="s">
        <v>114</v>
      </c>
      <c r="I42" s="73" t="str">
        <f t="shared" ca="1" si="0"/>
        <v>02.002.001.001</v>
      </c>
      <c r="J42" s="74" t="s">
        <v>448</v>
      </c>
      <c r="K42" s="75" t="s">
        <v>1</v>
      </c>
      <c r="L42" s="443"/>
      <c r="M42" s="114">
        <f>_xlfn.XLOOKUP($J42,CPU!$D$1:$D$3085,CPU!$H$1:$H$3085)</f>
        <v>59.956228571428568</v>
      </c>
      <c r="N42" s="94">
        <f t="shared" si="5"/>
        <v>0</v>
      </c>
      <c r="O42" s="442" t="s">
        <v>2460</v>
      </c>
      <c r="P42" s="76" t="s">
        <v>198</v>
      </c>
      <c r="Q42" s="418"/>
      <c r="R42" s="26"/>
      <c r="S42" s="26"/>
    </row>
    <row r="43" spans="1:20" s="25" customFormat="1" ht="13.9" hidden="1" customHeight="1" outlineLevel="2" x14ac:dyDescent="0.2">
      <c r="A43" s="116">
        <f ca="1">IF($H43="UNIDADE CONSTRUTIVA",OFFSET(A43,-1,0)+1,LARGE(A$3:A42,1))</f>
        <v>0</v>
      </c>
      <c r="B43" s="116">
        <f t="shared" ca="1" si="1"/>
        <v>2</v>
      </c>
      <c r="C43" s="116">
        <f t="shared" ca="1" si="2"/>
        <v>2</v>
      </c>
      <c r="D43" s="117">
        <f t="shared" ca="1" si="3"/>
        <v>2</v>
      </c>
      <c r="E43" s="117">
        <f t="shared" ca="1" si="4"/>
        <v>0</v>
      </c>
      <c r="F43" s="438"/>
      <c r="G43" s="71"/>
      <c r="H43" s="72" t="s">
        <v>113</v>
      </c>
      <c r="I43" s="73" t="str">
        <f t="shared" ca="1" si="0"/>
        <v>02.002.002</v>
      </c>
      <c r="J43" s="74" t="s">
        <v>39</v>
      </c>
      <c r="K43" s="75"/>
      <c r="L43" s="123"/>
      <c r="M43" s="420"/>
      <c r="N43" s="94">
        <f t="shared" ca="1" si="5"/>
        <v>0</v>
      </c>
      <c r="O43" s="121"/>
      <c r="P43" s="76"/>
      <c r="Q43" s="418"/>
      <c r="R43" s="26"/>
      <c r="S43" s="26"/>
      <c r="T43" s="26"/>
    </row>
    <row r="44" spans="1:20" s="25" customFormat="1" ht="13.9" hidden="1" customHeight="1" outlineLevel="3" x14ac:dyDescent="0.2">
      <c r="A44" s="116">
        <f ca="1">IF($H44="UNIDADE CONSTRUTIVA",OFFSET(A44,-1,0)+1,LARGE(A$3:A43,1))</f>
        <v>0</v>
      </c>
      <c r="B44" s="116">
        <f t="shared" ca="1" si="1"/>
        <v>2</v>
      </c>
      <c r="C44" s="116">
        <f t="shared" ca="1" si="2"/>
        <v>2</v>
      </c>
      <c r="D44" s="117">
        <f t="shared" ca="1" si="3"/>
        <v>2</v>
      </c>
      <c r="E44" s="117">
        <f t="shared" ca="1" si="4"/>
        <v>1</v>
      </c>
      <c r="F44" s="438"/>
      <c r="G44" s="71"/>
      <c r="H44" s="72" t="s">
        <v>114</v>
      </c>
      <c r="I44" s="73" t="str">
        <f t="shared" ref="I44:I64" ca="1" si="6">IF(H44="Unidade Construtiva",TEXT(A44,"00"),IF(H44="Célula Construtiva",TEXT(B44,"00"),IF(H44="Etapa",CONCATENATE(TEXT(B44,"00"),".",TEXT(C44,"000")),IF(H44="Subetapa",CONCATENATE(TEXT(B44,"00"),".",TEXT(C44,"000"),".",TEXT(D44,"000")),IF(H44="Serviço",CONCATENATE(TEXT(B44,"00"),".",TEXT(C44,"000"),".",TEXT(D44,"000"),".",TEXT(E44,"000")),"")))))</f>
        <v>02.002.002.001</v>
      </c>
      <c r="J44" s="74" t="s">
        <v>96</v>
      </c>
      <c r="K44" s="75" t="s">
        <v>5</v>
      </c>
      <c r="L44" s="114"/>
      <c r="M44" s="114">
        <f>(_xlfn.XLOOKUP($J44,CPU!$D$1:$D$3085,CPU!$H$1:$H$3085))*1.1</f>
        <v>7.6319595000000007</v>
      </c>
      <c r="N44" s="94">
        <f t="shared" si="5"/>
        <v>0</v>
      </c>
      <c r="O44" s="121" t="s">
        <v>2461</v>
      </c>
      <c r="P44" s="76" t="s">
        <v>198</v>
      </c>
      <c r="Q44" s="418"/>
      <c r="R44" s="26"/>
      <c r="S44" s="26"/>
      <c r="T44" s="26"/>
    </row>
    <row r="45" spans="1:20" s="25" customFormat="1" ht="13.9" hidden="1" customHeight="1" outlineLevel="3" x14ac:dyDescent="0.2">
      <c r="A45" s="116">
        <f ca="1">IF($H45="UNIDADE CONSTRUTIVA",OFFSET(A45,-1,0)+1,LARGE(A$3:A44,1))</f>
        <v>0</v>
      </c>
      <c r="B45" s="116">
        <f t="shared" ca="1" si="1"/>
        <v>2</v>
      </c>
      <c r="C45" s="116">
        <f t="shared" ca="1" si="2"/>
        <v>2</v>
      </c>
      <c r="D45" s="117">
        <f t="shared" ca="1" si="3"/>
        <v>2</v>
      </c>
      <c r="E45" s="117">
        <f t="shared" ca="1" si="4"/>
        <v>2</v>
      </c>
      <c r="F45" s="438"/>
      <c r="G45" s="71"/>
      <c r="H45" s="72" t="s">
        <v>114</v>
      </c>
      <c r="I45" s="73" t="str">
        <f t="shared" ca="1" si="6"/>
        <v>02.002.002.002</v>
      </c>
      <c r="J45" s="74" t="s">
        <v>44</v>
      </c>
      <c r="K45" s="75" t="s">
        <v>5</v>
      </c>
      <c r="L45" s="114"/>
      <c r="M45" s="114">
        <f>(_xlfn.XLOOKUP($J45,CPU!$D$1:$D$3085,CPU!$H$1:$H$3085))*1.1</f>
        <v>7.6319595000000007</v>
      </c>
      <c r="N45" s="94">
        <f t="shared" si="5"/>
        <v>0</v>
      </c>
      <c r="O45" s="121" t="s">
        <v>2461</v>
      </c>
      <c r="P45" s="76" t="s">
        <v>198</v>
      </c>
      <c r="Q45" s="418"/>
      <c r="R45" s="26"/>
      <c r="S45" s="26"/>
      <c r="T45" s="26"/>
    </row>
    <row r="46" spans="1:20" s="25" customFormat="1" ht="13.9" hidden="1" customHeight="1" outlineLevel="3" x14ac:dyDescent="0.2">
      <c r="A46" s="116">
        <f ca="1">IF($H46="UNIDADE CONSTRUTIVA",OFFSET(A46,-1,0)+1,LARGE(A$3:A45,1))</f>
        <v>0</v>
      </c>
      <c r="B46" s="116">
        <f t="shared" ca="1" si="1"/>
        <v>2</v>
      </c>
      <c r="C46" s="116">
        <f t="shared" ca="1" si="2"/>
        <v>2</v>
      </c>
      <c r="D46" s="117">
        <f t="shared" ca="1" si="3"/>
        <v>2</v>
      </c>
      <c r="E46" s="117">
        <f t="shared" ca="1" si="4"/>
        <v>3</v>
      </c>
      <c r="F46" s="438"/>
      <c r="G46" s="71"/>
      <c r="H46" s="72" t="s">
        <v>114</v>
      </c>
      <c r="I46" s="73" t="str">
        <f t="shared" ca="1" si="6"/>
        <v>02.002.002.003</v>
      </c>
      <c r="J46" s="74" t="s">
        <v>45</v>
      </c>
      <c r="K46" s="75" t="s">
        <v>5</v>
      </c>
      <c r="L46" s="114"/>
      <c r="M46" s="114">
        <f>(_xlfn.XLOOKUP($J46,CPU!$D$1:$D$3085,CPU!$H$1:$H$3085))*1.1</f>
        <v>7.2931595000000007</v>
      </c>
      <c r="N46" s="94">
        <f t="shared" si="5"/>
        <v>0</v>
      </c>
      <c r="O46" s="121" t="s">
        <v>2461</v>
      </c>
      <c r="P46" s="76" t="s">
        <v>198</v>
      </c>
      <c r="Q46" s="418"/>
      <c r="R46" s="26"/>
      <c r="S46" s="26"/>
      <c r="T46" s="26"/>
    </row>
    <row r="47" spans="1:20" s="25" customFormat="1" ht="13.9" hidden="1" customHeight="1" outlineLevel="3" x14ac:dyDescent="0.2">
      <c r="A47" s="116">
        <f ca="1">IF($H47="UNIDADE CONSTRUTIVA",OFFSET(A47,-1,0)+1,LARGE(A$3:A46,1))</f>
        <v>0</v>
      </c>
      <c r="B47" s="116">
        <f t="shared" ca="1" si="1"/>
        <v>2</v>
      </c>
      <c r="C47" s="116">
        <f t="shared" ca="1" si="2"/>
        <v>2</v>
      </c>
      <c r="D47" s="117">
        <f t="shared" ca="1" si="3"/>
        <v>2</v>
      </c>
      <c r="E47" s="117">
        <f t="shared" ca="1" si="4"/>
        <v>4</v>
      </c>
      <c r="F47" s="438"/>
      <c r="G47" s="71"/>
      <c r="H47" s="72" t="s">
        <v>114</v>
      </c>
      <c r="I47" s="73" t="str">
        <f t="shared" ca="1" si="6"/>
        <v>02.002.002.004</v>
      </c>
      <c r="J47" s="74" t="s">
        <v>97</v>
      </c>
      <c r="K47" s="75" t="s">
        <v>5</v>
      </c>
      <c r="L47" s="114"/>
      <c r="M47" s="114">
        <f>(_xlfn.XLOOKUP($J47,CPU!$D$1:$D$3085,CPU!$H$1:$H$3085))*1.1</f>
        <v>7.0874594999999996</v>
      </c>
      <c r="N47" s="94">
        <f t="shared" si="5"/>
        <v>0</v>
      </c>
      <c r="O47" s="121" t="s">
        <v>2461</v>
      </c>
      <c r="P47" s="76" t="s">
        <v>198</v>
      </c>
      <c r="Q47" s="418"/>
      <c r="R47" s="26"/>
      <c r="S47" s="26"/>
      <c r="T47" s="26"/>
    </row>
    <row r="48" spans="1:20" s="25" customFormat="1" ht="13.9" hidden="1" customHeight="1" outlineLevel="3" x14ac:dyDescent="0.2">
      <c r="A48" s="116">
        <f ca="1">IF($H48="UNIDADE CONSTRUTIVA",OFFSET(A48,-1,0)+1,LARGE(A$3:A47,1))</f>
        <v>0</v>
      </c>
      <c r="B48" s="116">
        <f t="shared" ca="1" si="1"/>
        <v>2</v>
      </c>
      <c r="C48" s="116">
        <f t="shared" ca="1" si="2"/>
        <v>2</v>
      </c>
      <c r="D48" s="117">
        <f t="shared" ca="1" si="3"/>
        <v>2</v>
      </c>
      <c r="E48" s="117">
        <f t="shared" ca="1" si="4"/>
        <v>5</v>
      </c>
      <c r="F48" s="438"/>
      <c r="G48" s="71"/>
      <c r="H48" s="72" t="s">
        <v>114</v>
      </c>
      <c r="I48" s="73" t="str">
        <f t="shared" ca="1" si="6"/>
        <v>02.002.002.005</v>
      </c>
      <c r="J48" s="74" t="s">
        <v>46</v>
      </c>
      <c r="K48" s="75" t="s">
        <v>5</v>
      </c>
      <c r="L48" s="114"/>
      <c r="M48" s="114">
        <f>(_xlfn.XLOOKUP($J48,CPU!$D$1:$D$3085,CPU!$H$1:$H$3085))*1.1</f>
        <v>7.0874594999999996</v>
      </c>
      <c r="N48" s="94">
        <f t="shared" si="5"/>
        <v>0</v>
      </c>
      <c r="O48" s="121" t="s">
        <v>2461</v>
      </c>
      <c r="P48" s="76" t="s">
        <v>198</v>
      </c>
      <c r="Q48" s="418"/>
      <c r="R48" s="26"/>
      <c r="S48" s="26"/>
      <c r="T48" s="26"/>
    </row>
    <row r="49" spans="1:20" s="25" customFormat="1" ht="13.9" hidden="1" customHeight="1" outlineLevel="3" x14ac:dyDescent="0.2">
      <c r="A49" s="116">
        <f ca="1">IF($H49="UNIDADE CONSTRUTIVA",OFFSET(A49,-1,0)+1,LARGE(A$3:A48,1))</f>
        <v>0</v>
      </c>
      <c r="B49" s="116">
        <f t="shared" ca="1" si="1"/>
        <v>2</v>
      </c>
      <c r="C49" s="116">
        <f t="shared" ca="1" si="2"/>
        <v>2</v>
      </c>
      <c r="D49" s="117">
        <f t="shared" ca="1" si="3"/>
        <v>2</v>
      </c>
      <c r="E49" s="117">
        <f t="shared" ca="1" si="4"/>
        <v>6</v>
      </c>
      <c r="F49" s="438"/>
      <c r="G49" s="71"/>
      <c r="H49" s="72" t="s">
        <v>114</v>
      </c>
      <c r="I49" s="73" t="str">
        <f t="shared" ca="1" si="6"/>
        <v>02.002.002.006</v>
      </c>
      <c r="J49" s="74" t="s">
        <v>98</v>
      </c>
      <c r="K49" s="75" t="s">
        <v>5</v>
      </c>
      <c r="L49" s="114"/>
      <c r="M49" s="114">
        <f>(_xlfn.XLOOKUP($J49,CPU!$D$1:$D$3085,CPU!$H$1:$H$3085))*1.1</f>
        <v>7.0874594999999996</v>
      </c>
      <c r="N49" s="94">
        <f t="shared" si="5"/>
        <v>0</v>
      </c>
      <c r="O49" s="121" t="s">
        <v>2461</v>
      </c>
      <c r="P49" s="76" t="s">
        <v>198</v>
      </c>
      <c r="Q49" s="418"/>
      <c r="R49" s="26"/>
      <c r="S49" s="26"/>
      <c r="T49" s="26"/>
    </row>
    <row r="50" spans="1:20" s="25" customFormat="1" ht="13.9" hidden="1" customHeight="1" outlineLevel="3" x14ac:dyDescent="0.2">
      <c r="A50" s="116">
        <f ca="1">IF($H50="UNIDADE CONSTRUTIVA",OFFSET(A50,-1,0)+1,LARGE(A$3:A49,1))</f>
        <v>0</v>
      </c>
      <c r="B50" s="116">
        <f t="shared" ca="1" si="1"/>
        <v>2</v>
      </c>
      <c r="C50" s="116">
        <f t="shared" ca="1" si="2"/>
        <v>2</v>
      </c>
      <c r="D50" s="117">
        <f t="shared" ca="1" si="3"/>
        <v>2</v>
      </c>
      <c r="E50" s="117">
        <f t="shared" ca="1" si="4"/>
        <v>7</v>
      </c>
      <c r="F50" s="438"/>
      <c r="G50" s="71"/>
      <c r="H50" s="72" t="s">
        <v>114</v>
      </c>
      <c r="I50" s="73" t="str">
        <f t="shared" ca="1" si="6"/>
        <v>02.002.002.007</v>
      </c>
      <c r="J50" s="74" t="s">
        <v>202</v>
      </c>
      <c r="K50" s="75" t="s">
        <v>5</v>
      </c>
      <c r="L50" s="114"/>
      <c r="M50" s="114">
        <f>(_xlfn.XLOOKUP($J50,CPU!$D$1:$D$3085,CPU!$H$1:$H$3085))*1.1</f>
        <v>7.3778595000000005</v>
      </c>
      <c r="N50" s="94">
        <f t="shared" si="5"/>
        <v>0</v>
      </c>
      <c r="O50" s="121" t="s">
        <v>2461</v>
      </c>
      <c r="P50" s="76" t="s">
        <v>198</v>
      </c>
      <c r="Q50" s="418"/>
      <c r="R50" s="26"/>
      <c r="S50" s="26"/>
      <c r="T50" s="26"/>
    </row>
    <row r="51" spans="1:20" s="25" customFormat="1" ht="13.9" hidden="1" customHeight="1" outlineLevel="3" x14ac:dyDescent="0.2">
      <c r="A51" s="116">
        <f ca="1">IF($H51="UNIDADE CONSTRUTIVA",OFFSET(A51,-1,0)+1,LARGE(A$3:A50,1))</f>
        <v>0</v>
      </c>
      <c r="B51" s="116">
        <f t="shared" ca="1" si="1"/>
        <v>2</v>
      </c>
      <c r="C51" s="116">
        <f t="shared" ca="1" si="2"/>
        <v>2</v>
      </c>
      <c r="D51" s="117">
        <f t="shared" ca="1" si="3"/>
        <v>2</v>
      </c>
      <c r="E51" s="117">
        <f t="shared" ca="1" si="4"/>
        <v>8</v>
      </c>
      <c r="F51" s="438"/>
      <c r="G51" s="71"/>
      <c r="H51" s="72" t="s">
        <v>114</v>
      </c>
      <c r="I51" s="73" t="str">
        <f t="shared" ca="1" si="6"/>
        <v>02.002.002.008</v>
      </c>
      <c r="J51" s="74" t="s">
        <v>455</v>
      </c>
      <c r="K51" s="75" t="s">
        <v>5</v>
      </c>
      <c r="L51" s="114"/>
      <c r="M51" s="114">
        <f>(_xlfn.XLOOKUP($J51,CPU!$D$1:$D$3085,CPU!$H$1:$H$3085))*1.1</f>
        <v>8.2369595000000011</v>
      </c>
      <c r="N51" s="94">
        <f t="shared" si="5"/>
        <v>0</v>
      </c>
      <c r="O51" s="121" t="s">
        <v>2461</v>
      </c>
      <c r="P51" s="76" t="s">
        <v>198</v>
      </c>
      <c r="Q51" s="418"/>
      <c r="R51" s="26"/>
      <c r="S51" s="26"/>
      <c r="T51" s="26"/>
    </row>
    <row r="52" spans="1:20" s="25" customFormat="1" ht="13.9" hidden="1" customHeight="1" outlineLevel="2" x14ac:dyDescent="0.2">
      <c r="A52" s="116">
        <f ca="1">IF($H52="UNIDADE CONSTRUTIVA",OFFSET(A52,-1,0)+1,LARGE(A$3:A51,1))</f>
        <v>0</v>
      </c>
      <c r="B52" s="116">
        <f t="shared" ca="1" si="1"/>
        <v>2</v>
      </c>
      <c r="C52" s="116">
        <f t="shared" ca="1" si="2"/>
        <v>2</v>
      </c>
      <c r="D52" s="117">
        <f t="shared" ca="1" si="3"/>
        <v>3</v>
      </c>
      <c r="E52" s="117">
        <f t="shared" ca="1" si="4"/>
        <v>0</v>
      </c>
      <c r="F52" s="438"/>
      <c r="G52" s="71"/>
      <c r="H52" s="72" t="s">
        <v>113</v>
      </c>
      <c r="I52" s="73" t="str">
        <f t="shared" ca="1" si="6"/>
        <v>02.002.003</v>
      </c>
      <c r="J52" s="74" t="s">
        <v>27</v>
      </c>
      <c r="K52" s="75"/>
      <c r="L52" s="123"/>
      <c r="M52" s="123"/>
      <c r="N52" s="94">
        <f t="shared" ca="1" si="5"/>
        <v>0</v>
      </c>
      <c r="O52" s="121"/>
      <c r="P52" s="76"/>
      <c r="Q52" s="418"/>
      <c r="R52" s="26"/>
      <c r="S52" s="26"/>
    </row>
    <row r="53" spans="1:20" s="25" customFormat="1" ht="13.15" hidden="1" customHeight="1" outlineLevel="2" x14ac:dyDescent="0.2">
      <c r="A53" s="116">
        <f ca="1">IF($H53="UNIDADE CONSTRUTIVA",OFFSET(A53,-1,0)+1,LARGE(A$3:A52,1))</f>
        <v>0</v>
      </c>
      <c r="B53" s="116">
        <f t="shared" ca="1" si="1"/>
        <v>2</v>
      </c>
      <c r="C53" s="116">
        <f t="shared" ca="1" si="2"/>
        <v>2</v>
      </c>
      <c r="D53" s="117">
        <f t="shared" ca="1" si="3"/>
        <v>3</v>
      </c>
      <c r="E53" s="117">
        <f t="shared" ca="1" si="4"/>
        <v>1</v>
      </c>
      <c r="F53" s="438"/>
      <c r="G53" s="71"/>
      <c r="H53" s="72" t="s">
        <v>114</v>
      </c>
      <c r="I53" s="73" t="str">
        <f t="shared" ca="1" si="6"/>
        <v>02.002.003.001</v>
      </c>
      <c r="J53" s="444" t="s">
        <v>2358</v>
      </c>
      <c r="K53" s="445" t="s">
        <v>1</v>
      </c>
      <c r="L53" s="443"/>
      <c r="M53" s="443"/>
      <c r="N53" s="446">
        <f t="shared" si="5"/>
        <v>0</v>
      </c>
      <c r="O53" s="447" t="s">
        <v>2359</v>
      </c>
      <c r="P53" s="76" t="s">
        <v>101</v>
      </c>
      <c r="Q53" s="418"/>
      <c r="R53" s="26"/>
      <c r="S53" s="26"/>
    </row>
    <row r="54" spans="1:20" s="25" customFormat="1" ht="13.9" hidden="1" customHeight="1" outlineLevel="3" x14ac:dyDescent="0.2">
      <c r="A54" s="116">
        <f ca="1">IF($H54="UNIDADE CONSTRUTIVA",OFFSET(A54,-1,0)+1,LARGE(A$3:A53,1))</f>
        <v>0</v>
      </c>
      <c r="B54" s="116">
        <f t="shared" ca="1" si="1"/>
        <v>2</v>
      </c>
      <c r="C54" s="116">
        <f t="shared" ca="1" si="2"/>
        <v>2</v>
      </c>
      <c r="D54" s="117">
        <f t="shared" ca="1" si="3"/>
        <v>3</v>
      </c>
      <c r="E54" s="117">
        <f t="shared" ca="1" si="4"/>
        <v>2</v>
      </c>
      <c r="F54" s="438"/>
      <c r="G54" s="71"/>
      <c r="H54" s="72" t="s">
        <v>114</v>
      </c>
      <c r="I54" s="73" t="str">
        <f t="shared" ca="1" si="6"/>
        <v>02.002.003.002</v>
      </c>
      <c r="J54" s="74" t="s">
        <v>456</v>
      </c>
      <c r="K54" s="75" t="s">
        <v>4</v>
      </c>
      <c r="L54" s="114"/>
      <c r="M54" s="114">
        <f>_xlfn.XLOOKUP($J54,CPU!$D$1:$D$3085,CPU!$H$1:$H$3085)</f>
        <v>578.26</v>
      </c>
      <c r="N54" s="94">
        <f t="shared" si="5"/>
        <v>0</v>
      </c>
      <c r="O54" s="121" t="s">
        <v>2454</v>
      </c>
      <c r="P54" s="76" t="s">
        <v>198</v>
      </c>
      <c r="Q54" s="418"/>
      <c r="R54" s="26"/>
      <c r="S54" s="26"/>
    </row>
    <row r="55" spans="1:20" s="25" customFormat="1" ht="13.9" hidden="1" customHeight="1" outlineLevel="3" x14ac:dyDescent="0.2">
      <c r="A55" s="116">
        <f ca="1">IF($H55="UNIDADE CONSTRUTIVA",OFFSET(A55,-1,0)+1,LARGE(A$3:A54,1))</f>
        <v>0</v>
      </c>
      <c r="B55" s="116">
        <f t="shared" ca="1" si="1"/>
        <v>2</v>
      </c>
      <c r="C55" s="116">
        <f t="shared" ca="1" si="2"/>
        <v>2</v>
      </c>
      <c r="D55" s="117">
        <f t="shared" ca="1" si="3"/>
        <v>3</v>
      </c>
      <c r="E55" s="117">
        <f t="shared" ca="1" si="4"/>
        <v>3</v>
      </c>
      <c r="F55" s="438"/>
      <c r="G55" s="71"/>
      <c r="H55" s="72" t="s">
        <v>114</v>
      </c>
      <c r="I55" s="73" t="str">
        <f t="shared" ca="1" si="6"/>
        <v>02.002.003.003</v>
      </c>
      <c r="J55" s="74" t="s">
        <v>2446</v>
      </c>
      <c r="K55" s="75" t="s">
        <v>3</v>
      </c>
      <c r="L55" s="114"/>
      <c r="M55" s="114">
        <f>_xlfn.XLOOKUP($J55,CPU!$D$1:$D$3085,CPU!$H$1:$H$3085)</f>
        <v>5.1066666666666665</v>
      </c>
      <c r="N55" s="94">
        <f t="shared" si="5"/>
        <v>0</v>
      </c>
      <c r="O55" s="121"/>
      <c r="P55" s="76" t="s">
        <v>198</v>
      </c>
      <c r="Q55" s="418"/>
      <c r="R55" s="26"/>
      <c r="S55" s="26"/>
    </row>
    <row r="56" spans="1:20" s="25" customFormat="1" ht="13.9" hidden="1" customHeight="1" outlineLevel="2" x14ac:dyDescent="0.2">
      <c r="A56" s="116">
        <f ca="1">IF($H56="UNIDADE CONSTRUTIVA",OFFSET(A56,-1,0)+1,LARGE(A$3:A55,1))</f>
        <v>0</v>
      </c>
      <c r="B56" s="116">
        <f t="shared" ca="1" si="1"/>
        <v>2</v>
      </c>
      <c r="C56" s="116">
        <f t="shared" ca="1" si="2"/>
        <v>2</v>
      </c>
      <c r="D56" s="117">
        <f t="shared" ca="1" si="3"/>
        <v>4</v>
      </c>
      <c r="E56" s="117">
        <f t="shared" ca="1" si="4"/>
        <v>0</v>
      </c>
      <c r="F56" s="438"/>
      <c r="G56" s="71"/>
      <c r="H56" s="72" t="s">
        <v>113</v>
      </c>
      <c r="I56" s="73" t="str">
        <f t="shared" ca="1" si="6"/>
        <v>02.002.004</v>
      </c>
      <c r="J56" s="74" t="s">
        <v>42</v>
      </c>
      <c r="K56" s="75"/>
      <c r="L56" s="123"/>
      <c r="M56" s="123"/>
      <c r="N56" s="94">
        <f t="shared" ca="1" si="5"/>
        <v>0</v>
      </c>
      <c r="O56" s="121"/>
      <c r="P56" s="76"/>
      <c r="Q56" s="418"/>
      <c r="R56" s="26"/>
      <c r="S56" s="26"/>
    </row>
    <row r="57" spans="1:20" s="25" customFormat="1" ht="13.9" hidden="1" customHeight="1" outlineLevel="3" x14ac:dyDescent="0.2">
      <c r="A57" s="116">
        <f ca="1">IF($H57="UNIDADE CONSTRUTIVA",OFFSET(A57,-1,0)+1,LARGE(A$3:A56,1))</f>
        <v>0</v>
      </c>
      <c r="B57" s="116">
        <f t="shared" ca="1" si="1"/>
        <v>2</v>
      </c>
      <c r="C57" s="116">
        <f t="shared" ca="1" si="2"/>
        <v>2</v>
      </c>
      <c r="D57" s="117">
        <f t="shared" ca="1" si="3"/>
        <v>4</v>
      </c>
      <c r="E57" s="117">
        <f t="shared" ca="1" si="4"/>
        <v>1</v>
      </c>
      <c r="F57" s="438"/>
      <c r="G57" s="71"/>
      <c r="H57" s="72" t="s">
        <v>114</v>
      </c>
      <c r="I57" s="73" t="str">
        <f t="shared" ca="1" si="6"/>
        <v>02.002.004.001</v>
      </c>
      <c r="J57" s="74" t="s">
        <v>463</v>
      </c>
      <c r="K57" s="75" t="s">
        <v>1</v>
      </c>
      <c r="L57" s="114"/>
      <c r="M57" s="114">
        <v>360</v>
      </c>
      <c r="N57" s="94">
        <f t="shared" si="5"/>
        <v>0</v>
      </c>
      <c r="O57" s="121"/>
      <c r="P57" s="76" t="s">
        <v>198</v>
      </c>
      <c r="Q57" s="418"/>
      <c r="R57" s="26"/>
      <c r="S57" s="26"/>
    </row>
    <row r="58" spans="1:20" s="25" customFormat="1" ht="13.9" customHeight="1" collapsed="1" x14ac:dyDescent="0.2">
      <c r="A58" s="116">
        <f ca="1">IF($H58="UNIDADE CONSTRUTIVA",OFFSET(A58,-1,0)+1,LARGE(A$3:A57,1))</f>
        <v>0</v>
      </c>
      <c r="B58" s="116">
        <f t="shared" ca="1" si="1"/>
        <v>3</v>
      </c>
      <c r="C58" s="116">
        <f t="shared" ca="1" si="2"/>
        <v>0</v>
      </c>
      <c r="D58" s="117">
        <f t="shared" ca="1" si="3"/>
        <v>4</v>
      </c>
      <c r="E58" s="117">
        <f t="shared" ca="1" si="4"/>
        <v>1</v>
      </c>
      <c r="F58" s="438"/>
      <c r="G58" s="71"/>
      <c r="H58" s="72" t="s">
        <v>111</v>
      </c>
      <c r="I58" s="73" t="str">
        <f t="shared" ca="1" si="6"/>
        <v>03</v>
      </c>
      <c r="J58" s="74" t="s">
        <v>2443</v>
      </c>
      <c r="K58" s="75"/>
      <c r="L58" s="114"/>
      <c r="M58" s="114"/>
      <c r="N58" s="94">
        <f t="shared" ca="1" si="5"/>
        <v>0</v>
      </c>
      <c r="O58" s="121">
        <f ca="1">N58/'Obra '!$E$9</f>
        <v>0</v>
      </c>
      <c r="P58" s="76"/>
      <c r="Q58" s="418" t="s">
        <v>2443</v>
      </c>
      <c r="R58" s="26"/>
      <c r="S58" s="26"/>
    </row>
    <row r="59" spans="1:20" s="25" customFormat="1" ht="13.9" hidden="1" customHeight="1" outlineLevel="1" x14ac:dyDescent="0.2">
      <c r="A59" s="116">
        <f ca="1">IF($H59="UNIDADE CONSTRUTIVA",OFFSET(A59,-1,0)+1,LARGE(A$3:A58,1))</f>
        <v>0</v>
      </c>
      <c r="B59" s="116">
        <f t="shared" ca="1" si="1"/>
        <v>3</v>
      </c>
      <c r="C59" s="116">
        <f t="shared" ca="1" si="2"/>
        <v>1</v>
      </c>
      <c r="D59" s="117">
        <f t="shared" ca="1" si="3"/>
        <v>0</v>
      </c>
      <c r="E59" s="117">
        <f t="shared" ca="1" si="4"/>
        <v>1</v>
      </c>
      <c r="F59" s="438"/>
      <c r="G59" s="71"/>
      <c r="H59" s="72" t="s">
        <v>112</v>
      </c>
      <c r="I59" s="73" t="str">
        <f t="shared" ca="1" si="6"/>
        <v>03.001</v>
      </c>
      <c r="J59" s="74" t="s">
        <v>2443</v>
      </c>
      <c r="K59" s="75"/>
      <c r="L59" s="114"/>
      <c r="M59" s="114"/>
      <c r="N59" s="94">
        <f t="shared" ca="1" si="5"/>
        <v>0</v>
      </c>
      <c r="O59" s="121">
        <f ca="1">N59/'Obra '!$E$9</f>
        <v>0</v>
      </c>
      <c r="P59" s="76"/>
      <c r="Q59" s="418"/>
      <c r="R59" s="26"/>
      <c r="S59" s="26"/>
    </row>
    <row r="60" spans="1:20" s="25" customFormat="1" ht="13.9" hidden="1" customHeight="1" outlineLevel="2" x14ac:dyDescent="0.2">
      <c r="A60" s="116">
        <f ca="1">IF($H60="UNIDADE CONSTRUTIVA",OFFSET(A60,-1,0)+1,LARGE(A$3:A59,1))</f>
        <v>0</v>
      </c>
      <c r="B60" s="116">
        <f t="shared" ca="1" si="1"/>
        <v>3</v>
      </c>
      <c r="C60" s="116">
        <f t="shared" ca="1" si="2"/>
        <v>1</v>
      </c>
      <c r="D60" s="117">
        <f t="shared" ca="1" si="3"/>
        <v>1</v>
      </c>
      <c r="E60" s="117">
        <f t="shared" ca="1" si="4"/>
        <v>0</v>
      </c>
      <c r="F60" s="438"/>
      <c r="G60" s="71"/>
      <c r="H60" s="72" t="s">
        <v>113</v>
      </c>
      <c r="I60" s="73" t="str">
        <f t="shared" ca="1" si="6"/>
        <v>03.001.001</v>
      </c>
      <c r="J60" s="74" t="s">
        <v>38</v>
      </c>
      <c r="K60" s="75"/>
      <c r="L60" s="114"/>
      <c r="M60" s="114"/>
      <c r="N60" s="94">
        <f t="shared" ca="1" si="5"/>
        <v>0</v>
      </c>
      <c r="O60" s="121"/>
      <c r="P60" s="76"/>
      <c r="Q60" s="418"/>
      <c r="R60" s="26"/>
      <c r="S60" s="26"/>
    </row>
    <row r="61" spans="1:20" s="25" customFormat="1" ht="13.9" hidden="1" customHeight="1" outlineLevel="3" x14ac:dyDescent="0.2">
      <c r="A61" s="116">
        <f ca="1">IF($H61="UNIDADE CONSTRUTIVA",OFFSET(A61,-1,0)+1,LARGE(A$3:A60,1))</f>
        <v>0</v>
      </c>
      <c r="B61" s="116">
        <f t="shared" ca="1" si="1"/>
        <v>3</v>
      </c>
      <c r="C61" s="116">
        <f t="shared" ca="1" si="2"/>
        <v>1</v>
      </c>
      <c r="D61" s="117">
        <f t="shared" ca="1" si="3"/>
        <v>1</v>
      </c>
      <c r="E61" s="117">
        <f t="shared" ca="1" si="4"/>
        <v>1</v>
      </c>
      <c r="F61" s="438"/>
      <c r="G61" s="71"/>
      <c r="H61" s="72" t="s">
        <v>114</v>
      </c>
      <c r="I61" s="73" t="str">
        <f t="shared" ca="1" si="6"/>
        <v>03.001.001.001</v>
      </c>
      <c r="J61" s="74" t="s">
        <v>2444</v>
      </c>
      <c r="K61" s="75" t="s">
        <v>3</v>
      </c>
      <c r="L61" s="114"/>
      <c r="M61" s="114">
        <f>_xlfn.XLOOKUP($J61,CPU!$D$1:$D$3085,CPU!$H$1:$H$3085)</f>
        <v>52.800000000000004</v>
      </c>
      <c r="N61" s="94">
        <f t="shared" si="5"/>
        <v>0</v>
      </c>
      <c r="O61" s="121"/>
      <c r="P61" s="76" t="s">
        <v>198</v>
      </c>
      <c r="Q61" s="418"/>
      <c r="R61" s="26"/>
      <c r="S61" s="26"/>
    </row>
    <row r="62" spans="1:20" s="25" customFormat="1" ht="13.9" hidden="1" customHeight="1" outlineLevel="3" x14ac:dyDescent="0.2">
      <c r="A62" s="116">
        <f ca="1">IF($H62="UNIDADE CONSTRUTIVA",OFFSET(A62,-1,0)+1,LARGE(A$3:A61,1))</f>
        <v>0</v>
      </c>
      <c r="B62" s="116">
        <f t="shared" ca="1" si="1"/>
        <v>3</v>
      </c>
      <c r="C62" s="116">
        <f t="shared" ca="1" si="2"/>
        <v>1</v>
      </c>
      <c r="D62" s="117">
        <f t="shared" ca="1" si="3"/>
        <v>1</v>
      </c>
      <c r="E62" s="117">
        <f t="shared" ca="1" si="4"/>
        <v>2</v>
      </c>
      <c r="F62" s="438"/>
      <c r="G62" s="71"/>
      <c r="H62" s="72" t="s">
        <v>114</v>
      </c>
      <c r="I62" s="73" t="str">
        <f t="shared" ca="1" si="6"/>
        <v>03.001.001.002</v>
      </c>
      <c r="J62" s="74" t="s">
        <v>426</v>
      </c>
      <c r="K62" s="75" t="s">
        <v>67</v>
      </c>
      <c r="L62" s="114"/>
      <c r="M62" s="114">
        <f>_xlfn.XLOOKUP($J62,CPU!$D$1:$D$3085,CPU!$H$1:$H$3085)</f>
        <v>26000</v>
      </c>
      <c r="N62" s="94">
        <f t="shared" si="5"/>
        <v>0</v>
      </c>
      <c r="O62" s="121"/>
      <c r="P62" s="76" t="s">
        <v>198</v>
      </c>
      <c r="Q62" s="418"/>
      <c r="R62" s="26"/>
      <c r="S62" s="26"/>
    </row>
    <row r="63" spans="1:20" s="25" customFormat="1" ht="13.9" hidden="1" customHeight="1" outlineLevel="2" x14ac:dyDescent="0.2">
      <c r="A63" s="116">
        <f ca="1">IF($H63="UNIDADE CONSTRUTIVA",OFFSET(A63,-1,0)+1,LARGE(A$3:A62,1))</f>
        <v>0</v>
      </c>
      <c r="B63" s="116">
        <f t="shared" ca="1" si="1"/>
        <v>3</v>
      </c>
      <c r="C63" s="116">
        <f t="shared" ca="1" si="2"/>
        <v>1</v>
      </c>
      <c r="D63" s="117">
        <f t="shared" ca="1" si="3"/>
        <v>2</v>
      </c>
      <c r="E63" s="117">
        <f t="shared" ca="1" si="4"/>
        <v>0</v>
      </c>
      <c r="F63" s="438"/>
      <c r="G63" s="71"/>
      <c r="H63" s="72" t="s">
        <v>113</v>
      </c>
      <c r="I63" s="73" t="str">
        <f t="shared" ca="1" si="6"/>
        <v>03.001.002</v>
      </c>
      <c r="J63" s="74" t="s">
        <v>43</v>
      </c>
      <c r="K63" s="75"/>
      <c r="L63" s="114"/>
      <c r="M63" s="114"/>
      <c r="N63" s="94">
        <f t="shared" ca="1" si="5"/>
        <v>0</v>
      </c>
      <c r="O63" s="121"/>
      <c r="P63" s="76"/>
      <c r="Q63" s="418"/>
      <c r="R63" s="26"/>
      <c r="S63" s="26"/>
    </row>
    <row r="64" spans="1:20" s="25" customFormat="1" ht="13.9" hidden="1" customHeight="1" outlineLevel="3" x14ac:dyDescent="0.2">
      <c r="A64" s="116">
        <f ca="1">IF($H64="UNIDADE CONSTRUTIVA",OFFSET(A64,-1,0)+1,LARGE(A$3:A63,1))</f>
        <v>0</v>
      </c>
      <c r="B64" s="116">
        <f t="shared" ca="1" si="1"/>
        <v>3</v>
      </c>
      <c r="C64" s="116">
        <f t="shared" ca="1" si="2"/>
        <v>1</v>
      </c>
      <c r="D64" s="117">
        <f t="shared" ca="1" si="3"/>
        <v>2</v>
      </c>
      <c r="E64" s="117">
        <f t="shared" ca="1" si="4"/>
        <v>1</v>
      </c>
      <c r="F64" s="438"/>
      <c r="G64" s="71"/>
      <c r="H64" s="72" t="s">
        <v>114</v>
      </c>
      <c r="I64" s="73" t="str">
        <f t="shared" ca="1" si="6"/>
        <v>03.001.002.001</v>
      </c>
      <c r="J64" s="74" t="s">
        <v>467</v>
      </c>
      <c r="K64" s="75" t="s">
        <v>1</v>
      </c>
      <c r="L64" s="114"/>
      <c r="M64" s="114">
        <f>_xlfn.XLOOKUP($J64,CPU!$D$1:$D$3085,CPU!$H$1:$H$3085)</f>
        <v>59.956228571428568</v>
      </c>
      <c r="N64" s="94">
        <f t="shared" si="5"/>
        <v>0</v>
      </c>
      <c r="O64" s="121"/>
      <c r="P64" s="76" t="s">
        <v>198</v>
      </c>
      <c r="Q64" s="418"/>
      <c r="R64" s="26"/>
      <c r="S64" s="26"/>
    </row>
    <row r="65" spans="1:19" s="25" customFormat="1" ht="13.9" hidden="1" customHeight="1" outlineLevel="2" x14ac:dyDescent="0.2">
      <c r="A65" s="116">
        <f ca="1">IF($H65="UNIDADE CONSTRUTIVA",OFFSET(A65,-1,0)+1,LARGE(A$3:A64,1))</f>
        <v>0</v>
      </c>
      <c r="B65" s="116">
        <f t="shared" ca="1" si="1"/>
        <v>3</v>
      </c>
      <c r="C65" s="116">
        <f t="shared" ca="1" si="2"/>
        <v>1</v>
      </c>
      <c r="D65" s="117">
        <f t="shared" ca="1" si="3"/>
        <v>3</v>
      </c>
      <c r="E65" s="117">
        <f t="shared" ca="1" si="4"/>
        <v>0</v>
      </c>
      <c r="F65" s="438"/>
      <c r="G65" s="71"/>
      <c r="H65" s="72" t="s">
        <v>113</v>
      </c>
      <c r="I65" s="73" t="str">
        <f t="shared" ref="I65:I73" ca="1" si="7">IF(H65="Unidade Construtiva",TEXT(A65,"00"),IF(H65="Célula Construtiva",TEXT(B65,"00"),IF(H65="Etapa",CONCATENATE(TEXT(B65,"00"),".",TEXT(C65,"000")),IF(H65="Subetapa",CONCATENATE(TEXT(B65,"00"),".",TEXT(C65,"000"),".",TEXT(D65,"000")),IF(H65="Serviço",CONCATENATE(TEXT(B65,"00"),".",TEXT(C65,"000"),".",TEXT(D65,"000"),".",TEXT(E65,"000")),"")))))</f>
        <v>03.001.003</v>
      </c>
      <c r="J65" s="74" t="s">
        <v>39</v>
      </c>
      <c r="K65" s="75"/>
      <c r="L65" s="123"/>
      <c r="M65" s="123"/>
      <c r="N65" s="94">
        <f t="shared" ca="1" si="5"/>
        <v>0</v>
      </c>
      <c r="O65" s="121"/>
      <c r="P65" s="76"/>
      <c r="Q65" s="418"/>
      <c r="R65" s="26"/>
      <c r="S65" s="26"/>
    </row>
    <row r="66" spans="1:19" s="25" customFormat="1" ht="13.9" hidden="1" customHeight="1" outlineLevel="3" x14ac:dyDescent="0.2">
      <c r="A66" s="116">
        <f ca="1">IF($H66="UNIDADE CONSTRUTIVA",OFFSET(A66,-1,0)+1,LARGE(A$3:A65,1))</f>
        <v>0</v>
      </c>
      <c r="B66" s="116">
        <f t="shared" ca="1" si="1"/>
        <v>3</v>
      </c>
      <c r="C66" s="116">
        <f t="shared" ca="1" si="2"/>
        <v>1</v>
      </c>
      <c r="D66" s="117">
        <f t="shared" ca="1" si="3"/>
        <v>3</v>
      </c>
      <c r="E66" s="117">
        <f t="shared" ca="1" si="4"/>
        <v>1</v>
      </c>
      <c r="F66" s="438"/>
      <c r="G66" s="71"/>
      <c r="H66" s="72" t="s">
        <v>114</v>
      </c>
      <c r="I66" s="73" t="str">
        <f ca="1">IF(H66="Unidade Construtiva",TEXT(A66,"00"),IF(H66="Célula Construtiva",TEXT(B66,"00"),IF(H66="Etapa",CONCATENATE(TEXT(B66,"00"),".",TEXT(C66,"000")),IF(H66="Subetapa",CONCATENATE(TEXT(B66,"00"),".",TEXT(C66,"000"),".",TEXT(D66,"000")),IF(H66="Serviço",CONCATENATE(TEXT(B66,"00"),".",TEXT(C66,"000"),".",TEXT(D66,"000"),".",TEXT(E66,"000")),"")))))</f>
        <v>03.001.003.001</v>
      </c>
      <c r="J66" s="74" t="s">
        <v>475</v>
      </c>
      <c r="K66" s="75" t="s">
        <v>5</v>
      </c>
      <c r="L66" s="114"/>
      <c r="M66" s="114">
        <f>_xlfn.XLOOKUP($J66,CPU!$D$1:$D$3085,CPU!$H$1:$H$3085)</f>
        <v>7.4881450000000003</v>
      </c>
      <c r="N66" s="94">
        <f t="shared" si="5"/>
        <v>0</v>
      </c>
      <c r="O66" s="121"/>
      <c r="P66" s="76" t="s">
        <v>198</v>
      </c>
      <c r="Q66" s="418"/>
      <c r="R66" s="26"/>
      <c r="S66" s="26"/>
    </row>
    <row r="67" spans="1:19" s="25" customFormat="1" ht="13.9" hidden="1" customHeight="1" outlineLevel="3" x14ac:dyDescent="0.2">
      <c r="A67" s="116">
        <f ca="1">IF($H67="UNIDADE CONSTRUTIVA",OFFSET(A67,-1,0)+1,LARGE(A$3:A66,1))</f>
        <v>0</v>
      </c>
      <c r="B67" s="116">
        <f t="shared" ca="1" si="1"/>
        <v>3</v>
      </c>
      <c r="C67" s="116">
        <f t="shared" ca="1" si="2"/>
        <v>1</v>
      </c>
      <c r="D67" s="117">
        <f t="shared" ca="1" si="3"/>
        <v>3</v>
      </c>
      <c r="E67" s="117">
        <f t="shared" ca="1" si="4"/>
        <v>2</v>
      </c>
      <c r="F67" s="438"/>
      <c r="G67" s="71"/>
      <c r="H67" s="72" t="s">
        <v>114</v>
      </c>
      <c r="I67" s="73" t="str">
        <f ca="1">IF(H67="Unidade Construtiva",TEXT(A67,"00"),IF(H67="Célula Construtiva",TEXT(B67,"00"),IF(H67="Etapa",CONCATENATE(TEXT(B67,"00"),".",TEXT(C67,"000")),IF(H67="Subetapa",CONCATENATE(TEXT(B67,"00"),".",TEXT(C67,"000"),".",TEXT(D67,"000")),IF(H67="Serviço",CONCATENATE(TEXT(B67,"00"),".",TEXT(C67,"000"),".",TEXT(D67,"000"),".",TEXT(E67,"000")),"")))))</f>
        <v>03.001.003.002</v>
      </c>
      <c r="J67" s="74" t="s">
        <v>468</v>
      </c>
      <c r="K67" s="75" t="s">
        <v>5</v>
      </c>
      <c r="L67" s="114"/>
      <c r="M67" s="114">
        <f>_xlfn.XLOOKUP($J67,CPU!$D$1:$D$3085,CPU!$H$1:$H$3085)</f>
        <v>6.9381450000000005</v>
      </c>
      <c r="N67" s="94">
        <f t="shared" si="5"/>
        <v>0</v>
      </c>
      <c r="O67" s="121"/>
      <c r="P67" s="76" t="s">
        <v>198</v>
      </c>
      <c r="Q67" s="418"/>
      <c r="R67" s="26"/>
      <c r="S67" s="26"/>
    </row>
    <row r="68" spans="1:19" s="25" customFormat="1" ht="13.9" hidden="1" customHeight="1" outlineLevel="3" x14ac:dyDescent="0.2">
      <c r="A68" s="116">
        <f ca="1">IF($H68="UNIDADE CONSTRUTIVA",OFFSET(A68,-1,0)+1,LARGE(A$3:A67,1))</f>
        <v>0</v>
      </c>
      <c r="B68" s="116">
        <f t="shared" ca="1" si="1"/>
        <v>3</v>
      </c>
      <c r="C68" s="116">
        <f t="shared" ca="1" si="2"/>
        <v>1</v>
      </c>
      <c r="D68" s="117">
        <f t="shared" ca="1" si="3"/>
        <v>3</v>
      </c>
      <c r="E68" s="117">
        <f t="shared" ca="1" si="4"/>
        <v>3</v>
      </c>
      <c r="F68" s="438"/>
      <c r="G68" s="71"/>
      <c r="H68" s="72" t="s">
        <v>114</v>
      </c>
      <c r="I68" s="73" t="str">
        <f t="shared" ca="1" si="7"/>
        <v>03.001.003.003</v>
      </c>
      <c r="J68" s="74" t="s">
        <v>471</v>
      </c>
      <c r="K68" s="75" t="s">
        <v>5</v>
      </c>
      <c r="L68" s="114"/>
      <c r="M68" s="114">
        <f>_xlfn.XLOOKUP($J68,CPU!$D$1:$D$3085,CPU!$H$1:$H$3085)</f>
        <v>6.4431449999999995</v>
      </c>
      <c r="N68" s="94">
        <f t="shared" si="5"/>
        <v>0</v>
      </c>
      <c r="O68" s="121"/>
      <c r="P68" s="76" t="s">
        <v>198</v>
      </c>
      <c r="Q68" s="418"/>
      <c r="R68" s="26"/>
      <c r="S68" s="26"/>
    </row>
    <row r="69" spans="1:19" s="25" customFormat="1" ht="13.9" hidden="1" customHeight="1" outlineLevel="3" x14ac:dyDescent="0.2">
      <c r="A69" s="116">
        <f ca="1">IF($H69="UNIDADE CONSTRUTIVA",OFFSET(A69,-1,0)+1,LARGE(A$3:A68,1))</f>
        <v>0</v>
      </c>
      <c r="B69" s="116">
        <f t="shared" ca="1" si="1"/>
        <v>3</v>
      </c>
      <c r="C69" s="116">
        <f t="shared" ca="1" si="2"/>
        <v>1</v>
      </c>
      <c r="D69" s="117">
        <f t="shared" ca="1" si="3"/>
        <v>3</v>
      </c>
      <c r="E69" s="117">
        <f t="shared" ca="1" si="4"/>
        <v>4</v>
      </c>
      <c r="F69" s="438"/>
      <c r="G69" s="71"/>
      <c r="H69" s="72" t="s">
        <v>114</v>
      </c>
      <c r="I69" s="73" t="str">
        <f t="shared" ca="1" si="7"/>
        <v>03.001.003.004</v>
      </c>
      <c r="J69" s="74" t="s">
        <v>472</v>
      </c>
      <c r="K69" s="75" t="s">
        <v>5</v>
      </c>
      <c r="L69" s="114"/>
      <c r="M69" s="114">
        <f>_xlfn.XLOOKUP($J69,CPU!$D$1:$D$3085,CPU!$H$1:$H$3085)</f>
        <v>6.4431449999999995</v>
      </c>
      <c r="N69" s="94">
        <f t="shared" si="5"/>
        <v>0</v>
      </c>
      <c r="O69" s="121"/>
      <c r="P69" s="76" t="s">
        <v>198</v>
      </c>
      <c r="Q69" s="418"/>
      <c r="R69" s="26"/>
      <c r="S69" s="26"/>
    </row>
    <row r="70" spans="1:19" s="25" customFormat="1" ht="13.9" hidden="1" customHeight="1" outlineLevel="2" x14ac:dyDescent="0.2">
      <c r="A70" s="116">
        <f ca="1">IF($H70="UNIDADE CONSTRUTIVA",OFFSET(A70,-1,0)+1,LARGE(A$3:A69,1))</f>
        <v>0</v>
      </c>
      <c r="B70" s="116">
        <f t="shared" ca="1" si="1"/>
        <v>3</v>
      </c>
      <c r="C70" s="116">
        <f t="shared" ca="1" si="2"/>
        <v>1</v>
      </c>
      <c r="D70" s="117">
        <f t="shared" ca="1" si="3"/>
        <v>4</v>
      </c>
      <c r="E70" s="117">
        <f t="shared" ca="1" si="4"/>
        <v>0</v>
      </c>
      <c r="F70" s="438"/>
      <c r="G70" s="71"/>
      <c r="H70" s="72" t="s">
        <v>113</v>
      </c>
      <c r="I70" s="73" t="str">
        <f t="shared" ca="1" si="7"/>
        <v>03.001.004</v>
      </c>
      <c r="J70" s="74" t="s">
        <v>27</v>
      </c>
      <c r="K70" s="75"/>
      <c r="L70" s="123"/>
      <c r="M70" s="123"/>
      <c r="N70" s="94">
        <f t="shared" ca="1" si="5"/>
        <v>0</v>
      </c>
      <c r="O70" s="121"/>
      <c r="P70" s="76"/>
      <c r="Q70" s="418"/>
      <c r="R70" s="26"/>
      <c r="S70" s="26"/>
    </row>
    <row r="71" spans="1:19" s="25" customFormat="1" ht="13.9" hidden="1" customHeight="1" outlineLevel="3" x14ac:dyDescent="0.2">
      <c r="A71" s="116">
        <f ca="1">IF($H71="UNIDADE CONSTRUTIVA",OFFSET(A71,-1,0)+1,LARGE(A$3:A70,1))</f>
        <v>0</v>
      </c>
      <c r="B71" s="116">
        <f t="shared" ca="1" si="1"/>
        <v>3</v>
      </c>
      <c r="C71" s="116">
        <f t="shared" ca="1" si="2"/>
        <v>1</v>
      </c>
      <c r="D71" s="117">
        <f t="shared" ca="1" si="3"/>
        <v>4</v>
      </c>
      <c r="E71" s="117">
        <f t="shared" ca="1" si="4"/>
        <v>1</v>
      </c>
      <c r="F71" s="438"/>
      <c r="G71" s="71"/>
      <c r="H71" s="72" t="s">
        <v>114</v>
      </c>
      <c r="I71" s="73" t="str">
        <f t="shared" ca="1" si="7"/>
        <v>03.001.004.001</v>
      </c>
      <c r="J71" s="74" t="s">
        <v>440</v>
      </c>
      <c r="K71" s="75" t="s">
        <v>4</v>
      </c>
      <c r="L71" s="114"/>
      <c r="M71" s="114">
        <f>_xlfn.XLOOKUP($J71,CPU!$D$1:$D$3085,CPU!$H$1:$H$3085)</f>
        <v>693.66</v>
      </c>
      <c r="N71" s="94">
        <f t="shared" si="5"/>
        <v>0</v>
      </c>
      <c r="O71" s="121"/>
      <c r="P71" s="76" t="s">
        <v>198</v>
      </c>
      <c r="Q71" s="418"/>
      <c r="R71" s="26"/>
      <c r="S71" s="26"/>
    </row>
    <row r="72" spans="1:19" s="25" customFormat="1" ht="13.9" hidden="1" customHeight="1" outlineLevel="2" x14ac:dyDescent="0.2">
      <c r="A72" s="116">
        <f ca="1">IF($H72="UNIDADE CONSTRUTIVA",OFFSET(A72,-1,0)+1,LARGE(A$3:A71,1))</f>
        <v>0</v>
      </c>
      <c r="B72" s="116">
        <f t="shared" ca="1" si="1"/>
        <v>3</v>
      </c>
      <c r="C72" s="116">
        <f t="shared" ca="1" si="2"/>
        <v>1</v>
      </c>
      <c r="D72" s="117">
        <f t="shared" ca="1" si="3"/>
        <v>5</v>
      </c>
      <c r="E72" s="117">
        <f t="shared" ca="1" si="4"/>
        <v>0</v>
      </c>
      <c r="F72" s="438"/>
      <c r="G72" s="71"/>
      <c r="H72" s="72" t="s">
        <v>113</v>
      </c>
      <c r="I72" s="73" t="str">
        <f t="shared" ca="1" si="7"/>
        <v>03.001.005</v>
      </c>
      <c r="J72" s="74" t="s">
        <v>42</v>
      </c>
      <c r="K72" s="75"/>
      <c r="L72" s="123"/>
      <c r="M72" s="123"/>
      <c r="N72" s="94">
        <f t="shared" ca="1" si="5"/>
        <v>0</v>
      </c>
      <c r="O72" s="121"/>
      <c r="P72" s="76"/>
      <c r="Q72" s="418"/>
      <c r="R72" s="26"/>
      <c r="S72" s="26"/>
    </row>
    <row r="73" spans="1:19" s="25" customFormat="1" ht="13.9" hidden="1" customHeight="1" outlineLevel="3" x14ac:dyDescent="0.2">
      <c r="A73" s="116">
        <f ca="1">IF($H73="UNIDADE CONSTRUTIVA",OFFSET(A73,-1,0)+1,LARGE(A$3:A72,1))</f>
        <v>0</v>
      </c>
      <c r="B73" s="116">
        <f t="shared" ref="B73:B136" ca="1" si="8">IF(H73="UNIDADE CONSTRUTIVA",0,IF(H73="CÉLULA CONSTRUTIVA",OFFSET(B73,-1,0)+1,OFFSET(B73,-1,0)))</f>
        <v>3</v>
      </c>
      <c r="C73" s="116">
        <f t="shared" ref="C73:C136" ca="1" si="9">IF(H73="CÉLULA CONSTRUTIVA",0,IF(H73="ETAPA",OFFSET(C73,-1,0)+1,OFFSET(C73,-1,0)))</f>
        <v>1</v>
      </c>
      <c r="D73" s="117">
        <f t="shared" ref="D73:D136" ca="1" si="10">IF(H73="ETAPA",0,IF(H73="SUBETAPA",OFFSET(D73,-1,0)+1,OFFSET(D73,-1,0)))</f>
        <v>5</v>
      </c>
      <c r="E73" s="117">
        <f t="shared" ref="E73:E136" ca="1" si="11">IF(H73="Subetapa",0,IF(H73="serviço",OFFSET(E73,-1,0)+1,OFFSET(E73,-1,0)))</f>
        <v>1</v>
      </c>
      <c r="F73" s="438"/>
      <c r="G73" s="71"/>
      <c r="H73" s="72" t="s">
        <v>114</v>
      </c>
      <c r="I73" s="73" t="str">
        <f t="shared" ca="1" si="7"/>
        <v>03.001.005.001</v>
      </c>
      <c r="J73" s="74" t="s">
        <v>200</v>
      </c>
      <c r="K73" s="75" t="s">
        <v>2</v>
      </c>
      <c r="L73" s="114"/>
      <c r="M73" s="114">
        <f>_xlfn.XLOOKUP($J73,CPU!$D$1:$D$3085,CPU!$H$1:$H$3085)</f>
        <v>300</v>
      </c>
      <c r="N73" s="94">
        <f t="shared" si="5"/>
        <v>0</v>
      </c>
      <c r="O73" s="121"/>
      <c r="P73" s="76" t="s">
        <v>198</v>
      </c>
      <c r="Q73" s="418"/>
      <c r="R73" s="26"/>
      <c r="S73" s="26"/>
    </row>
    <row r="74" spans="1:19" s="25" customFormat="1" ht="13.9" customHeight="1" collapsed="1" x14ac:dyDescent="0.2">
      <c r="A74" s="116">
        <f ca="1">IF($H74="UNIDADE CONSTRUTIVA",OFFSET(A74,-1,0)+1,LARGE(A$3:A73,1))</f>
        <v>0</v>
      </c>
      <c r="B74" s="116">
        <f t="shared" ca="1" si="8"/>
        <v>4</v>
      </c>
      <c r="C74" s="116">
        <f t="shared" ca="1" si="9"/>
        <v>0</v>
      </c>
      <c r="D74" s="117">
        <f t="shared" ca="1" si="10"/>
        <v>5</v>
      </c>
      <c r="E74" s="117">
        <f t="shared" ca="1" si="11"/>
        <v>1</v>
      </c>
      <c r="F74" s="438"/>
      <c r="G74" s="71"/>
      <c r="H74" s="72" t="s">
        <v>111</v>
      </c>
      <c r="I74" s="73" t="str">
        <f t="shared" ref="I74:I92" ca="1" si="12">IF(H74="Unidade Construtiva",TEXT(A74,"00"),IF(H74="Célula Construtiva",TEXT(B74,"00"),IF(H74="Etapa",CONCATENATE(TEXT(B74,"00"),".",TEXT(C74,"000")),IF(H74="Subetapa",CONCATENATE(TEXT(B74,"00"),".",TEXT(C74,"000"),".",TEXT(D74,"000")),IF(H74="Serviço",CONCATENATE(TEXT(B74,"00"),".",TEXT(C74,"000"),".",TEXT(D74,"000"),".",TEXT(E74,"000")),"")))))</f>
        <v>04</v>
      </c>
      <c r="J74" s="74" t="s">
        <v>51</v>
      </c>
      <c r="K74" s="75"/>
      <c r="L74" s="114"/>
      <c r="M74" s="114"/>
      <c r="N74" s="94">
        <f t="shared" ca="1" si="5"/>
        <v>0</v>
      </c>
      <c r="O74" s="121">
        <f ca="1">N74/'Obra '!$E$9</f>
        <v>0</v>
      </c>
      <c r="P74" s="76"/>
      <c r="Q74" s="418" t="s">
        <v>51</v>
      </c>
      <c r="R74" s="122"/>
      <c r="S74" s="26"/>
    </row>
    <row r="75" spans="1:19" s="25" customFormat="1" ht="13.9" hidden="1" customHeight="1" outlineLevel="1" x14ac:dyDescent="0.2">
      <c r="A75" s="116">
        <f ca="1">IF($H75="UNIDADE CONSTRUTIVA",OFFSET(A75,-1,0)+1,LARGE(A$3:A74,1))</f>
        <v>0</v>
      </c>
      <c r="B75" s="116">
        <f t="shared" ca="1" si="8"/>
        <v>4</v>
      </c>
      <c r="C75" s="116">
        <f t="shared" ca="1" si="9"/>
        <v>1</v>
      </c>
      <c r="D75" s="117">
        <f t="shared" ca="1" si="10"/>
        <v>0</v>
      </c>
      <c r="E75" s="117">
        <f t="shared" ca="1" si="11"/>
        <v>1</v>
      </c>
      <c r="F75" s="438"/>
      <c r="G75" s="71"/>
      <c r="H75" s="72" t="s">
        <v>112</v>
      </c>
      <c r="I75" s="73" t="str">
        <f t="shared" ca="1" si="12"/>
        <v>04.001</v>
      </c>
      <c r="J75" s="74" t="s">
        <v>51</v>
      </c>
      <c r="K75" s="75"/>
      <c r="L75" s="114"/>
      <c r="M75" s="114"/>
      <c r="N75" s="94">
        <f t="shared" ca="1" si="5"/>
        <v>0</v>
      </c>
      <c r="O75" s="121">
        <f ca="1">N74-N269-N279</f>
        <v>-38912.619081440003</v>
      </c>
      <c r="P75" s="76"/>
      <c r="Q75" s="418"/>
      <c r="R75" s="26"/>
      <c r="S75" s="26"/>
    </row>
    <row r="76" spans="1:19" s="25" customFormat="1" ht="13.9" hidden="1" customHeight="1" outlineLevel="1" x14ac:dyDescent="0.2">
      <c r="A76" s="116">
        <f ca="1">IF($H76="UNIDADE CONSTRUTIVA",OFFSET(A76,-1,0)+1,LARGE(A$3:A75,1))</f>
        <v>0</v>
      </c>
      <c r="B76" s="116">
        <f t="shared" ca="1" si="8"/>
        <v>4</v>
      </c>
      <c r="C76" s="116">
        <f t="shared" ca="1" si="9"/>
        <v>1</v>
      </c>
      <c r="D76" s="117">
        <f t="shared" ca="1" si="10"/>
        <v>1</v>
      </c>
      <c r="E76" s="117">
        <f t="shared" ca="1" si="11"/>
        <v>0</v>
      </c>
      <c r="F76" s="438"/>
      <c r="G76" s="71"/>
      <c r="H76" s="72" t="s">
        <v>113</v>
      </c>
      <c r="I76" s="73" t="str">
        <f t="shared" ca="1" si="12"/>
        <v>04.001.001</v>
      </c>
      <c r="J76" s="74" t="s">
        <v>43</v>
      </c>
      <c r="K76" s="75"/>
      <c r="L76" s="114"/>
      <c r="M76" s="114"/>
      <c r="N76" s="94">
        <f t="shared" ca="1" si="5"/>
        <v>0</v>
      </c>
      <c r="O76" s="121"/>
      <c r="P76" s="76"/>
      <c r="Q76" s="418"/>
      <c r="R76" s="26"/>
      <c r="S76" s="26"/>
    </row>
    <row r="77" spans="1:19" s="25" customFormat="1" ht="13.9" hidden="1" customHeight="1" outlineLevel="2" x14ac:dyDescent="0.2">
      <c r="A77" s="116">
        <f ca="1">IF($H77="UNIDADE CONSTRUTIVA",OFFSET(A77,-1,0)+1,LARGE(A$3:A76,1))</f>
        <v>0</v>
      </c>
      <c r="B77" s="116">
        <f t="shared" ca="1" si="8"/>
        <v>4</v>
      </c>
      <c r="C77" s="116">
        <f t="shared" ca="1" si="9"/>
        <v>1</v>
      </c>
      <c r="D77" s="117">
        <f t="shared" ca="1" si="10"/>
        <v>1</v>
      </c>
      <c r="E77" s="117">
        <f t="shared" ca="1" si="11"/>
        <v>1</v>
      </c>
      <c r="F77" s="438"/>
      <c r="G77" s="71"/>
      <c r="H77" s="72" t="s">
        <v>114</v>
      </c>
      <c r="I77" s="73" t="str">
        <f t="shared" ca="1" si="12"/>
        <v>04.001.001.001</v>
      </c>
      <c r="J77" s="74" t="s">
        <v>2456</v>
      </c>
      <c r="K77" s="75" t="s">
        <v>11</v>
      </c>
      <c r="L77" s="114"/>
      <c r="M77" s="114">
        <f>_xlfn.XLOOKUP($J77,CPU!$D$1:$D$3085,CPU!$H$1:$H$3085)</f>
        <v>88.647100000000009</v>
      </c>
      <c r="N77" s="94">
        <f t="shared" ref="N77:N140" si="13">IF(H77="Serviço",M77*L77,IF(H77="CÉLULA CONSTRUTIVA",SUMIFS($N$8:$N$452,$B$8:$B$452,B77,$H$8:$H$452,"Serviço"),IF(H77="ETAPA",SUMIFS($N$8:$N$452,$B$8:$B$452,B77,$C$8:$C$452,C77,$H$8:$H$452,"Serviço"),IF(H77="SUBETAPA",SUMIFS($N$8:$N$452,$B$8:$B$452,B77,$C$8:$C$452,C77,$D$8:$D$452,D77,$H$8:$H$452,"Serviço"),0))))</f>
        <v>0</v>
      </c>
      <c r="O77" s="121" t="s">
        <v>2459</v>
      </c>
      <c r="P77" s="76" t="s">
        <v>101</v>
      </c>
      <c r="Q77" s="418"/>
      <c r="R77" s="26"/>
      <c r="S77" s="26"/>
    </row>
    <row r="78" spans="1:19" s="25" customFormat="1" ht="13.9" hidden="1" customHeight="1" outlineLevel="2" x14ac:dyDescent="0.2">
      <c r="A78" s="116">
        <f ca="1">IF($H78="UNIDADE CONSTRUTIVA",OFFSET(A78,-1,0)+1,LARGE(A$3:A77,1))</f>
        <v>0</v>
      </c>
      <c r="B78" s="116">
        <f t="shared" ca="1" si="8"/>
        <v>4</v>
      </c>
      <c r="C78" s="116">
        <f t="shared" ca="1" si="9"/>
        <v>1</v>
      </c>
      <c r="D78" s="117">
        <f t="shared" ca="1" si="10"/>
        <v>1</v>
      </c>
      <c r="E78" s="117">
        <f t="shared" ca="1" si="11"/>
        <v>2</v>
      </c>
      <c r="F78" s="438"/>
      <c r="G78" s="71"/>
      <c r="H78" s="72" t="s">
        <v>114</v>
      </c>
      <c r="I78" s="73" t="str">
        <f t="shared" ca="1" si="12"/>
        <v>04.001.001.002</v>
      </c>
      <c r="J78" s="74" t="s">
        <v>2457</v>
      </c>
      <c r="K78" s="75" t="s">
        <v>11</v>
      </c>
      <c r="L78" s="114"/>
      <c r="M78" s="114">
        <f>_xlfn.XLOOKUP($J78,CPU!$D$1:$D$3085,CPU!$H$1:$H$3085)</f>
        <v>72.194829999999996</v>
      </c>
      <c r="N78" s="94">
        <f t="shared" si="13"/>
        <v>0</v>
      </c>
      <c r="O78" s="121" t="s">
        <v>2459</v>
      </c>
      <c r="P78" s="76" t="s">
        <v>101</v>
      </c>
      <c r="Q78" s="418"/>
      <c r="R78" s="26"/>
      <c r="S78" s="26"/>
    </row>
    <row r="79" spans="1:19" s="25" customFormat="1" ht="13.9" hidden="1" customHeight="1" outlineLevel="2" x14ac:dyDescent="0.2">
      <c r="A79" s="116">
        <f ca="1">IF($H79="UNIDADE CONSTRUTIVA",OFFSET(A79,-1,0)+1,LARGE(A$3:A78,1))</f>
        <v>0</v>
      </c>
      <c r="B79" s="116">
        <f t="shared" ca="1" si="8"/>
        <v>4</v>
      </c>
      <c r="C79" s="116">
        <f t="shared" ca="1" si="9"/>
        <v>1</v>
      </c>
      <c r="D79" s="117">
        <f t="shared" ca="1" si="10"/>
        <v>1</v>
      </c>
      <c r="E79" s="117">
        <f t="shared" ca="1" si="11"/>
        <v>3</v>
      </c>
      <c r="F79" s="438"/>
      <c r="G79" s="71"/>
      <c r="H79" s="72" t="s">
        <v>114</v>
      </c>
      <c r="I79" s="73" t="str">
        <f t="shared" ca="1" si="12"/>
        <v>04.001.001.003</v>
      </c>
      <c r="J79" s="74" t="s">
        <v>2458</v>
      </c>
      <c r="K79" s="75" t="s">
        <v>11</v>
      </c>
      <c r="L79" s="114"/>
      <c r="M79" s="114">
        <f>_xlfn.XLOOKUP($J79,CPU!$D$1:$D$3085,CPU!$H$1:$H$3085)</f>
        <v>46.384829999999994</v>
      </c>
      <c r="N79" s="94">
        <f t="shared" si="13"/>
        <v>0</v>
      </c>
      <c r="O79" s="121" t="s">
        <v>2459</v>
      </c>
      <c r="P79" s="76" t="s">
        <v>101</v>
      </c>
      <c r="Q79" s="418"/>
      <c r="R79" s="26"/>
      <c r="S79" s="26"/>
    </row>
    <row r="80" spans="1:19" s="25" customFormat="1" ht="13.9" hidden="1" customHeight="1" outlineLevel="2" x14ac:dyDescent="0.2">
      <c r="A80" s="116">
        <f ca="1">IF($H80="UNIDADE CONSTRUTIVA",OFFSET(A80,-1,0)+1,LARGE(A$3:A79,1))</f>
        <v>0</v>
      </c>
      <c r="B80" s="116">
        <f t="shared" ca="1" si="8"/>
        <v>4</v>
      </c>
      <c r="C80" s="116">
        <f t="shared" ca="1" si="9"/>
        <v>1</v>
      </c>
      <c r="D80" s="117">
        <f t="shared" ca="1" si="10"/>
        <v>1</v>
      </c>
      <c r="E80" s="117">
        <f t="shared" ca="1" si="11"/>
        <v>4</v>
      </c>
      <c r="F80" s="438"/>
      <c r="G80" s="71"/>
      <c r="H80" s="72" t="s">
        <v>114</v>
      </c>
      <c r="I80" s="73" t="str">
        <f t="shared" ca="1" si="12"/>
        <v>04.001.001.004</v>
      </c>
      <c r="J80" s="74" t="s">
        <v>2463</v>
      </c>
      <c r="K80" s="75" t="s">
        <v>11</v>
      </c>
      <c r="L80" s="114"/>
      <c r="M80" s="114">
        <f>_xlfn.XLOOKUP($J80,CPU!$D$1:$D$3085,CPU!$H$1:$H$3085)</f>
        <v>104.30944000000001</v>
      </c>
      <c r="N80" s="94">
        <f t="shared" si="13"/>
        <v>0</v>
      </c>
      <c r="O80" s="121" t="s">
        <v>2459</v>
      </c>
      <c r="P80" s="76" t="s">
        <v>101</v>
      </c>
      <c r="Q80" s="418"/>
      <c r="R80" s="26"/>
      <c r="S80" s="26"/>
    </row>
    <row r="81" spans="1:19" s="25" customFormat="1" ht="13.9" hidden="1" customHeight="1" outlineLevel="2" x14ac:dyDescent="0.2">
      <c r="A81" s="116">
        <f ca="1">IF($H81="UNIDADE CONSTRUTIVA",OFFSET(A81,-1,0)+1,LARGE(A$3:A80,1))</f>
        <v>0</v>
      </c>
      <c r="B81" s="116">
        <f t="shared" ca="1" si="8"/>
        <v>4</v>
      </c>
      <c r="C81" s="116">
        <f t="shared" ca="1" si="9"/>
        <v>1</v>
      </c>
      <c r="D81" s="117">
        <f t="shared" ca="1" si="10"/>
        <v>1</v>
      </c>
      <c r="E81" s="117">
        <f t="shared" ca="1" si="11"/>
        <v>5</v>
      </c>
      <c r="F81" s="438"/>
      <c r="G81" s="71"/>
      <c r="H81" s="72" t="s">
        <v>114</v>
      </c>
      <c r="I81" s="73" t="str">
        <f t="shared" ca="1" si="12"/>
        <v>04.001.001.005</v>
      </c>
      <c r="J81" s="74" t="s">
        <v>489</v>
      </c>
      <c r="K81" s="75" t="s">
        <v>11</v>
      </c>
      <c r="L81" s="114"/>
      <c r="M81" s="114">
        <f>_xlfn.XLOOKUP($J81,CPU!$D$1:$D$3085,CPU!$H$1:$H$3085)</f>
        <v>0.69165999999999994</v>
      </c>
      <c r="N81" s="94">
        <f t="shared" si="13"/>
        <v>0</v>
      </c>
      <c r="O81" s="167"/>
      <c r="P81" s="76" t="s">
        <v>101</v>
      </c>
      <c r="Q81" s="418"/>
      <c r="R81" s="26"/>
      <c r="S81" s="26"/>
    </row>
    <row r="82" spans="1:19" s="25" customFormat="1" ht="13.9" hidden="1" customHeight="1" outlineLevel="2" x14ac:dyDescent="0.2">
      <c r="A82" s="116">
        <f ca="1">IF($H82="UNIDADE CONSTRUTIVA",OFFSET(A82,-1,0)+1,LARGE(A$3:A81,1))</f>
        <v>0</v>
      </c>
      <c r="B82" s="116">
        <f t="shared" ca="1" si="8"/>
        <v>4</v>
      </c>
      <c r="C82" s="116">
        <f t="shared" ca="1" si="9"/>
        <v>1</v>
      </c>
      <c r="D82" s="117">
        <f t="shared" ca="1" si="10"/>
        <v>1</v>
      </c>
      <c r="E82" s="117">
        <f t="shared" ca="1" si="11"/>
        <v>6</v>
      </c>
      <c r="F82" s="438"/>
      <c r="G82" s="71"/>
      <c r="H82" s="72" t="s">
        <v>114</v>
      </c>
      <c r="I82" s="73" t="str">
        <f t="shared" ca="1" si="12"/>
        <v>04.001.001.006</v>
      </c>
      <c r="J82" s="74" t="s">
        <v>490</v>
      </c>
      <c r="K82" s="75" t="s">
        <v>11</v>
      </c>
      <c r="L82" s="114"/>
      <c r="M82" s="114">
        <f>_xlfn.XLOOKUP($J82,CPU!$D$1:$D$3085,CPU!$H$1:$H$3085)</f>
        <v>4.6844188000000004</v>
      </c>
      <c r="N82" s="94">
        <f t="shared" si="13"/>
        <v>0</v>
      </c>
      <c r="O82" s="167"/>
      <c r="P82" s="76" t="s">
        <v>101</v>
      </c>
      <c r="Q82" s="418"/>
      <c r="R82" s="26"/>
      <c r="S82" s="26"/>
    </row>
    <row r="83" spans="1:19" s="25" customFormat="1" ht="13.9" hidden="1" customHeight="1" outlineLevel="2" x14ac:dyDescent="0.2">
      <c r="A83" s="116">
        <f ca="1">IF($H83="UNIDADE CONSTRUTIVA",OFFSET(A83,-1,0)+1,LARGE(A$3:A82,1))</f>
        <v>0</v>
      </c>
      <c r="B83" s="116">
        <f t="shared" ca="1" si="8"/>
        <v>4</v>
      </c>
      <c r="C83" s="116">
        <f t="shared" ca="1" si="9"/>
        <v>1</v>
      </c>
      <c r="D83" s="117">
        <f t="shared" ca="1" si="10"/>
        <v>1</v>
      </c>
      <c r="E83" s="117">
        <f t="shared" ca="1" si="11"/>
        <v>7</v>
      </c>
      <c r="F83" s="438"/>
      <c r="G83" s="71"/>
      <c r="H83" s="72" t="s">
        <v>114</v>
      </c>
      <c r="I83" s="73" t="str">
        <f t="shared" ca="1" si="12"/>
        <v>04.001.001.007</v>
      </c>
      <c r="J83" s="74" t="s">
        <v>491</v>
      </c>
      <c r="K83" s="75" t="s">
        <v>11</v>
      </c>
      <c r="L83" s="114"/>
      <c r="M83" s="114">
        <f>_xlfn.XLOOKUP($J83,CPU!$D$1:$D$3085,CPU!$H$1:$H$3085)</f>
        <v>0.69165999999999994</v>
      </c>
      <c r="N83" s="94">
        <f t="shared" si="13"/>
        <v>0</v>
      </c>
      <c r="O83" s="167"/>
      <c r="P83" s="76" t="s">
        <v>101</v>
      </c>
      <c r="Q83" s="418"/>
      <c r="R83" s="26"/>
      <c r="S83" s="26"/>
    </row>
    <row r="84" spans="1:19" s="25" customFormat="1" ht="13.9" hidden="1" customHeight="1" outlineLevel="2" x14ac:dyDescent="0.2">
      <c r="A84" s="116">
        <f ca="1">IF($H84="UNIDADE CONSTRUTIVA",OFFSET(A84,-1,0)+1,LARGE(A$3:A83,1))</f>
        <v>0</v>
      </c>
      <c r="B84" s="116">
        <f t="shared" ca="1" si="8"/>
        <v>4</v>
      </c>
      <c r="C84" s="116">
        <f t="shared" ca="1" si="9"/>
        <v>1</v>
      </c>
      <c r="D84" s="117">
        <f t="shared" ca="1" si="10"/>
        <v>1</v>
      </c>
      <c r="E84" s="117">
        <f t="shared" ca="1" si="11"/>
        <v>8</v>
      </c>
      <c r="F84" s="438"/>
      <c r="G84" s="71"/>
      <c r="H84" s="72" t="s">
        <v>114</v>
      </c>
      <c r="I84" s="73" t="str">
        <f t="shared" ca="1" si="12"/>
        <v>04.001.001.008</v>
      </c>
      <c r="J84" s="74" t="s">
        <v>2343</v>
      </c>
      <c r="K84" s="75" t="s">
        <v>11</v>
      </c>
      <c r="L84" s="114"/>
      <c r="M84" s="114">
        <f>_xlfn.XLOOKUP($J84,CPU!$D$1:$D$3085,CPU!$H$1:$H$3085)</f>
        <v>0.98718000000000006</v>
      </c>
      <c r="N84" s="94">
        <f t="shared" si="13"/>
        <v>0</v>
      </c>
      <c r="O84" s="167"/>
      <c r="P84" s="76" t="s">
        <v>101</v>
      </c>
      <c r="Q84" s="418"/>
      <c r="R84" s="26"/>
      <c r="S84" s="26"/>
    </row>
    <row r="85" spans="1:19" s="25" customFormat="1" ht="13.9" hidden="1" customHeight="1" outlineLevel="1" x14ac:dyDescent="0.2">
      <c r="A85" s="116">
        <f ca="1">IF($H85="UNIDADE CONSTRUTIVA",OFFSET(A85,-1,0)+1,LARGE(A$3:A84,1))</f>
        <v>0</v>
      </c>
      <c r="B85" s="116">
        <f t="shared" ca="1" si="8"/>
        <v>4</v>
      </c>
      <c r="C85" s="116">
        <f t="shared" ca="1" si="9"/>
        <v>1</v>
      </c>
      <c r="D85" s="117">
        <f t="shared" ca="1" si="10"/>
        <v>2</v>
      </c>
      <c r="E85" s="117">
        <f t="shared" ca="1" si="11"/>
        <v>0</v>
      </c>
      <c r="F85" s="438"/>
      <c r="G85" s="71"/>
      <c r="H85" s="72" t="s">
        <v>113</v>
      </c>
      <c r="I85" s="73" t="str">
        <f t="shared" ca="1" si="12"/>
        <v>04.001.002</v>
      </c>
      <c r="J85" s="74" t="s">
        <v>39</v>
      </c>
      <c r="K85" s="75"/>
      <c r="L85" s="114"/>
      <c r="M85" s="114"/>
      <c r="N85" s="94">
        <f t="shared" ca="1" si="13"/>
        <v>0</v>
      </c>
      <c r="O85" s="167"/>
      <c r="P85" s="76"/>
      <c r="Q85" s="418"/>
      <c r="R85" s="26"/>
      <c r="S85" s="26"/>
    </row>
    <row r="86" spans="1:19" s="25" customFormat="1" ht="13.9" hidden="1" customHeight="1" outlineLevel="2" x14ac:dyDescent="0.2">
      <c r="A86" s="116">
        <f ca="1">IF($H86="UNIDADE CONSTRUTIVA",OFFSET(A86,-1,0)+1,LARGE(A$3:A85,1))</f>
        <v>0</v>
      </c>
      <c r="B86" s="116">
        <f t="shared" ca="1" si="8"/>
        <v>4</v>
      </c>
      <c r="C86" s="116">
        <f t="shared" ca="1" si="9"/>
        <v>1</v>
      </c>
      <c r="D86" s="117">
        <f t="shared" ca="1" si="10"/>
        <v>2</v>
      </c>
      <c r="E86" s="117">
        <f t="shared" ca="1" si="11"/>
        <v>1</v>
      </c>
      <c r="F86" s="438"/>
      <c r="G86" s="71"/>
      <c r="H86" s="72" t="s">
        <v>114</v>
      </c>
      <c r="I86" s="73" t="str">
        <f t="shared" ca="1" si="12"/>
        <v>04.001.002.001</v>
      </c>
      <c r="J86" s="74" t="s">
        <v>203</v>
      </c>
      <c r="K86" s="75" t="s">
        <v>5</v>
      </c>
      <c r="L86" s="114"/>
      <c r="M86" s="114">
        <f>_xlfn.XLOOKUP($J86,CPU!$D$1:$D$3085,CPU!$H$1:$H$3085)</f>
        <v>7.5500550000000004</v>
      </c>
      <c r="N86" s="94">
        <f t="shared" si="13"/>
        <v>0</v>
      </c>
      <c r="O86" s="167"/>
      <c r="P86" s="76" t="s">
        <v>101</v>
      </c>
      <c r="Q86" s="418"/>
      <c r="R86" s="26"/>
      <c r="S86" s="26"/>
    </row>
    <row r="87" spans="1:19" s="25" customFormat="1" ht="13.9" hidden="1" customHeight="1" outlineLevel="2" x14ac:dyDescent="0.2">
      <c r="A87" s="116">
        <f ca="1">IF($H87="UNIDADE CONSTRUTIVA",OFFSET(A87,-1,0)+1,LARGE(A$3:A86,1))</f>
        <v>0</v>
      </c>
      <c r="B87" s="116">
        <f t="shared" ca="1" si="8"/>
        <v>4</v>
      </c>
      <c r="C87" s="116">
        <f t="shared" ca="1" si="9"/>
        <v>1</v>
      </c>
      <c r="D87" s="117">
        <f t="shared" ca="1" si="10"/>
        <v>2</v>
      </c>
      <c r="E87" s="117">
        <f t="shared" ca="1" si="11"/>
        <v>2</v>
      </c>
      <c r="F87" s="438"/>
      <c r="G87" s="71"/>
      <c r="H87" s="72" t="s">
        <v>114</v>
      </c>
      <c r="I87" s="73" t="str">
        <f t="shared" ca="1" si="12"/>
        <v>04.001.002.002</v>
      </c>
      <c r="J87" s="74" t="s">
        <v>493</v>
      </c>
      <c r="K87" s="75" t="s">
        <v>5</v>
      </c>
      <c r="L87" s="114"/>
      <c r="M87" s="114">
        <f>_xlfn.XLOOKUP($J87,CPU!$D$1:$D$3085,CPU!$H$1:$H$3085)</f>
        <v>7.0000550000000006</v>
      </c>
      <c r="N87" s="94">
        <f t="shared" si="13"/>
        <v>0</v>
      </c>
      <c r="O87" s="167"/>
      <c r="P87" s="76" t="s">
        <v>101</v>
      </c>
      <c r="Q87" s="418"/>
      <c r="R87" s="124"/>
      <c r="S87" s="26"/>
    </row>
    <row r="88" spans="1:19" s="25" customFormat="1" ht="13.9" hidden="1" customHeight="1" outlineLevel="2" x14ac:dyDescent="0.2">
      <c r="A88" s="116">
        <f ca="1">IF($H88="UNIDADE CONSTRUTIVA",OFFSET(A88,-1,0)+1,LARGE(A$3:A87,1))</f>
        <v>0</v>
      </c>
      <c r="B88" s="116">
        <f t="shared" ca="1" si="8"/>
        <v>4</v>
      </c>
      <c r="C88" s="116">
        <f t="shared" ca="1" si="9"/>
        <v>1</v>
      </c>
      <c r="D88" s="117">
        <f t="shared" ca="1" si="10"/>
        <v>2</v>
      </c>
      <c r="E88" s="117">
        <f t="shared" ca="1" si="11"/>
        <v>3</v>
      </c>
      <c r="F88" s="438"/>
      <c r="G88" s="71"/>
      <c r="H88" s="72" t="s">
        <v>114</v>
      </c>
      <c r="I88" s="73" t="str">
        <f t="shared" ca="1" si="12"/>
        <v>04.001.002.003</v>
      </c>
      <c r="J88" s="74" t="s">
        <v>204</v>
      </c>
      <c r="K88" s="75" t="s">
        <v>5</v>
      </c>
      <c r="L88" s="114"/>
      <c r="M88" s="114">
        <f>_xlfn.XLOOKUP($J88,CPU!$D$1:$D$3085,CPU!$H$1:$H$3085)</f>
        <v>7.0000550000000006</v>
      </c>
      <c r="N88" s="94">
        <f t="shared" si="13"/>
        <v>0</v>
      </c>
      <c r="O88" s="167"/>
      <c r="P88" s="76" t="s">
        <v>101</v>
      </c>
      <c r="Q88" s="418"/>
      <c r="R88" s="124"/>
      <c r="S88" s="26"/>
    </row>
    <row r="89" spans="1:19" s="25" customFormat="1" ht="13.9" hidden="1" customHeight="1" outlineLevel="2" x14ac:dyDescent="0.2">
      <c r="A89" s="116">
        <f ca="1">IF($H89="UNIDADE CONSTRUTIVA",OFFSET(A89,-1,0)+1,LARGE(A$3:A88,1))</f>
        <v>0</v>
      </c>
      <c r="B89" s="116">
        <f t="shared" ca="1" si="8"/>
        <v>4</v>
      </c>
      <c r="C89" s="116">
        <f t="shared" ca="1" si="9"/>
        <v>1</v>
      </c>
      <c r="D89" s="117">
        <f t="shared" ca="1" si="10"/>
        <v>2</v>
      </c>
      <c r="E89" s="117">
        <f t="shared" ca="1" si="11"/>
        <v>4</v>
      </c>
      <c r="F89" s="438"/>
      <c r="G89" s="71"/>
      <c r="H89" s="72" t="s">
        <v>114</v>
      </c>
      <c r="I89" s="73" t="str">
        <f t="shared" ca="1" si="12"/>
        <v>04.001.002.004</v>
      </c>
      <c r="J89" s="74" t="s">
        <v>205</v>
      </c>
      <c r="K89" s="75" t="s">
        <v>5</v>
      </c>
      <c r="L89" s="114"/>
      <c r="M89" s="114">
        <f>_xlfn.XLOOKUP($J89,CPU!$D$1:$D$3085,CPU!$H$1:$H$3085)</f>
        <v>6.6920549999999999</v>
      </c>
      <c r="N89" s="94">
        <f t="shared" si="13"/>
        <v>0</v>
      </c>
      <c r="O89" s="167"/>
      <c r="P89" s="76" t="s">
        <v>101</v>
      </c>
      <c r="Q89" s="418"/>
      <c r="R89" s="124"/>
      <c r="S89" s="26"/>
    </row>
    <row r="90" spans="1:19" s="25" customFormat="1" ht="13.9" hidden="1" customHeight="1" outlineLevel="2" x14ac:dyDescent="0.2">
      <c r="A90" s="116">
        <f ca="1">IF($H90="UNIDADE CONSTRUTIVA",OFFSET(A90,-1,0)+1,LARGE(A$3:A89,1))</f>
        <v>0</v>
      </c>
      <c r="B90" s="116">
        <f t="shared" ca="1" si="8"/>
        <v>4</v>
      </c>
      <c r="C90" s="116">
        <f t="shared" ca="1" si="9"/>
        <v>1</v>
      </c>
      <c r="D90" s="117">
        <f t="shared" ca="1" si="10"/>
        <v>2</v>
      </c>
      <c r="E90" s="117">
        <f t="shared" ca="1" si="11"/>
        <v>5</v>
      </c>
      <c r="F90" s="438"/>
      <c r="G90" s="71"/>
      <c r="H90" s="72" t="s">
        <v>114</v>
      </c>
      <c r="I90" s="73" t="str">
        <f t="shared" ca="1" si="12"/>
        <v>04.001.002.005</v>
      </c>
      <c r="J90" s="74" t="s">
        <v>206</v>
      </c>
      <c r="K90" s="75" t="s">
        <v>5</v>
      </c>
      <c r="L90" s="114"/>
      <c r="M90" s="114">
        <f>_xlfn.XLOOKUP($J90,CPU!$D$1:$D$3085,CPU!$H$1:$H$3085)</f>
        <v>6.5050549999999996</v>
      </c>
      <c r="N90" s="94">
        <f t="shared" si="13"/>
        <v>0</v>
      </c>
      <c r="O90" s="167"/>
      <c r="P90" s="76" t="s">
        <v>101</v>
      </c>
      <c r="Q90" s="418"/>
      <c r="R90" s="124"/>
      <c r="S90" s="26"/>
    </row>
    <row r="91" spans="1:19" s="25" customFormat="1" ht="13.9" hidden="1" customHeight="1" outlineLevel="2" x14ac:dyDescent="0.2">
      <c r="A91" s="116">
        <f ca="1">IF($H91="UNIDADE CONSTRUTIVA",OFFSET(A91,-1,0)+1,LARGE(A$3:A90,1))</f>
        <v>0</v>
      </c>
      <c r="B91" s="116">
        <f t="shared" ca="1" si="8"/>
        <v>4</v>
      </c>
      <c r="C91" s="116">
        <f t="shared" ca="1" si="9"/>
        <v>1</v>
      </c>
      <c r="D91" s="117">
        <f t="shared" ca="1" si="10"/>
        <v>2</v>
      </c>
      <c r="E91" s="117">
        <f t="shared" ca="1" si="11"/>
        <v>6</v>
      </c>
      <c r="F91" s="438"/>
      <c r="G91" s="71"/>
      <c r="H91" s="72" t="s">
        <v>114</v>
      </c>
      <c r="I91" s="73" t="str">
        <f t="shared" ca="1" si="12"/>
        <v>04.001.002.006</v>
      </c>
      <c r="J91" s="74" t="s">
        <v>207</v>
      </c>
      <c r="K91" s="75" t="s">
        <v>5</v>
      </c>
      <c r="L91" s="114"/>
      <c r="M91" s="114">
        <f>_xlfn.XLOOKUP($J91,CPU!$D$1:$D$3085,CPU!$H$1:$H$3085)</f>
        <v>6.5050549999999996</v>
      </c>
      <c r="N91" s="94">
        <f t="shared" si="13"/>
        <v>0</v>
      </c>
      <c r="O91" s="167"/>
      <c r="P91" s="76" t="s">
        <v>101</v>
      </c>
      <c r="Q91" s="418"/>
      <c r="R91" s="124"/>
      <c r="S91" s="26"/>
    </row>
    <row r="92" spans="1:19" s="25" customFormat="1" ht="13.9" hidden="1" customHeight="1" outlineLevel="2" x14ac:dyDescent="0.2">
      <c r="A92" s="116">
        <f ca="1">IF($H92="UNIDADE CONSTRUTIVA",OFFSET(A92,-1,0)+1,LARGE(A$3:A91,1))</f>
        <v>0</v>
      </c>
      <c r="B92" s="116">
        <f t="shared" ca="1" si="8"/>
        <v>4</v>
      </c>
      <c r="C92" s="116">
        <f t="shared" ca="1" si="9"/>
        <v>1</v>
      </c>
      <c r="D92" s="117">
        <f t="shared" ca="1" si="10"/>
        <v>2</v>
      </c>
      <c r="E92" s="117">
        <f t="shared" ca="1" si="11"/>
        <v>7</v>
      </c>
      <c r="F92" s="438"/>
      <c r="G92" s="71"/>
      <c r="H92" s="72" t="s">
        <v>114</v>
      </c>
      <c r="I92" s="73" t="str">
        <f t="shared" ca="1" si="12"/>
        <v>04.001.002.007</v>
      </c>
      <c r="J92" s="74" t="s">
        <v>208</v>
      </c>
      <c r="K92" s="75" t="s">
        <v>5</v>
      </c>
      <c r="L92" s="114"/>
      <c r="M92" s="114">
        <f>_xlfn.XLOOKUP($J92,CPU!$D$1:$D$3085,CPU!$H$1:$H$3085)</f>
        <v>6.5050549999999996</v>
      </c>
      <c r="N92" s="94">
        <f t="shared" si="13"/>
        <v>0</v>
      </c>
      <c r="O92" s="167"/>
      <c r="P92" s="76" t="s">
        <v>101</v>
      </c>
      <c r="Q92" s="418"/>
      <c r="R92" s="124"/>
      <c r="S92" s="26"/>
    </row>
    <row r="93" spans="1:19" s="25" customFormat="1" ht="13.9" hidden="1" customHeight="1" outlineLevel="2" x14ac:dyDescent="0.2">
      <c r="A93" s="116">
        <f ca="1">IF($H93="UNIDADE CONSTRUTIVA",OFFSET(A93,-1,0)+1,LARGE(A$3:A92,1))</f>
        <v>0</v>
      </c>
      <c r="B93" s="116">
        <f t="shared" ca="1" si="8"/>
        <v>4</v>
      </c>
      <c r="C93" s="116">
        <f t="shared" ca="1" si="9"/>
        <v>1</v>
      </c>
      <c r="D93" s="117">
        <f t="shared" ca="1" si="10"/>
        <v>2</v>
      </c>
      <c r="E93" s="117">
        <f t="shared" ca="1" si="11"/>
        <v>8</v>
      </c>
      <c r="F93" s="438"/>
      <c r="G93" s="71"/>
      <c r="H93" s="72" t="s">
        <v>114</v>
      </c>
      <c r="I93" s="73" t="str">
        <f t="shared" ref="I93:I121" ca="1" si="14">IF(H93="Unidade Construtiva",TEXT(A93,"00"),IF(H93="Célula Construtiva",TEXT(B93,"00"),IF(H93="Etapa",CONCATENATE(TEXT(B93,"00"),".",TEXT(C93,"000")),IF(H93="Subetapa",CONCATENATE(TEXT(B93,"00"),".",TEXT(C93,"000"),".",TEXT(D93,"000")),IF(H93="Serviço",CONCATENATE(TEXT(B93,"00"),".",TEXT(C93,"000"),".",TEXT(D93,"000"),".",TEXT(E93,"000")),"")))))</f>
        <v>04.001.002.008</v>
      </c>
      <c r="J93" s="74" t="s">
        <v>494</v>
      </c>
      <c r="K93" s="75" t="s">
        <v>5</v>
      </c>
      <c r="L93" s="114"/>
      <c r="M93" s="114">
        <f>_xlfn.XLOOKUP($J93,CPU!$D$1:$D$3085,CPU!$H$1:$H$3085)</f>
        <v>6.7690549999999998</v>
      </c>
      <c r="N93" s="94">
        <f t="shared" si="13"/>
        <v>0</v>
      </c>
      <c r="O93" s="167"/>
      <c r="P93" s="76" t="s">
        <v>101</v>
      </c>
      <c r="Q93" s="418"/>
      <c r="R93" s="124"/>
      <c r="S93" s="26"/>
    </row>
    <row r="94" spans="1:19" s="25" customFormat="1" ht="13.9" hidden="1" customHeight="1" outlineLevel="2" x14ac:dyDescent="0.2">
      <c r="A94" s="116">
        <f ca="1">IF($H94="UNIDADE CONSTRUTIVA",OFFSET(A94,-1,0)+1,LARGE(A$3:A93,1))</f>
        <v>0</v>
      </c>
      <c r="B94" s="116">
        <f t="shared" ca="1" si="8"/>
        <v>4</v>
      </c>
      <c r="C94" s="116">
        <f t="shared" ca="1" si="9"/>
        <v>1</v>
      </c>
      <c r="D94" s="117">
        <f t="shared" ca="1" si="10"/>
        <v>2</v>
      </c>
      <c r="E94" s="117">
        <f t="shared" ca="1" si="11"/>
        <v>9</v>
      </c>
      <c r="F94" s="438"/>
      <c r="G94" s="71"/>
      <c r="H94" s="72" t="s">
        <v>114</v>
      </c>
      <c r="I94" s="73" t="str">
        <f ca="1">IF(H94="Unidade Construtiva",TEXT(A94,"00"),IF(H94="Célula Construtiva",TEXT(B94,"00"),IF(H94="Etapa",CONCATENATE(TEXT(B94,"00"),".",TEXT(C94,"000")),IF(H94="Subetapa",CONCATENATE(TEXT(B94,"00"),".",TEXT(C94,"000"),".",TEXT(D94,"000")),IF(H94="Serviço",CONCATENATE(TEXT(B94,"00"),".",TEXT(C94,"000"),".",TEXT(D94,"000"),".",TEXT(E94,"000")),"")))))</f>
        <v>04.001.002.009</v>
      </c>
      <c r="J94" s="74" t="s">
        <v>2462</v>
      </c>
      <c r="K94" s="75" t="s">
        <v>5</v>
      </c>
      <c r="L94" s="114"/>
      <c r="M94" s="114">
        <f>_xlfn.XLOOKUP($J94,CPU!$D$1:$D$3085,CPU!$H$1:$H$3085)</f>
        <v>16.275000000000002</v>
      </c>
      <c r="N94" s="94">
        <f t="shared" si="13"/>
        <v>0</v>
      </c>
      <c r="O94" s="167"/>
      <c r="P94" s="76" t="s">
        <v>101</v>
      </c>
      <c r="Q94" s="418"/>
      <c r="R94" s="124"/>
      <c r="S94" s="26"/>
    </row>
    <row r="95" spans="1:19" s="25" customFormat="1" ht="13.9" hidden="1" customHeight="1" outlineLevel="2" x14ac:dyDescent="0.2">
      <c r="A95" s="116">
        <f ca="1">IF($H95="UNIDADE CONSTRUTIVA",OFFSET(A95,-1,0)+1,LARGE(A$3:A94,1))</f>
        <v>0</v>
      </c>
      <c r="B95" s="116">
        <f t="shared" ca="1" si="8"/>
        <v>4</v>
      </c>
      <c r="C95" s="116">
        <f t="shared" ca="1" si="9"/>
        <v>1</v>
      </c>
      <c r="D95" s="117">
        <f t="shared" ca="1" si="10"/>
        <v>2</v>
      </c>
      <c r="E95" s="117">
        <f t="shared" ca="1" si="11"/>
        <v>10</v>
      </c>
      <c r="F95" s="438"/>
      <c r="G95" s="71"/>
      <c r="H95" s="72" t="s">
        <v>114</v>
      </c>
      <c r="I95" s="73" t="str">
        <f ca="1">IF(H95="Unidade Construtiva",TEXT(A95,"00"),IF(H95="Célula Construtiva",TEXT(B95,"00"),IF(H95="Etapa",CONCATENATE(TEXT(B95,"00"),".",TEXT(C95,"000")),IF(H95="Subetapa",CONCATENATE(TEXT(B95,"00"),".",TEXT(C95,"000"),".",TEXT(D95,"000")),IF(H95="Serviço",CONCATENATE(TEXT(B95,"00"),".",TEXT(C95,"000"),".",TEXT(D95,"000"),".",TEXT(E95,"000")),"")))))</f>
        <v>04.001.002.010</v>
      </c>
      <c r="J95" s="74" t="s">
        <v>2889</v>
      </c>
      <c r="K95" s="75" t="s">
        <v>2890</v>
      </c>
      <c r="L95" s="114"/>
      <c r="M95" s="114">
        <f>_xlfn.XLOOKUP($J95,CPU!$D$1:$D$3085,CPU!$H$1:$H$3085)</f>
        <v>57.725000000000001</v>
      </c>
      <c r="N95" s="94">
        <f t="shared" si="13"/>
        <v>0</v>
      </c>
      <c r="O95" s="167"/>
      <c r="P95" s="76" t="s">
        <v>101</v>
      </c>
      <c r="Q95" s="418"/>
      <c r="R95" s="124"/>
      <c r="S95" s="26"/>
    </row>
    <row r="96" spans="1:19" s="25" customFormat="1" ht="13.9" hidden="1" customHeight="1" outlineLevel="1" x14ac:dyDescent="0.2">
      <c r="A96" s="116">
        <f ca="1">IF($H96="UNIDADE CONSTRUTIVA",OFFSET(A96,-1,0)+1,LARGE(A$3:A95,1))</f>
        <v>0</v>
      </c>
      <c r="B96" s="116">
        <f t="shared" ca="1" si="8"/>
        <v>4</v>
      </c>
      <c r="C96" s="116">
        <f t="shared" ca="1" si="9"/>
        <v>1</v>
      </c>
      <c r="D96" s="117">
        <f t="shared" ca="1" si="10"/>
        <v>3</v>
      </c>
      <c r="E96" s="117">
        <f t="shared" ca="1" si="11"/>
        <v>0</v>
      </c>
      <c r="F96" s="438"/>
      <c r="G96" s="71"/>
      <c r="H96" s="72" t="s">
        <v>113</v>
      </c>
      <c r="I96" s="73" t="str">
        <f t="shared" ca="1" si="14"/>
        <v>04.001.003</v>
      </c>
      <c r="J96" s="74" t="s">
        <v>115</v>
      </c>
      <c r="K96" s="75"/>
      <c r="L96" s="114"/>
      <c r="M96" s="114"/>
      <c r="N96" s="94">
        <f t="shared" ca="1" si="13"/>
        <v>0</v>
      </c>
      <c r="O96" s="167"/>
      <c r="P96" s="76"/>
      <c r="Q96" s="418"/>
      <c r="R96" s="26"/>
      <c r="S96" s="26"/>
    </row>
    <row r="97" spans="1:19" s="25" customFormat="1" ht="13.15" hidden="1" customHeight="1" outlineLevel="2" x14ac:dyDescent="0.2">
      <c r="A97" s="116">
        <f ca="1">IF($H97="UNIDADE CONSTRUTIVA",OFFSET(A97,-1,0)+1,LARGE(A$3:A96,1))</f>
        <v>0</v>
      </c>
      <c r="B97" s="116">
        <f t="shared" ca="1" si="8"/>
        <v>4</v>
      </c>
      <c r="C97" s="116">
        <f t="shared" ca="1" si="9"/>
        <v>1</v>
      </c>
      <c r="D97" s="117">
        <f t="shared" ca="1" si="10"/>
        <v>3</v>
      </c>
      <c r="E97" s="117">
        <f t="shared" ca="1" si="11"/>
        <v>1</v>
      </c>
      <c r="F97" s="438"/>
      <c r="G97" s="71"/>
      <c r="H97" s="72" t="s">
        <v>114</v>
      </c>
      <c r="I97" s="73" t="str">
        <f t="shared" ca="1" si="14"/>
        <v>04.001.003.001</v>
      </c>
      <c r="J97" s="74" t="s">
        <v>500</v>
      </c>
      <c r="K97" s="75" t="s">
        <v>16</v>
      </c>
      <c r="L97" s="114"/>
      <c r="M97" s="114">
        <f>_xlfn.XLOOKUP($J97,CPU!$D$1:$D$3085,CPU!$H$1:$H$3085)</f>
        <v>578.26</v>
      </c>
      <c r="N97" s="94">
        <f t="shared" si="13"/>
        <v>0</v>
      </c>
      <c r="O97" s="406" t="s">
        <v>2349</v>
      </c>
      <c r="P97" s="76" t="s">
        <v>101</v>
      </c>
      <c r="Q97" s="418"/>
      <c r="R97" s="26"/>
      <c r="S97" s="26"/>
    </row>
    <row r="98" spans="1:19" s="25" customFormat="1" ht="13.9" hidden="1" customHeight="1" outlineLevel="1" x14ac:dyDescent="0.2">
      <c r="A98" s="116">
        <f ca="1">IF($H98="UNIDADE CONSTRUTIVA",OFFSET(A98,-1,0)+1,LARGE(A$3:A97,1))</f>
        <v>0</v>
      </c>
      <c r="B98" s="116">
        <f t="shared" ca="1" si="8"/>
        <v>4</v>
      </c>
      <c r="C98" s="116">
        <f t="shared" ca="1" si="9"/>
        <v>1</v>
      </c>
      <c r="D98" s="117">
        <f t="shared" ca="1" si="10"/>
        <v>4</v>
      </c>
      <c r="E98" s="117">
        <f t="shared" ca="1" si="11"/>
        <v>0</v>
      </c>
      <c r="F98" s="438"/>
      <c r="G98" s="71"/>
      <c r="H98" s="72" t="s">
        <v>113</v>
      </c>
      <c r="I98" s="73" t="str">
        <f t="shared" ca="1" si="14"/>
        <v>04.001.004</v>
      </c>
      <c r="J98" s="74" t="s">
        <v>52</v>
      </c>
      <c r="K98" s="75"/>
      <c r="L98" s="114"/>
      <c r="M98" s="114"/>
      <c r="N98" s="94">
        <f t="shared" ca="1" si="13"/>
        <v>0</v>
      </c>
      <c r="O98" s="167"/>
      <c r="P98" s="76"/>
      <c r="Q98" s="418"/>
      <c r="R98" s="26"/>
      <c r="S98" s="26"/>
    </row>
    <row r="99" spans="1:19" s="25" customFormat="1" ht="13.9" hidden="1" customHeight="1" outlineLevel="2" x14ac:dyDescent="0.2">
      <c r="A99" s="116">
        <f ca="1">IF($H99="UNIDADE CONSTRUTIVA",OFFSET(A99,-1,0)+1,LARGE(A$3:A98,1))</f>
        <v>0</v>
      </c>
      <c r="B99" s="116">
        <f t="shared" ca="1" si="8"/>
        <v>4</v>
      </c>
      <c r="C99" s="116">
        <f t="shared" ca="1" si="9"/>
        <v>1</v>
      </c>
      <c r="D99" s="117">
        <f t="shared" ca="1" si="10"/>
        <v>4</v>
      </c>
      <c r="E99" s="117">
        <f t="shared" ca="1" si="11"/>
        <v>1</v>
      </c>
      <c r="F99" s="438"/>
      <c r="G99" s="71"/>
      <c r="H99" s="72" t="s">
        <v>114</v>
      </c>
      <c r="I99" s="73" t="str">
        <f t="shared" ca="1" si="14"/>
        <v>04.001.004.001</v>
      </c>
      <c r="J99" s="74" t="s">
        <v>528</v>
      </c>
      <c r="K99" s="75" t="s">
        <v>1</v>
      </c>
      <c r="L99" s="114"/>
      <c r="M99" s="114"/>
      <c r="N99" s="94">
        <f t="shared" si="13"/>
        <v>0</v>
      </c>
      <c r="O99" s="121" t="s">
        <v>2348</v>
      </c>
      <c r="P99" s="76" t="s">
        <v>101</v>
      </c>
      <c r="Q99" s="418"/>
      <c r="R99" s="26"/>
      <c r="S99" s="26"/>
    </row>
    <row r="100" spans="1:19" s="25" customFormat="1" ht="13.9" hidden="1" customHeight="1" outlineLevel="1" x14ac:dyDescent="0.2">
      <c r="A100" s="116">
        <f ca="1">IF($H100="UNIDADE CONSTRUTIVA",OFFSET(A100,-1,0)+1,LARGE(A$3:A99,1))</f>
        <v>0</v>
      </c>
      <c r="B100" s="116">
        <f t="shared" ca="1" si="8"/>
        <v>4</v>
      </c>
      <c r="C100" s="116">
        <f t="shared" ca="1" si="9"/>
        <v>1</v>
      </c>
      <c r="D100" s="117">
        <f t="shared" ca="1" si="10"/>
        <v>5</v>
      </c>
      <c r="E100" s="117">
        <f t="shared" ca="1" si="11"/>
        <v>0</v>
      </c>
      <c r="F100" s="438"/>
      <c r="G100" s="71"/>
      <c r="H100" s="72" t="s">
        <v>113</v>
      </c>
      <c r="I100" s="73" t="str">
        <f t="shared" ca="1" si="14"/>
        <v>04.001.005</v>
      </c>
      <c r="J100" s="74" t="s">
        <v>54</v>
      </c>
      <c r="K100" s="75"/>
      <c r="L100" s="114"/>
      <c r="M100" s="114"/>
      <c r="N100" s="94">
        <f t="shared" ca="1" si="13"/>
        <v>0</v>
      </c>
      <c r="O100" s="167"/>
      <c r="P100" s="76"/>
      <c r="Q100" s="418"/>
      <c r="R100" s="26"/>
      <c r="S100" s="26"/>
    </row>
    <row r="101" spans="1:19" s="25" customFormat="1" ht="13.9" hidden="1" customHeight="1" outlineLevel="2" x14ac:dyDescent="0.2">
      <c r="A101" s="116">
        <f ca="1">IF($H101="UNIDADE CONSTRUTIVA",OFFSET(A101,-1,0)+1,LARGE(A$3:A100,1))</f>
        <v>0</v>
      </c>
      <c r="B101" s="116">
        <f t="shared" ca="1" si="8"/>
        <v>4</v>
      </c>
      <c r="C101" s="116">
        <f t="shared" ca="1" si="9"/>
        <v>1</v>
      </c>
      <c r="D101" s="117">
        <f t="shared" ca="1" si="10"/>
        <v>5</v>
      </c>
      <c r="E101" s="117">
        <f t="shared" ca="1" si="11"/>
        <v>1</v>
      </c>
      <c r="F101" s="438"/>
      <c r="G101" s="71"/>
      <c r="H101" s="72" t="s">
        <v>114</v>
      </c>
      <c r="I101" s="73" t="str">
        <f ca="1">IF(H101="Unidade Construtiva",TEXT(A101,"00"),IF(H101="Célula Construtiva",TEXT(B101,"00"),IF(H101="Etapa",CONCATENATE(TEXT(B101,"00"),".",TEXT(C101,"000")),IF(H101="Subetapa",CONCATENATE(TEXT(B101,"00"),".",TEXT(C101,"000"),".",TEXT(D101,"000")),IF(H101="Serviço",CONCATENATE(TEXT(B101,"00"),".",TEXT(C101,"000"),".",TEXT(D101,"000"),".",TEXT(E101,"000")),"")))))</f>
        <v>04.001.005.001</v>
      </c>
      <c r="J101" s="74" t="s">
        <v>116</v>
      </c>
      <c r="K101" s="75" t="s">
        <v>11</v>
      </c>
      <c r="L101" s="114"/>
      <c r="M101" s="114">
        <f>_xlfn.XLOOKUP($J101,CPU!$D$1:$D$3085,CPU!$H$1:$H$3085)</f>
        <v>240</v>
      </c>
      <c r="N101" s="94">
        <f t="shared" si="13"/>
        <v>0</v>
      </c>
      <c r="O101" s="167"/>
      <c r="P101" s="76" t="s">
        <v>101</v>
      </c>
      <c r="Q101" s="418"/>
      <c r="R101" s="26"/>
      <c r="S101" s="26"/>
    </row>
    <row r="102" spans="1:19" s="25" customFormat="1" ht="13.9" customHeight="1" x14ac:dyDescent="0.2">
      <c r="A102" s="116">
        <f ca="1">IF($H102="UNIDADE CONSTRUTIVA",OFFSET(A102,-1,0)+1,LARGE(A$3:A101,1))</f>
        <v>0</v>
      </c>
      <c r="B102" s="116">
        <f t="shared" ca="1" si="8"/>
        <v>5</v>
      </c>
      <c r="C102" s="116">
        <f t="shared" ca="1" si="9"/>
        <v>0</v>
      </c>
      <c r="D102" s="117">
        <f t="shared" ca="1" si="10"/>
        <v>5</v>
      </c>
      <c r="E102" s="117">
        <f t="shared" ca="1" si="11"/>
        <v>1</v>
      </c>
      <c r="F102" s="523"/>
      <c r="G102" s="71"/>
      <c r="H102" s="72" t="s">
        <v>111</v>
      </c>
      <c r="I102" s="73" t="str">
        <f t="shared" ca="1" si="14"/>
        <v>05</v>
      </c>
      <c r="J102" s="125" t="s">
        <v>1876</v>
      </c>
      <c r="K102" s="75"/>
      <c r="L102" s="114"/>
      <c r="M102" s="114"/>
      <c r="N102" s="94">
        <f t="shared" ca="1" si="13"/>
        <v>1994418.7802429749</v>
      </c>
      <c r="O102" s="121">
        <f ca="1">N102/'Obra '!$E$9</f>
        <v>287.4469120708082</v>
      </c>
      <c r="P102" s="76"/>
      <c r="Q102" s="418" t="s">
        <v>138</v>
      </c>
      <c r="R102" s="122"/>
      <c r="S102" s="26"/>
    </row>
    <row r="103" spans="1:19" s="25" customFormat="1" ht="13.9" customHeight="1" outlineLevel="1" x14ac:dyDescent="0.2">
      <c r="A103" s="116">
        <f ca="1">IF($H103="UNIDADE CONSTRUTIVA",OFFSET(A103,-1,0)+1,LARGE(A$3:A102,1))</f>
        <v>0</v>
      </c>
      <c r="B103" s="116">
        <f t="shared" ca="1" si="8"/>
        <v>5</v>
      </c>
      <c r="C103" s="116">
        <f t="shared" ca="1" si="9"/>
        <v>1</v>
      </c>
      <c r="D103" s="117">
        <f t="shared" ca="1" si="10"/>
        <v>0</v>
      </c>
      <c r="E103" s="117">
        <f t="shared" ca="1" si="11"/>
        <v>1</v>
      </c>
      <c r="F103" s="438"/>
      <c r="G103" s="71"/>
      <c r="H103" s="72" t="s">
        <v>112</v>
      </c>
      <c r="I103" s="73" t="str">
        <f t="shared" ca="1" si="14"/>
        <v>05.001</v>
      </c>
      <c r="J103" s="74" t="s">
        <v>1877</v>
      </c>
      <c r="K103" s="75"/>
      <c r="L103" s="114"/>
      <c r="M103" s="114"/>
      <c r="N103" s="94">
        <f t="shared" ca="1" si="13"/>
        <v>1994418.7802429749</v>
      </c>
      <c r="O103" s="121">
        <f ca="1">N103/'Obra '!$E$9</f>
        <v>287.4469120708082</v>
      </c>
      <c r="P103" s="76"/>
      <c r="Q103" s="418"/>
      <c r="R103" s="26"/>
      <c r="S103" s="26"/>
    </row>
    <row r="104" spans="1:19" s="25" customFormat="1" ht="13.9" customHeight="1" outlineLevel="1" x14ac:dyDescent="0.2">
      <c r="A104" s="116">
        <f ca="1">IF($H104="UNIDADE CONSTRUTIVA",OFFSET(A104,-1,0)+1,LARGE(A$3:A111,1))</f>
        <v>0</v>
      </c>
      <c r="B104" s="116">
        <f t="shared" ca="1" si="8"/>
        <v>5</v>
      </c>
      <c r="C104" s="116">
        <f t="shared" ca="1" si="9"/>
        <v>1</v>
      </c>
      <c r="D104" s="117">
        <f t="shared" ca="1" si="10"/>
        <v>1</v>
      </c>
      <c r="E104" s="117">
        <f t="shared" ca="1" si="11"/>
        <v>0</v>
      </c>
      <c r="F104" s="438"/>
      <c r="G104" s="71"/>
      <c r="H104" s="72" t="s">
        <v>113</v>
      </c>
      <c r="I104" s="73" t="str">
        <f t="shared" ca="1" si="14"/>
        <v>05.001.001</v>
      </c>
      <c r="J104" s="74" t="s">
        <v>1878</v>
      </c>
      <c r="K104" s="75"/>
      <c r="L104" s="114"/>
      <c r="M104" s="114"/>
      <c r="N104" s="94">
        <f t="shared" ca="1" si="13"/>
        <v>689243.29500000016</v>
      </c>
      <c r="O104" s="121">
        <f ca="1">N104/'Obra '!$E$9</f>
        <v>99.337641008937254</v>
      </c>
      <c r="P104" s="76"/>
      <c r="Q104" s="418"/>
      <c r="R104" s="26"/>
      <c r="S104" s="26"/>
    </row>
    <row r="105" spans="1:19" s="25" customFormat="1" ht="13.9" customHeight="1" outlineLevel="2" x14ac:dyDescent="0.2">
      <c r="A105" s="116">
        <f ca="1">IF($H105="UNIDADE CONSTRUTIVA",OFFSET(A105,-1,0)+1,LARGE(A$3:A104,1))</f>
        <v>0</v>
      </c>
      <c r="B105" s="116">
        <f t="shared" ca="1" si="8"/>
        <v>5</v>
      </c>
      <c r="C105" s="116">
        <f t="shared" ca="1" si="9"/>
        <v>1</v>
      </c>
      <c r="D105" s="117">
        <f t="shared" ca="1" si="10"/>
        <v>1</v>
      </c>
      <c r="E105" s="117">
        <f t="shared" ca="1" si="11"/>
        <v>1</v>
      </c>
      <c r="F105" s="438"/>
      <c r="G105" s="71"/>
      <c r="H105" s="72" t="s">
        <v>114</v>
      </c>
      <c r="I105" s="73" t="str">
        <f ca="1">IF(H105="Unidade Construtiva",TEXT(A105,"00"),IF(H105="Célula Construtiva",TEXT(B105,"00"),IF(H105="Etapa",CONCATENATE(TEXT(B105,"00"),".",TEXT(C105,"000")),IF(H105="Subetapa",CONCATENATE(TEXT(B105,"00"),".",TEXT(C105,"000"),".",TEXT(D105,"000")),IF(H105="Serviço",CONCATENATE(TEXT(B105,"00"),".",TEXT(C105,"000"),".",TEXT(D105,"000"),".",TEXT(E105,"000")),"")))))</f>
        <v>05.001.001.001</v>
      </c>
      <c r="J105" s="74" t="s">
        <v>539</v>
      </c>
      <c r="K105" s="75" t="s">
        <v>1</v>
      </c>
      <c r="L105" s="114">
        <f>ARQUITETURA!H13</f>
        <v>208.4500000000001</v>
      </c>
      <c r="M105" s="114">
        <f>_xlfn.XLOOKUP($J105,CPU!$D$1:$D$3085,CPU!$H$1:$H$3085)</f>
        <v>46.300000000000004</v>
      </c>
      <c r="N105" s="94">
        <f t="shared" si="13"/>
        <v>9651.235000000006</v>
      </c>
      <c r="O105" s="121"/>
      <c r="P105" s="76"/>
      <c r="Q105" s="418"/>
      <c r="R105" s="26"/>
      <c r="S105" s="26"/>
    </row>
    <row r="106" spans="1:19" s="25" customFormat="1" ht="13.9" customHeight="1" outlineLevel="2" x14ac:dyDescent="0.2">
      <c r="A106" s="116">
        <f ca="1">IF($H106="UNIDADE CONSTRUTIVA",OFFSET(A106,-1,0)+1,LARGE(A$3:A105,1))</f>
        <v>0</v>
      </c>
      <c r="B106" s="116">
        <f t="shared" ca="1" si="8"/>
        <v>5</v>
      </c>
      <c r="C106" s="116">
        <f t="shared" ca="1" si="9"/>
        <v>1</v>
      </c>
      <c r="D106" s="117">
        <f t="shared" ca="1" si="10"/>
        <v>1</v>
      </c>
      <c r="E106" s="117">
        <f t="shared" ca="1" si="11"/>
        <v>2</v>
      </c>
      <c r="F106" s="438"/>
      <c r="G106" s="71"/>
      <c r="H106" s="72" t="s">
        <v>114</v>
      </c>
      <c r="I106" s="73" t="str">
        <f t="shared" ca="1" si="14"/>
        <v>05.001.001.002</v>
      </c>
      <c r="J106" s="74" t="s">
        <v>2824</v>
      </c>
      <c r="K106" s="75" t="s">
        <v>1</v>
      </c>
      <c r="L106" s="114">
        <f>ARQUITETURA!H14</f>
        <v>1643.0000000000002</v>
      </c>
      <c r="M106" s="114">
        <f>_xlfn.XLOOKUP($J106,CPU!$D$1:$D$3085,CPU!$H$1:$H$3085)</f>
        <v>49.1</v>
      </c>
      <c r="N106" s="94">
        <f t="shared" si="13"/>
        <v>80671.300000000017</v>
      </c>
      <c r="O106" s="121"/>
      <c r="P106" s="76"/>
      <c r="Q106" s="418"/>
      <c r="R106" s="26"/>
      <c r="S106" s="26"/>
    </row>
    <row r="107" spans="1:19" s="25" customFormat="1" ht="13.9" customHeight="1" outlineLevel="2" x14ac:dyDescent="0.2">
      <c r="A107" s="116">
        <f ca="1">IF($H107="UNIDADE CONSTRUTIVA",OFFSET(A107,-1,0)+1,LARGE(A$3:A106,1))</f>
        <v>0</v>
      </c>
      <c r="B107" s="116">
        <f t="shared" ca="1" si="8"/>
        <v>5</v>
      </c>
      <c r="C107" s="116">
        <f t="shared" ca="1" si="9"/>
        <v>1</v>
      </c>
      <c r="D107" s="117">
        <f t="shared" ca="1" si="10"/>
        <v>1</v>
      </c>
      <c r="E107" s="117">
        <f t="shared" ca="1" si="11"/>
        <v>3</v>
      </c>
      <c r="F107" s="438"/>
      <c r="G107" s="71"/>
      <c r="H107" s="72" t="s">
        <v>114</v>
      </c>
      <c r="I107" s="73" t="str">
        <f t="shared" ca="1" si="14"/>
        <v>05.001.001.003</v>
      </c>
      <c r="J107" s="74" t="s">
        <v>2987</v>
      </c>
      <c r="K107" s="75" t="s">
        <v>1</v>
      </c>
      <c r="L107" s="114">
        <f>ARQUITETURA!H15</f>
        <v>2528.2499999999995</v>
      </c>
      <c r="M107" s="114">
        <f>_xlfn.XLOOKUP($J107,CPU!$D$1:$D$3085,CPU!$H$1:$H$3085)</f>
        <v>64.22</v>
      </c>
      <c r="N107" s="94">
        <f t="shared" si="13"/>
        <v>162364.21499999997</v>
      </c>
      <c r="O107" s="121"/>
      <c r="P107" s="76"/>
      <c r="Q107" s="418"/>
      <c r="R107" s="26"/>
      <c r="S107" s="26"/>
    </row>
    <row r="108" spans="1:19" s="25" customFormat="1" ht="13.9" customHeight="1" outlineLevel="2" x14ac:dyDescent="0.2">
      <c r="A108" s="116">
        <f ca="1">IF($H108="UNIDADE CONSTRUTIVA",OFFSET(A108,-1,0)+1,LARGE(A$3:A103,1))</f>
        <v>0</v>
      </c>
      <c r="B108" s="116">
        <f ca="1">IF(H108="UNIDADE CONSTRUTIVA",0,IF(H108="CÉLULA CONSTRUTIVA",OFFSET(B108,-1,0)+1,OFFSET(B108,-1,0)))</f>
        <v>5</v>
      </c>
      <c r="C108" s="116">
        <f ca="1">IF(H108="CÉLULA CONSTRUTIVA",0,IF(H108="ETAPA",OFFSET(C108,-1,0)+1,OFFSET(C108,-1,0)))</f>
        <v>1</v>
      </c>
      <c r="D108" s="117">
        <f ca="1">IF(H108="ETAPA",0,IF(H108="SUBETAPA",OFFSET(D108,-1,0)+1,OFFSET(D108,-1,0)))</f>
        <v>1</v>
      </c>
      <c r="E108" s="117">
        <f ca="1">IF(H108="Subetapa",0,IF(H108="serviço",OFFSET(E108,-1,0)+1,OFFSET(E108,-1,0)))</f>
        <v>4</v>
      </c>
      <c r="F108" s="438"/>
      <c r="G108" s="71"/>
      <c r="H108" s="72" t="s">
        <v>114</v>
      </c>
      <c r="I108" s="73" t="str">
        <f ca="1">IF(H108="Unidade Construtiva",TEXT(A108,"00"),IF(H108="Célula Construtiva",TEXT(B108,"00"),IF(H108="Etapa",CONCATENATE(TEXT(B108,"00"),".",TEXT(C108,"000")),IF(H108="Subetapa",CONCATENATE(TEXT(B108,"00"),".",TEXT(C108,"000"),".",TEXT(D108,"000")),IF(H108="Serviço",CONCATENATE(TEXT(B108,"00"),".",TEXT(C108,"000"),".",TEXT(D108,"000"),".",TEXT(E108,"000")),"")))))</f>
        <v>05.001.001.004</v>
      </c>
      <c r="J108" s="74" t="s">
        <v>6958</v>
      </c>
      <c r="K108" s="75" t="s">
        <v>1</v>
      </c>
      <c r="L108" s="114">
        <f>ARQUITETURA!H99</f>
        <v>87.039999999999992</v>
      </c>
      <c r="M108" s="114">
        <f>_xlfn.XLOOKUP($J108,CPU!$D$1:$D$3085,CPU!$H$1:$H$3085)</f>
        <v>71.5</v>
      </c>
      <c r="N108" s="94">
        <f t="shared" si="13"/>
        <v>6223.36</v>
      </c>
      <c r="O108" s="121" t="s">
        <v>6967</v>
      </c>
      <c r="P108" s="76"/>
      <c r="Q108" s="418"/>
      <c r="R108" s="26"/>
      <c r="S108" s="26"/>
    </row>
    <row r="109" spans="1:19" s="25" customFormat="1" ht="13.9" customHeight="1" outlineLevel="2" x14ac:dyDescent="0.2">
      <c r="A109" s="116">
        <f ca="1">IF($H109="UNIDADE CONSTRUTIVA",OFFSET(A109,-1,0)+1,LARGE(A$3:A108,1))</f>
        <v>0</v>
      </c>
      <c r="B109" s="116">
        <f ca="1">IF(H109="UNIDADE CONSTRUTIVA",0,IF(H109="CÉLULA CONSTRUTIVA",OFFSET(B109,-1,0)+1,OFFSET(B109,-1,0)))</f>
        <v>5</v>
      </c>
      <c r="C109" s="116">
        <f ca="1">IF(H109="CÉLULA CONSTRUTIVA",0,IF(H109="ETAPA",OFFSET(C109,-1,0)+1,OFFSET(C109,-1,0)))</f>
        <v>1</v>
      </c>
      <c r="D109" s="117">
        <f ca="1">IF(H109="ETAPA",0,IF(H109="SUBETAPA",OFFSET(D109,-1,0)+1,OFFSET(D109,-1,0)))</f>
        <v>1</v>
      </c>
      <c r="E109" s="117">
        <f ca="1">IF(H109="Subetapa",0,IF(H109="serviço",OFFSET(E109,-1,0)+1,OFFSET(E109,-1,0)))</f>
        <v>5</v>
      </c>
      <c r="F109" s="438"/>
      <c r="G109" s="71"/>
      <c r="H109" s="72" t="s">
        <v>114</v>
      </c>
      <c r="I109" s="73" t="str">
        <f ca="1">IF(H109="Unidade Construtiva",TEXT(A109,"00"),IF(H109="Célula Construtiva",TEXT(B109,"00"),IF(H109="Etapa",CONCATENATE(TEXT(B109,"00"),".",TEXT(C109,"000")),IF(H109="Subetapa",CONCATENATE(TEXT(B109,"00"),".",TEXT(C109,"000"),".",TEXT(D109,"000")),IF(H109="Serviço",CONCATENATE(TEXT(B109,"00"),".",TEXT(C109,"000"),".",TEXT(D109,"000"),".",TEXT(E109,"000")),"")))))</f>
        <v>05.001.001.005</v>
      </c>
      <c r="J109" s="74" t="s">
        <v>6959</v>
      </c>
      <c r="K109" s="75" t="s">
        <v>1</v>
      </c>
      <c r="L109" s="114">
        <f>ARQUITETURA!H100</f>
        <v>1154.0500000000002</v>
      </c>
      <c r="M109" s="114">
        <f>_xlfn.XLOOKUP($J109,CPU!$D$1:$D$3085,CPU!$H$1:$H$3085)</f>
        <v>99.5</v>
      </c>
      <c r="N109" s="94">
        <f t="shared" si="13"/>
        <v>114827.97500000002</v>
      </c>
      <c r="O109" s="121" t="s">
        <v>6967</v>
      </c>
      <c r="P109" s="76"/>
      <c r="Q109" s="418"/>
      <c r="R109" s="26"/>
      <c r="S109" s="26"/>
    </row>
    <row r="110" spans="1:19" s="25" customFormat="1" ht="13.9" customHeight="1" outlineLevel="2" x14ac:dyDescent="0.2">
      <c r="A110" s="116">
        <f ca="1">IF($H110="UNIDADE CONSTRUTIVA",OFFSET(A110,-1,0)+1,LARGE(A$3:A109,1))</f>
        <v>0</v>
      </c>
      <c r="B110" s="116">
        <f ca="1">IF(H110="UNIDADE CONSTRUTIVA",0,IF(H110="CÉLULA CONSTRUTIVA",OFFSET(B110,-1,0)+1,OFFSET(B110,-1,0)))</f>
        <v>5</v>
      </c>
      <c r="C110" s="116">
        <f ca="1">IF(H110="CÉLULA CONSTRUTIVA",0,IF(H110="ETAPA",OFFSET(C110,-1,0)+1,OFFSET(C110,-1,0)))</f>
        <v>1</v>
      </c>
      <c r="D110" s="117">
        <f ca="1">IF(H110="ETAPA",0,IF(H110="SUBETAPA",OFFSET(D110,-1,0)+1,OFFSET(D110,-1,0)))</f>
        <v>1</v>
      </c>
      <c r="E110" s="117">
        <f ca="1">IF(H110="Subetapa",0,IF(H110="serviço",OFFSET(E110,-1,0)+1,OFFSET(E110,-1,0)))</f>
        <v>6</v>
      </c>
      <c r="F110" s="438"/>
      <c r="G110" s="71"/>
      <c r="H110" s="72" t="s">
        <v>114</v>
      </c>
      <c r="I110" s="73" t="str">
        <f ca="1">IF(H110="Unidade Construtiva",TEXT(A110,"00"),IF(H110="Célula Construtiva",TEXT(B110,"00"),IF(H110="Etapa",CONCATENATE(TEXT(B110,"00"),".",TEXT(C110,"000")),IF(H110="Subetapa",CONCATENATE(TEXT(B110,"00"),".",TEXT(C110,"000"),".",TEXT(D110,"000")),IF(H110="Serviço",CONCATENATE(TEXT(B110,"00"),".",TEXT(C110,"000"),".",TEXT(D110,"000"),".",TEXT(E110,"000")),"")))))</f>
        <v>05.001.001.006</v>
      </c>
      <c r="J110" s="74" t="s">
        <v>6960</v>
      </c>
      <c r="K110" s="75" t="s">
        <v>1</v>
      </c>
      <c r="L110" s="114">
        <f>ARQUITETURA!H102</f>
        <v>90.939999999999984</v>
      </c>
      <c r="M110" s="114">
        <f>_xlfn.XLOOKUP($J110,CPU!$D$1:$D$3085,CPU!$H$1:$H$3085)</f>
        <v>148.5</v>
      </c>
      <c r="N110" s="94">
        <f t="shared" si="13"/>
        <v>13504.589999999998</v>
      </c>
      <c r="O110" s="121" t="s">
        <v>6967</v>
      </c>
      <c r="P110" s="76"/>
      <c r="Q110" s="418"/>
      <c r="R110" s="26"/>
      <c r="S110" s="26"/>
    </row>
    <row r="111" spans="1:19" s="25" customFormat="1" ht="13.9" customHeight="1" outlineLevel="2" x14ac:dyDescent="0.2">
      <c r="A111" s="116">
        <f ca="1">IF($H111="UNIDADE CONSTRUTIVA",OFFSET(A111,-1,0)+1,LARGE(A$3:A110,1))</f>
        <v>0</v>
      </c>
      <c r="B111" s="116">
        <f ca="1">IF(H111="UNIDADE CONSTRUTIVA",0,IF(H111="CÉLULA CONSTRUTIVA",OFFSET(B111,-1,0)+1,OFFSET(B111,-1,0)))</f>
        <v>5</v>
      </c>
      <c r="C111" s="116">
        <f ca="1">IF(H111="CÉLULA CONSTRUTIVA",0,IF(H111="ETAPA",OFFSET(C111,-1,0)+1,OFFSET(C111,-1,0)))</f>
        <v>1</v>
      </c>
      <c r="D111" s="117">
        <f ca="1">IF(H111="ETAPA",0,IF(H111="SUBETAPA",OFFSET(D111,-1,0)+1,OFFSET(D111,-1,0)))</f>
        <v>1</v>
      </c>
      <c r="E111" s="117">
        <f ca="1">IF(H111="Subetapa",0,IF(H111="serviço",OFFSET(E111,-1,0)+1,OFFSET(E111,-1,0)))</f>
        <v>7</v>
      </c>
      <c r="F111" s="438"/>
      <c r="G111" s="71"/>
      <c r="H111" s="72" t="s">
        <v>114</v>
      </c>
      <c r="I111" s="73" t="str">
        <f ca="1">IF(H111="Unidade Construtiva",TEXT(A111,"00"),IF(H111="Célula Construtiva",TEXT(B111,"00"),IF(H111="Etapa",CONCATENATE(TEXT(B111,"00"),".",TEXT(C111,"000")),IF(H111="Subetapa",CONCATENATE(TEXT(B111,"00"),".",TEXT(C111,"000"),".",TEXT(D111,"000")),IF(H111="Serviço",CONCATENATE(TEXT(B111,"00"),".",TEXT(C111,"000"),".",TEXT(D111,"000"),".",TEXT(E111,"000")),"")))))</f>
        <v>05.001.001.007</v>
      </c>
      <c r="J111" s="74" t="s">
        <v>6961</v>
      </c>
      <c r="K111" s="75" t="s">
        <v>1</v>
      </c>
      <c r="L111" s="114">
        <f>ARQUITETURA!H101</f>
        <v>2134.2800000000002</v>
      </c>
      <c r="M111" s="114">
        <f>_xlfn.XLOOKUP($J111,CPU!$D$1:$D$3085,CPU!$H$1:$H$3085)</f>
        <v>141.5</v>
      </c>
      <c r="N111" s="94">
        <f t="shared" si="13"/>
        <v>302000.62000000005</v>
      </c>
      <c r="O111" s="121" t="s">
        <v>6967</v>
      </c>
      <c r="P111" s="76"/>
      <c r="Q111" s="418"/>
      <c r="R111" s="26"/>
      <c r="S111" s="26"/>
    </row>
    <row r="112" spans="1:19" s="25" customFormat="1" ht="13.9" customHeight="1" outlineLevel="1" x14ac:dyDescent="0.2">
      <c r="A112" s="116">
        <f ca="1">IF($H112="UNIDADE CONSTRUTIVA",OFFSET(A112,-1,0)+1,LARGE(A$3:A107,1))</f>
        <v>0</v>
      </c>
      <c r="B112" s="116">
        <f t="shared" ca="1" si="8"/>
        <v>5</v>
      </c>
      <c r="C112" s="116">
        <f t="shared" ca="1" si="9"/>
        <v>1</v>
      </c>
      <c r="D112" s="117">
        <f t="shared" ca="1" si="10"/>
        <v>2</v>
      </c>
      <c r="E112" s="117">
        <f t="shared" ca="1" si="11"/>
        <v>0</v>
      </c>
      <c r="F112" s="438"/>
      <c r="G112" s="71"/>
      <c r="H112" s="72" t="s">
        <v>113</v>
      </c>
      <c r="I112" s="73" t="str">
        <f t="shared" ca="1" si="14"/>
        <v>05.001.002</v>
      </c>
      <c r="J112" s="74" t="s">
        <v>53</v>
      </c>
      <c r="K112" s="75"/>
      <c r="L112" s="114"/>
      <c r="M112" s="114"/>
      <c r="N112" s="94">
        <f t="shared" ca="1" si="13"/>
        <v>290203.43712441449</v>
      </c>
      <c r="O112" s="121"/>
      <c r="P112" s="76"/>
      <c r="Q112" s="418"/>
      <c r="R112" s="26"/>
      <c r="S112" s="26"/>
    </row>
    <row r="113" spans="1:20" s="25" customFormat="1" ht="13.9" customHeight="1" outlineLevel="2" x14ac:dyDescent="0.2">
      <c r="A113" s="116">
        <f ca="1">IF($H113="UNIDADE CONSTRUTIVA",OFFSET(A113,-1,0)+1,LARGE(A$3:A112,1))</f>
        <v>0</v>
      </c>
      <c r="B113" s="116">
        <f t="shared" ca="1" si="8"/>
        <v>5</v>
      </c>
      <c r="C113" s="116">
        <f t="shared" ca="1" si="9"/>
        <v>1</v>
      </c>
      <c r="D113" s="117">
        <f t="shared" ca="1" si="10"/>
        <v>2</v>
      </c>
      <c r="E113" s="117">
        <f t="shared" ca="1" si="11"/>
        <v>1</v>
      </c>
      <c r="F113" s="438"/>
      <c r="G113" s="71"/>
      <c r="H113" s="72" t="s">
        <v>114</v>
      </c>
      <c r="I113" s="73" t="str">
        <f t="shared" ca="1" si="14"/>
        <v>05.001.002.001</v>
      </c>
      <c r="J113" s="74" t="s">
        <v>166</v>
      </c>
      <c r="K113" s="75" t="s">
        <v>3</v>
      </c>
      <c r="L113" s="114">
        <f>ARQUITETURA!H195</f>
        <v>4171.2100000000009</v>
      </c>
      <c r="M113" s="114">
        <f>_xlfn.XLOOKUP($J113,CPU!$D$1:$D$3085,CPU!$H$1:$H$3085)</f>
        <v>14.787500000000001</v>
      </c>
      <c r="N113" s="94">
        <f t="shared" si="13"/>
        <v>61681.76787500002</v>
      </c>
      <c r="O113" s="121"/>
      <c r="P113" s="76"/>
      <c r="Q113" s="418"/>
      <c r="R113" s="26"/>
      <c r="S113" s="26"/>
    </row>
    <row r="114" spans="1:20" s="25" customFormat="1" ht="13.9" customHeight="1" outlineLevel="2" x14ac:dyDescent="0.2">
      <c r="A114" s="116">
        <f ca="1">IF($H114="UNIDADE CONSTRUTIVA",OFFSET(A114,-1,0)+1,LARGE(A$3:A113,1))</f>
        <v>0</v>
      </c>
      <c r="B114" s="116">
        <f t="shared" ca="1" si="8"/>
        <v>5</v>
      </c>
      <c r="C114" s="116">
        <f t="shared" ca="1" si="9"/>
        <v>1</v>
      </c>
      <c r="D114" s="117">
        <f t="shared" ca="1" si="10"/>
        <v>2</v>
      </c>
      <c r="E114" s="117">
        <f t="shared" ca="1" si="11"/>
        <v>2</v>
      </c>
      <c r="F114" s="438"/>
      <c r="G114" s="71"/>
      <c r="H114" s="72" t="s">
        <v>114</v>
      </c>
      <c r="I114" s="73" t="str">
        <f t="shared" ca="1" si="14"/>
        <v>05.001.002.002</v>
      </c>
      <c r="J114" s="74" t="s">
        <v>585</v>
      </c>
      <c r="K114" s="75" t="s">
        <v>2</v>
      </c>
      <c r="L114" s="114">
        <f>ROUNDUP(ARQUITETURA!H196,0)</f>
        <v>3924</v>
      </c>
      <c r="M114" s="114">
        <f>_xlfn.XLOOKUP($J114,CPU!$D$1:$D$3085,CPU!$H$1:$H$3085)</f>
        <v>4.1071999999999997</v>
      </c>
      <c r="N114" s="94">
        <f t="shared" si="13"/>
        <v>16116.6528</v>
      </c>
      <c r="O114" s="121"/>
      <c r="P114" s="76"/>
      <c r="Q114" s="418"/>
      <c r="R114" s="26"/>
      <c r="S114" s="26"/>
      <c r="T114" s="126"/>
    </row>
    <row r="115" spans="1:20" s="25" customFormat="1" ht="11.25" outlineLevel="2" x14ac:dyDescent="0.2">
      <c r="A115" s="116">
        <f ca="1">IF($H115="UNIDADE CONSTRUTIVA",OFFSET(A115,-1,0)+1,LARGE(A$3:A114,1))</f>
        <v>0</v>
      </c>
      <c r="B115" s="116">
        <f t="shared" ca="1" si="8"/>
        <v>5</v>
      </c>
      <c r="C115" s="116">
        <f t="shared" ca="1" si="9"/>
        <v>1</v>
      </c>
      <c r="D115" s="117">
        <f t="shared" ca="1" si="10"/>
        <v>2</v>
      </c>
      <c r="E115" s="117">
        <f t="shared" ca="1" si="11"/>
        <v>3</v>
      </c>
      <c r="F115" s="438"/>
      <c r="G115" s="71"/>
      <c r="H115" s="72" t="s">
        <v>114</v>
      </c>
      <c r="I115" s="73" t="str">
        <f t="shared" ca="1" si="14"/>
        <v>05.001.002.003</v>
      </c>
      <c r="J115" s="74" t="s">
        <v>167</v>
      </c>
      <c r="K115" s="75" t="s">
        <v>3</v>
      </c>
      <c r="L115" s="114">
        <f>ARQUITETURA!H194+ARQUITETURA!H197+ARQUITETURA!H198</f>
        <v>2642.4600000000005</v>
      </c>
      <c r="M115" s="114">
        <f>_xlfn.XLOOKUP($J115,CPU!$D$1:$D$3085,CPU!$H$1:$H$3085)</f>
        <v>80.381544640000001</v>
      </c>
      <c r="N115" s="94">
        <f t="shared" si="13"/>
        <v>212405.01644941446</v>
      </c>
      <c r="O115" s="406"/>
      <c r="P115" s="76"/>
      <c r="Q115" s="418"/>
      <c r="R115" s="26"/>
      <c r="S115" s="26"/>
      <c r="T115" s="126"/>
    </row>
    <row r="116" spans="1:20" s="25" customFormat="1" ht="13.9" customHeight="1" outlineLevel="1" x14ac:dyDescent="0.2">
      <c r="A116" s="116">
        <f ca="1">IF($H116="UNIDADE CONSTRUTIVA",OFFSET(A116,-1,0)+1,LARGE(A$3:A115,1))</f>
        <v>0</v>
      </c>
      <c r="B116" s="116">
        <f t="shared" ca="1" si="8"/>
        <v>5</v>
      </c>
      <c r="C116" s="116">
        <f t="shared" ca="1" si="9"/>
        <v>1</v>
      </c>
      <c r="D116" s="117">
        <f t="shared" ca="1" si="10"/>
        <v>3</v>
      </c>
      <c r="E116" s="117">
        <f t="shared" ca="1" si="11"/>
        <v>0</v>
      </c>
      <c r="F116" s="438"/>
      <c r="G116" s="71"/>
      <c r="H116" s="72" t="s">
        <v>113</v>
      </c>
      <c r="I116" s="73" t="str">
        <f t="shared" ref="I116:I117" ca="1" si="15">IF(H116="Unidade Construtiva",TEXT(A116,"00"),IF(H116="Célula Construtiva",TEXT(B116,"00"),IF(H116="Etapa",CONCATENATE(TEXT(B116,"00"),".",TEXT(C116,"000")),IF(H116="Subetapa",CONCATENATE(TEXT(B116,"00"),".",TEXT(C116,"000"),".",TEXT(D116,"000")),IF(H116="Serviço",CONCATENATE(TEXT(B116,"00"),".",TEXT(C116,"000"),".",TEXT(D116,"000"),".",TEXT(E116,"000")),"")))))</f>
        <v>05.001.003</v>
      </c>
      <c r="J116" s="74" t="s">
        <v>1274</v>
      </c>
      <c r="K116" s="75"/>
      <c r="L116" s="114"/>
      <c r="M116" s="114"/>
      <c r="N116" s="94">
        <f t="shared" ca="1" si="13"/>
        <v>638363.56811856001</v>
      </c>
      <c r="O116" s="121"/>
      <c r="P116" s="76"/>
      <c r="Q116" s="418"/>
      <c r="R116" s="26"/>
      <c r="S116" s="26"/>
    </row>
    <row r="117" spans="1:20" s="25" customFormat="1" ht="13.9" customHeight="1" outlineLevel="2" x14ac:dyDescent="0.2">
      <c r="A117" s="116">
        <f ca="1">IF($H117="UNIDADE CONSTRUTIVA",OFFSET(A117,-1,0)+1,LARGE(A$3:A116,1))</f>
        <v>0</v>
      </c>
      <c r="B117" s="116">
        <f t="shared" ca="1" si="8"/>
        <v>5</v>
      </c>
      <c r="C117" s="116">
        <f t="shared" ca="1" si="9"/>
        <v>1</v>
      </c>
      <c r="D117" s="117">
        <f t="shared" ca="1" si="10"/>
        <v>3</v>
      </c>
      <c r="E117" s="117">
        <f t="shared" ca="1" si="11"/>
        <v>1</v>
      </c>
      <c r="F117" s="438"/>
      <c r="G117" s="71"/>
      <c r="H117" s="72" t="s">
        <v>114</v>
      </c>
      <c r="I117" s="73" t="str">
        <f t="shared" ca="1" si="15"/>
        <v>05.001.003.001</v>
      </c>
      <c r="J117" s="74" t="s">
        <v>2837</v>
      </c>
      <c r="K117" s="75" t="s">
        <v>1</v>
      </c>
      <c r="L117" s="114">
        <f>ARQUITETURA!H322+ARQUITETURA!H323</f>
        <v>3630.0299999999997</v>
      </c>
      <c r="M117" s="421">
        <f>_xlfn.XLOOKUP($J117,CPU!$D$1:$D$3085,CPU!$H$1:$H$3085)</f>
        <v>128.620744</v>
      </c>
      <c r="N117" s="94">
        <f t="shared" si="13"/>
        <v>466897.15934232</v>
      </c>
      <c r="O117" s="121"/>
      <c r="P117" s="76"/>
      <c r="Q117" s="418"/>
      <c r="R117" s="26"/>
      <c r="S117" s="26"/>
    </row>
    <row r="118" spans="1:20" s="25" customFormat="1" ht="13.9" customHeight="1" outlineLevel="2" x14ac:dyDescent="0.2">
      <c r="A118" s="116">
        <f ca="1">IF($H118="UNIDADE CONSTRUTIVA",OFFSET(A118,-1,0)+1,LARGE(A$3:A117,1))</f>
        <v>0</v>
      </c>
      <c r="B118" s="116">
        <f t="shared" ref="B118" ca="1" si="16">IF(H118="UNIDADE CONSTRUTIVA",0,IF(H118="CÉLULA CONSTRUTIVA",OFFSET(B118,-1,0)+1,OFFSET(B118,-1,0)))</f>
        <v>5</v>
      </c>
      <c r="C118" s="116">
        <f t="shared" ref="C118" ca="1" si="17">IF(H118="CÉLULA CONSTRUTIVA",0,IF(H118="ETAPA",OFFSET(C118,-1,0)+1,OFFSET(C118,-1,0)))</f>
        <v>1</v>
      </c>
      <c r="D118" s="117">
        <f t="shared" ref="D118" ca="1" si="18">IF(H118="ETAPA",0,IF(H118="SUBETAPA",OFFSET(D118,-1,0)+1,OFFSET(D118,-1,0)))</f>
        <v>3</v>
      </c>
      <c r="E118" s="117">
        <f t="shared" ref="E118" ca="1" si="19">IF(H118="Subetapa",0,IF(H118="serviço",OFFSET(E118,-1,0)+1,OFFSET(E118,-1,0)))</f>
        <v>2</v>
      </c>
      <c r="F118" s="438"/>
      <c r="G118" s="71"/>
      <c r="H118" s="72" t="s">
        <v>114</v>
      </c>
      <c r="I118" s="73" t="str">
        <f t="shared" ref="I118" ca="1" si="20">IF(H118="Unidade Construtiva",TEXT(A118,"00"),IF(H118="Célula Construtiva",TEXT(B118,"00"),IF(H118="Etapa",CONCATENATE(TEXT(B118,"00"),".",TEXT(C118,"000")),IF(H118="Subetapa",CONCATENATE(TEXT(B118,"00"),".",TEXT(C118,"000"),".",TEXT(D118,"000")),IF(H118="Serviço",CONCATENATE(TEXT(B118,"00"),".",TEXT(C118,"000"),".",TEXT(D118,"000"),".",TEXT(E118,"000")),"")))))</f>
        <v>05.001.003.002</v>
      </c>
      <c r="J118" s="74" t="s">
        <v>6976</v>
      </c>
      <c r="K118" s="75" t="s">
        <v>1</v>
      </c>
      <c r="L118" s="114">
        <f>SUM(ARQUITETURA!F380:F459)</f>
        <v>1305.21</v>
      </c>
      <c r="M118" s="421">
        <f>_xlfn.XLOOKUP($J118,CPU!$D$1:$D$3085,CPU!$H$1:$H$3085)</f>
        <v>131.370744</v>
      </c>
      <c r="N118" s="94">
        <f t="shared" si="13"/>
        <v>171466.40877624002</v>
      </c>
      <c r="O118" s="121"/>
      <c r="P118" s="76"/>
      <c r="Q118" s="418"/>
      <c r="R118" s="26"/>
      <c r="S118" s="26"/>
    </row>
    <row r="119" spans="1:20" s="25" customFormat="1" ht="13.9" customHeight="1" outlineLevel="1" x14ac:dyDescent="0.2">
      <c r="A119" s="116">
        <f ca="1">IF($H119="UNIDADE CONSTRUTIVA",OFFSET(A119,-1,0)+1,LARGE(A$3:A117,1))</f>
        <v>0</v>
      </c>
      <c r="B119" s="116">
        <f t="shared" ca="1" si="8"/>
        <v>5</v>
      </c>
      <c r="C119" s="116">
        <f t="shared" ca="1" si="9"/>
        <v>1</v>
      </c>
      <c r="D119" s="117">
        <f t="shared" ca="1" si="10"/>
        <v>4</v>
      </c>
      <c r="E119" s="117">
        <f t="shared" ca="1" si="11"/>
        <v>0</v>
      </c>
      <c r="F119" s="438"/>
      <c r="G119" s="71"/>
      <c r="H119" s="72" t="s">
        <v>113</v>
      </c>
      <c r="I119" s="73" t="str">
        <f t="shared" ca="1" si="14"/>
        <v>05.001.004</v>
      </c>
      <c r="J119" s="74" t="s">
        <v>54</v>
      </c>
      <c r="K119" s="75"/>
      <c r="L119" s="114"/>
      <c r="M119" s="114"/>
      <c r="N119" s="94">
        <f t="shared" ca="1" si="13"/>
        <v>376608.48</v>
      </c>
      <c r="O119" s="121"/>
      <c r="P119" s="76"/>
      <c r="Q119" s="418"/>
      <c r="R119" s="26"/>
      <c r="S119" s="26"/>
      <c r="T119" s="126"/>
    </row>
    <row r="120" spans="1:20" s="25" customFormat="1" ht="13.9" customHeight="1" outlineLevel="2" x14ac:dyDescent="0.2">
      <c r="A120" s="116">
        <f ca="1">IF($H120="UNIDADE CONSTRUTIVA",OFFSET(A120,-1,0)+1,LARGE(A$3:A119,1))</f>
        <v>0</v>
      </c>
      <c r="B120" s="116">
        <f t="shared" ca="1" si="8"/>
        <v>5</v>
      </c>
      <c r="C120" s="116">
        <f t="shared" ca="1" si="9"/>
        <v>1</v>
      </c>
      <c r="D120" s="117">
        <f t="shared" ca="1" si="10"/>
        <v>4</v>
      </c>
      <c r="E120" s="117">
        <f t="shared" ca="1" si="11"/>
        <v>1</v>
      </c>
      <c r="F120" s="438"/>
      <c r="G120" s="71"/>
      <c r="H120" s="72" t="s">
        <v>114</v>
      </c>
      <c r="I120" s="73" t="str">
        <f t="shared" ca="1" si="14"/>
        <v>05.001.004.001</v>
      </c>
      <c r="J120" s="74" t="s">
        <v>168</v>
      </c>
      <c r="K120" s="75" t="s">
        <v>1</v>
      </c>
      <c r="L120" s="114">
        <f>SUM(L108:L111)</f>
        <v>3466.3100000000004</v>
      </c>
      <c r="M120" s="114">
        <f>_xlfn.XLOOKUP($J120,CPU!$D$1:$D$3085,CPU!$H$1:$H$3085)</f>
        <v>48</v>
      </c>
      <c r="N120" s="94">
        <f t="shared" si="13"/>
        <v>166382.88</v>
      </c>
      <c r="O120" s="121"/>
      <c r="P120" s="76"/>
      <c r="Q120" s="418"/>
      <c r="R120" s="26"/>
      <c r="S120" s="26"/>
      <c r="T120" s="126"/>
    </row>
    <row r="121" spans="1:20" s="25" customFormat="1" ht="13.9" customHeight="1" outlineLevel="2" x14ac:dyDescent="0.2">
      <c r="A121" s="116">
        <f ca="1">IF($H121="UNIDADE CONSTRUTIVA",OFFSET(A121,-1,0)+1,LARGE(A$3:A120,1))</f>
        <v>0</v>
      </c>
      <c r="B121" s="116">
        <f t="shared" ca="1" si="8"/>
        <v>5</v>
      </c>
      <c r="C121" s="116">
        <f t="shared" ca="1" si="9"/>
        <v>1</v>
      </c>
      <c r="D121" s="117">
        <f t="shared" ca="1" si="10"/>
        <v>4</v>
      </c>
      <c r="E121" s="117">
        <f t="shared" ca="1" si="11"/>
        <v>2</v>
      </c>
      <c r="F121" s="438"/>
      <c r="G121" s="71"/>
      <c r="H121" s="72" t="s">
        <v>114</v>
      </c>
      <c r="I121" s="73" t="str">
        <f t="shared" ca="1" si="14"/>
        <v>05.001.004.002</v>
      </c>
      <c r="J121" s="74" t="s">
        <v>617</v>
      </c>
      <c r="K121" s="75" t="s">
        <v>1</v>
      </c>
      <c r="L121" s="114">
        <f>SUM(L105:L107)</f>
        <v>4379.7</v>
      </c>
      <c r="M121" s="114">
        <f>_xlfn.XLOOKUP($J121,CPU!$D$1:$D$3085,CPU!$H$1:$H$3085)</f>
        <v>48</v>
      </c>
      <c r="N121" s="94">
        <f t="shared" si="13"/>
        <v>210225.59999999998</v>
      </c>
      <c r="O121" s="121"/>
      <c r="P121" s="76"/>
      <c r="Q121" s="418"/>
      <c r="R121" s="26"/>
      <c r="S121" s="26"/>
      <c r="T121" s="126"/>
    </row>
    <row r="122" spans="1:20" s="25" customFormat="1" ht="13.9" customHeight="1" collapsed="1" x14ac:dyDescent="0.2">
      <c r="A122" s="116">
        <f ca="1">IF($H122="UNIDADE CONSTRUTIVA",OFFSET(A122,-1,0)+1,LARGE(A$3:A121,1))</f>
        <v>0</v>
      </c>
      <c r="B122" s="116">
        <f t="shared" ca="1" si="8"/>
        <v>6</v>
      </c>
      <c r="C122" s="116">
        <f t="shared" ca="1" si="9"/>
        <v>0</v>
      </c>
      <c r="D122" s="117">
        <f t="shared" ca="1" si="10"/>
        <v>4</v>
      </c>
      <c r="E122" s="117">
        <f t="shared" ca="1" si="11"/>
        <v>2</v>
      </c>
      <c r="F122" s="523"/>
      <c r="G122" s="71"/>
      <c r="H122" s="72" t="s">
        <v>111</v>
      </c>
      <c r="I122" s="73" t="str">
        <f t="shared" ref="I122:I163" ca="1" si="21">IF(H122="Unidade Construtiva",TEXT(A122,"00"),IF(H122="Célula Construtiva",TEXT(B122,"00"),IF(H122="Etapa",CONCATENATE(TEXT(B122,"00"),".",TEXT(C122,"000")),IF(H122="Subetapa",CONCATENATE(TEXT(B122,"00"),".",TEXT(C122,"000"),".",TEXT(D122,"000")),IF(H122="Serviço",CONCATENATE(TEXT(B122,"00"),".",TEXT(C122,"000"),".",TEXT(D122,"000"),".",TEXT(E122,"000")),"")))))</f>
        <v>06</v>
      </c>
      <c r="J122" s="74" t="s">
        <v>117</v>
      </c>
      <c r="K122" s="75"/>
      <c r="L122" s="114"/>
      <c r="M122" s="114"/>
      <c r="N122" s="94">
        <f t="shared" ca="1" si="13"/>
        <v>703992.08160644444</v>
      </c>
      <c r="O122" s="121">
        <f ca="1">N122/'Obra '!$E$9</f>
        <v>101.46331953182862</v>
      </c>
      <c r="P122" s="76"/>
      <c r="Q122" s="418" t="s">
        <v>148</v>
      </c>
      <c r="R122" s="122"/>
      <c r="S122" s="26"/>
      <c r="T122" s="126"/>
    </row>
    <row r="123" spans="1:20" s="25" customFormat="1" ht="13.9" hidden="1" customHeight="1" outlineLevel="1" x14ac:dyDescent="0.2">
      <c r="A123" s="116">
        <f ca="1">IF($H123="UNIDADE CONSTRUTIVA",OFFSET(A123,-1,0)+1,LARGE(A$3:A122,1))</f>
        <v>0</v>
      </c>
      <c r="B123" s="116">
        <f t="shared" ca="1" si="8"/>
        <v>6</v>
      </c>
      <c r="C123" s="116">
        <f t="shared" ca="1" si="9"/>
        <v>1</v>
      </c>
      <c r="D123" s="117">
        <f t="shared" ca="1" si="10"/>
        <v>0</v>
      </c>
      <c r="E123" s="117">
        <f t="shared" ca="1" si="11"/>
        <v>2</v>
      </c>
      <c r="F123" s="438"/>
      <c r="G123" s="71"/>
      <c r="H123" s="72" t="s">
        <v>112</v>
      </c>
      <c r="I123" s="73" t="str">
        <f t="shared" ca="1" si="21"/>
        <v>06.001</v>
      </c>
      <c r="J123" s="74" t="s">
        <v>117</v>
      </c>
      <c r="K123" s="75"/>
      <c r="L123" s="114"/>
      <c r="M123" s="114"/>
      <c r="N123" s="94">
        <f t="shared" ca="1" si="13"/>
        <v>703992.08160644444</v>
      </c>
      <c r="O123" s="121"/>
      <c r="P123" s="76"/>
      <c r="Q123" s="418"/>
      <c r="S123" s="26"/>
      <c r="T123" s="126"/>
    </row>
    <row r="124" spans="1:20" s="25" customFormat="1" ht="13.9" hidden="1" customHeight="1" outlineLevel="2" x14ac:dyDescent="0.2">
      <c r="A124" s="116">
        <f ca="1">IF($H124="UNIDADE CONSTRUTIVA",OFFSET(A124,-1,0)+1,LARGE(A$3:A123,1))</f>
        <v>0</v>
      </c>
      <c r="B124" s="116">
        <f t="shared" ca="1" si="8"/>
        <v>6</v>
      </c>
      <c r="C124" s="116">
        <f t="shared" ca="1" si="9"/>
        <v>1</v>
      </c>
      <c r="D124" s="117">
        <f t="shared" ca="1" si="10"/>
        <v>1</v>
      </c>
      <c r="E124" s="117">
        <f t="shared" ca="1" si="11"/>
        <v>0</v>
      </c>
      <c r="F124" s="438"/>
      <c r="G124" s="71"/>
      <c r="H124" s="72" t="s">
        <v>113</v>
      </c>
      <c r="I124" s="73" t="str">
        <f t="shared" ca="1" si="21"/>
        <v>06.001.001</v>
      </c>
      <c r="J124" s="74" t="s">
        <v>55</v>
      </c>
      <c r="K124" s="75"/>
      <c r="L124" s="114"/>
      <c r="M124" s="114"/>
      <c r="N124" s="94">
        <f t="shared" ca="1" si="13"/>
        <v>58243.880456999992</v>
      </c>
      <c r="O124" s="121"/>
      <c r="P124" s="76"/>
      <c r="Q124" s="418"/>
      <c r="S124" s="26"/>
      <c r="T124" s="126"/>
    </row>
    <row r="125" spans="1:20" s="25" customFormat="1" ht="13.9" hidden="1" customHeight="1" outlineLevel="2" x14ac:dyDescent="0.2">
      <c r="A125" s="116">
        <f ca="1">IF($H125="UNIDADE CONSTRUTIVA",OFFSET(A125,-1,0)+1,LARGE(A$3:A124,1))</f>
        <v>0</v>
      </c>
      <c r="B125" s="116">
        <f t="shared" ca="1" si="8"/>
        <v>6</v>
      </c>
      <c r="C125" s="116">
        <f t="shared" ca="1" si="9"/>
        <v>1</v>
      </c>
      <c r="D125" s="117">
        <f t="shared" ca="1" si="10"/>
        <v>1</v>
      </c>
      <c r="E125" s="117">
        <f t="shared" ca="1" si="11"/>
        <v>1</v>
      </c>
      <c r="F125" s="438"/>
      <c r="G125" s="71"/>
      <c r="H125" s="72" t="s">
        <v>114</v>
      </c>
      <c r="I125" s="73" t="str">
        <f t="shared" ca="1" si="21"/>
        <v>06.001.001.001</v>
      </c>
      <c r="J125" s="74" t="s">
        <v>623</v>
      </c>
      <c r="K125" s="75" t="s">
        <v>1</v>
      </c>
      <c r="L125" s="114">
        <f>ARQUITETURA!H742</f>
        <v>2847.5299999999997</v>
      </c>
      <c r="M125" s="114">
        <f>_xlfn.XLOOKUP($J125,CPU!$D$1:$D$3085,CPU!$H$1:$H$3085)</f>
        <v>7.0658999999999992</v>
      </c>
      <c r="N125" s="94">
        <f t="shared" si="13"/>
        <v>20120.362226999994</v>
      </c>
      <c r="O125" s="121" t="s">
        <v>3231</v>
      </c>
      <c r="P125" s="76"/>
      <c r="Q125" s="418"/>
      <c r="S125" s="26"/>
      <c r="T125" s="126"/>
    </row>
    <row r="126" spans="1:20" s="25" customFormat="1" ht="13.9" hidden="1" customHeight="1" outlineLevel="2" x14ac:dyDescent="0.2">
      <c r="A126" s="116">
        <f ca="1">IF($H126="UNIDADE CONSTRUTIVA",OFFSET(A126,-1,0)+1,LARGE(A$3:A125,1))</f>
        <v>0</v>
      </c>
      <c r="B126" s="116">
        <f t="shared" ca="1" si="8"/>
        <v>6</v>
      </c>
      <c r="C126" s="116">
        <f t="shared" ca="1" si="9"/>
        <v>1</v>
      </c>
      <c r="D126" s="117">
        <f t="shared" ca="1" si="10"/>
        <v>1</v>
      </c>
      <c r="E126" s="117">
        <f t="shared" ca="1" si="11"/>
        <v>2</v>
      </c>
      <c r="F126" s="438"/>
      <c r="G126" s="71"/>
      <c r="H126" s="72" t="s">
        <v>114</v>
      </c>
      <c r="I126" s="73" t="str">
        <f t="shared" ca="1" si="21"/>
        <v>06.001.001.002</v>
      </c>
      <c r="J126" s="74" t="s">
        <v>625</v>
      </c>
      <c r="K126" s="75" t="s">
        <v>1</v>
      </c>
      <c r="L126" s="114">
        <f>ARQUITETURA!H741</f>
        <v>772.37999999999988</v>
      </c>
      <c r="M126" s="114">
        <f>_xlfn.XLOOKUP($J126,CPU!$D$1:$D$3085,CPU!$H$1:$H$3085)</f>
        <v>49.358499999999999</v>
      </c>
      <c r="N126" s="94">
        <f t="shared" si="13"/>
        <v>38123.518229999994</v>
      </c>
      <c r="O126" s="121" t="s">
        <v>3232</v>
      </c>
      <c r="P126" s="76"/>
      <c r="Q126" s="418"/>
      <c r="S126" s="26"/>
      <c r="T126" s="126"/>
    </row>
    <row r="127" spans="1:20" s="25" customFormat="1" ht="13.9" hidden="1" customHeight="1" outlineLevel="2" x14ac:dyDescent="0.2">
      <c r="A127" s="116">
        <f ca="1">IF($H127="UNIDADE CONSTRUTIVA",OFFSET(A127,-1,0)+1,LARGE(A$3:A126,1))</f>
        <v>0</v>
      </c>
      <c r="B127" s="116">
        <f t="shared" ca="1" si="8"/>
        <v>6</v>
      </c>
      <c r="C127" s="116">
        <f t="shared" ca="1" si="9"/>
        <v>1</v>
      </c>
      <c r="D127" s="117">
        <f t="shared" ca="1" si="10"/>
        <v>2</v>
      </c>
      <c r="E127" s="117">
        <f t="shared" ca="1" si="11"/>
        <v>0</v>
      </c>
      <c r="F127" s="438"/>
      <c r="G127" s="71"/>
      <c r="H127" s="72" t="s">
        <v>113</v>
      </c>
      <c r="I127" s="73" t="str">
        <f t="shared" ca="1" si="21"/>
        <v>06.001.002</v>
      </c>
      <c r="J127" s="74" t="s">
        <v>1879</v>
      </c>
      <c r="K127" s="75"/>
      <c r="L127" s="114"/>
      <c r="M127" s="114"/>
      <c r="N127" s="94">
        <f t="shared" ca="1" si="13"/>
        <v>8300.3377777777787</v>
      </c>
      <c r="O127" s="121"/>
      <c r="P127" s="76"/>
      <c r="Q127" s="418"/>
      <c r="S127" s="26"/>
      <c r="T127" s="126"/>
    </row>
    <row r="128" spans="1:20" s="25" customFormat="1" ht="13.9" hidden="1" customHeight="1" outlineLevel="2" x14ac:dyDescent="0.2">
      <c r="A128" s="116">
        <f ca="1">IF($H128="UNIDADE CONSTRUTIVA",OFFSET(A128,-1,0)+1,LARGE(A$3:A127,1))</f>
        <v>0</v>
      </c>
      <c r="B128" s="116">
        <f t="shared" ca="1" si="8"/>
        <v>6</v>
      </c>
      <c r="C128" s="116">
        <f t="shared" ca="1" si="9"/>
        <v>1</v>
      </c>
      <c r="D128" s="117">
        <f t="shared" ca="1" si="10"/>
        <v>2</v>
      </c>
      <c r="E128" s="117">
        <f t="shared" ca="1" si="11"/>
        <v>1</v>
      </c>
      <c r="F128" s="438"/>
      <c r="G128" s="71"/>
      <c r="H128" s="72" t="s">
        <v>114</v>
      </c>
      <c r="I128" s="73" t="str">
        <f t="shared" ca="1" si="21"/>
        <v>06.001.002.001</v>
      </c>
      <c r="J128" s="74" t="s">
        <v>3857</v>
      </c>
      <c r="K128" s="75" t="s">
        <v>1</v>
      </c>
      <c r="L128" s="114">
        <f>IMPERMEABILIZAÇÃO!B139</f>
        <v>209.84</v>
      </c>
      <c r="M128" s="114">
        <f>_xlfn.XLOOKUP($J128,CPU!$D$1:$D$3085,CPU!$H$1:$H$3085)</f>
        <v>39.555555555555557</v>
      </c>
      <c r="N128" s="94">
        <f t="shared" si="13"/>
        <v>8300.3377777777787</v>
      </c>
      <c r="O128" s="121"/>
      <c r="P128" s="76"/>
      <c r="Q128" s="418"/>
      <c r="S128" s="26"/>
      <c r="T128" s="126"/>
    </row>
    <row r="129" spans="1:20" s="25" customFormat="1" ht="13.9" hidden="1" customHeight="1" outlineLevel="2" x14ac:dyDescent="0.2">
      <c r="A129" s="116">
        <f ca="1">IF($H129="UNIDADE CONSTRUTIVA",OFFSET(A129,-1,0)+1,LARGE(A$3:A128,1))</f>
        <v>0</v>
      </c>
      <c r="B129" s="116">
        <f t="shared" ca="1" si="8"/>
        <v>6</v>
      </c>
      <c r="C129" s="116">
        <f t="shared" ca="1" si="9"/>
        <v>1</v>
      </c>
      <c r="D129" s="117">
        <f t="shared" ca="1" si="10"/>
        <v>3</v>
      </c>
      <c r="E129" s="117">
        <f t="shared" ca="1" si="11"/>
        <v>0</v>
      </c>
      <c r="F129" s="438"/>
      <c r="G129" s="71"/>
      <c r="H129" s="72" t="s">
        <v>113</v>
      </c>
      <c r="I129" s="73" t="str">
        <f t="shared" ca="1" si="21"/>
        <v>06.001.003</v>
      </c>
      <c r="J129" s="74" t="s">
        <v>1880</v>
      </c>
      <c r="K129" s="75"/>
      <c r="L129" s="114"/>
      <c r="M129" s="114"/>
      <c r="N129" s="94">
        <f t="shared" ca="1" si="13"/>
        <v>144021.65888888892</v>
      </c>
      <c r="O129" s="121"/>
      <c r="P129" s="76"/>
      <c r="Q129" s="418"/>
      <c r="S129" s="26"/>
      <c r="T129" s="126"/>
    </row>
    <row r="130" spans="1:20" s="25" customFormat="1" ht="13.9" hidden="1" customHeight="1" outlineLevel="2" x14ac:dyDescent="0.2">
      <c r="A130" s="116">
        <f ca="1">IF($H130="UNIDADE CONSTRUTIVA",OFFSET(A130,-1,0)+1,LARGE(A$3:A129,1))</f>
        <v>0</v>
      </c>
      <c r="B130" s="116">
        <f t="shared" ca="1" si="8"/>
        <v>6</v>
      </c>
      <c r="C130" s="116">
        <f t="shared" ca="1" si="9"/>
        <v>1</v>
      </c>
      <c r="D130" s="117">
        <f t="shared" ca="1" si="10"/>
        <v>3</v>
      </c>
      <c r="E130" s="117">
        <f t="shared" ca="1" si="11"/>
        <v>1</v>
      </c>
      <c r="F130" s="438"/>
      <c r="G130" s="71"/>
      <c r="H130" s="72" t="s">
        <v>114</v>
      </c>
      <c r="I130" s="73" t="str">
        <f t="shared" ca="1" si="21"/>
        <v>06.001.003.001</v>
      </c>
      <c r="J130" s="74" t="s">
        <v>3855</v>
      </c>
      <c r="K130" s="75" t="s">
        <v>1</v>
      </c>
      <c r="L130" s="114">
        <f ca="1">SUMIFS(IMPERMEABILIZAÇÃO!B$13:B$145,IMPERMEABILIZAÇÃO!D$13:D$145,IMPERMEABILIZAÇÃO!$U$7,IMPERMEABILIZAÇÃO!E$13:E$145,Ger_Executivo!$I$129)</f>
        <v>44.84</v>
      </c>
      <c r="M130" s="114">
        <f>_xlfn.XLOOKUP($J130,CPU!$D$1:$D$3085,CPU!$H$1:$H$3085)</f>
        <v>29.666666666666668</v>
      </c>
      <c r="N130" s="94">
        <f t="shared" ca="1" si="13"/>
        <v>1330.2533333333336</v>
      </c>
      <c r="O130" s="121"/>
      <c r="P130" s="76"/>
      <c r="Q130" s="418"/>
      <c r="S130" s="26"/>
      <c r="T130" s="126"/>
    </row>
    <row r="131" spans="1:20" s="25" customFormat="1" ht="13.9" hidden="1" customHeight="1" outlineLevel="2" x14ac:dyDescent="0.2">
      <c r="A131" s="116">
        <f ca="1">IF($H131="UNIDADE CONSTRUTIVA",OFFSET(A131,-1,0)+1,LARGE(A$3:A130,1))</f>
        <v>0</v>
      </c>
      <c r="B131" s="116">
        <f t="shared" ca="1" si="8"/>
        <v>6</v>
      </c>
      <c r="C131" s="116">
        <f t="shared" ca="1" si="9"/>
        <v>1</v>
      </c>
      <c r="D131" s="117">
        <f t="shared" ca="1" si="10"/>
        <v>3</v>
      </c>
      <c r="E131" s="117">
        <f t="shared" ca="1" si="11"/>
        <v>2</v>
      </c>
      <c r="F131" s="438"/>
      <c r="G131" s="71"/>
      <c r="H131" s="72" t="s">
        <v>114</v>
      </c>
      <c r="I131" s="73" t="str">
        <f t="shared" ref="I131:I138" ca="1" si="22">IF(H131="Unidade Construtiva",TEXT(A131,"00"),IF(H131="Célula Construtiva",TEXT(B131,"00"),IF(H131="Etapa",CONCATENATE(TEXT(B131,"00"),".",TEXT(C131,"000")),IF(H131="Subetapa",CONCATENATE(TEXT(B131,"00"),".",TEXT(C131,"000"),".",TEXT(D131,"000")),IF(H131="Serviço",CONCATENATE(TEXT(B131,"00"),".",TEXT(C131,"000"),".",TEXT(D131,"000"),".",TEXT(E131,"000")),"")))))</f>
        <v>06.001.003.002</v>
      </c>
      <c r="J131" s="74" t="s">
        <v>3854</v>
      </c>
      <c r="K131" s="75" t="s">
        <v>1</v>
      </c>
      <c r="L131" s="114">
        <f ca="1">SUMIFS(IMPERMEABILIZAÇÃO!B$13:B$145,IMPERMEABILIZAÇÃO!D$13:D$145,IMPERMEABILIZAÇÃO!$U$6,IMPERMEABILIZAÇÃO!E$13:E$145,Ger_Executivo!$I$129)</f>
        <v>733.06000000000006</v>
      </c>
      <c r="M131" s="114">
        <f>_xlfn.XLOOKUP($J131,CPU!$D$1:$D$3085,CPU!$H$1:$H$3085)</f>
        <v>108</v>
      </c>
      <c r="N131" s="94">
        <f t="shared" ca="1" si="13"/>
        <v>79170.48000000001</v>
      </c>
      <c r="O131" s="121"/>
      <c r="P131" s="76"/>
      <c r="Q131" s="418"/>
      <c r="S131" s="26"/>
      <c r="T131" s="126"/>
    </row>
    <row r="132" spans="1:20" s="25" customFormat="1" ht="13.9" hidden="1" customHeight="1" outlineLevel="2" x14ac:dyDescent="0.2">
      <c r="A132" s="116">
        <f ca="1">IF($H132="UNIDADE CONSTRUTIVA",OFFSET(A132,-1,0)+1,LARGE(A$3:A131,1))</f>
        <v>0</v>
      </c>
      <c r="B132" s="116">
        <f t="shared" ca="1" si="8"/>
        <v>6</v>
      </c>
      <c r="C132" s="116">
        <f t="shared" ca="1" si="9"/>
        <v>1</v>
      </c>
      <c r="D132" s="117">
        <f t="shared" ca="1" si="10"/>
        <v>3</v>
      </c>
      <c r="E132" s="117">
        <f t="shared" ca="1" si="11"/>
        <v>3</v>
      </c>
      <c r="F132" s="438"/>
      <c r="G132" s="71"/>
      <c r="H132" s="72" t="s">
        <v>114</v>
      </c>
      <c r="I132" s="73" t="str">
        <f t="shared" ca="1" si="22"/>
        <v>06.001.003.003</v>
      </c>
      <c r="J132" s="74" t="s">
        <v>3852</v>
      </c>
      <c r="K132" s="75" t="s">
        <v>1</v>
      </c>
      <c r="L132" s="114">
        <f ca="1">SUMIFS(IMPERMEABILIZAÇÃO!B$13:B$145,IMPERMEABILIZAÇÃO!D$13:D$145,IMPERMEABILIZAÇÃO!$U$4,IMPERMEABILIZAÇÃO!E$13:E$145,Ger_Executivo!$I$129)</f>
        <v>565.63000000000011</v>
      </c>
      <c r="M132" s="114">
        <f>_xlfn.XLOOKUP($J132,CPU!$D$1:$D$3085,CPU!$H$1:$H$3085)</f>
        <v>66</v>
      </c>
      <c r="N132" s="94">
        <f t="shared" ca="1" si="13"/>
        <v>37331.580000000009</v>
      </c>
      <c r="O132" s="121"/>
      <c r="P132" s="76"/>
      <c r="Q132" s="418"/>
      <c r="S132" s="26"/>
      <c r="T132" s="126"/>
    </row>
    <row r="133" spans="1:20" s="25" customFormat="1" ht="13.9" hidden="1" customHeight="1" outlineLevel="2" x14ac:dyDescent="0.2">
      <c r="A133" s="116">
        <f ca="1">IF($H133="UNIDADE CONSTRUTIVA",OFFSET(A133,-1,0)+1,LARGE(A$3:A132,1))</f>
        <v>0</v>
      </c>
      <c r="B133" s="116">
        <f t="shared" ca="1" si="8"/>
        <v>6</v>
      </c>
      <c r="C133" s="116">
        <f t="shared" ca="1" si="9"/>
        <v>1</v>
      </c>
      <c r="D133" s="117">
        <f t="shared" ca="1" si="10"/>
        <v>3</v>
      </c>
      <c r="E133" s="117">
        <f t="shared" ca="1" si="11"/>
        <v>4</v>
      </c>
      <c r="F133" s="438"/>
      <c r="G133" s="71"/>
      <c r="H133" s="72" t="s">
        <v>114</v>
      </c>
      <c r="I133" s="73" t="str">
        <f t="shared" ca="1" si="22"/>
        <v>06.001.003.004</v>
      </c>
      <c r="J133" s="74" t="s">
        <v>6928</v>
      </c>
      <c r="K133" s="75" t="s">
        <v>1</v>
      </c>
      <c r="L133" s="114">
        <f ca="1">SUMIFS(IMPERMEABILIZAÇÃO!B$13:B$145,IMPERMEABILIZAÇÃO!D$13:D$145,IMPERMEABILIZAÇÃO!$U$15,IMPERMEABILIZAÇÃO!E$13:E$145,Ger_Executivo!$I$129)</f>
        <v>3.64</v>
      </c>
      <c r="M133" s="114">
        <f>_xlfn.XLOOKUP($J133,CPU!$D$1:$D$3085,CPU!$H$1:$H$3085)</f>
        <v>246</v>
      </c>
      <c r="N133" s="94">
        <f t="shared" ca="1" si="13"/>
        <v>895.44</v>
      </c>
      <c r="O133" s="121"/>
      <c r="P133" s="76"/>
      <c r="Q133" s="418"/>
      <c r="S133" s="26"/>
      <c r="T133" s="126"/>
    </row>
    <row r="134" spans="1:20" s="25" customFormat="1" ht="13.9" hidden="1" customHeight="1" outlineLevel="2" x14ac:dyDescent="0.2">
      <c r="A134" s="116">
        <f ca="1">IF($H134="UNIDADE CONSTRUTIVA",OFFSET(A134,-1,0)+1,LARGE(A$3:A133,1))</f>
        <v>0</v>
      </c>
      <c r="B134" s="116">
        <f t="shared" ca="1" si="8"/>
        <v>6</v>
      </c>
      <c r="C134" s="116">
        <f t="shared" ca="1" si="9"/>
        <v>1</v>
      </c>
      <c r="D134" s="117">
        <f t="shared" ca="1" si="10"/>
        <v>3</v>
      </c>
      <c r="E134" s="117">
        <f t="shared" ca="1" si="11"/>
        <v>5</v>
      </c>
      <c r="F134" s="438"/>
      <c r="G134" s="71"/>
      <c r="H134" s="72" t="s">
        <v>114</v>
      </c>
      <c r="I134" s="73" t="str">
        <f t="shared" ca="1" si="22"/>
        <v>06.001.003.005</v>
      </c>
      <c r="J134" s="74" t="s">
        <v>3862</v>
      </c>
      <c r="K134" s="75" t="s">
        <v>1</v>
      </c>
      <c r="L134" s="114">
        <f ca="1">SUMIFS(IMPERMEABILIZAÇÃO!B$13:B$145,IMPERMEABILIZAÇÃO!D$13:D$145,IMPERMEABILIZAÇÃO!$U$14,IMPERMEABILIZAÇÃO!E$13:E$145,Ger_Executivo!$I$129)</f>
        <v>11.530000000000001</v>
      </c>
      <c r="M134" s="114">
        <f>_xlfn.XLOOKUP($J134,CPU!$D$1:$D$3085,CPU!$H$1:$H$3085)</f>
        <v>138</v>
      </c>
      <c r="N134" s="94">
        <f t="shared" ca="1" si="13"/>
        <v>1591.14</v>
      </c>
      <c r="O134" s="121"/>
      <c r="P134" s="76"/>
      <c r="Q134" s="418"/>
      <c r="S134" s="26"/>
      <c r="T134" s="126"/>
    </row>
    <row r="135" spans="1:20" s="25" customFormat="1" ht="13.9" hidden="1" customHeight="1" outlineLevel="2" x14ac:dyDescent="0.2">
      <c r="A135" s="116">
        <f ca="1">IF($H135="UNIDADE CONSTRUTIVA",OFFSET(A135,-1,0)+1,LARGE(A$3:A134,1))</f>
        <v>0</v>
      </c>
      <c r="B135" s="116">
        <f t="shared" ca="1" si="8"/>
        <v>6</v>
      </c>
      <c r="C135" s="116">
        <f t="shared" ca="1" si="9"/>
        <v>1</v>
      </c>
      <c r="D135" s="117">
        <f t="shared" ca="1" si="10"/>
        <v>3</v>
      </c>
      <c r="E135" s="117">
        <f t="shared" ca="1" si="11"/>
        <v>6</v>
      </c>
      <c r="F135" s="438"/>
      <c r="G135" s="71"/>
      <c r="H135" s="72" t="s">
        <v>114</v>
      </c>
      <c r="I135" s="73" t="str">
        <f t="shared" ca="1" si="22"/>
        <v>06.001.003.006</v>
      </c>
      <c r="J135" s="74" t="s">
        <v>3860</v>
      </c>
      <c r="K135" s="75" t="s">
        <v>1</v>
      </c>
      <c r="L135" s="114">
        <f ca="1">SUMIFS(IMPERMEABILIZAÇÃO!B$13:B$145,IMPERMEABILIZAÇÃO!D$13:D$145,IMPERMEABILIZAÇÃO!$U$12,IMPERMEABILIZAÇÃO!E$13:E$145,Ger_Executivo!$I$129)</f>
        <v>59.81</v>
      </c>
      <c r="M135" s="114">
        <f>_xlfn.XLOOKUP($J135,CPU!$D$1:$D$3085,CPU!$H$1:$H$3085)</f>
        <v>156</v>
      </c>
      <c r="N135" s="94">
        <f t="shared" ca="1" si="13"/>
        <v>9330.36</v>
      </c>
      <c r="O135" s="121"/>
      <c r="P135" s="76"/>
      <c r="Q135" s="418"/>
      <c r="S135" s="26"/>
      <c r="T135" s="126"/>
    </row>
    <row r="136" spans="1:20" s="25" customFormat="1" ht="13.9" hidden="1" customHeight="1" outlineLevel="2" x14ac:dyDescent="0.2">
      <c r="A136" s="116">
        <f ca="1">IF($H136="UNIDADE CONSTRUTIVA",OFFSET(A136,-1,0)+1,LARGE(A$3:A135,1))</f>
        <v>0</v>
      </c>
      <c r="B136" s="116">
        <f t="shared" ca="1" si="8"/>
        <v>6</v>
      </c>
      <c r="C136" s="116">
        <f t="shared" ca="1" si="9"/>
        <v>1</v>
      </c>
      <c r="D136" s="117">
        <f t="shared" ca="1" si="10"/>
        <v>3</v>
      </c>
      <c r="E136" s="117">
        <f t="shared" ca="1" si="11"/>
        <v>7</v>
      </c>
      <c r="F136" s="438"/>
      <c r="G136" s="71"/>
      <c r="H136" s="72" t="s">
        <v>114</v>
      </c>
      <c r="I136" s="73" t="str">
        <f t="shared" ca="1" si="22"/>
        <v>06.001.003.007</v>
      </c>
      <c r="J136" s="74" t="s">
        <v>3859</v>
      </c>
      <c r="K136" s="75" t="s">
        <v>1</v>
      </c>
      <c r="L136" s="114">
        <f ca="1">SUMIFS(IMPERMEABILIZAÇÃO!B$13:B$145,IMPERMEABILIZAÇÃO!D$13:D$145,IMPERMEABILIZAÇÃO!$U$11,IMPERMEABILIZAÇÃO!E$13:E$145,Ger_Executivo!$I$129)</f>
        <v>1.92</v>
      </c>
      <c r="M136" s="114">
        <f>_xlfn.XLOOKUP($J136,CPU!$D$1:$D$3085,CPU!$H$1:$H$3085)</f>
        <v>72</v>
      </c>
      <c r="N136" s="94">
        <f t="shared" ca="1" si="13"/>
        <v>138.24</v>
      </c>
      <c r="O136" s="121"/>
      <c r="P136" s="76"/>
      <c r="Q136" s="418"/>
      <c r="S136" s="26"/>
      <c r="T136" s="126"/>
    </row>
    <row r="137" spans="1:20" s="25" customFormat="1" ht="13.9" hidden="1" customHeight="1" outlineLevel="2" x14ac:dyDescent="0.2">
      <c r="A137" s="116">
        <f ca="1">IF($H137="UNIDADE CONSTRUTIVA",OFFSET(A137,-1,0)+1,LARGE(A$3:A136,1))</f>
        <v>0</v>
      </c>
      <c r="B137" s="116">
        <f t="shared" ref="B137:B200" ca="1" si="23">IF(H137="UNIDADE CONSTRUTIVA",0,IF(H137="CÉLULA CONSTRUTIVA",OFFSET(B137,-1,0)+1,OFFSET(B137,-1,0)))</f>
        <v>6</v>
      </c>
      <c r="C137" s="116">
        <f t="shared" ref="C137:C200" ca="1" si="24">IF(H137="CÉLULA CONSTRUTIVA",0,IF(H137="ETAPA",OFFSET(C137,-1,0)+1,OFFSET(C137,-1,0)))</f>
        <v>1</v>
      </c>
      <c r="D137" s="117">
        <f t="shared" ref="D137:D200" ca="1" si="25">IF(H137="ETAPA",0,IF(H137="SUBETAPA",OFFSET(D137,-1,0)+1,OFFSET(D137,-1,0)))</f>
        <v>3</v>
      </c>
      <c r="E137" s="117">
        <f t="shared" ref="E137:E200" ca="1" si="26">IF(H137="Subetapa",0,IF(H137="serviço",OFFSET(E137,-1,0)+1,OFFSET(E137,-1,0)))</f>
        <v>8</v>
      </c>
      <c r="F137" s="438"/>
      <c r="G137" s="71"/>
      <c r="H137" s="72" t="s">
        <v>114</v>
      </c>
      <c r="I137" s="73" t="str">
        <f t="shared" ca="1" si="22"/>
        <v>06.001.003.008</v>
      </c>
      <c r="J137" s="74" t="s">
        <v>3858</v>
      </c>
      <c r="K137" s="75" t="s">
        <v>1</v>
      </c>
      <c r="L137" s="114">
        <f ca="1">SUMIFS(IMPERMEABILIZAÇÃO!B$13:B$145,IMPERMEABILIZAÇÃO!D$13:D$145,IMPERMEABILIZAÇÃO!$U$10,IMPERMEABILIZAÇÃO!E$13:E$145,Ger_Executivo!$I$129)</f>
        <v>47.53</v>
      </c>
      <c r="M137" s="114">
        <f>_xlfn.XLOOKUP($J137,CPU!$D$1:$D$3085,CPU!$H$1:$H$3085)</f>
        <v>39.555555555555557</v>
      </c>
      <c r="N137" s="94">
        <f t="shared" ca="1" si="13"/>
        <v>1880.0755555555556</v>
      </c>
      <c r="O137" s="121"/>
      <c r="P137" s="76"/>
      <c r="Q137" s="418"/>
      <c r="S137" s="26"/>
      <c r="T137" s="126"/>
    </row>
    <row r="138" spans="1:20" s="25" customFormat="1" ht="13.9" hidden="1" customHeight="1" outlineLevel="2" x14ac:dyDescent="0.2">
      <c r="A138" s="116">
        <f ca="1">IF($H138="UNIDADE CONSTRUTIVA",OFFSET(A138,-1,0)+1,LARGE(A$3:A137,1))</f>
        <v>0</v>
      </c>
      <c r="B138" s="116">
        <f t="shared" ca="1" si="23"/>
        <v>6</v>
      </c>
      <c r="C138" s="116">
        <f t="shared" ca="1" si="24"/>
        <v>1</v>
      </c>
      <c r="D138" s="117">
        <f t="shared" ca="1" si="25"/>
        <v>3</v>
      </c>
      <c r="E138" s="117">
        <f t="shared" ca="1" si="26"/>
        <v>9</v>
      </c>
      <c r="F138" s="438"/>
      <c r="G138" s="71"/>
      <c r="H138" s="72" t="s">
        <v>114</v>
      </c>
      <c r="I138" s="73" t="str">
        <f t="shared" ca="1" si="22"/>
        <v>06.001.003.009</v>
      </c>
      <c r="J138" s="74" t="s">
        <v>3857</v>
      </c>
      <c r="K138" s="75" t="s">
        <v>1</v>
      </c>
      <c r="L138" s="114">
        <f ca="1">SUMIFS(IMPERMEABILIZAÇÃO!B$13:B$145,IMPERMEABILIZAÇÃO!D$13:D$145,IMPERMEABILIZAÇÃO!$U$9,IMPERMEABILIZAÇÃO!E$13:E$145,Ger_Executivo!$I$129)</f>
        <v>64.260000000000005</v>
      </c>
      <c r="M138" s="114">
        <f>_xlfn.XLOOKUP($J138,CPU!$D$1:$D$3085,CPU!$H$1:$H$3085)</f>
        <v>39.555555555555557</v>
      </c>
      <c r="N138" s="94">
        <f t="shared" ca="1" si="13"/>
        <v>2541.84</v>
      </c>
      <c r="O138" s="121"/>
      <c r="P138" s="76"/>
      <c r="Q138" s="418"/>
      <c r="S138" s="26"/>
      <c r="T138" s="126"/>
    </row>
    <row r="139" spans="1:20" s="25" customFormat="1" ht="13.9" hidden="1" customHeight="1" outlineLevel="2" x14ac:dyDescent="0.2">
      <c r="A139" s="116">
        <f ca="1">IF($H139="UNIDADE CONSTRUTIVA",OFFSET(A139,-1,0)+1,LARGE(A$3:A138,1))</f>
        <v>0</v>
      </c>
      <c r="B139" s="116">
        <f t="shared" ca="1" si="23"/>
        <v>6</v>
      </c>
      <c r="C139" s="116">
        <f t="shared" ca="1" si="24"/>
        <v>1</v>
      </c>
      <c r="D139" s="117">
        <f t="shared" ca="1" si="25"/>
        <v>3</v>
      </c>
      <c r="E139" s="117">
        <f t="shared" ca="1" si="26"/>
        <v>10</v>
      </c>
      <c r="F139" s="438"/>
      <c r="G139" s="71"/>
      <c r="H139" s="72" t="s">
        <v>114</v>
      </c>
      <c r="I139" s="73" t="str">
        <f t="shared" ca="1" si="21"/>
        <v>06.001.003.010</v>
      </c>
      <c r="J139" s="74" t="s">
        <v>3853</v>
      </c>
      <c r="K139" s="75" t="s">
        <v>1</v>
      </c>
      <c r="L139" s="114">
        <f ca="1">SUMIFS(IMPERMEABILIZAÇÃO!B$13:B$145,IMPERMEABILIZAÇÃO!D$13:D$145,IMPERMEABILIZAÇÃO!$U$5,IMPERMEABILIZAÇÃO!E$13:E$145,Ger_Executivo!$I$129)</f>
        <v>130.83000000000001</v>
      </c>
      <c r="M139" s="114">
        <f>_xlfn.XLOOKUP($J139,CPU!$D$1:$D$3085,CPU!$H$1:$H$3085)</f>
        <v>75</v>
      </c>
      <c r="N139" s="94">
        <f t="shared" ca="1" si="13"/>
        <v>9812.2500000000018</v>
      </c>
      <c r="O139" s="121"/>
      <c r="P139" s="76"/>
      <c r="Q139" s="418"/>
      <c r="S139" s="26"/>
      <c r="T139" s="126"/>
    </row>
    <row r="140" spans="1:20" s="25" customFormat="1" ht="13.9" hidden="1" customHeight="1" outlineLevel="2" x14ac:dyDescent="0.2">
      <c r="A140" s="116">
        <f ca="1">IF($H140="UNIDADE CONSTRUTIVA",OFFSET(A140,-1,0)+1,LARGE(A$3:A139,1))</f>
        <v>0</v>
      </c>
      <c r="B140" s="116">
        <f t="shared" ca="1" si="23"/>
        <v>6</v>
      </c>
      <c r="C140" s="116">
        <f t="shared" ca="1" si="24"/>
        <v>1</v>
      </c>
      <c r="D140" s="117">
        <f t="shared" ca="1" si="25"/>
        <v>4</v>
      </c>
      <c r="E140" s="117">
        <f t="shared" ca="1" si="26"/>
        <v>0</v>
      </c>
      <c r="F140" s="438"/>
      <c r="G140" s="71"/>
      <c r="H140" s="72" t="s">
        <v>113</v>
      </c>
      <c r="I140" s="73" t="str">
        <f t="shared" ca="1" si="21"/>
        <v>06.001.004</v>
      </c>
      <c r="J140" s="74" t="s">
        <v>2845</v>
      </c>
      <c r="K140" s="75"/>
      <c r="L140" s="114"/>
      <c r="M140" s="114"/>
      <c r="N140" s="94">
        <f t="shared" ca="1" si="13"/>
        <v>33151.440000000002</v>
      </c>
      <c r="O140" s="121"/>
      <c r="P140" s="76"/>
      <c r="Q140" s="418"/>
      <c r="S140" s="26"/>
      <c r="T140" s="126"/>
    </row>
    <row r="141" spans="1:20" s="25" customFormat="1" ht="13.9" hidden="1" customHeight="1" outlineLevel="2" x14ac:dyDescent="0.2">
      <c r="A141" s="116">
        <f ca="1">IF($H141="UNIDADE CONSTRUTIVA",OFFSET(A141,-1,0)+1,LARGE(A$3:A140,1))</f>
        <v>0</v>
      </c>
      <c r="B141" s="116">
        <f t="shared" ca="1" si="23"/>
        <v>6</v>
      </c>
      <c r="C141" s="116">
        <f t="shared" ca="1" si="24"/>
        <v>1</v>
      </c>
      <c r="D141" s="117">
        <f t="shared" ca="1" si="25"/>
        <v>4</v>
      </c>
      <c r="E141" s="117">
        <f t="shared" ca="1" si="26"/>
        <v>1</v>
      </c>
      <c r="F141" s="438"/>
      <c r="G141" s="71"/>
      <c r="H141" s="72" t="s">
        <v>114</v>
      </c>
      <c r="I141" s="73" t="str">
        <f t="shared" ca="1" si="21"/>
        <v>06.001.004.001</v>
      </c>
      <c r="J141" s="74" t="s">
        <v>6928</v>
      </c>
      <c r="K141" s="75" t="s">
        <v>1</v>
      </c>
      <c r="L141" s="114">
        <f ca="1">SUMIFS(IMPERMEABILIZAÇÃO!B$13:B$145,IMPERMEABILIZAÇÃO!D$13:D$145,IMPERMEABILIZAÇÃO!$U$15,IMPERMEABILIZAÇÃO!E$13:E$145,$I$140)</f>
        <v>124.84</v>
      </c>
      <c r="M141" s="114">
        <f>_xlfn.XLOOKUP($J141,CPU!$D$1:$D$3085,CPU!$H$1:$H$3085)</f>
        <v>246</v>
      </c>
      <c r="N141" s="94">
        <f t="shared" ref="N141:N204" ca="1" si="27">IF(H141="Serviço",M141*L141,IF(H141="CÉLULA CONSTRUTIVA",SUMIFS($N$8:$N$452,$B$8:$B$452,B141,$H$8:$H$452,"Serviço"),IF(H141="ETAPA",SUMIFS($N$8:$N$452,$B$8:$B$452,B141,$C$8:$C$452,C141,$H$8:$H$452,"Serviço"),IF(H141="SUBETAPA",SUMIFS($N$8:$N$452,$B$8:$B$452,B141,$C$8:$C$452,C141,$D$8:$D$452,D141,$H$8:$H$452,"Serviço"),0))))</f>
        <v>30710.639999999999</v>
      </c>
      <c r="O141" s="121"/>
      <c r="P141" s="76"/>
      <c r="Q141" s="418"/>
      <c r="S141" s="26"/>
      <c r="T141" s="126"/>
    </row>
    <row r="142" spans="1:20" s="25" customFormat="1" ht="13.9" hidden="1" customHeight="1" outlineLevel="2" x14ac:dyDescent="0.2">
      <c r="A142" s="116">
        <f ca="1">IF($H142="UNIDADE CONSTRUTIVA",OFFSET(A142,-1,0)+1,LARGE(A$3:A141,1))</f>
        <v>0</v>
      </c>
      <c r="B142" s="116">
        <f t="shared" ca="1" si="23"/>
        <v>6</v>
      </c>
      <c r="C142" s="116">
        <f t="shared" ca="1" si="24"/>
        <v>1</v>
      </c>
      <c r="D142" s="117">
        <f t="shared" ca="1" si="25"/>
        <v>4</v>
      </c>
      <c r="E142" s="117">
        <f t="shared" ca="1" si="26"/>
        <v>2</v>
      </c>
      <c r="F142" s="438"/>
      <c r="G142" s="71"/>
      <c r="H142" s="72" t="s">
        <v>114</v>
      </c>
      <c r="I142" s="73" t="str">
        <f t="shared" ca="1" si="21"/>
        <v>06.001.004.002</v>
      </c>
      <c r="J142" s="74" t="s">
        <v>3854</v>
      </c>
      <c r="K142" s="75" t="s">
        <v>1</v>
      </c>
      <c r="L142" s="114">
        <f ca="1">SUMIFS(IMPERMEABILIZAÇÃO!B$13:B$145,IMPERMEABILIZAÇÃO!D$13:D$145,IMPERMEABILIZAÇÃO!$U$6,IMPERMEABILIZAÇÃO!E$13:E$145,$I$140)</f>
        <v>22.6</v>
      </c>
      <c r="M142" s="114">
        <f>_xlfn.XLOOKUP($J142,CPU!$D$1:$D$3085,CPU!$H$1:$H$3085)</f>
        <v>108</v>
      </c>
      <c r="N142" s="94">
        <f t="shared" ca="1" si="27"/>
        <v>2440.8000000000002</v>
      </c>
      <c r="O142" s="121"/>
      <c r="P142" s="76"/>
      <c r="Q142" s="418"/>
      <c r="S142" s="26"/>
      <c r="T142" s="126"/>
    </row>
    <row r="143" spans="1:20" s="25" customFormat="1" ht="11.25" hidden="1" outlineLevel="2" x14ac:dyDescent="0.2">
      <c r="A143" s="116">
        <f ca="1">IF($H143="UNIDADE CONSTRUTIVA",OFFSET(A143,-1,0)+1,LARGE(A$3:A142,1))</f>
        <v>0</v>
      </c>
      <c r="B143" s="116">
        <f t="shared" ca="1" si="23"/>
        <v>6</v>
      </c>
      <c r="C143" s="116">
        <f t="shared" ca="1" si="24"/>
        <v>1</v>
      </c>
      <c r="D143" s="117">
        <f t="shared" ca="1" si="25"/>
        <v>5</v>
      </c>
      <c r="E143" s="117">
        <f t="shared" ca="1" si="26"/>
        <v>0</v>
      </c>
      <c r="F143" s="438"/>
      <c r="G143" s="71"/>
      <c r="H143" s="72" t="s">
        <v>113</v>
      </c>
      <c r="I143" s="73" t="str">
        <f t="shared" ca="1" si="21"/>
        <v>06.001.005</v>
      </c>
      <c r="J143" s="127" t="s">
        <v>1961</v>
      </c>
      <c r="K143" s="75"/>
      <c r="L143" s="114"/>
      <c r="M143" s="114"/>
      <c r="N143" s="94">
        <f t="shared" ca="1" si="27"/>
        <v>162154.31111111116</v>
      </c>
      <c r="O143" s="121"/>
      <c r="P143" s="76"/>
      <c r="Q143" s="418"/>
      <c r="S143" s="26"/>
      <c r="T143" s="126"/>
    </row>
    <row r="144" spans="1:20" s="25" customFormat="1" ht="13.9" hidden="1" customHeight="1" outlineLevel="2" x14ac:dyDescent="0.2">
      <c r="A144" s="116">
        <f ca="1">IF($H144="UNIDADE CONSTRUTIVA",OFFSET(A144,-1,0)+1,LARGE(A$3:A143,1))</f>
        <v>0</v>
      </c>
      <c r="B144" s="116">
        <f t="shared" ca="1" si="23"/>
        <v>6</v>
      </c>
      <c r="C144" s="116">
        <f t="shared" ca="1" si="24"/>
        <v>1</v>
      </c>
      <c r="D144" s="117">
        <f t="shared" ca="1" si="25"/>
        <v>5</v>
      </c>
      <c r="E144" s="117">
        <f t="shared" ca="1" si="26"/>
        <v>1</v>
      </c>
      <c r="F144" s="438"/>
      <c r="G144" s="71"/>
      <c r="H144" s="72" t="s">
        <v>114</v>
      </c>
      <c r="I144" s="73" t="str">
        <f t="shared" ca="1" si="21"/>
        <v>06.001.005.001</v>
      </c>
      <c r="J144" s="74" t="s">
        <v>3855</v>
      </c>
      <c r="K144" s="75" t="s">
        <v>1</v>
      </c>
      <c r="L144" s="114">
        <f ca="1">SUMIFS(IMPERMEABILIZAÇÃO!B$13:B$145,IMPERMEABILIZAÇÃO!D$13:D$145,IMPERMEABILIZAÇÃO!$U$7,IMPERMEABILIZAÇÃO!E$13:E$145,$I$143)</f>
        <v>189.45999999999998</v>
      </c>
      <c r="M144" s="114">
        <f>_xlfn.XLOOKUP($J144,CPU!$D$1:$D$3085,CPU!$H$1:$H$3085)</f>
        <v>29.666666666666668</v>
      </c>
      <c r="N144" s="94">
        <f t="shared" ca="1" si="27"/>
        <v>5620.6466666666665</v>
      </c>
      <c r="O144" s="121"/>
      <c r="P144" s="76"/>
      <c r="Q144" s="418"/>
      <c r="S144" s="26"/>
      <c r="T144" s="126"/>
    </row>
    <row r="145" spans="1:20" s="25" customFormat="1" ht="13.9" hidden="1" customHeight="1" outlineLevel="2" x14ac:dyDescent="0.2">
      <c r="A145" s="116">
        <f ca="1">IF($H145="UNIDADE CONSTRUTIVA",OFFSET(A145,-1,0)+1,LARGE(A$3:A144,1))</f>
        <v>0</v>
      </c>
      <c r="B145" s="116">
        <f t="shared" ca="1" si="23"/>
        <v>6</v>
      </c>
      <c r="C145" s="116">
        <f t="shared" ca="1" si="24"/>
        <v>1</v>
      </c>
      <c r="D145" s="117">
        <f t="shared" ca="1" si="25"/>
        <v>5</v>
      </c>
      <c r="E145" s="117">
        <f t="shared" ca="1" si="26"/>
        <v>2</v>
      </c>
      <c r="F145" s="438"/>
      <c r="G145" s="71"/>
      <c r="H145" s="72" t="s">
        <v>114</v>
      </c>
      <c r="I145" s="73" t="str">
        <f t="shared" ref="I145:I147" ca="1" si="28">IF(H145="Unidade Construtiva",TEXT(A145,"00"),IF(H145="Célula Construtiva",TEXT(B145,"00"),IF(H145="Etapa",CONCATENATE(TEXT(B145,"00"),".",TEXT(C145,"000")),IF(H145="Subetapa",CONCATENATE(TEXT(B145,"00"),".",TEXT(C145,"000"),".",TEXT(D145,"000")),IF(H145="Serviço",CONCATENATE(TEXT(B145,"00"),".",TEXT(C145,"000"),".",TEXT(D145,"000"),".",TEXT(E145,"000")),"")))))</f>
        <v>06.001.005.002</v>
      </c>
      <c r="J145" s="74" t="s">
        <v>3852</v>
      </c>
      <c r="K145" s="75" t="s">
        <v>1</v>
      </c>
      <c r="L145" s="114">
        <f ca="1">SUMIFS(IMPERMEABILIZAÇÃO!B$13:B$145,IMPERMEABILIZAÇÃO!D$13:D$145,IMPERMEABILIZAÇÃO!$U$4,IMPERMEABILIZAÇÃO!E$13:E$145,$I$143)</f>
        <v>2310.4700000000007</v>
      </c>
      <c r="M145" s="114">
        <f>_xlfn.XLOOKUP($J145,CPU!$D$1:$D$3085,CPU!$H$1:$H$3085)</f>
        <v>66</v>
      </c>
      <c r="N145" s="94">
        <f t="shared" ca="1" si="27"/>
        <v>152491.02000000005</v>
      </c>
      <c r="O145" s="121"/>
      <c r="P145" s="76"/>
      <c r="Q145" s="418"/>
      <c r="S145" s="26"/>
      <c r="T145" s="126"/>
    </row>
    <row r="146" spans="1:20" s="25" customFormat="1" ht="13.9" hidden="1" customHeight="1" outlineLevel="2" x14ac:dyDescent="0.2">
      <c r="A146" s="116">
        <f ca="1">IF($H146="UNIDADE CONSTRUTIVA",OFFSET(A146,-1,0)+1,LARGE(A$3:A145,1))</f>
        <v>0</v>
      </c>
      <c r="B146" s="116">
        <f t="shared" ca="1" si="23"/>
        <v>6</v>
      </c>
      <c r="C146" s="116">
        <f t="shared" ca="1" si="24"/>
        <v>1</v>
      </c>
      <c r="D146" s="117">
        <f t="shared" ca="1" si="25"/>
        <v>5</v>
      </c>
      <c r="E146" s="117">
        <f t="shared" ca="1" si="26"/>
        <v>3</v>
      </c>
      <c r="F146" s="438"/>
      <c r="G146" s="71"/>
      <c r="H146" s="72" t="s">
        <v>114</v>
      </c>
      <c r="I146" s="73" t="str">
        <f t="shared" ca="1" si="28"/>
        <v>06.001.005.003</v>
      </c>
      <c r="J146" s="74" t="s">
        <v>3857</v>
      </c>
      <c r="K146" s="75" t="s">
        <v>1</v>
      </c>
      <c r="L146" s="114">
        <f ca="1">SUMIFS(IMPERMEABILIZAÇÃO!B$13:B$145,IMPERMEABILIZAÇÃO!D$13:D$145,IMPERMEABILIZAÇÃO!$U$9,IMPERMEABILIZAÇÃO!E$13:E$145,$I$143)</f>
        <v>35.089999999999996</v>
      </c>
      <c r="M146" s="114">
        <f>_xlfn.XLOOKUP($J146,CPU!$D$1:$D$3085,CPU!$H$1:$H$3085)</f>
        <v>39.555555555555557</v>
      </c>
      <c r="N146" s="94">
        <f t="shared" ca="1" si="27"/>
        <v>1388.0044444444443</v>
      </c>
      <c r="O146" s="121"/>
      <c r="P146" s="76"/>
      <c r="Q146" s="418"/>
      <c r="S146" s="26"/>
      <c r="T146" s="126"/>
    </row>
    <row r="147" spans="1:20" s="25" customFormat="1" ht="13.9" hidden="1" customHeight="1" outlineLevel="2" x14ac:dyDescent="0.2">
      <c r="A147" s="116">
        <f ca="1">IF($H147="UNIDADE CONSTRUTIVA",OFFSET(A147,-1,0)+1,LARGE(A$3:A146,1))</f>
        <v>0</v>
      </c>
      <c r="B147" s="116">
        <f t="shared" ca="1" si="23"/>
        <v>6</v>
      </c>
      <c r="C147" s="116">
        <f t="shared" ca="1" si="24"/>
        <v>1</v>
      </c>
      <c r="D147" s="117">
        <f t="shared" ca="1" si="25"/>
        <v>5</v>
      </c>
      <c r="E147" s="117">
        <f t="shared" ca="1" si="26"/>
        <v>4</v>
      </c>
      <c r="F147" s="438"/>
      <c r="G147" s="71"/>
      <c r="H147" s="72" t="s">
        <v>114</v>
      </c>
      <c r="I147" s="73" t="str">
        <f t="shared" ca="1" si="28"/>
        <v>06.001.005.004</v>
      </c>
      <c r="J147" s="74" t="s">
        <v>3854</v>
      </c>
      <c r="K147" s="75" t="s">
        <v>1</v>
      </c>
      <c r="L147" s="114">
        <f ca="1">SUMIFS(IMPERMEABILIZAÇÃO!B$13:B$145,IMPERMEABILIZAÇÃO!D$13:D$145,IMPERMEABILIZAÇÃO!$U$6,IMPERMEABILIZAÇÃO!E$13:E$145,$I$143)</f>
        <v>24.58</v>
      </c>
      <c r="M147" s="114">
        <f>_xlfn.XLOOKUP($J147,CPU!$D$1:$D$3085,CPU!$H$1:$H$3085)</f>
        <v>108</v>
      </c>
      <c r="N147" s="94">
        <f t="shared" ca="1" si="27"/>
        <v>2654.64</v>
      </c>
      <c r="O147" s="121"/>
      <c r="P147" s="76"/>
      <c r="Q147" s="418"/>
      <c r="S147" s="26"/>
      <c r="T147" s="126"/>
    </row>
    <row r="148" spans="1:20" s="25" customFormat="1" ht="13.9" hidden="1" customHeight="1" outlineLevel="2" x14ac:dyDescent="0.2">
      <c r="A148" s="116">
        <f ca="1">IF($H148="UNIDADE CONSTRUTIVA",OFFSET(A148,-1,0)+1,LARGE(A$3:A147,1))</f>
        <v>0</v>
      </c>
      <c r="B148" s="116">
        <f t="shared" ca="1" si="23"/>
        <v>6</v>
      </c>
      <c r="C148" s="116">
        <f t="shared" ca="1" si="24"/>
        <v>1</v>
      </c>
      <c r="D148" s="117">
        <f t="shared" ca="1" si="25"/>
        <v>6</v>
      </c>
      <c r="E148" s="117">
        <f t="shared" ca="1" si="26"/>
        <v>0</v>
      </c>
      <c r="F148" s="438"/>
      <c r="G148" s="71"/>
      <c r="H148" s="72" t="s">
        <v>113</v>
      </c>
      <c r="I148" s="73" t="str">
        <f t="shared" ca="1" si="21"/>
        <v>06.001.006</v>
      </c>
      <c r="J148" s="125" t="s">
        <v>1881</v>
      </c>
      <c r="K148" s="75"/>
      <c r="L148" s="114"/>
      <c r="M148" s="114"/>
      <c r="N148" s="94">
        <f t="shared" ca="1" si="27"/>
        <v>5280.9633333333331</v>
      </c>
      <c r="O148" s="121"/>
      <c r="P148" s="76"/>
      <c r="Q148" s="418"/>
      <c r="S148" s="26"/>
      <c r="T148" s="126"/>
    </row>
    <row r="149" spans="1:20" s="25" customFormat="1" ht="11.25" hidden="1" outlineLevel="2" x14ac:dyDescent="0.2">
      <c r="A149" s="116">
        <f ca="1">IF($H149="UNIDADE CONSTRUTIVA",OFFSET(A149,-1,0)+1,LARGE(A$3:A148,1))</f>
        <v>0</v>
      </c>
      <c r="B149" s="116">
        <f t="shared" ca="1" si="23"/>
        <v>6</v>
      </c>
      <c r="C149" s="116">
        <f t="shared" ca="1" si="24"/>
        <v>1</v>
      </c>
      <c r="D149" s="117">
        <f t="shared" ca="1" si="25"/>
        <v>6</v>
      </c>
      <c r="E149" s="117">
        <f t="shared" ca="1" si="26"/>
        <v>1</v>
      </c>
      <c r="F149" s="438"/>
      <c r="G149" s="71"/>
      <c r="H149" s="72" t="s">
        <v>114</v>
      </c>
      <c r="I149" s="73" t="str">
        <f t="shared" ca="1" si="21"/>
        <v>06.001.006.001</v>
      </c>
      <c r="J149" s="74" t="s">
        <v>3855</v>
      </c>
      <c r="K149" s="75" t="s">
        <v>1</v>
      </c>
      <c r="L149" s="114">
        <f>IMPERMEABILIZAÇÃO!B84+IMPERMEABILIZAÇÃO!B41</f>
        <v>178.01</v>
      </c>
      <c r="M149" s="114">
        <f>_xlfn.XLOOKUP($J149,CPU!$D$1:$D$3085,CPU!$H$1:$H$3085)</f>
        <v>29.666666666666668</v>
      </c>
      <c r="N149" s="94">
        <f t="shared" si="27"/>
        <v>5280.9633333333331</v>
      </c>
      <c r="O149" s="406"/>
      <c r="P149" s="76"/>
      <c r="Q149" s="418"/>
      <c r="S149" s="26"/>
      <c r="T149" s="126"/>
    </row>
    <row r="150" spans="1:20" s="25" customFormat="1" ht="13.9" hidden="1" customHeight="1" outlineLevel="2" x14ac:dyDescent="0.2">
      <c r="A150" s="116">
        <f ca="1">IF($H150="UNIDADE CONSTRUTIVA",OFFSET(A150,-1,0)+1,LARGE(A$3:A149,1))</f>
        <v>0</v>
      </c>
      <c r="B150" s="116">
        <f t="shared" ca="1" si="23"/>
        <v>6</v>
      </c>
      <c r="C150" s="116">
        <f t="shared" ca="1" si="24"/>
        <v>1</v>
      </c>
      <c r="D150" s="117">
        <f t="shared" ca="1" si="25"/>
        <v>7</v>
      </c>
      <c r="E150" s="117">
        <f t="shared" ca="1" si="26"/>
        <v>0</v>
      </c>
      <c r="F150" s="438"/>
      <c r="G150" s="71"/>
      <c r="H150" s="72" t="s">
        <v>113</v>
      </c>
      <c r="I150" s="73" t="str">
        <f t="shared" ca="1" si="21"/>
        <v>06.001.007</v>
      </c>
      <c r="J150" s="74" t="s">
        <v>1882</v>
      </c>
      <c r="K150" s="75"/>
      <c r="L150" s="114"/>
      <c r="M150" s="114"/>
      <c r="N150" s="94">
        <f t="shared" ca="1" si="27"/>
        <v>3915.7267050000005</v>
      </c>
      <c r="O150" s="121"/>
      <c r="P150" s="76"/>
      <c r="Q150" s="418"/>
      <c r="S150" s="26"/>
      <c r="T150" s="126"/>
    </row>
    <row r="151" spans="1:20" s="25" customFormat="1" ht="13.9" hidden="1" customHeight="1" outlineLevel="2" x14ac:dyDescent="0.2">
      <c r="A151" s="116">
        <f ca="1">IF($H151="UNIDADE CONSTRUTIVA",OFFSET(A151,-1,0)+1,LARGE(A$3:A150,1))</f>
        <v>0</v>
      </c>
      <c r="B151" s="116">
        <f t="shared" ca="1" si="23"/>
        <v>6</v>
      </c>
      <c r="C151" s="116">
        <f t="shared" ca="1" si="24"/>
        <v>1</v>
      </c>
      <c r="D151" s="117">
        <f t="shared" ca="1" si="25"/>
        <v>7</v>
      </c>
      <c r="E151" s="117">
        <f t="shared" ca="1" si="26"/>
        <v>1</v>
      </c>
      <c r="F151" s="438"/>
      <c r="G151" s="71"/>
      <c r="H151" s="72" t="s">
        <v>114</v>
      </c>
      <c r="I151" s="73" t="str">
        <f t="shared" ca="1" si="21"/>
        <v>06.001.007.001</v>
      </c>
      <c r="J151" s="74" t="s">
        <v>118</v>
      </c>
      <c r="K151" s="75" t="s">
        <v>2</v>
      </c>
      <c r="L151" s="114">
        <f>'Obra '!H116*2+'Obra '!G116</f>
        <v>447</v>
      </c>
      <c r="M151" s="114">
        <f>_xlfn.XLOOKUP($J151,CPU!$D$1:$D$3085,CPU!$H$1:$H$3085)</f>
        <v>8.760015000000001</v>
      </c>
      <c r="N151" s="94">
        <f t="shared" si="27"/>
        <v>3915.7267050000005</v>
      </c>
      <c r="O151" s="121" t="s">
        <v>3871</v>
      </c>
      <c r="P151" s="76"/>
      <c r="Q151" s="418"/>
      <c r="S151" s="26"/>
      <c r="T151" s="126"/>
    </row>
    <row r="152" spans="1:20" s="25" customFormat="1" ht="13.9" hidden="1" customHeight="1" outlineLevel="2" x14ac:dyDescent="0.2">
      <c r="A152" s="116">
        <f ca="1">IF($H152="UNIDADE CONSTRUTIVA",OFFSET(A152,-1,0)+1,LARGE(A$3:A151,1))</f>
        <v>0</v>
      </c>
      <c r="B152" s="116">
        <f t="shared" ca="1" si="23"/>
        <v>6</v>
      </c>
      <c r="C152" s="116">
        <f t="shared" ca="1" si="24"/>
        <v>1</v>
      </c>
      <c r="D152" s="117">
        <f t="shared" ca="1" si="25"/>
        <v>8</v>
      </c>
      <c r="E152" s="117">
        <f t="shared" ca="1" si="26"/>
        <v>0</v>
      </c>
      <c r="F152" s="438"/>
      <c r="G152" s="71"/>
      <c r="H152" s="72" t="s">
        <v>113</v>
      </c>
      <c r="I152" s="73" t="str">
        <f t="shared" ca="1" si="21"/>
        <v>06.001.008</v>
      </c>
      <c r="J152" s="125" t="s">
        <v>1883</v>
      </c>
      <c r="K152" s="75"/>
      <c r="L152" s="114"/>
      <c r="M152" s="114"/>
      <c r="N152" s="94">
        <f t="shared" ca="1" si="27"/>
        <v>18309.41333333333</v>
      </c>
      <c r="O152" s="121"/>
      <c r="P152" s="76"/>
      <c r="Q152" s="418"/>
      <c r="S152" s="26"/>
      <c r="T152" s="126"/>
    </row>
    <row r="153" spans="1:20" s="25" customFormat="1" ht="13.9" hidden="1" customHeight="1" outlineLevel="2" x14ac:dyDescent="0.2">
      <c r="A153" s="116">
        <f ca="1">IF($H153="UNIDADE CONSTRUTIVA",OFFSET(A153,-1,0)+1,LARGE(A$3:A152,1))</f>
        <v>0</v>
      </c>
      <c r="B153" s="116">
        <f t="shared" ca="1" si="23"/>
        <v>6</v>
      </c>
      <c r="C153" s="116">
        <f t="shared" ca="1" si="24"/>
        <v>1</v>
      </c>
      <c r="D153" s="117">
        <f t="shared" ca="1" si="25"/>
        <v>8</v>
      </c>
      <c r="E153" s="117">
        <f t="shared" ca="1" si="26"/>
        <v>1</v>
      </c>
      <c r="F153" s="438"/>
      <c r="G153" s="71"/>
      <c r="H153" s="72" t="s">
        <v>114</v>
      </c>
      <c r="I153" s="73" t="str">
        <f t="shared" ca="1" si="21"/>
        <v>06.001.008.001</v>
      </c>
      <c r="J153" s="74" t="s">
        <v>3855</v>
      </c>
      <c r="K153" s="75" t="s">
        <v>1</v>
      </c>
      <c r="L153" s="114">
        <f ca="1">SUMIFS(IMPERMEABILIZAÇÃO!B$13:B$145,IMPERMEABILIZAÇÃO!D$13:D$145,IMPERMEABILIZAÇÃO!$U$7,IMPERMEABILIZAÇÃO!E$13:E$145,$I$152)</f>
        <v>32.869999999999997</v>
      </c>
      <c r="M153" s="114">
        <f>_xlfn.XLOOKUP($J153,CPU!$D$1:$D$3085,CPU!$H$1:$H$3085)</f>
        <v>29.666666666666668</v>
      </c>
      <c r="N153" s="94">
        <f t="shared" ca="1" si="27"/>
        <v>975.14333333333332</v>
      </c>
      <c r="O153" s="121"/>
      <c r="P153" s="76"/>
      <c r="Q153" s="418"/>
      <c r="S153" s="26"/>
      <c r="T153" s="126"/>
    </row>
    <row r="154" spans="1:20" s="25" customFormat="1" ht="13.9" hidden="1" customHeight="1" outlineLevel="2" x14ac:dyDescent="0.2">
      <c r="A154" s="116">
        <f ca="1">IF($H154="UNIDADE CONSTRUTIVA",OFFSET(A154,-1,0)+1,LARGE(A$3:A153,1))</f>
        <v>0</v>
      </c>
      <c r="B154" s="116">
        <f t="shared" ca="1" si="23"/>
        <v>6</v>
      </c>
      <c r="C154" s="116">
        <f t="shared" ca="1" si="24"/>
        <v>1</v>
      </c>
      <c r="D154" s="117">
        <f t="shared" ca="1" si="25"/>
        <v>8</v>
      </c>
      <c r="E154" s="117">
        <f t="shared" ca="1" si="26"/>
        <v>2</v>
      </c>
      <c r="F154" s="438"/>
      <c r="G154" s="71"/>
      <c r="H154" s="72" t="s">
        <v>114</v>
      </c>
      <c r="I154" s="73" t="str">
        <f t="shared" ca="1" si="21"/>
        <v>06.001.008.002</v>
      </c>
      <c r="J154" s="74" t="s">
        <v>3856</v>
      </c>
      <c r="K154" s="75" t="s">
        <v>1</v>
      </c>
      <c r="L154" s="114">
        <f ca="1">SUMIFS(IMPERMEABILIZAÇÃO!B$13:B$145,IMPERMEABILIZAÇÃO!D$13:D$145,IMPERMEABILIZAÇÃO!$U$8,IMPERMEABILIZAÇÃO!E$13:E$145,$I$152)</f>
        <v>163.53</v>
      </c>
      <c r="M154" s="114">
        <f>_xlfn.XLOOKUP($J154,CPU!$D$1:$D$3085,CPU!$H$1:$H$3085)</f>
        <v>95.666666666666671</v>
      </c>
      <c r="N154" s="94">
        <f t="shared" ca="1" si="27"/>
        <v>15644.37</v>
      </c>
      <c r="O154" s="121"/>
      <c r="P154" s="76"/>
      <c r="Q154" s="418"/>
      <c r="S154" s="26"/>
      <c r="T154" s="126"/>
    </row>
    <row r="155" spans="1:20" s="25" customFormat="1" ht="13.9" hidden="1" customHeight="1" outlineLevel="2" x14ac:dyDescent="0.2">
      <c r="A155" s="116">
        <f ca="1">IF($H155="UNIDADE CONSTRUTIVA",OFFSET(A155,-1,0)+1,LARGE(A$3:A154,1))</f>
        <v>0</v>
      </c>
      <c r="B155" s="116">
        <f t="shared" ca="1" si="23"/>
        <v>6</v>
      </c>
      <c r="C155" s="116">
        <f t="shared" ca="1" si="24"/>
        <v>1</v>
      </c>
      <c r="D155" s="117">
        <f t="shared" ca="1" si="25"/>
        <v>8</v>
      </c>
      <c r="E155" s="117">
        <f t="shared" ca="1" si="26"/>
        <v>3</v>
      </c>
      <c r="F155" s="438"/>
      <c r="G155" s="71"/>
      <c r="H155" s="72" t="s">
        <v>114</v>
      </c>
      <c r="I155" s="73" t="str">
        <f t="shared" ref="I155:I156" ca="1" si="29">IF(H155="Unidade Construtiva",TEXT(A155,"00"),IF(H155="Célula Construtiva",TEXT(B155,"00"),IF(H155="Etapa",CONCATENATE(TEXT(B155,"00"),".",TEXT(C155,"000")),IF(H155="Subetapa",CONCATENATE(TEXT(B155,"00"),".",TEXT(C155,"000"),".",TEXT(D155,"000")),IF(H155="Serviço",CONCATENATE(TEXT(B155,"00"),".",TEXT(C155,"000"),".",TEXT(D155,"000"),".",TEXT(E155,"000")),"")))))</f>
        <v>06.001.008.003</v>
      </c>
      <c r="J155" s="74" t="s">
        <v>3861</v>
      </c>
      <c r="K155" s="75" t="s">
        <v>1</v>
      </c>
      <c r="L155" s="114">
        <f ca="1">SUMIFS(IMPERMEABILIZAÇÃO!B$13:B$145,IMPERMEABILIZAÇÃO!D$13:D$145,IMPERMEABILIZAÇÃO!$U$13,IMPERMEABILIZAÇÃO!E$13:E$145,$I$152)</f>
        <v>27.76</v>
      </c>
      <c r="M155" s="114">
        <f>_xlfn.XLOOKUP($J155,CPU!$D$1:$D$3085,CPU!$H$1:$H$3085)</f>
        <v>48</v>
      </c>
      <c r="N155" s="94">
        <f t="shared" ca="1" si="27"/>
        <v>1332.48</v>
      </c>
      <c r="O155" s="121"/>
      <c r="P155" s="76"/>
      <c r="Q155" s="418"/>
      <c r="S155" s="26"/>
      <c r="T155" s="126"/>
    </row>
    <row r="156" spans="1:20" s="25" customFormat="1" ht="13.9" hidden="1" customHeight="1" outlineLevel="2" x14ac:dyDescent="0.2">
      <c r="A156" s="116">
        <f ca="1">IF($H156="UNIDADE CONSTRUTIVA",OFFSET(A156,-1,0)+1,LARGE(A$3:A155,1))</f>
        <v>0</v>
      </c>
      <c r="B156" s="116">
        <f t="shared" ca="1" si="23"/>
        <v>6</v>
      </c>
      <c r="C156" s="116">
        <f t="shared" ca="1" si="24"/>
        <v>1</v>
      </c>
      <c r="D156" s="117">
        <f t="shared" ca="1" si="25"/>
        <v>8</v>
      </c>
      <c r="E156" s="117">
        <f t="shared" ca="1" si="26"/>
        <v>4</v>
      </c>
      <c r="F156" s="438"/>
      <c r="G156" s="71"/>
      <c r="H156" s="72" t="s">
        <v>114</v>
      </c>
      <c r="I156" s="73" t="str">
        <f t="shared" ca="1" si="29"/>
        <v>06.001.008.004</v>
      </c>
      <c r="J156" s="74" t="s">
        <v>3862</v>
      </c>
      <c r="K156" s="75" t="s">
        <v>1</v>
      </c>
      <c r="L156" s="114">
        <f ca="1">SUMIFS(IMPERMEABILIZAÇÃO!B$13:B$145,IMPERMEABILIZAÇÃO!D$13:D$145,IMPERMEABILIZAÇÃO!$U$14,IMPERMEABILIZAÇÃO!E$13:E$145,$I$152)</f>
        <v>2.59</v>
      </c>
      <c r="M156" s="114">
        <f>_xlfn.XLOOKUP($J156,CPU!$D$1:$D$3085,CPU!$H$1:$H$3085)</f>
        <v>138</v>
      </c>
      <c r="N156" s="94">
        <f t="shared" ca="1" si="27"/>
        <v>357.41999999999996</v>
      </c>
      <c r="O156" s="121"/>
      <c r="P156" s="76"/>
      <c r="Q156" s="418"/>
      <c r="S156" s="26"/>
      <c r="T156" s="126"/>
    </row>
    <row r="157" spans="1:20" s="25" customFormat="1" ht="13.9" hidden="1" customHeight="1" outlineLevel="2" x14ac:dyDescent="0.2">
      <c r="A157" s="116">
        <f ca="1">IF($H157="UNIDADE CONSTRUTIVA",OFFSET(A157,-1,0)+1,LARGE(A$3:A156,1))</f>
        <v>0</v>
      </c>
      <c r="B157" s="116">
        <f t="shared" ca="1" si="23"/>
        <v>6</v>
      </c>
      <c r="C157" s="116">
        <f t="shared" ca="1" si="24"/>
        <v>1</v>
      </c>
      <c r="D157" s="117">
        <f t="shared" ca="1" si="25"/>
        <v>9</v>
      </c>
      <c r="E157" s="117">
        <f t="shared" ca="1" si="26"/>
        <v>0</v>
      </c>
      <c r="F157" s="438"/>
      <c r="G157" s="71"/>
      <c r="H157" s="72" t="s">
        <v>113</v>
      </c>
      <c r="I157" s="73" t="str">
        <f t="shared" ca="1" si="21"/>
        <v>06.001.009</v>
      </c>
      <c r="J157" s="74" t="s">
        <v>42</v>
      </c>
      <c r="K157" s="75"/>
      <c r="L157" s="114"/>
      <c r="M157" s="114"/>
      <c r="N157" s="94">
        <f t="shared" ca="1" si="27"/>
        <v>270614.34999999998</v>
      </c>
      <c r="O157" s="121"/>
      <c r="P157" s="76"/>
      <c r="Q157" s="418"/>
      <c r="R157" s="26"/>
      <c r="S157" s="26"/>
    </row>
    <row r="158" spans="1:20" s="25" customFormat="1" ht="13.9" hidden="1" customHeight="1" outlineLevel="2" x14ac:dyDescent="0.2">
      <c r="A158" s="116">
        <f ca="1">IF($H158="UNIDADE CONSTRUTIVA",OFFSET(A158,-1,0)+1,LARGE(A$3:A157,1))</f>
        <v>0</v>
      </c>
      <c r="B158" s="116">
        <f t="shared" ca="1" si="23"/>
        <v>6</v>
      </c>
      <c r="C158" s="116">
        <f t="shared" ca="1" si="24"/>
        <v>1</v>
      </c>
      <c r="D158" s="117">
        <f t="shared" ca="1" si="25"/>
        <v>9</v>
      </c>
      <c r="E158" s="117">
        <f t="shared" ca="1" si="26"/>
        <v>1</v>
      </c>
      <c r="F158" s="438"/>
      <c r="G158" s="71"/>
      <c r="H158" s="72" t="s">
        <v>114</v>
      </c>
      <c r="I158" s="73" t="str">
        <f t="shared" ca="1" si="21"/>
        <v>06.001.009.001</v>
      </c>
      <c r="J158" s="74" t="s">
        <v>119</v>
      </c>
      <c r="K158" s="75" t="s">
        <v>1</v>
      </c>
      <c r="L158" s="114">
        <f>L125</f>
        <v>2847.5299999999997</v>
      </c>
      <c r="M158" s="114">
        <f>_xlfn.XLOOKUP($J158,CPU!$D$1:$D$3085,CPU!$H$1:$H$3085)</f>
        <v>20</v>
      </c>
      <c r="N158" s="94">
        <f t="shared" si="27"/>
        <v>56950.599999999991</v>
      </c>
      <c r="O158" s="121"/>
      <c r="P158" s="76"/>
      <c r="Q158" s="418"/>
      <c r="R158" s="26"/>
      <c r="S158" s="26"/>
    </row>
    <row r="159" spans="1:20" s="25" customFormat="1" ht="13.9" hidden="1" customHeight="1" outlineLevel="2" x14ac:dyDescent="0.2">
      <c r="A159" s="116">
        <f ca="1">IF($H159="UNIDADE CONSTRUTIVA",OFFSET(A159,-1,0)+1,LARGE(A$3:A158,1))</f>
        <v>0</v>
      </c>
      <c r="B159" s="116">
        <f t="shared" ca="1" si="23"/>
        <v>6</v>
      </c>
      <c r="C159" s="116">
        <f t="shared" ca="1" si="24"/>
        <v>1</v>
      </c>
      <c r="D159" s="117">
        <f t="shared" ca="1" si="25"/>
        <v>9</v>
      </c>
      <c r="E159" s="117">
        <f t="shared" ca="1" si="26"/>
        <v>2</v>
      </c>
      <c r="F159" s="438"/>
      <c r="G159" s="71"/>
      <c r="H159" s="72" t="s">
        <v>114</v>
      </c>
      <c r="I159" s="73" t="str">
        <f t="shared" ca="1" si="21"/>
        <v>06.001.009.002</v>
      </c>
      <c r="J159" s="74" t="s">
        <v>120</v>
      </c>
      <c r="K159" s="75" t="s">
        <v>1</v>
      </c>
      <c r="L159" s="114">
        <f>L126</f>
        <v>772.37999999999988</v>
      </c>
      <c r="M159" s="114">
        <f>_xlfn.XLOOKUP($J159,CPU!$D$1:$D$3085,CPU!$H$1:$H$3085)</f>
        <v>35</v>
      </c>
      <c r="N159" s="94">
        <f t="shared" si="27"/>
        <v>27033.299999999996</v>
      </c>
      <c r="O159" s="121"/>
      <c r="P159" s="76"/>
      <c r="Q159" s="418"/>
      <c r="R159" s="26"/>
      <c r="S159" s="26"/>
    </row>
    <row r="160" spans="1:20" s="25" customFormat="1" ht="13.9" hidden="1" customHeight="1" outlineLevel="2" x14ac:dyDescent="0.2">
      <c r="A160" s="116">
        <f ca="1">IF($H160="UNIDADE CONSTRUTIVA",OFFSET(A160,-1,0)+1,LARGE(A$3:A159,1))</f>
        <v>0</v>
      </c>
      <c r="B160" s="116">
        <f t="shared" ca="1" si="23"/>
        <v>6</v>
      </c>
      <c r="C160" s="116">
        <f t="shared" ca="1" si="24"/>
        <v>1</v>
      </c>
      <c r="D160" s="117">
        <f t="shared" ca="1" si="25"/>
        <v>9</v>
      </c>
      <c r="E160" s="117">
        <f t="shared" ca="1" si="26"/>
        <v>3</v>
      </c>
      <c r="F160" s="438"/>
      <c r="G160" s="71"/>
      <c r="H160" s="72" t="s">
        <v>114</v>
      </c>
      <c r="I160" s="73" t="str">
        <f t="shared" ca="1" si="21"/>
        <v>06.001.009.003</v>
      </c>
      <c r="J160" s="74" t="s">
        <v>651</v>
      </c>
      <c r="K160" s="75" t="s">
        <v>1</v>
      </c>
      <c r="L160" s="114">
        <f ca="1">L132+L136+L139+L145+L155</f>
        <v>3036.610000000001</v>
      </c>
      <c r="M160" s="114">
        <f>_xlfn.XLOOKUP($J160,CPU!$D$1:$D$3085,CPU!$H$1:$H$3085)</f>
        <v>30</v>
      </c>
      <c r="N160" s="94">
        <f t="shared" ca="1" si="27"/>
        <v>91098.300000000032</v>
      </c>
      <c r="O160" s="121"/>
      <c r="P160" s="76"/>
      <c r="Q160" s="418"/>
      <c r="R160" s="26"/>
      <c r="S160" s="26"/>
    </row>
    <row r="161" spans="1:19" s="25" customFormat="1" ht="13.9" hidden="1" customHeight="1" outlineLevel="2" x14ac:dyDescent="0.2">
      <c r="A161" s="116">
        <f ca="1">IF($H161="UNIDADE CONSTRUTIVA",OFFSET(A161,-1,0)+1,LARGE(A$3:A160,1))</f>
        <v>0</v>
      </c>
      <c r="B161" s="116">
        <f t="shared" ca="1" si="23"/>
        <v>6</v>
      </c>
      <c r="C161" s="116">
        <f t="shared" ca="1" si="24"/>
        <v>1</v>
      </c>
      <c r="D161" s="117">
        <f t="shared" ca="1" si="25"/>
        <v>9</v>
      </c>
      <c r="E161" s="117">
        <f t="shared" ca="1" si="26"/>
        <v>4</v>
      </c>
      <c r="F161" s="438"/>
      <c r="G161" s="71"/>
      <c r="H161" s="72" t="s">
        <v>114</v>
      </c>
      <c r="I161" s="73" t="str">
        <f t="shared" ca="1" si="21"/>
        <v>06.001.009.004</v>
      </c>
      <c r="J161" s="74" t="s">
        <v>56</v>
      </c>
      <c r="K161" s="75" t="s">
        <v>1</v>
      </c>
      <c r="L161" s="114">
        <f ca="1">L156+L147+L142+L141+L135+L134+L133+L131</f>
        <v>982.65000000000009</v>
      </c>
      <c r="M161" s="114">
        <f>_xlfn.XLOOKUP($J161,CPU!$D$1:$D$3085,CPU!$H$1:$H$3085)</f>
        <v>45</v>
      </c>
      <c r="N161" s="94">
        <f t="shared" ca="1" si="27"/>
        <v>44219.250000000007</v>
      </c>
      <c r="O161" s="121"/>
      <c r="P161" s="76"/>
      <c r="Q161" s="418"/>
      <c r="R161" s="26"/>
      <c r="S161" s="26"/>
    </row>
    <row r="162" spans="1:19" s="25" customFormat="1" ht="13.9" hidden="1" customHeight="1" outlineLevel="2" x14ac:dyDescent="0.2">
      <c r="A162" s="116">
        <f ca="1">IF($H162="UNIDADE CONSTRUTIVA",OFFSET(A162,-1,0)+1,LARGE(A$3:A161,1))</f>
        <v>0</v>
      </c>
      <c r="B162" s="116">
        <f t="shared" ca="1" si="23"/>
        <v>6</v>
      </c>
      <c r="C162" s="116">
        <f t="shared" ca="1" si="24"/>
        <v>1</v>
      </c>
      <c r="D162" s="117">
        <f t="shared" ca="1" si="25"/>
        <v>9</v>
      </c>
      <c r="E162" s="117">
        <f t="shared" ca="1" si="26"/>
        <v>5</v>
      </c>
      <c r="F162" s="438"/>
      <c r="G162" s="71"/>
      <c r="H162" s="72" t="s">
        <v>114</v>
      </c>
      <c r="I162" s="73" t="str">
        <f t="shared" ca="1" si="21"/>
        <v>06.001.009.005</v>
      </c>
      <c r="J162" s="74" t="s">
        <v>121</v>
      </c>
      <c r="K162" s="75" t="s">
        <v>1</v>
      </c>
      <c r="L162" s="114">
        <f ca="1">L154+L153+L149+L146+L144+L138+L137+L130+L128</f>
        <v>965.43</v>
      </c>
      <c r="M162" s="114">
        <f>_xlfn.XLOOKUP($J162,CPU!$D$1:$D$3085,CPU!$H$1:$H$3085)</f>
        <v>30</v>
      </c>
      <c r="N162" s="94">
        <f t="shared" ca="1" si="27"/>
        <v>28962.899999999998</v>
      </c>
      <c r="O162" s="121"/>
      <c r="P162" s="76"/>
      <c r="Q162" s="418"/>
      <c r="R162" s="26"/>
      <c r="S162" s="26"/>
    </row>
    <row r="163" spans="1:19" s="25" customFormat="1" ht="13.9" hidden="1" customHeight="1" outlineLevel="2" x14ac:dyDescent="0.2">
      <c r="A163" s="116">
        <f ca="1">IF($H163="UNIDADE CONSTRUTIVA",OFFSET(A163,-1,0)+1,LARGE(A$3:A162,1))</f>
        <v>0</v>
      </c>
      <c r="B163" s="116">
        <f t="shared" ca="1" si="23"/>
        <v>6</v>
      </c>
      <c r="C163" s="116">
        <f t="shared" ca="1" si="24"/>
        <v>1</v>
      </c>
      <c r="D163" s="117">
        <f t="shared" ca="1" si="25"/>
        <v>9</v>
      </c>
      <c r="E163" s="117">
        <f t="shared" ca="1" si="26"/>
        <v>6</v>
      </c>
      <c r="F163" s="438"/>
      <c r="G163" s="71"/>
      <c r="H163" s="72" t="s">
        <v>114</v>
      </c>
      <c r="I163" s="73" t="str">
        <f t="shared" ca="1" si="21"/>
        <v>06.001.009.006</v>
      </c>
      <c r="J163" s="74" t="s">
        <v>122</v>
      </c>
      <c r="K163" s="75" t="s">
        <v>2</v>
      </c>
      <c r="L163" s="114">
        <f>L151</f>
        <v>447</v>
      </c>
      <c r="M163" s="114">
        <f>_xlfn.XLOOKUP($J163,CPU!$D$1:$D$3085,CPU!$H$1:$H$3085)</f>
        <v>50</v>
      </c>
      <c r="N163" s="94">
        <f t="shared" si="27"/>
        <v>22350</v>
      </c>
      <c r="O163" s="121"/>
      <c r="P163" s="76"/>
      <c r="Q163" s="418"/>
      <c r="R163" s="26"/>
      <c r="S163" s="26"/>
    </row>
    <row r="164" spans="1:19" s="25" customFormat="1" ht="13.9" customHeight="1" collapsed="1" x14ac:dyDescent="0.2">
      <c r="A164" s="116">
        <f ca="1">IF($H164="UNIDADE CONSTRUTIVA",OFFSET(A164,-1,0)+1,LARGE(A$3:A163,1))</f>
        <v>0</v>
      </c>
      <c r="B164" s="116">
        <f t="shared" ca="1" si="23"/>
        <v>7</v>
      </c>
      <c r="C164" s="116">
        <f t="shared" ca="1" si="24"/>
        <v>0</v>
      </c>
      <c r="D164" s="117">
        <f t="shared" ca="1" si="25"/>
        <v>9</v>
      </c>
      <c r="E164" s="117">
        <f t="shared" ca="1" si="26"/>
        <v>6</v>
      </c>
      <c r="F164" s="438"/>
      <c r="G164" s="71"/>
      <c r="H164" s="72" t="s">
        <v>111</v>
      </c>
      <c r="I164" s="73" t="str">
        <f t="shared" ref="I164:I179" ca="1" si="30">IF(H164="Unidade Construtiva",TEXT(A164,"00"),IF(H164="Célula Construtiva",TEXT(B164,"00"),IF(H164="Etapa",CONCATENATE(TEXT(B164,"00"),".",TEXT(C164,"000")),IF(H164="Subetapa",CONCATENATE(TEXT(B164,"00"),".",TEXT(C164,"000"),".",TEXT(D164,"000")),IF(H164="Serviço",CONCATENATE(TEXT(B164,"00"),".",TEXT(C164,"000"),".",TEXT(D164,"000"),".",TEXT(E164,"000")),"")))))</f>
        <v>07</v>
      </c>
      <c r="J164" s="74" t="s">
        <v>87</v>
      </c>
      <c r="K164" s="75"/>
      <c r="L164" s="114"/>
      <c r="M164" s="114"/>
      <c r="N164" s="94">
        <f t="shared" ca="1" si="27"/>
        <v>0</v>
      </c>
      <c r="O164" s="121">
        <f ca="1">N164/'Obra '!$E$9</f>
        <v>0</v>
      </c>
      <c r="P164" s="76"/>
      <c r="Q164" s="418" t="s">
        <v>139</v>
      </c>
      <c r="R164" s="122"/>
      <c r="S164" s="26"/>
    </row>
    <row r="165" spans="1:19" s="25" customFormat="1" ht="13.9" hidden="1" customHeight="1" outlineLevel="1" x14ac:dyDescent="0.2">
      <c r="A165" s="116">
        <f ca="1">IF($H165="UNIDADE CONSTRUTIVA",OFFSET(A165,-1,0)+1,LARGE(A$3:A164,1))</f>
        <v>0</v>
      </c>
      <c r="B165" s="116">
        <f t="shared" ca="1" si="23"/>
        <v>7</v>
      </c>
      <c r="C165" s="116">
        <f t="shared" ca="1" si="24"/>
        <v>1</v>
      </c>
      <c r="D165" s="117">
        <f t="shared" ca="1" si="25"/>
        <v>0</v>
      </c>
      <c r="E165" s="117">
        <f t="shared" ca="1" si="26"/>
        <v>6</v>
      </c>
      <c r="F165" s="438"/>
      <c r="G165" s="71"/>
      <c r="H165" s="72" t="s">
        <v>112</v>
      </c>
      <c r="I165" s="73" t="str">
        <f t="shared" ca="1" si="30"/>
        <v>07.001</v>
      </c>
      <c r="J165" s="74" t="s">
        <v>87</v>
      </c>
      <c r="K165" s="75"/>
      <c r="L165" s="114"/>
      <c r="M165" s="114"/>
      <c r="N165" s="94">
        <f t="shared" ca="1" si="27"/>
        <v>0</v>
      </c>
      <c r="O165" s="121"/>
      <c r="P165" s="76"/>
      <c r="Q165" s="418"/>
      <c r="R165" s="26"/>
      <c r="S165" s="26"/>
    </row>
    <row r="166" spans="1:19" s="25" customFormat="1" ht="13.9" hidden="1" customHeight="1" outlineLevel="1" x14ac:dyDescent="0.2">
      <c r="A166" s="116">
        <f ca="1">IF($H166="UNIDADE CONSTRUTIVA",OFFSET(A166,-1,0)+1,LARGE(A$3:A165,1))</f>
        <v>0</v>
      </c>
      <c r="B166" s="116">
        <f t="shared" ca="1" si="23"/>
        <v>7</v>
      </c>
      <c r="C166" s="116">
        <f t="shared" ca="1" si="24"/>
        <v>1</v>
      </c>
      <c r="D166" s="117">
        <f t="shared" ca="1" si="25"/>
        <v>1</v>
      </c>
      <c r="E166" s="117">
        <f t="shared" ca="1" si="26"/>
        <v>0</v>
      </c>
      <c r="F166" s="438"/>
      <c r="G166" s="71"/>
      <c r="H166" s="72" t="s">
        <v>113</v>
      </c>
      <c r="I166" s="73" t="str">
        <f t="shared" ca="1" si="30"/>
        <v>07.001.001</v>
      </c>
      <c r="J166" s="74" t="s">
        <v>89</v>
      </c>
      <c r="K166" s="75"/>
      <c r="L166" s="114"/>
      <c r="M166" s="114"/>
      <c r="N166" s="94">
        <f t="shared" ca="1" si="27"/>
        <v>0</v>
      </c>
      <c r="O166" s="121"/>
      <c r="P166" s="76"/>
      <c r="Q166" s="418"/>
      <c r="R166" s="26"/>
      <c r="S166" s="26"/>
    </row>
    <row r="167" spans="1:19" s="25" customFormat="1" ht="13.9" hidden="1" customHeight="1" outlineLevel="2" x14ac:dyDescent="0.2">
      <c r="A167" s="116">
        <f ca="1">IF($H167="UNIDADE CONSTRUTIVA",OFFSET(A167,-1,0)+1,LARGE(A$3:A166,1))</f>
        <v>0</v>
      </c>
      <c r="B167" s="116">
        <f t="shared" ca="1" si="23"/>
        <v>7</v>
      </c>
      <c r="C167" s="116">
        <f t="shared" ca="1" si="24"/>
        <v>1</v>
      </c>
      <c r="D167" s="117">
        <f t="shared" ca="1" si="25"/>
        <v>1</v>
      </c>
      <c r="E167" s="117">
        <f t="shared" ca="1" si="26"/>
        <v>1</v>
      </c>
      <c r="F167" s="438"/>
      <c r="G167" s="71"/>
      <c r="H167" s="72" t="s">
        <v>114</v>
      </c>
      <c r="I167" s="73" t="str">
        <f t="shared" ca="1" si="30"/>
        <v>07.001.001.001</v>
      </c>
      <c r="J167" s="74" t="s">
        <v>89</v>
      </c>
      <c r="K167" s="75" t="s">
        <v>67</v>
      </c>
      <c r="L167" s="114">
        <v>1</v>
      </c>
      <c r="M167" s="114"/>
      <c r="N167" s="94">
        <f t="shared" si="27"/>
        <v>0</v>
      </c>
      <c r="O167" s="121" t="s">
        <v>1786</v>
      </c>
      <c r="P167" s="76"/>
      <c r="Q167" s="418"/>
      <c r="R167" s="26"/>
      <c r="S167" s="26"/>
    </row>
    <row r="168" spans="1:19" s="25" customFormat="1" ht="13.9" hidden="1" customHeight="1" outlineLevel="1" x14ac:dyDescent="0.2">
      <c r="A168" s="116">
        <f ca="1">IF($H168="UNIDADE CONSTRUTIVA",OFFSET(A168,-1,0)+1,LARGE(A$3:A167,1))</f>
        <v>0</v>
      </c>
      <c r="B168" s="116">
        <f t="shared" ca="1" si="23"/>
        <v>7</v>
      </c>
      <c r="C168" s="116">
        <f t="shared" ca="1" si="24"/>
        <v>1</v>
      </c>
      <c r="D168" s="117">
        <f t="shared" ca="1" si="25"/>
        <v>2</v>
      </c>
      <c r="E168" s="117">
        <f t="shared" ca="1" si="26"/>
        <v>0</v>
      </c>
      <c r="F168" s="438"/>
      <c r="G168" s="71"/>
      <c r="H168" s="72" t="s">
        <v>113</v>
      </c>
      <c r="I168" s="73" t="str">
        <f t="shared" ca="1" si="30"/>
        <v>07.001.002</v>
      </c>
      <c r="J168" s="74" t="s">
        <v>1891</v>
      </c>
      <c r="K168" s="75"/>
      <c r="L168" s="114"/>
      <c r="M168" s="114"/>
      <c r="N168" s="94">
        <f t="shared" ca="1" si="27"/>
        <v>0</v>
      </c>
      <c r="O168" s="121"/>
      <c r="P168" s="76"/>
      <c r="Q168" s="418"/>
      <c r="R168" s="26"/>
      <c r="S168" s="26"/>
    </row>
    <row r="169" spans="1:19" s="25" customFormat="1" ht="13.9" hidden="1" customHeight="1" outlineLevel="2" x14ac:dyDescent="0.2">
      <c r="A169" s="116">
        <f ca="1">IF($H169="UNIDADE CONSTRUTIVA",OFFSET(A169,-1,0)+1,LARGE(A$3:A168,1))</f>
        <v>0</v>
      </c>
      <c r="B169" s="116">
        <f t="shared" ca="1" si="23"/>
        <v>7</v>
      </c>
      <c r="C169" s="116">
        <f t="shared" ca="1" si="24"/>
        <v>1</v>
      </c>
      <c r="D169" s="117">
        <f t="shared" ca="1" si="25"/>
        <v>2</v>
      </c>
      <c r="E169" s="117">
        <f t="shared" ca="1" si="26"/>
        <v>1</v>
      </c>
      <c r="F169" s="438"/>
      <c r="G169" s="71"/>
      <c r="H169" s="72" t="s">
        <v>114</v>
      </c>
      <c r="I169" s="73" t="str">
        <f t="shared" ca="1" si="30"/>
        <v>07.001.002.001</v>
      </c>
      <c r="J169" s="74" t="s">
        <v>1891</v>
      </c>
      <c r="K169" s="75" t="s">
        <v>67</v>
      </c>
      <c r="L169" s="114">
        <v>1</v>
      </c>
      <c r="M169" s="114"/>
      <c r="N169" s="94">
        <f t="shared" si="27"/>
        <v>0</v>
      </c>
      <c r="O169" s="121" t="s">
        <v>1786</v>
      </c>
      <c r="P169" s="76"/>
      <c r="Q169" s="418"/>
      <c r="R169" s="26"/>
      <c r="S169" s="26"/>
    </row>
    <row r="170" spans="1:19" s="25" customFormat="1" ht="13.9" hidden="1" customHeight="1" outlineLevel="1" x14ac:dyDescent="0.2">
      <c r="A170" s="116">
        <f ca="1">IF($H170="UNIDADE CONSTRUTIVA",OFFSET(A170,-1,0)+1,LARGE(A$3:A169,1))</f>
        <v>0</v>
      </c>
      <c r="B170" s="116">
        <f t="shared" ca="1" si="23"/>
        <v>7</v>
      </c>
      <c r="C170" s="116">
        <f t="shared" ca="1" si="24"/>
        <v>1</v>
      </c>
      <c r="D170" s="117">
        <f t="shared" ca="1" si="25"/>
        <v>3</v>
      </c>
      <c r="E170" s="117">
        <f t="shared" ca="1" si="26"/>
        <v>0</v>
      </c>
      <c r="F170" s="438"/>
      <c r="G170" s="71"/>
      <c r="H170" s="72" t="s">
        <v>113</v>
      </c>
      <c r="I170" s="73" t="str">
        <f t="shared" ca="1" si="30"/>
        <v>07.001.003</v>
      </c>
      <c r="J170" s="74" t="s">
        <v>1892</v>
      </c>
      <c r="K170" s="75"/>
      <c r="L170" s="114"/>
      <c r="M170" s="114"/>
      <c r="N170" s="94">
        <f t="shared" ca="1" si="27"/>
        <v>0</v>
      </c>
      <c r="O170" s="121"/>
      <c r="P170" s="76"/>
      <c r="Q170" s="418"/>
      <c r="R170" s="26"/>
      <c r="S170" s="26"/>
    </row>
    <row r="171" spans="1:19" s="25" customFormat="1" ht="13.9" hidden="1" customHeight="1" outlineLevel="2" x14ac:dyDescent="0.2">
      <c r="A171" s="116">
        <f ca="1">IF($H171="UNIDADE CONSTRUTIVA",OFFSET(A171,-1,0)+1,LARGE(A$3:A170,1))</f>
        <v>0</v>
      </c>
      <c r="B171" s="116">
        <f t="shared" ca="1" si="23"/>
        <v>7</v>
      </c>
      <c r="C171" s="116">
        <f t="shared" ca="1" si="24"/>
        <v>1</v>
      </c>
      <c r="D171" s="117">
        <f t="shared" ca="1" si="25"/>
        <v>3</v>
      </c>
      <c r="E171" s="117">
        <f t="shared" ca="1" si="26"/>
        <v>1</v>
      </c>
      <c r="F171" s="438"/>
      <c r="G171" s="71"/>
      <c r="H171" s="72" t="s">
        <v>114</v>
      </c>
      <c r="I171" s="73" t="str">
        <f t="shared" ca="1" si="30"/>
        <v>07.001.003.001</v>
      </c>
      <c r="J171" s="74" t="s">
        <v>1892</v>
      </c>
      <c r="K171" s="75" t="s">
        <v>67</v>
      </c>
      <c r="L171" s="114">
        <v>1</v>
      </c>
      <c r="M171" s="114"/>
      <c r="N171" s="94">
        <f t="shared" si="27"/>
        <v>0</v>
      </c>
      <c r="O171" s="121" t="s">
        <v>1786</v>
      </c>
      <c r="P171" s="76"/>
      <c r="Q171" s="418"/>
      <c r="R171" s="26"/>
      <c r="S171" s="26"/>
    </row>
    <row r="172" spans="1:19" s="25" customFormat="1" ht="13.9" hidden="1" customHeight="1" outlineLevel="1" x14ac:dyDescent="0.2">
      <c r="A172" s="116">
        <f ca="1">IF($H172="UNIDADE CONSTRUTIVA",OFFSET(A172,-1,0)+1,LARGE(A$3:A171,1))</f>
        <v>0</v>
      </c>
      <c r="B172" s="116">
        <f t="shared" ca="1" si="23"/>
        <v>7</v>
      </c>
      <c r="C172" s="116">
        <f t="shared" ca="1" si="24"/>
        <v>1</v>
      </c>
      <c r="D172" s="117">
        <f t="shared" ca="1" si="25"/>
        <v>4</v>
      </c>
      <c r="E172" s="117">
        <f t="shared" ca="1" si="26"/>
        <v>0</v>
      </c>
      <c r="F172" s="438"/>
      <c r="G172" s="71"/>
      <c r="H172" s="72" t="s">
        <v>113</v>
      </c>
      <c r="I172" s="73" t="str">
        <f t="shared" ca="1" si="30"/>
        <v>07.001.004</v>
      </c>
      <c r="J172" s="74" t="s">
        <v>1893</v>
      </c>
      <c r="K172" s="75"/>
      <c r="L172" s="114"/>
      <c r="M172" s="114"/>
      <c r="N172" s="94">
        <f t="shared" ca="1" si="27"/>
        <v>0</v>
      </c>
      <c r="O172" s="121"/>
      <c r="P172" s="76"/>
      <c r="Q172" s="418"/>
      <c r="R172" s="26"/>
      <c r="S172" s="26"/>
    </row>
    <row r="173" spans="1:19" s="25" customFormat="1" ht="13.9" hidden="1" customHeight="1" outlineLevel="2" x14ac:dyDescent="0.2">
      <c r="A173" s="116">
        <f ca="1">IF($H173="UNIDADE CONSTRUTIVA",OFFSET(A173,-1,0)+1,LARGE(A$3:A172,1))</f>
        <v>0</v>
      </c>
      <c r="B173" s="116">
        <f t="shared" ca="1" si="23"/>
        <v>7</v>
      </c>
      <c r="C173" s="116">
        <f t="shared" ca="1" si="24"/>
        <v>1</v>
      </c>
      <c r="D173" s="117">
        <f t="shared" ca="1" si="25"/>
        <v>4</v>
      </c>
      <c r="E173" s="117">
        <f t="shared" ca="1" si="26"/>
        <v>1</v>
      </c>
      <c r="F173" s="438"/>
      <c r="G173" s="71"/>
      <c r="H173" s="72" t="s">
        <v>114</v>
      </c>
      <c r="I173" s="73" t="str">
        <f t="shared" ca="1" si="30"/>
        <v>07.001.004.001</v>
      </c>
      <c r="J173" s="74" t="s">
        <v>1893</v>
      </c>
      <c r="K173" s="75" t="s">
        <v>67</v>
      </c>
      <c r="L173" s="114">
        <v>1</v>
      </c>
      <c r="M173" s="114"/>
      <c r="N173" s="94">
        <f t="shared" si="27"/>
        <v>0</v>
      </c>
      <c r="O173" s="121" t="s">
        <v>1786</v>
      </c>
      <c r="P173" s="76"/>
      <c r="Q173" s="418"/>
      <c r="R173" s="26"/>
      <c r="S173" s="26"/>
    </row>
    <row r="174" spans="1:19" s="25" customFormat="1" ht="13.9" hidden="1" customHeight="1" outlineLevel="1" x14ac:dyDescent="0.2">
      <c r="A174" s="116">
        <f ca="1">IF($H174="UNIDADE CONSTRUTIVA",OFFSET(A174,-1,0)+1,LARGE(A$3:A173,1))</f>
        <v>0</v>
      </c>
      <c r="B174" s="116">
        <f t="shared" ca="1" si="23"/>
        <v>7</v>
      </c>
      <c r="C174" s="116">
        <f t="shared" ca="1" si="24"/>
        <v>1</v>
      </c>
      <c r="D174" s="117">
        <f t="shared" ca="1" si="25"/>
        <v>5</v>
      </c>
      <c r="E174" s="117">
        <f t="shared" ca="1" si="26"/>
        <v>0</v>
      </c>
      <c r="F174" s="438"/>
      <c r="G174" s="71"/>
      <c r="H174" s="72" t="s">
        <v>113</v>
      </c>
      <c r="I174" s="73" t="str">
        <f ca="1">IF(H174="Unidade Construtiva",TEXT(A174,"00"),IF(H174="Célula Construtiva",TEXT(B174,"00"),IF(H174="Etapa",CONCATENATE(TEXT(B174,"00"),".",TEXT(C174,"000")),IF(H174="Subetapa",CONCATENATE(TEXT(B174,"00"),".",TEXT(C174,"000"),".",TEXT(D174,"000")),IF(H174="Serviço",CONCATENATE(TEXT(B174,"00"),".",TEXT(C174,"000"),".",TEXT(D174,"000"),".",TEXT(E174,"000")),"")))))</f>
        <v>07.001.005</v>
      </c>
      <c r="J174" s="74" t="s">
        <v>1894</v>
      </c>
      <c r="K174" s="75"/>
      <c r="L174" s="114"/>
      <c r="M174" s="114"/>
      <c r="N174" s="94">
        <f t="shared" ca="1" si="27"/>
        <v>0</v>
      </c>
      <c r="O174" s="121"/>
      <c r="P174" s="76"/>
      <c r="Q174" s="418"/>
      <c r="R174" s="26"/>
      <c r="S174" s="26"/>
    </row>
    <row r="175" spans="1:19" s="25" customFormat="1" ht="13.9" hidden="1" customHeight="1" outlineLevel="2" x14ac:dyDescent="0.2">
      <c r="A175" s="116">
        <f ca="1">IF($H175="UNIDADE CONSTRUTIVA",OFFSET(A175,-1,0)+1,LARGE(A$3:A174,1))</f>
        <v>0</v>
      </c>
      <c r="B175" s="116">
        <f t="shared" ca="1" si="23"/>
        <v>7</v>
      </c>
      <c r="C175" s="116">
        <f t="shared" ca="1" si="24"/>
        <v>1</v>
      </c>
      <c r="D175" s="117">
        <f t="shared" ca="1" si="25"/>
        <v>5</v>
      </c>
      <c r="E175" s="117">
        <f t="shared" ca="1" si="26"/>
        <v>1</v>
      </c>
      <c r="F175" s="438"/>
      <c r="G175" s="71"/>
      <c r="H175" s="72" t="s">
        <v>114</v>
      </c>
      <c r="I175" s="73" t="str">
        <f ca="1">IF(H175="Unidade Construtiva",TEXT(A175,"00"),IF(H175="Célula Construtiva",TEXT(B175,"00"),IF(H175="Etapa",CONCATENATE(TEXT(B175,"00"),".",TEXT(C175,"000")),IF(H175="Subetapa",CONCATENATE(TEXT(B175,"00"),".",TEXT(C175,"000"),".",TEXT(D175,"000")),IF(H175="Serviço",CONCATENATE(TEXT(B175,"00"),".",TEXT(C175,"000"),".",TEXT(D175,"000"),".",TEXT(E175,"000")),"")))))</f>
        <v>07.001.005.001</v>
      </c>
      <c r="J175" s="74" t="s">
        <v>1894</v>
      </c>
      <c r="K175" s="75" t="s">
        <v>67</v>
      </c>
      <c r="L175" s="114">
        <v>1</v>
      </c>
      <c r="M175" s="114"/>
      <c r="N175" s="94">
        <f t="shared" si="27"/>
        <v>0</v>
      </c>
      <c r="O175" s="121" t="s">
        <v>1786</v>
      </c>
      <c r="P175" s="76"/>
      <c r="Q175" s="418"/>
      <c r="R175" s="26"/>
      <c r="S175" s="26"/>
    </row>
    <row r="176" spans="1:19" s="25" customFormat="1" ht="13.9" hidden="1" customHeight="1" outlineLevel="1" x14ac:dyDescent="0.2">
      <c r="A176" s="116">
        <f ca="1">IF($H176="UNIDADE CONSTRUTIVA",OFFSET(A176,-1,0)+1,LARGE(A$3:A175,1))</f>
        <v>0</v>
      </c>
      <c r="B176" s="116">
        <f t="shared" ca="1" si="23"/>
        <v>7</v>
      </c>
      <c r="C176" s="116">
        <f t="shared" ca="1" si="24"/>
        <v>1</v>
      </c>
      <c r="D176" s="117">
        <f t="shared" ca="1" si="25"/>
        <v>6</v>
      </c>
      <c r="E176" s="117">
        <f t="shared" ca="1" si="26"/>
        <v>0</v>
      </c>
      <c r="F176" s="438"/>
      <c r="G176" s="71"/>
      <c r="H176" s="72" t="s">
        <v>113</v>
      </c>
      <c r="I176" s="73" t="str">
        <f t="shared" ca="1" si="30"/>
        <v>07.001.006</v>
      </c>
      <c r="J176" s="74" t="s">
        <v>1895</v>
      </c>
      <c r="K176" s="75"/>
      <c r="L176" s="114"/>
      <c r="M176" s="114"/>
      <c r="N176" s="94">
        <f t="shared" ca="1" si="27"/>
        <v>0</v>
      </c>
      <c r="O176" s="121"/>
      <c r="P176" s="76"/>
      <c r="Q176" s="418"/>
      <c r="R176" s="26"/>
      <c r="S176" s="26"/>
    </row>
    <row r="177" spans="1:19" s="25" customFormat="1" ht="13.9" hidden="1" customHeight="1" outlineLevel="2" x14ac:dyDescent="0.2">
      <c r="A177" s="116">
        <f ca="1">IF($H177="UNIDADE CONSTRUTIVA",OFFSET(A177,-1,0)+1,LARGE(A$3:A176,1))</f>
        <v>0</v>
      </c>
      <c r="B177" s="116">
        <f t="shared" ca="1" si="23"/>
        <v>7</v>
      </c>
      <c r="C177" s="116">
        <f t="shared" ca="1" si="24"/>
        <v>1</v>
      </c>
      <c r="D177" s="117">
        <f t="shared" ca="1" si="25"/>
        <v>6</v>
      </c>
      <c r="E177" s="117">
        <f t="shared" ca="1" si="26"/>
        <v>1</v>
      </c>
      <c r="F177" s="438"/>
      <c r="G177" s="71"/>
      <c r="H177" s="72" t="s">
        <v>114</v>
      </c>
      <c r="I177" s="73" t="str">
        <f t="shared" ca="1" si="30"/>
        <v>07.001.006.001</v>
      </c>
      <c r="J177" s="74" t="s">
        <v>1895</v>
      </c>
      <c r="K177" s="75" t="s">
        <v>67</v>
      </c>
      <c r="L177" s="114">
        <v>1</v>
      </c>
      <c r="M177" s="114"/>
      <c r="N177" s="94">
        <f t="shared" si="27"/>
        <v>0</v>
      </c>
      <c r="O177" s="121" t="s">
        <v>2366</v>
      </c>
      <c r="P177" s="76"/>
      <c r="Q177" s="418"/>
      <c r="R177" s="26"/>
      <c r="S177" s="26"/>
    </row>
    <row r="178" spans="1:19" s="25" customFormat="1" ht="13.9" hidden="1" customHeight="1" outlineLevel="1" x14ac:dyDescent="0.2">
      <c r="A178" s="116">
        <f ca="1">IF($H178="UNIDADE CONSTRUTIVA",OFFSET(A178,-1,0)+1,LARGE(A$3:A177,1))</f>
        <v>0</v>
      </c>
      <c r="B178" s="116">
        <f t="shared" ca="1" si="23"/>
        <v>7</v>
      </c>
      <c r="C178" s="116">
        <f t="shared" ca="1" si="24"/>
        <v>1</v>
      </c>
      <c r="D178" s="117">
        <f t="shared" ca="1" si="25"/>
        <v>7</v>
      </c>
      <c r="E178" s="117">
        <f t="shared" ca="1" si="26"/>
        <v>0</v>
      </c>
      <c r="F178" s="438"/>
      <c r="G178" s="71"/>
      <c r="H178" s="72" t="s">
        <v>113</v>
      </c>
      <c r="I178" s="73" t="str">
        <f t="shared" ca="1" si="30"/>
        <v>07.001.007</v>
      </c>
      <c r="J178" s="74" t="s">
        <v>157</v>
      </c>
      <c r="K178" s="75"/>
      <c r="L178" s="114"/>
      <c r="M178" s="114"/>
      <c r="N178" s="94">
        <f t="shared" ca="1" si="27"/>
        <v>0</v>
      </c>
      <c r="O178" s="121">
        <f ca="1">N178/'Obra '!$E$9</f>
        <v>0</v>
      </c>
      <c r="P178" s="76"/>
      <c r="Q178" s="418"/>
      <c r="R178" s="26"/>
      <c r="S178" s="26"/>
    </row>
    <row r="179" spans="1:19" s="25" customFormat="1" ht="13.9" hidden="1" customHeight="1" outlineLevel="2" x14ac:dyDescent="0.2">
      <c r="A179" s="116">
        <f ca="1">IF($H179="UNIDADE CONSTRUTIVA",OFFSET(A179,-1,0)+1,LARGE(A$3:A178,1))</f>
        <v>0</v>
      </c>
      <c r="B179" s="116">
        <f t="shared" ca="1" si="23"/>
        <v>7</v>
      </c>
      <c r="C179" s="116">
        <f t="shared" ca="1" si="24"/>
        <v>1</v>
      </c>
      <c r="D179" s="117">
        <f t="shared" ca="1" si="25"/>
        <v>7</v>
      </c>
      <c r="E179" s="117">
        <f t="shared" ca="1" si="26"/>
        <v>1</v>
      </c>
      <c r="F179" s="438"/>
      <c r="G179" s="71"/>
      <c r="H179" s="72" t="s">
        <v>114</v>
      </c>
      <c r="I179" s="73" t="str">
        <f t="shared" ca="1" si="30"/>
        <v>07.001.007.001</v>
      </c>
      <c r="J179" s="74" t="s">
        <v>158</v>
      </c>
      <c r="K179" s="75" t="s">
        <v>67</v>
      </c>
      <c r="L179" s="114">
        <v>1</v>
      </c>
      <c r="M179" s="114"/>
      <c r="N179" s="94">
        <f t="shared" si="27"/>
        <v>0</v>
      </c>
      <c r="O179" s="121" t="s">
        <v>2072</v>
      </c>
      <c r="P179" s="76"/>
      <c r="Q179" s="418"/>
      <c r="R179" s="26"/>
      <c r="S179" s="26"/>
    </row>
    <row r="180" spans="1:19" s="25" customFormat="1" ht="13.9" customHeight="1" collapsed="1" x14ac:dyDescent="0.2">
      <c r="A180" s="116">
        <f ca="1">IF($H180="UNIDADE CONSTRUTIVA",OFFSET(A180,-1,0)+1,LARGE(A$3:A179,1))</f>
        <v>0</v>
      </c>
      <c r="B180" s="116">
        <f t="shared" ca="1" si="23"/>
        <v>8</v>
      </c>
      <c r="C180" s="116">
        <f t="shared" ca="1" si="24"/>
        <v>0</v>
      </c>
      <c r="D180" s="117">
        <f t="shared" ca="1" si="25"/>
        <v>7</v>
      </c>
      <c r="E180" s="117">
        <f t="shared" ca="1" si="26"/>
        <v>1</v>
      </c>
      <c r="F180" s="438"/>
      <c r="G180" s="71"/>
      <c r="H180" s="72" t="s">
        <v>111</v>
      </c>
      <c r="I180" s="73" t="str">
        <f t="shared" ref="I180:I199" ca="1" si="31">IF(H180="Unidade Construtiva",TEXT(A180,"00"),IF(H180="Célula Construtiva",TEXT(B180,"00"),IF(H180="Etapa",CONCATENATE(TEXT(B180,"00"),".",TEXT(C180,"000")),IF(H180="Subetapa",CONCATENATE(TEXT(B180,"00"),".",TEXT(C180,"000"),".",TEXT(D180,"000")),IF(H180="Serviço",CONCATENATE(TEXT(B180,"00"),".",TEXT(C180,"000"),".",TEXT(D180,"000"),".",TEXT(E180,"000")),"")))))</f>
        <v>08</v>
      </c>
      <c r="J180" s="74" t="s">
        <v>88</v>
      </c>
      <c r="K180" s="75"/>
      <c r="L180" s="114"/>
      <c r="M180" s="114"/>
      <c r="N180" s="94">
        <f t="shared" ca="1" si="27"/>
        <v>0</v>
      </c>
      <c r="O180" s="121">
        <f ca="1">N180/'Obra '!$E$9</f>
        <v>0</v>
      </c>
      <c r="P180" s="76"/>
      <c r="Q180" s="418" t="s">
        <v>139</v>
      </c>
      <c r="R180" s="122"/>
      <c r="S180" s="26"/>
    </row>
    <row r="181" spans="1:19" s="25" customFormat="1" ht="13.9" hidden="1" customHeight="1" outlineLevel="1" x14ac:dyDescent="0.2">
      <c r="A181" s="116">
        <f ca="1">IF($H181="UNIDADE CONSTRUTIVA",OFFSET(A181,-1,0)+1,LARGE(A$3:A180,1))</f>
        <v>0</v>
      </c>
      <c r="B181" s="116">
        <f t="shared" ca="1" si="23"/>
        <v>8</v>
      </c>
      <c r="C181" s="116">
        <f t="shared" ca="1" si="24"/>
        <v>1</v>
      </c>
      <c r="D181" s="117">
        <f t="shared" ca="1" si="25"/>
        <v>0</v>
      </c>
      <c r="E181" s="117">
        <f t="shared" ca="1" si="26"/>
        <v>1</v>
      </c>
      <c r="F181" s="438"/>
      <c r="G181" s="71"/>
      <c r="H181" s="72" t="s">
        <v>112</v>
      </c>
      <c r="I181" s="73" t="str">
        <f t="shared" ca="1" si="31"/>
        <v>08.001</v>
      </c>
      <c r="J181" s="74" t="s">
        <v>88</v>
      </c>
      <c r="K181" s="75"/>
      <c r="L181" s="114"/>
      <c r="M181" s="114"/>
      <c r="N181" s="94">
        <f t="shared" ca="1" si="27"/>
        <v>0</v>
      </c>
      <c r="O181" s="121"/>
      <c r="P181" s="76"/>
      <c r="Q181" s="418"/>
      <c r="R181" s="26"/>
      <c r="S181" s="26"/>
    </row>
    <row r="182" spans="1:19" s="25" customFormat="1" ht="13.9" hidden="1" customHeight="1" outlineLevel="1" x14ac:dyDescent="0.2">
      <c r="A182" s="116">
        <f ca="1">IF($H182="UNIDADE CONSTRUTIVA",OFFSET(A182,-1,0)+1,LARGE(A$3:A181,1))</f>
        <v>0</v>
      </c>
      <c r="B182" s="116">
        <f t="shared" ca="1" si="23"/>
        <v>8</v>
      </c>
      <c r="C182" s="116">
        <f t="shared" ca="1" si="24"/>
        <v>1</v>
      </c>
      <c r="D182" s="117">
        <f t="shared" ca="1" si="25"/>
        <v>1</v>
      </c>
      <c r="E182" s="117">
        <f t="shared" ca="1" si="26"/>
        <v>0</v>
      </c>
      <c r="F182" s="438"/>
      <c r="G182" s="71"/>
      <c r="H182" s="72" t="s">
        <v>113</v>
      </c>
      <c r="I182" s="73" t="str">
        <f t="shared" ca="1" si="31"/>
        <v>08.001.001</v>
      </c>
      <c r="J182" s="74" t="s">
        <v>1884</v>
      </c>
      <c r="K182" s="75"/>
      <c r="L182" s="114"/>
      <c r="M182" s="114"/>
      <c r="N182" s="94">
        <f t="shared" ca="1" si="27"/>
        <v>0</v>
      </c>
      <c r="O182" s="121"/>
      <c r="P182" s="76"/>
      <c r="Q182" s="418"/>
      <c r="R182" s="26"/>
      <c r="S182" s="26"/>
    </row>
    <row r="183" spans="1:19" s="25" customFormat="1" ht="13.9" hidden="1" customHeight="1" outlineLevel="2" x14ac:dyDescent="0.2">
      <c r="A183" s="116">
        <f ca="1">IF($H183="UNIDADE CONSTRUTIVA",OFFSET(A183,-1,0)+1,LARGE(A$3:A182,1))</f>
        <v>0</v>
      </c>
      <c r="B183" s="116">
        <f t="shared" ca="1" si="23"/>
        <v>8</v>
      </c>
      <c r="C183" s="116">
        <f t="shared" ca="1" si="24"/>
        <v>1</v>
      </c>
      <c r="D183" s="117">
        <f t="shared" ca="1" si="25"/>
        <v>1</v>
      </c>
      <c r="E183" s="117">
        <f t="shared" ca="1" si="26"/>
        <v>1</v>
      </c>
      <c r="F183" s="438"/>
      <c r="G183" s="71"/>
      <c r="H183" s="72" t="s">
        <v>114</v>
      </c>
      <c r="I183" s="73" t="str">
        <f t="shared" ca="1" si="31"/>
        <v>08.001.001.001</v>
      </c>
      <c r="J183" s="74" t="s">
        <v>1884</v>
      </c>
      <c r="K183" s="75" t="s">
        <v>67</v>
      </c>
      <c r="L183" s="114">
        <v>1</v>
      </c>
      <c r="M183" s="114"/>
      <c r="N183" s="94">
        <f t="shared" si="27"/>
        <v>0</v>
      </c>
      <c r="O183" s="121" t="s">
        <v>1786</v>
      </c>
      <c r="P183" s="76"/>
      <c r="Q183" s="418"/>
      <c r="R183" s="26"/>
      <c r="S183" s="26"/>
    </row>
    <row r="184" spans="1:19" s="25" customFormat="1" ht="13.9" hidden="1" customHeight="1" outlineLevel="1" x14ac:dyDescent="0.2">
      <c r="A184" s="116">
        <f ca="1">IF($H184="UNIDADE CONSTRUTIVA",OFFSET(A184,-1,0)+1,LARGE(A$3:A183,1))</f>
        <v>0</v>
      </c>
      <c r="B184" s="116">
        <f t="shared" ca="1" si="23"/>
        <v>8</v>
      </c>
      <c r="C184" s="116">
        <f t="shared" ca="1" si="24"/>
        <v>1</v>
      </c>
      <c r="D184" s="117">
        <f t="shared" ca="1" si="25"/>
        <v>2</v>
      </c>
      <c r="E184" s="117">
        <f t="shared" ca="1" si="26"/>
        <v>0</v>
      </c>
      <c r="F184" s="438"/>
      <c r="G184" s="71"/>
      <c r="H184" s="72" t="s">
        <v>113</v>
      </c>
      <c r="I184" s="73" t="str">
        <f t="shared" ref="I184:I189" ca="1" si="32">IF(H184="Unidade Construtiva",TEXT(A184,"00"),IF(H184="Célula Construtiva",TEXT(B184,"00"),IF(H184="Etapa",CONCATENATE(TEXT(B184,"00"),".",TEXT(C184,"000")),IF(H184="Subetapa",CONCATENATE(TEXT(B184,"00"),".",TEXT(C184,"000"),".",TEXT(D184,"000")),IF(H184="Serviço",CONCATENATE(TEXT(B184,"00"),".",TEXT(C184,"000"),".",TEXT(D184,"000"),".",TEXT(E184,"000")),"")))))</f>
        <v>08.001.002</v>
      </c>
      <c r="J184" s="74" t="s">
        <v>1885</v>
      </c>
      <c r="K184" s="75"/>
      <c r="L184" s="114"/>
      <c r="M184" s="114"/>
      <c r="N184" s="94">
        <f t="shared" ca="1" si="27"/>
        <v>0</v>
      </c>
      <c r="O184" s="121"/>
      <c r="P184" s="76"/>
      <c r="Q184" s="418"/>
      <c r="R184" s="26"/>
      <c r="S184" s="26"/>
    </row>
    <row r="185" spans="1:19" s="25" customFormat="1" ht="13.9" hidden="1" customHeight="1" outlineLevel="2" x14ac:dyDescent="0.2">
      <c r="A185" s="116">
        <f ca="1">IF($H185="UNIDADE CONSTRUTIVA",OFFSET(A185,-1,0)+1,LARGE(A$3:A184,1))</f>
        <v>0</v>
      </c>
      <c r="B185" s="116">
        <f t="shared" ca="1" si="23"/>
        <v>8</v>
      </c>
      <c r="C185" s="116">
        <f t="shared" ca="1" si="24"/>
        <v>1</v>
      </c>
      <c r="D185" s="117">
        <f t="shared" ca="1" si="25"/>
        <v>2</v>
      </c>
      <c r="E185" s="117">
        <f t="shared" ca="1" si="26"/>
        <v>1</v>
      </c>
      <c r="F185" s="438"/>
      <c r="G185" s="71"/>
      <c r="H185" s="72" t="s">
        <v>114</v>
      </c>
      <c r="I185" s="73" t="str">
        <f t="shared" ca="1" si="32"/>
        <v>08.001.002.001</v>
      </c>
      <c r="J185" s="74" t="s">
        <v>1885</v>
      </c>
      <c r="K185" s="75" t="s">
        <v>67</v>
      </c>
      <c r="L185" s="114">
        <v>1</v>
      </c>
      <c r="M185" s="114"/>
      <c r="N185" s="94">
        <f t="shared" si="27"/>
        <v>0</v>
      </c>
      <c r="O185" s="121" t="s">
        <v>1786</v>
      </c>
      <c r="P185" s="76"/>
      <c r="Q185" s="418"/>
      <c r="R185" s="26"/>
      <c r="S185" s="26"/>
    </row>
    <row r="186" spans="1:19" s="25" customFormat="1" ht="13.9" hidden="1" customHeight="1" outlineLevel="1" x14ac:dyDescent="0.2">
      <c r="A186" s="116">
        <f ca="1">IF($H186="UNIDADE CONSTRUTIVA",OFFSET(A186,-1,0)+1,LARGE(A$3:A185,1))</f>
        <v>0</v>
      </c>
      <c r="B186" s="116">
        <f t="shared" ca="1" si="23"/>
        <v>8</v>
      </c>
      <c r="C186" s="116">
        <f t="shared" ca="1" si="24"/>
        <v>1</v>
      </c>
      <c r="D186" s="117">
        <f t="shared" ca="1" si="25"/>
        <v>3</v>
      </c>
      <c r="E186" s="117">
        <f t="shared" ca="1" si="26"/>
        <v>0</v>
      </c>
      <c r="F186" s="438"/>
      <c r="G186" s="71"/>
      <c r="H186" s="72" t="s">
        <v>113</v>
      </c>
      <c r="I186" s="73" t="str">
        <f t="shared" ca="1" si="32"/>
        <v>08.001.003</v>
      </c>
      <c r="J186" s="74" t="s">
        <v>1886</v>
      </c>
      <c r="K186" s="75"/>
      <c r="L186" s="114"/>
      <c r="M186" s="114"/>
      <c r="N186" s="94">
        <f t="shared" ca="1" si="27"/>
        <v>0</v>
      </c>
      <c r="O186" s="121"/>
      <c r="P186" s="76"/>
      <c r="Q186" s="418"/>
      <c r="R186" s="26"/>
      <c r="S186" s="26"/>
    </row>
    <row r="187" spans="1:19" s="25" customFormat="1" ht="13.9" hidden="1" customHeight="1" outlineLevel="2" x14ac:dyDescent="0.2">
      <c r="A187" s="116">
        <f ca="1">IF($H187="UNIDADE CONSTRUTIVA",OFFSET(A187,-1,0)+1,LARGE(A$3:A186,1))</f>
        <v>0</v>
      </c>
      <c r="B187" s="116">
        <f t="shared" ca="1" si="23"/>
        <v>8</v>
      </c>
      <c r="C187" s="116">
        <f t="shared" ca="1" si="24"/>
        <v>1</v>
      </c>
      <c r="D187" s="117">
        <f t="shared" ca="1" si="25"/>
        <v>3</v>
      </c>
      <c r="E187" s="117">
        <f t="shared" ca="1" si="26"/>
        <v>1</v>
      </c>
      <c r="F187" s="438"/>
      <c r="G187" s="71"/>
      <c r="H187" s="72" t="s">
        <v>114</v>
      </c>
      <c r="I187" s="73" t="str">
        <f t="shared" ca="1" si="32"/>
        <v>08.001.003.001</v>
      </c>
      <c r="J187" s="74" t="s">
        <v>1886</v>
      </c>
      <c r="K187" s="75" t="s">
        <v>67</v>
      </c>
      <c r="L187" s="114">
        <v>1</v>
      </c>
      <c r="M187" s="114"/>
      <c r="N187" s="94">
        <f t="shared" si="27"/>
        <v>0</v>
      </c>
      <c r="O187" s="121" t="s">
        <v>1786</v>
      </c>
      <c r="P187" s="76"/>
      <c r="Q187" s="418"/>
      <c r="R187" s="26"/>
      <c r="S187" s="26"/>
    </row>
    <row r="188" spans="1:19" s="25" customFormat="1" ht="13.9" hidden="1" customHeight="1" outlineLevel="1" x14ac:dyDescent="0.2">
      <c r="A188" s="116">
        <f ca="1">IF($H188="UNIDADE CONSTRUTIVA",OFFSET(A188,-1,0)+1,LARGE(A$3:A187,1))</f>
        <v>0</v>
      </c>
      <c r="B188" s="116">
        <f t="shared" ca="1" si="23"/>
        <v>8</v>
      </c>
      <c r="C188" s="116">
        <f t="shared" ca="1" si="24"/>
        <v>1</v>
      </c>
      <c r="D188" s="117">
        <f t="shared" ca="1" si="25"/>
        <v>4</v>
      </c>
      <c r="E188" s="117">
        <f t="shared" ca="1" si="26"/>
        <v>0</v>
      </c>
      <c r="F188" s="438"/>
      <c r="G188" s="71"/>
      <c r="H188" s="72" t="s">
        <v>113</v>
      </c>
      <c r="I188" s="73" t="str">
        <f t="shared" ca="1" si="32"/>
        <v>08.001.004</v>
      </c>
      <c r="J188" s="74" t="s">
        <v>1887</v>
      </c>
      <c r="K188" s="75"/>
      <c r="L188" s="114"/>
      <c r="M188" s="114"/>
      <c r="N188" s="94">
        <f t="shared" ca="1" si="27"/>
        <v>0</v>
      </c>
      <c r="O188" s="121"/>
      <c r="P188" s="76"/>
      <c r="Q188" s="418"/>
      <c r="R188" s="26"/>
      <c r="S188" s="26"/>
    </row>
    <row r="189" spans="1:19" s="25" customFormat="1" ht="13.9" hidden="1" customHeight="1" outlineLevel="2" x14ac:dyDescent="0.2">
      <c r="A189" s="116">
        <f ca="1">IF($H189="UNIDADE CONSTRUTIVA",OFFSET(A189,-1,0)+1,LARGE(A$3:A188,1))</f>
        <v>0</v>
      </c>
      <c r="B189" s="116">
        <f t="shared" ca="1" si="23"/>
        <v>8</v>
      </c>
      <c r="C189" s="116">
        <f t="shared" ca="1" si="24"/>
        <v>1</v>
      </c>
      <c r="D189" s="117">
        <f t="shared" ca="1" si="25"/>
        <v>4</v>
      </c>
      <c r="E189" s="117">
        <f t="shared" ca="1" si="26"/>
        <v>1</v>
      </c>
      <c r="F189" s="438"/>
      <c r="G189" s="71"/>
      <c r="H189" s="72" t="s">
        <v>114</v>
      </c>
      <c r="I189" s="73" t="str">
        <f t="shared" ca="1" si="32"/>
        <v>08.001.004.001</v>
      </c>
      <c r="J189" s="74" t="s">
        <v>1887</v>
      </c>
      <c r="K189" s="75" t="s">
        <v>67</v>
      </c>
      <c r="L189" s="114">
        <v>1</v>
      </c>
      <c r="M189" s="114"/>
      <c r="N189" s="94">
        <f t="shared" si="27"/>
        <v>0</v>
      </c>
      <c r="O189" s="121" t="s">
        <v>2549</v>
      </c>
      <c r="P189" s="76"/>
      <c r="Q189" s="418"/>
      <c r="R189" s="26"/>
      <c r="S189" s="26"/>
    </row>
    <row r="190" spans="1:19" s="25" customFormat="1" ht="13.9" hidden="1" customHeight="1" outlineLevel="1" x14ac:dyDescent="0.2">
      <c r="A190" s="116">
        <f ca="1">IF($H190="UNIDADE CONSTRUTIVA",OFFSET(A190,-1,0)+1,LARGE(A$3:A189,1))</f>
        <v>0</v>
      </c>
      <c r="B190" s="116">
        <f t="shared" ca="1" si="23"/>
        <v>8</v>
      </c>
      <c r="C190" s="116">
        <f t="shared" ca="1" si="24"/>
        <v>1</v>
      </c>
      <c r="D190" s="117">
        <f t="shared" ca="1" si="25"/>
        <v>5</v>
      </c>
      <c r="E190" s="117">
        <f t="shared" ca="1" si="26"/>
        <v>0</v>
      </c>
      <c r="F190" s="438"/>
      <c r="G190" s="71"/>
      <c r="H190" s="72" t="s">
        <v>113</v>
      </c>
      <c r="I190" s="73" t="str">
        <f t="shared" ca="1" si="31"/>
        <v>08.001.005</v>
      </c>
      <c r="J190" s="74" t="s">
        <v>1888</v>
      </c>
      <c r="K190" s="75"/>
      <c r="L190" s="114"/>
      <c r="M190" s="114"/>
      <c r="N190" s="94">
        <f t="shared" ca="1" si="27"/>
        <v>0</v>
      </c>
      <c r="O190" s="121"/>
      <c r="P190" s="76"/>
      <c r="Q190" s="418"/>
      <c r="R190" s="26"/>
      <c r="S190" s="26"/>
    </row>
    <row r="191" spans="1:19" s="25" customFormat="1" ht="13.9" hidden="1" customHeight="1" outlineLevel="2" x14ac:dyDescent="0.2">
      <c r="A191" s="116">
        <f ca="1">IF($H191="UNIDADE CONSTRUTIVA",OFFSET(A191,-1,0)+1,LARGE(A$3:A190,1))</f>
        <v>0</v>
      </c>
      <c r="B191" s="116">
        <f t="shared" ca="1" si="23"/>
        <v>8</v>
      </c>
      <c r="C191" s="116">
        <f t="shared" ca="1" si="24"/>
        <v>1</v>
      </c>
      <c r="D191" s="117">
        <f t="shared" ca="1" si="25"/>
        <v>5</v>
      </c>
      <c r="E191" s="117">
        <f t="shared" ca="1" si="26"/>
        <v>1</v>
      </c>
      <c r="F191" s="438"/>
      <c r="G191" s="71"/>
      <c r="H191" s="72" t="s">
        <v>114</v>
      </c>
      <c r="I191" s="73" t="str">
        <f t="shared" ca="1" si="31"/>
        <v>08.001.005.001</v>
      </c>
      <c r="J191" s="74" t="s">
        <v>1888</v>
      </c>
      <c r="K191" s="75" t="s">
        <v>67</v>
      </c>
      <c r="L191" s="114">
        <v>1</v>
      </c>
      <c r="M191" s="114"/>
      <c r="N191" s="94">
        <f t="shared" si="27"/>
        <v>0</v>
      </c>
      <c r="O191" s="121" t="s">
        <v>1786</v>
      </c>
      <c r="P191" s="76"/>
      <c r="Q191" s="418"/>
      <c r="R191" s="26"/>
      <c r="S191" s="26"/>
    </row>
    <row r="192" spans="1:19" s="25" customFormat="1" ht="13.9" hidden="1" customHeight="1" outlineLevel="1" x14ac:dyDescent="0.2">
      <c r="A192" s="116">
        <f ca="1">IF($H192="UNIDADE CONSTRUTIVA",OFFSET(A192,-1,0)+1,LARGE(A$3:A191,1))</f>
        <v>0</v>
      </c>
      <c r="B192" s="116">
        <f t="shared" ca="1" si="23"/>
        <v>8</v>
      </c>
      <c r="C192" s="116">
        <f t="shared" ca="1" si="24"/>
        <v>1</v>
      </c>
      <c r="D192" s="117">
        <f t="shared" ca="1" si="25"/>
        <v>6</v>
      </c>
      <c r="E192" s="117">
        <f t="shared" ca="1" si="26"/>
        <v>0</v>
      </c>
      <c r="F192" s="438"/>
      <c r="G192" s="71"/>
      <c r="H192" s="72" t="s">
        <v>113</v>
      </c>
      <c r="I192" s="73" t="str">
        <f t="shared" ca="1" si="31"/>
        <v>08.001.006</v>
      </c>
      <c r="J192" s="74" t="s">
        <v>1889</v>
      </c>
      <c r="K192" s="75"/>
      <c r="L192" s="114"/>
      <c r="M192" s="114"/>
      <c r="N192" s="94">
        <f t="shared" ca="1" si="27"/>
        <v>0</v>
      </c>
      <c r="O192" s="121"/>
      <c r="P192" s="76"/>
      <c r="Q192" s="418"/>
      <c r="R192" s="26"/>
      <c r="S192" s="26"/>
    </row>
    <row r="193" spans="1:19" s="25" customFormat="1" ht="13.9" hidden="1" customHeight="1" outlineLevel="2" x14ac:dyDescent="0.2">
      <c r="A193" s="116">
        <f ca="1">IF($H193="UNIDADE CONSTRUTIVA",OFFSET(A193,-1,0)+1,LARGE(A$3:A192,1))</f>
        <v>0</v>
      </c>
      <c r="B193" s="116">
        <f t="shared" ca="1" si="23"/>
        <v>8</v>
      </c>
      <c r="C193" s="116">
        <f t="shared" ca="1" si="24"/>
        <v>1</v>
      </c>
      <c r="D193" s="117">
        <f t="shared" ca="1" si="25"/>
        <v>6</v>
      </c>
      <c r="E193" s="117">
        <f t="shared" ca="1" si="26"/>
        <v>1</v>
      </c>
      <c r="F193" s="438"/>
      <c r="G193" s="71"/>
      <c r="H193" s="72" t="s">
        <v>114</v>
      </c>
      <c r="I193" s="73" t="str">
        <f t="shared" ca="1" si="31"/>
        <v>08.001.006.001</v>
      </c>
      <c r="J193" s="74" t="s">
        <v>1889</v>
      </c>
      <c r="K193" s="75" t="s">
        <v>67</v>
      </c>
      <c r="L193" s="114">
        <v>1</v>
      </c>
      <c r="M193" s="114"/>
      <c r="N193" s="94">
        <f t="shared" si="27"/>
        <v>0</v>
      </c>
      <c r="O193" s="121" t="s">
        <v>2549</v>
      </c>
      <c r="P193" s="76"/>
      <c r="Q193" s="418"/>
      <c r="R193" s="26"/>
      <c r="S193" s="26"/>
    </row>
    <row r="194" spans="1:19" s="25" customFormat="1" ht="13.9" hidden="1" customHeight="1" outlineLevel="1" x14ac:dyDescent="0.2">
      <c r="A194" s="116">
        <f ca="1">IF($H194="UNIDADE CONSTRUTIVA",OFFSET(A194,-1,0)+1,LARGE(A$3:A193,1))</f>
        <v>0</v>
      </c>
      <c r="B194" s="116">
        <f t="shared" ca="1" si="23"/>
        <v>8</v>
      </c>
      <c r="C194" s="116">
        <f t="shared" ca="1" si="24"/>
        <v>1</v>
      </c>
      <c r="D194" s="117">
        <f t="shared" ca="1" si="25"/>
        <v>7</v>
      </c>
      <c r="E194" s="117">
        <f t="shared" ca="1" si="26"/>
        <v>0</v>
      </c>
      <c r="F194" s="438"/>
      <c r="G194" s="71"/>
      <c r="H194" s="72" t="s">
        <v>113</v>
      </c>
      <c r="I194" s="73" t="str">
        <f t="shared" ca="1" si="31"/>
        <v>08.001.007</v>
      </c>
      <c r="J194" s="74" t="s">
        <v>1890</v>
      </c>
      <c r="K194" s="75"/>
      <c r="L194" s="114"/>
      <c r="M194" s="114"/>
      <c r="N194" s="94">
        <f t="shared" ca="1" si="27"/>
        <v>0</v>
      </c>
      <c r="O194" s="121"/>
      <c r="P194" s="76"/>
      <c r="Q194" s="418"/>
      <c r="R194" s="26"/>
      <c r="S194" s="26"/>
    </row>
    <row r="195" spans="1:19" s="25" customFormat="1" ht="13.9" hidden="1" customHeight="1" outlineLevel="2" x14ac:dyDescent="0.2">
      <c r="A195" s="116">
        <f ca="1">IF($H195="UNIDADE CONSTRUTIVA",OFFSET(A195,-1,0)+1,LARGE(A$3:A194,1))</f>
        <v>0</v>
      </c>
      <c r="B195" s="116">
        <f t="shared" ca="1" si="23"/>
        <v>8</v>
      </c>
      <c r="C195" s="116">
        <f t="shared" ca="1" si="24"/>
        <v>1</v>
      </c>
      <c r="D195" s="117">
        <f t="shared" ca="1" si="25"/>
        <v>7</v>
      </c>
      <c r="E195" s="117">
        <f t="shared" ca="1" si="26"/>
        <v>1</v>
      </c>
      <c r="F195" s="438"/>
      <c r="G195" s="71"/>
      <c r="H195" s="72" t="s">
        <v>114</v>
      </c>
      <c r="I195" s="73" t="str">
        <f t="shared" ca="1" si="31"/>
        <v>08.001.007.001</v>
      </c>
      <c r="J195" s="74" t="s">
        <v>1890</v>
      </c>
      <c r="K195" s="75" t="s">
        <v>67</v>
      </c>
      <c r="L195" s="114">
        <v>1</v>
      </c>
      <c r="M195" s="114"/>
      <c r="N195" s="94">
        <f t="shared" si="27"/>
        <v>0</v>
      </c>
      <c r="O195" s="121" t="s">
        <v>1786</v>
      </c>
      <c r="P195" s="76"/>
      <c r="Q195" s="418"/>
      <c r="R195" s="26"/>
      <c r="S195" s="26"/>
    </row>
    <row r="196" spans="1:19" s="25" customFormat="1" ht="13.9" hidden="1" customHeight="1" outlineLevel="1" x14ac:dyDescent="0.2">
      <c r="A196" s="116">
        <f ca="1">IF($H196="UNIDADE CONSTRUTIVA",OFFSET(A196,-1,0)+1,LARGE(A$3:A195,1))</f>
        <v>0</v>
      </c>
      <c r="B196" s="116">
        <f t="shared" ca="1" si="23"/>
        <v>8</v>
      </c>
      <c r="C196" s="116">
        <f t="shared" ca="1" si="24"/>
        <v>1</v>
      </c>
      <c r="D196" s="117">
        <f t="shared" ca="1" si="25"/>
        <v>8</v>
      </c>
      <c r="E196" s="117">
        <f t="shared" ca="1" si="26"/>
        <v>0</v>
      </c>
      <c r="F196" s="438"/>
      <c r="G196" s="71"/>
      <c r="H196" s="72" t="s">
        <v>113</v>
      </c>
      <c r="I196" s="73" t="str">
        <f t="shared" ca="1" si="31"/>
        <v>08.001.008</v>
      </c>
      <c r="J196" s="74" t="s">
        <v>160</v>
      </c>
      <c r="K196" s="75"/>
      <c r="L196" s="114"/>
      <c r="M196" s="114"/>
      <c r="N196" s="94">
        <f t="shared" ca="1" si="27"/>
        <v>0</v>
      </c>
      <c r="O196" s="121">
        <f ca="1">N196/'Obra '!$E$9</f>
        <v>0</v>
      </c>
      <c r="P196" s="76"/>
      <c r="Q196" s="418"/>
      <c r="R196" s="26"/>
      <c r="S196" s="26"/>
    </row>
    <row r="197" spans="1:19" s="25" customFormat="1" ht="13.9" hidden="1" customHeight="1" outlineLevel="2" x14ac:dyDescent="0.2">
      <c r="A197" s="116">
        <f ca="1">IF($H197="UNIDADE CONSTRUTIVA",OFFSET(A197,-1,0)+1,LARGE(A$3:A196,1))</f>
        <v>0</v>
      </c>
      <c r="B197" s="116">
        <f t="shared" ca="1" si="23"/>
        <v>8</v>
      </c>
      <c r="C197" s="116">
        <f t="shared" ca="1" si="24"/>
        <v>1</v>
      </c>
      <c r="D197" s="117">
        <f t="shared" ca="1" si="25"/>
        <v>8</v>
      </c>
      <c r="E197" s="117">
        <f t="shared" ca="1" si="26"/>
        <v>1</v>
      </c>
      <c r="F197" s="438"/>
      <c r="G197" s="71"/>
      <c r="H197" s="72" t="s">
        <v>114</v>
      </c>
      <c r="I197" s="73" t="str">
        <f t="shared" ca="1" si="31"/>
        <v>08.001.008.001</v>
      </c>
      <c r="J197" s="74" t="s">
        <v>216</v>
      </c>
      <c r="K197" s="75" t="s">
        <v>67</v>
      </c>
      <c r="L197" s="114">
        <v>1</v>
      </c>
      <c r="M197" s="114"/>
      <c r="N197" s="94">
        <f t="shared" si="27"/>
        <v>0</v>
      </c>
      <c r="O197" s="121" t="s">
        <v>2073</v>
      </c>
      <c r="P197" s="76"/>
      <c r="Q197" s="418"/>
      <c r="R197" s="26"/>
      <c r="S197" s="26"/>
    </row>
    <row r="198" spans="1:19" s="25" customFormat="1" ht="13.9" customHeight="1" collapsed="1" x14ac:dyDescent="0.2">
      <c r="A198" s="116">
        <f ca="1">IF($H198="UNIDADE CONSTRUTIVA",OFFSET(A198,-1,0)+1,LARGE(A$3:A197,1))</f>
        <v>0</v>
      </c>
      <c r="B198" s="116">
        <f t="shared" ca="1" si="23"/>
        <v>9</v>
      </c>
      <c r="C198" s="116">
        <f t="shared" ca="1" si="24"/>
        <v>0</v>
      </c>
      <c r="D198" s="117">
        <f t="shared" ca="1" si="25"/>
        <v>8</v>
      </c>
      <c r="E198" s="117">
        <f t="shared" ca="1" si="26"/>
        <v>1</v>
      </c>
      <c r="F198" s="438"/>
      <c r="G198" s="71"/>
      <c r="H198" s="72" t="s">
        <v>111</v>
      </c>
      <c r="I198" s="73" t="str">
        <f t="shared" ca="1" si="31"/>
        <v>09</v>
      </c>
      <c r="J198" s="74" t="s">
        <v>162</v>
      </c>
      <c r="K198" s="75"/>
      <c r="L198" s="114"/>
      <c r="M198" s="114"/>
      <c r="N198" s="94">
        <f t="shared" ca="1" si="27"/>
        <v>0</v>
      </c>
      <c r="O198" s="121">
        <f ca="1">N198/'Obra '!$E$9</f>
        <v>0</v>
      </c>
      <c r="P198" s="76"/>
      <c r="Q198" s="418" t="s">
        <v>139</v>
      </c>
      <c r="R198" s="122"/>
      <c r="S198" s="26"/>
    </row>
    <row r="199" spans="1:19" s="25" customFormat="1" ht="13.9" hidden="1" customHeight="1" outlineLevel="1" x14ac:dyDescent="0.2">
      <c r="A199" s="116">
        <f ca="1">IF($H199="UNIDADE CONSTRUTIVA",OFFSET(A199,-1,0)+1,LARGE(A$3:A198,1))</f>
        <v>0</v>
      </c>
      <c r="B199" s="116">
        <f t="shared" ca="1" si="23"/>
        <v>9</v>
      </c>
      <c r="C199" s="116">
        <f t="shared" ca="1" si="24"/>
        <v>1</v>
      </c>
      <c r="D199" s="117">
        <f t="shared" ca="1" si="25"/>
        <v>0</v>
      </c>
      <c r="E199" s="117">
        <f t="shared" ca="1" si="26"/>
        <v>1</v>
      </c>
      <c r="F199" s="438"/>
      <c r="G199" s="71"/>
      <c r="H199" s="72" t="s">
        <v>112</v>
      </c>
      <c r="I199" s="73" t="str">
        <f t="shared" ca="1" si="31"/>
        <v>09.001</v>
      </c>
      <c r="J199" s="74" t="s">
        <v>162</v>
      </c>
      <c r="K199" s="75"/>
      <c r="L199" s="114"/>
      <c r="M199" s="114"/>
      <c r="N199" s="94">
        <f t="shared" ca="1" si="27"/>
        <v>0</v>
      </c>
      <c r="O199" s="121"/>
      <c r="P199" s="76"/>
      <c r="Q199" s="418"/>
      <c r="R199" s="26"/>
      <c r="S199" s="26"/>
    </row>
    <row r="200" spans="1:19" s="25" customFormat="1" ht="13.9" hidden="1" customHeight="1" outlineLevel="1" x14ac:dyDescent="0.2">
      <c r="A200" s="116">
        <f ca="1">IF($H200="UNIDADE CONSTRUTIVA",OFFSET(A200,-1,0)+1,LARGE(A$3:A199,1))</f>
        <v>0</v>
      </c>
      <c r="B200" s="116">
        <f t="shared" ca="1" si="23"/>
        <v>9</v>
      </c>
      <c r="C200" s="116">
        <f t="shared" ca="1" si="24"/>
        <v>1</v>
      </c>
      <c r="D200" s="117">
        <f t="shared" ca="1" si="25"/>
        <v>1</v>
      </c>
      <c r="E200" s="117">
        <f t="shared" ca="1" si="26"/>
        <v>0</v>
      </c>
      <c r="F200" s="438"/>
      <c r="G200" s="71"/>
      <c r="H200" s="72" t="s">
        <v>113</v>
      </c>
      <c r="I200" s="73" t="str">
        <f t="shared" ref="I200:I209" ca="1" si="33">IF(H200="Unidade Construtiva",TEXT(A200,"00"),IF(H200="Célula Construtiva",TEXT(B200,"00"),IF(H200="Etapa",CONCATENATE(TEXT(B200,"00"),".",TEXT(C200,"000")),IF(H200="Subetapa",CONCATENATE(TEXT(B200,"00"),".",TEXT(C200,"000"),".",TEXT(D200,"000")),IF(H200="Serviço",CONCATENATE(TEXT(B200,"00"),".",TEXT(C200,"000"),".",TEXT(D200,"000"),".",TEXT(E200,"000")),"")))))</f>
        <v>09.001.001</v>
      </c>
      <c r="J200" s="74" t="s">
        <v>217</v>
      </c>
      <c r="K200" s="75"/>
      <c r="L200" s="114"/>
      <c r="M200" s="114"/>
      <c r="N200" s="94">
        <f t="shared" ca="1" si="27"/>
        <v>0</v>
      </c>
      <c r="O200" s="121"/>
      <c r="P200" s="76"/>
      <c r="Q200" s="418"/>
      <c r="R200" s="26"/>
      <c r="S200" s="26"/>
    </row>
    <row r="201" spans="1:19" s="25" customFormat="1" ht="13.9" hidden="1" customHeight="1" outlineLevel="2" x14ac:dyDescent="0.2">
      <c r="A201" s="116">
        <f ca="1">IF($H201="UNIDADE CONSTRUTIVA",OFFSET(A201,-1,0)+1,LARGE(A$3:A200,1))</f>
        <v>0</v>
      </c>
      <c r="B201" s="116">
        <f t="shared" ref="B201:B264" ca="1" si="34">IF(H201="UNIDADE CONSTRUTIVA",0,IF(H201="CÉLULA CONSTRUTIVA",OFFSET(B201,-1,0)+1,OFFSET(B201,-1,0)))</f>
        <v>9</v>
      </c>
      <c r="C201" s="116">
        <f t="shared" ref="C201:C264" ca="1" si="35">IF(H201="CÉLULA CONSTRUTIVA",0,IF(H201="ETAPA",OFFSET(C201,-1,0)+1,OFFSET(C201,-1,0)))</f>
        <v>1</v>
      </c>
      <c r="D201" s="117">
        <f t="shared" ref="D201:D264" ca="1" si="36">IF(H201="ETAPA",0,IF(H201="SUBETAPA",OFFSET(D201,-1,0)+1,OFFSET(D201,-1,0)))</f>
        <v>1</v>
      </c>
      <c r="E201" s="117">
        <f t="shared" ref="E201:E264" ca="1" si="37">IF(H201="Subetapa",0,IF(H201="serviço",OFFSET(E201,-1,0)+1,OFFSET(E201,-1,0)))</f>
        <v>1</v>
      </c>
      <c r="F201" s="438"/>
      <c r="G201" s="71"/>
      <c r="H201" s="72" t="s">
        <v>114</v>
      </c>
      <c r="I201" s="73" t="str">
        <f t="shared" ca="1" si="33"/>
        <v>09.001.001.001</v>
      </c>
      <c r="J201" s="74" t="s">
        <v>217</v>
      </c>
      <c r="K201" s="75" t="s">
        <v>67</v>
      </c>
      <c r="L201" s="114">
        <v>1</v>
      </c>
      <c r="M201" s="114"/>
      <c r="N201" s="94">
        <f t="shared" si="27"/>
        <v>0</v>
      </c>
      <c r="O201" s="121" t="s">
        <v>2546</v>
      </c>
      <c r="P201" s="76"/>
      <c r="Q201" s="418"/>
      <c r="R201" s="26"/>
      <c r="S201" s="26"/>
    </row>
    <row r="202" spans="1:19" s="25" customFormat="1" ht="13.9" hidden="1" customHeight="1" outlineLevel="1" x14ac:dyDescent="0.2">
      <c r="A202" s="116">
        <f ca="1">IF($H202="UNIDADE CONSTRUTIVA",OFFSET(A202,-1,0)+1,LARGE(A$3:A201,1))</f>
        <v>0</v>
      </c>
      <c r="B202" s="116">
        <f t="shared" ca="1" si="34"/>
        <v>9</v>
      </c>
      <c r="C202" s="116">
        <f t="shared" ca="1" si="35"/>
        <v>1</v>
      </c>
      <c r="D202" s="117">
        <f t="shared" ca="1" si="36"/>
        <v>2</v>
      </c>
      <c r="E202" s="117">
        <f t="shared" ca="1" si="37"/>
        <v>0</v>
      </c>
      <c r="F202" s="438"/>
      <c r="G202" s="71"/>
      <c r="H202" s="72" t="s">
        <v>113</v>
      </c>
      <c r="I202" s="73" t="str">
        <f t="shared" ca="1" si="33"/>
        <v>09.001.002</v>
      </c>
      <c r="J202" s="74" t="s">
        <v>218</v>
      </c>
      <c r="K202" s="75"/>
      <c r="L202" s="114"/>
      <c r="M202" s="114"/>
      <c r="N202" s="94">
        <f t="shared" ca="1" si="27"/>
        <v>0</v>
      </c>
      <c r="O202" s="121"/>
      <c r="P202" s="76"/>
      <c r="Q202" s="418"/>
      <c r="R202" s="26"/>
      <c r="S202" s="26"/>
    </row>
    <row r="203" spans="1:19" s="25" customFormat="1" ht="13.9" hidden="1" customHeight="1" outlineLevel="2" x14ac:dyDescent="0.2">
      <c r="A203" s="116">
        <f ca="1">IF($H203="UNIDADE CONSTRUTIVA",OFFSET(A203,-1,0)+1,LARGE(A$3:A202,1))</f>
        <v>0</v>
      </c>
      <c r="B203" s="116">
        <f t="shared" ca="1" si="34"/>
        <v>9</v>
      </c>
      <c r="C203" s="116">
        <f t="shared" ca="1" si="35"/>
        <v>1</v>
      </c>
      <c r="D203" s="117">
        <f t="shared" ca="1" si="36"/>
        <v>2</v>
      </c>
      <c r="E203" s="117">
        <f t="shared" ca="1" si="37"/>
        <v>1</v>
      </c>
      <c r="F203" s="438"/>
      <c r="G203" s="71"/>
      <c r="H203" s="72" t="s">
        <v>114</v>
      </c>
      <c r="I203" s="73" t="str">
        <f t="shared" ca="1" si="33"/>
        <v>09.001.002.001</v>
      </c>
      <c r="J203" s="74" t="s">
        <v>218</v>
      </c>
      <c r="K203" s="75" t="s">
        <v>67</v>
      </c>
      <c r="L203" s="114">
        <v>1</v>
      </c>
      <c r="M203" s="114"/>
      <c r="N203" s="94">
        <f t="shared" si="27"/>
        <v>0</v>
      </c>
      <c r="O203" s="121" t="s">
        <v>2546</v>
      </c>
      <c r="P203" s="76"/>
      <c r="Q203" s="418"/>
      <c r="R203" s="26"/>
      <c r="S203" s="26"/>
    </row>
    <row r="204" spans="1:19" s="25" customFormat="1" ht="13.9" hidden="1" customHeight="1" outlineLevel="1" x14ac:dyDescent="0.2">
      <c r="A204" s="116">
        <f ca="1">IF($H204="UNIDADE CONSTRUTIVA",OFFSET(A204,-1,0)+1,LARGE(A$3:A203,1))</f>
        <v>0</v>
      </c>
      <c r="B204" s="116">
        <f t="shared" ca="1" si="34"/>
        <v>9</v>
      </c>
      <c r="C204" s="116">
        <f t="shared" ca="1" si="35"/>
        <v>1</v>
      </c>
      <c r="D204" s="117">
        <f t="shared" ca="1" si="36"/>
        <v>3</v>
      </c>
      <c r="E204" s="117">
        <f t="shared" ca="1" si="37"/>
        <v>0</v>
      </c>
      <c r="F204" s="438"/>
      <c r="G204" s="71"/>
      <c r="H204" s="72" t="s">
        <v>113</v>
      </c>
      <c r="I204" s="73" t="str">
        <f t="shared" ca="1" si="33"/>
        <v>09.001.003</v>
      </c>
      <c r="J204" s="74" t="s">
        <v>90</v>
      </c>
      <c r="K204" s="75"/>
      <c r="L204" s="114"/>
      <c r="M204" s="114"/>
      <c r="N204" s="94">
        <f t="shared" ca="1" si="27"/>
        <v>0</v>
      </c>
      <c r="O204" s="121"/>
      <c r="P204" s="76"/>
      <c r="Q204" s="418"/>
      <c r="R204" s="26"/>
      <c r="S204" s="26"/>
    </row>
    <row r="205" spans="1:19" s="25" customFormat="1" ht="13.9" hidden="1" customHeight="1" outlineLevel="2" x14ac:dyDescent="0.2">
      <c r="A205" s="116">
        <f ca="1">IF($H205="UNIDADE CONSTRUTIVA",OFFSET(A205,-1,0)+1,LARGE(A$3:A204,1))</f>
        <v>0</v>
      </c>
      <c r="B205" s="116">
        <f t="shared" ca="1" si="34"/>
        <v>9</v>
      </c>
      <c r="C205" s="116">
        <f t="shared" ca="1" si="35"/>
        <v>1</v>
      </c>
      <c r="D205" s="117">
        <f t="shared" ca="1" si="36"/>
        <v>3</v>
      </c>
      <c r="E205" s="117">
        <f t="shared" ca="1" si="37"/>
        <v>1</v>
      </c>
      <c r="F205" s="438"/>
      <c r="G205" s="71"/>
      <c r="H205" s="72" t="s">
        <v>114</v>
      </c>
      <c r="I205" s="73" t="str">
        <f t="shared" ca="1" si="33"/>
        <v>09.001.003.001</v>
      </c>
      <c r="J205" s="74" t="s">
        <v>90</v>
      </c>
      <c r="K205" s="75" t="s">
        <v>67</v>
      </c>
      <c r="L205" s="114">
        <v>1</v>
      </c>
      <c r="M205" s="114"/>
      <c r="N205" s="94">
        <f t="shared" ref="N205:N268" si="38">IF(H205="Serviço",M205*L205,IF(H205="CÉLULA CONSTRUTIVA",SUMIFS($N$8:$N$452,$B$8:$B$452,B205,$H$8:$H$452,"Serviço"),IF(H205="ETAPA",SUMIFS($N$8:$N$452,$B$8:$B$452,B205,$C$8:$C$452,C205,$H$8:$H$452,"Serviço"),IF(H205="SUBETAPA",SUMIFS($N$8:$N$452,$B$8:$B$452,B205,$C$8:$C$452,C205,$D$8:$D$452,D205,$H$8:$H$452,"Serviço"),0))))</f>
        <v>0</v>
      </c>
      <c r="O205" s="121" t="s">
        <v>2540</v>
      </c>
      <c r="P205" s="76"/>
      <c r="Q205" s="418"/>
      <c r="R205" s="26"/>
      <c r="S205" s="26"/>
    </row>
    <row r="206" spans="1:19" s="25" customFormat="1" ht="13.9" hidden="1" customHeight="1" outlineLevel="1" x14ac:dyDescent="0.2">
      <c r="A206" s="116">
        <f ca="1">IF($H206="UNIDADE CONSTRUTIVA",OFFSET(A206,-1,0)+1,LARGE(A$3:A205,1))</f>
        <v>0</v>
      </c>
      <c r="B206" s="116">
        <f t="shared" ca="1" si="34"/>
        <v>9</v>
      </c>
      <c r="C206" s="116">
        <f t="shared" ca="1" si="35"/>
        <v>1</v>
      </c>
      <c r="D206" s="117">
        <f t="shared" ca="1" si="36"/>
        <v>4</v>
      </c>
      <c r="E206" s="117">
        <f t="shared" ca="1" si="37"/>
        <v>0</v>
      </c>
      <c r="F206" s="438"/>
      <c r="G206" s="71"/>
      <c r="H206" s="72" t="s">
        <v>113</v>
      </c>
      <c r="I206" s="73" t="str">
        <f t="shared" ca="1" si="33"/>
        <v>09.001.004</v>
      </c>
      <c r="J206" s="74" t="s">
        <v>1896</v>
      </c>
      <c r="K206" s="75"/>
      <c r="L206" s="114"/>
      <c r="M206" s="114"/>
      <c r="N206" s="94">
        <f t="shared" ca="1" si="38"/>
        <v>0</v>
      </c>
      <c r="O206" s="121"/>
      <c r="P206" s="76"/>
      <c r="Q206" s="418"/>
      <c r="R206" s="26"/>
      <c r="S206" s="26"/>
    </row>
    <row r="207" spans="1:19" s="25" customFormat="1" ht="13.9" hidden="1" customHeight="1" outlineLevel="2" x14ac:dyDescent="0.2">
      <c r="A207" s="116">
        <f ca="1">IF($H207="UNIDADE CONSTRUTIVA",OFFSET(A207,-1,0)+1,LARGE(A$3:A206,1))</f>
        <v>0</v>
      </c>
      <c r="B207" s="116">
        <f t="shared" ca="1" si="34"/>
        <v>9</v>
      </c>
      <c r="C207" s="116">
        <f t="shared" ca="1" si="35"/>
        <v>1</v>
      </c>
      <c r="D207" s="117">
        <f t="shared" ca="1" si="36"/>
        <v>4</v>
      </c>
      <c r="E207" s="117">
        <f t="shared" ca="1" si="37"/>
        <v>1</v>
      </c>
      <c r="F207" s="438"/>
      <c r="G207" s="71"/>
      <c r="H207" s="72" t="s">
        <v>114</v>
      </c>
      <c r="I207" s="73" t="str">
        <f t="shared" ca="1" si="33"/>
        <v>09.001.004.001</v>
      </c>
      <c r="J207" s="74" t="s">
        <v>1896</v>
      </c>
      <c r="K207" s="75" t="s">
        <v>67</v>
      </c>
      <c r="L207" s="114">
        <v>1</v>
      </c>
      <c r="M207" s="114"/>
      <c r="N207" s="94">
        <f t="shared" si="38"/>
        <v>0</v>
      </c>
      <c r="O207" s="121" t="s">
        <v>2546</v>
      </c>
      <c r="P207" s="76"/>
      <c r="Q207" s="418"/>
      <c r="R207" s="26"/>
      <c r="S207" s="26"/>
    </row>
    <row r="208" spans="1:19" s="25" customFormat="1" ht="13.9" hidden="1" customHeight="1" outlineLevel="1" x14ac:dyDescent="0.2">
      <c r="A208" s="116">
        <f ca="1">IF($H208="UNIDADE CONSTRUTIVA",OFFSET(A208,-1,0)+1,LARGE(A$3:A207,1))</f>
        <v>0</v>
      </c>
      <c r="B208" s="116">
        <f t="shared" ca="1" si="34"/>
        <v>9</v>
      </c>
      <c r="C208" s="116">
        <f t="shared" ca="1" si="35"/>
        <v>1</v>
      </c>
      <c r="D208" s="117">
        <f t="shared" ca="1" si="36"/>
        <v>5</v>
      </c>
      <c r="E208" s="117">
        <f t="shared" ca="1" si="37"/>
        <v>0</v>
      </c>
      <c r="F208" s="438"/>
      <c r="G208" s="71"/>
      <c r="H208" s="72" t="s">
        <v>113</v>
      </c>
      <c r="I208" s="73" t="str">
        <f t="shared" ca="1" si="33"/>
        <v>09.001.005</v>
      </c>
      <c r="J208" s="74" t="s">
        <v>1890</v>
      </c>
      <c r="K208" s="75"/>
      <c r="L208" s="114"/>
      <c r="M208" s="114"/>
      <c r="N208" s="94">
        <f t="shared" ca="1" si="38"/>
        <v>0</v>
      </c>
      <c r="O208" s="121"/>
      <c r="P208" s="76"/>
      <c r="Q208" s="418"/>
      <c r="R208" s="26"/>
      <c r="S208" s="26"/>
    </row>
    <row r="209" spans="1:19" s="25" customFormat="1" ht="13.9" hidden="1" customHeight="1" outlineLevel="2" x14ac:dyDescent="0.2">
      <c r="A209" s="116">
        <f ca="1">IF($H209="UNIDADE CONSTRUTIVA",OFFSET(A209,-1,0)+1,LARGE(A$3:A208,1))</f>
        <v>0</v>
      </c>
      <c r="B209" s="116">
        <f t="shared" ca="1" si="34"/>
        <v>9</v>
      </c>
      <c r="C209" s="116">
        <f t="shared" ca="1" si="35"/>
        <v>1</v>
      </c>
      <c r="D209" s="117">
        <f t="shared" ca="1" si="36"/>
        <v>5</v>
      </c>
      <c r="E209" s="117">
        <f t="shared" ca="1" si="37"/>
        <v>1</v>
      </c>
      <c r="F209" s="438"/>
      <c r="G209" s="71"/>
      <c r="H209" s="72" t="s">
        <v>114</v>
      </c>
      <c r="I209" s="73" t="str">
        <f t="shared" ca="1" si="33"/>
        <v>09.001.005.001</v>
      </c>
      <c r="J209" s="74" t="s">
        <v>1890</v>
      </c>
      <c r="K209" s="75" t="s">
        <v>67</v>
      </c>
      <c r="L209" s="114">
        <v>1</v>
      </c>
      <c r="M209" s="114"/>
      <c r="N209" s="94">
        <f t="shared" si="38"/>
        <v>0</v>
      </c>
      <c r="O209" s="121" t="s">
        <v>2546</v>
      </c>
      <c r="P209" s="76"/>
      <c r="Q209" s="418"/>
      <c r="R209" s="26"/>
      <c r="S209" s="26"/>
    </row>
    <row r="210" spans="1:19" s="25" customFormat="1" ht="13.9" hidden="1" customHeight="1" outlineLevel="1" x14ac:dyDescent="0.2">
      <c r="A210" s="116">
        <f ca="1">IF($H210="UNIDADE CONSTRUTIVA",OFFSET(A210,-1,0)+1,LARGE(A$3:A209,1))</f>
        <v>0</v>
      </c>
      <c r="B210" s="116">
        <f t="shared" ca="1" si="34"/>
        <v>9</v>
      </c>
      <c r="C210" s="116">
        <f t="shared" ca="1" si="35"/>
        <v>1</v>
      </c>
      <c r="D210" s="117">
        <f t="shared" ca="1" si="36"/>
        <v>6</v>
      </c>
      <c r="E210" s="117">
        <f t="shared" ca="1" si="37"/>
        <v>0</v>
      </c>
      <c r="F210" s="438"/>
      <c r="G210" s="71"/>
      <c r="H210" s="72" t="s">
        <v>113</v>
      </c>
      <c r="I210" s="73" t="str">
        <f t="shared" ref="I210:I223" ca="1" si="39">IF(H210="Unidade Construtiva",TEXT(A210,"00"),IF(H210="Célula Construtiva",TEXT(B210,"00"),IF(H210="Etapa",CONCATENATE(TEXT(B210,"00"),".",TEXT(C210,"000")),IF(H210="Subetapa",CONCATENATE(TEXT(B210,"00"),".",TEXT(C210,"000"),".",TEXT(D210,"000")),IF(H210="Serviço",CONCATENATE(TEXT(B210,"00"),".",TEXT(C210,"000"),".",TEXT(D210,"000"),".",TEXT(E210,"000")),"")))))</f>
        <v>09.001.006</v>
      </c>
      <c r="J210" s="74" t="s">
        <v>54</v>
      </c>
      <c r="K210" s="75"/>
      <c r="L210" s="114"/>
      <c r="M210" s="114"/>
      <c r="N210" s="94">
        <f t="shared" ca="1" si="38"/>
        <v>0</v>
      </c>
      <c r="O210" s="121"/>
      <c r="P210" s="76"/>
      <c r="Q210" s="418"/>
      <c r="R210" s="26"/>
      <c r="S210" s="26"/>
    </row>
    <row r="211" spans="1:19" s="25" customFormat="1" ht="13.9" hidden="1" customHeight="1" outlineLevel="2" x14ac:dyDescent="0.2">
      <c r="A211" s="116">
        <f ca="1">IF($H211="UNIDADE CONSTRUTIVA",OFFSET(A211,-1,0)+1,LARGE(A$3:A210,1))</f>
        <v>0</v>
      </c>
      <c r="B211" s="116">
        <f t="shared" ca="1" si="34"/>
        <v>9</v>
      </c>
      <c r="C211" s="116">
        <f t="shared" ca="1" si="35"/>
        <v>1</v>
      </c>
      <c r="D211" s="117">
        <f t="shared" ca="1" si="36"/>
        <v>6</v>
      </c>
      <c r="E211" s="117">
        <f t="shared" ca="1" si="37"/>
        <v>1</v>
      </c>
      <c r="F211" s="438"/>
      <c r="G211" s="71"/>
      <c r="H211" s="72" t="s">
        <v>114</v>
      </c>
      <c r="I211" s="73" t="str">
        <f t="shared" ca="1" si="39"/>
        <v>09.001.006.001</v>
      </c>
      <c r="J211" s="74" t="s">
        <v>1785</v>
      </c>
      <c r="K211" s="75" t="s">
        <v>67</v>
      </c>
      <c r="L211" s="114">
        <v>1</v>
      </c>
      <c r="M211" s="114"/>
      <c r="N211" s="94">
        <f t="shared" si="38"/>
        <v>0</v>
      </c>
      <c r="O211" s="121" t="s">
        <v>2068</v>
      </c>
      <c r="P211" s="76"/>
      <c r="Q211" s="418"/>
      <c r="R211" s="124"/>
      <c r="S211" s="26"/>
    </row>
    <row r="212" spans="1:19" s="25" customFormat="1" ht="13.9" customHeight="1" collapsed="1" x14ac:dyDescent="0.2">
      <c r="A212" s="116">
        <f ca="1">IF($H212="UNIDADE CONSTRUTIVA",OFFSET(A212,-1,0)+1,LARGE(A$3:A211,1))</f>
        <v>0</v>
      </c>
      <c r="B212" s="116">
        <f t="shared" ca="1" si="34"/>
        <v>10</v>
      </c>
      <c r="C212" s="116">
        <f t="shared" ca="1" si="35"/>
        <v>0</v>
      </c>
      <c r="D212" s="117">
        <f t="shared" ca="1" si="36"/>
        <v>6</v>
      </c>
      <c r="E212" s="117">
        <f t="shared" ca="1" si="37"/>
        <v>1</v>
      </c>
      <c r="F212" s="438"/>
      <c r="G212" s="71"/>
      <c r="H212" s="72" t="s">
        <v>111</v>
      </c>
      <c r="I212" s="73" t="str">
        <f t="shared" ca="1" si="39"/>
        <v>10</v>
      </c>
      <c r="J212" s="74" t="s">
        <v>163</v>
      </c>
      <c r="K212" s="75"/>
      <c r="L212" s="114"/>
      <c r="M212" s="114"/>
      <c r="N212" s="94">
        <f t="shared" ca="1" si="38"/>
        <v>0</v>
      </c>
      <c r="O212" s="121">
        <f ca="1">N212/'Obra '!$E$9</f>
        <v>0</v>
      </c>
      <c r="P212" s="76"/>
      <c r="Q212" s="418" t="s">
        <v>139</v>
      </c>
      <c r="R212" s="122"/>
      <c r="S212" s="26"/>
    </row>
    <row r="213" spans="1:19" s="25" customFormat="1" ht="13.9" hidden="1" customHeight="1" outlineLevel="1" x14ac:dyDescent="0.2">
      <c r="A213" s="116">
        <f ca="1">IF($H213="UNIDADE CONSTRUTIVA",OFFSET(A213,-1,0)+1,LARGE(A$3:A212,1))</f>
        <v>0</v>
      </c>
      <c r="B213" s="116">
        <f t="shared" ca="1" si="34"/>
        <v>10</v>
      </c>
      <c r="C213" s="116">
        <f t="shared" ca="1" si="35"/>
        <v>1</v>
      </c>
      <c r="D213" s="117">
        <f t="shared" ca="1" si="36"/>
        <v>0</v>
      </c>
      <c r="E213" s="117">
        <f t="shared" ca="1" si="37"/>
        <v>1</v>
      </c>
      <c r="F213" s="438"/>
      <c r="G213" s="71"/>
      <c r="H213" s="72" t="s">
        <v>112</v>
      </c>
      <c r="I213" s="73" t="str">
        <f t="shared" ca="1" si="39"/>
        <v>10.001</v>
      </c>
      <c r="J213" s="74" t="s">
        <v>163</v>
      </c>
      <c r="K213" s="75"/>
      <c r="L213" s="114"/>
      <c r="M213" s="114"/>
      <c r="N213" s="94">
        <f t="shared" ca="1" si="38"/>
        <v>0</v>
      </c>
      <c r="O213" s="121"/>
      <c r="P213" s="76"/>
      <c r="Q213" s="418"/>
      <c r="R213" s="26"/>
      <c r="S213" s="26"/>
    </row>
    <row r="214" spans="1:19" s="25" customFormat="1" ht="13.9" hidden="1" customHeight="1" outlineLevel="1" x14ac:dyDescent="0.2">
      <c r="A214" s="116">
        <f ca="1">IF($H214="UNIDADE CONSTRUTIVA",OFFSET(A214,-1,0)+1,LARGE(A$3:A213,1))</f>
        <v>0</v>
      </c>
      <c r="B214" s="116">
        <f t="shared" ca="1" si="34"/>
        <v>10</v>
      </c>
      <c r="C214" s="116">
        <f t="shared" ca="1" si="35"/>
        <v>1</v>
      </c>
      <c r="D214" s="117">
        <f t="shared" ca="1" si="36"/>
        <v>1</v>
      </c>
      <c r="E214" s="117">
        <f t="shared" ca="1" si="37"/>
        <v>0</v>
      </c>
      <c r="F214" s="438"/>
      <c r="G214" s="71"/>
      <c r="H214" s="72" t="s">
        <v>113</v>
      </c>
      <c r="I214" s="73" t="str">
        <f t="shared" ca="1" si="39"/>
        <v>10.001.001</v>
      </c>
      <c r="J214" s="74" t="s">
        <v>1897</v>
      </c>
      <c r="K214" s="75"/>
      <c r="L214" s="114"/>
      <c r="M214" s="114"/>
      <c r="N214" s="94">
        <f t="shared" ca="1" si="38"/>
        <v>0</v>
      </c>
      <c r="O214" s="121"/>
      <c r="P214" s="76"/>
      <c r="Q214" s="418"/>
      <c r="R214" s="26"/>
      <c r="S214" s="26"/>
    </row>
    <row r="215" spans="1:19" s="25" customFormat="1" ht="13.9" hidden="1" customHeight="1" outlineLevel="2" x14ac:dyDescent="0.2">
      <c r="A215" s="116">
        <f ca="1">IF($H215="UNIDADE CONSTRUTIVA",OFFSET(A215,-1,0)+1,LARGE(A$3:A214,1))</f>
        <v>0</v>
      </c>
      <c r="B215" s="116">
        <f t="shared" ca="1" si="34"/>
        <v>10</v>
      </c>
      <c r="C215" s="116">
        <f t="shared" ca="1" si="35"/>
        <v>1</v>
      </c>
      <c r="D215" s="117">
        <f t="shared" ca="1" si="36"/>
        <v>1</v>
      </c>
      <c r="E215" s="117">
        <f t="shared" ca="1" si="37"/>
        <v>1</v>
      </c>
      <c r="F215" s="438"/>
      <c r="G215" s="71"/>
      <c r="H215" s="72" t="s">
        <v>114</v>
      </c>
      <c r="I215" s="73" t="str">
        <f t="shared" ca="1" si="39"/>
        <v>10.001.001.001</v>
      </c>
      <c r="J215" s="74" t="s">
        <v>1897</v>
      </c>
      <c r="K215" s="75" t="s">
        <v>67</v>
      </c>
      <c r="L215" s="114">
        <v>1</v>
      </c>
      <c r="M215" s="114"/>
      <c r="N215" s="94">
        <f t="shared" si="38"/>
        <v>0</v>
      </c>
      <c r="O215" s="121" t="s">
        <v>1786</v>
      </c>
      <c r="P215" s="76"/>
      <c r="Q215" s="418"/>
      <c r="R215" s="26"/>
      <c r="S215" s="26"/>
    </row>
    <row r="216" spans="1:19" s="25" customFormat="1" ht="13.9" hidden="1" customHeight="1" outlineLevel="1" x14ac:dyDescent="0.2">
      <c r="A216" s="116">
        <f ca="1">IF($H216="UNIDADE CONSTRUTIVA",OFFSET(A216,-1,0)+1,LARGE(A$3:A215,1))</f>
        <v>0</v>
      </c>
      <c r="B216" s="116">
        <f t="shared" ca="1" si="34"/>
        <v>10</v>
      </c>
      <c r="C216" s="116">
        <f t="shared" ca="1" si="35"/>
        <v>1</v>
      </c>
      <c r="D216" s="117">
        <f t="shared" ca="1" si="36"/>
        <v>2</v>
      </c>
      <c r="E216" s="117">
        <f t="shared" ca="1" si="37"/>
        <v>0</v>
      </c>
      <c r="F216" s="438"/>
      <c r="G216" s="71"/>
      <c r="H216" s="72" t="s">
        <v>113</v>
      </c>
      <c r="I216" s="73" t="str">
        <f t="shared" ca="1" si="39"/>
        <v>10.001.002</v>
      </c>
      <c r="J216" s="74" t="s">
        <v>219</v>
      </c>
      <c r="K216" s="75"/>
      <c r="L216" s="114"/>
      <c r="M216" s="114"/>
      <c r="N216" s="94">
        <f t="shared" ca="1" si="38"/>
        <v>0</v>
      </c>
      <c r="O216" s="121"/>
      <c r="P216" s="76"/>
      <c r="Q216" s="418"/>
      <c r="R216" s="26"/>
      <c r="S216" s="26"/>
    </row>
    <row r="217" spans="1:19" s="25" customFormat="1" ht="13.9" hidden="1" customHeight="1" outlineLevel="2" x14ac:dyDescent="0.2">
      <c r="A217" s="116">
        <f ca="1">IF($H217="UNIDADE CONSTRUTIVA",OFFSET(A217,-1,0)+1,LARGE(A$3:A216,1))</f>
        <v>0</v>
      </c>
      <c r="B217" s="116">
        <f t="shared" ca="1" si="34"/>
        <v>10</v>
      </c>
      <c r="C217" s="116">
        <f t="shared" ca="1" si="35"/>
        <v>1</v>
      </c>
      <c r="D217" s="117">
        <f t="shared" ca="1" si="36"/>
        <v>2</v>
      </c>
      <c r="E217" s="117">
        <f t="shared" ca="1" si="37"/>
        <v>1</v>
      </c>
      <c r="F217" s="438"/>
      <c r="G217" s="71"/>
      <c r="H217" s="72" t="s">
        <v>114</v>
      </c>
      <c r="I217" s="73" t="str">
        <f t="shared" ca="1" si="39"/>
        <v>10.001.002.001</v>
      </c>
      <c r="J217" s="74" t="s">
        <v>219</v>
      </c>
      <c r="K217" s="75" t="s">
        <v>67</v>
      </c>
      <c r="L217" s="114">
        <v>1</v>
      </c>
      <c r="M217" s="114"/>
      <c r="N217" s="94">
        <f t="shared" si="38"/>
        <v>0</v>
      </c>
      <c r="O217" s="121" t="s">
        <v>2545</v>
      </c>
      <c r="P217" s="76"/>
      <c r="Q217" s="418"/>
      <c r="R217" s="122"/>
      <c r="S217" s="26"/>
    </row>
    <row r="218" spans="1:19" s="25" customFormat="1" ht="13.9" hidden="1" customHeight="1" outlineLevel="1" x14ac:dyDescent="0.2">
      <c r="A218" s="116">
        <f ca="1">IF($H218="UNIDADE CONSTRUTIVA",OFFSET(A218,-1,0)+1,LARGE(A$3:A217,1))</f>
        <v>0</v>
      </c>
      <c r="B218" s="116">
        <f t="shared" ca="1" si="34"/>
        <v>10</v>
      </c>
      <c r="C218" s="116">
        <f t="shared" ca="1" si="35"/>
        <v>1</v>
      </c>
      <c r="D218" s="117">
        <f t="shared" ca="1" si="36"/>
        <v>3</v>
      </c>
      <c r="E218" s="117">
        <f t="shared" ca="1" si="37"/>
        <v>0</v>
      </c>
      <c r="F218" s="438"/>
      <c r="G218" s="71"/>
      <c r="H218" s="72" t="s">
        <v>113</v>
      </c>
      <c r="I218" s="73" t="str">
        <f t="shared" ca="1" si="39"/>
        <v>10.001.003</v>
      </c>
      <c r="J218" s="74" t="s">
        <v>220</v>
      </c>
      <c r="K218" s="75"/>
      <c r="L218" s="114"/>
      <c r="M218" s="114"/>
      <c r="N218" s="94">
        <f t="shared" ca="1" si="38"/>
        <v>0</v>
      </c>
      <c r="O218" s="121"/>
      <c r="P218" s="76"/>
      <c r="Q218" s="418"/>
      <c r="R218" s="26"/>
      <c r="S218" s="26"/>
    </row>
    <row r="219" spans="1:19" s="25" customFormat="1" ht="13.9" hidden="1" customHeight="1" outlineLevel="2" x14ac:dyDescent="0.2">
      <c r="A219" s="116">
        <f ca="1">IF($H219="UNIDADE CONSTRUTIVA",OFFSET(A219,-1,0)+1,LARGE(A$3:A218,1))</f>
        <v>0</v>
      </c>
      <c r="B219" s="116">
        <f t="shared" ca="1" si="34"/>
        <v>10</v>
      </c>
      <c r="C219" s="116">
        <f t="shared" ca="1" si="35"/>
        <v>1</v>
      </c>
      <c r="D219" s="117">
        <f t="shared" ca="1" si="36"/>
        <v>3</v>
      </c>
      <c r="E219" s="117">
        <f t="shared" ca="1" si="37"/>
        <v>1</v>
      </c>
      <c r="F219" s="438"/>
      <c r="G219" s="71"/>
      <c r="H219" s="72" t="s">
        <v>114</v>
      </c>
      <c r="I219" s="73" t="str">
        <f t="shared" ca="1" si="39"/>
        <v>10.001.003.001</v>
      </c>
      <c r="J219" s="74" t="s">
        <v>220</v>
      </c>
      <c r="K219" s="75" t="s">
        <v>67</v>
      </c>
      <c r="L219" s="114">
        <v>1</v>
      </c>
      <c r="M219" s="114"/>
      <c r="N219" s="94">
        <f t="shared" si="38"/>
        <v>0</v>
      </c>
      <c r="O219" s="121" t="s">
        <v>1786</v>
      </c>
      <c r="P219" s="76"/>
      <c r="Q219" s="418"/>
      <c r="R219" s="26"/>
      <c r="S219" s="26"/>
    </row>
    <row r="220" spans="1:19" s="25" customFormat="1" ht="13.9" hidden="1" customHeight="1" outlineLevel="1" x14ac:dyDescent="0.2">
      <c r="A220" s="116">
        <f ca="1">IF($H220="UNIDADE CONSTRUTIVA",OFFSET(A220,-1,0)+1,LARGE(A$3:A219,1))</f>
        <v>0</v>
      </c>
      <c r="B220" s="116">
        <f t="shared" ca="1" si="34"/>
        <v>10</v>
      </c>
      <c r="C220" s="116">
        <f t="shared" ca="1" si="35"/>
        <v>1</v>
      </c>
      <c r="D220" s="117">
        <f t="shared" ca="1" si="36"/>
        <v>4</v>
      </c>
      <c r="E220" s="117">
        <f t="shared" ca="1" si="37"/>
        <v>0</v>
      </c>
      <c r="F220" s="438"/>
      <c r="G220" s="71"/>
      <c r="H220" s="72" t="s">
        <v>113</v>
      </c>
      <c r="I220" s="73" t="str">
        <f t="shared" ca="1" si="39"/>
        <v>10.001.004</v>
      </c>
      <c r="J220" s="74" t="s">
        <v>221</v>
      </c>
      <c r="K220" s="75"/>
      <c r="L220" s="114"/>
      <c r="M220" s="114"/>
      <c r="N220" s="94">
        <f t="shared" ca="1" si="38"/>
        <v>0</v>
      </c>
      <c r="O220" s="121"/>
      <c r="P220" s="76"/>
      <c r="Q220" s="418"/>
      <c r="R220" s="26"/>
      <c r="S220" s="26"/>
    </row>
    <row r="221" spans="1:19" s="25" customFormat="1" ht="13.9" hidden="1" customHeight="1" outlineLevel="2" x14ac:dyDescent="0.2">
      <c r="A221" s="116">
        <f ca="1">IF($H221="UNIDADE CONSTRUTIVA",OFFSET(A221,-1,0)+1,LARGE(A$3:A220,1))</f>
        <v>0</v>
      </c>
      <c r="B221" s="116">
        <f t="shared" ca="1" si="34"/>
        <v>10</v>
      </c>
      <c r="C221" s="116">
        <f t="shared" ca="1" si="35"/>
        <v>1</v>
      </c>
      <c r="D221" s="117">
        <f t="shared" ca="1" si="36"/>
        <v>4</v>
      </c>
      <c r="E221" s="117">
        <f t="shared" ca="1" si="37"/>
        <v>1</v>
      </c>
      <c r="F221" s="438"/>
      <c r="G221" s="71"/>
      <c r="H221" s="72" t="s">
        <v>114</v>
      </c>
      <c r="I221" s="73" t="str">
        <f t="shared" ca="1" si="39"/>
        <v>10.001.004.001</v>
      </c>
      <c r="J221" s="74" t="s">
        <v>221</v>
      </c>
      <c r="K221" s="75" t="s">
        <v>67</v>
      </c>
      <c r="L221" s="114">
        <v>1</v>
      </c>
      <c r="M221" s="114"/>
      <c r="N221" s="94">
        <f t="shared" si="38"/>
        <v>0</v>
      </c>
      <c r="O221" s="121" t="s">
        <v>1786</v>
      </c>
      <c r="P221" s="76"/>
      <c r="Q221" s="418"/>
      <c r="R221" s="26"/>
      <c r="S221" s="26"/>
    </row>
    <row r="222" spans="1:19" s="25" customFormat="1" ht="13.9" hidden="1" customHeight="1" outlineLevel="1" x14ac:dyDescent="0.2">
      <c r="A222" s="116">
        <f ca="1">IF($H222="UNIDADE CONSTRUTIVA",OFFSET(A222,-1,0)+1,LARGE(A$3:A221,1))</f>
        <v>0</v>
      </c>
      <c r="B222" s="116">
        <f t="shared" ca="1" si="34"/>
        <v>10</v>
      </c>
      <c r="C222" s="116">
        <f t="shared" ca="1" si="35"/>
        <v>1</v>
      </c>
      <c r="D222" s="117">
        <f t="shared" ca="1" si="36"/>
        <v>5</v>
      </c>
      <c r="E222" s="117">
        <f t="shared" ca="1" si="37"/>
        <v>0</v>
      </c>
      <c r="F222" s="438"/>
      <c r="G222" s="71"/>
      <c r="H222" s="72" t="s">
        <v>113</v>
      </c>
      <c r="I222" s="73" t="str">
        <f t="shared" ca="1" si="39"/>
        <v>10.001.005</v>
      </c>
      <c r="J222" s="74" t="s">
        <v>54</v>
      </c>
      <c r="K222" s="75"/>
      <c r="L222" s="114"/>
      <c r="M222" s="114"/>
      <c r="N222" s="94">
        <f t="shared" ca="1" si="38"/>
        <v>0</v>
      </c>
      <c r="O222" s="121"/>
      <c r="P222" s="76"/>
      <c r="Q222" s="418"/>
      <c r="R222" s="26"/>
      <c r="S222" s="26"/>
    </row>
    <row r="223" spans="1:19" s="25" customFormat="1" ht="13.9" hidden="1" customHeight="1" outlineLevel="2" x14ac:dyDescent="0.2">
      <c r="A223" s="116">
        <f ca="1">IF($H223="UNIDADE CONSTRUTIVA",OFFSET(A223,-1,0)+1,LARGE(A$3:A222,1))</f>
        <v>0</v>
      </c>
      <c r="B223" s="116">
        <f t="shared" ca="1" si="34"/>
        <v>10</v>
      </c>
      <c r="C223" s="116">
        <f t="shared" ca="1" si="35"/>
        <v>1</v>
      </c>
      <c r="D223" s="117">
        <f t="shared" ca="1" si="36"/>
        <v>5</v>
      </c>
      <c r="E223" s="117">
        <f t="shared" ca="1" si="37"/>
        <v>1</v>
      </c>
      <c r="F223" s="438"/>
      <c r="G223" s="71"/>
      <c r="H223" s="72" t="s">
        <v>114</v>
      </c>
      <c r="I223" s="73" t="str">
        <f t="shared" ca="1" si="39"/>
        <v>10.001.005.001</v>
      </c>
      <c r="J223" s="74" t="s">
        <v>222</v>
      </c>
      <c r="K223" s="75" t="s">
        <v>67</v>
      </c>
      <c r="L223" s="114">
        <v>1</v>
      </c>
      <c r="M223" s="114"/>
      <c r="N223" s="94">
        <f t="shared" si="38"/>
        <v>0</v>
      </c>
      <c r="O223" s="121" t="s">
        <v>2070</v>
      </c>
      <c r="P223" s="76"/>
      <c r="Q223" s="418"/>
      <c r="R223" s="26"/>
      <c r="S223" s="26"/>
    </row>
    <row r="224" spans="1:19" s="25" customFormat="1" ht="13.9" customHeight="1" collapsed="1" x14ac:dyDescent="0.2">
      <c r="A224" s="116">
        <f ca="1">IF($H224="UNIDADE CONSTRUTIVA",OFFSET(A224,-1,0)+1,LARGE(A$3:A223,1))</f>
        <v>0</v>
      </c>
      <c r="B224" s="116">
        <f t="shared" ca="1" si="34"/>
        <v>11</v>
      </c>
      <c r="C224" s="116">
        <f t="shared" ca="1" si="35"/>
        <v>0</v>
      </c>
      <c r="D224" s="117">
        <f t="shared" ca="1" si="36"/>
        <v>5</v>
      </c>
      <c r="E224" s="117">
        <f t="shared" ca="1" si="37"/>
        <v>1</v>
      </c>
      <c r="F224" s="517"/>
      <c r="G224" s="71"/>
      <c r="H224" s="72" t="s">
        <v>111</v>
      </c>
      <c r="I224" s="73" t="str">
        <f t="shared" ref="I224:I232" ca="1" si="40">IF(H224="Unidade Construtiva",TEXT(A224,"00"),IF(H224="Célula Construtiva",TEXT(B224,"00"),IF(H224="Etapa",CONCATENATE(TEXT(B224,"00"),".",TEXT(C224,"000")),IF(H224="Subetapa",CONCATENATE(TEXT(B224,"00"),".",TEXT(C224,"000"),".",TEXT(D224,"000")),IF(H224="Serviço",CONCATENATE(TEXT(B224,"00"),".",TEXT(C224,"000"),".",TEXT(D224,"000"),".",TEXT(E224,"000")),"")))))</f>
        <v>11</v>
      </c>
      <c r="J224" s="74" t="s">
        <v>92</v>
      </c>
      <c r="K224" s="75"/>
      <c r="L224" s="114"/>
      <c r="M224" s="114"/>
      <c r="N224" s="94">
        <f t="shared" ca="1" si="38"/>
        <v>0</v>
      </c>
      <c r="O224" s="121">
        <f ca="1">N224/'Obra '!$E$9</f>
        <v>0</v>
      </c>
      <c r="P224" s="76"/>
      <c r="Q224" s="418" t="s">
        <v>92</v>
      </c>
      <c r="R224" s="122"/>
      <c r="S224" s="26"/>
    </row>
    <row r="225" spans="1:19" s="25" customFormat="1" ht="13.9" hidden="1" customHeight="1" outlineLevel="1" x14ac:dyDescent="0.2">
      <c r="A225" s="116">
        <f ca="1">IF($H225="UNIDADE CONSTRUTIVA",OFFSET(A225,-1,0)+1,LARGE(A$3:A224,1))</f>
        <v>0</v>
      </c>
      <c r="B225" s="116">
        <f t="shared" ca="1" si="34"/>
        <v>11</v>
      </c>
      <c r="C225" s="116">
        <f t="shared" ca="1" si="35"/>
        <v>1</v>
      </c>
      <c r="D225" s="117">
        <f t="shared" ca="1" si="36"/>
        <v>0</v>
      </c>
      <c r="E225" s="117">
        <f t="shared" ca="1" si="37"/>
        <v>1</v>
      </c>
      <c r="F225" s="438"/>
      <c r="G225" s="71"/>
      <c r="H225" s="72" t="s">
        <v>112</v>
      </c>
      <c r="I225" s="73" t="str">
        <f t="shared" ca="1" si="40"/>
        <v>11.001</v>
      </c>
      <c r="J225" s="74" t="s">
        <v>92</v>
      </c>
      <c r="K225" s="75"/>
      <c r="L225" s="114"/>
      <c r="M225" s="114"/>
      <c r="N225" s="94">
        <f t="shared" ca="1" si="38"/>
        <v>0</v>
      </c>
      <c r="O225" s="121"/>
      <c r="P225" s="76"/>
      <c r="Q225" s="418"/>
      <c r="R225" s="26"/>
      <c r="S225" s="26"/>
    </row>
    <row r="226" spans="1:19" s="25" customFormat="1" ht="13.9" hidden="1" customHeight="1" outlineLevel="1" x14ac:dyDescent="0.2">
      <c r="A226" s="116">
        <f ca="1">IF($H226="UNIDADE CONSTRUTIVA",OFFSET(A226,-1,0)+1,LARGE(A$3:A225,1))</f>
        <v>0</v>
      </c>
      <c r="B226" s="116">
        <f t="shared" ca="1" si="34"/>
        <v>11</v>
      </c>
      <c r="C226" s="116">
        <f t="shared" ca="1" si="35"/>
        <v>1</v>
      </c>
      <c r="D226" s="117">
        <f t="shared" ca="1" si="36"/>
        <v>1</v>
      </c>
      <c r="E226" s="117">
        <f t="shared" ca="1" si="37"/>
        <v>0</v>
      </c>
      <c r="F226" s="438"/>
      <c r="G226" s="71"/>
      <c r="H226" s="72" t="s">
        <v>113</v>
      </c>
      <c r="I226" s="73" t="str">
        <f ca="1">IF(H226="Unidade Construtiva",TEXT(A226,"00"),IF(H226="Célula Construtiva",TEXT(B226,"00"),IF(H226="Etapa",CONCATENATE(TEXT(B226,"00"),".",TEXT(C226,"000")),IF(H226="Subetapa",CONCATENATE(TEXT(B226,"00"),".",TEXT(C226,"000"),".",TEXT(D226,"000")),IF(H226="Serviço",CONCATENATE(TEXT(B226,"00"),".",TEXT(C226,"000"),".",TEXT(D226,"000"),".",TEXT(E226,"000")),"")))))</f>
        <v>11.001.001</v>
      </c>
      <c r="J226" s="74" t="s">
        <v>2071</v>
      </c>
      <c r="K226" s="75"/>
      <c r="L226" s="114"/>
      <c r="M226" s="114"/>
      <c r="N226" s="94">
        <f t="shared" ca="1" si="38"/>
        <v>0</v>
      </c>
      <c r="O226" s="121">
        <f ca="1">N226/'Obra '!$E$9</f>
        <v>0</v>
      </c>
      <c r="P226" s="76"/>
      <c r="Q226" s="418"/>
      <c r="R226" s="26"/>
      <c r="S226" s="26"/>
    </row>
    <row r="227" spans="1:19" s="25" customFormat="1" ht="13.9" hidden="1" customHeight="1" outlineLevel="2" x14ac:dyDescent="0.2">
      <c r="A227" s="116">
        <f ca="1">IF($H227="UNIDADE CONSTRUTIVA",OFFSET(A227,-1,0)+1,LARGE(A$3:A226,1))</f>
        <v>0</v>
      </c>
      <c r="B227" s="116">
        <f t="shared" ca="1" si="34"/>
        <v>11</v>
      </c>
      <c r="C227" s="116">
        <f t="shared" ca="1" si="35"/>
        <v>1</v>
      </c>
      <c r="D227" s="117">
        <f t="shared" ca="1" si="36"/>
        <v>1</v>
      </c>
      <c r="E227" s="117">
        <f t="shared" ca="1" si="37"/>
        <v>1</v>
      </c>
      <c r="F227" s="438"/>
      <c r="G227" s="71"/>
      <c r="H227" s="72" t="s">
        <v>114</v>
      </c>
      <c r="I227" s="73" t="str">
        <f ca="1">IF(H227="Unidade Construtiva",TEXT(A227,"00"),IF(H227="Célula Construtiva",TEXT(B227,"00"),IF(H227="Etapa",CONCATENATE(TEXT(B227,"00"),".",TEXT(C227,"000")),IF(H227="Subetapa",CONCATENATE(TEXT(B227,"00"),".",TEXT(C227,"000"),".",TEXT(D227,"000")),IF(H227="Serviço",CONCATENATE(TEXT(B227,"00"),".",TEXT(C227,"000"),".",TEXT(D227,"000"),".",TEXT(E227,"000")),"")))))</f>
        <v>11.001.001.001</v>
      </c>
      <c r="J227" s="74" t="s">
        <v>93</v>
      </c>
      <c r="K227" s="75" t="s">
        <v>67</v>
      </c>
      <c r="L227" s="114">
        <v>1</v>
      </c>
      <c r="M227" s="114"/>
      <c r="N227" s="94">
        <f t="shared" si="38"/>
        <v>0</v>
      </c>
      <c r="O227" s="477"/>
      <c r="P227" s="76"/>
      <c r="Q227" s="418"/>
      <c r="R227" s="26"/>
      <c r="S227" s="26"/>
    </row>
    <row r="228" spans="1:19" s="25" customFormat="1" ht="13.9" hidden="1" customHeight="1" outlineLevel="1" x14ac:dyDescent="0.2">
      <c r="A228" s="116">
        <f ca="1">IF($H228="UNIDADE CONSTRUTIVA",OFFSET(A228,-1,0)+1,LARGE(A$3:A227,1))</f>
        <v>0</v>
      </c>
      <c r="B228" s="116">
        <f t="shared" ca="1" si="34"/>
        <v>11</v>
      </c>
      <c r="C228" s="116">
        <f t="shared" ca="1" si="35"/>
        <v>1</v>
      </c>
      <c r="D228" s="117">
        <f t="shared" ca="1" si="36"/>
        <v>2</v>
      </c>
      <c r="E228" s="117">
        <f t="shared" ca="1" si="37"/>
        <v>0</v>
      </c>
      <c r="F228" s="438"/>
      <c r="G228" s="71"/>
      <c r="H228" s="72" t="s">
        <v>113</v>
      </c>
      <c r="I228" s="73" t="str">
        <f t="shared" ca="1" si="40"/>
        <v>11.001.002</v>
      </c>
      <c r="J228" s="74" t="s">
        <v>94</v>
      </c>
      <c r="K228" s="75"/>
      <c r="L228" s="114"/>
      <c r="M228" s="114"/>
      <c r="N228" s="94">
        <f t="shared" ca="1" si="38"/>
        <v>0</v>
      </c>
      <c r="O228" s="121">
        <f ca="1">N228/'Obra '!$E$9</f>
        <v>0</v>
      </c>
      <c r="P228" s="76"/>
      <c r="Q228" s="418"/>
      <c r="R228" s="26"/>
      <c r="S228" s="26"/>
    </row>
    <row r="229" spans="1:19" s="25" customFormat="1" ht="13.9" hidden="1" customHeight="1" outlineLevel="2" x14ac:dyDescent="0.2">
      <c r="A229" s="116">
        <f ca="1">IF($H229="UNIDADE CONSTRUTIVA",OFFSET(A229,-1,0)+1,LARGE(A$3:A228,1))</f>
        <v>0</v>
      </c>
      <c r="B229" s="116">
        <f t="shared" ca="1" si="34"/>
        <v>11</v>
      </c>
      <c r="C229" s="116">
        <f t="shared" ca="1" si="35"/>
        <v>1</v>
      </c>
      <c r="D229" s="117">
        <f t="shared" ca="1" si="36"/>
        <v>2</v>
      </c>
      <c r="E229" s="117">
        <f t="shared" ca="1" si="37"/>
        <v>1</v>
      </c>
      <c r="F229" s="438"/>
      <c r="G229" s="71"/>
      <c r="H229" s="72" t="s">
        <v>114</v>
      </c>
      <c r="I229" s="73" t="str">
        <f t="shared" ca="1" si="40"/>
        <v>11.001.002.001</v>
      </c>
      <c r="J229" s="74" t="s">
        <v>94</v>
      </c>
      <c r="K229" s="75" t="s">
        <v>2357</v>
      </c>
      <c r="L229" s="114">
        <v>2</v>
      </c>
      <c r="M229" s="114"/>
      <c r="N229" s="94">
        <f t="shared" si="38"/>
        <v>0</v>
      </c>
      <c r="O229" s="121"/>
      <c r="P229" s="76"/>
      <c r="Q229" s="418"/>
      <c r="R229" s="26"/>
      <c r="S229" s="26"/>
    </row>
    <row r="230" spans="1:19" s="25" customFormat="1" ht="13.9" hidden="1" customHeight="1" outlineLevel="2" x14ac:dyDescent="0.2">
      <c r="A230" s="116">
        <f ca="1">IF($H230="UNIDADE CONSTRUTIVA",OFFSET(A230,-1,0)+1,LARGE(A$3:A229,1))</f>
        <v>0</v>
      </c>
      <c r="B230" s="116">
        <f t="shared" ca="1" si="34"/>
        <v>11</v>
      </c>
      <c r="C230" s="116">
        <f t="shared" ca="1" si="35"/>
        <v>1</v>
      </c>
      <c r="D230" s="117">
        <f t="shared" ca="1" si="36"/>
        <v>2</v>
      </c>
      <c r="E230" s="117">
        <f t="shared" ca="1" si="37"/>
        <v>2</v>
      </c>
      <c r="F230" s="438"/>
      <c r="G230" s="71"/>
      <c r="H230" s="72" t="s">
        <v>114</v>
      </c>
      <c r="I230" s="73" t="str">
        <f t="shared" ref="I230" ca="1" si="41">IF(H230="Unidade Construtiva",TEXT(A230,"00"),IF(H230="Célula Construtiva",TEXT(B230,"00"),IF(H230="Etapa",CONCATENATE(TEXT(B230,"00"),".",TEXT(C230,"000")),IF(H230="Subetapa",CONCATENATE(TEXT(B230,"00"),".",TEXT(C230,"000"),".",TEXT(D230,"000")),IF(H230="Serviço",CONCATENATE(TEXT(B230,"00"),".",TEXT(C230,"000"),".",TEXT(D230,"000"),".",TEXT(E230,"000")),"")))))</f>
        <v>11.001.002.002</v>
      </c>
      <c r="J230" s="74" t="s">
        <v>6839</v>
      </c>
      <c r="K230" s="75" t="s">
        <v>67</v>
      </c>
      <c r="L230" s="114">
        <v>1</v>
      </c>
      <c r="M230" s="114"/>
      <c r="N230" s="94">
        <f t="shared" si="38"/>
        <v>0</v>
      </c>
      <c r="O230" s="121"/>
      <c r="P230" s="76"/>
      <c r="Q230" s="418"/>
      <c r="R230" s="26"/>
      <c r="S230" s="26"/>
    </row>
    <row r="231" spans="1:19" s="25" customFormat="1" ht="13.9" hidden="1" customHeight="1" outlineLevel="2" x14ac:dyDescent="0.2">
      <c r="A231" s="116">
        <f ca="1">IF($H231="UNIDADE CONSTRUTIVA",OFFSET(A231,-1,0)+1,LARGE(A$3:A230,1))</f>
        <v>0</v>
      </c>
      <c r="B231" s="116">
        <f t="shared" ca="1" si="34"/>
        <v>11</v>
      </c>
      <c r="C231" s="116">
        <f t="shared" ca="1" si="35"/>
        <v>1</v>
      </c>
      <c r="D231" s="117">
        <f t="shared" ca="1" si="36"/>
        <v>2</v>
      </c>
      <c r="E231" s="117">
        <f t="shared" ca="1" si="37"/>
        <v>3</v>
      </c>
      <c r="F231" s="438"/>
      <c r="G231" s="71"/>
      <c r="H231" s="72" t="s">
        <v>114</v>
      </c>
      <c r="I231" s="73" t="str">
        <f t="shared" ca="1" si="40"/>
        <v>11.001.002.003</v>
      </c>
      <c r="J231" s="74" t="s">
        <v>6843</v>
      </c>
      <c r="K231" s="75" t="s">
        <v>2357</v>
      </c>
      <c r="L231" s="114">
        <v>2</v>
      </c>
      <c r="M231" s="114"/>
      <c r="N231" s="94">
        <f t="shared" si="38"/>
        <v>0</v>
      </c>
      <c r="O231" s="121"/>
      <c r="P231" s="76"/>
      <c r="Q231" s="418"/>
      <c r="R231" s="26"/>
      <c r="S231" s="26"/>
    </row>
    <row r="232" spans="1:19" s="25" customFormat="1" ht="13.9" hidden="1" customHeight="1" outlineLevel="1" x14ac:dyDescent="0.2">
      <c r="A232" s="116">
        <f ca="1">IF($H232="UNIDADE CONSTRUTIVA",OFFSET(A232,-1,0)+1,LARGE(A$3:A231,1))</f>
        <v>0</v>
      </c>
      <c r="B232" s="116">
        <f t="shared" ca="1" si="34"/>
        <v>11</v>
      </c>
      <c r="C232" s="116">
        <f t="shared" ca="1" si="35"/>
        <v>1</v>
      </c>
      <c r="D232" s="117">
        <f t="shared" ca="1" si="36"/>
        <v>3</v>
      </c>
      <c r="E232" s="117">
        <f t="shared" ca="1" si="37"/>
        <v>0</v>
      </c>
      <c r="F232" s="438"/>
      <c r="G232" s="71"/>
      <c r="H232" s="72" t="s">
        <v>113</v>
      </c>
      <c r="I232" s="73" t="str">
        <f t="shared" ca="1" si="40"/>
        <v>11.001.003</v>
      </c>
      <c r="J232" s="74" t="s">
        <v>223</v>
      </c>
      <c r="K232" s="75"/>
      <c r="L232" s="114"/>
      <c r="M232" s="114"/>
      <c r="N232" s="94">
        <f t="shared" ca="1" si="38"/>
        <v>0</v>
      </c>
      <c r="O232" s="121">
        <f ca="1">N232/'Obra '!$E$9</f>
        <v>0</v>
      </c>
      <c r="P232" s="76"/>
      <c r="Q232" s="418"/>
      <c r="R232" s="26"/>
      <c r="S232" s="26"/>
    </row>
    <row r="233" spans="1:19" s="25" customFormat="1" ht="13.9" hidden="1" customHeight="1" outlineLevel="2" x14ac:dyDescent="0.2">
      <c r="A233" s="116">
        <f ca="1">IF($H233="UNIDADE CONSTRUTIVA",OFFSET(A233,-1,0)+1,LARGE(A$3:A232,1))</f>
        <v>0</v>
      </c>
      <c r="B233" s="116">
        <f t="shared" ca="1" si="34"/>
        <v>11</v>
      </c>
      <c r="C233" s="116">
        <f t="shared" ca="1" si="35"/>
        <v>1</v>
      </c>
      <c r="D233" s="117">
        <f t="shared" ca="1" si="36"/>
        <v>3</v>
      </c>
      <c r="E233" s="117">
        <f t="shared" ca="1" si="37"/>
        <v>1</v>
      </c>
      <c r="F233" s="438"/>
      <c r="G233" s="71"/>
      <c r="H233" s="72" t="s">
        <v>114</v>
      </c>
      <c r="I233" s="73" t="str">
        <f ca="1">IF(H233="Unidade Construtiva",TEXT(A233,"00"),IF(H233="Célula Construtiva",TEXT(B233,"00"),IF(H233="Etapa",CONCATENATE(TEXT(B233,"00"),".",TEXT(C233,"000")),IF(H233="Subetapa",CONCATENATE(TEXT(B233,"00"),".",TEXT(C233,"000"),".",TEXT(D233,"000")),IF(H233="Serviço",CONCATENATE(TEXT(B233,"00"),".",TEXT(C233,"000"),".",TEXT(D233,"000"),".",TEXT(E233,"000")),"")))))</f>
        <v>11.001.003.001</v>
      </c>
      <c r="J233" s="74" t="s">
        <v>223</v>
      </c>
      <c r="K233" s="75" t="s">
        <v>2</v>
      </c>
      <c r="L233" s="114"/>
      <c r="M233" s="114"/>
      <c r="N233" s="94">
        <f t="shared" si="38"/>
        <v>0</v>
      </c>
      <c r="O233" s="121"/>
      <c r="P233" s="76"/>
      <c r="Q233" s="418"/>
      <c r="R233" s="26"/>
      <c r="S233" s="26"/>
    </row>
    <row r="234" spans="1:19" s="25" customFormat="1" ht="13.9" customHeight="1" collapsed="1" x14ac:dyDescent="0.2">
      <c r="A234" s="116">
        <f ca="1">IF($H234="UNIDADE CONSTRUTIVA",OFFSET(A234,-1,0)+1,LARGE(A$3:A233,1))</f>
        <v>0</v>
      </c>
      <c r="B234" s="116">
        <f t="shared" ca="1" si="34"/>
        <v>12</v>
      </c>
      <c r="C234" s="116">
        <f t="shared" ca="1" si="35"/>
        <v>0</v>
      </c>
      <c r="D234" s="117">
        <f t="shared" ca="1" si="36"/>
        <v>3</v>
      </c>
      <c r="E234" s="117">
        <f t="shared" ca="1" si="37"/>
        <v>1</v>
      </c>
      <c r="F234" s="438"/>
      <c r="G234" s="71"/>
      <c r="H234" s="72" t="s">
        <v>111</v>
      </c>
      <c r="I234" s="73" t="str">
        <f ca="1">IF(H234="Unidade Construtiva",TEXT(A234,"00"),IF(H234="Célula Construtiva",TEXT(B234,"00"),IF(H234="Etapa",CONCATENATE(TEXT(B234,"00"),".",TEXT(C234,"000")),IF(H234="Subetapa",CONCATENATE(TEXT(B234,"00"),".",TEXT(C234,"000"),".",TEXT(D234,"000")),IF(H234="Serviço",CONCATENATE(TEXT(B234,"00"),".",TEXT(C234,"000"),".",TEXT(D234,"000"),".",TEXT(E234,"000")),"")))))</f>
        <v>12</v>
      </c>
      <c r="J234" s="74" t="s">
        <v>1275</v>
      </c>
      <c r="K234" s="75"/>
      <c r="L234" s="114"/>
      <c r="M234" s="114"/>
      <c r="N234" s="94">
        <f t="shared" ca="1" si="38"/>
        <v>0</v>
      </c>
      <c r="O234" s="121">
        <f ca="1">N234/'Obra '!$E$9</f>
        <v>0</v>
      </c>
      <c r="P234" s="76"/>
      <c r="Q234" s="418" t="s">
        <v>95</v>
      </c>
      <c r="R234" s="122"/>
      <c r="S234" s="26"/>
    </row>
    <row r="235" spans="1:19" s="25" customFormat="1" ht="13.9" hidden="1" customHeight="1" outlineLevel="1" x14ac:dyDescent="0.2">
      <c r="A235" s="116">
        <f ca="1">IF($H235="UNIDADE CONSTRUTIVA",OFFSET(A235,-1,0)+1,LARGE(A$3:A234,1))</f>
        <v>0</v>
      </c>
      <c r="B235" s="116">
        <f t="shared" ca="1" si="34"/>
        <v>12</v>
      </c>
      <c r="C235" s="116">
        <f t="shared" ca="1" si="35"/>
        <v>1</v>
      </c>
      <c r="D235" s="117">
        <f t="shared" ca="1" si="36"/>
        <v>0</v>
      </c>
      <c r="E235" s="117">
        <f t="shared" ca="1" si="37"/>
        <v>1</v>
      </c>
      <c r="F235" s="438"/>
      <c r="G235" s="71"/>
      <c r="H235" s="72" t="s">
        <v>112</v>
      </c>
      <c r="I235" s="73" t="str">
        <f ca="1">IF(H235="Unidade Construtiva",TEXT(A235,"00"),IF(H235="Célula Construtiva",TEXT(B235,"00"),IF(H235="Etapa",CONCATENATE(TEXT(B235,"00"),".",TEXT(C235,"000")),IF(H235="Subetapa",CONCATENATE(TEXT(B235,"00"),".",TEXT(C235,"000"),".",TEXT(D235,"000")),IF(H235="Serviço",CONCATENATE(TEXT(B235,"00"),".",TEXT(C235,"000"),".",TEXT(D235,"000"),".",TEXT(E235,"000")),"")))))</f>
        <v>12.001</v>
      </c>
      <c r="J235" s="74" t="s">
        <v>95</v>
      </c>
      <c r="K235" s="75"/>
      <c r="L235" s="114"/>
      <c r="M235" s="114"/>
      <c r="N235" s="94">
        <f t="shared" ca="1" si="38"/>
        <v>0</v>
      </c>
      <c r="O235" s="121"/>
      <c r="P235" s="76"/>
      <c r="Q235" s="418"/>
      <c r="R235" s="26"/>
      <c r="S235" s="26"/>
    </row>
    <row r="236" spans="1:19" s="25" customFormat="1" ht="13.9" hidden="1" customHeight="1" outlineLevel="1" x14ac:dyDescent="0.2">
      <c r="A236" s="116">
        <f ca="1">IF($H236="UNIDADE CONSTRUTIVA",OFFSET(A236,-1,0)+1,LARGE(A$3:A235,1))</f>
        <v>0</v>
      </c>
      <c r="B236" s="116">
        <f t="shared" ca="1" si="34"/>
        <v>12</v>
      </c>
      <c r="C236" s="116">
        <f t="shared" ca="1" si="35"/>
        <v>1</v>
      </c>
      <c r="D236" s="117">
        <f t="shared" ca="1" si="36"/>
        <v>1</v>
      </c>
      <c r="E236" s="117">
        <f t="shared" ca="1" si="37"/>
        <v>0</v>
      </c>
      <c r="F236" s="438"/>
      <c r="G236" s="71"/>
      <c r="H236" s="72" t="s">
        <v>113</v>
      </c>
      <c r="I236" s="73" t="str">
        <f t="shared" ref="I236:I242" ca="1" si="42">IF(H236="Unidade Construtiva",TEXT(A236,"00"),IF(H236="Célula Construtiva",TEXT(B236,"00"),IF(H236="Etapa",CONCATENATE(TEXT(B236,"00"),".",TEXT(C236,"000")),IF(H236="Subetapa",CONCATENATE(TEXT(B236,"00"),".",TEXT(C236,"000"),".",TEXT(D236,"000")),IF(H236="Serviço",CONCATENATE(TEXT(B236,"00"),".",TEXT(C236,"000"),".",TEXT(D236,"000"),".",TEXT(E236,"000")),"")))))</f>
        <v>12.001.001</v>
      </c>
      <c r="J236" s="74" t="s">
        <v>1902</v>
      </c>
      <c r="K236" s="75"/>
      <c r="L236" s="114"/>
      <c r="M236" s="114"/>
      <c r="N236" s="94">
        <f t="shared" ca="1" si="38"/>
        <v>0</v>
      </c>
      <c r="O236" s="121"/>
      <c r="P236" s="76"/>
      <c r="Q236" s="418"/>
      <c r="R236" s="26"/>
      <c r="S236" s="26"/>
    </row>
    <row r="237" spans="1:19" s="25" customFormat="1" ht="13.9" hidden="1" customHeight="1" outlineLevel="2" x14ac:dyDescent="0.2">
      <c r="A237" s="116">
        <f ca="1">IF($H237="UNIDADE CONSTRUTIVA",OFFSET(A237,-1,0)+1,LARGE(A$3:A236,1))</f>
        <v>0</v>
      </c>
      <c r="B237" s="116">
        <f t="shared" ca="1" si="34"/>
        <v>12</v>
      </c>
      <c r="C237" s="116">
        <f t="shared" ca="1" si="35"/>
        <v>1</v>
      </c>
      <c r="D237" s="117">
        <f t="shared" ca="1" si="36"/>
        <v>1</v>
      </c>
      <c r="E237" s="117">
        <f t="shared" ca="1" si="37"/>
        <v>1</v>
      </c>
      <c r="F237" s="438"/>
      <c r="G237" s="71"/>
      <c r="H237" s="72" t="s">
        <v>114</v>
      </c>
      <c r="I237" s="73" t="str">
        <f t="shared" ca="1" si="42"/>
        <v>12.001.001.001</v>
      </c>
      <c r="J237" s="74" t="s">
        <v>164</v>
      </c>
      <c r="K237" s="75" t="s">
        <v>67</v>
      </c>
      <c r="L237" s="114">
        <v>1</v>
      </c>
      <c r="M237" s="114"/>
      <c r="N237" s="94">
        <f t="shared" si="38"/>
        <v>0</v>
      </c>
      <c r="O237" s="121"/>
      <c r="P237" s="76"/>
      <c r="Q237" s="418"/>
      <c r="R237" s="26"/>
      <c r="S237" s="26"/>
    </row>
    <row r="238" spans="1:19" s="25" customFormat="1" ht="13.9" hidden="1" customHeight="1" outlineLevel="2" x14ac:dyDescent="0.2">
      <c r="A238" s="116">
        <f ca="1">IF($H238="UNIDADE CONSTRUTIVA",OFFSET(A238,-1,0)+1,LARGE(A$3:A237,1))</f>
        <v>0</v>
      </c>
      <c r="B238" s="116">
        <f t="shared" ca="1" si="34"/>
        <v>12</v>
      </c>
      <c r="C238" s="116">
        <f t="shared" ca="1" si="35"/>
        <v>1</v>
      </c>
      <c r="D238" s="117">
        <f t="shared" ca="1" si="36"/>
        <v>1</v>
      </c>
      <c r="E238" s="117">
        <f t="shared" ca="1" si="37"/>
        <v>2</v>
      </c>
      <c r="F238" s="438"/>
      <c r="G238" s="71"/>
      <c r="H238" s="72" t="s">
        <v>114</v>
      </c>
      <c r="I238" s="73" t="str">
        <f t="shared" ca="1" si="42"/>
        <v>12.001.001.002</v>
      </c>
      <c r="J238" s="74" t="s">
        <v>1836</v>
      </c>
      <c r="K238" s="75" t="s">
        <v>67</v>
      </c>
      <c r="L238" s="114">
        <v>1</v>
      </c>
      <c r="M238" s="114"/>
      <c r="N238" s="94">
        <f t="shared" si="38"/>
        <v>0</v>
      </c>
      <c r="O238" s="121" t="s">
        <v>2067</v>
      </c>
      <c r="P238" s="76"/>
      <c r="Q238" s="418"/>
      <c r="R238" s="26"/>
      <c r="S238" s="26"/>
    </row>
    <row r="239" spans="1:19" s="25" customFormat="1" ht="13.9" hidden="1" customHeight="1" outlineLevel="1" x14ac:dyDescent="0.2">
      <c r="A239" s="116">
        <f ca="1">IF($H239="UNIDADE CONSTRUTIVA",OFFSET(A239,-1,0)+1,LARGE(A$3:A238,1))</f>
        <v>0</v>
      </c>
      <c r="B239" s="116">
        <f t="shared" ca="1" si="34"/>
        <v>12</v>
      </c>
      <c r="C239" s="116">
        <f t="shared" ca="1" si="35"/>
        <v>1</v>
      </c>
      <c r="D239" s="117">
        <f t="shared" ca="1" si="36"/>
        <v>2</v>
      </c>
      <c r="E239" s="117">
        <f t="shared" ca="1" si="37"/>
        <v>0</v>
      </c>
      <c r="F239" s="438"/>
      <c r="G239" s="71"/>
      <c r="H239" s="72" t="s">
        <v>113</v>
      </c>
      <c r="I239" s="73" t="str">
        <f ca="1">IF(H239="Unidade Construtiva",TEXT(A239,"00"),IF(H239="Célula Construtiva",TEXT(B239,"00"),IF(H239="Etapa",CONCATENATE(TEXT(B239,"00"),".",TEXT(C239,"000")),IF(H239="Subetapa",CONCATENATE(TEXT(B239,"00"),".",TEXT(C239,"000"),".",TEXT(D239,"000")),IF(H239="Serviço",CONCATENATE(TEXT(B239,"00"),".",TEXT(C239,"000"),".",TEXT(D239,"000"),".",TEXT(E239,"000")),"")))))</f>
        <v>12.001.002</v>
      </c>
      <c r="J239" s="74" t="s">
        <v>2065</v>
      </c>
      <c r="K239" s="75"/>
      <c r="L239" s="114"/>
      <c r="M239" s="114"/>
      <c r="N239" s="94">
        <f t="shared" ca="1" si="38"/>
        <v>0</v>
      </c>
      <c r="O239" s="121"/>
      <c r="P239" s="76"/>
      <c r="Q239" s="418"/>
      <c r="R239" s="26"/>
      <c r="S239" s="26"/>
    </row>
    <row r="240" spans="1:19" s="25" customFormat="1" ht="13.9" hidden="1" customHeight="1" outlineLevel="2" x14ac:dyDescent="0.2">
      <c r="A240" s="116">
        <f ca="1">IF($H240="UNIDADE CONSTRUTIVA",OFFSET(A240,-1,0)+1,LARGE(A$3:A239,1))</f>
        <v>0</v>
      </c>
      <c r="B240" s="116">
        <f t="shared" ca="1" si="34"/>
        <v>12</v>
      </c>
      <c r="C240" s="116">
        <f t="shared" ca="1" si="35"/>
        <v>1</v>
      </c>
      <c r="D240" s="117">
        <f t="shared" ca="1" si="36"/>
        <v>2</v>
      </c>
      <c r="E240" s="117">
        <f t="shared" ca="1" si="37"/>
        <v>1</v>
      </c>
      <c r="F240" s="438"/>
      <c r="G240" s="71"/>
      <c r="H240" s="72" t="s">
        <v>114</v>
      </c>
      <c r="I240" s="73" t="str">
        <f ca="1">IF(H240="Unidade Construtiva",TEXT(A240,"00"),IF(H240="Célula Construtiva",TEXT(B240,"00"),IF(H240="Etapa",CONCATENATE(TEXT(B240,"00"),".",TEXT(C240,"000")),IF(H240="Subetapa",CONCATENATE(TEXT(B240,"00"),".",TEXT(C240,"000"),".",TEXT(D240,"000")),IF(H240="Serviço",CONCATENATE(TEXT(B240,"00"),".",TEXT(C240,"000"),".",TEXT(D240,"000"),".",TEXT(E240,"000")),"")))))</f>
        <v>12.001.002.001</v>
      </c>
      <c r="J240" s="74" t="s">
        <v>161</v>
      </c>
      <c r="K240" s="75" t="s">
        <v>67</v>
      </c>
      <c r="L240" s="114">
        <v>1</v>
      </c>
      <c r="M240" s="114"/>
      <c r="N240" s="94">
        <f t="shared" si="38"/>
        <v>0</v>
      </c>
      <c r="O240" s="121"/>
      <c r="P240" s="76"/>
      <c r="Q240" s="418"/>
      <c r="R240" s="26"/>
      <c r="S240" s="26"/>
    </row>
    <row r="241" spans="1:19" s="25" customFormat="1" ht="13.9" hidden="1" customHeight="1" outlineLevel="1" x14ac:dyDescent="0.2">
      <c r="A241" s="116">
        <f ca="1">IF($H241="UNIDADE CONSTRUTIVA",OFFSET(A241,-1,0)+1,LARGE(A$3:A240,1))</f>
        <v>0</v>
      </c>
      <c r="B241" s="116">
        <f t="shared" ca="1" si="34"/>
        <v>12</v>
      </c>
      <c r="C241" s="116">
        <f t="shared" ca="1" si="35"/>
        <v>1</v>
      </c>
      <c r="D241" s="117">
        <f t="shared" ca="1" si="36"/>
        <v>3</v>
      </c>
      <c r="E241" s="117">
        <f t="shared" ca="1" si="37"/>
        <v>0</v>
      </c>
      <c r="F241" s="438"/>
      <c r="G241" s="71"/>
      <c r="H241" s="72" t="s">
        <v>113</v>
      </c>
      <c r="I241" s="73" t="str">
        <f t="shared" ca="1" si="42"/>
        <v>12.001.003</v>
      </c>
      <c r="J241" s="74" t="s">
        <v>1903</v>
      </c>
      <c r="K241" s="75"/>
      <c r="L241" s="114"/>
      <c r="M241" s="114"/>
      <c r="N241" s="94">
        <f t="shared" ca="1" si="38"/>
        <v>0</v>
      </c>
      <c r="O241" s="121"/>
      <c r="P241" s="76"/>
      <c r="Q241" s="418"/>
      <c r="R241" s="26"/>
      <c r="S241" s="26"/>
    </row>
    <row r="242" spans="1:19" s="25" customFormat="1" ht="13.9" hidden="1" customHeight="1" outlineLevel="2" x14ac:dyDescent="0.2">
      <c r="A242" s="116">
        <f ca="1">IF($H242="UNIDADE CONSTRUTIVA",OFFSET(A242,-1,0)+1,LARGE(A$3:A241,1))</f>
        <v>0</v>
      </c>
      <c r="B242" s="116">
        <f t="shared" ca="1" si="34"/>
        <v>12</v>
      </c>
      <c r="C242" s="116">
        <f t="shared" ca="1" si="35"/>
        <v>1</v>
      </c>
      <c r="D242" s="117">
        <f t="shared" ca="1" si="36"/>
        <v>3</v>
      </c>
      <c r="E242" s="117">
        <f t="shared" ca="1" si="37"/>
        <v>1</v>
      </c>
      <c r="F242" s="438"/>
      <c r="G242" s="71"/>
      <c r="H242" s="72" t="s">
        <v>114</v>
      </c>
      <c r="I242" s="73" t="str">
        <f t="shared" ca="1" si="42"/>
        <v>12.001.003.001</v>
      </c>
      <c r="J242" s="74" t="s">
        <v>1903</v>
      </c>
      <c r="K242" s="75" t="s">
        <v>2</v>
      </c>
      <c r="L242" s="114"/>
      <c r="M242" s="114"/>
      <c r="N242" s="94">
        <f t="shared" si="38"/>
        <v>0</v>
      </c>
      <c r="O242" s="121" t="s">
        <v>2066</v>
      </c>
      <c r="P242" s="76"/>
      <c r="Q242" s="418"/>
      <c r="R242" s="26"/>
      <c r="S242" s="26"/>
    </row>
    <row r="243" spans="1:19" s="25" customFormat="1" ht="13.9" hidden="1" customHeight="1" outlineLevel="1" x14ac:dyDescent="0.2">
      <c r="A243" s="116">
        <f ca="1">IF($H243="UNIDADE CONSTRUTIVA",OFFSET(A243,-1,0)+1,LARGE(A$3:A242,1))</f>
        <v>0</v>
      </c>
      <c r="B243" s="116">
        <f t="shared" ca="1" si="34"/>
        <v>12</v>
      </c>
      <c r="C243" s="116">
        <f t="shared" ca="1" si="35"/>
        <v>1</v>
      </c>
      <c r="D243" s="117">
        <f t="shared" ca="1" si="36"/>
        <v>4</v>
      </c>
      <c r="E243" s="117">
        <f t="shared" ca="1" si="37"/>
        <v>0</v>
      </c>
      <c r="F243" s="438"/>
      <c r="G243" s="71"/>
      <c r="H243" s="72" t="s">
        <v>113</v>
      </c>
      <c r="I243" s="73" t="str">
        <f t="shared" ref="I243:I279" ca="1" si="43">IF(H243="Unidade Construtiva",TEXT(A243,"00"),IF(H243="Célula Construtiva",TEXT(B243,"00"),IF(H243="Etapa",CONCATENATE(TEXT(B243,"00"),".",TEXT(C243,"000")),IF(H243="Subetapa",CONCATENATE(TEXT(B243,"00"),".",TEXT(C243,"000"),".",TEXT(D243,"000")),IF(H243="Serviço",CONCATENATE(TEXT(B243,"00"),".",TEXT(C243,"000"),".",TEXT(D243,"000"),".",TEXT(E243,"000")),"")))))</f>
        <v>12.001.004</v>
      </c>
      <c r="J243" s="74" t="s">
        <v>54</v>
      </c>
      <c r="K243" s="75"/>
      <c r="L243" s="114"/>
      <c r="M243" s="114"/>
      <c r="N243" s="94">
        <f t="shared" ca="1" si="38"/>
        <v>0</v>
      </c>
      <c r="O243" s="121"/>
      <c r="P243" s="76"/>
      <c r="Q243" s="418"/>
      <c r="R243" s="26"/>
      <c r="S243" s="26"/>
    </row>
    <row r="244" spans="1:19" s="25" customFormat="1" ht="13.9" hidden="1" customHeight="1" outlineLevel="2" x14ac:dyDescent="0.2">
      <c r="A244" s="116">
        <f ca="1">IF($H244="UNIDADE CONSTRUTIVA",OFFSET(A244,-1,0)+1,LARGE(A$3:A243,1))</f>
        <v>0</v>
      </c>
      <c r="B244" s="116">
        <f t="shared" ca="1" si="34"/>
        <v>12</v>
      </c>
      <c r="C244" s="116">
        <f t="shared" ca="1" si="35"/>
        <v>1</v>
      </c>
      <c r="D244" s="117">
        <f t="shared" ca="1" si="36"/>
        <v>4</v>
      </c>
      <c r="E244" s="117">
        <f t="shared" ca="1" si="37"/>
        <v>1</v>
      </c>
      <c r="F244" s="438"/>
      <c r="G244" s="71"/>
      <c r="H244" s="72" t="s">
        <v>114</v>
      </c>
      <c r="I244" s="73" t="str">
        <f t="shared" ca="1" si="43"/>
        <v>12.001.004.001</v>
      </c>
      <c r="J244" s="74" t="s">
        <v>2069</v>
      </c>
      <c r="K244" s="75" t="s">
        <v>67</v>
      </c>
      <c r="L244" s="114">
        <v>1</v>
      </c>
      <c r="M244" s="114"/>
      <c r="N244" s="94">
        <f t="shared" si="38"/>
        <v>0</v>
      </c>
      <c r="O244" s="121" t="s">
        <v>2379</v>
      </c>
      <c r="P244" s="76"/>
      <c r="Q244" s="418"/>
      <c r="R244" s="26"/>
      <c r="S244" s="26"/>
    </row>
    <row r="245" spans="1:19" s="25" customFormat="1" ht="13.9" customHeight="1" collapsed="1" x14ac:dyDescent="0.2">
      <c r="A245" s="116">
        <f ca="1">IF($H245="UNIDADE CONSTRUTIVA",OFFSET(A245,-1,0)+1,LARGE(A$3:A244,1))</f>
        <v>0</v>
      </c>
      <c r="B245" s="116">
        <f t="shared" ca="1" si="34"/>
        <v>13</v>
      </c>
      <c r="C245" s="116">
        <f t="shared" ca="1" si="35"/>
        <v>0</v>
      </c>
      <c r="D245" s="117">
        <f t="shared" ca="1" si="36"/>
        <v>4</v>
      </c>
      <c r="E245" s="117">
        <f t="shared" ca="1" si="37"/>
        <v>1</v>
      </c>
      <c r="F245" s="517"/>
      <c r="G245" s="71"/>
      <c r="H245" s="72" t="s">
        <v>111</v>
      </c>
      <c r="I245" s="73" t="str">
        <f t="shared" ca="1" si="43"/>
        <v>13</v>
      </c>
      <c r="J245" s="74" t="s">
        <v>1276</v>
      </c>
      <c r="K245" s="75"/>
      <c r="L245" s="114"/>
      <c r="M245" s="114"/>
      <c r="N245" s="94">
        <f t="shared" ca="1" si="38"/>
        <v>0</v>
      </c>
      <c r="O245" s="121">
        <f ca="1">N245/'Obra '!$E$9</f>
        <v>0</v>
      </c>
      <c r="P245" s="76"/>
      <c r="Q245" s="418" t="s">
        <v>1276</v>
      </c>
      <c r="R245" s="122"/>
      <c r="S245" s="26"/>
    </row>
    <row r="246" spans="1:19" s="25" customFormat="1" ht="13.9" hidden="1" customHeight="1" outlineLevel="1" x14ac:dyDescent="0.2">
      <c r="A246" s="116">
        <f ca="1">IF($H246="UNIDADE CONSTRUTIVA",OFFSET(A246,-1,0)+1,LARGE(A$3:A245,1))</f>
        <v>0</v>
      </c>
      <c r="B246" s="116">
        <f t="shared" ca="1" si="34"/>
        <v>13</v>
      </c>
      <c r="C246" s="116">
        <f t="shared" ca="1" si="35"/>
        <v>1</v>
      </c>
      <c r="D246" s="117">
        <f t="shared" ca="1" si="36"/>
        <v>0</v>
      </c>
      <c r="E246" s="117">
        <f t="shared" ca="1" si="37"/>
        <v>1</v>
      </c>
      <c r="F246" s="438"/>
      <c r="G246" s="71"/>
      <c r="H246" s="72" t="s">
        <v>112</v>
      </c>
      <c r="I246" s="73" t="str">
        <f t="shared" ca="1" si="43"/>
        <v>13.001</v>
      </c>
      <c r="J246" s="74" t="s">
        <v>1277</v>
      </c>
      <c r="K246" s="75"/>
      <c r="L246" s="114"/>
      <c r="M246" s="114"/>
      <c r="N246" s="94">
        <f t="shared" ca="1" si="38"/>
        <v>0</v>
      </c>
      <c r="O246" s="121"/>
      <c r="P246" s="76"/>
      <c r="Q246" s="418"/>
      <c r="R246" s="26"/>
      <c r="S246" s="26"/>
    </row>
    <row r="247" spans="1:19" s="25" customFormat="1" ht="13.5" hidden="1" customHeight="1" outlineLevel="1" x14ac:dyDescent="0.2">
      <c r="A247" s="116">
        <f ca="1">IF($H247="UNIDADE CONSTRUTIVA",OFFSET(A247,-1,0)+1,LARGE(A$3:A246,1))</f>
        <v>0</v>
      </c>
      <c r="B247" s="116">
        <f t="shared" ca="1" si="34"/>
        <v>13</v>
      </c>
      <c r="C247" s="116">
        <f t="shared" ca="1" si="35"/>
        <v>1</v>
      </c>
      <c r="D247" s="117">
        <f t="shared" ca="1" si="36"/>
        <v>1</v>
      </c>
      <c r="E247" s="117">
        <f t="shared" ca="1" si="37"/>
        <v>0</v>
      </c>
      <c r="F247" s="438"/>
      <c r="G247" s="71"/>
      <c r="H247" s="72" t="s">
        <v>113</v>
      </c>
      <c r="I247" s="73" t="str">
        <f t="shared" ca="1" si="43"/>
        <v>13.001.001</v>
      </c>
      <c r="J247" s="74" t="s">
        <v>91</v>
      </c>
      <c r="K247" s="75"/>
      <c r="L247" s="114"/>
      <c r="M247" s="114"/>
      <c r="N247" s="94">
        <f t="shared" ca="1" si="38"/>
        <v>0</v>
      </c>
      <c r="O247" s="121"/>
      <c r="P247" s="76"/>
      <c r="Q247" s="418"/>
      <c r="R247" s="26"/>
      <c r="S247" s="26"/>
    </row>
    <row r="248" spans="1:19" s="25" customFormat="1" ht="13.5" hidden="1" customHeight="1" outlineLevel="2" x14ac:dyDescent="0.2">
      <c r="A248" s="116">
        <f ca="1">IF($H248="UNIDADE CONSTRUTIVA",OFFSET(A248,-1,0)+1,LARGE(A$3:A247,1))</f>
        <v>0</v>
      </c>
      <c r="B248" s="116">
        <f t="shared" ca="1" si="34"/>
        <v>13</v>
      </c>
      <c r="C248" s="116">
        <f t="shared" ca="1" si="35"/>
        <v>1</v>
      </c>
      <c r="D248" s="117">
        <f t="shared" ca="1" si="36"/>
        <v>1</v>
      </c>
      <c r="E248" s="117">
        <f t="shared" ca="1" si="37"/>
        <v>1</v>
      </c>
      <c r="F248" s="438"/>
      <c r="G248" s="71"/>
      <c r="H248" s="72" t="s">
        <v>114</v>
      </c>
      <c r="I248" s="73" t="str">
        <f t="shared" ca="1" si="43"/>
        <v>13.001.001.001</v>
      </c>
      <c r="J248" s="74" t="s">
        <v>91</v>
      </c>
      <c r="K248" s="75" t="s">
        <v>67</v>
      </c>
      <c r="L248" s="114">
        <v>1</v>
      </c>
      <c r="M248" s="114"/>
      <c r="N248" s="94">
        <f t="shared" si="38"/>
        <v>0</v>
      </c>
      <c r="O248" s="121" t="s">
        <v>2542</v>
      </c>
      <c r="P248" s="76"/>
      <c r="Q248" s="418"/>
      <c r="R248" s="26"/>
      <c r="S248" s="26"/>
    </row>
    <row r="249" spans="1:19" s="25" customFormat="1" ht="13.5" hidden="1" customHeight="1" outlineLevel="1" x14ac:dyDescent="0.2">
      <c r="A249" s="116">
        <f ca="1">IF($H249="UNIDADE CONSTRUTIVA",OFFSET(A249,-1,0)+1,LARGE(A$3:A248,1))</f>
        <v>0</v>
      </c>
      <c r="B249" s="116">
        <f t="shared" ca="1" si="34"/>
        <v>13</v>
      </c>
      <c r="C249" s="116">
        <f t="shared" ca="1" si="35"/>
        <v>1</v>
      </c>
      <c r="D249" s="117">
        <f t="shared" ca="1" si="36"/>
        <v>2</v>
      </c>
      <c r="E249" s="117">
        <f t="shared" ca="1" si="37"/>
        <v>0</v>
      </c>
      <c r="F249" s="438"/>
      <c r="G249" s="71"/>
      <c r="H249" s="72" t="s">
        <v>113</v>
      </c>
      <c r="I249" s="73" t="str">
        <f t="shared" ca="1" si="43"/>
        <v>13.001.002</v>
      </c>
      <c r="J249" s="74" t="s">
        <v>159</v>
      </c>
      <c r="K249" s="75"/>
      <c r="L249" s="114"/>
      <c r="M249" s="114"/>
      <c r="N249" s="94">
        <f t="shared" ca="1" si="38"/>
        <v>0</v>
      </c>
      <c r="O249" s="121"/>
      <c r="P249" s="76"/>
      <c r="Q249" s="418"/>
      <c r="R249" s="26"/>
      <c r="S249" s="26"/>
    </row>
    <row r="250" spans="1:19" s="25" customFormat="1" ht="13.5" hidden="1" customHeight="1" outlineLevel="2" x14ac:dyDescent="0.2">
      <c r="A250" s="116">
        <f ca="1">IF($H250="UNIDADE CONSTRUTIVA",OFFSET(A250,-1,0)+1,LARGE(A$3:A249,1))</f>
        <v>0</v>
      </c>
      <c r="B250" s="116">
        <f t="shared" ca="1" si="34"/>
        <v>13</v>
      </c>
      <c r="C250" s="116">
        <f t="shared" ca="1" si="35"/>
        <v>1</v>
      </c>
      <c r="D250" s="117">
        <f t="shared" ca="1" si="36"/>
        <v>2</v>
      </c>
      <c r="E250" s="117">
        <f t="shared" ca="1" si="37"/>
        <v>1</v>
      </c>
      <c r="F250" s="438"/>
      <c r="G250" s="71"/>
      <c r="H250" s="72" t="s">
        <v>114</v>
      </c>
      <c r="I250" s="73" t="str">
        <f t="shared" ca="1" si="43"/>
        <v>13.001.002.001</v>
      </c>
      <c r="J250" s="74" t="s">
        <v>159</v>
      </c>
      <c r="K250" s="75" t="s">
        <v>67</v>
      </c>
      <c r="L250" s="114">
        <v>1</v>
      </c>
      <c r="M250" s="114"/>
      <c r="N250" s="94">
        <f t="shared" si="38"/>
        <v>0</v>
      </c>
      <c r="O250" s="121" t="s">
        <v>2541</v>
      </c>
      <c r="P250" s="76"/>
      <c r="Q250" s="418"/>
      <c r="R250" s="26"/>
      <c r="S250" s="26"/>
    </row>
    <row r="251" spans="1:19" s="25" customFormat="1" ht="13.5" hidden="1" customHeight="1" outlineLevel="1" x14ac:dyDescent="0.2">
      <c r="A251" s="116">
        <f ca="1">IF($H251="UNIDADE CONSTRUTIVA",OFFSET(A251,-1,0)+1,LARGE(A$3:A250,1))</f>
        <v>0</v>
      </c>
      <c r="B251" s="116">
        <f t="shared" ca="1" si="34"/>
        <v>13</v>
      </c>
      <c r="C251" s="116">
        <f t="shared" ca="1" si="35"/>
        <v>1</v>
      </c>
      <c r="D251" s="117">
        <f t="shared" ca="1" si="36"/>
        <v>3</v>
      </c>
      <c r="E251" s="117">
        <f t="shared" ca="1" si="37"/>
        <v>0</v>
      </c>
      <c r="F251" s="438"/>
      <c r="G251" s="71"/>
      <c r="H251" s="72" t="s">
        <v>113</v>
      </c>
      <c r="I251" s="73" t="str">
        <f t="shared" ca="1" si="43"/>
        <v>13.001.003</v>
      </c>
      <c r="J251" s="74" t="s">
        <v>1898</v>
      </c>
      <c r="K251" s="75"/>
      <c r="L251" s="114"/>
      <c r="M251" s="114"/>
      <c r="N251" s="94">
        <f t="shared" ca="1" si="38"/>
        <v>0</v>
      </c>
      <c r="O251" s="121"/>
      <c r="P251" s="76"/>
      <c r="Q251" s="418"/>
      <c r="R251" s="26"/>
      <c r="S251" s="26"/>
    </row>
    <row r="252" spans="1:19" s="25" customFormat="1" ht="13.5" hidden="1" customHeight="1" outlineLevel="2" x14ac:dyDescent="0.2">
      <c r="A252" s="116">
        <f ca="1">IF($H252="UNIDADE CONSTRUTIVA",OFFSET(A252,-1,0)+1,LARGE(A$3:A251,1))</f>
        <v>0</v>
      </c>
      <c r="B252" s="116">
        <f t="shared" ca="1" si="34"/>
        <v>13</v>
      </c>
      <c r="C252" s="116">
        <f t="shared" ca="1" si="35"/>
        <v>1</v>
      </c>
      <c r="D252" s="117">
        <f t="shared" ca="1" si="36"/>
        <v>3</v>
      </c>
      <c r="E252" s="117">
        <f t="shared" ca="1" si="37"/>
        <v>1</v>
      </c>
      <c r="F252" s="438"/>
      <c r="G252" s="71"/>
      <c r="H252" s="72" t="s">
        <v>114</v>
      </c>
      <c r="I252" s="73" t="str">
        <f t="shared" ca="1" si="43"/>
        <v>13.001.003.001</v>
      </c>
      <c r="J252" s="74" t="s">
        <v>1898</v>
      </c>
      <c r="K252" s="75" t="s">
        <v>67</v>
      </c>
      <c r="L252" s="114">
        <v>1</v>
      </c>
      <c r="M252" s="114"/>
      <c r="N252" s="94">
        <f t="shared" si="38"/>
        <v>0</v>
      </c>
      <c r="O252" s="121" t="s">
        <v>2539</v>
      </c>
      <c r="P252" s="76"/>
      <c r="Q252" s="418"/>
      <c r="R252" s="26"/>
      <c r="S252" s="26"/>
    </row>
    <row r="253" spans="1:19" s="25" customFormat="1" ht="13.5" hidden="1" customHeight="1" outlineLevel="1" x14ac:dyDescent="0.2">
      <c r="A253" s="116">
        <f ca="1">IF($H253="UNIDADE CONSTRUTIVA",OFFSET(A253,-1,0)+1,LARGE(A$3:A252,1))</f>
        <v>0</v>
      </c>
      <c r="B253" s="116">
        <f t="shared" ca="1" si="34"/>
        <v>13</v>
      </c>
      <c r="C253" s="116">
        <f t="shared" ca="1" si="35"/>
        <v>1</v>
      </c>
      <c r="D253" s="117">
        <f t="shared" ca="1" si="36"/>
        <v>4</v>
      </c>
      <c r="E253" s="117">
        <f t="shared" ca="1" si="37"/>
        <v>0</v>
      </c>
      <c r="F253" s="438"/>
      <c r="G253" s="71"/>
      <c r="H253" s="72" t="s">
        <v>113</v>
      </c>
      <c r="I253" s="73" t="str">
        <f t="shared" ca="1" si="43"/>
        <v>13.001.004</v>
      </c>
      <c r="J253" s="74" t="s">
        <v>1899</v>
      </c>
      <c r="K253" s="75"/>
      <c r="L253" s="114"/>
      <c r="M253" s="114"/>
      <c r="N253" s="94">
        <f t="shared" ca="1" si="38"/>
        <v>0</v>
      </c>
      <c r="O253" s="121"/>
      <c r="P253" s="76"/>
      <c r="Q253" s="418"/>
      <c r="R253" s="26"/>
      <c r="S253" s="26"/>
    </row>
    <row r="254" spans="1:19" s="25" customFormat="1" ht="13.5" hidden="1" customHeight="1" outlineLevel="2" x14ac:dyDescent="0.2">
      <c r="A254" s="116">
        <f ca="1">IF($H254="UNIDADE CONSTRUTIVA",OFFSET(A254,-1,0)+1,LARGE(A$3:A253,1))</f>
        <v>0</v>
      </c>
      <c r="B254" s="116">
        <f t="shared" ca="1" si="34"/>
        <v>13</v>
      </c>
      <c r="C254" s="116">
        <f t="shared" ca="1" si="35"/>
        <v>1</v>
      </c>
      <c r="D254" s="117">
        <f t="shared" ca="1" si="36"/>
        <v>4</v>
      </c>
      <c r="E254" s="117">
        <f t="shared" ca="1" si="37"/>
        <v>1</v>
      </c>
      <c r="F254" s="438"/>
      <c r="G254" s="71"/>
      <c r="H254" s="72" t="s">
        <v>114</v>
      </c>
      <c r="I254" s="73" t="str">
        <f t="shared" ca="1" si="43"/>
        <v>13.001.004.001</v>
      </c>
      <c r="J254" s="74" t="s">
        <v>1899</v>
      </c>
      <c r="K254" s="75" t="s">
        <v>67</v>
      </c>
      <c r="L254" s="114">
        <v>1</v>
      </c>
      <c r="M254" s="114"/>
      <c r="N254" s="94">
        <f t="shared" si="38"/>
        <v>0</v>
      </c>
      <c r="O254" s="121" t="s">
        <v>2539</v>
      </c>
      <c r="P254" s="76"/>
      <c r="Q254" s="418"/>
      <c r="R254" s="26"/>
      <c r="S254" s="26"/>
    </row>
    <row r="255" spans="1:19" s="25" customFormat="1" ht="13.5" hidden="1" customHeight="1" outlineLevel="1" x14ac:dyDescent="0.2">
      <c r="A255" s="116">
        <f ca="1">IF($H255="UNIDADE CONSTRUTIVA",OFFSET(A255,-1,0)+1,LARGE(A$3:A254,1))</f>
        <v>0</v>
      </c>
      <c r="B255" s="116">
        <f t="shared" ca="1" si="34"/>
        <v>13</v>
      </c>
      <c r="C255" s="116">
        <f t="shared" ca="1" si="35"/>
        <v>1</v>
      </c>
      <c r="D255" s="117">
        <f t="shared" ca="1" si="36"/>
        <v>5</v>
      </c>
      <c r="E255" s="117">
        <f t="shared" ca="1" si="37"/>
        <v>0</v>
      </c>
      <c r="F255" s="438"/>
      <c r="G255" s="71"/>
      <c r="H255" s="72" t="s">
        <v>113</v>
      </c>
      <c r="I255" s="73" t="str">
        <f ca="1">IF(H255="Unidade Construtiva",TEXT(A255,"00"),IF(H255="Célula Construtiva",TEXT(B255,"00"),IF(H255="Etapa",CONCATENATE(TEXT(B255,"00"),".",TEXT(C255,"000")),IF(H255="Subetapa",CONCATENATE(TEXT(B255,"00"),".",TEXT(C255,"000"),".",TEXT(D255,"000")),IF(H255="Serviço",CONCATENATE(TEXT(B255,"00"),".",TEXT(C255,"000"),".",TEXT(D255,"000"),".",TEXT(E255,"000")),"")))))</f>
        <v>13.001.005</v>
      </c>
      <c r="J255" s="74" t="s">
        <v>2543</v>
      </c>
      <c r="K255" s="75"/>
      <c r="L255" s="114"/>
      <c r="M255" s="114"/>
      <c r="N255" s="94">
        <f t="shared" ca="1" si="38"/>
        <v>0</v>
      </c>
      <c r="O255" s="121"/>
      <c r="P255" s="76"/>
      <c r="Q255" s="418"/>
      <c r="R255" s="26"/>
      <c r="S255" s="26"/>
    </row>
    <row r="256" spans="1:19" s="25" customFormat="1" ht="13.5" hidden="1" customHeight="1" outlineLevel="2" x14ac:dyDescent="0.2">
      <c r="A256" s="116">
        <f ca="1">IF($H256="UNIDADE CONSTRUTIVA",OFFSET(A256,-1,0)+1,LARGE(A$3:A255,1))</f>
        <v>0</v>
      </c>
      <c r="B256" s="116">
        <f t="shared" ca="1" si="34"/>
        <v>13</v>
      </c>
      <c r="C256" s="116">
        <f t="shared" ca="1" si="35"/>
        <v>1</v>
      </c>
      <c r="D256" s="117">
        <f t="shared" ca="1" si="36"/>
        <v>5</v>
      </c>
      <c r="E256" s="117">
        <f t="shared" ca="1" si="37"/>
        <v>1</v>
      </c>
      <c r="F256" s="438"/>
      <c r="G256" s="71"/>
      <c r="H256" s="72" t="s">
        <v>114</v>
      </c>
      <c r="I256" s="73" t="str">
        <f ca="1">IF(H256="Unidade Construtiva",TEXT(A256,"00"),IF(H256="Célula Construtiva",TEXT(B256,"00"),IF(H256="Etapa",CONCATENATE(TEXT(B256,"00"),".",TEXT(C256,"000")),IF(H256="Subetapa",CONCATENATE(TEXT(B256,"00"),".",TEXT(C256,"000"),".",TEXT(D256,"000")),IF(H256="Serviço",CONCATENATE(TEXT(B256,"00"),".",TEXT(C256,"000"),".",TEXT(D256,"000"),".",TEXT(E256,"000")),"")))))</f>
        <v>13.001.005.001</v>
      </c>
      <c r="J256" s="74" t="s">
        <v>2544</v>
      </c>
      <c r="K256" s="75" t="s">
        <v>67</v>
      </c>
      <c r="L256" s="114">
        <v>1</v>
      </c>
      <c r="M256" s="114"/>
      <c r="N256" s="94">
        <f t="shared" si="38"/>
        <v>0</v>
      </c>
      <c r="O256" s="121" t="s">
        <v>2542</v>
      </c>
      <c r="P256" s="76"/>
      <c r="Q256" s="418"/>
      <c r="R256" s="26"/>
      <c r="S256" s="26"/>
    </row>
    <row r="257" spans="1:19" s="25" customFormat="1" ht="13.9" hidden="1" customHeight="1" outlineLevel="1" x14ac:dyDescent="0.2">
      <c r="A257" s="116">
        <f ca="1">IF($H257="UNIDADE CONSTRUTIVA",OFFSET(A257,-1,0)+1,LARGE(A$3:A256,1))</f>
        <v>0</v>
      </c>
      <c r="B257" s="116">
        <f t="shared" ca="1" si="34"/>
        <v>13</v>
      </c>
      <c r="C257" s="116">
        <f t="shared" ca="1" si="35"/>
        <v>2</v>
      </c>
      <c r="D257" s="117">
        <f t="shared" ca="1" si="36"/>
        <v>0</v>
      </c>
      <c r="E257" s="117">
        <f t="shared" ca="1" si="37"/>
        <v>1</v>
      </c>
      <c r="F257" s="438"/>
      <c r="G257" s="71"/>
      <c r="H257" s="72" t="s">
        <v>112</v>
      </c>
      <c r="I257" s="73" t="str">
        <f t="shared" ca="1" si="43"/>
        <v>13.002</v>
      </c>
      <c r="J257" s="74" t="s">
        <v>1900</v>
      </c>
      <c r="K257" s="75"/>
      <c r="L257" s="114"/>
      <c r="M257" s="114"/>
      <c r="N257" s="94">
        <f t="shared" ca="1" si="38"/>
        <v>0</v>
      </c>
      <c r="O257" s="121"/>
      <c r="P257" s="76"/>
      <c r="Q257" s="418"/>
      <c r="R257" s="26"/>
      <c r="S257" s="26"/>
    </row>
    <row r="258" spans="1:19" s="25" customFormat="1" ht="13.5" hidden="1" customHeight="1" outlineLevel="1" x14ac:dyDescent="0.2">
      <c r="A258" s="116">
        <f ca="1">IF($H258="UNIDADE CONSTRUTIVA",OFFSET(A258,-1,0)+1,LARGE(A$3:A257,1))</f>
        <v>0</v>
      </c>
      <c r="B258" s="116">
        <f t="shared" ca="1" si="34"/>
        <v>13</v>
      </c>
      <c r="C258" s="116">
        <f t="shared" ca="1" si="35"/>
        <v>2</v>
      </c>
      <c r="D258" s="117">
        <f t="shared" ca="1" si="36"/>
        <v>1</v>
      </c>
      <c r="E258" s="117">
        <f t="shared" ca="1" si="37"/>
        <v>0</v>
      </c>
      <c r="F258" s="438"/>
      <c r="G258" s="71"/>
      <c r="H258" s="72" t="s">
        <v>113</v>
      </c>
      <c r="I258" s="73" t="str">
        <f t="shared" ca="1" si="43"/>
        <v>13.002.001</v>
      </c>
      <c r="J258" s="74" t="s">
        <v>1901</v>
      </c>
      <c r="K258" s="75"/>
      <c r="L258" s="114"/>
      <c r="M258" s="114"/>
      <c r="N258" s="94">
        <f t="shared" ca="1" si="38"/>
        <v>0</v>
      </c>
      <c r="O258" s="121"/>
      <c r="P258" s="76"/>
      <c r="Q258" s="418"/>
      <c r="R258" s="26"/>
      <c r="S258" s="26"/>
    </row>
    <row r="259" spans="1:19" s="25" customFormat="1" ht="13.5" hidden="1" customHeight="1" outlineLevel="2" x14ac:dyDescent="0.2">
      <c r="A259" s="116">
        <f ca="1">IF($H259="UNIDADE CONSTRUTIVA",OFFSET(A259,-1,0)+1,LARGE(A$3:A258,1))</f>
        <v>0</v>
      </c>
      <c r="B259" s="116">
        <f t="shared" ca="1" si="34"/>
        <v>13</v>
      </c>
      <c r="C259" s="116">
        <f t="shared" ca="1" si="35"/>
        <v>2</v>
      </c>
      <c r="D259" s="117">
        <f t="shared" ca="1" si="36"/>
        <v>1</v>
      </c>
      <c r="E259" s="117">
        <f t="shared" ca="1" si="37"/>
        <v>1</v>
      </c>
      <c r="F259" s="438"/>
      <c r="G259" s="71"/>
      <c r="H259" s="72" t="s">
        <v>114</v>
      </c>
      <c r="I259" s="73" t="str">
        <f t="shared" ca="1" si="43"/>
        <v>13.002.001.001</v>
      </c>
      <c r="J259" s="74" t="s">
        <v>1901</v>
      </c>
      <c r="K259" s="75" t="s">
        <v>67</v>
      </c>
      <c r="L259" s="114">
        <v>1</v>
      </c>
      <c r="M259" s="114"/>
      <c r="N259" s="94">
        <f t="shared" si="38"/>
        <v>0</v>
      </c>
      <c r="O259" s="121" t="s">
        <v>2539</v>
      </c>
      <c r="P259" s="76"/>
      <c r="Q259" s="418"/>
      <c r="R259" s="26"/>
      <c r="S259" s="26"/>
    </row>
    <row r="260" spans="1:19" s="25" customFormat="1" ht="13.9" customHeight="1" collapsed="1" x14ac:dyDescent="0.2">
      <c r="A260" s="116">
        <f ca="1">IF($H260="UNIDADE CONSTRUTIVA",OFFSET(A260,-1,0)+1,LARGE(A$3:A259,1))</f>
        <v>0</v>
      </c>
      <c r="B260" s="116">
        <f t="shared" ca="1" si="34"/>
        <v>14</v>
      </c>
      <c r="C260" s="116">
        <f t="shared" ca="1" si="35"/>
        <v>0</v>
      </c>
      <c r="D260" s="117">
        <f t="shared" ca="1" si="36"/>
        <v>1</v>
      </c>
      <c r="E260" s="117">
        <f t="shared" ca="1" si="37"/>
        <v>1</v>
      </c>
      <c r="F260" s="523"/>
      <c r="G260" s="71"/>
      <c r="H260" s="72" t="s">
        <v>111</v>
      </c>
      <c r="I260" s="73" t="str">
        <f t="shared" ca="1" si="43"/>
        <v>14</v>
      </c>
      <c r="J260" s="74" t="s">
        <v>224</v>
      </c>
      <c r="K260" s="75"/>
      <c r="L260" s="114"/>
      <c r="M260" s="114"/>
      <c r="N260" s="94">
        <f t="shared" ca="1" si="38"/>
        <v>1323971.4069452165</v>
      </c>
      <c r="O260" s="121">
        <f ca="1">N260/'Obra '!$E$9</f>
        <v>190.81824557933706</v>
      </c>
      <c r="P260" s="76"/>
      <c r="Q260" s="418"/>
      <c r="R260" s="122"/>
      <c r="S260" s="26"/>
    </row>
    <row r="261" spans="1:19" s="25" customFormat="1" ht="13.9" hidden="1" customHeight="1" outlineLevel="1" x14ac:dyDescent="0.2">
      <c r="A261" s="116">
        <f ca="1">IF($H261="UNIDADE CONSTRUTIVA",OFFSET(A261,-1,0)+1,LARGE(A$3:A260,1))</f>
        <v>0</v>
      </c>
      <c r="B261" s="116">
        <f t="shared" ca="1" si="34"/>
        <v>14</v>
      </c>
      <c r="C261" s="116">
        <f t="shared" ca="1" si="35"/>
        <v>1</v>
      </c>
      <c r="D261" s="117">
        <f t="shared" ca="1" si="36"/>
        <v>0</v>
      </c>
      <c r="E261" s="117">
        <f t="shared" ca="1" si="37"/>
        <v>1</v>
      </c>
      <c r="F261" s="438"/>
      <c r="G261" s="71"/>
      <c r="H261" s="72" t="s">
        <v>112</v>
      </c>
      <c r="I261" s="73" t="str">
        <f t="shared" ca="1" si="43"/>
        <v>14.001</v>
      </c>
      <c r="J261" s="74" t="s">
        <v>224</v>
      </c>
      <c r="K261" s="75"/>
      <c r="L261" s="114"/>
      <c r="M261" s="114"/>
      <c r="N261" s="94">
        <f t="shared" ca="1" si="38"/>
        <v>1323971.4069452165</v>
      </c>
      <c r="O261" s="121"/>
      <c r="P261" s="76"/>
      <c r="Q261" s="418"/>
      <c r="R261" s="26"/>
      <c r="S261" s="26"/>
    </row>
    <row r="262" spans="1:19" s="25" customFormat="1" ht="13.9" hidden="1" customHeight="1" outlineLevel="1" x14ac:dyDescent="0.2">
      <c r="A262" s="116">
        <f ca="1">IF($H262="UNIDADE CONSTRUTIVA",OFFSET(A262,-1,0)+1,LARGE(A$3:A261,1))</f>
        <v>0</v>
      </c>
      <c r="B262" s="116">
        <f t="shared" ca="1" si="34"/>
        <v>14</v>
      </c>
      <c r="C262" s="116">
        <f t="shared" ca="1" si="35"/>
        <v>1</v>
      </c>
      <c r="D262" s="117">
        <f t="shared" ca="1" si="36"/>
        <v>1</v>
      </c>
      <c r="E262" s="117">
        <f t="shared" ca="1" si="37"/>
        <v>0</v>
      </c>
      <c r="F262" s="438"/>
      <c r="G262" s="71"/>
      <c r="H262" s="72" t="s">
        <v>113</v>
      </c>
      <c r="I262" s="73" t="str">
        <f t="shared" ca="1" si="43"/>
        <v>14.001.001</v>
      </c>
      <c r="J262" s="74" t="s">
        <v>1904</v>
      </c>
      <c r="K262" s="75"/>
      <c r="L262" s="114"/>
      <c r="M262" s="114"/>
      <c r="N262" s="94">
        <f t="shared" ca="1" si="38"/>
        <v>159860.61534521665</v>
      </c>
      <c r="O262" s="121">
        <f ca="1">N262/'Obra '!$E$9</f>
        <v>23.040015817101178</v>
      </c>
      <c r="P262" s="76"/>
      <c r="Q262" s="418" t="s">
        <v>1859</v>
      </c>
      <c r="R262" s="26"/>
      <c r="S262" s="26"/>
    </row>
    <row r="263" spans="1:19" s="25" customFormat="1" ht="13.9" hidden="1" customHeight="1" outlineLevel="2" x14ac:dyDescent="0.2">
      <c r="A263" s="116">
        <f ca="1">IF($H263="UNIDADE CONSTRUTIVA",OFFSET(A263,-1,0)+1,LARGE(A$3:A262,1))</f>
        <v>0</v>
      </c>
      <c r="B263" s="116">
        <f t="shared" ca="1" si="34"/>
        <v>14</v>
      </c>
      <c r="C263" s="116">
        <f t="shared" ca="1" si="35"/>
        <v>1</v>
      </c>
      <c r="D263" s="117">
        <f t="shared" ca="1" si="36"/>
        <v>1</v>
      </c>
      <c r="E263" s="117">
        <f t="shared" ca="1" si="37"/>
        <v>1</v>
      </c>
      <c r="F263" s="438"/>
      <c r="G263" s="71"/>
      <c r="H263" s="72" t="s">
        <v>114</v>
      </c>
      <c r="I263" s="73" t="str">
        <f t="shared" ref="I263" ca="1" si="44">IF(H263="Unidade Construtiva",TEXT(A263,"00"),IF(H263="Célula Construtiva",TEXT(B263,"00"),IF(H263="Etapa",CONCATENATE(TEXT(B263,"00"),".",TEXT(C263,"000")),IF(H263="Subetapa",CONCATENATE(TEXT(B263,"00"),".",TEXT(C263,"000"),".",TEXT(D263,"000")),IF(H263="Serviço",CONCATENATE(TEXT(B263,"00"),".",TEXT(C263,"000"),".",TEXT(D263,"000"),".",TEXT(E263,"000")),"")))))</f>
        <v>14.001.001.001</v>
      </c>
      <c r="J263" s="128" t="s">
        <v>3124</v>
      </c>
      <c r="K263" s="75" t="s">
        <v>1</v>
      </c>
      <c r="L263" s="114">
        <f>ARQUITETURA!H465</f>
        <v>2077.54</v>
      </c>
      <c r="M263" s="114">
        <f>_xlfn.XLOOKUP($J263,CPU!$D$1:$D$3085,CPU!$H$1:$H$3085)</f>
        <v>17.745837999999999</v>
      </c>
      <c r="N263" s="94">
        <f t="shared" si="38"/>
        <v>36867.68827852</v>
      </c>
      <c r="O263" s="121"/>
      <c r="P263" s="76"/>
      <c r="Q263" s="418"/>
      <c r="R263" s="26"/>
      <c r="S263" s="26"/>
    </row>
    <row r="264" spans="1:19" s="25" customFormat="1" ht="13.9" hidden="1" customHeight="1" outlineLevel="2" x14ac:dyDescent="0.2">
      <c r="A264" s="116">
        <f ca="1">IF($H264="UNIDADE CONSTRUTIVA",OFFSET(A264,-1,0)+1,LARGE(A$3:A263,1))</f>
        <v>0</v>
      </c>
      <c r="B264" s="116">
        <f t="shared" ca="1" si="34"/>
        <v>14</v>
      </c>
      <c r="C264" s="116">
        <f t="shared" ca="1" si="35"/>
        <v>1</v>
      </c>
      <c r="D264" s="117">
        <f t="shared" ca="1" si="36"/>
        <v>1</v>
      </c>
      <c r="E264" s="117">
        <f t="shared" ca="1" si="37"/>
        <v>2</v>
      </c>
      <c r="F264" s="438"/>
      <c r="G264" s="71"/>
      <c r="H264" s="72" t="s">
        <v>114</v>
      </c>
      <c r="I264" s="73" t="str">
        <f t="shared" ca="1" si="43"/>
        <v>14.001.001.002</v>
      </c>
      <c r="J264" s="128" t="s">
        <v>655</v>
      </c>
      <c r="K264" s="75" t="s">
        <v>1</v>
      </c>
      <c r="L264" s="114">
        <f>ARQUITETURA!H528</f>
        <v>365.5</v>
      </c>
      <c r="M264" s="114">
        <f>_xlfn.XLOOKUP($J264,CPU!$D$1:$D$3085,CPU!$H$1:$H$3085)</f>
        <v>19.535849999999996</v>
      </c>
      <c r="N264" s="94">
        <f t="shared" si="38"/>
        <v>7140.3531749999984</v>
      </c>
      <c r="O264" s="121"/>
      <c r="P264" s="76"/>
      <c r="Q264" s="418"/>
      <c r="R264" s="26"/>
      <c r="S264" s="26"/>
    </row>
    <row r="265" spans="1:19" s="25" customFormat="1" ht="13.9" hidden="1" customHeight="1" outlineLevel="2" x14ac:dyDescent="0.2">
      <c r="A265" s="116">
        <f ca="1">IF($H265="UNIDADE CONSTRUTIVA",OFFSET(A265,-1,0)+1,LARGE(A$3:A264,1))</f>
        <v>0</v>
      </c>
      <c r="B265" s="116">
        <f t="shared" ref="B265:B329" ca="1" si="45">IF(H265="UNIDADE CONSTRUTIVA",0,IF(H265="CÉLULA CONSTRUTIVA",OFFSET(B265,-1,0)+1,OFFSET(B265,-1,0)))</f>
        <v>14</v>
      </c>
      <c r="C265" s="116">
        <f t="shared" ref="C265:C329" ca="1" si="46">IF(H265="CÉLULA CONSTRUTIVA",0,IF(H265="ETAPA",OFFSET(C265,-1,0)+1,OFFSET(C265,-1,0)))</f>
        <v>1</v>
      </c>
      <c r="D265" s="117">
        <f t="shared" ref="D265:D329" ca="1" si="47">IF(H265="ETAPA",0,IF(H265="SUBETAPA",OFFSET(D265,-1,0)+1,OFFSET(D265,-1,0)))</f>
        <v>1</v>
      </c>
      <c r="E265" s="117">
        <f t="shared" ref="E265:E329" ca="1" si="48">IF(H265="Subetapa",0,IF(H265="serviço",OFFSET(E265,-1,0)+1,OFFSET(E265,-1,0)))</f>
        <v>3</v>
      </c>
      <c r="F265" s="438"/>
      <c r="G265" s="71"/>
      <c r="H265" s="72" t="s">
        <v>114</v>
      </c>
      <c r="I265" s="73" t="str">
        <f t="shared" ca="1" si="43"/>
        <v>14.001.001.003</v>
      </c>
      <c r="J265" s="128" t="s">
        <v>226</v>
      </c>
      <c r="K265" s="75" t="s">
        <v>1</v>
      </c>
      <c r="L265" s="114">
        <f>ARQUITETURA!H527</f>
        <v>1712.04</v>
      </c>
      <c r="M265" s="114">
        <f>_xlfn.XLOOKUP($J265,CPU!$D$1:$D$3085,CPU!$H$1:$H$3085)</f>
        <v>7.4998500000000003</v>
      </c>
      <c r="N265" s="94">
        <f t="shared" si="38"/>
        <v>12840.043194</v>
      </c>
      <c r="O265" s="121"/>
      <c r="P265" s="76"/>
      <c r="Q265" s="418"/>
      <c r="R265" s="26"/>
      <c r="S265" s="26"/>
    </row>
    <row r="266" spans="1:19" s="25" customFormat="1" ht="13.9" hidden="1" customHeight="1" outlineLevel="2" x14ac:dyDescent="0.2">
      <c r="A266" s="116">
        <f ca="1">IF($H266="UNIDADE CONSTRUTIVA",OFFSET(A266,-1,0)+1,LARGE(A$3:A265,1))</f>
        <v>0</v>
      </c>
      <c r="B266" s="116">
        <f t="shared" ca="1" si="45"/>
        <v>14</v>
      </c>
      <c r="C266" s="116">
        <f t="shared" ca="1" si="46"/>
        <v>1</v>
      </c>
      <c r="D266" s="117">
        <f t="shared" ca="1" si="47"/>
        <v>1</v>
      </c>
      <c r="E266" s="117">
        <f t="shared" ca="1" si="48"/>
        <v>4</v>
      </c>
      <c r="F266" s="438"/>
      <c r="G266" s="71"/>
      <c r="H266" s="72" t="s">
        <v>114</v>
      </c>
      <c r="I266" s="73" t="str">
        <f t="shared" ca="1" si="43"/>
        <v>14.001.001.004</v>
      </c>
      <c r="J266" s="74" t="s">
        <v>6929</v>
      </c>
      <c r="K266" s="75" t="s">
        <v>1</v>
      </c>
      <c r="L266" s="114">
        <f>ARQUITETURA!H588</f>
        <v>66.91</v>
      </c>
      <c r="M266" s="114">
        <f>_xlfn.XLOOKUP($J266,CPU!$D$1:$D$3085,CPU!$H$1:$H$3085)</f>
        <v>3.1797149999999994</v>
      </c>
      <c r="N266" s="94">
        <f t="shared" si="38"/>
        <v>212.75473064999994</v>
      </c>
      <c r="O266" s="121"/>
      <c r="P266" s="76"/>
      <c r="Q266" s="418"/>
      <c r="R266" s="129"/>
      <c r="S266" s="26"/>
    </row>
    <row r="267" spans="1:19" s="25" customFormat="1" ht="13.9" hidden="1" customHeight="1" outlineLevel="2" x14ac:dyDescent="0.2">
      <c r="A267" s="116">
        <f ca="1">IF($H267="UNIDADE CONSTRUTIVA",OFFSET(A267,-1,0)+1,LARGE(A$3:A266,1))</f>
        <v>0</v>
      </c>
      <c r="B267" s="116">
        <f t="shared" ca="1" si="45"/>
        <v>14</v>
      </c>
      <c r="C267" s="116">
        <f t="shared" ca="1" si="46"/>
        <v>1</v>
      </c>
      <c r="D267" s="117">
        <f t="shared" ca="1" si="47"/>
        <v>1</v>
      </c>
      <c r="E267" s="117">
        <f t="shared" ca="1" si="48"/>
        <v>5</v>
      </c>
      <c r="F267" s="438"/>
      <c r="G267" s="71"/>
      <c r="H267" s="72" t="s">
        <v>114</v>
      </c>
      <c r="I267" s="73" t="str">
        <f t="shared" ref="I267:I268" ca="1" si="49">IF(H267="Unidade Construtiva",TEXT(A267,"00"),IF(H267="Célula Construtiva",TEXT(B267,"00"),IF(H267="Etapa",CONCATENATE(TEXT(B267,"00"),".",TEXT(C267,"000")),IF(H267="Subetapa",CONCATENATE(TEXT(B267,"00"),".",TEXT(C267,"000"),".",TEXT(D267,"000")),IF(H267="Serviço",CONCATENATE(TEXT(B267,"00"),".",TEXT(C267,"000"),".",TEXT(D267,"000"),".",TEXT(E267,"000")),"")))))</f>
        <v>14.001.001.005</v>
      </c>
      <c r="J267" s="74" t="s">
        <v>171</v>
      </c>
      <c r="K267" s="75" t="s">
        <v>1</v>
      </c>
      <c r="L267" s="114">
        <f>ARQUITETURA!H593</f>
        <v>253.75</v>
      </c>
      <c r="M267" s="114">
        <f>_xlfn.XLOOKUP($J267,CPU!$D$1:$D$3085,CPU!$H$1:$H$3085)</f>
        <v>5.1029166666666663</v>
      </c>
      <c r="N267" s="94">
        <f t="shared" si="38"/>
        <v>1294.8651041666665</v>
      </c>
      <c r="O267" s="121"/>
      <c r="P267" s="76"/>
      <c r="Q267" s="418"/>
      <c r="R267" s="26"/>
      <c r="S267" s="26"/>
    </row>
    <row r="268" spans="1:19" s="25" customFormat="1" ht="13.9" hidden="1" customHeight="1" outlineLevel="2" x14ac:dyDescent="0.2">
      <c r="A268" s="116">
        <f ca="1">IF($H268="UNIDADE CONSTRUTIVA",OFFSET(A268,-1,0)+1,LARGE(A$3:A267,1))</f>
        <v>0</v>
      </c>
      <c r="B268" s="116">
        <f t="shared" ca="1" si="45"/>
        <v>14</v>
      </c>
      <c r="C268" s="116">
        <f t="shared" ca="1" si="46"/>
        <v>1</v>
      </c>
      <c r="D268" s="117">
        <f t="shared" ca="1" si="47"/>
        <v>1</v>
      </c>
      <c r="E268" s="117">
        <f t="shared" ca="1" si="48"/>
        <v>6</v>
      </c>
      <c r="F268" s="438"/>
      <c r="G268" s="71"/>
      <c r="H268" s="72" t="s">
        <v>114</v>
      </c>
      <c r="I268" s="73" t="str">
        <f t="shared" ca="1" si="49"/>
        <v>14.001.001.006</v>
      </c>
      <c r="J268" s="74" t="s">
        <v>3122</v>
      </c>
      <c r="K268" s="75" t="s">
        <v>1</v>
      </c>
      <c r="L268" s="114">
        <f>ARQUITETURA!H379</f>
        <v>10093.839999999998</v>
      </c>
      <c r="M268" s="114">
        <f>_xlfn.XLOOKUP($J268,CPU!$D$1:$D$3085,CPU!$H$1:$H$3085)</f>
        <v>6.8295159999999999</v>
      </c>
      <c r="N268" s="94">
        <f t="shared" si="38"/>
        <v>68936.041781439984</v>
      </c>
      <c r="O268" s="121"/>
      <c r="P268" s="76"/>
      <c r="Q268" s="418"/>
      <c r="R268" s="26"/>
      <c r="S268" s="26"/>
    </row>
    <row r="269" spans="1:19" s="25" customFormat="1" ht="13.9" hidden="1" customHeight="1" outlineLevel="2" x14ac:dyDescent="0.2">
      <c r="A269" s="116">
        <f ca="1">IF($H269="UNIDADE CONSTRUTIVA",OFFSET(A269,-1,0)+1,LARGE(A$3:A268,1))</f>
        <v>0</v>
      </c>
      <c r="B269" s="116">
        <f t="shared" ca="1" si="45"/>
        <v>14</v>
      </c>
      <c r="C269" s="116">
        <f t="shared" ca="1" si="46"/>
        <v>1</v>
      </c>
      <c r="D269" s="117">
        <f t="shared" ca="1" si="47"/>
        <v>1</v>
      </c>
      <c r="E269" s="117">
        <f t="shared" ca="1" si="48"/>
        <v>7</v>
      </c>
      <c r="F269" s="438"/>
      <c r="G269" s="71"/>
      <c r="H269" s="72" t="s">
        <v>114</v>
      </c>
      <c r="I269" s="73" t="str">
        <f t="shared" ca="1" si="43"/>
        <v>14.001.001.007</v>
      </c>
      <c r="J269" s="74" t="s">
        <v>3123</v>
      </c>
      <c r="K269" s="75" t="s">
        <v>1</v>
      </c>
      <c r="L269" s="114">
        <f>ARQUITETURA!H380</f>
        <v>2384.4200000000005</v>
      </c>
      <c r="M269" s="114">
        <f>_xlfn.XLOOKUP($J269,CPU!$D$1:$D$3085,CPU!$H$1:$H$3085)</f>
        <v>13.659032</v>
      </c>
      <c r="N269" s="94">
        <f t="shared" ref="N269:N332" si="50">IF(H269="Serviço",M269*L269,IF(H269="CÉLULA CONSTRUTIVA",SUMIFS($N$8:$N$452,$B$8:$B$452,B269,$H$8:$H$452,"Serviço"),IF(H269="ETAPA",SUMIFS($N$8:$N$452,$B$8:$B$452,B269,$C$8:$C$452,C269,$H$8:$H$452,"Serviço"),IF(H269="SUBETAPA",SUMIFS($N$8:$N$452,$B$8:$B$452,B269,$C$8:$C$452,C269,$D$8:$D$452,D269,$H$8:$H$452,"Serviço"),0))))</f>
        <v>32568.869081440007</v>
      </c>
      <c r="O269" s="121"/>
      <c r="P269" s="76"/>
      <c r="Q269" s="418"/>
      <c r="R269" s="26"/>
      <c r="S269" s="26"/>
    </row>
    <row r="270" spans="1:19" s="25" customFormat="1" ht="13.9" hidden="1" customHeight="1" outlineLevel="1" x14ac:dyDescent="0.2">
      <c r="A270" s="116">
        <f ca="1">IF($H270="UNIDADE CONSTRUTIVA",OFFSET(A270,-1,0)+1,LARGE(A$3:A269,1))</f>
        <v>0</v>
      </c>
      <c r="B270" s="116">
        <f t="shared" ca="1" si="45"/>
        <v>14</v>
      </c>
      <c r="C270" s="116">
        <f t="shared" ca="1" si="46"/>
        <v>1</v>
      </c>
      <c r="D270" s="117">
        <f t="shared" ca="1" si="47"/>
        <v>2</v>
      </c>
      <c r="E270" s="117">
        <f t="shared" ca="1" si="48"/>
        <v>0</v>
      </c>
      <c r="F270" s="438"/>
      <c r="G270" s="71"/>
      <c r="H270" s="72" t="s">
        <v>113</v>
      </c>
      <c r="I270" s="73" t="str">
        <f t="shared" ca="1" si="43"/>
        <v>14.001.002</v>
      </c>
      <c r="J270" s="74" t="s">
        <v>1905</v>
      </c>
      <c r="K270" s="75"/>
      <c r="L270" s="114"/>
      <c r="M270" s="114"/>
      <c r="N270" s="94">
        <f t="shared" ca="1" si="50"/>
        <v>257234.24160000001</v>
      </c>
      <c r="O270" s="121">
        <f ca="1">N270/'Obra '!$E$9</f>
        <v>37.074053433145153</v>
      </c>
      <c r="P270" s="76"/>
      <c r="Q270" s="418" t="s">
        <v>176</v>
      </c>
      <c r="R270" s="26"/>
      <c r="S270" s="26"/>
    </row>
    <row r="271" spans="1:19" s="25" customFormat="1" ht="13.9" hidden="1" customHeight="1" outlineLevel="2" x14ac:dyDescent="0.2">
      <c r="A271" s="116">
        <f ca="1">IF($H271="UNIDADE CONSTRUTIVA",OFFSET(A271,-1,0)+1,LARGE(A$3:A270,1))</f>
        <v>0</v>
      </c>
      <c r="B271" s="116">
        <f t="shared" ca="1" si="45"/>
        <v>14</v>
      </c>
      <c r="C271" s="116">
        <f t="shared" ca="1" si="46"/>
        <v>1</v>
      </c>
      <c r="D271" s="117">
        <f t="shared" ca="1" si="47"/>
        <v>2</v>
      </c>
      <c r="E271" s="117">
        <f t="shared" ca="1" si="48"/>
        <v>1</v>
      </c>
      <c r="F271" s="438"/>
      <c r="G271" s="71"/>
      <c r="H271" s="72" t="s">
        <v>114</v>
      </c>
      <c r="I271" s="73" t="str">
        <f t="shared" ref="I271" ca="1" si="51">IF(H271="Unidade Construtiva",TEXT(A271,"00"),IF(H271="Célula Construtiva",TEXT(B271,"00"),IF(H271="Etapa",CONCATENATE(TEXT(B271,"00"),".",TEXT(C271,"000")),IF(H271="Subetapa",CONCATENATE(TEXT(B271,"00"),".",TEXT(C271,"000"),".",TEXT(D271,"000")),IF(H271="Serviço",CONCATENATE(TEXT(B271,"00"),".",TEXT(C271,"000"),".",TEXT(D271,"000"),".",TEXT(E271,"000")),"")))))</f>
        <v>14.001.002.001</v>
      </c>
      <c r="J271" s="74" t="s">
        <v>4241</v>
      </c>
      <c r="K271" s="75" t="s">
        <v>1</v>
      </c>
      <c r="L271" s="114">
        <f>SUM(ARQUITETURA!H633:H638,ARQUITETURA!H641:H650)</f>
        <v>3263.3999999999996</v>
      </c>
      <c r="M271" s="114">
        <f>_xlfn.XLOOKUP($J271,CPU!$D$1:$D$3085,CPU!$H$1:$H$3085)</f>
        <v>78.824000000000012</v>
      </c>
      <c r="N271" s="94">
        <f t="shared" si="50"/>
        <v>257234.24160000001</v>
      </c>
      <c r="O271" s="121"/>
      <c r="P271" s="76"/>
      <c r="Q271" s="418"/>
      <c r="R271" s="26"/>
      <c r="S271" s="26"/>
    </row>
    <row r="272" spans="1:19" s="25" customFormat="1" ht="13.9" hidden="1" customHeight="1" outlineLevel="1" x14ac:dyDescent="0.2">
      <c r="A272" s="116">
        <f ca="1">IF($H272="UNIDADE CONSTRUTIVA",OFFSET(A272,-1,0)+1,LARGE(A$3:A271,1))</f>
        <v>0</v>
      </c>
      <c r="B272" s="116">
        <f t="shared" ca="1" si="45"/>
        <v>14</v>
      </c>
      <c r="C272" s="116">
        <f t="shared" ca="1" si="46"/>
        <v>1</v>
      </c>
      <c r="D272" s="117">
        <f t="shared" ca="1" si="47"/>
        <v>3</v>
      </c>
      <c r="E272" s="117">
        <f t="shared" ca="1" si="48"/>
        <v>0</v>
      </c>
      <c r="F272" s="438"/>
      <c r="G272" s="71"/>
      <c r="H272" s="72" t="s">
        <v>113</v>
      </c>
      <c r="I272" s="73" t="str">
        <f t="shared" ca="1" si="43"/>
        <v>14.001.003</v>
      </c>
      <c r="J272" s="74" t="s">
        <v>1906</v>
      </c>
      <c r="K272" s="75"/>
      <c r="L272" s="114"/>
      <c r="M272" s="114"/>
      <c r="N272" s="94">
        <f t="shared" ca="1" si="50"/>
        <v>21618.956699999995</v>
      </c>
      <c r="O272" s="121">
        <f ca="1">N272/'Obra '!$E$9</f>
        <v>3.1158462842244372</v>
      </c>
      <c r="P272" s="76"/>
      <c r="Q272" s="418" t="s">
        <v>176</v>
      </c>
      <c r="R272" s="26"/>
      <c r="S272" s="26"/>
    </row>
    <row r="273" spans="1:19" s="25" customFormat="1" ht="13.9" hidden="1" customHeight="1" outlineLevel="2" x14ac:dyDescent="0.2">
      <c r="A273" s="116">
        <f ca="1">IF($H273="UNIDADE CONSTRUTIVA",OFFSET(A273,-1,0)+1,LARGE(A$3:A272,1))</f>
        <v>0</v>
      </c>
      <c r="B273" s="116">
        <f t="shared" ca="1" si="45"/>
        <v>14</v>
      </c>
      <c r="C273" s="116">
        <f t="shared" ca="1" si="46"/>
        <v>1</v>
      </c>
      <c r="D273" s="117">
        <f t="shared" ca="1" si="47"/>
        <v>3</v>
      </c>
      <c r="E273" s="117">
        <f t="shared" ca="1" si="48"/>
        <v>1</v>
      </c>
      <c r="F273" s="438"/>
      <c r="G273" s="71"/>
      <c r="H273" s="72" t="s">
        <v>114</v>
      </c>
      <c r="I273" s="73" t="str">
        <f t="shared" ca="1" si="43"/>
        <v>14.001.003.001</v>
      </c>
      <c r="J273" s="130" t="s">
        <v>3197</v>
      </c>
      <c r="K273" s="75" t="s">
        <v>1</v>
      </c>
      <c r="L273" s="114">
        <f>ARQUITETURA!H702</f>
        <v>30.689999999999998</v>
      </c>
      <c r="M273" s="114">
        <f>_xlfn.XLOOKUP($J273,CPU!$D$1:$D$3085,CPU!$H$1:$H$3085)</f>
        <v>704.43</v>
      </c>
      <c r="N273" s="94">
        <f t="shared" si="50"/>
        <v>21618.956699999995</v>
      </c>
      <c r="O273" s="121"/>
      <c r="P273" s="76"/>
      <c r="Q273" s="418"/>
      <c r="R273" s="26"/>
      <c r="S273" s="26"/>
    </row>
    <row r="274" spans="1:19" s="25" customFormat="1" ht="13.9" hidden="1" customHeight="1" outlineLevel="1" x14ac:dyDescent="0.2">
      <c r="A274" s="116">
        <f ca="1">IF($H274="UNIDADE CONSTRUTIVA",OFFSET(A274,-1,0)+1,LARGE(A$3:A273,1))</f>
        <v>0</v>
      </c>
      <c r="B274" s="116">
        <f t="shared" ca="1" si="45"/>
        <v>14</v>
      </c>
      <c r="C274" s="116">
        <f t="shared" ca="1" si="46"/>
        <v>1</v>
      </c>
      <c r="D274" s="117">
        <f t="shared" ca="1" si="47"/>
        <v>4</v>
      </c>
      <c r="E274" s="117">
        <f t="shared" ca="1" si="48"/>
        <v>0</v>
      </c>
      <c r="F274" s="438"/>
      <c r="G274" s="71"/>
      <c r="H274" s="72" t="s">
        <v>113</v>
      </c>
      <c r="I274" s="73" t="str">
        <f t="shared" ca="1" si="43"/>
        <v>14.001.004</v>
      </c>
      <c r="J274" s="74" t="s">
        <v>1682</v>
      </c>
      <c r="K274" s="75"/>
      <c r="L274" s="114"/>
      <c r="M274" s="114"/>
      <c r="N274" s="94">
        <f t="shared" ca="1" si="50"/>
        <v>346093.50330000004</v>
      </c>
      <c r="O274" s="121">
        <f ca="1">N274/'Obra '!$E$9</f>
        <v>49.880952684988884</v>
      </c>
      <c r="P274" s="76"/>
      <c r="Q274" s="418" t="s">
        <v>176</v>
      </c>
      <c r="R274" s="26"/>
      <c r="S274" s="26"/>
    </row>
    <row r="275" spans="1:19" s="25" customFormat="1" ht="13.9" hidden="1" customHeight="1" outlineLevel="2" x14ac:dyDescent="0.2">
      <c r="A275" s="116">
        <f ca="1">IF($H275="UNIDADE CONSTRUTIVA",OFFSET(A275,-1,0)+1,LARGE(A$3:A274,1))</f>
        <v>0</v>
      </c>
      <c r="B275" s="116">
        <f t="shared" ca="1" si="45"/>
        <v>14</v>
      </c>
      <c r="C275" s="116">
        <f t="shared" ca="1" si="46"/>
        <v>1</v>
      </c>
      <c r="D275" s="117">
        <f t="shared" ca="1" si="47"/>
        <v>4</v>
      </c>
      <c r="E275" s="117">
        <f t="shared" ca="1" si="48"/>
        <v>1</v>
      </c>
      <c r="F275" s="438"/>
      <c r="G275" s="71"/>
      <c r="H275" s="72" t="s">
        <v>114</v>
      </c>
      <c r="I275" s="73" t="str">
        <f t="shared" ref="I275" ca="1" si="52">IF(H275="Unidade Construtiva",TEXT(A275,"00"),IF(H275="Célula Construtiva",TEXT(B275,"00"),IF(H275="Etapa",CONCATENATE(TEXT(B275,"00"),".",TEXT(C275,"000")),IF(H275="Subetapa",CONCATENATE(TEXT(B275,"00"),".",TEXT(C275,"000"),".",TEXT(D275,"000")),IF(H275="Serviço",CONCATENATE(TEXT(B275,"00"),".",TEXT(C275,"000"),".",TEXT(D275,"000"),".",TEXT(E275,"000")),"")))))</f>
        <v>14.001.004.001</v>
      </c>
      <c r="J275" s="74" t="s">
        <v>4261</v>
      </c>
      <c r="K275" s="75" t="s">
        <v>1</v>
      </c>
      <c r="L275" s="114">
        <f>ARQUITETURA!H1740</f>
        <v>491.31000000000006</v>
      </c>
      <c r="M275" s="114">
        <f>_xlfn.XLOOKUP($J275,CPU!$D$1:$D$3085,CPU!$H$1:$H$3085)</f>
        <v>704.43</v>
      </c>
      <c r="N275" s="94">
        <f t="shared" si="50"/>
        <v>346093.50330000004</v>
      </c>
      <c r="O275" s="121"/>
      <c r="P275" s="76"/>
      <c r="Q275" s="418"/>
      <c r="R275" s="26"/>
      <c r="S275" s="26"/>
    </row>
    <row r="276" spans="1:19" s="25" customFormat="1" ht="13.9" hidden="1" customHeight="1" outlineLevel="1" x14ac:dyDescent="0.2">
      <c r="A276" s="116">
        <f ca="1">IF($H276="UNIDADE CONSTRUTIVA",OFFSET(A276,-1,0)+1,LARGE(A$3:A275,1))</f>
        <v>0</v>
      </c>
      <c r="B276" s="116">
        <f t="shared" ca="1" si="45"/>
        <v>14</v>
      </c>
      <c r="C276" s="116">
        <f t="shared" ca="1" si="46"/>
        <v>1</v>
      </c>
      <c r="D276" s="117">
        <f t="shared" ca="1" si="47"/>
        <v>5</v>
      </c>
      <c r="E276" s="117">
        <f t="shared" ca="1" si="48"/>
        <v>0</v>
      </c>
      <c r="F276" s="438"/>
      <c r="G276" s="71"/>
      <c r="H276" s="72" t="s">
        <v>113</v>
      </c>
      <c r="I276" s="73" t="str">
        <f t="shared" ca="1" si="43"/>
        <v>14.001.005</v>
      </c>
      <c r="J276" s="74" t="s">
        <v>1860</v>
      </c>
      <c r="K276" s="75"/>
      <c r="L276" s="114"/>
      <c r="M276" s="114"/>
      <c r="N276" s="94">
        <f t="shared" ca="1" si="50"/>
        <v>539164.09</v>
      </c>
      <c r="O276" s="121">
        <f ca="1">N276/'Obra '!$E$9</f>
        <v>77.707377359877427</v>
      </c>
      <c r="P276" s="76"/>
      <c r="Q276" s="418"/>
      <c r="R276" s="26"/>
      <c r="S276" s="26"/>
    </row>
    <row r="277" spans="1:19" s="25" customFormat="1" ht="13.9" hidden="1" customHeight="1" outlineLevel="2" x14ac:dyDescent="0.2">
      <c r="A277" s="116">
        <f ca="1">IF($H277="UNIDADE CONSTRUTIVA",OFFSET(A277,-1,0)+1,LARGE(A$3:A276,1))</f>
        <v>0</v>
      </c>
      <c r="B277" s="116">
        <f t="shared" ca="1" si="45"/>
        <v>14</v>
      </c>
      <c r="C277" s="116">
        <f t="shared" ca="1" si="46"/>
        <v>1</v>
      </c>
      <c r="D277" s="117">
        <f t="shared" ca="1" si="47"/>
        <v>5</v>
      </c>
      <c r="E277" s="117">
        <f t="shared" ca="1" si="48"/>
        <v>1</v>
      </c>
      <c r="F277" s="438"/>
      <c r="G277" s="71"/>
      <c r="H277" s="72" t="s">
        <v>114</v>
      </c>
      <c r="I277" s="73" t="str">
        <f t="shared" ca="1" si="43"/>
        <v>14.001.005.001</v>
      </c>
      <c r="J277" s="74" t="s">
        <v>173</v>
      </c>
      <c r="K277" s="75" t="s">
        <v>1</v>
      </c>
      <c r="L277" s="114">
        <f>L263</f>
        <v>2077.54</v>
      </c>
      <c r="M277" s="114">
        <f>_xlfn.XLOOKUP($J277,CPU!$D$1:$D$3085,CPU!$H$1:$H$3085)</f>
        <v>36</v>
      </c>
      <c r="N277" s="94">
        <f t="shared" si="50"/>
        <v>74791.44</v>
      </c>
      <c r="O277" s="121"/>
      <c r="P277" s="76"/>
      <c r="Q277" s="418" t="s">
        <v>1859</v>
      </c>
      <c r="R277" s="26"/>
      <c r="S277" s="26"/>
    </row>
    <row r="278" spans="1:19" s="25" customFormat="1" ht="13.9" hidden="1" customHeight="1" outlineLevel="2" x14ac:dyDescent="0.2">
      <c r="A278" s="116">
        <f ca="1">IF($H278="UNIDADE CONSTRUTIVA",OFFSET(A278,-1,0)+1,LARGE(A$3:A277,1))</f>
        <v>0</v>
      </c>
      <c r="B278" s="116">
        <f t="shared" ca="1" si="45"/>
        <v>14</v>
      </c>
      <c r="C278" s="116">
        <f t="shared" ca="1" si="46"/>
        <v>1</v>
      </c>
      <c r="D278" s="117">
        <f t="shared" ca="1" si="47"/>
        <v>5</v>
      </c>
      <c r="E278" s="117">
        <f t="shared" ca="1" si="48"/>
        <v>2</v>
      </c>
      <c r="F278" s="438"/>
      <c r="G278" s="71"/>
      <c r="H278" s="72" t="s">
        <v>114</v>
      </c>
      <c r="I278" s="73" t="str">
        <f t="shared" ref="I278" ca="1" si="53">IF(H278="Unidade Construtiva",TEXT(A278,"00"),IF(H278="Célula Construtiva",TEXT(B278,"00"),IF(H278="Etapa",CONCATENATE(TEXT(B278,"00"),".",TEXT(C278,"000")),IF(H278="Subetapa",CONCATENATE(TEXT(B278,"00"),".",TEXT(C278,"000"),".",TEXT(D278,"000")),IF(H278="Serviço",CONCATENATE(TEXT(B278,"00"),".",TEXT(C278,"000"),".",TEXT(D278,"000"),".",TEXT(E278,"000")),"")))))</f>
        <v>14.001.005.002</v>
      </c>
      <c r="J278" s="74" t="s">
        <v>4297</v>
      </c>
      <c r="K278" s="75" t="s">
        <v>1</v>
      </c>
      <c r="L278" s="114">
        <f>L268+L269</f>
        <v>12478.259999999998</v>
      </c>
      <c r="M278" s="114">
        <f>_xlfn.XLOOKUP($J278,CPU!$D$1:$D$3085,CPU!$H$1:$H$3085)</f>
        <v>15</v>
      </c>
      <c r="N278" s="94">
        <f t="shared" si="50"/>
        <v>187173.89999999997</v>
      </c>
      <c r="O278" s="121"/>
      <c r="P278" s="76"/>
      <c r="Q278" s="418" t="s">
        <v>1859</v>
      </c>
      <c r="R278" s="26"/>
      <c r="S278" s="26"/>
    </row>
    <row r="279" spans="1:19" s="25" customFormat="1" ht="13.9" hidden="1" customHeight="1" outlineLevel="2" x14ac:dyDescent="0.2">
      <c r="A279" s="116">
        <f ca="1">IF($H279="UNIDADE CONSTRUTIVA",OFFSET(A279,-1,0)+1,LARGE(A$3:A278,1))</f>
        <v>0</v>
      </c>
      <c r="B279" s="116">
        <f t="shared" ca="1" si="45"/>
        <v>14</v>
      </c>
      <c r="C279" s="116">
        <f t="shared" ca="1" si="46"/>
        <v>1</v>
      </c>
      <c r="D279" s="117">
        <f t="shared" ca="1" si="47"/>
        <v>5</v>
      </c>
      <c r="E279" s="117">
        <f t="shared" ca="1" si="48"/>
        <v>3</v>
      </c>
      <c r="F279" s="438"/>
      <c r="G279" s="71"/>
      <c r="H279" s="72" t="s">
        <v>114</v>
      </c>
      <c r="I279" s="73" t="str">
        <f t="shared" ca="1" si="43"/>
        <v>14.001.005.003</v>
      </c>
      <c r="J279" s="74" t="s">
        <v>174</v>
      </c>
      <c r="K279" s="75" t="s">
        <v>1</v>
      </c>
      <c r="L279" s="114">
        <f>L267</f>
        <v>253.75</v>
      </c>
      <c r="M279" s="114">
        <f>_xlfn.XLOOKUP($J279,CPU!$D$1:$D$3085,CPU!$H$1:$H$3085)</f>
        <v>25</v>
      </c>
      <c r="N279" s="94">
        <f t="shared" si="50"/>
        <v>6343.75</v>
      </c>
      <c r="O279" s="121"/>
      <c r="P279" s="76"/>
      <c r="Q279" s="418" t="s">
        <v>1859</v>
      </c>
      <c r="R279" s="26"/>
      <c r="S279" s="26"/>
    </row>
    <row r="280" spans="1:19" s="25" customFormat="1" ht="13.9" hidden="1" customHeight="1" outlineLevel="2" x14ac:dyDescent="0.2">
      <c r="A280" s="116">
        <f ca="1">IF($H280="UNIDADE CONSTRUTIVA",OFFSET(A280,-1,0)+1,LARGE(A$3:A279,1))</f>
        <v>0</v>
      </c>
      <c r="B280" s="116">
        <f t="shared" ca="1" si="45"/>
        <v>14</v>
      </c>
      <c r="C280" s="116">
        <f t="shared" ca="1" si="46"/>
        <v>1</v>
      </c>
      <c r="D280" s="117">
        <f t="shared" ca="1" si="47"/>
        <v>5</v>
      </c>
      <c r="E280" s="117">
        <f t="shared" ca="1" si="48"/>
        <v>4</v>
      </c>
      <c r="F280" s="438"/>
      <c r="G280" s="71"/>
      <c r="H280" s="72" t="s">
        <v>114</v>
      </c>
      <c r="I280" s="73" t="str">
        <f t="shared" ref="I280:I287" ca="1" si="54">IF(H280="Unidade Construtiva",TEXT(A280,"00"),IF(H280="Célula Construtiva",TEXT(B280,"00"),IF(H280="Etapa",CONCATENATE(TEXT(B280,"00"),".",TEXT(C280,"000")),IF(H280="Subetapa",CONCATENATE(TEXT(B280,"00"),".",TEXT(C280,"000"),".",TEXT(D280,"000")),IF(H280="Serviço",CONCATENATE(TEXT(B280,"00"),".",TEXT(C280,"000"),".",TEXT(D280,"000"),".",TEXT(E280,"000")),"")))))</f>
        <v>14.001.005.004</v>
      </c>
      <c r="J280" s="74" t="s">
        <v>177</v>
      </c>
      <c r="K280" s="75" t="s">
        <v>1</v>
      </c>
      <c r="L280" s="114">
        <f>L271</f>
        <v>3263.3999999999996</v>
      </c>
      <c r="M280" s="114">
        <f>_xlfn.XLOOKUP($J280,CPU!$D$1:$D$3085,CPU!$H$1:$H$3085)</f>
        <v>75</v>
      </c>
      <c r="N280" s="94">
        <f t="shared" si="50"/>
        <v>244754.99999999997</v>
      </c>
      <c r="O280" s="121">
        <f>N280/'Obra '!$E$9</f>
        <v>35.275474569748887</v>
      </c>
      <c r="P280" s="76"/>
      <c r="Q280" s="418" t="s">
        <v>176</v>
      </c>
      <c r="R280" s="26"/>
      <c r="S280" s="26"/>
    </row>
    <row r="281" spans="1:19" s="25" customFormat="1" ht="13.9" hidden="1" customHeight="1" outlineLevel="2" x14ac:dyDescent="0.2">
      <c r="A281" s="116">
        <f ca="1">IF($H281="UNIDADE CONSTRUTIVA",OFFSET(A281,-1,0)+1,LARGE(A$3:A280,1))</f>
        <v>0</v>
      </c>
      <c r="B281" s="116">
        <f t="shared" ca="1" si="45"/>
        <v>14</v>
      </c>
      <c r="C281" s="116">
        <f t="shared" ca="1" si="46"/>
        <v>1</v>
      </c>
      <c r="D281" s="117">
        <f t="shared" ca="1" si="47"/>
        <v>5</v>
      </c>
      <c r="E281" s="117">
        <f t="shared" ca="1" si="48"/>
        <v>5</v>
      </c>
      <c r="F281" s="438"/>
      <c r="G281" s="71"/>
      <c r="H281" s="72" t="s">
        <v>114</v>
      </c>
      <c r="I281" s="73" t="str">
        <f t="shared" ca="1" si="54"/>
        <v>14.001.005.005</v>
      </c>
      <c r="J281" s="74" t="s">
        <v>1770</v>
      </c>
      <c r="K281" s="75" t="s">
        <v>1</v>
      </c>
      <c r="L281" s="114">
        <f>L273</f>
        <v>30.689999999999998</v>
      </c>
      <c r="M281" s="114">
        <f>_xlfn.XLOOKUP($J281,CPU!$D$1:$D$3085,CPU!$H$1:$H$3085)</f>
        <v>50</v>
      </c>
      <c r="N281" s="94">
        <f t="shared" si="50"/>
        <v>1534.5</v>
      </c>
      <c r="O281" s="121">
        <f>N281/'Obra '!$E$9</f>
        <v>0.2211608168465595</v>
      </c>
      <c r="P281" s="76"/>
      <c r="Q281" s="418" t="s">
        <v>176</v>
      </c>
      <c r="R281" s="26"/>
      <c r="S281" s="26"/>
    </row>
    <row r="282" spans="1:19" s="25" customFormat="1" ht="13.9" hidden="1" customHeight="1" outlineLevel="2" x14ac:dyDescent="0.2">
      <c r="A282" s="116">
        <f ca="1">IF($H282="UNIDADE CONSTRUTIVA",OFFSET(A282,-1,0)+1,LARGE(A$3:A281,1))</f>
        <v>0</v>
      </c>
      <c r="B282" s="116">
        <f t="shared" ca="1" si="45"/>
        <v>14</v>
      </c>
      <c r="C282" s="116">
        <f t="shared" ca="1" si="46"/>
        <v>1</v>
      </c>
      <c r="D282" s="117">
        <f t="shared" ca="1" si="47"/>
        <v>5</v>
      </c>
      <c r="E282" s="117">
        <f t="shared" ca="1" si="48"/>
        <v>6</v>
      </c>
      <c r="F282" s="438"/>
      <c r="G282" s="71"/>
      <c r="H282" s="72" t="s">
        <v>114</v>
      </c>
      <c r="I282" s="73" t="str">
        <f t="shared" ca="1" si="54"/>
        <v>14.001.005.006</v>
      </c>
      <c r="J282" s="74" t="s">
        <v>178</v>
      </c>
      <c r="K282" s="75" t="s">
        <v>1</v>
      </c>
      <c r="L282" s="114">
        <f>L275</f>
        <v>491.31000000000006</v>
      </c>
      <c r="M282" s="114">
        <f>_xlfn.XLOOKUP($J282,CPU!$D$1:$D$3085,CPU!$H$1:$H$3085)</f>
        <v>50</v>
      </c>
      <c r="N282" s="94">
        <f t="shared" si="50"/>
        <v>24565.500000000004</v>
      </c>
      <c r="O282" s="121">
        <f>N282/'Obra '!$E$9</f>
        <v>3.5405187658808459</v>
      </c>
      <c r="P282" s="76"/>
      <c r="Q282" s="418" t="s">
        <v>176</v>
      </c>
      <c r="R282" s="26"/>
      <c r="S282" s="26"/>
    </row>
    <row r="283" spans="1:19" s="25" customFormat="1" ht="13.9" customHeight="1" collapsed="1" x14ac:dyDescent="0.2">
      <c r="A283" s="116">
        <f ca="1">IF($H283="UNIDADE CONSTRUTIVA",OFFSET(A283,-1,0)+1,LARGE(A$3:A282,1))</f>
        <v>0</v>
      </c>
      <c r="B283" s="116">
        <f t="shared" ca="1" si="45"/>
        <v>15</v>
      </c>
      <c r="C283" s="116">
        <f t="shared" ca="1" si="46"/>
        <v>0</v>
      </c>
      <c r="D283" s="117">
        <f t="shared" ca="1" si="47"/>
        <v>5</v>
      </c>
      <c r="E283" s="117">
        <f t="shared" ca="1" si="48"/>
        <v>6</v>
      </c>
      <c r="F283" s="523"/>
      <c r="G283" s="71"/>
      <c r="H283" s="72" t="s">
        <v>111</v>
      </c>
      <c r="I283" s="73" t="str">
        <f t="shared" ca="1" si="54"/>
        <v>15</v>
      </c>
      <c r="J283" s="74" t="s">
        <v>1907</v>
      </c>
      <c r="K283" s="75"/>
      <c r="L283" s="114"/>
      <c r="M283" s="114"/>
      <c r="N283" s="94">
        <f t="shared" ca="1" si="50"/>
        <v>695689.4328585132</v>
      </c>
      <c r="O283" s="121">
        <f ca="1">N283/'Obra '!$E$9</f>
        <v>100.26669484686118</v>
      </c>
      <c r="P283" s="76"/>
      <c r="Q283" s="418"/>
      <c r="R283" s="122"/>
      <c r="S283" s="26"/>
    </row>
    <row r="284" spans="1:19" s="25" customFormat="1" ht="13.9" hidden="1" customHeight="1" outlineLevel="1" x14ac:dyDescent="0.2">
      <c r="A284" s="116">
        <f ca="1">IF($H284="UNIDADE CONSTRUTIVA",OFFSET(A284,-1,0)+1,LARGE(A$3:A283,1))</f>
        <v>0</v>
      </c>
      <c r="B284" s="116">
        <f t="shared" ca="1" si="45"/>
        <v>15</v>
      </c>
      <c r="C284" s="116">
        <f t="shared" ca="1" si="46"/>
        <v>1</v>
      </c>
      <c r="D284" s="117">
        <f t="shared" ca="1" si="47"/>
        <v>0</v>
      </c>
      <c r="E284" s="117">
        <f t="shared" ca="1" si="48"/>
        <v>6</v>
      </c>
      <c r="F284" s="438"/>
      <c r="G284" s="71"/>
      <c r="H284" s="72" t="s">
        <v>112</v>
      </c>
      <c r="I284" s="73" t="str">
        <f t="shared" ca="1" si="54"/>
        <v>15.001</v>
      </c>
      <c r="J284" s="74" t="s">
        <v>1907</v>
      </c>
      <c r="K284" s="75"/>
      <c r="L284" s="114"/>
      <c r="M284" s="114"/>
      <c r="N284" s="94">
        <f t="shared" ca="1" si="50"/>
        <v>695689.4328585132</v>
      </c>
      <c r="O284" s="121"/>
      <c r="P284" s="76"/>
      <c r="Q284" s="418"/>
      <c r="R284" s="26"/>
      <c r="S284" s="26"/>
    </row>
    <row r="285" spans="1:19" s="25" customFormat="1" ht="13.9" hidden="1" customHeight="1" outlineLevel="1" x14ac:dyDescent="0.2">
      <c r="A285" s="116">
        <f ca="1">IF($H285="UNIDADE CONSTRUTIVA",OFFSET(A285,-1,0)+1,LARGE(A$3:A284,1))</f>
        <v>0</v>
      </c>
      <c r="B285" s="116">
        <f t="shared" ca="1" si="45"/>
        <v>15</v>
      </c>
      <c r="C285" s="116">
        <f t="shared" ca="1" si="46"/>
        <v>1</v>
      </c>
      <c r="D285" s="117">
        <f t="shared" ca="1" si="47"/>
        <v>1</v>
      </c>
      <c r="E285" s="117">
        <f t="shared" ca="1" si="48"/>
        <v>0</v>
      </c>
      <c r="F285" s="438"/>
      <c r="G285" s="71"/>
      <c r="H285" s="72" t="s">
        <v>113</v>
      </c>
      <c r="I285" s="73" t="str">
        <f t="shared" ca="1" si="54"/>
        <v>15.001.001</v>
      </c>
      <c r="J285" s="74" t="s">
        <v>1579</v>
      </c>
      <c r="K285" s="574">
        <f>SUM(L286:L289)</f>
        <v>5747.0199999999995</v>
      </c>
      <c r="L285" s="114">
        <f>L286/K285</f>
        <v>6.5625315380840848E-2</v>
      </c>
      <c r="M285" s="114"/>
      <c r="N285" s="94">
        <f t="shared" ca="1" si="50"/>
        <v>1924.5650208333332</v>
      </c>
      <c r="O285" s="121"/>
      <c r="P285" s="76"/>
      <c r="Q285" s="418" t="s">
        <v>192</v>
      </c>
      <c r="R285" s="26"/>
      <c r="S285" s="26"/>
    </row>
    <row r="286" spans="1:19" s="25" customFormat="1" ht="13.9" hidden="1" customHeight="1" outlineLevel="2" x14ac:dyDescent="0.2">
      <c r="A286" s="116">
        <f ca="1">IF($H286="UNIDADE CONSTRUTIVA",OFFSET(A286,-1,0)+1,LARGE(A$3:A285,1))</f>
        <v>0</v>
      </c>
      <c r="B286" s="116">
        <f t="shared" ca="1" si="45"/>
        <v>15</v>
      </c>
      <c r="C286" s="116">
        <f t="shared" ca="1" si="46"/>
        <v>1</v>
      </c>
      <c r="D286" s="117">
        <f t="shared" ca="1" si="47"/>
        <v>1</v>
      </c>
      <c r="E286" s="117">
        <f t="shared" ca="1" si="48"/>
        <v>1</v>
      </c>
      <c r="F286" s="438"/>
      <c r="G286" s="71"/>
      <c r="H286" s="72" t="s">
        <v>114</v>
      </c>
      <c r="I286" s="73" t="str">
        <f t="shared" ca="1" si="54"/>
        <v>15.001.001.001</v>
      </c>
      <c r="J286" s="74" t="s">
        <v>698</v>
      </c>
      <c r="K286" s="75" t="s">
        <v>1</v>
      </c>
      <c r="L286" s="114">
        <f>SUM(ARQUITETURA!H1346:H1346,ARQUITETURA!H1353)</f>
        <v>377.15</v>
      </c>
      <c r="M286" s="114">
        <f>_xlfn.XLOOKUP($J286,CPU!$D$1:$D$3085,CPU!$H$1:$H$3085)</f>
        <v>5.1029166666666663</v>
      </c>
      <c r="N286" s="94">
        <f t="shared" si="50"/>
        <v>1924.5650208333332</v>
      </c>
      <c r="O286" s="121"/>
      <c r="P286" s="76"/>
      <c r="Q286" s="418"/>
      <c r="R286" s="26"/>
      <c r="S286" s="26"/>
    </row>
    <row r="287" spans="1:19" s="25" customFormat="1" ht="13.9" hidden="1" customHeight="1" outlineLevel="1" x14ac:dyDescent="0.2">
      <c r="A287" s="116">
        <f ca="1">IF($H287="UNIDADE CONSTRUTIVA",OFFSET(A287,-1,0)+1,LARGE(A$3:A286,1))</f>
        <v>0</v>
      </c>
      <c r="B287" s="116">
        <f t="shared" ca="1" si="45"/>
        <v>15</v>
      </c>
      <c r="C287" s="116">
        <f t="shared" ca="1" si="46"/>
        <v>1</v>
      </c>
      <c r="D287" s="117">
        <f t="shared" ca="1" si="47"/>
        <v>2</v>
      </c>
      <c r="E287" s="117">
        <f t="shared" ca="1" si="48"/>
        <v>0</v>
      </c>
      <c r="F287" s="438"/>
      <c r="G287" s="71"/>
      <c r="H287" s="72" t="s">
        <v>113</v>
      </c>
      <c r="I287" s="73" t="str">
        <f t="shared" ca="1" si="54"/>
        <v>15.001.002</v>
      </c>
      <c r="J287" s="74" t="s">
        <v>1599</v>
      </c>
      <c r="K287" s="75"/>
      <c r="L287" s="114"/>
      <c r="M287" s="114"/>
      <c r="N287" s="94">
        <f t="shared" ca="1" si="50"/>
        <v>684336.11783767992</v>
      </c>
      <c r="O287" s="121"/>
      <c r="P287" s="76"/>
      <c r="Q287" s="418" t="s">
        <v>141</v>
      </c>
      <c r="R287" s="26"/>
      <c r="S287" s="26"/>
    </row>
    <row r="288" spans="1:19" s="25" customFormat="1" ht="13.9" hidden="1" customHeight="1" outlineLevel="2" x14ac:dyDescent="0.2">
      <c r="A288" s="116">
        <f ca="1">IF($H288="UNIDADE CONSTRUTIVA",OFFSET(A288,-1,0)+1,LARGE(A$3:A287,1))</f>
        <v>0</v>
      </c>
      <c r="B288" s="116">
        <f t="shared" ca="1" si="45"/>
        <v>15</v>
      </c>
      <c r="C288" s="116">
        <f t="shared" ca="1" si="46"/>
        <v>1</v>
      </c>
      <c r="D288" s="117">
        <f t="shared" ca="1" si="47"/>
        <v>2</v>
      </c>
      <c r="E288" s="117">
        <f t="shared" ca="1" si="48"/>
        <v>1</v>
      </c>
      <c r="F288" s="438"/>
      <c r="G288" s="71"/>
      <c r="H288" s="72" t="s">
        <v>114</v>
      </c>
      <c r="I288" s="73" t="str">
        <f ca="1">IF(H288="Unidade Construtiva",TEXT(A288,"00"),IF(H288="Célula Construtiva",TEXT(B288,"00"),IF(H288="Etapa",CONCATENATE(TEXT(B288,"00"),".",TEXT(C288,"000")),IF(H288="Subetapa",CONCATENATE(TEXT(B288,"00"),".",TEXT(C288,"000"),".",TEXT(D288,"000")),IF(H288="Serviço",CONCATENATE(TEXT(B288,"00"),".",TEXT(C288,"000"),".",TEXT(D288,"000"),".",TEXT(E288,"000")),"")))))</f>
        <v>15.001.002.001</v>
      </c>
      <c r="J288" s="74" t="s">
        <v>703</v>
      </c>
      <c r="K288" s="75" t="s">
        <v>1</v>
      </c>
      <c r="L288" s="114">
        <f>ARQUITETURA!H1354</f>
        <v>92.4</v>
      </c>
      <c r="M288" s="114">
        <f>_xlfn.XLOOKUP($J288,CPU!$D$1:$D$3085,CPU!$H$1:$H$3085)</f>
        <v>60</v>
      </c>
      <c r="N288" s="94">
        <f t="shared" si="50"/>
        <v>5544</v>
      </c>
      <c r="O288" s="121" t="s">
        <v>3933</v>
      </c>
      <c r="P288" s="76"/>
      <c r="Q288" s="418"/>
      <c r="R288" s="26"/>
      <c r="S288" s="26"/>
    </row>
    <row r="289" spans="1:19" s="25" customFormat="1" ht="13.9" hidden="1" customHeight="1" outlineLevel="2" x14ac:dyDescent="0.2">
      <c r="A289" s="116">
        <f ca="1">IF($H289="UNIDADE CONSTRUTIVA",OFFSET(A289,-1,0)+1,LARGE(A$3:A288,1))</f>
        <v>0</v>
      </c>
      <c r="B289" s="116">
        <f t="shared" ca="1" si="45"/>
        <v>15</v>
      </c>
      <c r="C289" s="116">
        <f t="shared" ca="1" si="46"/>
        <v>1</v>
      </c>
      <c r="D289" s="117">
        <f t="shared" ca="1" si="47"/>
        <v>2</v>
      </c>
      <c r="E289" s="117">
        <f t="shared" ca="1" si="48"/>
        <v>2</v>
      </c>
      <c r="F289" s="438"/>
      <c r="G289" s="71"/>
      <c r="H289" s="72" t="s">
        <v>114</v>
      </c>
      <c r="I289" s="73" t="str">
        <f ca="1">IF(H289="Unidade Construtiva",TEXT(A289,"00"),IF(H289="Célula Construtiva",TEXT(B289,"00"),IF(H289="Etapa",CONCATENATE(TEXT(B289,"00"),".",TEXT(C289,"000")),IF(H289="Subetapa",CONCATENATE(TEXT(B289,"00"),".",TEXT(C289,"000"),".",TEXT(D289,"000")),IF(H289="Serviço",CONCATENATE(TEXT(B289,"00"),".",TEXT(C289,"000"),".",TEXT(D289,"000"),".",TEXT(E289,"000")),"")))))</f>
        <v>15.001.002.002</v>
      </c>
      <c r="J289" s="74" t="s">
        <v>3932</v>
      </c>
      <c r="K289" s="75" t="s">
        <v>1</v>
      </c>
      <c r="L289" s="114">
        <f>ARQUITETURA!H1355</f>
        <v>5277.4699999999993</v>
      </c>
      <c r="M289" s="114">
        <f>_xlfn.XLOOKUP($J289,CPU!$D$1:$D$3085,CPU!$H$1:$H$3085)</f>
        <v>128.620744</v>
      </c>
      <c r="N289" s="94">
        <f t="shared" si="50"/>
        <v>678792.11783767992</v>
      </c>
      <c r="O289" s="121" t="s">
        <v>3934</v>
      </c>
      <c r="P289" s="76"/>
      <c r="Q289" s="418"/>
      <c r="R289" s="26"/>
      <c r="S289" s="26"/>
    </row>
    <row r="290" spans="1:19" s="25" customFormat="1" ht="13.9" hidden="1" customHeight="1" outlineLevel="2" x14ac:dyDescent="0.2">
      <c r="A290" s="116">
        <f ca="1">IF($H290="UNIDADE CONSTRUTIVA",OFFSET(A290,-1,0)+1,LARGE(A$3:A289,1))</f>
        <v>0</v>
      </c>
      <c r="B290" s="116">
        <f t="shared" ca="1" si="45"/>
        <v>15</v>
      </c>
      <c r="C290" s="116">
        <f t="shared" ca="1" si="46"/>
        <v>1</v>
      </c>
      <c r="D290" s="117">
        <f t="shared" ca="1" si="47"/>
        <v>2</v>
      </c>
      <c r="E290" s="117">
        <f t="shared" ca="1" si="48"/>
        <v>3</v>
      </c>
      <c r="F290" s="438"/>
      <c r="G290" s="71"/>
      <c r="H290" s="72" t="s">
        <v>114</v>
      </c>
      <c r="I290" s="73" t="str">
        <f ca="1">IF(H290="Unidade Construtiva",TEXT(A290,"00"),IF(H290="Célula Construtiva",TEXT(B290,"00"),IF(H290="Etapa",CONCATENATE(TEXT(B290,"00"),".",TEXT(C290,"000")),IF(H290="Subetapa",CONCATENATE(TEXT(B290,"00"),".",TEXT(C290,"000"),".",TEXT(D290,"000")),IF(H290="Serviço",CONCATENATE(TEXT(B290,"00"),".",TEXT(C290,"000"),".",TEXT(D290,"000"),".",TEXT(E290,"000")),"")))))</f>
        <v>15.001.002.003</v>
      </c>
      <c r="J290" s="74" t="s">
        <v>1752</v>
      </c>
      <c r="K290" s="75" t="s">
        <v>3</v>
      </c>
      <c r="L290" s="114">
        <f>ARQUITETURA!H1417</f>
        <v>8226.3299999999981</v>
      </c>
      <c r="M290" s="114"/>
      <c r="N290" s="94">
        <f t="shared" si="50"/>
        <v>0</v>
      </c>
      <c r="O290" s="121" t="s">
        <v>1841</v>
      </c>
      <c r="P290" s="76"/>
      <c r="Q290" s="418"/>
      <c r="R290" s="26"/>
      <c r="S290" s="26"/>
    </row>
    <row r="291" spans="1:19" s="25" customFormat="1" ht="13.9" hidden="1" customHeight="1" outlineLevel="2" x14ac:dyDescent="0.2">
      <c r="A291" s="116">
        <f ca="1">IF($H291="UNIDADE CONSTRUTIVA",OFFSET(A291,-1,0)+1,LARGE(A$3:A290,1))</f>
        <v>0</v>
      </c>
      <c r="B291" s="116">
        <f t="shared" ca="1" si="45"/>
        <v>15</v>
      </c>
      <c r="C291" s="116">
        <f t="shared" ca="1" si="46"/>
        <v>1</v>
      </c>
      <c r="D291" s="117">
        <f t="shared" ca="1" si="47"/>
        <v>2</v>
      </c>
      <c r="E291" s="117">
        <f t="shared" ca="1" si="48"/>
        <v>4</v>
      </c>
      <c r="F291" s="438"/>
      <c r="G291" s="71"/>
      <c r="H291" s="72" t="s">
        <v>114</v>
      </c>
      <c r="I291" s="73" t="str">
        <f ca="1">IF(H291="Unidade Construtiva",TEXT(A291,"00"),IF(H291="Célula Construtiva",TEXT(B291,"00"),IF(H291="Etapa",CONCATENATE(TEXT(B291,"00"),".",TEXT(C291,"000")),IF(H291="Subetapa",CONCATENATE(TEXT(B291,"00"),".",TEXT(C291,"000"),".",TEXT(D291,"000")),IF(H291="Serviço",CONCATENATE(TEXT(B291,"00"),".",TEXT(C291,"000"),".",TEXT(D291,"000"),".",TEXT(E291,"000")),"")))))</f>
        <v>15.001.002.004</v>
      </c>
      <c r="J291" s="74" t="s">
        <v>3978</v>
      </c>
      <c r="K291" s="75" t="s">
        <v>3</v>
      </c>
      <c r="L291" s="114">
        <f>ARQUITETURA!H1418</f>
        <v>83.34</v>
      </c>
      <c r="M291" s="114"/>
      <c r="N291" s="94">
        <f t="shared" si="50"/>
        <v>0</v>
      </c>
      <c r="O291" s="121" t="s">
        <v>1841</v>
      </c>
      <c r="P291" s="76"/>
      <c r="Q291" s="418"/>
      <c r="R291" s="26"/>
      <c r="S291" s="26"/>
    </row>
    <row r="292" spans="1:19" s="25" customFormat="1" ht="13.9" hidden="1" customHeight="1" outlineLevel="1" x14ac:dyDescent="0.2">
      <c r="A292" s="116">
        <f ca="1">IF($H292="UNIDADE CONSTRUTIVA",OFFSET(A292,-1,0)+1,LARGE(A$3:A291,1))</f>
        <v>0</v>
      </c>
      <c r="B292" s="116">
        <f t="shared" ca="1" si="45"/>
        <v>15</v>
      </c>
      <c r="C292" s="116">
        <f t="shared" ca="1" si="46"/>
        <v>1</v>
      </c>
      <c r="D292" s="117">
        <f t="shared" ca="1" si="47"/>
        <v>3</v>
      </c>
      <c r="E292" s="117">
        <f t="shared" ca="1" si="48"/>
        <v>0</v>
      </c>
      <c r="F292" s="438"/>
      <c r="G292" s="71"/>
      <c r="H292" s="72" t="s">
        <v>113</v>
      </c>
      <c r="I292" s="73" t="str">
        <f t="shared" ref="I292:I299" ca="1" si="55">IF(H292="Unidade Construtiva",TEXT(A292,"00"),IF(H292="Célula Construtiva",TEXT(B292,"00"),IF(H292="Etapa",CONCATENATE(TEXT(B292,"00"),".",TEXT(C292,"000")),IF(H292="Subetapa",CONCATENATE(TEXT(B292,"00"),".",TEXT(C292,"000"),".",TEXT(D292,"000")),IF(H292="Serviço",CONCATENATE(TEXT(B292,"00"),".",TEXT(C292,"000"),".",TEXT(D292,"000"),".",TEXT(E292,"000")),"")))))</f>
        <v>15.001.003</v>
      </c>
      <c r="J292" s="74" t="s">
        <v>54</v>
      </c>
      <c r="K292" s="75"/>
      <c r="L292" s="114"/>
      <c r="M292" s="114"/>
      <c r="N292" s="94">
        <f t="shared" ca="1" si="50"/>
        <v>9428.75</v>
      </c>
      <c r="O292" s="121"/>
      <c r="P292" s="76"/>
      <c r="Q292" s="418" t="s">
        <v>192</v>
      </c>
      <c r="R292" s="26"/>
      <c r="S292" s="26"/>
    </row>
    <row r="293" spans="1:19" s="25" customFormat="1" ht="13.9" hidden="1" customHeight="1" outlineLevel="2" x14ac:dyDescent="0.2">
      <c r="A293" s="116">
        <f ca="1">IF($H293="UNIDADE CONSTRUTIVA",OFFSET(A293,-1,0)+1,LARGE(A$3:A292,1))</f>
        <v>0</v>
      </c>
      <c r="B293" s="116">
        <f t="shared" ca="1" si="45"/>
        <v>15</v>
      </c>
      <c r="C293" s="116">
        <f t="shared" ca="1" si="46"/>
        <v>1</v>
      </c>
      <c r="D293" s="117">
        <f t="shared" ca="1" si="47"/>
        <v>3</v>
      </c>
      <c r="E293" s="117">
        <f t="shared" ca="1" si="48"/>
        <v>1</v>
      </c>
      <c r="F293" s="438"/>
      <c r="G293" s="71"/>
      <c r="H293" s="72" t="s">
        <v>114</v>
      </c>
      <c r="I293" s="73" t="str">
        <f t="shared" ca="1" si="55"/>
        <v>15.001.003.001</v>
      </c>
      <c r="J293" s="74" t="s">
        <v>235</v>
      </c>
      <c r="K293" s="75" t="s">
        <v>1</v>
      </c>
      <c r="L293" s="114">
        <f>L286</f>
        <v>377.15</v>
      </c>
      <c r="M293" s="114">
        <f>_xlfn.XLOOKUP($J293,CPU!$D$1:$D$3085,CPU!$H$1:$H$3085)</f>
        <v>25</v>
      </c>
      <c r="N293" s="94">
        <f t="shared" si="50"/>
        <v>9428.75</v>
      </c>
      <c r="O293" s="121"/>
      <c r="P293" s="76"/>
      <c r="Q293" s="418"/>
      <c r="R293" s="26"/>
      <c r="S293" s="26"/>
    </row>
    <row r="294" spans="1:19" s="25" customFormat="1" ht="13.9" customHeight="1" x14ac:dyDescent="0.2">
      <c r="A294" s="116">
        <f ca="1">IF($H294="UNIDADE CONSTRUTIVA",OFFSET(A294,-1,0)+1,LARGE(A$3:A293,1))</f>
        <v>0</v>
      </c>
      <c r="B294" s="116">
        <f t="shared" ca="1" si="45"/>
        <v>16</v>
      </c>
      <c r="C294" s="116">
        <f t="shared" ca="1" si="46"/>
        <v>0</v>
      </c>
      <c r="D294" s="117">
        <f t="shared" ca="1" si="47"/>
        <v>3</v>
      </c>
      <c r="E294" s="117">
        <f t="shared" ca="1" si="48"/>
        <v>1</v>
      </c>
      <c r="F294" s="523"/>
      <c r="G294" s="71"/>
      <c r="H294" s="72" t="s">
        <v>111</v>
      </c>
      <c r="I294" s="73" t="str">
        <f t="shared" ca="1" si="55"/>
        <v>16</v>
      </c>
      <c r="J294" s="74" t="s">
        <v>236</v>
      </c>
      <c r="K294" s="75"/>
      <c r="L294" s="114"/>
      <c r="M294" s="114"/>
      <c r="N294" s="94">
        <f t="shared" ca="1" si="50"/>
        <v>1461780.0210076664</v>
      </c>
      <c r="O294" s="121">
        <f ca="1">N294/'Obra '!$E$9</f>
        <v>210.68000227829026</v>
      </c>
      <c r="P294" s="76"/>
      <c r="Q294" s="418"/>
      <c r="R294" s="122"/>
      <c r="S294" s="26"/>
    </row>
    <row r="295" spans="1:19" s="25" customFormat="1" ht="13.9" customHeight="1" outlineLevel="1" x14ac:dyDescent="0.2">
      <c r="A295" s="116">
        <f ca="1">IF($H295="UNIDADE CONSTRUTIVA",OFFSET(A295,-1,0)+1,LARGE(A$3:A294,1))</f>
        <v>0</v>
      </c>
      <c r="B295" s="116">
        <f t="shared" ca="1" si="45"/>
        <v>16</v>
      </c>
      <c r="C295" s="116">
        <f t="shared" ca="1" si="46"/>
        <v>1</v>
      </c>
      <c r="D295" s="117">
        <f t="shared" ca="1" si="47"/>
        <v>0</v>
      </c>
      <c r="E295" s="117">
        <f t="shared" ca="1" si="48"/>
        <v>1</v>
      </c>
      <c r="F295" s="438"/>
      <c r="G295" s="71"/>
      <c r="H295" s="72" t="s">
        <v>112</v>
      </c>
      <c r="I295" s="73" t="str">
        <f t="shared" ca="1" si="55"/>
        <v>16.001</v>
      </c>
      <c r="J295" s="74" t="s">
        <v>236</v>
      </c>
      <c r="K295" s="75"/>
      <c r="L295" s="114"/>
      <c r="M295" s="114"/>
      <c r="N295" s="94">
        <f t="shared" ca="1" si="50"/>
        <v>1461780.0210076664</v>
      </c>
      <c r="O295" s="121"/>
      <c r="P295" s="76"/>
      <c r="Q295" s="418"/>
      <c r="R295" s="26"/>
      <c r="S295" s="26"/>
    </row>
    <row r="296" spans="1:19" s="25" customFormat="1" ht="13.9" customHeight="1" outlineLevel="1" x14ac:dyDescent="0.2">
      <c r="A296" s="116">
        <f ca="1">IF($H296="UNIDADE CONSTRUTIVA",OFFSET(A296,-1,0)+1,LARGE(A$3:A295,1))</f>
        <v>0</v>
      </c>
      <c r="B296" s="116">
        <f t="shared" ca="1" si="45"/>
        <v>16</v>
      </c>
      <c r="C296" s="116">
        <f t="shared" ca="1" si="46"/>
        <v>1</v>
      </c>
      <c r="D296" s="117">
        <f t="shared" ca="1" si="47"/>
        <v>1</v>
      </c>
      <c r="E296" s="117">
        <f t="shared" ca="1" si="48"/>
        <v>0</v>
      </c>
      <c r="F296" s="438"/>
      <c r="G296" s="71"/>
      <c r="H296" s="72" t="s">
        <v>113</v>
      </c>
      <c r="I296" s="73" t="str">
        <f t="shared" ca="1" si="55"/>
        <v>16.001.001</v>
      </c>
      <c r="J296" s="74" t="s">
        <v>57</v>
      </c>
      <c r="K296" s="75"/>
      <c r="L296" s="114"/>
      <c r="M296" s="114"/>
      <c r="N296" s="94">
        <f t="shared" ca="1" si="50"/>
        <v>410755.58468966663</v>
      </c>
      <c r="O296" s="121"/>
      <c r="P296" s="76"/>
      <c r="Q296" s="418" t="s">
        <v>1858</v>
      </c>
      <c r="R296" s="26"/>
      <c r="S296" s="26"/>
    </row>
    <row r="297" spans="1:19" s="25" customFormat="1" ht="13.9" customHeight="1" outlineLevel="2" x14ac:dyDescent="0.2">
      <c r="A297" s="116">
        <f ca="1">IF($H297="UNIDADE CONSTRUTIVA",OFFSET(A297,-1,0)+1,LARGE(A$3:A296,1))</f>
        <v>0</v>
      </c>
      <c r="B297" s="116">
        <f t="shared" ca="1" si="45"/>
        <v>16</v>
      </c>
      <c r="C297" s="116">
        <f t="shared" ca="1" si="46"/>
        <v>1</v>
      </c>
      <c r="D297" s="117">
        <f t="shared" ca="1" si="47"/>
        <v>1</v>
      </c>
      <c r="E297" s="117">
        <f t="shared" ca="1" si="48"/>
        <v>1</v>
      </c>
      <c r="F297" s="438"/>
      <c r="G297" s="71"/>
      <c r="H297" s="72" t="s">
        <v>114</v>
      </c>
      <c r="I297" s="73" t="str">
        <f ca="1">IF(H297="Unidade Construtiva",TEXT(A297,"00"),IF(H297="Célula Construtiva",TEXT(B297,"00"),IF(H297="Etapa",CONCATENATE(TEXT(B297,"00"),".",TEXT(C297,"000")),IF(H297="Subetapa",CONCATENATE(TEXT(B297,"00"),".",TEXT(C297,"000"),".",TEXT(D297,"000")),IF(H297="Serviço",CONCATENATE(TEXT(B297,"00"),".",TEXT(C297,"000"),".",TEXT(D297,"000"),".",TEXT(E297,"000")),"")))))</f>
        <v>16.001.001.001</v>
      </c>
      <c r="J297" s="74" t="s">
        <v>4092</v>
      </c>
      <c r="K297" s="75" t="s">
        <v>1</v>
      </c>
      <c r="L297" s="114">
        <f>ARQUITETURA!H1465+ARQUITETURA!H1467</f>
        <v>2851.48</v>
      </c>
      <c r="M297" s="114">
        <f>_xlfn.XLOOKUP($J297,CPU!$D$1:$D$3085,CPU!$H$1:$H$3085)</f>
        <v>37.20818666666667</v>
      </c>
      <c r="N297" s="94">
        <f t="shared" si="50"/>
        <v>106098.40011626668</v>
      </c>
      <c r="O297" s="121"/>
      <c r="P297" s="76"/>
      <c r="Q297" s="418"/>
      <c r="R297" s="26"/>
      <c r="S297" s="26"/>
    </row>
    <row r="298" spans="1:19" s="25" customFormat="1" ht="13.9" customHeight="1" outlineLevel="2" x14ac:dyDescent="0.2">
      <c r="A298" s="116">
        <f ca="1">IF($H298="UNIDADE CONSTRUTIVA",OFFSET(A298,-1,0)+1,LARGE(A$3:A297,1))</f>
        <v>0</v>
      </c>
      <c r="B298" s="116">
        <f t="shared" ca="1" si="45"/>
        <v>16</v>
      </c>
      <c r="C298" s="116">
        <f t="shared" ca="1" si="46"/>
        <v>1</v>
      </c>
      <c r="D298" s="117">
        <f t="shared" ca="1" si="47"/>
        <v>1</v>
      </c>
      <c r="E298" s="117">
        <f t="shared" ca="1" si="48"/>
        <v>2</v>
      </c>
      <c r="F298" s="438"/>
      <c r="G298" s="71"/>
      <c r="H298" s="72" t="s">
        <v>114</v>
      </c>
      <c r="I298" s="73" t="str">
        <f t="shared" ca="1" si="55"/>
        <v>16.001.001.002</v>
      </c>
      <c r="J298" s="74" t="s">
        <v>1968</v>
      </c>
      <c r="K298" s="75" t="s">
        <v>1</v>
      </c>
      <c r="L298" s="114">
        <f>ARQUITETURA!H1468</f>
        <v>2009.1299999999997</v>
      </c>
      <c r="M298" s="114">
        <f>_xlfn.XLOOKUP($J298,CPU!$D$1:$D$3085,CPU!$H$1:$H$3085)</f>
        <v>25.012280000000001</v>
      </c>
      <c r="N298" s="94">
        <f t="shared" si="50"/>
        <v>50252.92211639999</v>
      </c>
      <c r="O298" s="121"/>
      <c r="P298" s="76"/>
      <c r="Q298" s="418"/>
      <c r="R298" s="26"/>
      <c r="S298" s="26"/>
    </row>
    <row r="299" spans="1:19" s="25" customFormat="1" ht="13.9" customHeight="1" outlineLevel="2" x14ac:dyDescent="0.2">
      <c r="A299" s="116">
        <f ca="1">IF($H299="UNIDADE CONSTRUTIVA",OFFSET(A299,-1,0)+1,LARGE(A$3:A298,1))</f>
        <v>0</v>
      </c>
      <c r="B299" s="116">
        <f t="shared" ca="1" si="45"/>
        <v>16</v>
      </c>
      <c r="C299" s="116">
        <f t="shared" ca="1" si="46"/>
        <v>1</v>
      </c>
      <c r="D299" s="117">
        <f t="shared" ca="1" si="47"/>
        <v>1</v>
      </c>
      <c r="E299" s="117">
        <f t="shared" ca="1" si="48"/>
        <v>3</v>
      </c>
      <c r="F299" s="438"/>
      <c r="G299" s="71"/>
      <c r="H299" s="72" t="s">
        <v>114</v>
      </c>
      <c r="I299" s="73" t="str">
        <f t="shared" ca="1" si="55"/>
        <v>16.001.001.003</v>
      </c>
      <c r="J299" s="74" t="s">
        <v>172</v>
      </c>
      <c r="K299" s="75" t="s">
        <v>1</v>
      </c>
      <c r="L299" s="114">
        <f>ARQUITETURA!H1469+ARQUITETURA!H1471+ARQUITETURA!H1472+ARQUITETURA!E1462+ARQUITETURA!E1463</f>
        <v>1577.4699999999996</v>
      </c>
      <c r="M299" s="114">
        <f>_xlfn.XLOOKUP($J299,CPU!$D$1:$D$3085,CPU!$H$1:$H$3085)</f>
        <v>30.926900000000003</v>
      </c>
      <c r="N299" s="94">
        <f t="shared" si="50"/>
        <v>48786.256942999993</v>
      </c>
      <c r="O299" s="121"/>
      <c r="P299" s="76"/>
      <c r="Q299" s="418"/>
      <c r="R299" s="26"/>
      <c r="S299" s="26"/>
    </row>
    <row r="300" spans="1:19" s="25" customFormat="1" ht="13.9" customHeight="1" outlineLevel="2" x14ac:dyDescent="0.2">
      <c r="A300" s="116">
        <f ca="1">IF($H300="UNIDADE CONSTRUTIVA",OFFSET(A300,-1,0)+1,LARGE(A$3:A299,1))</f>
        <v>0</v>
      </c>
      <c r="B300" s="116">
        <f t="shared" ca="1" si="45"/>
        <v>16</v>
      </c>
      <c r="C300" s="116">
        <f t="shared" ca="1" si="46"/>
        <v>1</v>
      </c>
      <c r="D300" s="117">
        <f t="shared" ca="1" si="47"/>
        <v>1</v>
      </c>
      <c r="E300" s="117">
        <f t="shared" ca="1" si="48"/>
        <v>4</v>
      </c>
      <c r="F300" s="438"/>
      <c r="G300" s="71"/>
      <c r="H300" s="72" t="s">
        <v>114</v>
      </c>
      <c r="I300" s="73" t="str">
        <f ca="1">IF(H300="Unidade Construtiva",TEXT(A300,"00"),IF(H300="Célula Construtiva",TEXT(B300,"00"),IF(H300="Etapa",CONCATENATE(TEXT(B300,"00"),".",TEXT(C300,"000")),IF(H300="Subetapa",CONCATENATE(TEXT(B300,"00"),".",TEXT(C300,"000"),".",TEXT(D300,"000")),IF(H300="Serviço",CONCATENATE(TEXT(B300,"00"),".",TEXT(C300,"000"),".",TEXT(D300,"000"),".",TEXT(E300,"000")),"")))))</f>
        <v>16.001.001.004</v>
      </c>
      <c r="J300" s="74" t="s">
        <v>717</v>
      </c>
      <c r="K300" s="75" t="s">
        <v>1</v>
      </c>
      <c r="L300" s="114">
        <f>ARQUITETURA!H1470</f>
        <v>7.02</v>
      </c>
      <c r="M300" s="114">
        <f>_xlfn.XLOOKUP($J300,CPU!$D$1:$D$3085,CPU!$H$1:$H$3085)</f>
        <v>62.530699999999996</v>
      </c>
      <c r="N300" s="94">
        <f t="shared" si="50"/>
        <v>438.96551399999993</v>
      </c>
      <c r="O300" s="121"/>
      <c r="P300" s="76"/>
      <c r="Q300" s="418"/>
      <c r="R300" s="26"/>
      <c r="S300" s="26"/>
    </row>
    <row r="301" spans="1:19" s="25" customFormat="1" ht="13.9" customHeight="1" outlineLevel="2" x14ac:dyDescent="0.2">
      <c r="A301" s="116">
        <f ca="1">IF($H301="UNIDADE CONSTRUTIVA",OFFSET(A301,-1,0)+1,LARGE(A$3:A298,1))</f>
        <v>0</v>
      </c>
      <c r="B301" s="116">
        <f t="shared" ref="B301" ca="1" si="56">IF(H301="UNIDADE CONSTRUTIVA",0,IF(H301="CÉLULA CONSTRUTIVA",OFFSET(B301,-1,0)+1,OFFSET(B301,-1,0)))</f>
        <v>16</v>
      </c>
      <c r="C301" s="116">
        <f t="shared" ref="C301" ca="1" si="57">IF(H301="CÉLULA CONSTRUTIVA",0,IF(H301="ETAPA",OFFSET(C301,-1,0)+1,OFFSET(C301,-1,0)))</f>
        <v>1</v>
      </c>
      <c r="D301" s="117">
        <f t="shared" ref="D301" ca="1" si="58">IF(H301="ETAPA",0,IF(H301="SUBETAPA",OFFSET(D301,-1,0)+1,OFFSET(D301,-1,0)))</f>
        <v>1</v>
      </c>
      <c r="E301" s="117">
        <f t="shared" ref="E301" ca="1" si="59">IF(H301="Subetapa",0,IF(H301="serviço",OFFSET(E301,-1,0)+1,OFFSET(E301,-1,0)))</f>
        <v>5</v>
      </c>
      <c r="F301" s="438"/>
      <c r="G301" s="71"/>
      <c r="H301" s="72" t="s">
        <v>114</v>
      </c>
      <c r="I301" s="73" t="str">
        <f ca="1">IF(H301="Unidade Construtiva",TEXT(A301,"00"),IF(H301="Célula Construtiva",TEXT(B301,"00"),IF(H301="Etapa",CONCATENATE(TEXT(B301,"00"),".",TEXT(C301,"000")),IF(H301="Subetapa",CONCATENATE(TEXT(B301,"00"),".",TEXT(C301,"000"),".",TEXT(D301,"000")),IF(H301="Serviço",CONCATENATE(TEXT(B301,"00"),".",TEXT(C301,"000"),".",TEXT(D301,"000"),".",TEXT(E301,"000")),"")))))</f>
        <v>16.001.001.005</v>
      </c>
      <c r="J301" s="74" t="s">
        <v>6968</v>
      </c>
      <c r="K301" s="75" t="s">
        <v>1</v>
      </c>
      <c r="L301" s="114">
        <f>ARQUITETURA!F1497+ARQUITETURA!F1555+ARQUITETURA!F1556+ARQUITETURA!F1584+ARQUITETURA!F1585</f>
        <v>420.24</v>
      </c>
      <c r="M301" s="114">
        <f>_xlfn.XLOOKUP($J301,CPU!$D$1:$D$3085,CPU!$H$1:$H$3085)</f>
        <v>143</v>
      </c>
      <c r="N301" s="94">
        <f t="shared" si="50"/>
        <v>60094.32</v>
      </c>
      <c r="O301" s="121" t="s">
        <v>6973</v>
      </c>
      <c r="P301" s="76"/>
      <c r="Q301" s="418"/>
      <c r="R301" s="26"/>
      <c r="S301" s="26"/>
    </row>
    <row r="302" spans="1:19" s="25" customFormat="1" ht="13.9" customHeight="1" outlineLevel="2" x14ac:dyDescent="0.2">
      <c r="A302" s="116">
        <f ca="1">IF($H302="UNIDADE CONSTRUTIVA",OFFSET(A302,-1,0)+1,LARGE(A$3:A299,1))</f>
        <v>0</v>
      </c>
      <c r="B302" s="116">
        <f t="shared" ca="1" si="45"/>
        <v>16</v>
      </c>
      <c r="C302" s="116">
        <f t="shared" ca="1" si="46"/>
        <v>1</v>
      </c>
      <c r="D302" s="117">
        <f t="shared" ca="1" si="47"/>
        <v>1</v>
      </c>
      <c r="E302" s="117">
        <f t="shared" ca="1" si="48"/>
        <v>6</v>
      </c>
      <c r="F302" s="438"/>
      <c r="G302" s="71"/>
      <c r="H302" s="72" t="s">
        <v>114</v>
      </c>
      <c r="I302" s="73" t="str">
        <f ca="1">IF(H302="Unidade Construtiva",TEXT(A302,"00"),IF(H302="Célula Construtiva",TEXT(B302,"00"),IF(H302="Etapa",CONCATENATE(TEXT(B302,"00"),".",TEXT(C302,"000")),IF(H302="Subetapa",CONCATENATE(TEXT(B302,"00"),".",TEXT(C302,"000"),".",TEXT(D302,"000")),IF(H302="Serviço",CONCATENATE(TEXT(B302,"00"),".",TEXT(C302,"000"),".",TEXT(D302,"000"),".",TEXT(E302,"000")),"")))))</f>
        <v>16.001.001.006</v>
      </c>
      <c r="J302" s="74" t="s">
        <v>6969</v>
      </c>
      <c r="K302" s="75" t="s">
        <v>1</v>
      </c>
      <c r="L302" s="114">
        <f>ARQUITETURA!F1495+ARQUITETURA!F1507+ARQUITETURA!F1519+ARQUITETURA!F1531+ARQUITETURA!F1543+ARQUITETURA!F1572</f>
        <v>136.16</v>
      </c>
      <c r="M302" s="114">
        <f>_xlfn.XLOOKUP($J302,CPU!$D$1:$D$3085,CPU!$H$1:$H$3085)</f>
        <v>242.00000000000003</v>
      </c>
      <c r="N302" s="94">
        <f t="shared" si="50"/>
        <v>32950.720000000001</v>
      </c>
      <c r="O302" s="121" t="s">
        <v>6974</v>
      </c>
      <c r="P302" s="76"/>
      <c r="Q302" s="418"/>
      <c r="R302" s="26"/>
      <c r="S302" s="26"/>
    </row>
    <row r="303" spans="1:19" s="25" customFormat="1" ht="13.9" customHeight="1" outlineLevel="2" x14ac:dyDescent="0.2">
      <c r="A303" s="116">
        <f ca="1">IF($H303="UNIDADE CONSTRUTIVA",OFFSET(A303,-1,0)+1,LARGE(A$3:A300,1))</f>
        <v>0</v>
      </c>
      <c r="B303" s="116">
        <f t="shared" ref="B303" ca="1" si="60">IF(H303="UNIDADE CONSTRUTIVA",0,IF(H303="CÉLULA CONSTRUTIVA",OFFSET(B303,-1,0)+1,OFFSET(B303,-1,0)))</f>
        <v>16</v>
      </c>
      <c r="C303" s="116">
        <f t="shared" ref="C303" ca="1" si="61">IF(H303="CÉLULA CONSTRUTIVA",0,IF(H303="ETAPA",OFFSET(C303,-1,0)+1,OFFSET(C303,-1,0)))</f>
        <v>1</v>
      </c>
      <c r="D303" s="117">
        <f t="shared" ref="D303" ca="1" si="62">IF(H303="ETAPA",0,IF(H303="SUBETAPA",OFFSET(D303,-1,0)+1,OFFSET(D303,-1,0)))</f>
        <v>1</v>
      </c>
      <c r="E303" s="117">
        <f t="shared" ref="E303" ca="1" si="63">IF(H303="Subetapa",0,IF(H303="serviço",OFFSET(E303,-1,0)+1,OFFSET(E303,-1,0)))</f>
        <v>7</v>
      </c>
      <c r="F303" s="438"/>
      <c r="G303" s="71"/>
      <c r="H303" s="72" t="s">
        <v>114</v>
      </c>
      <c r="I303" s="73" t="str">
        <f ca="1">IF(H303="Unidade Construtiva",TEXT(A303,"00"),IF(H303="Célula Construtiva",TEXT(B303,"00"),IF(H303="Etapa",CONCATENATE(TEXT(B303,"00"),".",TEXT(C303,"000")),IF(H303="Subetapa",CONCATENATE(TEXT(B303,"00"),".",TEXT(C303,"000"),".",TEXT(D303,"000")),IF(H303="Serviço",CONCATENATE(TEXT(B303,"00"),".",TEXT(C303,"000"),".",TEXT(D303,"000"),".",TEXT(E303,"000")),"")))))</f>
        <v>16.001.001.007</v>
      </c>
      <c r="J303" s="74" t="s">
        <v>6971</v>
      </c>
      <c r="K303" s="75" t="s">
        <v>1</v>
      </c>
      <c r="L303" s="114">
        <f>ARQUITETURA!G1584+ARQUITETURA!G1585</f>
        <v>84.949999999999989</v>
      </c>
      <c r="M303" s="114">
        <f>_xlfn.XLOOKUP($J303,CPU!$D$1:$D$3085,CPU!$H$1:$H$3085)</f>
        <v>1320</v>
      </c>
      <c r="N303" s="94">
        <f t="shared" si="50"/>
        <v>112133.99999999999</v>
      </c>
      <c r="O303" s="121" t="s">
        <v>6975</v>
      </c>
      <c r="P303" s="76"/>
      <c r="Q303" s="418"/>
      <c r="R303" s="26"/>
      <c r="S303" s="26"/>
    </row>
    <row r="304" spans="1:19" s="25" customFormat="1" ht="13.9" customHeight="1" outlineLevel="1" x14ac:dyDescent="0.2">
      <c r="A304" s="116">
        <f ca="1">IF($H304="UNIDADE CONSTRUTIVA",OFFSET(A304,-1,0)+1,LARGE(A$3:A300,1))</f>
        <v>0</v>
      </c>
      <c r="B304" s="116">
        <f t="shared" ca="1" si="45"/>
        <v>16</v>
      </c>
      <c r="C304" s="116">
        <f t="shared" ca="1" si="46"/>
        <v>1</v>
      </c>
      <c r="D304" s="117">
        <f t="shared" ca="1" si="47"/>
        <v>2</v>
      </c>
      <c r="E304" s="117">
        <f t="shared" ca="1" si="48"/>
        <v>0</v>
      </c>
      <c r="F304" s="438"/>
      <c r="G304" s="71"/>
      <c r="H304" s="72" t="s">
        <v>113</v>
      </c>
      <c r="I304" s="73" t="str">
        <f t="shared" ref="I304:I329" ca="1" si="64">IF(H304="Unidade Construtiva",TEXT(A304,"00"),IF(H304="Célula Construtiva",TEXT(B304,"00"),IF(H304="Etapa",CONCATENATE(TEXT(B304,"00"),".",TEXT(C304,"000")),IF(H304="Subetapa",CONCATENATE(TEXT(B304,"00"),".",TEXT(C304,"000"),".",TEXT(D304,"000")),IF(H304="Serviço",CONCATENATE(TEXT(B304,"00"),".",TEXT(C304,"000"),".",TEXT(D304,"000"),".",TEXT(E304,"000")),"")))))</f>
        <v>16.001.002</v>
      </c>
      <c r="J304" s="74" t="s">
        <v>1631</v>
      </c>
      <c r="K304" s="75"/>
      <c r="L304" s="114"/>
      <c r="M304" s="114"/>
      <c r="N304" s="94">
        <f t="shared" ca="1" si="50"/>
        <v>191.25764999999998</v>
      </c>
      <c r="O304" s="121"/>
      <c r="P304" s="76"/>
      <c r="Q304" s="418" t="s">
        <v>1858</v>
      </c>
      <c r="R304" s="26"/>
      <c r="S304" s="26"/>
    </row>
    <row r="305" spans="1:19" s="25" customFormat="1" ht="13.9" customHeight="1" outlineLevel="2" x14ac:dyDescent="0.2">
      <c r="A305" s="116">
        <f ca="1">IF($H305="UNIDADE CONSTRUTIVA",OFFSET(A305,-1,0)+1,LARGE(A$3:A304,1))</f>
        <v>0</v>
      </c>
      <c r="B305" s="116">
        <f t="shared" ca="1" si="45"/>
        <v>16</v>
      </c>
      <c r="C305" s="116">
        <f t="shared" ca="1" si="46"/>
        <v>1</v>
      </c>
      <c r="D305" s="117">
        <f t="shared" ca="1" si="47"/>
        <v>2</v>
      </c>
      <c r="E305" s="117">
        <f t="shared" ca="1" si="48"/>
        <v>1</v>
      </c>
      <c r="F305" s="438"/>
      <c r="G305" s="71"/>
      <c r="H305" s="72" t="s">
        <v>114</v>
      </c>
      <c r="I305" s="73" t="str">
        <f t="shared" ca="1" si="64"/>
        <v>16.001.002.001</v>
      </c>
      <c r="J305" s="130" t="s">
        <v>4098</v>
      </c>
      <c r="K305" s="75" t="s">
        <v>1</v>
      </c>
      <c r="L305" s="114">
        <f>ARQUITETURA!H1597+ARQUITETURA!H1598</f>
        <v>12.75</v>
      </c>
      <c r="M305" s="114">
        <f>_xlfn.XLOOKUP($J305,CPU!$D$1:$D$3085,CPU!$H$1:$H$3085)</f>
        <v>15.000599999999999</v>
      </c>
      <c r="N305" s="94">
        <f t="shared" si="50"/>
        <v>191.25764999999998</v>
      </c>
      <c r="O305" s="121"/>
      <c r="P305" s="76"/>
      <c r="Q305" s="418"/>
      <c r="R305" s="26"/>
      <c r="S305" s="26"/>
    </row>
    <row r="306" spans="1:19" s="25" customFormat="1" ht="13.9" customHeight="1" outlineLevel="1" x14ac:dyDescent="0.2">
      <c r="A306" s="116">
        <f ca="1">IF($H306="UNIDADE CONSTRUTIVA",OFFSET(A306,-1,0)+1,LARGE(A$3:A305,1))</f>
        <v>0</v>
      </c>
      <c r="B306" s="116">
        <f t="shared" ca="1" si="45"/>
        <v>16</v>
      </c>
      <c r="C306" s="116">
        <f t="shared" ca="1" si="46"/>
        <v>1</v>
      </c>
      <c r="D306" s="117">
        <f t="shared" ca="1" si="47"/>
        <v>3</v>
      </c>
      <c r="E306" s="117">
        <f t="shared" ca="1" si="48"/>
        <v>0</v>
      </c>
      <c r="F306" s="438"/>
      <c r="G306" s="71"/>
      <c r="H306" s="72" t="s">
        <v>113</v>
      </c>
      <c r="I306" s="73" t="str">
        <f t="shared" ca="1" si="64"/>
        <v>16.001.003</v>
      </c>
      <c r="J306" s="74" t="s">
        <v>1633</v>
      </c>
      <c r="K306" s="75"/>
      <c r="L306" s="114"/>
      <c r="M306" s="114"/>
      <c r="N306" s="94">
        <f t="shared" ca="1" si="50"/>
        <v>327496.17088500003</v>
      </c>
      <c r="O306" s="121"/>
      <c r="P306" s="76"/>
      <c r="Q306" s="418" t="s">
        <v>140</v>
      </c>
      <c r="R306" s="26"/>
      <c r="S306" s="26"/>
    </row>
    <row r="307" spans="1:19" s="25" customFormat="1" ht="13.9" customHeight="1" outlineLevel="2" x14ac:dyDescent="0.2">
      <c r="A307" s="116">
        <f ca="1">IF($H307="UNIDADE CONSTRUTIVA",OFFSET(A307,-1,0)+1,LARGE(A$3:A306,1))</f>
        <v>0</v>
      </c>
      <c r="B307" s="116">
        <f t="shared" ca="1" si="45"/>
        <v>16</v>
      </c>
      <c r="C307" s="116">
        <f t="shared" ca="1" si="46"/>
        <v>1</v>
      </c>
      <c r="D307" s="117">
        <f t="shared" ca="1" si="47"/>
        <v>3</v>
      </c>
      <c r="E307" s="117">
        <f t="shared" ca="1" si="48"/>
        <v>1</v>
      </c>
      <c r="F307" s="438"/>
      <c r="G307" s="71"/>
      <c r="H307" s="72" t="s">
        <v>114</v>
      </c>
      <c r="I307" s="73" t="str">
        <f t="shared" ca="1" si="64"/>
        <v>16.001.003.001</v>
      </c>
      <c r="J307" s="130" t="s">
        <v>4243</v>
      </c>
      <c r="K307" s="75" t="s">
        <v>1</v>
      </c>
      <c r="L307" s="114">
        <f>ARQUITETURA!H1603+ARQUITETURA!H1604+ARQUITETURA!H1620+ARQUITETURA!H1639</f>
        <v>419.94</v>
      </c>
      <c r="M307" s="114">
        <f>_xlfn.XLOOKUP($J307,CPU!$D$1:$D$3085,CPU!$H$1:$H$3085)</f>
        <v>95.698000000000008</v>
      </c>
      <c r="N307" s="94">
        <f t="shared" si="50"/>
        <v>40187.418120000002</v>
      </c>
      <c r="O307" s="121" t="s">
        <v>4245</v>
      </c>
      <c r="P307" s="76"/>
      <c r="Q307" s="418"/>
      <c r="R307" s="26"/>
      <c r="S307" s="26"/>
    </row>
    <row r="308" spans="1:19" s="25" customFormat="1" ht="13.9" customHeight="1" outlineLevel="2" x14ac:dyDescent="0.2">
      <c r="A308" s="116">
        <f ca="1">IF($H308="UNIDADE CONSTRUTIVA",OFFSET(A308,-1,0)+1,LARGE(A$3:A307,1))</f>
        <v>0</v>
      </c>
      <c r="B308" s="116">
        <f t="shared" ca="1" si="45"/>
        <v>16</v>
      </c>
      <c r="C308" s="116">
        <f t="shared" ca="1" si="46"/>
        <v>1</v>
      </c>
      <c r="D308" s="117">
        <f t="shared" ca="1" si="47"/>
        <v>3</v>
      </c>
      <c r="E308" s="117">
        <f t="shared" ca="1" si="48"/>
        <v>2</v>
      </c>
      <c r="F308" s="438"/>
      <c r="G308" s="71"/>
      <c r="H308" s="72" t="s">
        <v>114</v>
      </c>
      <c r="I308" s="73" t="str">
        <f t="shared" ca="1" si="64"/>
        <v>16.001.003.002</v>
      </c>
      <c r="J308" s="130" t="s">
        <v>4246</v>
      </c>
      <c r="K308" s="75" t="s">
        <v>1</v>
      </c>
      <c r="L308" s="114">
        <f>ARQUITETURA!H1640+ARQUITETURA!H1637+ARQUITETURA!H1636+ARQUITETURA!H1635+ARQUITETURA!H1633+ARQUITETURA!H1632+ARQUITETURA!H1631+ARQUITETURA!H1630+ARQUITETURA!H1628+ARQUITETURA!H1625+ARQUITETURA!H1621+ARQUITETURA!H1619+ARQUITETURA!H1618+ARQUITETURA!H1617+ARQUITETURA!H1616+ARQUITETURA!H1615+ARQUITETURA!H1614+ARQUITETURA!H1613+ARQUITETURA!H1608+ARQUITETURA!H1607+ARQUITETURA!H1605</f>
        <v>1254.5099999999998</v>
      </c>
      <c r="M308" s="114">
        <f>_xlfn.XLOOKUP($J308,CPU!$D$1:$D$3085,CPU!$H$1:$H$3085)</f>
        <v>154.62050000000002</v>
      </c>
      <c r="N308" s="94">
        <f t="shared" si="50"/>
        <v>193972.96345499999</v>
      </c>
      <c r="O308" s="121"/>
      <c r="P308" s="76"/>
      <c r="Q308" s="418"/>
      <c r="R308" s="26"/>
      <c r="S308" s="26"/>
    </row>
    <row r="309" spans="1:19" s="25" customFormat="1" ht="13.9" customHeight="1" outlineLevel="2" x14ac:dyDescent="0.2">
      <c r="A309" s="116">
        <f ca="1">IF($H309="UNIDADE CONSTRUTIVA",OFFSET(A309,-1,0)+1,LARGE(A$3:A308,1))</f>
        <v>0</v>
      </c>
      <c r="B309" s="116">
        <f t="shared" ca="1" si="45"/>
        <v>16</v>
      </c>
      <c r="C309" s="116">
        <f t="shared" ca="1" si="46"/>
        <v>1</v>
      </c>
      <c r="D309" s="117">
        <f t="shared" ca="1" si="47"/>
        <v>3</v>
      </c>
      <c r="E309" s="117">
        <f t="shared" ca="1" si="48"/>
        <v>3</v>
      </c>
      <c r="F309" s="438"/>
      <c r="G309" s="71"/>
      <c r="H309" s="72" t="s">
        <v>114</v>
      </c>
      <c r="I309" s="73" t="str">
        <f t="shared" ref="I309" ca="1" si="65">IF(H309="Unidade Construtiva",TEXT(A309,"00"),IF(H309="Célula Construtiva",TEXT(B309,"00"),IF(H309="Etapa",CONCATENATE(TEXT(B309,"00"),".",TEXT(C309,"000")),IF(H309="Subetapa",CONCATENATE(TEXT(B309,"00"),".",TEXT(C309,"000"),".",TEXT(D309,"000")),IF(H309="Serviço",CONCATENATE(TEXT(B309,"00"),".",TEXT(C309,"000"),".",TEXT(D309,"000"),".",TEXT(E309,"000")),"")))))</f>
        <v>16.001.003.003</v>
      </c>
      <c r="J309" s="130" t="s">
        <v>4248</v>
      </c>
      <c r="K309" s="75" t="s">
        <v>1</v>
      </c>
      <c r="L309" s="114">
        <f>ARQUITETURA!H1601+ARQUITETURA!H1606+ARQUITETURA!H1609+ARQUITETURA!H1611+ARQUITETURA!H1627+ARQUITETURA!H1629+ARQUITETURA!H1634+ARQUITETURA!H1638</f>
        <v>928.09</v>
      </c>
      <c r="M309" s="114">
        <f>_xlfn.XLOOKUP($J309,CPU!$D$1:$D$3085,CPU!$H$1:$H$3085)</f>
        <v>61.021499999999996</v>
      </c>
      <c r="N309" s="94">
        <f t="shared" si="50"/>
        <v>56633.443934999996</v>
      </c>
      <c r="O309" s="121" t="s">
        <v>4249</v>
      </c>
      <c r="P309" s="76"/>
      <c r="Q309" s="418"/>
      <c r="R309" s="26"/>
      <c r="S309" s="26"/>
    </row>
    <row r="310" spans="1:19" s="25" customFormat="1" ht="13.9" customHeight="1" outlineLevel="2" x14ac:dyDescent="0.2">
      <c r="A310" s="116">
        <f ca="1">IF($H310="UNIDADE CONSTRUTIVA",OFFSET(A310,-1,0)+1,LARGE(A$3:A309,1))</f>
        <v>0</v>
      </c>
      <c r="B310" s="116">
        <f t="shared" ca="1" si="45"/>
        <v>16</v>
      </c>
      <c r="C310" s="116">
        <f t="shared" ca="1" si="46"/>
        <v>1</v>
      </c>
      <c r="D310" s="117">
        <f t="shared" ca="1" si="47"/>
        <v>3</v>
      </c>
      <c r="E310" s="117">
        <f t="shared" ca="1" si="48"/>
        <v>4</v>
      </c>
      <c r="F310" s="438"/>
      <c r="G310" s="71"/>
      <c r="H310" s="72" t="s">
        <v>114</v>
      </c>
      <c r="I310" s="73" t="str">
        <f t="shared" ca="1" si="64"/>
        <v>16.001.003.004</v>
      </c>
      <c r="J310" s="130" t="s">
        <v>4250</v>
      </c>
      <c r="K310" s="75" t="s">
        <v>1</v>
      </c>
      <c r="L310" s="114">
        <f>ARQUITETURA!H1624+ARQUITETURA!H1622+ARQUITETURA!H1612+ARQUITETURA!H1610</f>
        <v>61.739999999999995</v>
      </c>
      <c r="M310" s="114">
        <f>_xlfn.XLOOKUP($J310,CPU!$D$1:$D$3085,CPU!$H$1:$H$3085)</f>
        <v>96.892500000000013</v>
      </c>
      <c r="N310" s="94">
        <f t="shared" si="50"/>
        <v>5982.1429500000004</v>
      </c>
      <c r="O310" s="121"/>
      <c r="P310" s="76"/>
      <c r="Q310" s="418"/>
      <c r="R310" s="26"/>
      <c r="S310" s="26"/>
    </row>
    <row r="311" spans="1:19" s="25" customFormat="1" ht="13.9" customHeight="1" outlineLevel="2" x14ac:dyDescent="0.2">
      <c r="A311" s="116">
        <f ca="1">IF($H311="UNIDADE CONSTRUTIVA",OFFSET(A311,-1,0)+1,LARGE(A$3:A310,1))</f>
        <v>0</v>
      </c>
      <c r="B311" s="116">
        <f t="shared" ca="1" si="45"/>
        <v>16</v>
      </c>
      <c r="C311" s="116">
        <f t="shared" ca="1" si="46"/>
        <v>1</v>
      </c>
      <c r="D311" s="117">
        <f t="shared" ca="1" si="47"/>
        <v>3</v>
      </c>
      <c r="E311" s="117">
        <f t="shared" ca="1" si="48"/>
        <v>5</v>
      </c>
      <c r="F311" s="438"/>
      <c r="G311" s="71"/>
      <c r="H311" s="72" t="s">
        <v>114</v>
      </c>
      <c r="I311" s="73" t="str">
        <f t="shared" ca="1" si="64"/>
        <v>16.001.003.005</v>
      </c>
      <c r="J311" s="130" t="s">
        <v>785</v>
      </c>
      <c r="K311" s="75" t="s">
        <v>1</v>
      </c>
      <c r="L311" s="114">
        <f>ARQUITETURA!H639+ARQUITETURA!H640+ARQUITETURA!H1602+ARQUITETURA!H1623+ARQUITETURA!H1626</f>
        <v>143.55000000000001</v>
      </c>
      <c r="M311" s="114">
        <f>_xlfn.XLOOKUP($J311,CPU!$D$1:$D$3085,CPU!$H$1:$H$3085)</f>
        <v>214.0035</v>
      </c>
      <c r="N311" s="94">
        <f t="shared" si="50"/>
        <v>30720.202425000003</v>
      </c>
      <c r="O311" s="121" t="s">
        <v>1768</v>
      </c>
      <c r="P311" s="76"/>
      <c r="Q311" s="418"/>
      <c r="R311" s="26"/>
      <c r="S311" s="26"/>
    </row>
    <row r="312" spans="1:19" s="25" customFormat="1" ht="13.9" customHeight="1" outlineLevel="1" x14ac:dyDescent="0.2">
      <c r="A312" s="116">
        <f ca="1">IF($H312="UNIDADE CONSTRUTIVA",OFFSET(A312,-1,0)+1,LARGE(A$3:A311,1))</f>
        <v>0</v>
      </c>
      <c r="B312" s="116">
        <f t="shared" ca="1" si="45"/>
        <v>16</v>
      </c>
      <c r="C312" s="116">
        <f t="shared" ca="1" si="46"/>
        <v>1</v>
      </c>
      <c r="D312" s="117">
        <f t="shared" ca="1" si="47"/>
        <v>4</v>
      </c>
      <c r="E312" s="117">
        <f t="shared" ca="1" si="48"/>
        <v>0</v>
      </c>
      <c r="F312" s="438"/>
      <c r="G312" s="71"/>
      <c r="H312" s="72" t="s">
        <v>113</v>
      </c>
      <c r="I312" s="73" t="str">
        <f t="shared" ca="1" si="64"/>
        <v>16.001.004</v>
      </c>
      <c r="J312" s="74" t="s">
        <v>1908</v>
      </c>
      <c r="K312" s="75"/>
      <c r="L312" s="114"/>
      <c r="M312" s="114"/>
      <c r="N312" s="94">
        <f t="shared" ca="1" si="50"/>
        <v>5483.7005499999996</v>
      </c>
      <c r="O312" s="121"/>
      <c r="P312" s="76"/>
      <c r="Q312" s="418" t="s">
        <v>140</v>
      </c>
      <c r="R312" s="26"/>
      <c r="S312" s="26"/>
    </row>
    <row r="313" spans="1:19" s="25" customFormat="1" ht="13.9" customHeight="1" outlineLevel="2" x14ac:dyDescent="0.2">
      <c r="A313" s="116">
        <f ca="1">IF($H313="UNIDADE CONSTRUTIVA",OFFSET(A313,-1,0)+1,LARGE(A$3:A312,1))</f>
        <v>0</v>
      </c>
      <c r="B313" s="116">
        <f t="shared" ca="1" si="45"/>
        <v>16</v>
      </c>
      <c r="C313" s="116">
        <f t="shared" ca="1" si="46"/>
        <v>1</v>
      </c>
      <c r="D313" s="117">
        <f t="shared" ca="1" si="47"/>
        <v>4</v>
      </c>
      <c r="E313" s="117">
        <f t="shared" ca="1" si="48"/>
        <v>1</v>
      </c>
      <c r="F313" s="438"/>
      <c r="G313" s="71"/>
      <c r="H313" s="72" t="s">
        <v>114</v>
      </c>
      <c r="I313" s="73" t="str">
        <f t="shared" ca="1" si="64"/>
        <v>16.001.004.001</v>
      </c>
      <c r="J313" s="74" t="s">
        <v>4253</v>
      </c>
      <c r="K313" s="75" t="s">
        <v>1</v>
      </c>
      <c r="L313" s="114">
        <f>ARQUITETURA!H1732</f>
        <v>7.69</v>
      </c>
      <c r="M313" s="114">
        <f>_xlfn.XLOOKUP($J313,CPU!$D$1:$D$3085,CPU!$H$1:$H$3085)</f>
        <v>713.09499999999991</v>
      </c>
      <c r="N313" s="94">
        <f t="shared" si="50"/>
        <v>5483.7005499999996</v>
      </c>
      <c r="O313" s="121"/>
      <c r="P313" s="76"/>
      <c r="Q313" s="418"/>
      <c r="R313" s="26"/>
      <c r="S313" s="26"/>
    </row>
    <row r="314" spans="1:19" s="25" customFormat="1" ht="13.9" customHeight="1" outlineLevel="1" x14ac:dyDescent="0.2">
      <c r="A314" s="116">
        <f ca="1">IF($H314="UNIDADE CONSTRUTIVA",OFFSET(A314,-1,0)+1,LARGE(A$3:A313,1))</f>
        <v>0</v>
      </c>
      <c r="B314" s="116">
        <f t="shared" ca="1" si="45"/>
        <v>16</v>
      </c>
      <c r="C314" s="116">
        <f t="shared" ca="1" si="46"/>
        <v>1</v>
      </c>
      <c r="D314" s="117">
        <f t="shared" ca="1" si="47"/>
        <v>5</v>
      </c>
      <c r="E314" s="117">
        <f t="shared" ca="1" si="48"/>
        <v>0</v>
      </c>
      <c r="F314" s="438"/>
      <c r="G314" s="71"/>
      <c r="H314" s="72" t="s">
        <v>113</v>
      </c>
      <c r="I314" s="73" t="str">
        <f t="shared" ca="1" si="64"/>
        <v>16.001.005</v>
      </c>
      <c r="J314" s="74" t="s">
        <v>1906</v>
      </c>
      <c r="K314" s="75"/>
      <c r="L314" s="114"/>
      <c r="M314" s="114"/>
      <c r="N314" s="94">
        <f t="shared" ca="1" si="50"/>
        <v>27030</v>
      </c>
      <c r="O314" s="121"/>
      <c r="P314" s="76"/>
      <c r="Q314" s="418" t="s">
        <v>140</v>
      </c>
      <c r="R314" s="26"/>
      <c r="S314" s="26"/>
    </row>
    <row r="315" spans="1:19" s="25" customFormat="1" ht="13.9" customHeight="1" outlineLevel="2" x14ac:dyDescent="0.2">
      <c r="A315" s="116">
        <f ca="1">IF($H315="UNIDADE CONSTRUTIVA",OFFSET(A315,-1,0)+1,LARGE(A$3:A314,1))</f>
        <v>0</v>
      </c>
      <c r="B315" s="116">
        <f t="shared" ca="1" si="45"/>
        <v>16</v>
      </c>
      <c r="C315" s="116">
        <f t="shared" ca="1" si="46"/>
        <v>1</v>
      </c>
      <c r="D315" s="117">
        <f t="shared" ca="1" si="47"/>
        <v>5</v>
      </c>
      <c r="E315" s="117">
        <f t="shared" ca="1" si="48"/>
        <v>1</v>
      </c>
      <c r="F315" s="438"/>
      <c r="G315" s="71"/>
      <c r="H315" s="72" t="s">
        <v>114</v>
      </c>
      <c r="I315" s="73" t="str">
        <f t="shared" ca="1" si="64"/>
        <v>16.001.005.001</v>
      </c>
      <c r="J315" s="74" t="s">
        <v>4258</v>
      </c>
      <c r="K315" s="75" t="s">
        <v>1</v>
      </c>
      <c r="L315" s="114">
        <f>ARQUITETURA!H1735</f>
        <v>108.12</v>
      </c>
      <c r="M315" s="114">
        <f>_xlfn.XLOOKUP($J315,CPU!$D$1:$D$3085,CPU!$H$1:$H$3085)</f>
        <v>250</v>
      </c>
      <c r="N315" s="94">
        <f t="shared" si="50"/>
        <v>27030</v>
      </c>
      <c r="O315" s="121"/>
      <c r="P315" s="76"/>
      <c r="Q315" s="418"/>
      <c r="R315" s="26"/>
      <c r="S315" s="26"/>
    </row>
    <row r="316" spans="1:19" s="25" customFormat="1" ht="13.9" customHeight="1" outlineLevel="1" x14ac:dyDescent="0.2">
      <c r="A316" s="116">
        <f ca="1">IF($H316="UNIDADE CONSTRUTIVA",OFFSET(A316,-1,0)+1,LARGE(A$3:A315,1))</f>
        <v>0</v>
      </c>
      <c r="B316" s="116">
        <f t="shared" ca="1" si="45"/>
        <v>16</v>
      </c>
      <c r="C316" s="116">
        <f t="shared" ca="1" si="46"/>
        <v>1</v>
      </c>
      <c r="D316" s="117">
        <f t="shared" ca="1" si="47"/>
        <v>6</v>
      </c>
      <c r="E316" s="117">
        <f t="shared" ca="1" si="48"/>
        <v>0</v>
      </c>
      <c r="F316" s="438"/>
      <c r="G316" s="71"/>
      <c r="H316" s="72" t="s">
        <v>113</v>
      </c>
      <c r="I316" s="73" t="str">
        <f t="shared" ca="1" si="64"/>
        <v>16.001.006</v>
      </c>
      <c r="J316" s="74" t="s">
        <v>1909</v>
      </c>
      <c r="K316" s="75"/>
      <c r="L316" s="114"/>
      <c r="M316" s="114"/>
      <c r="N316" s="94">
        <f t="shared" ca="1" si="50"/>
        <v>56034.663232999999</v>
      </c>
      <c r="O316" s="121"/>
      <c r="P316" s="76"/>
      <c r="Q316" s="418" t="s">
        <v>140</v>
      </c>
      <c r="R316" s="26"/>
      <c r="S316" s="26"/>
    </row>
    <row r="317" spans="1:19" s="25" customFormat="1" ht="13.9" customHeight="1" outlineLevel="2" x14ac:dyDescent="0.2">
      <c r="A317" s="116">
        <f ca="1">IF($H317="UNIDADE CONSTRUTIVA",OFFSET(A317,-1,0)+1,LARGE(A$3:A316,1))</f>
        <v>0</v>
      </c>
      <c r="B317" s="116">
        <f t="shared" ca="1" si="45"/>
        <v>16</v>
      </c>
      <c r="C317" s="116">
        <f t="shared" ca="1" si="46"/>
        <v>1</v>
      </c>
      <c r="D317" s="117">
        <f t="shared" ca="1" si="47"/>
        <v>6</v>
      </c>
      <c r="E317" s="117">
        <f t="shared" ca="1" si="48"/>
        <v>1</v>
      </c>
      <c r="F317" s="438"/>
      <c r="G317" s="71"/>
      <c r="H317" s="72" t="s">
        <v>114</v>
      </c>
      <c r="I317" s="73" t="str">
        <f t="shared" ref="I317" ca="1" si="66">IF(H317="Unidade Construtiva",TEXT(A317,"00"),IF(H317="Célula Construtiva",TEXT(B317,"00"),IF(H317="Etapa",CONCATENATE(TEXT(B317,"00"),".",TEXT(C317,"000")),IF(H317="Subetapa",CONCATENATE(TEXT(B317,"00"),".",TEXT(C317,"000"),".",TEXT(D317,"000")),IF(H317="Serviço",CONCATENATE(TEXT(B317,"00"),".",TEXT(C317,"000"),".",TEXT(D317,"000"),".",TEXT(E317,"000")),"")))))</f>
        <v>16.001.006.001</v>
      </c>
      <c r="J317" s="74" t="s">
        <v>249</v>
      </c>
      <c r="K317" s="75" t="s">
        <v>3</v>
      </c>
      <c r="L317" s="114">
        <f>ARQUITETURA!H1785</f>
        <v>138.59</v>
      </c>
      <c r="M317" s="114">
        <f>_xlfn.XLOOKUP($J317,CPU!$D$1:$D$3085,CPU!$H$1:$H$3085)</f>
        <v>13.537000000000001</v>
      </c>
      <c r="N317" s="94">
        <f t="shared" si="50"/>
        <v>1876.09283</v>
      </c>
      <c r="O317" s="121"/>
      <c r="P317" s="76"/>
      <c r="Q317" s="418"/>
      <c r="R317" s="26"/>
      <c r="S317" s="26"/>
    </row>
    <row r="318" spans="1:19" s="25" customFormat="1" ht="13.9" customHeight="1" outlineLevel="2" x14ac:dyDescent="0.2">
      <c r="A318" s="116">
        <f ca="1">IF($H318="UNIDADE CONSTRUTIVA",OFFSET(A318,-1,0)+1,LARGE(A$3:A317,1))</f>
        <v>0</v>
      </c>
      <c r="B318" s="116">
        <f t="shared" ca="1" si="45"/>
        <v>16</v>
      </c>
      <c r="C318" s="116">
        <f t="shared" ca="1" si="46"/>
        <v>1</v>
      </c>
      <c r="D318" s="117">
        <f t="shared" ca="1" si="47"/>
        <v>6</v>
      </c>
      <c r="E318" s="117">
        <f t="shared" ca="1" si="48"/>
        <v>2</v>
      </c>
      <c r="F318" s="438"/>
      <c r="G318" s="71"/>
      <c r="H318" s="72" t="s">
        <v>114</v>
      </c>
      <c r="I318" s="73" t="str">
        <f t="shared" ca="1" si="64"/>
        <v>16.001.006.002</v>
      </c>
      <c r="J318" s="74" t="s">
        <v>250</v>
      </c>
      <c r="K318" s="75" t="s">
        <v>3</v>
      </c>
      <c r="L318" s="114">
        <f>ARQUITETURA!H1786</f>
        <v>2823.08</v>
      </c>
      <c r="M318" s="114">
        <f>_xlfn.XLOOKUP($J318,CPU!$D$1:$D$3085,CPU!$H$1:$H$3085)</f>
        <v>17.856749999999998</v>
      </c>
      <c r="N318" s="94">
        <f t="shared" si="50"/>
        <v>50411.033789999994</v>
      </c>
      <c r="O318" s="121"/>
      <c r="P318" s="76"/>
      <c r="Q318" s="418"/>
      <c r="R318" s="26"/>
      <c r="S318" s="26"/>
    </row>
    <row r="319" spans="1:19" s="25" customFormat="1" ht="13.9" customHeight="1" outlineLevel="2" x14ac:dyDescent="0.2">
      <c r="A319" s="116">
        <f ca="1">IF($H319="UNIDADE CONSTRUTIVA",OFFSET(A319,-1,0)+1,LARGE(A$3:A318,1))</f>
        <v>0</v>
      </c>
      <c r="B319" s="116">
        <f t="shared" ca="1" si="45"/>
        <v>16</v>
      </c>
      <c r="C319" s="116">
        <f t="shared" ca="1" si="46"/>
        <v>1</v>
      </c>
      <c r="D319" s="117">
        <f t="shared" ca="1" si="47"/>
        <v>6</v>
      </c>
      <c r="E319" s="117">
        <f t="shared" ca="1" si="48"/>
        <v>3</v>
      </c>
      <c r="F319" s="438"/>
      <c r="G319" s="71"/>
      <c r="H319" s="72" t="s">
        <v>114</v>
      </c>
      <c r="I319" s="73" t="str">
        <f t="shared" ref="I319" ca="1" si="67">IF(H319="Unidade Construtiva",TEXT(A319,"00"),IF(H319="Célula Construtiva",TEXT(B319,"00"),IF(H319="Etapa",CONCATENATE(TEXT(B319,"00"),".",TEXT(C319,"000")),IF(H319="Subetapa",CONCATENATE(TEXT(B319,"00"),".",TEXT(C319,"000"),".",TEXT(D319,"000")),IF(H319="Serviço",CONCATENATE(TEXT(B319,"00"),".",TEXT(C319,"000"),".",TEXT(D319,"000"),".",TEXT(E319,"000")),"")))))</f>
        <v>16.001.006.003</v>
      </c>
      <c r="J319" s="74" t="s">
        <v>4396</v>
      </c>
      <c r="K319" s="75" t="s">
        <v>3</v>
      </c>
      <c r="L319" s="114">
        <f>ARQUITETURA!H1783</f>
        <v>124.22999999999999</v>
      </c>
      <c r="M319" s="114">
        <f>_xlfn.XLOOKUP($J319,CPU!$D$1:$D$3085,CPU!$H$1:$H$3085)</f>
        <v>24.125099999999996</v>
      </c>
      <c r="N319" s="94">
        <f t="shared" si="50"/>
        <v>2997.0611729999991</v>
      </c>
      <c r="O319" s="121" t="s">
        <v>4397</v>
      </c>
      <c r="P319" s="76"/>
      <c r="Q319" s="418"/>
      <c r="R319" s="26"/>
      <c r="S319" s="26"/>
    </row>
    <row r="320" spans="1:19" s="25" customFormat="1" ht="13.9" customHeight="1" outlineLevel="2" x14ac:dyDescent="0.2">
      <c r="A320" s="116">
        <f ca="1">IF($H320="UNIDADE CONSTRUTIVA",OFFSET(A320,-1,0)+1,LARGE(A$3:A319,1))</f>
        <v>0</v>
      </c>
      <c r="B320" s="116">
        <f t="shared" ca="1" si="45"/>
        <v>16</v>
      </c>
      <c r="C320" s="116">
        <f t="shared" ca="1" si="46"/>
        <v>1</v>
      </c>
      <c r="D320" s="117">
        <f t="shared" ca="1" si="47"/>
        <v>6</v>
      </c>
      <c r="E320" s="117">
        <f t="shared" ca="1" si="48"/>
        <v>4</v>
      </c>
      <c r="F320" s="438"/>
      <c r="G320" s="71"/>
      <c r="H320" s="72" t="s">
        <v>114</v>
      </c>
      <c r="I320" s="73" t="str">
        <f t="shared" ref="I320" ca="1" si="68">IF(H320="Unidade Construtiva",TEXT(A320,"00"),IF(H320="Célula Construtiva",TEXT(B320,"00"),IF(H320="Etapa",CONCATENATE(TEXT(B320,"00"),".",TEXT(C320,"000")),IF(H320="Subetapa",CONCATENATE(TEXT(B320,"00"),".",TEXT(C320,"000"),".",TEXT(D320,"000")),IF(H320="Serviço",CONCATENATE(TEXT(B320,"00"),".",TEXT(C320,"000"),".",TEXT(D320,"000"),".",TEXT(E320,"000")),"")))))</f>
        <v>16.001.006.004</v>
      </c>
      <c r="J320" s="74" t="s">
        <v>4395</v>
      </c>
      <c r="K320" s="75" t="s">
        <v>3</v>
      </c>
      <c r="L320" s="114">
        <f>ARQUITETURA!H1782</f>
        <v>52.91</v>
      </c>
      <c r="M320" s="114">
        <f>_xlfn.XLOOKUP($J320,CPU!$D$1:$D$3085,CPU!$H$1:$H$3085)</f>
        <v>14.183999999999999</v>
      </c>
      <c r="N320" s="94">
        <f t="shared" si="50"/>
        <v>750.47543999999994</v>
      </c>
      <c r="O320" s="121"/>
      <c r="P320" s="76"/>
      <c r="Q320" s="418"/>
      <c r="R320" s="26"/>
      <c r="S320" s="26"/>
    </row>
    <row r="321" spans="1:19" s="25" customFormat="1" ht="13.9" customHeight="1" outlineLevel="1" x14ac:dyDescent="0.2">
      <c r="A321" s="116">
        <f ca="1">IF($H321="UNIDADE CONSTRUTIVA",OFFSET(A321,-1,0)+1,LARGE(A$3:A320,1))</f>
        <v>0</v>
      </c>
      <c r="B321" s="116">
        <f t="shared" ca="1" si="45"/>
        <v>16</v>
      </c>
      <c r="C321" s="116">
        <f t="shared" ca="1" si="46"/>
        <v>1</v>
      </c>
      <c r="D321" s="117">
        <f t="shared" ca="1" si="47"/>
        <v>7</v>
      </c>
      <c r="E321" s="117">
        <f t="shared" ca="1" si="48"/>
        <v>0</v>
      </c>
      <c r="F321" s="438"/>
      <c r="G321" s="71"/>
      <c r="H321" s="72" t="s">
        <v>113</v>
      </c>
      <c r="I321" s="73" t="str">
        <f t="shared" ref="I321:I322" ca="1" si="69">IF(H321="Unidade Construtiva",TEXT(A321,"00"),IF(H321="Célula Construtiva",TEXT(B321,"00"),IF(H321="Etapa",CONCATENATE(TEXT(B321,"00"),".",TEXT(C321,"000")),IF(H321="Subetapa",CONCATENATE(TEXT(B321,"00"),".",TEXT(C321,"000"),".",TEXT(D321,"000")),IF(H321="Serviço",CONCATENATE(TEXT(B321,"00"),".",TEXT(C321,"000"),".",TEXT(D321,"000"),".",TEXT(E321,"000")),"")))))</f>
        <v>16.001.007</v>
      </c>
      <c r="J321" s="74" t="s">
        <v>2682</v>
      </c>
      <c r="K321" s="75"/>
      <c r="L321" s="114"/>
      <c r="M321" s="114"/>
      <c r="N321" s="94">
        <f t="shared" ca="1" si="50"/>
        <v>94884.924000000028</v>
      </c>
      <c r="O321" s="121"/>
      <c r="P321" s="76"/>
      <c r="Q321" s="418" t="s">
        <v>140</v>
      </c>
      <c r="R321" s="26"/>
      <c r="S321" s="26"/>
    </row>
    <row r="322" spans="1:19" s="25" customFormat="1" ht="13.9" customHeight="1" outlineLevel="2" x14ac:dyDescent="0.2">
      <c r="A322" s="116">
        <f ca="1">IF($H322="UNIDADE CONSTRUTIVA",OFFSET(A322,-1,0)+1,LARGE(A$3:A321,1))</f>
        <v>0</v>
      </c>
      <c r="B322" s="116">
        <f t="shared" ca="1" si="45"/>
        <v>16</v>
      </c>
      <c r="C322" s="116">
        <f t="shared" ca="1" si="46"/>
        <v>1</v>
      </c>
      <c r="D322" s="117">
        <f t="shared" ca="1" si="47"/>
        <v>7</v>
      </c>
      <c r="E322" s="117">
        <f t="shared" ca="1" si="48"/>
        <v>1</v>
      </c>
      <c r="F322" s="438"/>
      <c r="G322" s="71"/>
      <c r="H322" s="72" t="s">
        <v>114</v>
      </c>
      <c r="I322" s="73" t="str">
        <f t="shared" ca="1" si="69"/>
        <v>16.001.007.001</v>
      </c>
      <c r="J322" s="74" t="s">
        <v>4440</v>
      </c>
      <c r="K322" s="75" t="s">
        <v>1</v>
      </c>
      <c r="L322" s="114">
        <f>ARQUITETURA!H1873</f>
        <v>134.60000000000002</v>
      </c>
      <c r="M322" s="114">
        <f>_xlfn.XLOOKUP($J322,CPU!$D$1:$D$3085,CPU!$H$1:$H$3085)</f>
        <v>704.94</v>
      </c>
      <c r="N322" s="94">
        <f t="shared" si="50"/>
        <v>94884.924000000028</v>
      </c>
      <c r="O322" s="121"/>
      <c r="P322" s="76"/>
      <c r="Q322" s="418"/>
      <c r="R322" s="26"/>
      <c r="S322" s="26"/>
    </row>
    <row r="323" spans="1:19" s="25" customFormat="1" ht="13.9" customHeight="1" outlineLevel="1" x14ac:dyDescent="0.2">
      <c r="A323" s="116">
        <f ca="1">IF($H323="UNIDADE CONSTRUTIVA",OFFSET(A323,-1,0)+1,LARGE(A$3:A322,1))</f>
        <v>0</v>
      </c>
      <c r="B323" s="116">
        <f t="shared" ca="1" si="45"/>
        <v>16</v>
      </c>
      <c r="C323" s="116">
        <f t="shared" ca="1" si="46"/>
        <v>1</v>
      </c>
      <c r="D323" s="117">
        <f t="shared" ca="1" si="47"/>
        <v>8</v>
      </c>
      <c r="E323" s="117">
        <f t="shared" ca="1" si="48"/>
        <v>0</v>
      </c>
      <c r="F323" s="438"/>
      <c r="G323" s="71"/>
      <c r="H323" s="72" t="s">
        <v>113</v>
      </c>
      <c r="I323" s="73" t="str">
        <f t="shared" ca="1" si="64"/>
        <v>16.001.008</v>
      </c>
      <c r="J323" s="74" t="s">
        <v>1860</v>
      </c>
      <c r="K323" s="75"/>
      <c r="L323" s="114"/>
      <c r="M323" s="114"/>
      <c r="N323" s="94">
        <f t="shared" ca="1" si="50"/>
        <v>539903.71999999986</v>
      </c>
      <c r="O323" s="121"/>
      <c r="P323" s="76"/>
      <c r="Q323" s="418"/>
      <c r="R323" s="26"/>
      <c r="S323" s="26"/>
    </row>
    <row r="324" spans="1:19" s="25" customFormat="1" ht="13.9" customHeight="1" outlineLevel="2" x14ac:dyDescent="0.2">
      <c r="A324" s="116">
        <f ca="1">IF($H324="UNIDADE CONSTRUTIVA",OFFSET(A324,-1,0)+1,LARGE(A$3:A323,1))</f>
        <v>0</v>
      </c>
      <c r="B324" s="116">
        <f t="shared" ca="1" si="45"/>
        <v>16</v>
      </c>
      <c r="C324" s="116">
        <f t="shared" ca="1" si="46"/>
        <v>1</v>
      </c>
      <c r="D324" s="117">
        <f t="shared" ca="1" si="47"/>
        <v>8</v>
      </c>
      <c r="E324" s="117">
        <f t="shared" ca="1" si="48"/>
        <v>1</v>
      </c>
      <c r="F324" s="438"/>
      <c r="G324" s="71"/>
      <c r="H324" s="72" t="s">
        <v>114</v>
      </c>
      <c r="I324" s="73" t="str">
        <f t="shared" ca="1" si="64"/>
        <v>16.001.008.001</v>
      </c>
      <c r="J324" s="74" t="s">
        <v>251</v>
      </c>
      <c r="K324" s="75" t="s">
        <v>1</v>
      </c>
      <c r="L324" s="114">
        <f>SUM(L297:L300)</f>
        <v>6445.0999999999995</v>
      </c>
      <c r="M324" s="114">
        <f>_xlfn.XLOOKUP($J324,CPU!$D$1:$D$3085,CPU!$H$1:$H$3085)</f>
        <v>40</v>
      </c>
      <c r="N324" s="94">
        <f t="shared" si="50"/>
        <v>257803.99999999997</v>
      </c>
      <c r="O324" s="121"/>
      <c r="P324" s="76"/>
      <c r="Q324" s="418" t="s">
        <v>1858</v>
      </c>
      <c r="R324" s="26"/>
      <c r="S324" s="26"/>
    </row>
    <row r="325" spans="1:19" s="25" customFormat="1" ht="13.9" customHeight="1" outlineLevel="2" x14ac:dyDescent="0.2">
      <c r="A325" s="116">
        <f ca="1">IF($H325="UNIDADE CONSTRUTIVA",OFFSET(A325,-1,0)+1,LARGE(A$3:A324,1))</f>
        <v>0</v>
      </c>
      <c r="B325" s="116">
        <f t="shared" ca="1" si="45"/>
        <v>16</v>
      </c>
      <c r="C325" s="116">
        <f t="shared" ca="1" si="46"/>
        <v>1</v>
      </c>
      <c r="D325" s="117">
        <f t="shared" ca="1" si="47"/>
        <v>8</v>
      </c>
      <c r="E325" s="117">
        <f t="shared" ca="1" si="48"/>
        <v>2</v>
      </c>
      <c r="F325" s="438"/>
      <c r="G325" s="71"/>
      <c r="H325" s="72" t="s">
        <v>114</v>
      </c>
      <c r="I325" s="73" t="str">
        <f t="shared" ca="1" si="64"/>
        <v>16.001.008.002</v>
      </c>
      <c r="J325" s="74" t="s">
        <v>252</v>
      </c>
      <c r="K325" s="75" t="s">
        <v>1</v>
      </c>
      <c r="L325" s="114">
        <f>L305</f>
        <v>12.75</v>
      </c>
      <c r="M325" s="114">
        <f>_xlfn.XLOOKUP($J325,CPU!$D$1:$D$3085,CPU!$H$1:$H$3085)</f>
        <v>40</v>
      </c>
      <c r="N325" s="94">
        <f t="shared" si="50"/>
        <v>510</v>
      </c>
      <c r="O325" s="121"/>
      <c r="P325" s="76"/>
      <c r="Q325" s="418" t="s">
        <v>1858</v>
      </c>
      <c r="R325" s="26"/>
      <c r="S325" s="26"/>
    </row>
    <row r="326" spans="1:19" s="25" customFormat="1" ht="13.9" customHeight="1" outlineLevel="2" x14ac:dyDescent="0.2">
      <c r="A326" s="116">
        <f ca="1">IF($H326="UNIDADE CONSTRUTIVA",OFFSET(A326,-1,0)+1,LARGE(A$3:A325,1))</f>
        <v>0</v>
      </c>
      <c r="B326" s="116">
        <f t="shared" ca="1" si="45"/>
        <v>16</v>
      </c>
      <c r="C326" s="116">
        <f t="shared" ca="1" si="46"/>
        <v>1</v>
      </c>
      <c r="D326" s="117">
        <f t="shared" ca="1" si="47"/>
        <v>8</v>
      </c>
      <c r="E326" s="117">
        <f t="shared" ca="1" si="48"/>
        <v>3</v>
      </c>
      <c r="F326" s="438"/>
      <c r="G326" s="71"/>
      <c r="H326" s="72" t="s">
        <v>114</v>
      </c>
      <c r="I326" s="73" t="str">
        <f t="shared" ca="1" si="64"/>
        <v>16.001.008.003</v>
      </c>
      <c r="J326" s="74" t="s">
        <v>149</v>
      </c>
      <c r="K326" s="75" t="s">
        <v>1</v>
      </c>
      <c r="L326" s="114">
        <f>SUM(L307:L310)</f>
        <v>2664.2799999999997</v>
      </c>
      <c r="M326" s="114">
        <f>_xlfn.XLOOKUP($J326,CPU!$D$1:$D$3085,CPU!$H$1:$H$3085)</f>
        <v>75</v>
      </c>
      <c r="N326" s="94">
        <f t="shared" si="50"/>
        <v>199820.99999999997</v>
      </c>
      <c r="O326" s="121"/>
      <c r="P326" s="76"/>
      <c r="Q326" s="418" t="s">
        <v>140</v>
      </c>
      <c r="R326" s="26"/>
      <c r="S326" s="26"/>
    </row>
    <row r="327" spans="1:19" s="25" customFormat="1" ht="13.9" customHeight="1" outlineLevel="2" x14ac:dyDescent="0.2">
      <c r="A327" s="116">
        <f ca="1">IF($H327="UNIDADE CONSTRUTIVA",OFFSET(A327,-1,0)+1,LARGE(A$3:A326,1))</f>
        <v>0</v>
      </c>
      <c r="B327" s="116">
        <f t="shared" ca="1" si="45"/>
        <v>16</v>
      </c>
      <c r="C327" s="116">
        <f t="shared" ca="1" si="46"/>
        <v>1</v>
      </c>
      <c r="D327" s="117">
        <f t="shared" ca="1" si="47"/>
        <v>8</v>
      </c>
      <c r="E327" s="117">
        <f t="shared" ca="1" si="48"/>
        <v>4</v>
      </c>
      <c r="F327" s="438"/>
      <c r="G327" s="71"/>
      <c r="H327" s="72" t="s">
        <v>114</v>
      </c>
      <c r="I327" s="73" t="str">
        <f t="shared" ca="1" si="64"/>
        <v>16.001.008.004</v>
      </c>
      <c r="J327" s="74" t="s">
        <v>231</v>
      </c>
      <c r="K327" s="75" t="s">
        <v>1</v>
      </c>
      <c r="L327" s="114">
        <f>L311</f>
        <v>143.55000000000001</v>
      </c>
      <c r="M327" s="114">
        <f>_xlfn.XLOOKUP($J327,CPU!$D$1:$D$3085,CPU!$H$1:$H$3085)</f>
        <v>65</v>
      </c>
      <c r="N327" s="94">
        <f t="shared" si="50"/>
        <v>9330.75</v>
      </c>
      <c r="O327" s="121"/>
      <c r="P327" s="76"/>
      <c r="Q327" s="418" t="s">
        <v>140</v>
      </c>
      <c r="R327" s="26"/>
      <c r="S327" s="26"/>
    </row>
    <row r="328" spans="1:19" s="25" customFormat="1" ht="13.9" customHeight="1" outlineLevel="2" x14ac:dyDescent="0.2">
      <c r="A328" s="116">
        <f ca="1">IF($H328="UNIDADE CONSTRUTIVA",OFFSET(A328,-1,0)+1,LARGE(A$3:A327,1))</f>
        <v>0</v>
      </c>
      <c r="B328" s="116">
        <f t="shared" ca="1" si="45"/>
        <v>16</v>
      </c>
      <c r="C328" s="116">
        <f t="shared" ca="1" si="46"/>
        <v>1</v>
      </c>
      <c r="D328" s="117">
        <f t="shared" ca="1" si="47"/>
        <v>8</v>
      </c>
      <c r="E328" s="117">
        <f t="shared" ca="1" si="48"/>
        <v>5</v>
      </c>
      <c r="F328" s="438"/>
      <c r="G328" s="71"/>
      <c r="H328" s="72" t="s">
        <v>114</v>
      </c>
      <c r="I328" s="73" t="str">
        <f t="shared" ca="1" si="64"/>
        <v>16.001.008.005</v>
      </c>
      <c r="J328" s="74" t="s">
        <v>253</v>
      </c>
      <c r="K328" s="75" t="s">
        <v>1</v>
      </c>
      <c r="L328" s="114">
        <f>L313</f>
        <v>7.69</v>
      </c>
      <c r="M328" s="114">
        <f>_xlfn.XLOOKUP($J328,CPU!$D$1:$D$3085,CPU!$H$1:$H$3085)</f>
        <v>55</v>
      </c>
      <c r="N328" s="94">
        <f t="shared" si="50"/>
        <v>422.95000000000005</v>
      </c>
      <c r="O328" s="121"/>
      <c r="P328" s="76"/>
      <c r="Q328" s="418" t="s">
        <v>140</v>
      </c>
      <c r="R328" s="26"/>
      <c r="S328" s="26"/>
    </row>
    <row r="329" spans="1:19" s="25" customFormat="1" ht="13.9" customHeight="1" outlineLevel="2" x14ac:dyDescent="0.2">
      <c r="A329" s="116">
        <f ca="1">IF($H329="UNIDADE CONSTRUTIVA",OFFSET(A329,-1,0)+1,LARGE(A$3:A328,1))</f>
        <v>0</v>
      </c>
      <c r="B329" s="116">
        <f t="shared" ca="1" si="45"/>
        <v>16</v>
      </c>
      <c r="C329" s="116">
        <f t="shared" ca="1" si="46"/>
        <v>1</v>
      </c>
      <c r="D329" s="117">
        <f t="shared" ca="1" si="47"/>
        <v>8</v>
      </c>
      <c r="E329" s="117">
        <f t="shared" ca="1" si="48"/>
        <v>6</v>
      </c>
      <c r="F329" s="438"/>
      <c r="G329" s="71"/>
      <c r="H329" s="72" t="s">
        <v>114</v>
      </c>
      <c r="I329" s="73" t="str">
        <f t="shared" ca="1" si="64"/>
        <v>16.001.008.006</v>
      </c>
      <c r="J329" s="74" t="s">
        <v>255</v>
      </c>
      <c r="K329" s="75" t="s">
        <v>3</v>
      </c>
      <c r="L329" s="114">
        <f>SUM(L317:L320)</f>
        <v>3138.81</v>
      </c>
      <c r="M329" s="114">
        <f>_xlfn.XLOOKUP($J329,CPU!$D$1:$D$3085,CPU!$H$1:$H$3085)</f>
        <v>22</v>
      </c>
      <c r="N329" s="94">
        <f t="shared" si="50"/>
        <v>69053.819999999992</v>
      </c>
      <c r="O329" s="121"/>
      <c r="P329" s="76"/>
      <c r="Q329" s="418" t="s">
        <v>140</v>
      </c>
      <c r="R329" s="26"/>
      <c r="S329" s="26"/>
    </row>
    <row r="330" spans="1:19" s="25" customFormat="1" ht="13.9" customHeight="1" outlineLevel="2" x14ac:dyDescent="0.2">
      <c r="A330" s="116">
        <f ca="1">IF($H330="UNIDADE CONSTRUTIVA",OFFSET(A330,-1,0)+1,LARGE(A$3:A329,1))</f>
        <v>0</v>
      </c>
      <c r="B330" s="116">
        <f t="shared" ref="B330:B394" ca="1" si="70">IF(H330="UNIDADE CONSTRUTIVA",0,IF(H330="CÉLULA CONSTRUTIVA",OFFSET(B330,-1,0)+1,OFFSET(B330,-1,0)))</f>
        <v>16</v>
      </c>
      <c r="C330" s="116">
        <f t="shared" ref="C330:C394" ca="1" si="71">IF(H330="CÉLULA CONSTRUTIVA",0,IF(H330="ETAPA",OFFSET(C330,-1,0)+1,OFFSET(C330,-1,0)))</f>
        <v>1</v>
      </c>
      <c r="D330" s="117">
        <f t="shared" ref="D330:D394" ca="1" si="72">IF(H330="ETAPA",0,IF(H330="SUBETAPA",OFFSET(D330,-1,0)+1,OFFSET(D330,-1,0)))</f>
        <v>8</v>
      </c>
      <c r="E330" s="117">
        <f t="shared" ref="E330:E394" ca="1" si="73">IF(H330="Subetapa",0,IF(H330="serviço",OFFSET(E330,-1,0)+1,OFFSET(E330,-1,0)))</f>
        <v>7</v>
      </c>
      <c r="F330" s="438"/>
      <c r="G330" s="71"/>
      <c r="H330" s="72" t="s">
        <v>114</v>
      </c>
      <c r="I330" s="73" t="str">
        <f ca="1">IF(H330="Unidade Construtiva",TEXT(A330,"00"),IF(H330="Célula Construtiva",TEXT(B330,"00"),IF(H330="Etapa",CONCATENATE(TEXT(B330,"00"),".",TEXT(C330,"000")),IF(H330="Subetapa",CONCATENATE(TEXT(B330,"00"),".",TEXT(C330,"000"),".",TEXT(D330,"000")),IF(H330="Serviço",CONCATENATE(TEXT(B330,"00"),".",TEXT(C330,"000"),".",TEXT(D330,"000"),".",TEXT(E330,"000")),"")))))</f>
        <v>16.001.008.007</v>
      </c>
      <c r="J330" s="74" t="s">
        <v>816</v>
      </c>
      <c r="K330" s="75" t="s">
        <v>1</v>
      </c>
      <c r="L330" s="114">
        <f>L322</f>
        <v>134.60000000000002</v>
      </c>
      <c r="M330" s="114">
        <f>_xlfn.XLOOKUP($J330,CPU!$D$1:$D$3085,CPU!$H$1:$H$3085)</f>
        <v>22</v>
      </c>
      <c r="N330" s="94">
        <f t="shared" si="50"/>
        <v>2961.2000000000007</v>
      </c>
      <c r="O330" s="121"/>
      <c r="P330" s="76"/>
      <c r="Q330" s="418" t="s">
        <v>140</v>
      </c>
      <c r="R330" s="26"/>
      <c r="S330" s="26"/>
    </row>
    <row r="331" spans="1:19" s="25" customFormat="1" ht="13.9" customHeight="1" collapsed="1" x14ac:dyDescent="0.2">
      <c r="A331" s="116">
        <f ca="1">IF($H331="UNIDADE CONSTRUTIVA",OFFSET(A331,-1,0)+1,LARGE(A$3:A330,1))</f>
        <v>0</v>
      </c>
      <c r="B331" s="116">
        <f t="shared" ca="1" si="70"/>
        <v>17</v>
      </c>
      <c r="C331" s="116">
        <f t="shared" ca="1" si="71"/>
        <v>0</v>
      </c>
      <c r="D331" s="117">
        <f t="shared" ca="1" si="72"/>
        <v>8</v>
      </c>
      <c r="E331" s="117">
        <f t="shared" ca="1" si="73"/>
        <v>7</v>
      </c>
      <c r="F331" s="523"/>
      <c r="G331" s="71"/>
      <c r="H331" s="72" t="s">
        <v>111</v>
      </c>
      <c r="I331" s="73" t="str">
        <f t="shared" ref="I331:I351" ca="1" si="74">IF(H331="Unidade Construtiva",TEXT(A331,"00"),IF(H331="Célula Construtiva",TEXT(B331,"00"),IF(H331="Etapa",CONCATENATE(TEXT(B331,"00"),".",TEXT(C331,"000")),IF(H331="Subetapa",CONCATENATE(TEXT(B331,"00"),".",TEXT(C331,"000"),".",TEXT(D331,"000")),IF(H331="Serviço",CONCATENATE(TEXT(B331,"00"),".",TEXT(C331,"000"),".",TEXT(D331,"000"),".",TEXT(E331,"000")),"")))))</f>
        <v>17</v>
      </c>
      <c r="J331" s="74" t="s">
        <v>1910</v>
      </c>
      <c r="K331" s="75"/>
      <c r="L331" s="114"/>
      <c r="M331" s="114"/>
      <c r="N331" s="94">
        <f t="shared" ca="1" si="50"/>
        <v>1340430.2790264201</v>
      </c>
      <c r="O331" s="121">
        <f ca="1">N331/'Obra '!$E$9</f>
        <v>193.19039129054724</v>
      </c>
      <c r="P331" s="76"/>
      <c r="Q331" s="418" t="s">
        <v>58</v>
      </c>
      <c r="R331" s="122"/>
      <c r="S331" s="26"/>
    </row>
    <row r="332" spans="1:19" s="25" customFormat="1" ht="13.9" hidden="1" customHeight="1" outlineLevel="1" x14ac:dyDescent="0.2">
      <c r="A332" s="116">
        <f ca="1">IF($H332="UNIDADE CONSTRUTIVA",OFFSET(A332,-1,0)+1,LARGE(A$3:A331,1))</f>
        <v>0</v>
      </c>
      <c r="B332" s="116">
        <f t="shared" ca="1" si="70"/>
        <v>17</v>
      </c>
      <c r="C332" s="116">
        <f t="shared" ca="1" si="71"/>
        <v>1</v>
      </c>
      <c r="D332" s="117">
        <f t="shared" ca="1" si="72"/>
        <v>0</v>
      </c>
      <c r="E332" s="117">
        <f t="shared" ca="1" si="73"/>
        <v>7</v>
      </c>
      <c r="F332" s="438"/>
      <c r="G332" s="71"/>
      <c r="H332" s="72" t="s">
        <v>112</v>
      </c>
      <c r="I332" s="73" t="str">
        <f t="shared" ca="1" si="74"/>
        <v>17.001</v>
      </c>
      <c r="J332" s="74" t="s">
        <v>58</v>
      </c>
      <c r="K332" s="75"/>
      <c r="L332" s="114"/>
      <c r="M332" s="114"/>
      <c r="N332" s="94">
        <f t="shared" ca="1" si="50"/>
        <v>1340430.2790264201</v>
      </c>
      <c r="O332" s="121"/>
      <c r="P332" s="76"/>
      <c r="Q332" s="418"/>
      <c r="R332" s="26"/>
      <c r="S332" s="26"/>
    </row>
    <row r="333" spans="1:19" s="25" customFormat="1" ht="13.9" hidden="1" customHeight="1" outlineLevel="1" x14ac:dyDescent="0.2">
      <c r="A333" s="116">
        <f ca="1">IF($H333="UNIDADE CONSTRUTIVA",OFFSET(A333,-1,0)+1,LARGE(A$3:A332,1))</f>
        <v>0</v>
      </c>
      <c r="B333" s="116">
        <f t="shared" ca="1" si="70"/>
        <v>17</v>
      </c>
      <c r="C333" s="116">
        <f t="shared" ca="1" si="71"/>
        <v>1</v>
      </c>
      <c r="D333" s="117">
        <f t="shared" ca="1" si="72"/>
        <v>1</v>
      </c>
      <c r="E333" s="117">
        <f t="shared" ca="1" si="73"/>
        <v>0</v>
      </c>
      <c r="F333" s="438"/>
      <c r="G333" s="71"/>
      <c r="H333" s="72" t="s">
        <v>113</v>
      </c>
      <c r="I333" s="73" t="str">
        <f ca="1">IF(H333="Unidade Construtiva",TEXT(A333,"00"),IF(H333="Célula Construtiva",TEXT(B333,"00"),IF(H333="Etapa",CONCATENATE(TEXT(B333,"00"),".",TEXT(C333,"000")),IF(H333="Subetapa",CONCATENATE(TEXT(B333,"00"),".",TEXT(C333,"000"),".",TEXT(D333,"000")),IF(H333="Serviço",CONCATENATE(TEXT(B333,"00"),".",TEXT(C333,"000"),".",TEXT(D333,"000"),".",TEXT(E333,"000")),"")))))</f>
        <v>17.001.001</v>
      </c>
      <c r="J333" s="74" t="s">
        <v>1911</v>
      </c>
      <c r="K333" s="75"/>
      <c r="L333" s="114"/>
      <c r="M333" s="114"/>
      <c r="N333" s="94">
        <f t="shared" ref="N333:N390" ca="1" si="75">IF(H333="Serviço",M333*L333,IF(H333="CÉLULA CONSTRUTIVA",SUMIFS($N$8:$N$452,$B$8:$B$452,B333,$H$8:$H$452,"Serviço"),IF(H333="ETAPA",SUMIFS($N$8:$N$452,$B$8:$B$452,B333,$C$8:$C$452,C333,$H$8:$H$452,"Serviço"),IF(H333="SUBETAPA",SUMIFS($N$8:$N$452,$B$8:$B$452,B333,$C$8:$C$452,C333,$D$8:$D$452,D333,$H$8:$H$452,"Serviço"),0))))</f>
        <v>8401.7387624000003</v>
      </c>
      <c r="O333" s="121">
        <f ca="1">N333/'Obra '!$E$9</f>
        <v>1.2109060981582183</v>
      </c>
      <c r="P333" s="76"/>
      <c r="Q333" s="418"/>
      <c r="R333" s="26"/>
      <c r="S333" s="26"/>
    </row>
    <row r="334" spans="1:19" s="25" customFormat="1" ht="13.9" hidden="1" customHeight="1" outlineLevel="2" x14ac:dyDescent="0.2">
      <c r="A334" s="116">
        <f ca="1">IF($H334="UNIDADE CONSTRUTIVA",OFFSET(A334,-1,0)+1,LARGE(A$3:A333,1))</f>
        <v>0</v>
      </c>
      <c r="B334" s="116">
        <f t="shared" ca="1" si="70"/>
        <v>17</v>
      </c>
      <c r="C334" s="116">
        <f t="shared" ca="1" si="71"/>
        <v>1</v>
      </c>
      <c r="D334" s="117">
        <f t="shared" ca="1" si="72"/>
        <v>1</v>
      </c>
      <c r="E334" s="117">
        <f t="shared" ca="1" si="73"/>
        <v>1</v>
      </c>
      <c r="F334" s="438"/>
      <c r="G334" s="71"/>
      <c r="H334" s="72" t="s">
        <v>114</v>
      </c>
      <c r="I334" s="73" t="str">
        <f ca="1">IF(H334="Unidade Construtiva",TEXT(A334,"00"),IF(H334="Célula Construtiva",TEXT(B334,"00"),IF(H334="Etapa",CONCATENATE(TEXT(B334,"00"),".",TEXT(C334,"000")),IF(H334="Subetapa",CONCATENATE(TEXT(B334,"00"),".",TEXT(C334,"000"),".",TEXT(D334,"000")),IF(H334="Serviço",CONCATENATE(TEXT(B334,"00"),".",TEXT(C334,"000"),".",TEXT(D334,"000"),".",TEXT(E334,"000")),"")))))</f>
        <v>17.001.001.001</v>
      </c>
      <c r="J334" s="74" t="s">
        <v>2407</v>
      </c>
      <c r="K334" s="75" t="s">
        <v>1</v>
      </c>
      <c r="L334" s="114">
        <f>ARQUITETURA!H1784</f>
        <v>553.24</v>
      </c>
      <c r="M334" s="114">
        <f>_xlfn.XLOOKUP($J334,CPU!$D$1:$D$3085,CPU!$H$1:$H$3085)</f>
        <v>0.97726000000000013</v>
      </c>
      <c r="N334" s="94">
        <f t="shared" si="75"/>
        <v>540.65932240000006</v>
      </c>
      <c r="O334" s="121"/>
      <c r="P334" s="76"/>
      <c r="Q334" s="418"/>
      <c r="R334" s="26"/>
      <c r="S334" s="26"/>
    </row>
    <row r="335" spans="1:19" s="25" customFormat="1" ht="13.9" hidden="1" customHeight="1" outlineLevel="2" x14ac:dyDescent="0.2">
      <c r="A335" s="116">
        <f ca="1">IF($H335="UNIDADE CONSTRUTIVA",OFFSET(A335,-1,0)+1,LARGE(A$3:A334,1))</f>
        <v>0</v>
      </c>
      <c r="B335" s="116">
        <f t="shared" ca="1" si="70"/>
        <v>17</v>
      </c>
      <c r="C335" s="116">
        <f t="shared" ca="1" si="71"/>
        <v>1</v>
      </c>
      <c r="D335" s="117">
        <f t="shared" ca="1" si="72"/>
        <v>1</v>
      </c>
      <c r="E335" s="117">
        <f t="shared" ca="1" si="73"/>
        <v>2</v>
      </c>
      <c r="F335" s="438"/>
      <c r="G335" s="71"/>
      <c r="H335" s="72" t="s">
        <v>114</v>
      </c>
      <c r="I335" s="73" t="str">
        <f ca="1">IF(H335="Unidade Construtiva",TEXT(A335,"00"),IF(H335="Célula Construtiva",TEXT(B335,"00"),IF(H335="Etapa",CONCATENATE(TEXT(B335,"00"),".",TEXT(C335,"000")),IF(H335="Subetapa",CONCATENATE(TEXT(B335,"00"),".",TEXT(C335,"000"),".",TEXT(D335,"000")),IF(H335="Serviço",CONCATENATE(TEXT(B335,"00"),".",TEXT(C335,"000"),".",TEXT(D335,"000"),".",TEXT(E335,"000")),"")))))</f>
        <v>17.001.001.002</v>
      </c>
      <c r="J335" s="74" t="s">
        <v>2408</v>
      </c>
      <c r="K335" s="75" t="s">
        <v>1</v>
      </c>
      <c r="L335" s="114">
        <f>SUM(ARQUITETURA!H2434:H2450)</f>
        <v>804.4</v>
      </c>
      <c r="M335" s="114">
        <f>_xlfn.XLOOKUP($J335,CPU!$D$1:$D$3085,CPU!$H$1:$H$3085)</f>
        <v>9.7726000000000006</v>
      </c>
      <c r="N335" s="94">
        <f t="shared" si="75"/>
        <v>7861.0794400000004</v>
      </c>
      <c r="O335" s="121"/>
      <c r="P335" s="76"/>
      <c r="Q335" s="418"/>
      <c r="R335" s="26"/>
      <c r="S335" s="26"/>
    </row>
    <row r="336" spans="1:19" s="25" customFormat="1" ht="13.9" hidden="1" customHeight="1" outlineLevel="1" x14ac:dyDescent="0.2">
      <c r="A336" s="116">
        <f ca="1">IF($H336="UNIDADE CONSTRUTIVA",OFFSET(A336,-1,0)+1,LARGE(A$3:A335,1))</f>
        <v>0</v>
      </c>
      <c r="B336" s="116">
        <f t="shared" ca="1" si="70"/>
        <v>17</v>
      </c>
      <c r="C336" s="116">
        <f t="shared" ca="1" si="71"/>
        <v>1</v>
      </c>
      <c r="D336" s="117">
        <f t="shared" ca="1" si="72"/>
        <v>2</v>
      </c>
      <c r="E336" s="117">
        <f t="shared" ca="1" si="73"/>
        <v>0</v>
      </c>
      <c r="F336" s="438"/>
      <c r="G336" s="71"/>
      <c r="H336" s="72" t="s">
        <v>113</v>
      </c>
      <c r="I336" s="73" t="str">
        <f t="shared" ca="1" si="74"/>
        <v>17.001.002</v>
      </c>
      <c r="J336" s="74" t="s">
        <v>59</v>
      </c>
      <c r="K336" s="75"/>
      <c r="L336" s="114"/>
      <c r="M336" s="114"/>
      <c r="N336" s="94">
        <f t="shared" ca="1" si="75"/>
        <v>279322.85572635999</v>
      </c>
      <c r="O336" s="121">
        <f ca="1">N336/'Obra '!$E$9</f>
        <v>40.257589401339501</v>
      </c>
      <c r="P336" s="76"/>
      <c r="Q336" s="418"/>
      <c r="R336" s="26"/>
      <c r="S336" s="26"/>
    </row>
    <row r="337" spans="1:19" s="25" customFormat="1" ht="13.9" hidden="1" customHeight="1" outlineLevel="2" x14ac:dyDescent="0.2">
      <c r="A337" s="116">
        <f ca="1">IF($H337="UNIDADE CONSTRUTIVA",OFFSET(A337,-1,0)+1,LARGE(A$3:A336,1))</f>
        <v>0</v>
      </c>
      <c r="B337" s="116">
        <f t="shared" ca="1" si="70"/>
        <v>17</v>
      </c>
      <c r="C337" s="116">
        <f t="shared" ca="1" si="71"/>
        <v>1</v>
      </c>
      <c r="D337" s="117">
        <f t="shared" ca="1" si="72"/>
        <v>2</v>
      </c>
      <c r="E337" s="117">
        <f t="shared" ca="1" si="73"/>
        <v>1</v>
      </c>
      <c r="F337" s="438"/>
      <c r="G337" s="71"/>
      <c r="H337" s="72" t="s">
        <v>114</v>
      </c>
      <c r="I337" s="73" t="str">
        <f ca="1">IF(H337="Unidade Construtiva",TEXT(A337,"00"),IF(H337="Célula Construtiva",TEXT(B337,"00"),IF(H337="Etapa",CONCATENATE(TEXT(B337,"00"),".",TEXT(C337,"000")),IF(H337="Subetapa",CONCATENATE(TEXT(B337,"00"),".",TEXT(C337,"000"),".",TEXT(D337,"000")),IF(H337="Serviço",CONCATENATE(TEXT(B337,"00"),".",TEXT(C337,"000"),".",TEXT(D337,"000"),".",TEXT(E337,"000")),"")))))</f>
        <v>17.001.002.001</v>
      </c>
      <c r="J337" s="74" t="s">
        <v>5086</v>
      </c>
      <c r="K337" s="75" t="s">
        <v>1</v>
      </c>
      <c r="L337" s="114">
        <f>ARQUITETURA!H2533</f>
        <v>884.40999999999974</v>
      </c>
      <c r="M337" s="114">
        <f>_xlfn.XLOOKUP($J337,CPU!$D$1:$D$3085,CPU!$H$1:$H$3085)</f>
        <v>0.91500000000000004</v>
      </c>
      <c r="N337" s="94">
        <f t="shared" si="75"/>
        <v>809.23514999999975</v>
      </c>
      <c r="O337" s="121" t="s">
        <v>5090</v>
      </c>
      <c r="P337" s="76"/>
      <c r="Q337" s="418"/>
      <c r="R337" s="26"/>
      <c r="S337" s="26"/>
    </row>
    <row r="338" spans="1:19" s="25" customFormat="1" ht="13.9" hidden="1" customHeight="1" outlineLevel="2" x14ac:dyDescent="0.2">
      <c r="A338" s="116">
        <f ca="1">IF($H338="UNIDADE CONSTRUTIVA",OFFSET(A338,-1,0)+1,LARGE(A$3:A337,1))</f>
        <v>0</v>
      </c>
      <c r="B338" s="116">
        <f t="shared" ca="1" si="70"/>
        <v>17</v>
      </c>
      <c r="C338" s="116">
        <f t="shared" ca="1" si="71"/>
        <v>1</v>
      </c>
      <c r="D338" s="117">
        <f t="shared" ca="1" si="72"/>
        <v>2</v>
      </c>
      <c r="E338" s="117">
        <f t="shared" ca="1" si="73"/>
        <v>2</v>
      </c>
      <c r="F338" s="438"/>
      <c r="G338" s="71"/>
      <c r="H338" s="72" t="s">
        <v>114</v>
      </c>
      <c r="I338" s="73" t="str">
        <f t="shared" ca="1" si="74"/>
        <v>17.001.002.002</v>
      </c>
      <c r="J338" s="74" t="s">
        <v>1242</v>
      </c>
      <c r="K338" s="75" t="s">
        <v>1</v>
      </c>
      <c r="L338" s="114">
        <f>ARQUITETURA!H2538</f>
        <v>14403.02</v>
      </c>
      <c r="M338" s="114">
        <f>_xlfn.XLOOKUP($J338,CPU!$D$1:$D$3085,CPU!$H$1:$H$3085)</f>
        <v>19.001950999999998</v>
      </c>
      <c r="N338" s="94">
        <f t="shared" si="75"/>
        <v>273685.48029201996</v>
      </c>
      <c r="O338" s="121">
        <f>N338/'Obra '!$E$9</f>
        <v>39.445098977143104</v>
      </c>
      <c r="P338" s="76"/>
      <c r="Q338" s="418"/>
      <c r="R338" s="26"/>
      <c r="S338" s="26"/>
    </row>
    <row r="339" spans="1:19" s="25" customFormat="1" ht="13.9" hidden="1" customHeight="1" outlineLevel="2" x14ac:dyDescent="0.2">
      <c r="A339" s="116">
        <f ca="1">IF($H339="UNIDADE CONSTRUTIVA",OFFSET(A339,-1,0)+1,LARGE(A$3:A338,1))</f>
        <v>0</v>
      </c>
      <c r="B339" s="116">
        <f t="shared" ca="1" si="70"/>
        <v>17</v>
      </c>
      <c r="C339" s="116">
        <f t="shared" ca="1" si="71"/>
        <v>1</v>
      </c>
      <c r="D339" s="117">
        <f t="shared" ca="1" si="72"/>
        <v>2</v>
      </c>
      <c r="E339" s="117">
        <f t="shared" ca="1" si="73"/>
        <v>3</v>
      </c>
      <c r="F339" s="438"/>
      <c r="G339" s="71"/>
      <c r="H339" s="72" t="s">
        <v>114</v>
      </c>
      <c r="I339" s="73" t="str">
        <f t="shared" ca="1" si="74"/>
        <v>17.001.002.003</v>
      </c>
      <c r="J339" s="74" t="s">
        <v>184</v>
      </c>
      <c r="K339" s="75" t="s">
        <v>1</v>
      </c>
      <c r="L339" s="114">
        <f>ARQUITETURA!H2539</f>
        <v>19.57</v>
      </c>
      <c r="M339" s="114">
        <f>_xlfn.XLOOKUP($J339,CPU!$D$1:$D$3085,CPU!$H$1:$H$3085)</f>
        <v>10.212902</v>
      </c>
      <c r="N339" s="94">
        <f t="shared" si="75"/>
        <v>199.86649213999999</v>
      </c>
      <c r="O339" s="121"/>
      <c r="P339" s="76"/>
      <c r="Q339" s="418"/>
      <c r="R339" s="26"/>
      <c r="S339" s="26"/>
    </row>
    <row r="340" spans="1:19" s="25" customFormat="1" ht="13.9" hidden="1" customHeight="1" outlineLevel="2" x14ac:dyDescent="0.2">
      <c r="A340" s="116">
        <f ca="1">IF($H340="UNIDADE CONSTRUTIVA",OFFSET(A340,-1,0)+1,LARGE(A$3:A339,1))</f>
        <v>0</v>
      </c>
      <c r="B340" s="116">
        <f t="shared" ca="1" si="70"/>
        <v>17</v>
      </c>
      <c r="C340" s="116">
        <f t="shared" ca="1" si="71"/>
        <v>1</v>
      </c>
      <c r="D340" s="117">
        <f t="shared" ca="1" si="72"/>
        <v>2</v>
      </c>
      <c r="E340" s="117">
        <f t="shared" ca="1" si="73"/>
        <v>4</v>
      </c>
      <c r="F340" s="438"/>
      <c r="G340" s="71"/>
      <c r="H340" s="72" t="s">
        <v>114</v>
      </c>
      <c r="I340" s="73" t="str">
        <f t="shared" ref="I340" ca="1" si="76">IF(H340="Unidade Construtiva",TEXT(A340,"00"),IF(H340="Célula Construtiva",TEXT(B340,"00"),IF(H340="Etapa",CONCATENATE(TEXT(B340,"00"),".",TEXT(C340,"000")),IF(H340="Subetapa",CONCATENATE(TEXT(B340,"00"),".",TEXT(C340,"000"),".",TEXT(D340,"000")),IF(H340="Serviço",CONCATENATE(TEXT(B340,"00"),".",TEXT(C340,"000"),".",TEXT(D340,"000"),".",TEXT(E340,"000")),"")))))</f>
        <v>17.001.002.004</v>
      </c>
      <c r="J340" s="74" t="s">
        <v>5092</v>
      </c>
      <c r="K340" s="75" t="s">
        <v>1</v>
      </c>
      <c r="L340" s="114">
        <f>ARQUITETURA!H2532+ARQUITETURA!H2540</f>
        <v>47.35</v>
      </c>
      <c r="M340" s="114">
        <f>_xlfn.XLOOKUP($J340,CPU!$D$1:$D$3085,CPU!$H$1:$H$3085)</f>
        <v>24.477902</v>
      </c>
      <c r="N340" s="94">
        <f t="shared" si="75"/>
        <v>1159.0286596999999</v>
      </c>
      <c r="O340" s="121"/>
      <c r="P340" s="76"/>
      <c r="Q340" s="418"/>
      <c r="R340" s="26"/>
      <c r="S340" s="26"/>
    </row>
    <row r="341" spans="1:19" s="25" customFormat="1" ht="13.9" hidden="1" customHeight="1" outlineLevel="2" x14ac:dyDescent="0.2">
      <c r="A341" s="116">
        <f ca="1">IF($H341="UNIDADE CONSTRUTIVA",OFFSET(A341,-1,0)+1,LARGE(A$3:A340,1))</f>
        <v>0</v>
      </c>
      <c r="B341" s="116">
        <f t="shared" ca="1" si="70"/>
        <v>17</v>
      </c>
      <c r="C341" s="116">
        <f t="shared" ca="1" si="71"/>
        <v>1</v>
      </c>
      <c r="D341" s="117">
        <f t="shared" ca="1" si="72"/>
        <v>2</v>
      </c>
      <c r="E341" s="117">
        <f t="shared" ca="1" si="73"/>
        <v>5</v>
      </c>
      <c r="F341" s="438"/>
      <c r="G341" s="71"/>
      <c r="H341" s="72" t="s">
        <v>114</v>
      </c>
      <c r="I341" s="73" t="str">
        <f t="shared" ca="1" si="74"/>
        <v>17.001.002.005</v>
      </c>
      <c r="J341" s="74" t="s">
        <v>5094</v>
      </c>
      <c r="K341" s="75" t="s">
        <v>1</v>
      </c>
      <c r="L341" s="114">
        <f>ARQUITETURA!H2534+ARQUITETURA!H2535+ARQUITETURA!H2536</f>
        <v>253.75</v>
      </c>
      <c r="M341" s="114">
        <f>_xlfn.XLOOKUP($J341,CPU!$D$1:$D$3085,CPU!$H$1:$H$3085)</f>
        <v>13.671902000000001</v>
      </c>
      <c r="N341" s="94">
        <f t="shared" si="75"/>
        <v>3469.2451325000002</v>
      </c>
      <c r="O341" s="121"/>
      <c r="P341" s="76"/>
      <c r="Q341" s="418"/>
      <c r="R341" s="26"/>
      <c r="S341" s="26"/>
    </row>
    <row r="342" spans="1:19" s="25" customFormat="1" ht="13.9" hidden="1" customHeight="1" outlineLevel="1" x14ac:dyDescent="0.2">
      <c r="A342" s="116">
        <f ca="1">IF($H342="UNIDADE CONSTRUTIVA",OFFSET(A342,-1,0)+1,LARGE(A$3:A341,1))</f>
        <v>0</v>
      </c>
      <c r="B342" s="116">
        <f t="shared" ca="1" si="70"/>
        <v>17</v>
      </c>
      <c r="C342" s="116">
        <f t="shared" ca="1" si="71"/>
        <v>1</v>
      </c>
      <c r="D342" s="117">
        <f t="shared" ca="1" si="72"/>
        <v>3</v>
      </c>
      <c r="E342" s="117">
        <f t="shared" ca="1" si="73"/>
        <v>0</v>
      </c>
      <c r="F342" s="438"/>
      <c r="G342" s="71"/>
      <c r="H342" s="72" t="s">
        <v>113</v>
      </c>
      <c r="I342" s="73" t="str">
        <f t="shared" ca="1" si="74"/>
        <v>17.001.003</v>
      </c>
      <c r="J342" s="74" t="s">
        <v>1912</v>
      </c>
      <c r="K342" s="75"/>
      <c r="L342" s="114"/>
      <c r="M342" s="114"/>
      <c r="N342" s="94">
        <f t="shared" ca="1" si="75"/>
        <v>104293.77453765999</v>
      </c>
      <c r="O342" s="121">
        <f ca="1">N342/'Obra '!$E$9</f>
        <v>15.031408516624172</v>
      </c>
      <c r="P342" s="76"/>
      <c r="Q342" s="418"/>
      <c r="R342" s="26"/>
      <c r="S342" s="26"/>
    </row>
    <row r="343" spans="1:19" s="25" customFormat="1" ht="13.9" hidden="1" customHeight="1" outlineLevel="2" x14ac:dyDescent="0.2">
      <c r="A343" s="116">
        <f ca="1">IF($H343="UNIDADE CONSTRUTIVA",OFFSET(A343,-1,0)+1,LARGE(A$3:A342,1))</f>
        <v>0</v>
      </c>
      <c r="B343" s="116">
        <f t="shared" ca="1" si="70"/>
        <v>17</v>
      </c>
      <c r="C343" s="116">
        <f t="shared" ca="1" si="71"/>
        <v>1</v>
      </c>
      <c r="D343" s="117">
        <f t="shared" ca="1" si="72"/>
        <v>3</v>
      </c>
      <c r="E343" s="117">
        <f t="shared" ca="1" si="73"/>
        <v>1</v>
      </c>
      <c r="F343" s="438"/>
      <c r="G343" s="71"/>
      <c r="H343" s="72" t="s">
        <v>114</v>
      </c>
      <c r="I343" s="73" t="str">
        <f ca="1">IF(H343="Unidade Construtiva",TEXT(A343,"00"),IF(H343="Célula Construtiva",TEXT(B343,"00"),IF(H343="Etapa",CONCATENATE(TEXT(B343,"00"),".",TEXT(C343,"000")),IF(H343="Subetapa",CONCATENATE(TEXT(B343,"00"),".",TEXT(C343,"000"),".",TEXT(D343,"000")),IF(H343="Serviço",CONCATENATE(TEXT(B343,"00"),".",TEXT(C343,"000"),".",TEXT(D343,"000"),".",TEXT(E343,"000")),"")))))</f>
        <v>17.001.003.001</v>
      </c>
      <c r="J343" s="74" t="s">
        <v>5543</v>
      </c>
      <c r="K343" s="75" t="s">
        <v>1</v>
      </c>
      <c r="L343" s="114">
        <f>ARQUITETURA!M2605</f>
        <v>5369.84</v>
      </c>
      <c r="M343" s="114">
        <f>_xlfn.XLOOKUP($J343,CPU!$D$1:$D$3085,CPU!$H$1:$H$3085)</f>
        <v>13.205401999999999</v>
      </c>
      <c r="N343" s="94">
        <f t="shared" si="75"/>
        <v>70910.895875679998</v>
      </c>
      <c r="O343" s="121"/>
      <c r="P343" s="76"/>
      <c r="Q343" s="418"/>
      <c r="R343" s="26"/>
      <c r="S343" s="26"/>
    </row>
    <row r="344" spans="1:19" s="25" customFormat="1" ht="13.9" hidden="1" customHeight="1" outlineLevel="2" x14ac:dyDescent="0.2">
      <c r="A344" s="116">
        <f ca="1">IF($H344="UNIDADE CONSTRUTIVA",OFFSET(A344,-1,0)+1,LARGE(A$3:A343,1))</f>
        <v>0</v>
      </c>
      <c r="B344" s="116">
        <f t="shared" ca="1" si="70"/>
        <v>17</v>
      </c>
      <c r="C344" s="116">
        <f t="shared" ca="1" si="71"/>
        <v>1</v>
      </c>
      <c r="D344" s="117">
        <f t="shared" ca="1" si="72"/>
        <v>3</v>
      </c>
      <c r="E344" s="117">
        <f t="shared" ca="1" si="73"/>
        <v>2</v>
      </c>
      <c r="F344" s="438"/>
      <c r="G344" s="71"/>
      <c r="H344" s="72" t="s">
        <v>114</v>
      </c>
      <c r="I344" s="73" t="str">
        <f ca="1">IF(H344="Unidade Construtiva",TEXT(A344,"00"),IF(H344="Célula Construtiva",TEXT(B344,"00"),IF(H344="Etapa",CONCATENATE(TEXT(B344,"00"),".",TEXT(C344,"000")),IF(H344="Subetapa",CONCATENATE(TEXT(B344,"00"),".",TEXT(C344,"000"),".",TEXT(D344,"000")),IF(H344="Serviço",CONCATENATE(TEXT(B344,"00"),".",TEXT(C344,"000"),".",TEXT(D344,"000"),".",TEXT(E344,"000")),"")))))</f>
        <v>17.001.003.002</v>
      </c>
      <c r="J344" s="74" t="s">
        <v>5542</v>
      </c>
      <c r="K344" s="75" t="s">
        <v>1</v>
      </c>
      <c r="L344" s="114">
        <f>ARQUITETURA!L2605</f>
        <v>5277.4400000000005</v>
      </c>
      <c r="M344" s="114">
        <f>_xlfn.XLOOKUP($J344,CPU!$D$1:$D$3085,CPU!$H$1:$H$3085)</f>
        <v>5.7965489999999997</v>
      </c>
      <c r="N344" s="94">
        <f t="shared" si="75"/>
        <v>30590.939554560002</v>
      </c>
      <c r="O344" s="121"/>
      <c r="P344" s="76"/>
      <c r="Q344" s="418"/>
      <c r="R344" s="26"/>
      <c r="S344" s="26"/>
    </row>
    <row r="345" spans="1:19" s="25" customFormat="1" ht="13.9" hidden="1" customHeight="1" outlineLevel="2" x14ac:dyDescent="0.2">
      <c r="A345" s="116">
        <f ca="1">IF($H345="UNIDADE CONSTRUTIVA",OFFSET(A345,-1,0)+1,LARGE(A$3:A344,1))</f>
        <v>0</v>
      </c>
      <c r="B345" s="116">
        <f t="shared" ca="1" si="70"/>
        <v>17</v>
      </c>
      <c r="C345" s="116">
        <f t="shared" ca="1" si="71"/>
        <v>1</v>
      </c>
      <c r="D345" s="117">
        <f t="shared" ca="1" si="72"/>
        <v>3</v>
      </c>
      <c r="E345" s="117">
        <f t="shared" ca="1" si="73"/>
        <v>3</v>
      </c>
      <c r="F345" s="438"/>
      <c r="G345" s="71"/>
      <c r="H345" s="72" t="s">
        <v>114</v>
      </c>
      <c r="I345" s="73" t="str">
        <f ca="1">IF(H345="Unidade Construtiva",TEXT(A345,"00"),IF(H345="Célula Construtiva",TEXT(B345,"00"),IF(H345="Etapa",CONCATENATE(TEXT(B345,"00"),".",TEXT(C345,"000")),IF(H345="Subetapa",CONCATENATE(TEXT(B345,"00"),".",TEXT(C345,"000"),".",TEXT(D345,"000")),IF(H345="Serviço",CONCATENATE(TEXT(B345,"00"),".",TEXT(C345,"000"),".",TEXT(D345,"000"),".",TEXT(E345,"000")),"")))))</f>
        <v>17.001.003.003</v>
      </c>
      <c r="J345" s="74" t="s">
        <v>5541</v>
      </c>
      <c r="K345" s="75" t="s">
        <v>1</v>
      </c>
      <c r="L345" s="114">
        <f>ARQUITETURA!K2605</f>
        <v>204.21</v>
      </c>
      <c r="M345" s="114">
        <f>_xlfn.XLOOKUP($J345,CPU!$D$1:$D$3085,CPU!$H$1:$H$3085)</f>
        <v>13.671902000000001</v>
      </c>
      <c r="N345" s="94">
        <f t="shared" si="75"/>
        <v>2791.9391074200003</v>
      </c>
      <c r="O345" s="121"/>
      <c r="P345" s="76"/>
      <c r="Q345" s="418"/>
      <c r="R345" s="26"/>
      <c r="S345" s="26"/>
    </row>
    <row r="346" spans="1:19" s="25" customFormat="1" ht="13.5" hidden="1" customHeight="1" outlineLevel="1" x14ac:dyDescent="0.2">
      <c r="A346" s="116">
        <f ca="1">IF($H346="UNIDADE CONSTRUTIVA",OFFSET(A346,-1,0)+1,LARGE(A$3:A345,1))</f>
        <v>0</v>
      </c>
      <c r="B346" s="116">
        <f t="shared" ca="1" si="70"/>
        <v>17</v>
      </c>
      <c r="C346" s="116">
        <f t="shared" ca="1" si="71"/>
        <v>1</v>
      </c>
      <c r="D346" s="117">
        <f t="shared" ca="1" si="72"/>
        <v>4</v>
      </c>
      <c r="E346" s="117">
        <f t="shared" ca="1" si="73"/>
        <v>0</v>
      </c>
      <c r="F346" s="438"/>
      <c r="G346" s="71"/>
      <c r="H346" s="72" t="s">
        <v>113</v>
      </c>
      <c r="I346" s="73" t="str">
        <f t="shared" ca="1" si="74"/>
        <v>17.001.004</v>
      </c>
      <c r="J346" s="74" t="s">
        <v>54</v>
      </c>
      <c r="K346" s="75"/>
      <c r="L346" s="114"/>
      <c r="M346" s="114"/>
      <c r="N346" s="94">
        <f t="shared" ca="1" si="75"/>
        <v>948411.91</v>
      </c>
      <c r="O346" s="121">
        <f ca="1">N346/'Obra '!$E$9</f>
        <v>136.69048727442532</v>
      </c>
      <c r="P346" s="76"/>
      <c r="Q346" s="418"/>
      <c r="R346" s="26"/>
      <c r="S346" s="26"/>
    </row>
    <row r="347" spans="1:19" s="25" customFormat="1" ht="13.9" hidden="1" customHeight="1" outlineLevel="2" x14ac:dyDescent="0.2">
      <c r="A347" s="116">
        <f ca="1">IF($H347="UNIDADE CONSTRUTIVA",OFFSET(A347,-1,0)+1,LARGE(A$3:A346,1))</f>
        <v>0</v>
      </c>
      <c r="B347" s="116">
        <f t="shared" ca="1" si="70"/>
        <v>17</v>
      </c>
      <c r="C347" s="116">
        <f t="shared" ca="1" si="71"/>
        <v>1</v>
      </c>
      <c r="D347" s="117">
        <f t="shared" ca="1" si="72"/>
        <v>4</v>
      </c>
      <c r="E347" s="117">
        <f t="shared" ca="1" si="73"/>
        <v>1</v>
      </c>
      <c r="F347" s="438"/>
      <c r="G347" s="71"/>
      <c r="H347" s="72" t="s">
        <v>114</v>
      </c>
      <c r="I347" s="73" t="str">
        <f ca="1">IF(H347="Unidade Construtiva",TEXT(A347,"00"),IF(H347="Célula Construtiva",TEXT(B347,"00"),IF(H347="Etapa",CONCATENATE(TEXT(B347,"00"),".",TEXT(C347,"000")),IF(H347="Subetapa",CONCATENATE(TEXT(B347,"00"),".",TEXT(C347,"000"),".",TEXT(D347,"000")),IF(H347="Serviço",CONCATENATE(TEXT(B347,"00"),".",TEXT(C347,"000"),".",TEXT(D347,"000"),".",TEXT(E347,"000")),"")))))</f>
        <v>17.001.004.001</v>
      </c>
      <c r="J347" s="74" t="s">
        <v>836</v>
      </c>
      <c r="K347" s="75" t="s">
        <v>1</v>
      </c>
      <c r="L347" s="114">
        <f>L334</f>
        <v>553.24</v>
      </c>
      <c r="M347" s="114">
        <f>_xlfn.XLOOKUP($J347,CPU!$D$1:$D$3085,CPU!$H$1:$H$3085)</f>
        <v>55</v>
      </c>
      <c r="N347" s="94">
        <f t="shared" si="75"/>
        <v>30428.2</v>
      </c>
      <c r="O347" s="121"/>
      <c r="P347" s="76"/>
      <c r="Q347" s="418"/>
      <c r="R347" s="26"/>
      <c r="S347" s="26"/>
    </row>
    <row r="348" spans="1:19" s="25" customFormat="1" ht="13.9" hidden="1" customHeight="1" outlineLevel="2" x14ac:dyDescent="0.2">
      <c r="A348" s="116">
        <f ca="1">IF($H348="UNIDADE CONSTRUTIVA",OFFSET(A348,-1,0)+1,LARGE(A$3:A347,1))</f>
        <v>0</v>
      </c>
      <c r="B348" s="116">
        <f t="shared" ca="1" si="70"/>
        <v>17</v>
      </c>
      <c r="C348" s="116">
        <f t="shared" ca="1" si="71"/>
        <v>1</v>
      </c>
      <c r="D348" s="117">
        <f t="shared" ca="1" si="72"/>
        <v>4</v>
      </c>
      <c r="E348" s="117">
        <f t="shared" ca="1" si="73"/>
        <v>2</v>
      </c>
      <c r="F348" s="438"/>
      <c r="G348" s="71"/>
      <c r="H348" s="72" t="s">
        <v>114</v>
      </c>
      <c r="I348" s="73" t="str">
        <f ca="1">IF(H348="Unidade Construtiva",TEXT(A348,"00"),IF(H348="Célula Construtiva",TEXT(B348,"00"),IF(H348="Etapa",CONCATENATE(TEXT(B348,"00"),".",TEXT(C348,"000")),IF(H348="Subetapa",CONCATENATE(TEXT(B348,"00"),".",TEXT(C348,"000"),".",TEXT(D348,"000")),IF(H348="Serviço",CONCATENATE(TEXT(B348,"00"),".",TEXT(C348,"000"),".",TEXT(D348,"000"),".",TEXT(E348,"000")),"")))))</f>
        <v>17.001.004.002</v>
      </c>
      <c r="J348" s="74" t="s">
        <v>835</v>
      </c>
      <c r="K348" s="75" t="s">
        <v>1</v>
      </c>
      <c r="L348" s="114">
        <f>L335</f>
        <v>804.4</v>
      </c>
      <c r="M348" s="114">
        <v>42</v>
      </c>
      <c r="N348" s="94">
        <f t="shared" si="75"/>
        <v>33784.799999999996</v>
      </c>
      <c r="O348" s="121"/>
      <c r="P348" s="76"/>
      <c r="Q348" s="418"/>
      <c r="R348" s="26"/>
      <c r="S348" s="26"/>
    </row>
    <row r="349" spans="1:19" s="25" customFormat="1" ht="13.9" hidden="1" customHeight="1" outlineLevel="2" x14ac:dyDescent="0.2">
      <c r="A349" s="116">
        <f ca="1">IF($H349="UNIDADE CONSTRUTIVA",OFFSET(A349,-1,0)+1,LARGE(A$3:A348,1))</f>
        <v>0</v>
      </c>
      <c r="B349" s="116">
        <f t="shared" ca="1" si="70"/>
        <v>17</v>
      </c>
      <c r="C349" s="116">
        <f t="shared" ca="1" si="71"/>
        <v>1</v>
      </c>
      <c r="D349" s="117">
        <f t="shared" ca="1" si="72"/>
        <v>4</v>
      </c>
      <c r="E349" s="117">
        <f t="shared" ca="1" si="73"/>
        <v>3</v>
      </c>
      <c r="F349" s="438"/>
      <c r="G349" s="71"/>
      <c r="H349" s="72" t="s">
        <v>114</v>
      </c>
      <c r="I349" s="73" t="str">
        <f t="shared" ca="1" si="74"/>
        <v>17.001.004.003</v>
      </c>
      <c r="J349" s="74" t="s">
        <v>839</v>
      </c>
      <c r="K349" s="75" t="s">
        <v>1</v>
      </c>
      <c r="L349" s="114">
        <f>L338+L337</f>
        <v>15287.43</v>
      </c>
      <c r="M349" s="114">
        <v>42</v>
      </c>
      <c r="N349" s="94">
        <f t="shared" si="75"/>
        <v>642072.06000000006</v>
      </c>
      <c r="O349" s="121">
        <f>N349/'Obra '!$E$9</f>
        <v>92.53905589048756</v>
      </c>
      <c r="P349" s="76"/>
      <c r="Q349" s="418"/>
      <c r="R349" s="26"/>
      <c r="S349" s="26"/>
    </row>
    <row r="350" spans="1:19" s="25" customFormat="1" ht="13.9" hidden="1" customHeight="1" outlineLevel="2" x14ac:dyDescent="0.2">
      <c r="A350" s="116">
        <f ca="1">IF($H350="UNIDADE CONSTRUTIVA",OFFSET(A350,-1,0)+1,LARGE(A$3:A349,1))</f>
        <v>0</v>
      </c>
      <c r="B350" s="116">
        <f t="shared" ca="1" si="70"/>
        <v>17</v>
      </c>
      <c r="C350" s="116">
        <f t="shared" ca="1" si="71"/>
        <v>1</v>
      </c>
      <c r="D350" s="117">
        <f t="shared" ca="1" si="72"/>
        <v>4</v>
      </c>
      <c r="E350" s="117">
        <f t="shared" ca="1" si="73"/>
        <v>4</v>
      </c>
      <c r="F350" s="438"/>
      <c r="G350" s="71"/>
      <c r="H350" s="72" t="s">
        <v>114</v>
      </c>
      <c r="I350" s="73" t="str">
        <f t="shared" ca="1" si="74"/>
        <v>17.001.004.004</v>
      </c>
      <c r="J350" s="74" t="s">
        <v>838</v>
      </c>
      <c r="K350" s="75" t="s">
        <v>1</v>
      </c>
      <c r="L350" s="114">
        <f>L339+L340+L341</f>
        <v>320.67</v>
      </c>
      <c r="M350" s="114">
        <v>25</v>
      </c>
      <c r="N350" s="94">
        <f t="shared" si="75"/>
        <v>8016.75</v>
      </c>
      <c r="O350" s="121"/>
      <c r="P350" s="76"/>
      <c r="Q350" s="418"/>
      <c r="R350" s="26"/>
      <c r="S350" s="26"/>
    </row>
    <row r="351" spans="1:19" s="25" customFormat="1" ht="13.9" hidden="1" customHeight="1" outlineLevel="2" x14ac:dyDescent="0.2">
      <c r="A351" s="116">
        <f ca="1">IF($H351="UNIDADE CONSTRUTIVA",OFFSET(A351,-1,0)+1,LARGE(A$3:A350,1))</f>
        <v>0</v>
      </c>
      <c r="B351" s="116">
        <f t="shared" ca="1" si="70"/>
        <v>17</v>
      </c>
      <c r="C351" s="116">
        <f t="shared" ca="1" si="71"/>
        <v>1</v>
      </c>
      <c r="D351" s="117">
        <f t="shared" ca="1" si="72"/>
        <v>4</v>
      </c>
      <c r="E351" s="117">
        <f t="shared" ca="1" si="73"/>
        <v>5</v>
      </c>
      <c r="F351" s="438"/>
      <c r="G351" s="71"/>
      <c r="H351" s="72" t="s">
        <v>114</v>
      </c>
      <c r="I351" s="73" t="str">
        <f t="shared" ca="1" si="74"/>
        <v>17.001.004.005</v>
      </c>
      <c r="J351" s="74" t="s">
        <v>840</v>
      </c>
      <c r="K351" s="75" t="s">
        <v>1</v>
      </c>
      <c r="L351" s="114">
        <f>L343</f>
        <v>5369.84</v>
      </c>
      <c r="M351" s="114">
        <v>42</v>
      </c>
      <c r="N351" s="94">
        <f t="shared" si="75"/>
        <v>225533.28</v>
      </c>
      <c r="O351" s="121">
        <f>N351/'Obra '!$E$9</f>
        <v>32.505131593928851</v>
      </c>
      <c r="P351" s="76"/>
      <c r="Q351" s="418"/>
      <c r="R351" s="26"/>
      <c r="S351" s="26"/>
    </row>
    <row r="352" spans="1:19" s="25" customFormat="1" ht="13.9" hidden="1" customHeight="1" outlineLevel="2" x14ac:dyDescent="0.2">
      <c r="A352" s="116">
        <f ca="1">IF($H352="UNIDADE CONSTRUTIVA",OFFSET(A352,-1,0)+1,LARGE(A$3:A351,1))</f>
        <v>0</v>
      </c>
      <c r="B352" s="116">
        <f t="shared" ca="1" si="70"/>
        <v>17</v>
      </c>
      <c r="C352" s="116">
        <f t="shared" ca="1" si="71"/>
        <v>1</v>
      </c>
      <c r="D352" s="117">
        <f t="shared" ca="1" si="72"/>
        <v>4</v>
      </c>
      <c r="E352" s="117">
        <f t="shared" ca="1" si="73"/>
        <v>6</v>
      </c>
      <c r="F352" s="438"/>
      <c r="G352" s="71"/>
      <c r="H352" s="72" t="s">
        <v>114</v>
      </c>
      <c r="I352" s="73" t="str">
        <f t="shared" ref="I352" ca="1" si="77">IF(H352="Unidade Construtiva",TEXT(A352,"00"),IF(H352="Célula Construtiva",TEXT(B352,"00"),IF(H352="Etapa",CONCATENATE(TEXT(B352,"00"),".",TEXT(C352,"000")),IF(H352="Subetapa",CONCATENATE(TEXT(B352,"00"),".",TEXT(C352,"000"),".",TEXT(D352,"000")),IF(H352="Serviço",CONCATENATE(TEXT(B352,"00"),".",TEXT(C352,"000"),".",TEXT(D352,"000"),".",TEXT(E352,"000")),"")))))</f>
        <v>17.001.004.006</v>
      </c>
      <c r="J352" s="74" t="s">
        <v>841</v>
      </c>
      <c r="K352" s="75" t="s">
        <v>1</v>
      </c>
      <c r="L352" s="114">
        <f>L345</f>
        <v>204.21</v>
      </c>
      <c r="M352" s="114">
        <v>42</v>
      </c>
      <c r="N352" s="94">
        <f t="shared" si="75"/>
        <v>8576.82</v>
      </c>
      <c r="O352" s="121">
        <f>N352/'Obra '!$E$9</f>
        <v>1.236139796119849</v>
      </c>
      <c r="P352" s="76"/>
      <c r="Q352" s="418"/>
      <c r="R352" s="26"/>
      <c r="S352" s="26"/>
    </row>
    <row r="353" spans="1:19" s="25" customFormat="1" ht="13.9" customHeight="1" collapsed="1" x14ac:dyDescent="0.2">
      <c r="A353" s="116">
        <f ca="1">IF($H353="UNIDADE CONSTRUTIVA",OFFSET(A353,-1,0)+1,LARGE(A$3:A352,1))</f>
        <v>0</v>
      </c>
      <c r="B353" s="116">
        <f t="shared" ca="1" si="70"/>
        <v>18</v>
      </c>
      <c r="C353" s="116">
        <f t="shared" ca="1" si="71"/>
        <v>0</v>
      </c>
      <c r="D353" s="117">
        <f t="shared" ca="1" si="72"/>
        <v>4</v>
      </c>
      <c r="E353" s="117">
        <f t="shared" ca="1" si="73"/>
        <v>6</v>
      </c>
      <c r="F353" s="523"/>
      <c r="G353" s="71"/>
      <c r="H353" s="72" t="s">
        <v>111</v>
      </c>
      <c r="I353" s="73" t="str">
        <f t="shared" ref="I353:I380" ca="1" si="78">IF(H353="Unidade Construtiva",TEXT(A353,"00"),IF(H353="Célula Construtiva",TEXT(B353,"00"),IF(H353="Etapa",CONCATENATE(TEXT(B353,"00"),".",TEXT(C353,"000")),IF(H353="Subetapa",CONCATENATE(TEXT(B353,"00"),".",TEXT(C353,"000"),".",TEXT(D353,"000")),IF(H353="Serviço",CONCATENATE(TEXT(B353,"00"),".",TEXT(C353,"000"),".",TEXT(D353,"000"),".",TEXT(E353,"000")),"")))))</f>
        <v>18</v>
      </c>
      <c r="J353" s="74" t="s">
        <v>60</v>
      </c>
      <c r="K353" s="75"/>
      <c r="L353" s="114"/>
      <c r="M353" s="114"/>
      <c r="N353" s="94">
        <f t="shared" ca="1" si="75"/>
        <v>3691455.7949999995</v>
      </c>
      <c r="O353" s="121">
        <f ca="1">N353/'Obra '!$E$9</f>
        <v>532.03348255142748</v>
      </c>
      <c r="P353" s="76"/>
      <c r="Q353" s="418" t="s">
        <v>60</v>
      </c>
      <c r="R353" s="122"/>
      <c r="S353" s="26"/>
    </row>
    <row r="354" spans="1:19" s="25" customFormat="1" ht="13.9" hidden="1" customHeight="1" outlineLevel="1" x14ac:dyDescent="0.2">
      <c r="A354" s="116">
        <f ca="1">IF($H354="UNIDADE CONSTRUTIVA",OFFSET(A354,-1,0)+1,LARGE(A$3:A353,1))</f>
        <v>0</v>
      </c>
      <c r="B354" s="116">
        <f t="shared" ca="1" si="70"/>
        <v>18</v>
      </c>
      <c r="C354" s="116">
        <f t="shared" ca="1" si="71"/>
        <v>1</v>
      </c>
      <c r="D354" s="117">
        <f t="shared" ca="1" si="72"/>
        <v>0</v>
      </c>
      <c r="E354" s="117">
        <f t="shared" ca="1" si="73"/>
        <v>6</v>
      </c>
      <c r="F354" s="438"/>
      <c r="G354" s="71"/>
      <c r="H354" s="72" t="s">
        <v>112</v>
      </c>
      <c r="I354" s="73" t="str">
        <f t="shared" ca="1" si="78"/>
        <v>18.001</v>
      </c>
      <c r="J354" s="74" t="s">
        <v>24</v>
      </c>
      <c r="K354" s="75"/>
      <c r="L354" s="114"/>
      <c r="M354" s="114"/>
      <c r="N354" s="94">
        <f t="shared" ca="1" si="75"/>
        <v>2285280.0464999992</v>
      </c>
      <c r="O354" s="121">
        <f ca="1">N354/'Obra '!$E$9</f>
        <v>329.36748244189204</v>
      </c>
      <c r="P354" s="76"/>
      <c r="Q354" s="418"/>
      <c r="R354" s="26"/>
      <c r="S354" s="26"/>
    </row>
    <row r="355" spans="1:19" s="25" customFormat="1" ht="13.9" hidden="1" customHeight="1" outlineLevel="1" x14ac:dyDescent="0.2">
      <c r="A355" s="116">
        <f ca="1">IF($H355="UNIDADE CONSTRUTIVA",OFFSET(A355,-1,0)+1,LARGE(A$3:A354,1))</f>
        <v>0</v>
      </c>
      <c r="B355" s="116">
        <f t="shared" ca="1" si="70"/>
        <v>18</v>
      </c>
      <c r="C355" s="116">
        <f t="shared" ca="1" si="71"/>
        <v>1</v>
      </c>
      <c r="D355" s="117">
        <f t="shared" ca="1" si="72"/>
        <v>1</v>
      </c>
      <c r="E355" s="117">
        <f t="shared" ca="1" si="73"/>
        <v>0</v>
      </c>
      <c r="F355" s="438"/>
      <c r="G355" s="71"/>
      <c r="H355" s="72" t="s">
        <v>113</v>
      </c>
      <c r="I355" s="73" t="str">
        <f t="shared" ca="1" si="78"/>
        <v>18.001.001</v>
      </c>
      <c r="J355" s="74" t="s">
        <v>61</v>
      </c>
      <c r="K355" s="75"/>
      <c r="L355" s="114"/>
      <c r="M355" s="114"/>
      <c r="N355" s="94">
        <f t="shared" ca="1" si="75"/>
        <v>34863.11039999999</v>
      </c>
      <c r="O355" s="121"/>
      <c r="P355" s="76"/>
      <c r="Q355" s="418"/>
      <c r="R355" s="26"/>
      <c r="S355" s="26"/>
    </row>
    <row r="356" spans="1:19" s="25" customFormat="1" ht="13.9" hidden="1" customHeight="1" outlineLevel="2" x14ac:dyDescent="0.2">
      <c r="A356" s="116">
        <f ca="1">IF($H356="UNIDADE CONSTRUTIVA",OFFSET(A356,-1,0)+1,LARGE(A$3:A355,1))</f>
        <v>0</v>
      </c>
      <c r="B356" s="116">
        <f t="shared" ca="1" si="70"/>
        <v>18</v>
      </c>
      <c r="C356" s="116">
        <f t="shared" ca="1" si="71"/>
        <v>1</v>
      </c>
      <c r="D356" s="117">
        <f t="shared" ca="1" si="72"/>
        <v>1</v>
      </c>
      <c r="E356" s="117">
        <f t="shared" ca="1" si="73"/>
        <v>1</v>
      </c>
      <c r="F356" s="438"/>
      <c r="G356" s="71"/>
      <c r="H356" s="72" t="s">
        <v>114</v>
      </c>
      <c r="I356" s="73" t="str">
        <f ca="1">IF(H356="Unidade Construtiva",TEXT(A356,"00"),IF(H356="Célula Construtiva",TEXT(B356,"00"),IF(H356="Etapa",CONCATENATE(TEXT(B356,"00"),".",TEXT(C356,"000")),IF(H356="Subetapa",CONCATENATE(TEXT(B356,"00"),".",TEXT(C356,"000"),".",TEXT(D356,"000")),IF(H356="Serviço",CONCATENATE(TEXT(B356,"00"),".",TEXT(C356,"000"),".",TEXT(D356,"000"),".",TEXT(E356,"000")),"")))))</f>
        <v>18.001.001.001</v>
      </c>
      <c r="J356" s="74" t="s">
        <v>260</v>
      </c>
      <c r="K356" s="75" t="s">
        <v>3</v>
      </c>
      <c r="L356" s="114">
        <f>ARQUITETURA!H1916</f>
        <v>4230.9599999999991</v>
      </c>
      <c r="M356" s="114">
        <f>_xlfn.XLOOKUP($J356,CPU!$D$1:$D$3085,CPU!$H$1:$H$3085)</f>
        <v>8.24</v>
      </c>
      <c r="N356" s="94">
        <f t="shared" si="75"/>
        <v>34863.11039999999</v>
      </c>
      <c r="O356" s="121"/>
      <c r="P356" s="76"/>
      <c r="Q356" s="418"/>
      <c r="R356" s="26"/>
      <c r="S356" s="26"/>
    </row>
    <row r="357" spans="1:19" s="25" customFormat="1" ht="13.9" hidden="1" customHeight="1" outlineLevel="1" x14ac:dyDescent="0.2">
      <c r="A357" s="116">
        <f ca="1">IF($H357="UNIDADE CONSTRUTIVA",OFFSET(A357,-1,0)+1,LARGE(A$3:A356,1))</f>
        <v>0</v>
      </c>
      <c r="B357" s="116">
        <f t="shared" ca="1" si="70"/>
        <v>18</v>
      </c>
      <c r="C357" s="116">
        <f t="shared" ca="1" si="71"/>
        <v>1</v>
      </c>
      <c r="D357" s="117">
        <f t="shared" ca="1" si="72"/>
        <v>2</v>
      </c>
      <c r="E357" s="117">
        <f t="shared" ca="1" si="73"/>
        <v>0</v>
      </c>
      <c r="F357" s="438"/>
      <c r="G357" s="71"/>
      <c r="H357" s="72" t="s">
        <v>113</v>
      </c>
      <c r="I357" s="73" t="str">
        <f t="shared" ca="1" si="78"/>
        <v>18.001.002</v>
      </c>
      <c r="J357" s="74" t="s">
        <v>62</v>
      </c>
      <c r="K357" s="75"/>
      <c r="L357" s="114"/>
      <c r="M357" s="114"/>
      <c r="N357" s="94">
        <f t="shared" ca="1" si="75"/>
        <v>2073771.3999999994</v>
      </c>
      <c r="O357" s="121">
        <f ca="1">N357/'Obra '!$E$9</f>
        <v>298.8836603304224</v>
      </c>
      <c r="P357" s="76"/>
      <c r="Q357" s="418"/>
      <c r="R357" s="26"/>
      <c r="S357" s="26"/>
    </row>
    <row r="358" spans="1:19" s="25" customFormat="1" ht="13.9" hidden="1" customHeight="1" outlineLevel="2" x14ac:dyDescent="0.2">
      <c r="A358" s="116">
        <f ca="1">IF($H358="UNIDADE CONSTRUTIVA",OFFSET(A358,-1,0)+1,LARGE(A$3:A356,1))</f>
        <v>0</v>
      </c>
      <c r="B358" s="116">
        <f t="shared" ref="B358" ca="1" si="79">IF(H358="UNIDADE CONSTRUTIVA",0,IF(H358="CÉLULA CONSTRUTIVA",OFFSET(B358,-1,0)+1,OFFSET(B358,-1,0)))</f>
        <v>18</v>
      </c>
      <c r="C358" s="116">
        <f t="shared" ref="C358" ca="1" si="80">IF(H358="CÉLULA CONSTRUTIVA",0,IF(H358="ETAPA",OFFSET(C358,-1,0)+1,OFFSET(C358,-1,0)))</f>
        <v>1</v>
      </c>
      <c r="D358" s="117">
        <f t="shared" ref="D358" ca="1" si="81">IF(H358="ETAPA",0,IF(H358="SUBETAPA",OFFSET(D358,-1,0)+1,OFFSET(D358,-1,0)))</f>
        <v>2</v>
      </c>
      <c r="E358" s="117">
        <f t="shared" ref="E358" ca="1" si="82">IF(H358="Subetapa",0,IF(H358="serviço",OFFSET(E358,-1,0)+1,OFFSET(E358,-1,0)))</f>
        <v>1</v>
      </c>
      <c r="F358" s="438"/>
      <c r="G358" s="71"/>
      <c r="H358" s="72" t="s">
        <v>114</v>
      </c>
      <c r="I358" s="73" t="str">
        <f t="shared" ref="I358" ca="1" si="83">IF(H358="Unidade Construtiva",TEXT(A358,"00"),IF(H358="Célula Construtiva",TEXT(B358,"00"),IF(H358="Etapa",CONCATENATE(TEXT(B358,"00"),".",TEXT(C358,"000")),IF(H358="Subetapa",CONCATENATE(TEXT(B358,"00"),".",TEXT(C358,"000"),".",TEXT(D358,"000")),IF(H358="Serviço",CONCATENATE(TEXT(B358,"00"),".",TEXT(C358,"000"),".",TEXT(D358,"000"),".",TEXT(E358,"000")),"")))))</f>
        <v>18.001.002.001</v>
      </c>
      <c r="J358" s="74" t="s">
        <v>6956</v>
      </c>
      <c r="K358" s="75" t="s">
        <v>1</v>
      </c>
      <c r="L358" s="131">
        <f>(SUM(ARQUITETURA!H2033:H2034,ARQUITETURA!H1959:H2030))-L359</f>
        <v>1951.8799999999994</v>
      </c>
      <c r="M358" s="114">
        <f>_xlfn.XLOOKUP($J358,CPU!$D$1:$D$3085,CPU!$H$1:$H$3085)</f>
        <v>980</v>
      </c>
      <c r="N358" s="94">
        <f t="shared" si="75"/>
        <v>1912842.3999999994</v>
      </c>
      <c r="O358" s="121" t="s">
        <v>6955</v>
      </c>
      <c r="P358" s="76"/>
      <c r="Q358" s="418"/>
      <c r="R358" s="26"/>
      <c r="S358" s="26"/>
    </row>
    <row r="359" spans="1:19" s="25" customFormat="1" ht="13.9" hidden="1" customHeight="1" outlineLevel="2" x14ac:dyDescent="0.2">
      <c r="A359" s="116">
        <f ca="1">IF($H359="UNIDADE CONSTRUTIVA",OFFSET(A359,-1,0)+1,LARGE(A$3:A357,1))</f>
        <v>0</v>
      </c>
      <c r="B359" s="116">
        <f t="shared" ca="1" si="70"/>
        <v>18</v>
      </c>
      <c r="C359" s="116">
        <f t="shared" ca="1" si="71"/>
        <v>1</v>
      </c>
      <c r="D359" s="117">
        <f t="shared" ca="1" si="72"/>
        <v>2</v>
      </c>
      <c r="E359" s="117">
        <f t="shared" ca="1" si="73"/>
        <v>2</v>
      </c>
      <c r="F359" s="438"/>
      <c r="G359" s="71"/>
      <c r="H359" s="72" t="s">
        <v>114</v>
      </c>
      <c r="I359" s="73" t="str">
        <f t="shared" ca="1" si="78"/>
        <v>18.001.002.002</v>
      </c>
      <c r="J359" s="74" t="s">
        <v>6954</v>
      </c>
      <c r="K359" s="75" t="s">
        <v>1</v>
      </c>
      <c r="L359" s="131">
        <f>SUM(ARQUITETURA!E2199:E2202,ARQUITETURA!E2185:E2190,ARQUITETURA!E2174:E2175,ARQUITETURA!E2158:E2165)</f>
        <v>114.7</v>
      </c>
      <c r="M359" s="114">
        <f>_xlfn.XLOOKUP($J359,CPU!$D$1:$D$3085,CPU!$H$1:$H$3085)</f>
        <v>1350</v>
      </c>
      <c r="N359" s="94">
        <f t="shared" si="75"/>
        <v>154845</v>
      </c>
      <c r="O359" s="121" t="s">
        <v>7352</v>
      </c>
      <c r="P359" s="76"/>
      <c r="Q359" s="418"/>
      <c r="R359" s="26"/>
      <c r="S359" s="26"/>
    </row>
    <row r="360" spans="1:19" s="25" customFormat="1" ht="11.25" hidden="1" outlineLevel="2" x14ac:dyDescent="0.2">
      <c r="A360" s="116">
        <f ca="1">IF($H360="UNIDADE CONSTRUTIVA",OFFSET(A360,-1,0)+1,LARGE(A$3:A359,1))</f>
        <v>0</v>
      </c>
      <c r="B360" s="116">
        <f t="shared" ca="1" si="70"/>
        <v>18</v>
      </c>
      <c r="C360" s="116">
        <f t="shared" ca="1" si="71"/>
        <v>1</v>
      </c>
      <c r="D360" s="117">
        <f t="shared" ca="1" si="72"/>
        <v>2</v>
      </c>
      <c r="E360" s="117">
        <f t="shared" ca="1" si="73"/>
        <v>3</v>
      </c>
      <c r="F360" s="438"/>
      <c r="G360" s="71"/>
      <c r="H360" s="72" t="s">
        <v>114</v>
      </c>
      <c r="I360" s="73" t="str">
        <f t="shared" ref="I360:I361" ca="1" si="84">IF(H360="Unidade Construtiva",TEXT(A360,"00"),IF(H360="Célula Construtiva",TEXT(B360,"00"),IF(H360="Etapa",CONCATENATE(TEXT(B360,"00"),".",TEXT(C360,"000")),IF(H360="Subetapa",CONCATENATE(TEXT(B360,"00"),".",TEXT(C360,"000"),".",TEXT(D360,"000")),IF(H360="Serviço",CONCATENATE(TEXT(B360,"00"),".",TEXT(C360,"000"),".",TEXT(D360,"000"),".",TEXT(E360,"000")),"")))))</f>
        <v>18.001.002.003</v>
      </c>
      <c r="J360" s="74" t="s">
        <v>849</v>
      </c>
      <c r="K360" s="75" t="s">
        <v>2</v>
      </c>
      <c r="L360" s="131">
        <f>ARQUITETURA!H2035</f>
        <v>6</v>
      </c>
      <c r="M360" s="114">
        <f>_xlfn.XLOOKUP($J360,CPU!$D$1:$D$3085,CPU!$H$1:$H$3085)</f>
        <v>1014</v>
      </c>
      <c r="N360" s="94">
        <f t="shared" si="75"/>
        <v>6084</v>
      </c>
      <c r="O360" s="121"/>
      <c r="P360" s="76"/>
      <c r="Q360" s="418"/>
      <c r="R360" s="26"/>
      <c r="S360" s="26"/>
    </row>
    <row r="361" spans="1:19" s="25" customFormat="1" ht="13.9" hidden="1" customHeight="1" outlineLevel="1" x14ac:dyDescent="0.2">
      <c r="A361" s="116">
        <f ca="1">IF($H361="UNIDADE CONSTRUTIVA",OFFSET(A361,-1,0)+1,LARGE(A$3:A360,1))</f>
        <v>0</v>
      </c>
      <c r="B361" s="116">
        <f t="shared" ca="1" si="70"/>
        <v>18</v>
      </c>
      <c r="C361" s="116">
        <f t="shared" ca="1" si="71"/>
        <v>1</v>
      </c>
      <c r="D361" s="117">
        <f t="shared" ca="1" si="72"/>
        <v>3</v>
      </c>
      <c r="E361" s="117">
        <f t="shared" ca="1" si="73"/>
        <v>0</v>
      </c>
      <c r="F361" s="438"/>
      <c r="G361" s="71"/>
      <c r="H361" s="72" t="s">
        <v>113</v>
      </c>
      <c r="I361" s="73" t="str">
        <f t="shared" ca="1" si="84"/>
        <v>18.001.003</v>
      </c>
      <c r="J361" s="74" t="s">
        <v>1913</v>
      </c>
      <c r="K361" s="75"/>
      <c r="L361" s="114"/>
      <c r="M361" s="114"/>
      <c r="N361" s="94">
        <f t="shared" ca="1" si="75"/>
        <v>113181.13610000002</v>
      </c>
      <c r="O361" s="121">
        <f ca="1">N361/'Obra '!$E$9</f>
        <v>16.312305318669029</v>
      </c>
      <c r="P361" s="76"/>
      <c r="Q361" s="418"/>
      <c r="R361" s="26"/>
      <c r="S361" s="26"/>
    </row>
    <row r="362" spans="1:19" s="25" customFormat="1" ht="13.9" hidden="1" customHeight="1" outlineLevel="2" x14ac:dyDescent="0.2">
      <c r="A362" s="116">
        <f ca="1">IF($H362="UNIDADE CONSTRUTIVA",OFFSET(A362,-1,0)+1,LARGE(A$3:A361,1))</f>
        <v>0</v>
      </c>
      <c r="B362" s="116">
        <f t="shared" ca="1" si="70"/>
        <v>18</v>
      </c>
      <c r="C362" s="116">
        <f t="shared" ca="1" si="71"/>
        <v>1</v>
      </c>
      <c r="D362" s="117">
        <f t="shared" ca="1" si="72"/>
        <v>3</v>
      </c>
      <c r="E362" s="117">
        <f t="shared" ca="1" si="73"/>
        <v>1</v>
      </c>
      <c r="F362" s="438"/>
      <c r="G362" s="71"/>
      <c r="H362" s="72" t="s">
        <v>114</v>
      </c>
      <c r="I362" s="73" t="str">
        <f t="shared" ca="1" si="78"/>
        <v>18.001.003.001</v>
      </c>
      <c r="J362" s="74" t="s">
        <v>4779</v>
      </c>
      <c r="K362" s="75" t="s">
        <v>1</v>
      </c>
      <c r="L362" s="131">
        <f>ARQUITETURA!H2032</f>
        <v>33.619999999999997</v>
      </c>
      <c r="M362" s="114">
        <f>_xlfn.XLOOKUP($J362,CPU!$D$1:$D$3085,CPU!$H$1:$H$3085)</f>
        <v>850</v>
      </c>
      <c r="N362" s="94">
        <f t="shared" si="75"/>
        <v>28576.999999999996</v>
      </c>
      <c r="O362" s="121"/>
      <c r="P362" s="76"/>
      <c r="Q362" s="418"/>
      <c r="R362" s="26"/>
      <c r="S362" s="26"/>
    </row>
    <row r="363" spans="1:19" s="25" customFormat="1" ht="13.9" hidden="1" customHeight="1" outlineLevel="2" x14ac:dyDescent="0.2">
      <c r="A363" s="116">
        <f ca="1">IF($H363="UNIDADE CONSTRUTIVA",OFFSET(A363,-1,0)+1,LARGE(A$3:A362,1))</f>
        <v>0</v>
      </c>
      <c r="B363" s="116">
        <f t="shared" ca="1" si="70"/>
        <v>18</v>
      </c>
      <c r="C363" s="116">
        <f t="shared" ca="1" si="71"/>
        <v>1</v>
      </c>
      <c r="D363" s="117">
        <f t="shared" ca="1" si="72"/>
        <v>3</v>
      </c>
      <c r="E363" s="117">
        <f t="shared" ca="1" si="73"/>
        <v>2</v>
      </c>
      <c r="F363" s="438"/>
      <c r="G363" s="71"/>
      <c r="H363" s="72" t="s">
        <v>114</v>
      </c>
      <c r="I363" s="73" t="str">
        <f t="shared" ca="1" si="78"/>
        <v>18.001.003.002</v>
      </c>
      <c r="J363" s="74" t="s">
        <v>847</v>
      </c>
      <c r="K363" s="75" t="s">
        <v>1</v>
      </c>
      <c r="L363" s="131">
        <f>ARQUITETURA!H2031</f>
        <v>90.390000000000015</v>
      </c>
      <c r="M363" s="114">
        <f>_xlfn.XLOOKUP($J363,CPU!$D$1:$D$3085,CPU!$H$1:$H$3085)</f>
        <v>935.99</v>
      </c>
      <c r="N363" s="94">
        <f t="shared" si="75"/>
        <v>84604.136100000018</v>
      </c>
      <c r="O363" s="121"/>
      <c r="P363" s="76"/>
      <c r="Q363" s="418"/>
      <c r="R363" s="26"/>
      <c r="S363" s="26"/>
    </row>
    <row r="364" spans="1:19" s="25" customFormat="1" ht="13.9" hidden="1" customHeight="1" outlineLevel="1" x14ac:dyDescent="0.2">
      <c r="A364" s="116">
        <f ca="1">IF($H364="UNIDADE CONSTRUTIVA",OFFSET(A364,-1,0)+1,LARGE(A$3:A363,1))</f>
        <v>0</v>
      </c>
      <c r="B364" s="116">
        <f t="shared" ca="1" si="70"/>
        <v>18</v>
      </c>
      <c r="C364" s="116">
        <f t="shared" ca="1" si="71"/>
        <v>1</v>
      </c>
      <c r="D364" s="117">
        <f t="shared" ca="1" si="72"/>
        <v>4</v>
      </c>
      <c r="E364" s="117">
        <f t="shared" ca="1" si="73"/>
        <v>0</v>
      </c>
      <c r="F364" s="438"/>
      <c r="G364" s="71"/>
      <c r="H364" s="72" t="s">
        <v>113</v>
      </c>
      <c r="I364" s="73" t="str">
        <f ca="1">IF(H364="Unidade Construtiva",TEXT(A364,"00"),IF(H364="Célula Construtiva",TEXT(B364,"00"),IF(H364="Etapa",CONCATENATE(TEXT(B364,"00"),".",TEXT(C364,"000")),IF(H364="Subetapa",CONCATENATE(TEXT(B364,"00"),".",TEXT(C364,"000"),".",TEXT(D364,"000")),IF(H364="Serviço",CONCATENATE(TEXT(B364,"00"),".",TEXT(C364,"000"),".",TEXT(D364,"000"),".",TEXT(E364,"000")),"")))))</f>
        <v>18.001.004</v>
      </c>
      <c r="J364" s="74" t="s">
        <v>54</v>
      </c>
      <c r="K364" s="75"/>
      <c r="L364" s="114"/>
      <c r="M364" s="114"/>
      <c r="N364" s="94">
        <f t="shared" ca="1" si="75"/>
        <v>63464.399999999987</v>
      </c>
      <c r="O364" s="121"/>
      <c r="P364" s="76"/>
      <c r="Q364" s="418"/>
      <c r="R364" s="26"/>
      <c r="S364" s="26"/>
    </row>
    <row r="365" spans="1:19" s="25" customFormat="1" ht="11.25" hidden="1" outlineLevel="2" x14ac:dyDescent="0.2">
      <c r="A365" s="116">
        <f ca="1">IF($H365="UNIDADE CONSTRUTIVA",OFFSET(A365,-1,0)+1,LARGE(A$3:A364,1))</f>
        <v>0</v>
      </c>
      <c r="B365" s="116">
        <f t="shared" ca="1" si="70"/>
        <v>18</v>
      </c>
      <c r="C365" s="116">
        <f t="shared" ca="1" si="71"/>
        <v>1</v>
      </c>
      <c r="D365" s="117">
        <f t="shared" ca="1" si="72"/>
        <v>4</v>
      </c>
      <c r="E365" s="117">
        <f t="shared" ca="1" si="73"/>
        <v>1</v>
      </c>
      <c r="F365" s="438"/>
      <c r="G365" s="71"/>
      <c r="H365" s="72" t="s">
        <v>114</v>
      </c>
      <c r="I365" s="73" t="str">
        <f ca="1">IF(H365="Unidade Construtiva",TEXT(A365,"00"),IF(H365="Célula Construtiva",TEXT(B365,"00"),IF(H365="Etapa",CONCATENATE(TEXT(B365,"00"),".",TEXT(C365,"000")),IF(H365="Subetapa",CONCATENATE(TEXT(B365,"00"),".",TEXT(C365,"000"),".",TEXT(D365,"000")),IF(H365="Serviço",CONCATENATE(TEXT(B365,"00"),".",TEXT(C365,"000"),".",TEXT(D365,"000"),".",TEXT(E365,"000")),"")))))</f>
        <v>18.001.004.001</v>
      </c>
      <c r="J365" s="74" t="s">
        <v>1981</v>
      </c>
      <c r="K365" s="75" t="s">
        <v>2</v>
      </c>
      <c r="L365" s="131">
        <f>L356</f>
        <v>4230.9599999999991</v>
      </c>
      <c r="M365" s="114">
        <f>_xlfn.XLOOKUP($J365,CPU!$D$1:$D$3085,CPU!$H$1:$H$3085)</f>
        <v>15</v>
      </c>
      <c r="N365" s="94">
        <f t="shared" si="75"/>
        <v>63464.399999999987</v>
      </c>
      <c r="O365" s="121"/>
      <c r="P365" s="76"/>
      <c r="Q365" s="418"/>
      <c r="R365" s="26"/>
      <c r="S365" s="26"/>
    </row>
    <row r="366" spans="1:19" s="25" customFormat="1" ht="13.9" hidden="1" customHeight="1" outlineLevel="1" x14ac:dyDescent="0.2">
      <c r="A366" s="116">
        <f ca="1">IF($H366="UNIDADE CONSTRUTIVA",OFFSET(A366,-1,0)+1,LARGE(A$3:A365,1))</f>
        <v>0</v>
      </c>
      <c r="B366" s="116">
        <f t="shared" ca="1" si="70"/>
        <v>18</v>
      </c>
      <c r="C366" s="116">
        <f t="shared" ca="1" si="71"/>
        <v>2</v>
      </c>
      <c r="D366" s="117">
        <f t="shared" ca="1" si="72"/>
        <v>0</v>
      </c>
      <c r="E366" s="117">
        <f t="shared" ca="1" si="73"/>
        <v>1</v>
      </c>
      <c r="F366" s="438"/>
      <c r="G366" s="71"/>
      <c r="H366" s="72" t="s">
        <v>112</v>
      </c>
      <c r="I366" s="73" t="str">
        <f t="shared" ca="1" si="78"/>
        <v>18.002</v>
      </c>
      <c r="J366" s="74" t="s">
        <v>6</v>
      </c>
      <c r="K366" s="75"/>
      <c r="L366" s="114"/>
      <c r="M366" s="114"/>
      <c r="N366" s="94">
        <f t="shared" ca="1" si="75"/>
        <v>906429.72499999998</v>
      </c>
      <c r="O366" s="121">
        <f ca="1">N366/'Obra '!$E$9</f>
        <v>130.63977738351403</v>
      </c>
      <c r="P366" s="76"/>
      <c r="Q366" s="418"/>
      <c r="R366" s="26"/>
      <c r="S366" s="26"/>
    </row>
    <row r="367" spans="1:19" s="25" customFormat="1" ht="13.9" hidden="1" customHeight="1" outlineLevel="1" x14ac:dyDescent="0.2">
      <c r="A367" s="116">
        <f ca="1">IF($H367="UNIDADE CONSTRUTIVA",OFFSET(A367,-1,0)+1,LARGE(A$3:A366,1))</f>
        <v>0</v>
      </c>
      <c r="B367" s="116">
        <f t="shared" ca="1" si="70"/>
        <v>18</v>
      </c>
      <c r="C367" s="116">
        <f t="shared" ca="1" si="71"/>
        <v>2</v>
      </c>
      <c r="D367" s="117">
        <f t="shared" ca="1" si="72"/>
        <v>1</v>
      </c>
      <c r="E367" s="117">
        <f t="shared" ca="1" si="73"/>
        <v>0</v>
      </c>
      <c r="F367" s="438"/>
      <c r="G367" s="71"/>
      <c r="H367" s="72" t="s">
        <v>113</v>
      </c>
      <c r="I367" s="73" t="str">
        <f t="shared" ca="1" si="78"/>
        <v>18.002.001</v>
      </c>
      <c r="J367" s="74" t="s">
        <v>1673</v>
      </c>
      <c r="K367" s="75"/>
      <c r="L367" s="114"/>
      <c r="M367" s="114"/>
      <c r="N367" s="94">
        <f t="shared" ca="1" si="75"/>
        <v>573315.72499999998</v>
      </c>
      <c r="O367" s="121">
        <f ca="1">N367/'Obra '!$E$9</f>
        <v>82.629504106860523</v>
      </c>
      <c r="P367" s="76"/>
      <c r="Q367" s="418"/>
      <c r="R367" s="26"/>
      <c r="S367" s="26"/>
    </row>
    <row r="368" spans="1:19" s="25" customFormat="1" ht="13.9" hidden="1" customHeight="1" outlineLevel="2" x14ac:dyDescent="0.2">
      <c r="A368" s="116">
        <f ca="1">IF($H368="UNIDADE CONSTRUTIVA",OFFSET(A368,-1,0)+1,LARGE(A$3:A367,1))</f>
        <v>0</v>
      </c>
      <c r="B368" s="116">
        <f t="shared" ca="1" si="70"/>
        <v>18</v>
      </c>
      <c r="C368" s="116">
        <f t="shared" ca="1" si="71"/>
        <v>2</v>
      </c>
      <c r="D368" s="117">
        <f t="shared" ca="1" si="72"/>
        <v>1</v>
      </c>
      <c r="E368" s="117">
        <f t="shared" ca="1" si="73"/>
        <v>1</v>
      </c>
      <c r="F368" s="438"/>
      <c r="G368" s="71"/>
      <c r="H368" s="72" t="s">
        <v>114</v>
      </c>
      <c r="I368" s="73" t="str">
        <f t="shared" ca="1" si="78"/>
        <v>18.002.001.001</v>
      </c>
      <c r="J368" s="74" t="s">
        <v>864</v>
      </c>
      <c r="K368" s="75" t="s">
        <v>2</v>
      </c>
      <c r="L368" s="114">
        <f>ARQUITETURA!H2225</f>
        <v>138</v>
      </c>
      <c r="M368" s="114">
        <f>_xlfn.XLOOKUP($J368,CPU!$D$1:$D$3085,CPU!$H$1:$H$3085)</f>
        <v>1355</v>
      </c>
      <c r="N368" s="94">
        <f t="shared" si="75"/>
        <v>186990</v>
      </c>
      <c r="O368" s="244"/>
      <c r="P368" s="76"/>
      <c r="Q368" s="418"/>
      <c r="R368" s="26"/>
      <c r="S368" s="26"/>
    </row>
    <row r="369" spans="1:19" s="25" customFormat="1" ht="12.75" hidden="1" customHeight="1" outlineLevel="2" x14ac:dyDescent="0.2">
      <c r="A369" s="116">
        <f ca="1">IF($H369="UNIDADE CONSTRUTIVA",OFFSET(A369,-1,0)+1,LARGE(A$3:A368,1))</f>
        <v>0</v>
      </c>
      <c r="B369" s="116">
        <f t="shared" ca="1" si="70"/>
        <v>18</v>
      </c>
      <c r="C369" s="116">
        <f t="shared" ca="1" si="71"/>
        <v>2</v>
      </c>
      <c r="D369" s="117">
        <f t="shared" ca="1" si="72"/>
        <v>1</v>
      </c>
      <c r="E369" s="117">
        <f t="shared" ca="1" si="73"/>
        <v>2</v>
      </c>
      <c r="F369" s="438"/>
      <c r="G369" s="71"/>
      <c r="H369" s="72" t="s">
        <v>114</v>
      </c>
      <c r="I369" s="73" t="str">
        <f t="shared" ca="1" si="78"/>
        <v>18.002.001.002</v>
      </c>
      <c r="J369" s="74" t="s">
        <v>858</v>
      </c>
      <c r="K369" s="75" t="s">
        <v>2</v>
      </c>
      <c r="L369" s="114">
        <f>ARQUITETURA!H2226</f>
        <v>124</v>
      </c>
      <c r="M369" s="114">
        <f>_xlfn.XLOOKUP($J369,CPU!$D$1:$D$3085,CPU!$H$1:$H$3085)</f>
        <v>1355</v>
      </c>
      <c r="N369" s="94">
        <f t="shared" si="75"/>
        <v>168020</v>
      </c>
      <c r="O369" s="244"/>
      <c r="P369" s="76"/>
      <c r="Q369" s="418"/>
      <c r="R369" s="26"/>
      <c r="S369" s="26"/>
    </row>
    <row r="370" spans="1:19" s="25" customFormat="1" ht="12.75" hidden="1" customHeight="1" outlineLevel="2" x14ac:dyDescent="0.2">
      <c r="A370" s="116">
        <f ca="1">IF($H370="UNIDADE CONSTRUTIVA",OFFSET(A370,-1,0)+1,LARGE(A$3:A369,1))</f>
        <v>0</v>
      </c>
      <c r="B370" s="116">
        <f t="shared" ca="1" si="70"/>
        <v>18</v>
      </c>
      <c r="C370" s="116">
        <f t="shared" ca="1" si="71"/>
        <v>2</v>
      </c>
      <c r="D370" s="117">
        <f t="shared" ca="1" si="72"/>
        <v>1</v>
      </c>
      <c r="E370" s="117">
        <f t="shared" ca="1" si="73"/>
        <v>3</v>
      </c>
      <c r="F370" s="438"/>
      <c r="G370" s="71"/>
      <c r="H370" s="72" t="s">
        <v>114</v>
      </c>
      <c r="I370" s="73" t="str">
        <f t="shared" ca="1" si="78"/>
        <v>18.002.001.003</v>
      </c>
      <c r="J370" s="74" t="s">
        <v>866</v>
      </c>
      <c r="K370" s="75" t="s">
        <v>2</v>
      </c>
      <c r="L370" s="114">
        <f>ARQUITETURA!H2227</f>
        <v>152</v>
      </c>
      <c r="M370" s="114">
        <f>_xlfn.XLOOKUP($J370,CPU!$D$1:$D$3085,CPU!$H$1:$H$3085)</f>
        <v>1355</v>
      </c>
      <c r="N370" s="94">
        <f t="shared" si="75"/>
        <v>205960</v>
      </c>
      <c r="O370" s="244"/>
      <c r="P370" s="76"/>
      <c r="Q370" s="418"/>
      <c r="R370" s="26"/>
      <c r="S370" s="26"/>
    </row>
    <row r="371" spans="1:19" s="25" customFormat="1" ht="12.75" hidden="1" customHeight="1" outlineLevel="2" x14ac:dyDescent="0.2">
      <c r="A371" s="116">
        <f ca="1">IF($H371="UNIDADE CONSTRUTIVA",OFFSET(A371,-1,0)+1,LARGE(A$3:A370,1))</f>
        <v>0</v>
      </c>
      <c r="B371" s="116">
        <f t="shared" ca="1" si="70"/>
        <v>18</v>
      </c>
      <c r="C371" s="116">
        <f t="shared" ca="1" si="71"/>
        <v>2</v>
      </c>
      <c r="D371" s="117">
        <f t="shared" ca="1" si="72"/>
        <v>1</v>
      </c>
      <c r="E371" s="117">
        <f t="shared" ca="1" si="73"/>
        <v>4</v>
      </c>
      <c r="F371" s="438"/>
      <c r="G371" s="71"/>
      <c r="H371" s="72" t="s">
        <v>114</v>
      </c>
      <c r="I371" s="73" t="str">
        <f t="shared" ca="1" si="78"/>
        <v>18.002.001.004</v>
      </c>
      <c r="J371" s="74" t="s">
        <v>4837</v>
      </c>
      <c r="K371" s="75" t="s">
        <v>2</v>
      </c>
      <c r="L371" s="114">
        <f>ARQUITETURA!H2224</f>
        <v>2</v>
      </c>
      <c r="M371" s="114">
        <f>_xlfn.XLOOKUP($J371,CPU!$D$1:$D$3085,CPU!$H$1:$H$3085)</f>
        <v>1355</v>
      </c>
      <c r="N371" s="94">
        <f t="shared" si="75"/>
        <v>2710</v>
      </c>
      <c r="O371" s="244"/>
      <c r="P371" s="76"/>
      <c r="Q371" s="418"/>
      <c r="R371" s="26"/>
      <c r="S371" s="26"/>
    </row>
    <row r="372" spans="1:19" s="25" customFormat="1" ht="12.75" hidden="1" customHeight="1" outlineLevel="2" x14ac:dyDescent="0.2">
      <c r="A372" s="116">
        <f ca="1">IF($H372="UNIDADE CONSTRUTIVA",OFFSET(A372,-1,0)+1,LARGE(A$3:A371,1))</f>
        <v>0</v>
      </c>
      <c r="B372" s="116">
        <f t="shared" ca="1" si="70"/>
        <v>18</v>
      </c>
      <c r="C372" s="116">
        <f t="shared" ca="1" si="71"/>
        <v>2</v>
      </c>
      <c r="D372" s="117">
        <f t="shared" ca="1" si="72"/>
        <v>1</v>
      </c>
      <c r="E372" s="117">
        <f t="shared" ca="1" si="73"/>
        <v>5</v>
      </c>
      <c r="F372" s="438"/>
      <c r="G372" s="71"/>
      <c r="H372" s="72" t="s">
        <v>114</v>
      </c>
      <c r="I372" s="73" t="str">
        <f t="shared" ref="I372:I375" ca="1" si="85">IF(H372="Unidade Construtiva",TEXT(A372,"00"),IF(H372="Célula Construtiva",TEXT(B372,"00"),IF(H372="Etapa",CONCATENATE(TEXT(B372,"00"),".",TEXT(C372,"000")),IF(H372="Subetapa",CONCATENATE(TEXT(B372,"00"),".",TEXT(C372,"000"),".",TEXT(D372,"000")),IF(H372="Serviço",CONCATENATE(TEXT(B372,"00"),".",TEXT(C372,"000"),".",TEXT(D372,"000"),".",TEXT(E372,"000")),"")))))</f>
        <v>18.002.001.005</v>
      </c>
      <c r="J372" s="74" t="s">
        <v>1845</v>
      </c>
      <c r="K372" s="75" t="s">
        <v>2</v>
      </c>
      <c r="L372" s="114">
        <f>ARQUITETURA!H2230</f>
        <v>2</v>
      </c>
      <c r="M372" s="114">
        <f>_xlfn.XLOOKUP($J372,CPU!$D$1:$D$3085,CPU!$H$1:$H$3085)</f>
        <v>1413.5</v>
      </c>
      <c r="N372" s="94">
        <f t="shared" si="75"/>
        <v>2827</v>
      </c>
      <c r="O372" s="244"/>
      <c r="P372" s="76"/>
      <c r="Q372" s="418"/>
      <c r="R372" s="26"/>
      <c r="S372" s="26"/>
    </row>
    <row r="373" spans="1:19" s="25" customFormat="1" ht="12.75" hidden="1" customHeight="1" outlineLevel="2" x14ac:dyDescent="0.2">
      <c r="A373" s="116">
        <f ca="1">IF($H373="UNIDADE CONSTRUTIVA",OFFSET(A373,-1,0)+1,LARGE(A$3:A372,1))</f>
        <v>0</v>
      </c>
      <c r="B373" s="116">
        <f t="shared" ca="1" si="70"/>
        <v>18</v>
      </c>
      <c r="C373" s="116">
        <f t="shared" ca="1" si="71"/>
        <v>2</v>
      </c>
      <c r="D373" s="117">
        <f t="shared" ca="1" si="72"/>
        <v>1</v>
      </c>
      <c r="E373" s="117">
        <f t="shared" ca="1" si="73"/>
        <v>6</v>
      </c>
      <c r="F373" s="438"/>
      <c r="G373" s="71"/>
      <c r="H373" s="72" t="s">
        <v>114</v>
      </c>
      <c r="I373" s="73" t="str">
        <f t="shared" ca="1" si="85"/>
        <v>18.002.001.006</v>
      </c>
      <c r="J373" s="74" t="s">
        <v>4838</v>
      </c>
      <c r="K373" s="75" t="s">
        <v>2</v>
      </c>
      <c r="L373" s="114">
        <f>ARQUITETURA!H2231</f>
        <v>2</v>
      </c>
      <c r="M373" s="114">
        <f>_xlfn.XLOOKUP($J373,CPU!$D$1:$D$3085,CPU!$H$1:$H$3085)</f>
        <v>1413.5</v>
      </c>
      <c r="N373" s="94">
        <f t="shared" si="75"/>
        <v>2827</v>
      </c>
      <c r="O373" s="244"/>
      <c r="P373" s="76"/>
      <c r="Q373" s="418"/>
      <c r="R373" s="26"/>
      <c r="S373" s="26"/>
    </row>
    <row r="374" spans="1:19" s="25" customFormat="1" ht="12.75" hidden="1" customHeight="1" outlineLevel="2" x14ac:dyDescent="0.2">
      <c r="A374" s="116">
        <f ca="1">IF($H374="UNIDADE CONSTRUTIVA",OFFSET(A374,-1,0)+1,LARGE(A$3:A373,1))</f>
        <v>0</v>
      </c>
      <c r="B374" s="116">
        <f t="shared" ca="1" si="70"/>
        <v>18</v>
      </c>
      <c r="C374" s="116">
        <f t="shared" ca="1" si="71"/>
        <v>2</v>
      </c>
      <c r="D374" s="117">
        <f t="shared" ca="1" si="72"/>
        <v>1</v>
      </c>
      <c r="E374" s="117">
        <f t="shared" ca="1" si="73"/>
        <v>7</v>
      </c>
      <c r="F374" s="438"/>
      <c r="G374" s="71"/>
      <c r="H374" s="72" t="s">
        <v>114</v>
      </c>
      <c r="I374" s="73" t="str">
        <f t="shared" ref="I374" ca="1" si="86">IF(H374="Unidade Construtiva",TEXT(A374,"00"),IF(H374="Célula Construtiva",TEXT(B374,"00"),IF(H374="Etapa",CONCATENATE(TEXT(B374,"00"),".",TEXT(C374,"000")),IF(H374="Subetapa",CONCATENATE(TEXT(B374,"00"),".",TEXT(C374,"000"),".",TEXT(D374,"000")),IF(H374="Serviço",CONCATENATE(TEXT(B374,"00"),".",TEXT(C374,"000"),".",TEXT(D374,"000"),".",TEXT(E374,"000")),"")))))</f>
        <v>18.002.001.007</v>
      </c>
      <c r="J374" s="74" t="s">
        <v>4839</v>
      </c>
      <c r="K374" s="75" t="s">
        <v>2</v>
      </c>
      <c r="L374" s="114">
        <f>ARQUITETURA!H2228</f>
        <v>1</v>
      </c>
      <c r="M374" s="114">
        <f>_xlfn.XLOOKUP($J374,CPU!$D$1:$D$3085,CPU!$H$1:$H$3085)</f>
        <v>1888.9750000000001</v>
      </c>
      <c r="N374" s="94">
        <f t="shared" si="75"/>
        <v>1888.9750000000001</v>
      </c>
      <c r="O374" s="244"/>
      <c r="P374" s="76"/>
      <c r="Q374" s="418"/>
      <c r="R374" s="26"/>
      <c r="S374" s="26"/>
    </row>
    <row r="375" spans="1:19" s="25" customFormat="1" ht="12.75" hidden="1" customHeight="1" outlineLevel="2" x14ac:dyDescent="0.2">
      <c r="A375" s="116">
        <f ca="1">IF($H375="UNIDADE CONSTRUTIVA",OFFSET(A375,-1,0)+1,LARGE(A$3:A374,1))</f>
        <v>0</v>
      </c>
      <c r="B375" s="116">
        <f t="shared" ca="1" si="70"/>
        <v>18</v>
      </c>
      <c r="C375" s="116">
        <f t="shared" ca="1" si="71"/>
        <v>2</v>
      </c>
      <c r="D375" s="117">
        <f t="shared" ca="1" si="72"/>
        <v>1</v>
      </c>
      <c r="E375" s="117">
        <f t="shared" ca="1" si="73"/>
        <v>8</v>
      </c>
      <c r="F375" s="438"/>
      <c r="G375" s="71"/>
      <c r="H375" s="72" t="s">
        <v>114</v>
      </c>
      <c r="I375" s="73" t="str">
        <f t="shared" ca="1" si="85"/>
        <v>18.002.001.008</v>
      </c>
      <c r="J375" s="74" t="s">
        <v>4840</v>
      </c>
      <c r="K375" s="75" t="s">
        <v>2</v>
      </c>
      <c r="L375" s="114">
        <f>ARQUITETURA!H2229</f>
        <v>1</v>
      </c>
      <c r="M375" s="114">
        <f>_xlfn.XLOOKUP($J375,CPU!$D$1:$D$3085,CPU!$H$1:$H$3085)</f>
        <v>2092.75</v>
      </c>
      <c r="N375" s="94">
        <f t="shared" si="75"/>
        <v>2092.75</v>
      </c>
      <c r="O375" s="244"/>
      <c r="P375" s="76"/>
      <c r="Q375" s="418"/>
      <c r="R375" s="26"/>
      <c r="S375" s="26"/>
    </row>
    <row r="376" spans="1:19" s="25" customFormat="1" ht="13.9" hidden="1" customHeight="1" outlineLevel="1" x14ac:dyDescent="0.2">
      <c r="A376" s="116">
        <f ca="1">IF($H376="UNIDADE CONSTRUTIVA",OFFSET(A376,-1,0)+1,LARGE(A$3:A375,1))</f>
        <v>0</v>
      </c>
      <c r="B376" s="116">
        <f t="shared" ca="1" si="70"/>
        <v>18</v>
      </c>
      <c r="C376" s="116">
        <f t="shared" ca="1" si="71"/>
        <v>2</v>
      </c>
      <c r="D376" s="117">
        <f t="shared" ca="1" si="72"/>
        <v>2</v>
      </c>
      <c r="E376" s="117">
        <f t="shared" ca="1" si="73"/>
        <v>0</v>
      </c>
      <c r="F376" s="438"/>
      <c r="G376" s="71"/>
      <c r="H376" s="72" t="s">
        <v>113</v>
      </c>
      <c r="I376" s="73" t="str">
        <f t="shared" ca="1" si="78"/>
        <v>18.002.002</v>
      </c>
      <c r="J376" s="74" t="s">
        <v>1914</v>
      </c>
      <c r="K376" s="75"/>
      <c r="L376" s="114"/>
      <c r="M376" s="114"/>
      <c r="N376" s="94">
        <f t="shared" ca="1" si="75"/>
        <v>206514</v>
      </c>
      <c r="O376" s="121"/>
      <c r="P376" s="76"/>
      <c r="Q376" s="418"/>
      <c r="R376" s="26"/>
      <c r="S376" s="26"/>
    </row>
    <row r="377" spans="1:19" s="25" customFormat="1" ht="13.9" hidden="1" customHeight="1" outlineLevel="2" x14ac:dyDescent="0.2">
      <c r="A377" s="116">
        <f ca="1">IF($H377="UNIDADE CONSTRUTIVA",OFFSET(A377,-1,0)+1,LARGE(A$3:A376,1))</f>
        <v>0</v>
      </c>
      <c r="B377" s="116">
        <f t="shared" ca="1" si="70"/>
        <v>18</v>
      </c>
      <c r="C377" s="116">
        <f t="shared" ca="1" si="71"/>
        <v>2</v>
      </c>
      <c r="D377" s="117">
        <f t="shared" ca="1" si="72"/>
        <v>2</v>
      </c>
      <c r="E377" s="117">
        <f t="shared" ca="1" si="73"/>
        <v>1</v>
      </c>
      <c r="F377" s="438"/>
      <c r="G377" s="71"/>
      <c r="H377" s="72" t="s">
        <v>114</v>
      </c>
      <c r="I377" s="73" t="str">
        <f t="shared" ca="1" si="78"/>
        <v>18.002.002.001</v>
      </c>
      <c r="J377" s="74" t="s">
        <v>263</v>
      </c>
      <c r="K377" s="75" t="s">
        <v>2</v>
      </c>
      <c r="L377" s="114">
        <f>'Obra '!G116</f>
        <v>149</v>
      </c>
      <c r="M377" s="114">
        <v>1386</v>
      </c>
      <c r="N377" s="94">
        <f t="shared" si="75"/>
        <v>206514</v>
      </c>
      <c r="O377" s="121" t="s">
        <v>264</v>
      </c>
      <c r="P377" s="76"/>
      <c r="Q377" s="418"/>
      <c r="R377" s="26"/>
      <c r="S377" s="26"/>
    </row>
    <row r="378" spans="1:19" s="25" customFormat="1" ht="13.9" hidden="1" customHeight="1" outlineLevel="1" x14ac:dyDescent="0.2">
      <c r="A378" s="116">
        <f ca="1">IF($H378="UNIDADE CONSTRUTIVA",OFFSET(A378,-1,0)+1,LARGE(A$3:A377,1))</f>
        <v>0</v>
      </c>
      <c r="B378" s="116">
        <f t="shared" ca="1" si="70"/>
        <v>18</v>
      </c>
      <c r="C378" s="116">
        <f t="shared" ca="1" si="71"/>
        <v>2</v>
      </c>
      <c r="D378" s="117">
        <f t="shared" ca="1" si="72"/>
        <v>3</v>
      </c>
      <c r="E378" s="117">
        <f t="shared" ca="1" si="73"/>
        <v>0</v>
      </c>
      <c r="F378" s="438"/>
      <c r="G378" s="71"/>
      <c r="H378" s="72" t="s">
        <v>113</v>
      </c>
      <c r="I378" s="73" t="str">
        <f t="shared" ca="1" si="78"/>
        <v>18.002.003</v>
      </c>
      <c r="J378" s="74" t="s">
        <v>54</v>
      </c>
      <c r="K378" s="75"/>
      <c r="L378" s="114"/>
      <c r="M378" s="114"/>
      <c r="N378" s="94">
        <f t="shared" ca="1" si="75"/>
        <v>126600</v>
      </c>
      <c r="O378" s="121"/>
      <c r="P378" s="76"/>
      <c r="Q378" s="418"/>
      <c r="R378" s="26"/>
      <c r="S378" s="26"/>
    </row>
    <row r="379" spans="1:19" s="25" customFormat="1" ht="13.9" hidden="1" customHeight="1" outlineLevel="2" x14ac:dyDescent="0.2">
      <c r="A379" s="116">
        <f ca="1">IF($H379="UNIDADE CONSTRUTIVA",OFFSET(A379,-1,0)+1,LARGE(A$3:A378,1))</f>
        <v>0</v>
      </c>
      <c r="B379" s="116">
        <f t="shared" ca="1" si="70"/>
        <v>18</v>
      </c>
      <c r="C379" s="116">
        <f t="shared" ca="1" si="71"/>
        <v>2</v>
      </c>
      <c r="D379" s="117">
        <f t="shared" ca="1" si="72"/>
        <v>3</v>
      </c>
      <c r="E379" s="117">
        <f t="shared" ca="1" si="73"/>
        <v>1</v>
      </c>
      <c r="F379" s="438"/>
      <c r="G379" s="71"/>
      <c r="H379" s="72" t="s">
        <v>114</v>
      </c>
      <c r="I379" s="73" t="str">
        <f t="shared" ca="1" si="78"/>
        <v>18.002.003.001</v>
      </c>
      <c r="J379" s="74" t="s">
        <v>64</v>
      </c>
      <c r="K379" s="75" t="s">
        <v>2</v>
      </c>
      <c r="L379" s="114">
        <f>SUM(L368:L375)</f>
        <v>422</v>
      </c>
      <c r="M379" s="114">
        <f>_xlfn.XLOOKUP($J379,CPU!$D$1:$D$3085,CPU!$H$1:$H$3085)</f>
        <v>300</v>
      </c>
      <c r="N379" s="94">
        <f t="shared" si="75"/>
        <v>126600</v>
      </c>
      <c r="O379" s="121"/>
      <c r="P379" s="76"/>
      <c r="Q379" s="418"/>
      <c r="R379" s="26"/>
      <c r="S379" s="26"/>
    </row>
    <row r="380" spans="1:19" s="25" customFormat="1" ht="13.9" hidden="1" customHeight="1" outlineLevel="1" x14ac:dyDescent="0.2">
      <c r="A380" s="116">
        <f ca="1">IF($H380="UNIDADE CONSTRUTIVA",OFFSET(A380,-1,0)+1,LARGE(A$3:A379,1))</f>
        <v>0</v>
      </c>
      <c r="B380" s="116">
        <f t="shared" ca="1" si="70"/>
        <v>18</v>
      </c>
      <c r="C380" s="116">
        <f t="shared" ca="1" si="71"/>
        <v>3</v>
      </c>
      <c r="D380" s="117">
        <f t="shared" ca="1" si="72"/>
        <v>0</v>
      </c>
      <c r="E380" s="117">
        <f t="shared" ca="1" si="73"/>
        <v>1</v>
      </c>
      <c r="F380" s="438"/>
      <c r="G380" s="71"/>
      <c r="H380" s="72" t="s">
        <v>112</v>
      </c>
      <c r="I380" s="73" t="str">
        <f t="shared" ca="1" si="78"/>
        <v>18.003</v>
      </c>
      <c r="J380" s="74" t="s">
        <v>329</v>
      </c>
      <c r="K380" s="75"/>
      <c r="L380" s="114"/>
      <c r="M380" s="114"/>
      <c r="N380" s="94">
        <f t="shared" ca="1" si="75"/>
        <v>499746.02350000001</v>
      </c>
      <c r="O380" s="121"/>
      <c r="P380" s="76"/>
      <c r="Q380" s="418"/>
      <c r="R380" s="26"/>
      <c r="S380" s="26"/>
    </row>
    <row r="381" spans="1:19" s="25" customFormat="1" ht="13.9" hidden="1" customHeight="1" outlineLevel="1" x14ac:dyDescent="0.2">
      <c r="A381" s="116">
        <f ca="1">IF($H381="UNIDADE CONSTRUTIVA",OFFSET(A381,-1,0)+1,LARGE(A$3:A380,1))</f>
        <v>0</v>
      </c>
      <c r="B381" s="116">
        <f t="shared" ca="1" si="70"/>
        <v>18</v>
      </c>
      <c r="C381" s="116">
        <f t="shared" ca="1" si="71"/>
        <v>3</v>
      </c>
      <c r="D381" s="117">
        <f t="shared" ca="1" si="72"/>
        <v>1</v>
      </c>
      <c r="E381" s="117">
        <f t="shared" ca="1" si="73"/>
        <v>0</v>
      </c>
      <c r="F381" s="438"/>
      <c r="G381" s="71"/>
      <c r="H381" s="72" t="s">
        <v>113</v>
      </c>
      <c r="I381" s="73" t="str">
        <f ca="1">IF(H381="Unidade Construtiva",TEXT(A381,"00"),IF(H381="Célula Construtiva",TEXT(B381,"00"),IF(H381="Etapa",CONCATENATE(TEXT(B381,"00"),".",TEXT(C381,"000")),IF(H381="Subetapa",CONCATENATE(TEXT(B381,"00"),".",TEXT(C381,"000"),".",TEXT(D381,"000")),IF(H381="Serviço",CONCATENATE(TEXT(B381,"00"),".",TEXT(C381,"000"),".",TEXT(D381,"000"),".",TEXT(E381,"000")),"")))))</f>
        <v>18.003.001</v>
      </c>
      <c r="J381" s="74" t="s">
        <v>1675</v>
      </c>
      <c r="K381" s="75"/>
      <c r="L381" s="114"/>
      <c r="M381" s="114"/>
      <c r="N381" s="94">
        <f t="shared" ca="1" si="75"/>
        <v>61547.233</v>
      </c>
      <c r="O381" s="121"/>
      <c r="P381" s="76"/>
      <c r="Q381" s="418"/>
      <c r="R381" s="26"/>
      <c r="S381" s="26"/>
    </row>
    <row r="382" spans="1:19" s="25" customFormat="1" ht="13.9" hidden="1" customHeight="1" outlineLevel="2" x14ac:dyDescent="0.2">
      <c r="A382" s="116">
        <f ca="1">IF($H382="UNIDADE CONSTRUTIVA",OFFSET(A382,-1,0)+1,LARGE(A$3:A381,1))</f>
        <v>0</v>
      </c>
      <c r="B382" s="116">
        <f t="shared" ca="1" si="70"/>
        <v>18</v>
      </c>
      <c r="C382" s="116">
        <f t="shared" ca="1" si="71"/>
        <v>3</v>
      </c>
      <c r="D382" s="117">
        <f t="shared" ca="1" si="72"/>
        <v>1</v>
      </c>
      <c r="E382" s="117">
        <f t="shared" ca="1" si="73"/>
        <v>1</v>
      </c>
      <c r="F382" s="438"/>
      <c r="G382" s="71"/>
      <c r="H382" s="72" t="s">
        <v>114</v>
      </c>
      <c r="I382" s="73" t="str">
        <f ca="1">IF(H382="Unidade Construtiva",TEXT(A382,"00"),IF(H382="Célula Construtiva",TEXT(B382,"00"),IF(H382="Etapa",CONCATENATE(TEXT(B382,"00"),".",TEXT(C382,"000")),IF(H382="Subetapa",CONCATENATE(TEXT(B382,"00"),".",TEXT(C382,"000"),".",TEXT(D382,"000")),IF(H382="Serviço",CONCATENATE(TEXT(B382,"00"),".",TEXT(C382,"000"),".",TEXT(D382,"000"),".",TEXT(E382,"000")),"")))))</f>
        <v>18.003.001.001</v>
      </c>
      <c r="J382" s="74" t="s">
        <v>150</v>
      </c>
      <c r="K382" s="75" t="s">
        <v>3</v>
      </c>
      <c r="L382" s="114">
        <f>ARQUITETURA!H2302</f>
        <v>226.18000000000006</v>
      </c>
      <c r="M382" s="114">
        <f>_xlfn.XLOOKUP($J382,CPU!$D$1:$D$3085,CPU!$H$1:$H$3085)</f>
        <v>36.85</v>
      </c>
      <c r="N382" s="94">
        <f t="shared" si="75"/>
        <v>8334.733000000002</v>
      </c>
      <c r="O382" s="121"/>
      <c r="P382" s="76"/>
      <c r="Q382" s="418"/>
      <c r="R382" s="26"/>
      <c r="S382" s="26"/>
    </row>
    <row r="383" spans="1:19" s="25" customFormat="1" ht="13.9" hidden="1" customHeight="1" outlineLevel="2" x14ac:dyDescent="0.2">
      <c r="A383" s="116">
        <f ca="1">IF($H383="UNIDADE CONSTRUTIVA",OFFSET(A383,-1,0)+1,LARGE(A$3:A382,1))</f>
        <v>0</v>
      </c>
      <c r="B383" s="116">
        <f t="shared" ca="1" si="70"/>
        <v>18</v>
      </c>
      <c r="C383" s="116">
        <f t="shared" ca="1" si="71"/>
        <v>3</v>
      </c>
      <c r="D383" s="117">
        <f t="shared" ca="1" si="72"/>
        <v>1</v>
      </c>
      <c r="E383" s="117">
        <f t="shared" ca="1" si="73"/>
        <v>2</v>
      </c>
      <c r="F383" s="438"/>
      <c r="G383" s="71"/>
      <c r="H383" s="72" t="s">
        <v>114</v>
      </c>
      <c r="I383" s="73" t="str">
        <f ca="1">IF(H383="Unidade Construtiva",TEXT(A383,"00"),IF(H383="Célula Construtiva",TEXT(B383,"00"),IF(H383="Etapa",CONCATENATE(TEXT(B383,"00"),".",TEXT(C383,"000")),IF(H383="Subetapa",CONCATENATE(TEXT(B383,"00"),".",TEXT(C383,"000"),".",TEXT(D383,"000")),IF(H383="Serviço",CONCATENATE(TEXT(B383,"00"),".",TEXT(C383,"000"),".",TEXT(D383,"000"),".",TEXT(E383,"000")),"")))))</f>
        <v>18.003.001.002</v>
      </c>
      <c r="J383" s="74" t="s">
        <v>2873</v>
      </c>
      <c r="K383" s="75" t="s">
        <v>2</v>
      </c>
      <c r="L383" s="114">
        <f>ARQUITETURA!H2348</f>
        <v>43</v>
      </c>
      <c r="M383" s="114">
        <f>_xlfn.XLOOKUP($J383,CPU!$D$1:$D$3085,CPU!$H$1:$H$3085)</f>
        <v>1237.5</v>
      </c>
      <c r="N383" s="94">
        <f t="shared" si="75"/>
        <v>53212.5</v>
      </c>
      <c r="O383" s="121"/>
      <c r="P383" s="76"/>
      <c r="Q383" s="418"/>
      <c r="R383" s="26"/>
      <c r="S383" s="26"/>
    </row>
    <row r="384" spans="1:19" s="25" customFormat="1" ht="13.9" hidden="1" customHeight="1" outlineLevel="1" x14ac:dyDescent="0.2">
      <c r="A384" s="116">
        <f ca="1">IF($H384="UNIDADE CONSTRUTIVA",OFFSET(A384,-1,0)+1,LARGE(A$3:A383,1))</f>
        <v>0</v>
      </c>
      <c r="B384" s="116">
        <f t="shared" ca="1" si="70"/>
        <v>18</v>
      </c>
      <c r="C384" s="116">
        <f t="shared" ca="1" si="71"/>
        <v>3</v>
      </c>
      <c r="D384" s="117">
        <f t="shared" ca="1" si="72"/>
        <v>2</v>
      </c>
      <c r="E384" s="117">
        <f t="shared" ca="1" si="73"/>
        <v>0</v>
      </c>
      <c r="F384" s="438"/>
      <c r="G384" s="71"/>
      <c r="H384" s="72" t="s">
        <v>113</v>
      </c>
      <c r="I384" s="73" t="str">
        <f ca="1">IF(H384="Unidade Construtiva",TEXT(A384,"00"),IF(H384="Célula Construtiva",TEXT(B384,"00"),IF(H384="Etapa",CONCATENATE(TEXT(B384,"00"),".",TEXT(C384,"000")),IF(H384="Subetapa",CONCATENATE(TEXT(B384,"00"),".",TEXT(C384,"000"),".",TEXT(D384,"000")),IF(H384="Serviço",CONCATENATE(TEXT(B384,"00"),".",TEXT(C384,"000"),".",TEXT(D384,"000"),".",TEXT(E384,"000")),"")))))</f>
        <v>18.003.002</v>
      </c>
      <c r="J384" s="74" t="s">
        <v>6932</v>
      </c>
      <c r="K384" s="75"/>
      <c r="L384" s="114"/>
      <c r="M384" s="114"/>
      <c r="N384" s="94">
        <f t="shared" ca="1" si="75"/>
        <v>52057.390499999987</v>
      </c>
      <c r="O384" s="121"/>
      <c r="P384" s="76"/>
      <c r="Q384" s="418"/>
      <c r="R384" s="26"/>
      <c r="S384" s="26"/>
    </row>
    <row r="385" spans="1:19" s="25" customFormat="1" ht="13.9" hidden="1" customHeight="1" outlineLevel="2" x14ac:dyDescent="0.2">
      <c r="A385" s="116">
        <f ca="1">IF($H385="UNIDADE CONSTRUTIVA",OFFSET(A385,-1,0)+1,LARGE(A$3:A384,1))</f>
        <v>0</v>
      </c>
      <c r="B385" s="116">
        <f t="shared" ca="1" si="70"/>
        <v>18</v>
      </c>
      <c r="C385" s="116">
        <f t="shared" ca="1" si="71"/>
        <v>3</v>
      </c>
      <c r="D385" s="117">
        <f t="shared" ca="1" si="72"/>
        <v>2</v>
      </c>
      <c r="E385" s="117">
        <f t="shared" ca="1" si="73"/>
        <v>1</v>
      </c>
      <c r="F385" s="438"/>
      <c r="G385" s="71"/>
      <c r="H385" s="72" t="s">
        <v>114</v>
      </c>
      <c r="I385" s="73" t="str">
        <f t="shared" ref="I385" ca="1" si="87">IF(H385="Unidade Construtiva",TEXT(A385,"00"),IF(H385="Célula Construtiva",TEXT(B385,"00"),IF(H385="Etapa",CONCATENATE(TEXT(B385,"00"),".",TEXT(C385,"000")),IF(H385="Subetapa",CONCATENATE(TEXT(B385,"00"),".",TEXT(C385,"000"),".",TEXT(D385,"000")),IF(H385="Serviço",CONCATENATE(TEXT(B385,"00"),".",TEXT(C385,"000"),".",TEXT(D385,"000"),".",TEXT(E385,"000")),"")))))</f>
        <v>18.003.002.001</v>
      </c>
      <c r="J385" s="74" t="s">
        <v>6930</v>
      </c>
      <c r="K385" s="75" t="s">
        <v>3</v>
      </c>
      <c r="L385" s="114">
        <f>ARQUITETURA!H2345</f>
        <v>526.94999999999982</v>
      </c>
      <c r="M385" s="114">
        <f>_xlfn.XLOOKUP($J385,CPU!$D$1:$D$3085,CPU!$H$1:$H$3085)</f>
        <v>98.79</v>
      </c>
      <c r="N385" s="94">
        <f t="shared" si="75"/>
        <v>52057.390499999987</v>
      </c>
      <c r="O385" s="121"/>
      <c r="P385" s="76"/>
      <c r="Q385" s="418"/>
      <c r="R385" s="26"/>
      <c r="S385" s="26"/>
    </row>
    <row r="386" spans="1:19" s="25" customFormat="1" ht="13.9" hidden="1" customHeight="1" outlineLevel="1" x14ac:dyDescent="0.2">
      <c r="A386" s="116">
        <f ca="1">IF($H386="UNIDADE CONSTRUTIVA",OFFSET(A386,-1,0)+1,LARGE(A$3:A385,1))</f>
        <v>0</v>
      </c>
      <c r="B386" s="116">
        <f t="shared" ca="1" si="70"/>
        <v>18</v>
      </c>
      <c r="C386" s="116">
        <f t="shared" ca="1" si="71"/>
        <v>3</v>
      </c>
      <c r="D386" s="117">
        <f t="shared" ca="1" si="72"/>
        <v>3</v>
      </c>
      <c r="E386" s="117">
        <f t="shared" ca="1" si="73"/>
        <v>0</v>
      </c>
      <c r="F386" s="438"/>
      <c r="G386" s="71"/>
      <c r="H386" s="72" t="s">
        <v>113</v>
      </c>
      <c r="I386" s="73" t="str">
        <f ca="1">IF(H386="Unidade Construtiva",TEXT(A386,"00"),IF(H386="Célula Construtiva",TEXT(B386,"00"),IF(H386="Etapa",CONCATENATE(TEXT(B386,"00"),".",TEXT(C386,"000")),IF(H386="Subetapa",CONCATENATE(TEXT(B386,"00"),".",TEXT(C386,"000"),".",TEXT(D386,"000")),IF(H386="Serviço",CONCATENATE(TEXT(B386,"00"),".",TEXT(C386,"000"),".",TEXT(D386,"000"),".",TEXT(E386,"000")),"")))))</f>
        <v>18.003.003</v>
      </c>
      <c r="J386" s="74" t="s">
        <v>1913</v>
      </c>
      <c r="K386" s="75"/>
      <c r="L386" s="114"/>
      <c r="M386" s="114"/>
      <c r="N386" s="94">
        <f t="shared" ca="1" si="75"/>
        <v>366456</v>
      </c>
      <c r="O386" s="121"/>
      <c r="P386" s="76"/>
      <c r="Q386" s="418"/>
      <c r="R386" s="26"/>
      <c r="S386" s="26"/>
    </row>
    <row r="387" spans="1:19" s="25" customFormat="1" ht="13.9" hidden="1" customHeight="1" outlineLevel="2" x14ac:dyDescent="0.2">
      <c r="A387" s="116">
        <f ca="1">IF($H387="UNIDADE CONSTRUTIVA",OFFSET(A387,-1,0)+1,LARGE(A$3:A386,1))</f>
        <v>0</v>
      </c>
      <c r="B387" s="116">
        <f t="shared" ca="1" si="70"/>
        <v>18</v>
      </c>
      <c r="C387" s="116">
        <f t="shared" ca="1" si="71"/>
        <v>3</v>
      </c>
      <c r="D387" s="117">
        <f t="shared" ca="1" si="72"/>
        <v>3</v>
      </c>
      <c r="E387" s="117">
        <f t="shared" ca="1" si="73"/>
        <v>1</v>
      </c>
      <c r="F387" s="438"/>
      <c r="G387" s="71"/>
      <c r="H387" s="72" t="s">
        <v>114</v>
      </c>
      <c r="I387" s="73" t="str">
        <f t="shared" ref="I387" ca="1" si="88">IF(H387="Unidade Construtiva",TEXT(A387,"00"),IF(H387="Célula Construtiva",TEXT(B387,"00"),IF(H387="Etapa",CONCATENATE(TEXT(B387,"00"),".",TEXT(C387,"000")),IF(H387="Subetapa",CONCATENATE(TEXT(B387,"00"),".",TEXT(C387,"000"),".",TEXT(D387,"000")),IF(H387="Serviço",CONCATENATE(TEXT(B387,"00"),".",TEXT(C387,"000"),".",TEXT(D387,"000"),".",TEXT(E387,"000")),"")))))</f>
        <v>18.003.003.001</v>
      </c>
      <c r="J387" s="74" t="s">
        <v>5117</v>
      </c>
      <c r="K387" s="75" t="s">
        <v>1</v>
      </c>
      <c r="L387" s="114">
        <f>ARQUITETURA!H2346+ARQUITETURA!H2347</f>
        <v>610.76</v>
      </c>
      <c r="M387" s="114">
        <f>_xlfn.XLOOKUP($J387,CPU!$D$1:$D$3085,CPU!$H$1:$H$3085)</f>
        <v>600</v>
      </c>
      <c r="N387" s="94">
        <f t="shared" si="75"/>
        <v>366456</v>
      </c>
      <c r="O387" s="121"/>
      <c r="P387" s="76"/>
      <c r="Q387" s="418"/>
      <c r="R387" s="26"/>
      <c r="S387" s="26"/>
    </row>
    <row r="388" spans="1:19" s="25" customFormat="1" ht="13.9" hidden="1" customHeight="1" outlineLevel="1" x14ac:dyDescent="0.2">
      <c r="A388" s="116">
        <f ca="1">IF($H388="UNIDADE CONSTRUTIVA",OFFSET(A388,-1,0)+1,LARGE(A$3:A387,1))</f>
        <v>0</v>
      </c>
      <c r="B388" s="116">
        <f t="shared" ca="1" si="70"/>
        <v>18</v>
      </c>
      <c r="C388" s="116">
        <f t="shared" ca="1" si="71"/>
        <v>3</v>
      </c>
      <c r="D388" s="117">
        <f t="shared" ca="1" si="72"/>
        <v>4</v>
      </c>
      <c r="E388" s="117">
        <f t="shared" ca="1" si="73"/>
        <v>0</v>
      </c>
      <c r="F388" s="438"/>
      <c r="G388" s="71"/>
      <c r="H388" s="72" t="s">
        <v>113</v>
      </c>
      <c r="I388" s="73" t="str">
        <f ca="1">IF(H388="Unidade Construtiva",TEXT(A388,"00"),IF(H388="Célula Construtiva",TEXT(B388,"00"),IF(H388="Etapa",CONCATENATE(TEXT(B388,"00"),".",TEXT(C388,"000")),IF(H388="Subetapa",CONCATENATE(TEXT(B388,"00"),".",TEXT(C388,"000"),".",TEXT(D388,"000")),IF(H388="Serviço",CONCATENATE(TEXT(B388,"00"),".",TEXT(C388,"000"),".",TEXT(D388,"000"),".",TEXT(E388,"000")),"")))))</f>
        <v>18.003.004</v>
      </c>
      <c r="J388" s="74" t="s">
        <v>54</v>
      </c>
      <c r="K388" s="75"/>
      <c r="L388" s="114"/>
      <c r="M388" s="114"/>
      <c r="N388" s="94">
        <f t="shared" ca="1" si="75"/>
        <v>19685.400000000001</v>
      </c>
      <c r="O388" s="121"/>
      <c r="P388" s="76"/>
      <c r="Q388" s="418"/>
      <c r="R388" s="26"/>
      <c r="S388" s="26"/>
    </row>
    <row r="389" spans="1:19" s="25" customFormat="1" ht="13.9" hidden="1" customHeight="1" outlineLevel="2" x14ac:dyDescent="0.2">
      <c r="A389" s="116">
        <f ca="1">IF($H389="UNIDADE CONSTRUTIVA",OFFSET(A389,-1,0)+1,LARGE(A$3:A388,1))</f>
        <v>0</v>
      </c>
      <c r="B389" s="116">
        <f t="shared" ca="1" si="70"/>
        <v>18</v>
      </c>
      <c r="C389" s="116">
        <f t="shared" ca="1" si="71"/>
        <v>3</v>
      </c>
      <c r="D389" s="117">
        <f t="shared" ca="1" si="72"/>
        <v>4</v>
      </c>
      <c r="E389" s="117">
        <f t="shared" ca="1" si="73"/>
        <v>1</v>
      </c>
      <c r="F389" s="438"/>
      <c r="G389" s="71"/>
      <c r="H389" s="72" t="s">
        <v>114</v>
      </c>
      <c r="I389" s="73" t="str">
        <f ca="1">IF(H389="Unidade Construtiva",TEXT(A389,"00"),IF(H389="Célula Construtiva",TEXT(B389,"00"),IF(H389="Etapa",CONCATENATE(TEXT(B389,"00"),".",TEXT(C389,"000")),IF(H389="Subetapa",CONCATENATE(TEXT(B389,"00"),".",TEXT(C389,"000"),".",TEXT(D389,"000")),IF(H389="Serviço",CONCATENATE(TEXT(B389,"00"),".",TEXT(C389,"000"),".",TEXT(D389,"000"),".",TEXT(E389,"000")),"")))))</f>
        <v>18.003.004.001</v>
      </c>
      <c r="J389" s="74" t="s">
        <v>186</v>
      </c>
      <c r="K389" s="75" t="s">
        <v>2</v>
      </c>
      <c r="L389" s="114">
        <f>L383</f>
        <v>43</v>
      </c>
      <c r="M389" s="114">
        <f>_xlfn.XLOOKUP($J389,CPU!$D$1:$D$3085,CPU!$H$1:$H$3085)</f>
        <v>300</v>
      </c>
      <c r="N389" s="94">
        <f t="shared" si="75"/>
        <v>12900</v>
      </c>
      <c r="O389" s="121"/>
      <c r="P389" s="76"/>
      <c r="Q389" s="418"/>
      <c r="R389" s="26"/>
      <c r="S389" s="26"/>
    </row>
    <row r="390" spans="1:19" s="25" customFormat="1" ht="13.9" hidden="1" customHeight="1" outlineLevel="2" x14ac:dyDescent="0.2">
      <c r="A390" s="116">
        <f ca="1">IF($H390="UNIDADE CONSTRUTIVA",OFFSET(A390,-1,0)+1,LARGE(A$3:A389,1))</f>
        <v>0</v>
      </c>
      <c r="B390" s="116">
        <f t="shared" ca="1" si="70"/>
        <v>18</v>
      </c>
      <c r="C390" s="116">
        <f t="shared" ca="1" si="71"/>
        <v>3</v>
      </c>
      <c r="D390" s="117">
        <f t="shared" ca="1" si="72"/>
        <v>4</v>
      </c>
      <c r="E390" s="117">
        <f t="shared" ca="1" si="73"/>
        <v>2</v>
      </c>
      <c r="F390" s="438"/>
      <c r="G390" s="71"/>
      <c r="H390" s="72" t="s">
        <v>114</v>
      </c>
      <c r="I390" s="73" t="str">
        <f ca="1">IF(H390="Unidade Construtiva",TEXT(A390,"00"),IF(H390="Célula Construtiva",TEXT(B390,"00"),IF(H390="Etapa",CONCATENATE(TEXT(B390,"00"),".",TEXT(C390,"000")),IF(H390="Subetapa",CONCATENATE(TEXT(B390,"00"),".",TEXT(C390,"000"),".",TEXT(D390,"000")),IF(H390="Serviço",CONCATENATE(TEXT(B390,"00"),".",TEXT(C390,"000"),".",TEXT(D390,"000"),".",TEXT(E390,"000")),"")))))</f>
        <v>18.003.004.002</v>
      </c>
      <c r="J390" s="74" t="s">
        <v>1982</v>
      </c>
      <c r="K390" s="75" t="s">
        <v>3</v>
      </c>
      <c r="L390" s="114">
        <f>L382</f>
        <v>226.18000000000006</v>
      </c>
      <c r="M390" s="114">
        <f>_xlfn.XLOOKUP($J390,CPU!$D$1:$D$3085,CPU!$H$1:$H$3085)</f>
        <v>30</v>
      </c>
      <c r="N390" s="94">
        <f t="shared" si="75"/>
        <v>6785.4000000000015</v>
      </c>
      <c r="O390" s="121"/>
      <c r="P390" s="76"/>
      <c r="Q390" s="418"/>
      <c r="R390" s="26"/>
      <c r="S390" s="26"/>
    </row>
    <row r="391" spans="1:19" s="25" customFormat="1" ht="13.9" customHeight="1" collapsed="1" x14ac:dyDescent="0.2">
      <c r="A391" s="116">
        <f ca="1">IF($H391="UNIDADE CONSTRUTIVA",OFFSET(A391,-1,0)+1,LARGE(A$3:A390,1))</f>
        <v>0</v>
      </c>
      <c r="B391" s="116">
        <f t="shared" ca="1" si="70"/>
        <v>19</v>
      </c>
      <c r="C391" s="116">
        <f t="shared" ca="1" si="71"/>
        <v>0</v>
      </c>
      <c r="D391" s="117">
        <f t="shared" ca="1" si="72"/>
        <v>4</v>
      </c>
      <c r="E391" s="117">
        <f t="shared" ca="1" si="73"/>
        <v>2</v>
      </c>
      <c r="F391" s="523"/>
      <c r="G391" s="71"/>
      <c r="H391" s="72" t="s">
        <v>111</v>
      </c>
      <c r="I391" s="73" t="str">
        <f t="shared" ref="I391:I416" ca="1" si="89">IF(H391="Unidade Construtiva",TEXT(A391,"00"),IF(H391="Célula Construtiva",TEXT(B391,"00"),IF(H391="Etapa",CONCATENATE(TEXT(B391,"00"),".",TEXT(C391,"000")),IF(H391="Subetapa",CONCATENATE(TEXT(B391,"00"),".",TEXT(C391,"000"),".",TEXT(D391,"000")),IF(H391="Serviço",CONCATENATE(TEXT(B391,"00"),".",TEXT(C391,"000"),".",TEXT(D391,"000"),".",TEXT(E391,"000")),"")))))</f>
        <v>19</v>
      </c>
      <c r="J391" s="74" t="s">
        <v>65</v>
      </c>
      <c r="K391" s="75"/>
      <c r="L391" s="114"/>
      <c r="M391" s="114"/>
      <c r="N391" s="94">
        <f t="shared" ref="N391:N400" ca="1" si="90">IF(H391="Serviço",M391*L391,IF(H391="CÉLULA CONSTRUTIVA",SUMIFS($N$8:$N$426,$B$8:$B$426,B391,$H$8:$H$426,"Serviço"),IF(H391="ETAPA",SUMIFS($N$8:$N$426,$B$8:$B$426,B391,$C$8:$C$426,C391,$H$8:$H$426,"Serviço"),IF(H391="SUBETAPA",SUMIFS($N$8:$N$426,$B$8:$B$426,B391,$C$8:$C$426,C391,$D$8:$D$426,D391,$H$8:$H$426,"Serviço"),0))))</f>
        <v>326798.11480000004</v>
      </c>
      <c r="O391" s="121">
        <f ca="1">N391/'Obra '!$E$9</f>
        <v>47.099992188389528</v>
      </c>
      <c r="P391" s="76"/>
      <c r="Q391" s="418" t="s">
        <v>65</v>
      </c>
      <c r="R391" s="122"/>
      <c r="S391" s="26"/>
    </row>
    <row r="392" spans="1:19" s="25" customFormat="1" ht="13.9" hidden="1" customHeight="1" outlineLevel="1" x14ac:dyDescent="0.2">
      <c r="A392" s="116">
        <f ca="1">IF($H392="UNIDADE CONSTRUTIVA",OFFSET(A392,-1,0)+1,LARGE(A$3:A391,1))</f>
        <v>0</v>
      </c>
      <c r="B392" s="116">
        <f t="shared" ca="1" si="70"/>
        <v>19</v>
      </c>
      <c r="C392" s="116">
        <f t="shared" ca="1" si="71"/>
        <v>1</v>
      </c>
      <c r="D392" s="117">
        <f t="shared" ca="1" si="72"/>
        <v>0</v>
      </c>
      <c r="E392" s="117">
        <f t="shared" ca="1" si="73"/>
        <v>2</v>
      </c>
      <c r="F392" s="438"/>
      <c r="G392" s="71"/>
      <c r="H392" s="72" t="s">
        <v>112</v>
      </c>
      <c r="I392" s="73" t="str">
        <f t="shared" ca="1" si="89"/>
        <v>19.001</v>
      </c>
      <c r="J392" s="74" t="s">
        <v>65</v>
      </c>
      <c r="K392" s="75"/>
      <c r="L392" s="114"/>
      <c r="M392" s="114"/>
      <c r="N392" s="94">
        <f t="shared" ca="1" si="90"/>
        <v>326798.11480000004</v>
      </c>
      <c r="O392" s="121"/>
      <c r="P392" s="76"/>
      <c r="Q392" s="418"/>
      <c r="R392" s="26"/>
      <c r="S392" s="26"/>
    </row>
    <row r="393" spans="1:19" s="25" customFormat="1" ht="13.9" hidden="1" customHeight="1" outlineLevel="1" x14ac:dyDescent="0.2">
      <c r="A393" s="116">
        <f ca="1">IF($H393="UNIDADE CONSTRUTIVA",OFFSET(A393,-1,0)+1,LARGE(A$3:A392,1))</f>
        <v>0</v>
      </c>
      <c r="B393" s="116">
        <f t="shared" ca="1" si="70"/>
        <v>19</v>
      </c>
      <c r="C393" s="116">
        <f t="shared" ca="1" si="71"/>
        <v>1</v>
      </c>
      <c r="D393" s="117">
        <f t="shared" ca="1" si="72"/>
        <v>1</v>
      </c>
      <c r="E393" s="117">
        <f t="shared" ca="1" si="73"/>
        <v>0</v>
      </c>
      <c r="F393" s="438"/>
      <c r="G393" s="71"/>
      <c r="H393" s="72" t="s">
        <v>113</v>
      </c>
      <c r="I393" s="73" t="str">
        <f t="shared" ca="1" si="89"/>
        <v>19.001.001</v>
      </c>
      <c r="J393" s="74" t="s">
        <v>66</v>
      </c>
      <c r="K393" s="75"/>
      <c r="L393" s="114"/>
      <c r="M393" s="114"/>
      <c r="N393" s="94">
        <f t="shared" ca="1" si="90"/>
        <v>175592.29480000003</v>
      </c>
      <c r="O393" s="121"/>
      <c r="P393" s="76"/>
      <c r="Q393" s="418"/>
      <c r="R393" s="26"/>
      <c r="S393" s="26"/>
    </row>
    <row r="394" spans="1:19" s="25" customFormat="1" ht="13.9" hidden="1" customHeight="1" outlineLevel="2" x14ac:dyDescent="0.2">
      <c r="A394" s="116">
        <f ca="1">IF($H394="UNIDADE CONSTRUTIVA",OFFSET(A394,-1,0)+1,LARGE(A$3:A393,1))</f>
        <v>0</v>
      </c>
      <c r="B394" s="116">
        <f t="shared" ca="1" si="70"/>
        <v>19</v>
      </c>
      <c r="C394" s="116">
        <f t="shared" ca="1" si="71"/>
        <v>1</v>
      </c>
      <c r="D394" s="117">
        <f t="shared" ca="1" si="72"/>
        <v>1</v>
      </c>
      <c r="E394" s="117">
        <f t="shared" ca="1" si="73"/>
        <v>1</v>
      </c>
      <c r="F394" s="438"/>
      <c r="G394" s="71"/>
      <c r="H394" s="72" t="s">
        <v>114</v>
      </c>
      <c r="I394" s="73" t="str">
        <f t="shared" ca="1" si="89"/>
        <v>19.001.001.001</v>
      </c>
      <c r="J394" s="74" t="s">
        <v>267</v>
      </c>
      <c r="K394" s="75" t="s">
        <v>67</v>
      </c>
      <c r="L394" s="114">
        <v>1</v>
      </c>
      <c r="M394" s="114">
        <f>'LOUÇAS E METAIS'!T54</f>
        <v>175592.29480000003</v>
      </c>
      <c r="N394" s="94">
        <f t="shared" si="90"/>
        <v>175592.29480000003</v>
      </c>
      <c r="O394" s="121"/>
      <c r="P394" s="76" t="s">
        <v>198</v>
      </c>
      <c r="Q394" s="418"/>
      <c r="R394" s="26"/>
      <c r="S394" s="26"/>
    </row>
    <row r="395" spans="1:19" s="25" customFormat="1" ht="13.9" hidden="1" customHeight="1" outlineLevel="1" x14ac:dyDescent="0.2">
      <c r="A395" s="116">
        <f ca="1">IF($H395="UNIDADE CONSTRUTIVA",OFFSET(A395,-1,0)+1,LARGE(A$3:A394,1))</f>
        <v>0</v>
      </c>
      <c r="B395" s="116">
        <f t="shared" ref="B395:B456" ca="1" si="91">IF(H395="UNIDADE CONSTRUTIVA",0,IF(H395="CÉLULA CONSTRUTIVA",OFFSET(B395,-1,0)+1,OFFSET(B395,-1,0)))</f>
        <v>19</v>
      </c>
      <c r="C395" s="116">
        <f t="shared" ref="C395:C456" ca="1" si="92">IF(H395="CÉLULA CONSTRUTIVA",0,IF(H395="ETAPA",OFFSET(C395,-1,0)+1,OFFSET(C395,-1,0)))</f>
        <v>1</v>
      </c>
      <c r="D395" s="117">
        <f t="shared" ref="D395:D456" ca="1" si="93">IF(H395="ETAPA",0,IF(H395="SUBETAPA",OFFSET(D395,-1,0)+1,OFFSET(D395,-1,0)))</f>
        <v>2</v>
      </c>
      <c r="E395" s="117">
        <f t="shared" ref="E395:E456" ca="1" si="94">IF(H395="Subetapa",0,IF(H395="serviço",OFFSET(E395,-1,0)+1,OFFSET(E395,-1,0)))</f>
        <v>0</v>
      </c>
      <c r="F395" s="438"/>
      <c r="G395" s="71"/>
      <c r="H395" s="72" t="s">
        <v>113</v>
      </c>
      <c r="I395" s="73" t="str">
        <f t="shared" ca="1" si="89"/>
        <v>19.001.002</v>
      </c>
      <c r="J395" s="74" t="s">
        <v>68</v>
      </c>
      <c r="K395" s="75"/>
      <c r="L395" s="114"/>
      <c r="M395" s="114"/>
      <c r="N395" s="94">
        <f t="shared" ca="1" si="90"/>
        <v>111856.02000000002</v>
      </c>
      <c r="O395" s="121"/>
      <c r="P395" s="76"/>
      <c r="Q395" s="418"/>
      <c r="R395" s="26"/>
      <c r="S395" s="26"/>
    </row>
    <row r="396" spans="1:19" s="25" customFormat="1" ht="13.9" hidden="1" customHeight="1" outlineLevel="2" x14ac:dyDescent="0.2">
      <c r="A396" s="116">
        <f ca="1">IF($H396="UNIDADE CONSTRUTIVA",OFFSET(A396,-1,0)+1,LARGE(A$3:A395,1))</f>
        <v>0</v>
      </c>
      <c r="B396" s="116">
        <f t="shared" ca="1" si="91"/>
        <v>19</v>
      </c>
      <c r="C396" s="116">
        <f t="shared" ca="1" si="92"/>
        <v>1</v>
      </c>
      <c r="D396" s="117">
        <f t="shared" ca="1" si="93"/>
        <v>2</v>
      </c>
      <c r="E396" s="117">
        <f t="shared" ca="1" si="94"/>
        <v>1</v>
      </c>
      <c r="F396" s="438"/>
      <c r="G396" s="71"/>
      <c r="H396" s="72" t="s">
        <v>114</v>
      </c>
      <c r="I396" s="73" t="str">
        <f t="shared" ca="1" si="89"/>
        <v>19.001.002.001</v>
      </c>
      <c r="J396" s="74" t="s">
        <v>69</v>
      </c>
      <c r="K396" s="75" t="s">
        <v>67</v>
      </c>
      <c r="L396" s="114">
        <v>1</v>
      </c>
      <c r="M396" s="114">
        <f>'LOUÇAS E METAIS'!T55</f>
        <v>111856.02000000002</v>
      </c>
      <c r="N396" s="94">
        <f t="shared" si="90"/>
        <v>111856.02000000002</v>
      </c>
      <c r="O396" s="121"/>
      <c r="P396" s="76" t="s">
        <v>198</v>
      </c>
      <c r="Q396" s="418"/>
      <c r="R396" s="26"/>
      <c r="S396" s="26"/>
    </row>
    <row r="397" spans="1:19" s="25" customFormat="1" ht="13.9" hidden="1" customHeight="1" outlineLevel="1" x14ac:dyDescent="0.2">
      <c r="A397" s="116">
        <f ca="1">IF($H397="UNIDADE CONSTRUTIVA",OFFSET(A397,-1,0)+1,LARGE(A$3:A396,1))</f>
        <v>0</v>
      </c>
      <c r="B397" s="116">
        <f t="shared" ca="1" si="91"/>
        <v>19</v>
      </c>
      <c r="C397" s="116">
        <f t="shared" ca="1" si="92"/>
        <v>1</v>
      </c>
      <c r="D397" s="117">
        <f t="shared" ca="1" si="93"/>
        <v>3</v>
      </c>
      <c r="E397" s="117">
        <f t="shared" ca="1" si="94"/>
        <v>0</v>
      </c>
      <c r="F397" s="438"/>
      <c r="G397" s="71"/>
      <c r="H397" s="72" t="s">
        <v>113</v>
      </c>
      <c r="I397" s="73" t="str">
        <f t="shared" ca="1" si="89"/>
        <v>19.001.003</v>
      </c>
      <c r="J397" s="74" t="s">
        <v>1915</v>
      </c>
      <c r="K397" s="75"/>
      <c r="L397" s="114"/>
      <c r="M397" s="114"/>
      <c r="N397" s="94">
        <f t="shared" ca="1" si="90"/>
        <v>0</v>
      </c>
      <c r="O397" s="121"/>
      <c r="P397" s="76"/>
      <c r="Q397" s="418"/>
      <c r="R397" s="26"/>
      <c r="S397" s="26"/>
    </row>
    <row r="398" spans="1:19" s="25" customFormat="1" ht="13.9" hidden="1" customHeight="1" outlineLevel="2" x14ac:dyDescent="0.2">
      <c r="A398" s="116">
        <f ca="1">IF($H398="UNIDADE CONSTRUTIVA",OFFSET(A398,-1,0)+1,LARGE(A$3:A397,1))</f>
        <v>0</v>
      </c>
      <c r="B398" s="116">
        <f t="shared" ca="1" si="91"/>
        <v>19</v>
      </c>
      <c r="C398" s="116">
        <f t="shared" ca="1" si="92"/>
        <v>1</v>
      </c>
      <c r="D398" s="117">
        <f t="shared" ca="1" si="93"/>
        <v>3</v>
      </c>
      <c r="E398" s="117">
        <f t="shared" ca="1" si="94"/>
        <v>1</v>
      </c>
      <c r="F398" s="438"/>
      <c r="G398" s="71"/>
      <c r="H398" s="72" t="s">
        <v>114</v>
      </c>
      <c r="I398" s="73" t="str">
        <f t="shared" ca="1" si="89"/>
        <v>19.001.003.001</v>
      </c>
      <c r="J398" s="74" t="s">
        <v>70</v>
      </c>
      <c r="K398" s="75" t="s">
        <v>67</v>
      </c>
      <c r="L398" s="114">
        <v>1</v>
      </c>
      <c r="M398" s="114">
        <f>'LOUÇAS E METAIS'!T56</f>
        <v>0</v>
      </c>
      <c r="N398" s="94">
        <f t="shared" si="90"/>
        <v>0</v>
      </c>
      <c r="O398" s="121" t="s">
        <v>7356</v>
      </c>
      <c r="P398" s="76" t="s">
        <v>198</v>
      </c>
      <c r="Q398" s="418"/>
      <c r="R398" s="26"/>
      <c r="S398" s="26"/>
    </row>
    <row r="399" spans="1:19" s="25" customFormat="1" ht="13.9" hidden="1" customHeight="1" outlineLevel="1" x14ac:dyDescent="0.2">
      <c r="A399" s="116">
        <f ca="1">IF($H399="UNIDADE CONSTRUTIVA",OFFSET(A399,-1,0)+1,LARGE(A$3:A398,1))</f>
        <v>0</v>
      </c>
      <c r="B399" s="116">
        <f t="shared" ca="1" si="91"/>
        <v>19</v>
      </c>
      <c r="C399" s="116">
        <f t="shared" ca="1" si="92"/>
        <v>1</v>
      </c>
      <c r="D399" s="117">
        <f t="shared" ca="1" si="93"/>
        <v>4</v>
      </c>
      <c r="E399" s="117">
        <f t="shared" ca="1" si="94"/>
        <v>0</v>
      </c>
      <c r="F399" s="438"/>
      <c r="G399" s="71"/>
      <c r="H399" s="72" t="s">
        <v>113</v>
      </c>
      <c r="I399" s="73" t="str">
        <f t="shared" ca="1" si="89"/>
        <v>19.001.004</v>
      </c>
      <c r="J399" s="74" t="s">
        <v>54</v>
      </c>
      <c r="K399" s="75"/>
      <c r="L399" s="114"/>
      <c r="M399" s="114"/>
      <c r="N399" s="94">
        <f t="shared" ca="1" si="90"/>
        <v>39349.800000000003</v>
      </c>
      <c r="O399" s="121"/>
      <c r="P399" s="76"/>
      <c r="Q399" s="418"/>
      <c r="R399" s="26"/>
      <c r="S399" s="26"/>
    </row>
    <row r="400" spans="1:19" s="25" customFormat="1" ht="13.9" hidden="1" customHeight="1" outlineLevel="2" x14ac:dyDescent="0.2">
      <c r="A400" s="116">
        <f ca="1">IF($H400="UNIDADE CONSTRUTIVA",OFFSET(A400,-1,0)+1,LARGE(A$3:A399,1))</f>
        <v>0</v>
      </c>
      <c r="B400" s="116">
        <f t="shared" ca="1" si="91"/>
        <v>19</v>
      </c>
      <c r="C400" s="116">
        <f t="shared" ca="1" si="92"/>
        <v>1</v>
      </c>
      <c r="D400" s="117">
        <f t="shared" ca="1" si="93"/>
        <v>4</v>
      </c>
      <c r="E400" s="117">
        <f t="shared" ca="1" si="94"/>
        <v>1</v>
      </c>
      <c r="F400" s="438"/>
      <c r="G400" s="71"/>
      <c r="H400" s="72" t="s">
        <v>114</v>
      </c>
      <c r="I400" s="73" t="str">
        <f t="shared" ca="1" si="89"/>
        <v>19.001.004.001</v>
      </c>
      <c r="J400" s="74" t="s">
        <v>71</v>
      </c>
      <c r="K400" s="75" t="s">
        <v>67</v>
      </c>
      <c r="L400" s="114">
        <v>1</v>
      </c>
      <c r="M400" s="114">
        <f>6*(SUM('Obra '!E18:E27))</f>
        <v>39349.800000000003</v>
      </c>
      <c r="N400" s="94">
        <f t="shared" si="90"/>
        <v>39349.800000000003</v>
      </c>
      <c r="O400" s="121"/>
      <c r="P400" s="76" t="s">
        <v>198</v>
      </c>
      <c r="Q400" s="418"/>
      <c r="R400" s="26"/>
      <c r="S400" s="26"/>
    </row>
    <row r="401" spans="1:19" s="25" customFormat="1" ht="13.9" customHeight="1" collapsed="1" x14ac:dyDescent="0.2">
      <c r="A401" s="116">
        <f ca="1">IF($H401="UNIDADE CONSTRUTIVA",OFFSET(A401,-1,0)+1,LARGE(A$3:A440,1))</f>
        <v>0</v>
      </c>
      <c r="B401" s="116">
        <f t="shared" ca="1" si="91"/>
        <v>20</v>
      </c>
      <c r="C401" s="116">
        <f t="shared" ca="1" si="92"/>
        <v>0</v>
      </c>
      <c r="D401" s="117">
        <f t="shared" ca="1" si="93"/>
        <v>4</v>
      </c>
      <c r="E401" s="117">
        <f t="shared" ca="1" si="94"/>
        <v>1</v>
      </c>
      <c r="F401" s="523"/>
      <c r="G401" s="71"/>
      <c r="H401" s="72" t="s">
        <v>111</v>
      </c>
      <c r="I401" s="73" t="str">
        <f t="shared" ca="1" si="89"/>
        <v>20</v>
      </c>
      <c r="J401" s="74" t="s">
        <v>1916</v>
      </c>
      <c r="K401" s="75"/>
      <c r="L401" s="114"/>
      <c r="M401" s="114"/>
      <c r="N401" s="94">
        <f t="shared" ref="N401:N440" ca="1" si="95">IF(H401="Serviço",M401*L401,IF(H401="CÉLULA CONSTRUTIVA",SUMIFS($N$8:$N$452,$B$8:$B$452,B401,$H$8:$H$452,"Serviço"),IF(H401="ETAPA",SUMIFS($N$8:$N$452,$B$8:$B$452,B401,$C$8:$C$452,C401,$H$8:$H$452,"Serviço"),IF(H401="SUBETAPA",SUMIFS($N$8:$N$452,$B$8:$B$452,B401,$C$8:$C$452,C401,$D$8:$D$452,D401,$H$8:$H$452,"Serviço"),0))))</f>
        <v>1898087.6711211866</v>
      </c>
      <c r="O401" s="121">
        <f ca="1">N401/'Obra '!$E$9</f>
        <v>273.56312791889565</v>
      </c>
      <c r="P401" s="76"/>
      <c r="Q401" s="418"/>
      <c r="R401" s="122"/>
      <c r="S401" s="26"/>
    </row>
    <row r="402" spans="1:19" s="25" customFormat="1" ht="13.9" hidden="1" customHeight="1" outlineLevel="1" x14ac:dyDescent="0.2">
      <c r="A402" s="116">
        <f ca="1">IF($H402="UNIDADE CONSTRUTIVA",OFFSET(A402,-1,0)+1,LARGE(A$3:A401,1))</f>
        <v>0</v>
      </c>
      <c r="B402" s="116">
        <f t="shared" ca="1" si="91"/>
        <v>20</v>
      </c>
      <c r="C402" s="116">
        <f t="shared" ca="1" si="92"/>
        <v>1</v>
      </c>
      <c r="D402" s="117">
        <f t="shared" ca="1" si="93"/>
        <v>0</v>
      </c>
      <c r="E402" s="117">
        <f t="shared" ca="1" si="94"/>
        <v>1</v>
      </c>
      <c r="F402" s="438"/>
      <c r="G402" s="71"/>
      <c r="H402" s="72" t="s">
        <v>112</v>
      </c>
      <c r="I402" s="73" t="str">
        <f t="shared" ca="1" si="89"/>
        <v>20.001</v>
      </c>
      <c r="J402" s="74" t="s">
        <v>1916</v>
      </c>
      <c r="K402" s="75"/>
      <c r="L402" s="114"/>
      <c r="M402" s="114"/>
      <c r="N402" s="94">
        <f t="shared" ca="1" si="95"/>
        <v>1898087.6711211866</v>
      </c>
      <c r="O402" s="121"/>
      <c r="P402" s="76"/>
      <c r="Q402" s="418"/>
      <c r="R402" s="26"/>
      <c r="S402" s="26"/>
    </row>
    <row r="403" spans="1:19" s="25" customFormat="1" ht="13.5" hidden="1" customHeight="1" outlineLevel="1" x14ac:dyDescent="0.2">
      <c r="A403" s="116">
        <f ca="1">IF($H403="UNIDADE CONSTRUTIVA",OFFSET(A403,-1,0)+1,LARGE(A$3:A402,1))</f>
        <v>0</v>
      </c>
      <c r="B403" s="116">
        <f t="shared" ca="1" si="91"/>
        <v>20</v>
      </c>
      <c r="C403" s="116">
        <f t="shared" ca="1" si="92"/>
        <v>1</v>
      </c>
      <c r="D403" s="117">
        <f t="shared" ca="1" si="93"/>
        <v>1</v>
      </c>
      <c r="E403" s="117">
        <f t="shared" ca="1" si="94"/>
        <v>0</v>
      </c>
      <c r="F403" s="438"/>
      <c r="G403" s="71"/>
      <c r="H403" s="72" t="s">
        <v>113</v>
      </c>
      <c r="I403" s="73" t="str">
        <f t="shared" ca="1" si="89"/>
        <v>20.001.001</v>
      </c>
      <c r="J403" s="74" t="s">
        <v>1917</v>
      </c>
      <c r="K403" s="75"/>
      <c r="L403" s="114"/>
      <c r="M403" s="114"/>
      <c r="N403" s="94">
        <f t="shared" ca="1" si="95"/>
        <v>217942.18769118667</v>
      </c>
      <c r="O403" s="121">
        <f ca="1">N403/'Obra '!$E$9</f>
        <v>31.411060446470529</v>
      </c>
      <c r="P403" s="76"/>
      <c r="Q403" s="418" t="s">
        <v>2356</v>
      </c>
      <c r="R403" s="26"/>
      <c r="S403" s="26"/>
    </row>
    <row r="404" spans="1:19" s="25" customFormat="1" ht="11.25" hidden="1" outlineLevel="2" x14ac:dyDescent="0.2">
      <c r="A404" s="116">
        <f ca="1">IF($H404="UNIDADE CONSTRUTIVA",OFFSET(A404,-1,0)+1,LARGE(A$3:A403,1))</f>
        <v>0</v>
      </c>
      <c r="B404" s="116">
        <f t="shared" ca="1" si="91"/>
        <v>20</v>
      </c>
      <c r="C404" s="116">
        <f t="shared" ca="1" si="92"/>
        <v>1</v>
      </c>
      <c r="D404" s="117">
        <f t="shared" ca="1" si="93"/>
        <v>1</v>
      </c>
      <c r="E404" s="117">
        <f t="shared" ca="1" si="94"/>
        <v>1</v>
      </c>
      <c r="F404" s="438"/>
      <c r="G404" s="71"/>
      <c r="H404" s="72" t="s">
        <v>114</v>
      </c>
      <c r="I404" s="73" t="str">
        <f t="shared" ca="1" si="89"/>
        <v>20.001.001.001</v>
      </c>
      <c r="J404" s="128" t="s">
        <v>5738</v>
      </c>
      <c r="K404" s="75" t="s">
        <v>1</v>
      </c>
      <c r="L404" s="114">
        <f>SUM(ARQUITETURA!H2971:H2978,ARQUITETURA!H3458,ARQUITETURA!H3461,ARQUITETURA!H3464,ARQUITETURA!H3467)</f>
        <v>6828.670000000001</v>
      </c>
      <c r="M404" s="114">
        <f>_xlfn.XLOOKUP($J404,CPU!$D$1:$D$3085,CPU!$H$1:$H$3085)</f>
        <v>17.745837999999999</v>
      </c>
      <c r="N404" s="94">
        <f t="shared" si="95"/>
        <v>121180.47157546002</v>
      </c>
      <c r="O404" s="121"/>
      <c r="P404" s="76"/>
      <c r="Q404" s="418"/>
      <c r="R404" s="26"/>
      <c r="S404" s="26"/>
    </row>
    <row r="405" spans="1:19" s="25" customFormat="1" ht="13.9" hidden="1" customHeight="1" outlineLevel="2" x14ac:dyDescent="0.2">
      <c r="A405" s="116">
        <f ca="1">IF($H405="UNIDADE CONSTRUTIVA",OFFSET(A405,-1,0)+1,LARGE(A$3:A404,1))</f>
        <v>0</v>
      </c>
      <c r="B405" s="116">
        <f t="shared" ca="1" si="91"/>
        <v>20</v>
      </c>
      <c r="C405" s="116">
        <f t="shared" ca="1" si="92"/>
        <v>1</v>
      </c>
      <c r="D405" s="117">
        <f t="shared" ca="1" si="93"/>
        <v>1</v>
      </c>
      <c r="E405" s="117">
        <f t="shared" ca="1" si="94"/>
        <v>2</v>
      </c>
      <c r="F405" s="438"/>
      <c r="G405" s="71"/>
      <c r="H405" s="72" t="s">
        <v>114</v>
      </c>
      <c r="I405" s="73" t="str">
        <f t="shared" ca="1" si="89"/>
        <v>20.001.001.002</v>
      </c>
      <c r="J405" s="128" t="s">
        <v>1989</v>
      </c>
      <c r="K405" s="75" t="s">
        <v>1</v>
      </c>
      <c r="L405" s="114">
        <f>ARQUITETURA!H3162+ARQUITETURA!H3164+ARQUITETURA!H3166+ARQUITETURA!H3168</f>
        <v>3196.43</v>
      </c>
      <c r="M405" s="114">
        <f>_xlfn.XLOOKUP($J405,CPU!$D$1:$D$3085,CPU!$H$1:$H$3085)</f>
        <v>19.535849999999996</v>
      </c>
      <c r="N405" s="94">
        <f t="shared" si="95"/>
        <v>62444.977015499986</v>
      </c>
      <c r="O405" s="121"/>
      <c r="P405" s="76"/>
      <c r="Q405" s="418"/>
      <c r="R405" s="26"/>
      <c r="S405" s="26"/>
    </row>
    <row r="406" spans="1:19" s="25" customFormat="1" ht="13.9" hidden="1" customHeight="1" outlineLevel="2" x14ac:dyDescent="0.2">
      <c r="A406" s="116">
        <f ca="1">IF($H406="UNIDADE CONSTRUTIVA",OFFSET(A406,-1,0)+1,LARGE(A$3:A405,1))</f>
        <v>0</v>
      </c>
      <c r="B406" s="116">
        <f t="shared" ca="1" si="91"/>
        <v>20</v>
      </c>
      <c r="C406" s="116">
        <f t="shared" ca="1" si="92"/>
        <v>1</v>
      </c>
      <c r="D406" s="117">
        <f t="shared" ca="1" si="93"/>
        <v>1</v>
      </c>
      <c r="E406" s="117">
        <f t="shared" ca="1" si="94"/>
        <v>3</v>
      </c>
      <c r="F406" s="438"/>
      <c r="G406" s="71"/>
      <c r="H406" s="72" t="s">
        <v>114</v>
      </c>
      <c r="I406" s="73" t="str">
        <f t="shared" ca="1" si="89"/>
        <v>20.001.001.003</v>
      </c>
      <c r="J406" s="128" t="s">
        <v>2874</v>
      </c>
      <c r="K406" s="75" t="s">
        <v>1</v>
      </c>
      <c r="L406" s="114">
        <f>ARQUITETURA!H3161+ARQUITETURA!H3163+ARQUITETURA!H3165+ARQUITETURA!H3167+ARQUITETURA!H3457+ARQUITETURA!H3460+ARQUITETURA!H3463+ARQUITETURA!H3466</f>
        <v>3632.29</v>
      </c>
      <c r="M406" s="114">
        <f>_xlfn.XLOOKUP($J406,CPU!$D$1:$D$3085,CPU!$H$1:$H$3085)</f>
        <v>2.6597339999999998</v>
      </c>
      <c r="N406" s="94">
        <f t="shared" si="95"/>
        <v>9660.9252108599994</v>
      </c>
      <c r="O406" s="121"/>
      <c r="P406" s="76"/>
      <c r="Q406" s="418"/>
      <c r="R406" s="26"/>
      <c r="S406" s="26"/>
    </row>
    <row r="407" spans="1:19" s="25" customFormat="1" ht="13.9" hidden="1" customHeight="1" outlineLevel="2" x14ac:dyDescent="0.2">
      <c r="A407" s="116">
        <f ca="1">IF($H407="UNIDADE CONSTRUTIVA",OFFSET(A407,-1,0)+1,LARGE(A$3:A406,1))</f>
        <v>0</v>
      </c>
      <c r="B407" s="116">
        <f t="shared" ca="1" si="91"/>
        <v>20</v>
      </c>
      <c r="C407" s="116">
        <f t="shared" ca="1" si="92"/>
        <v>1</v>
      </c>
      <c r="D407" s="117">
        <f t="shared" ca="1" si="93"/>
        <v>1</v>
      </c>
      <c r="E407" s="117">
        <f t="shared" ca="1" si="94"/>
        <v>4</v>
      </c>
      <c r="F407" s="438"/>
      <c r="G407" s="71"/>
      <c r="H407" s="72" t="s">
        <v>114</v>
      </c>
      <c r="I407" s="73" t="str">
        <f t="shared" ca="1" si="89"/>
        <v>20.001.001.004</v>
      </c>
      <c r="J407" s="74" t="s">
        <v>6952</v>
      </c>
      <c r="K407" s="75" t="s">
        <v>1</v>
      </c>
      <c r="L407" s="114">
        <f>SUM(ARQUITETURA!H3351:H3354,ARQUITETURA!H3468,ARQUITETURA!H3465,ARQUITETURA!H3462,ARQUITETURA!H3459)</f>
        <v>6828.7800000000007</v>
      </c>
      <c r="M407" s="114">
        <f>_xlfn.XLOOKUP($J407,CPU!$D$1:$D$3085,CPU!$H$1:$H$3085)</f>
        <v>3.1797149999999994</v>
      </c>
      <c r="N407" s="94">
        <f t="shared" si="95"/>
        <v>21713.5741977</v>
      </c>
      <c r="O407" s="121"/>
      <c r="P407" s="76"/>
      <c r="Q407" s="418"/>
      <c r="R407" s="129"/>
      <c r="S407" s="26"/>
    </row>
    <row r="408" spans="1:19" s="25" customFormat="1" ht="13.9" hidden="1" customHeight="1" outlineLevel="2" x14ac:dyDescent="0.2">
      <c r="A408" s="116">
        <f ca="1">IF($H408="UNIDADE CONSTRUTIVA",OFFSET(A408,-1,0)+1,LARGE(A$3:A407,1))</f>
        <v>0</v>
      </c>
      <c r="B408" s="116">
        <f t="shared" ca="1" si="91"/>
        <v>20</v>
      </c>
      <c r="C408" s="116">
        <f t="shared" ca="1" si="92"/>
        <v>1</v>
      </c>
      <c r="D408" s="117">
        <f t="shared" ca="1" si="93"/>
        <v>1</v>
      </c>
      <c r="E408" s="117">
        <f t="shared" ca="1" si="94"/>
        <v>5</v>
      </c>
      <c r="F408" s="438"/>
      <c r="G408" s="71"/>
      <c r="H408" s="72" t="s">
        <v>114</v>
      </c>
      <c r="I408" s="73" t="str">
        <f t="shared" ref="I408" ca="1" si="96">IF(H408="Unidade Construtiva",TEXT(A408,"00"),IF(H408="Célula Construtiva",TEXT(B408,"00"),IF(H408="Etapa",CONCATENATE(TEXT(B408,"00"),".",TEXT(C408,"000")),IF(H408="Subetapa",CONCATENATE(TEXT(B408,"00"),".",TEXT(C408,"000"),".",TEXT(D408,"000")),IF(H408="Serviço",CONCATENATE(TEXT(B408,"00"),".",TEXT(C408,"000"),".",TEXT(D408,"000"),".",TEXT(E408,"000")),"")))))</f>
        <v>20.001.001.005</v>
      </c>
      <c r="J408" s="74" t="s">
        <v>6228</v>
      </c>
      <c r="K408" s="75" t="s">
        <v>1</v>
      </c>
      <c r="L408" s="114">
        <f>ARQUITETURA!H3608+ARQUITETURA!H3609</f>
        <v>576.58000000000015</v>
      </c>
      <c r="M408" s="114">
        <f>_xlfn.XLOOKUP($J408,CPU!$D$1:$D$3085,CPU!$H$1:$H$3085)</f>
        <v>5.1029166666666663</v>
      </c>
      <c r="N408" s="94">
        <f t="shared" si="95"/>
        <v>2942.2396916666671</v>
      </c>
      <c r="O408" s="121"/>
      <c r="P408" s="76"/>
      <c r="Q408" s="418"/>
      <c r="R408" s="129"/>
      <c r="S408" s="26"/>
    </row>
    <row r="409" spans="1:19" s="25" customFormat="1" ht="13.9" hidden="1" customHeight="1" outlineLevel="1" x14ac:dyDescent="0.2">
      <c r="A409" s="116">
        <f ca="1">IF($H409="UNIDADE CONSTRUTIVA",OFFSET(A409,-1,0)+1,LARGE(A$3:A408,1))</f>
        <v>0</v>
      </c>
      <c r="B409" s="116">
        <f t="shared" ca="1" si="91"/>
        <v>20</v>
      </c>
      <c r="C409" s="116">
        <f t="shared" ca="1" si="92"/>
        <v>1</v>
      </c>
      <c r="D409" s="117">
        <f t="shared" ca="1" si="93"/>
        <v>2</v>
      </c>
      <c r="E409" s="117">
        <f t="shared" ca="1" si="94"/>
        <v>0</v>
      </c>
      <c r="F409" s="438"/>
      <c r="G409" s="71"/>
      <c r="H409" s="72" t="s">
        <v>113</v>
      </c>
      <c r="I409" s="73" t="str">
        <f t="shared" ref="I409:I412" ca="1" si="97">IF(H409="Unidade Construtiva",TEXT(A409,"00"),IF(H409="Célula Construtiva",TEXT(B409,"00"),IF(H409="Etapa",CONCATENATE(TEXT(B409,"00"),".",TEXT(C409,"000")),IF(H409="Subetapa",CONCATENATE(TEXT(B409,"00"),".",TEXT(C409,"000"),".",TEXT(D409,"000")),IF(H409="Serviço",CONCATENATE(TEXT(B409,"00"),".",TEXT(C409,"000"),".",TEXT(D409,"000"),".",TEXT(E409,"000")),"")))))</f>
        <v>20.001.002</v>
      </c>
      <c r="J409" s="74" t="s">
        <v>1711</v>
      </c>
      <c r="K409" s="75"/>
      <c r="L409" s="114"/>
      <c r="M409" s="114"/>
      <c r="N409" s="94">
        <f t="shared" ca="1" si="95"/>
        <v>302600.37799999997</v>
      </c>
      <c r="O409" s="121"/>
      <c r="P409" s="76"/>
      <c r="Q409" s="418" t="s">
        <v>1862</v>
      </c>
      <c r="R409" s="26"/>
      <c r="S409" s="26"/>
    </row>
    <row r="410" spans="1:19" s="25" customFormat="1" ht="11.25" hidden="1" outlineLevel="2" x14ac:dyDescent="0.2">
      <c r="A410" s="116">
        <f ca="1">IF($H410="UNIDADE CONSTRUTIVA",OFFSET(A410,-1,0)+1,LARGE(A$3:A409,1))</f>
        <v>0</v>
      </c>
      <c r="B410" s="116">
        <f t="shared" ca="1" si="91"/>
        <v>20</v>
      </c>
      <c r="C410" s="116">
        <f t="shared" ca="1" si="92"/>
        <v>1</v>
      </c>
      <c r="D410" s="117">
        <f t="shared" ca="1" si="93"/>
        <v>2</v>
      </c>
      <c r="E410" s="117">
        <f t="shared" ca="1" si="94"/>
        <v>1</v>
      </c>
      <c r="F410" s="438"/>
      <c r="G410" s="71"/>
      <c r="H410" s="72" t="s">
        <v>114</v>
      </c>
      <c r="I410" s="73" t="str">
        <f t="shared" ca="1" si="97"/>
        <v>20.001.002.001</v>
      </c>
      <c r="J410" s="127" t="s">
        <v>7347</v>
      </c>
      <c r="K410" s="75" t="s">
        <v>1</v>
      </c>
      <c r="L410" s="114">
        <f>SUMIF(ARQUITETURA!I$3720:I$3757,ARQUITETURA!I$3757,ARQUITETURA!H$3720:H$3757)</f>
        <v>3636.09</v>
      </c>
      <c r="M410" s="114">
        <f>_xlfn.XLOOKUP($J410,CPU!$D$1:$D$3085,CPU!$H$1:$H$3085)</f>
        <v>44.199999999999996</v>
      </c>
      <c r="N410" s="94">
        <f t="shared" si="95"/>
        <v>160715.17799999999</v>
      </c>
      <c r="O410" s="121" t="s">
        <v>7343</v>
      </c>
      <c r="P410" s="76"/>
      <c r="Q410" s="418"/>
      <c r="R410" s="26"/>
      <c r="S410" s="26"/>
    </row>
    <row r="411" spans="1:19" s="25" customFormat="1" ht="11.25" hidden="1" outlineLevel="2" x14ac:dyDescent="0.2">
      <c r="A411" s="116">
        <f ca="1">IF($H411="UNIDADE CONSTRUTIVA",OFFSET(A411,-1,0)+1,LARGE(A$3:A410,1))</f>
        <v>0</v>
      </c>
      <c r="B411" s="116">
        <f t="shared" ca="1" si="91"/>
        <v>20</v>
      </c>
      <c r="C411" s="116">
        <f t="shared" ca="1" si="92"/>
        <v>1</v>
      </c>
      <c r="D411" s="117">
        <f t="shared" ca="1" si="93"/>
        <v>2</v>
      </c>
      <c r="E411" s="117">
        <f t="shared" ca="1" si="94"/>
        <v>2</v>
      </c>
      <c r="F411" s="438"/>
      <c r="G411" s="71"/>
      <c r="H411" s="72" t="s">
        <v>114</v>
      </c>
      <c r="I411" s="73" t="str">
        <f t="shared" ca="1" si="97"/>
        <v>20.001.002.002</v>
      </c>
      <c r="J411" s="127" t="s">
        <v>7348</v>
      </c>
      <c r="K411" s="75" t="s">
        <v>1</v>
      </c>
      <c r="L411" s="114">
        <f>SUMIF(ARQUITETURA!I$3720:I$3757,ARQUITETURA!I3720,ARQUITETURA!H$3720:H$3757)</f>
        <v>332.35</v>
      </c>
      <c r="M411" s="114">
        <f>_xlfn.XLOOKUP($J411,CPU!$D$1:$D$3085,CPU!$H$1:$H$3085)</f>
        <v>48</v>
      </c>
      <c r="N411" s="94">
        <f t="shared" si="95"/>
        <v>15952.800000000001</v>
      </c>
      <c r="O411" s="121" t="s">
        <v>7345</v>
      </c>
      <c r="P411" s="76"/>
      <c r="Q411" s="418"/>
      <c r="R411" s="26"/>
      <c r="S411" s="26"/>
    </row>
    <row r="412" spans="1:19" s="25" customFormat="1" ht="11.25" hidden="1" outlineLevel="2" x14ac:dyDescent="0.2">
      <c r="A412" s="116">
        <f ca="1">IF($H412="UNIDADE CONSTRUTIVA",OFFSET(A412,-1,0)+1,LARGE(A$3:A411,1))</f>
        <v>0</v>
      </c>
      <c r="B412" s="116">
        <f t="shared" ca="1" si="91"/>
        <v>20</v>
      </c>
      <c r="C412" s="116">
        <f t="shared" ca="1" si="92"/>
        <v>1</v>
      </c>
      <c r="D412" s="117">
        <f t="shared" ca="1" si="93"/>
        <v>2</v>
      </c>
      <c r="E412" s="117">
        <f t="shared" ca="1" si="94"/>
        <v>3</v>
      </c>
      <c r="F412" s="438"/>
      <c r="G412" s="71"/>
      <c r="H412" s="72" t="s">
        <v>114</v>
      </c>
      <c r="I412" s="73" t="str">
        <f t="shared" ca="1" si="97"/>
        <v>20.001.002.003</v>
      </c>
      <c r="J412" s="127" t="s">
        <v>7349</v>
      </c>
      <c r="K412" s="75" t="s">
        <v>1</v>
      </c>
      <c r="L412" s="114">
        <f>SUMIF(ARQUITETURA!I$3720:I$3757,ARQUITETURA!I3725,ARQUITETURA!H$3720:H$3757)</f>
        <v>3148.3099999999995</v>
      </c>
      <c r="M412" s="114">
        <f>_xlfn.XLOOKUP($J412,CPU!$D$1:$D$3085,CPU!$H$1:$H$3085)</f>
        <v>40</v>
      </c>
      <c r="N412" s="94">
        <f t="shared" si="95"/>
        <v>125932.39999999998</v>
      </c>
      <c r="O412" s="121" t="s">
        <v>7344</v>
      </c>
      <c r="P412" s="76"/>
      <c r="Q412" s="418"/>
      <c r="R412" s="26"/>
      <c r="S412" s="26"/>
    </row>
    <row r="413" spans="1:19" s="25" customFormat="1" ht="13.9" hidden="1" customHeight="1" outlineLevel="1" x14ac:dyDescent="0.2">
      <c r="A413" s="116">
        <f ca="1">IF($H413="UNIDADE CONSTRUTIVA",OFFSET(A413,-1,0)+1,LARGE(A$3:A412,1))</f>
        <v>0</v>
      </c>
      <c r="B413" s="116">
        <f t="shared" ca="1" si="91"/>
        <v>20</v>
      </c>
      <c r="C413" s="116">
        <f t="shared" ca="1" si="92"/>
        <v>1</v>
      </c>
      <c r="D413" s="117">
        <f t="shared" ca="1" si="93"/>
        <v>3</v>
      </c>
      <c r="E413" s="117">
        <f t="shared" ca="1" si="94"/>
        <v>0</v>
      </c>
      <c r="F413" s="438"/>
      <c r="G413" s="71"/>
      <c r="H413" s="72" t="s">
        <v>113</v>
      </c>
      <c r="I413" s="73" t="str">
        <f t="shared" ca="1" si="89"/>
        <v>20.001.003</v>
      </c>
      <c r="J413" s="74" t="s">
        <v>73</v>
      </c>
      <c r="K413" s="75"/>
      <c r="L413" s="114"/>
      <c r="M413" s="114"/>
      <c r="N413" s="94">
        <f t="shared" ca="1" si="95"/>
        <v>549718.88543000002</v>
      </c>
      <c r="O413" s="121"/>
      <c r="P413" s="76"/>
      <c r="Q413" s="418" t="s">
        <v>1861</v>
      </c>
      <c r="R413" s="26"/>
      <c r="S413" s="26"/>
    </row>
    <row r="414" spans="1:19" s="25" customFormat="1" ht="13.9" hidden="1" customHeight="1" outlineLevel="2" x14ac:dyDescent="0.2">
      <c r="A414" s="116">
        <f ca="1">IF($H414="UNIDADE CONSTRUTIVA",OFFSET(A414,-1,0)+1,LARGE(A$3:A413,1))</f>
        <v>0</v>
      </c>
      <c r="B414" s="116">
        <f t="shared" ca="1" si="91"/>
        <v>20</v>
      </c>
      <c r="C414" s="116">
        <f t="shared" ca="1" si="92"/>
        <v>1</v>
      </c>
      <c r="D414" s="117">
        <f t="shared" ca="1" si="93"/>
        <v>3</v>
      </c>
      <c r="E414" s="117">
        <f t="shared" ca="1" si="94"/>
        <v>1</v>
      </c>
      <c r="F414" s="438"/>
      <c r="G414" s="71"/>
      <c r="H414" s="72" t="s">
        <v>114</v>
      </c>
      <c r="I414" s="73" t="str">
        <f t="shared" ca="1" si="89"/>
        <v>20.001.003.001</v>
      </c>
      <c r="J414" s="74" t="s">
        <v>6612</v>
      </c>
      <c r="K414" s="75" t="s">
        <v>1</v>
      </c>
      <c r="L414" s="114">
        <f>ARQUITETURA!H4278</f>
        <v>556.90000000000009</v>
      </c>
      <c r="M414" s="114">
        <f>_xlfn.XLOOKUP($J414,CPU!$D$1:$D$3085,CPU!$H$1:$H$3085)</f>
        <v>950</v>
      </c>
      <c r="N414" s="94">
        <f t="shared" si="95"/>
        <v>529055.00000000012</v>
      </c>
      <c r="O414" s="121" t="s">
        <v>1996</v>
      </c>
      <c r="P414" s="76"/>
      <c r="Q414" s="418"/>
      <c r="R414" s="26"/>
      <c r="S414" s="26"/>
    </row>
    <row r="415" spans="1:19" s="25" customFormat="1" ht="13.9" hidden="1" customHeight="1" outlineLevel="2" x14ac:dyDescent="0.2">
      <c r="A415" s="116">
        <f ca="1">IF($H415="UNIDADE CONSTRUTIVA",OFFSET(A415,-1,0)+1,LARGE(A$3:A414,1))</f>
        <v>0</v>
      </c>
      <c r="B415" s="116">
        <f t="shared" ca="1" si="91"/>
        <v>20</v>
      </c>
      <c r="C415" s="116">
        <f t="shared" ca="1" si="92"/>
        <v>1</v>
      </c>
      <c r="D415" s="117">
        <f t="shared" ca="1" si="93"/>
        <v>3</v>
      </c>
      <c r="E415" s="117">
        <f t="shared" ca="1" si="94"/>
        <v>2</v>
      </c>
      <c r="F415" s="438"/>
      <c r="G415" s="71"/>
      <c r="H415" s="72" t="s">
        <v>114</v>
      </c>
      <c r="I415" s="73" t="str">
        <f t="shared" ca="1" si="89"/>
        <v>20.001.003.002</v>
      </c>
      <c r="J415" s="74" t="s">
        <v>6611</v>
      </c>
      <c r="K415" s="75" t="s">
        <v>1</v>
      </c>
      <c r="L415" s="114">
        <f>ARQUITETURA!H4280</f>
        <v>23.669999999999995</v>
      </c>
      <c r="M415" s="114">
        <f>_xlfn.XLOOKUP($J415,CPU!$D$1:$D$3085,CPU!$H$1:$H$3085)</f>
        <v>860</v>
      </c>
      <c r="N415" s="94">
        <f t="shared" si="95"/>
        <v>20356.199999999997</v>
      </c>
      <c r="O415" s="121" t="s">
        <v>1996</v>
      </c>
      <c r="P415" s="76"/>
      <c r="Q415" s="418"/>
      <c r="R415" s="26"/>
      <c r="S415" s="26"/>
    </row>
    <row r="416" spans="1:19" s="25" customFormat="1" ht="13.9" hidden="1" customHeight="1" outlineLevel="2" x14ac:dyDescent="0.2">
      <c r="A416" s="116">
        <f ca="1">IF($H416="UNIDADE CONSTRUTIVA",OFFSET(A416,-1,0)+1,LARGE(A$3:A415,1))</f>
        <v>0</v>
      </c>
      <c r="B416" s="116">
        <f t="shared" ca="1" si="91"/>
        <v>20</v>
      </c>
      <c r="C416" s="116">
        <f t="shared" ca="1" si="92"/>
        <v>1</v>
      </c>
      <c r="D416" s="117">
        <f t="shared" ca="1" si="93"/>
        <v>3</v>
      </c>
      <c r="E416" s="117">
        <f t="shared" ca="1" si="94"/>
        <v>3</v>
      </c>
      <c r="F416" s="438"/>
      <c r="G416" s="71"/>
      <c r="H416" s="72" t="s">
        <v>114</v>
      </c>
      <c r="I416" s="73" t="str">
        <f t="shared" ca="1" si="89"/>
        <v>20.001.003.003</v>
      </c>
      <c r="J416" s="74" t="s">
        <v>1780</v>
      </c>
      <c r="K416" s="75" t="s">
        <v>1</v>
      </c>
      <c r="L416" s="114">
        <f>ARQUITETURA!H4279</f>
        <v>7.41</v>
      </c>
      <c r="M416" s="114">
        <f>_xlfn.XLOOKUP($J416,CPU!$D$1:$D$3085,CPU!$H$1:$H$3085)</f>
        <v>41.522999999999996</v>
      </c>
      <c r="N416" s="94">
        <f t="shared" si="95"/>
        <v>307.68543</v>
      </c>
      <c r="O416" s="121"/>
      <c r="P416" s="76"/>
      <c r="Q416" s="418"/>
      <c r="R416" s="26"/>
      <c r="S416" s="26"/>
    </row>
    <row r="417" spans="1:19" s="25" customFormat="1" ht="13.9" hidden="1" customHeight="1" outlineLevel="1" x14ac:dyDescent="0.2">
      <c r="A417" s="116">
        <f ca="1">IF($H417="UNIDADE CONSTRUTIVA",OFFSET(A417,-1,0)+1,LARGE(A$3:A416,1))</f>
        <v>0</v>
      </c>
      <c r="B417" s="116">
        <f t="shared" ca="1" si="91"/>
        <v>20</v>
      </c>
      <c r="C417" s="116">
        <f t="shared" ca="1" si="92"/>
        <v>1</v>
      </c>
      <c r="D417" s="117">
        <f t="shared" ca="1" si="93"/>
        <v>4</v>
      </c>
      <c r="E417" s="117">
        <f t="shared" ca="1" si="94"/>
        <v>0</v>
      </c>
      <c r="F417" s="438"/>
      <c r="G417" s="71"/>
      <c r="H417" s="72" t="s">
        <v>113</v>
      </c>
      <c r="I417" s="73" t="str">
        <f t="shared" ref="I417:I426" ca="1" si="98">IF(H417="Unidade Construtiva",TEXT(A417,"00"),IF(H417="Célula Construtiva",TEXT(B417,"00"),IF(H417="Etapa",CONCATENATE(TEXT(B417,"00"),".",TEXT(C417,"000")),IF(H417="Subetapa",CONCATENATE(TEXT(B417,"00"),".",TEXT(C417,"000"),".",TEXT(D417,"000")),IF(H417="Serviço",CONCATENATE(TEXT(B417,"00"),".",TEXT(C417,"000"),".",TEXT(D417,"000"),".",TEXT(E417,"000")),"")))))</f>
        <v>20.001.004</v>
      </c>
      <c r="J417" s="74" t="s">
        <v>1860</v>
      </c>
      <c r="K417" s="75"/>
      <c r="L417" s="114"/>
      <c r="M417" s="114"/>
      <c r="N417" s="94">
        <f t="shared" ca="1" si="95"/>
        <v>827826.22</v>
      </c>
      <c r="O417" s="121"/>
      <c r="P417" s="76"/>
      <c r="Q417" s="418"/>
      <c r="R417" s="26"/>
      <c r="S417" s="26"/>
    </row>
    <row r="418" spans="1:19" s="25" customFormat="1" ht="13.9" hidden="1" customHeight="1" outlineLevel="2" x14ac:dyDescent="0.2">
      <c r="A418" s="116">
        <f ca="1">IF($H418="UNIDADE CONSTRUTIVA",OFFSET(A418,-1,0)+1,LARGE(A$3:A417,1))</f>
        <v>0</v>
      </c>
      <c r="B418" s="116">
        <f t="shared" ca="1" si="91"/>
        <v>20</v>
      </c>
      <c r="C418" s="116">
        <f t="shared" ca="1" si="92"/>
        <v>1</v>
      </c>
      <c r="D418" s="117">
        <f t="shared" ca="1" si="93"/>
        <v>4</v>
      </c>
      <c r="E418" s="117">
        <f t="shared" ca="1" si="94"/>
        <v>1</v>
      </c>
      <c r="F418" s="438"/>
      <c r="G418" s="71"/>
      <c r="H418" s="72" t="s">
        <v>114</v>
      </c>
      <c r="I418" s="73" t="str">
        <f t="shared" ca="1" si="98"/>
        <v>20.001.004.001</v>
      </c>
      <c r="J418" s="74" t="s">
        <v>74</v>
      </c>
      <c r="K418" s="75" t="s">
        <v>1</v>
      </c>
      <c r="L418" s="114">
        <f>L407</f>
        <v>6828.7800000000007</v>
      </c>
      <c r="M418" s="114">
        <f>_xlfn.XLOOKUP($J418,CPU!$D$1:$D$3085,CPU!$H$1:$H$3085)</f>
        <v>58</v>
      </c>
      <c r="N418" s="94">
        <f t="shared" si="95"/>
        <v>396069.24000000005</v>
      </c>
      <c r="O418" s="121"/>
      <c r="P418" s="76"/>
      <c r="Q418" s="418" t="s">
        <v>2356</v>
      </c>
      <c r="R418" s="26"/>
      <c r="S418" s="26"/>
    </row>
    <row r="419" spans="1:19" s="25" customFormat="1" ht="13.9" hidden="1" customHeight="1" outlineLevel="2" x14ac:dyDescent="0.2">
      <c r="A419" s="116">
        <f ca="1">IF($H419="UNIDADE CONSTRUTIVA",OFFSET(A419,-1,0)+1,LARGE(A$3:A418,1))</f>
        <v>0</v>
      </c>
      <c r="B419" s="116">
        <f t="shared" ca="1" si="91"/>
        <v>20</v>
      </c>
      <c r="C419" s="116">
        <f t="shared" ca="1" si="92"/>
        <v>1</v>
      </c>
      <c r="D419" s="117">
        <f t="shared" ca="1" si="93"/>
        <v>4</v>
      </c>
      <c r="E419" s="117">
        <f t="shared" ca="1" si="94"/>
        <v>2</v>
      </c>
      <c r="F419" s="438"/>
      <c r="G419" s="71"/>
      <c r="H419" s="72" t="s">
        <v>114</v>
      </c>
      <c r="I419" s="73" t="str">
        <f t="shared" ref="I419" ca="1" si="99">IF(H419="Unidade Construtiva",TEXT(A419,"00"),IF(H419="Célula Construtiva",TEXT(B419,"00"),IF(H419="Etapa",CONCATENATE(TEXT(B419,"00"),".",TEXT(C419,"000")),IF(H419="Subetapa",CONCATENATE(TEXT(B419,"00"),".",TEXT(C419,"000"),".",TEXT(D419,"000")),IF(H419="Serviço",CONCATENATE(TEXT(B419,"00"),".",TEXT(C419,"000"),".",TEXT(D419,"000"),".",TEXT(E419,"000")),"")))))</f>
        <v>20.001.004.002</v>
      </c>
      <c r="J419" s="74" t="s">
        <v>6613</v>
      </c>
      <c r="K419" s="75" t="s">
        <v>1</v>
      </c>
      <c r="L419" s="114">
        <f>L408</f>
        <v>576.58000000000015</v>
      </c>
      <c r="M419" s="114">
        <f>_xlfn.XLOOKUP($J419,CPU!$D$1:$D$3085,CPU!$H$1:$H$3085)</f>
        <v>31</v>
      </c>
      <c r="N419" s="94">
        <f t="shared" si="95"/>
        <v>17873.980000000003</v>
      </c>
      <c r="O419" s="121"/>
      <c r="P419" s="76"/>
      <c r="Q419" s="418" t="s">
        <v>2356</v>
      </c>
      <c r="R419" s="26"/>
      <c r="S419" s="26"/>
    </row>
    <row r="420" spans="1:19" s="25" customFormat="1" ht="13.9" hidden="1" customHeight="1" outlineLevel="2" x14ac:dyDescent="0.2">
      <c r="A420" s="116">
        <f ca="1">IF($H420="UNIDADE CONSTRUTIVA",OFFSET(A420,-1,0)+1,LARGE(A$3:A419,1))</f>
        <v>0</v>
      </c>
      <c r="B420" s="116">
        <f t="shared" ca="1" si="91"/>
        <v>20</v>
      </c>
      <c r="C420" s="116">
        <f t="shared" ca="1" si="92"/>
        <v>1</v>
      </c>
      <c r="D420" s="117">
        <f t="shared" ca="1" si="93"/>
        <v>4</v>
      </c>
      <c r="E420" s="117">
        <f t="shared" ca="1" si="94"/>
        <v>3</v>
      </c>
      <c r="F420" s="438"/>
      <c r="G420" s="71"/>
      <c r="H420" s="72" t="s">
        <v>114</v>
      </c>
      <c r="I420" s="73" t="str">
        <f t="shared" ca="1" si="98"/>
        <v>20.001.004.003</v>
      </c>
      <c r="J420" s="74" t="s">
        <v>280</v>
      </c>
      <c r="K420" s="75" t="s">
        <v>1</v>
      </c>
      <c r="L420" s="114">
        <f>SUM(L416:L416)</f>
        <v>7.41</v>
      </c>
      <c r="M420" s="114">
        <f>_xlfn.XLOOKUP($J420,CPU!$D$1:$D$3085,CPU!$H$1:$H$3085)</f>
        <v>150</v>
      </c>
      <c r="N420" s="94">
        <f t="shared" si="95"/>
        <v>1111.5</v>
      </c>
      <c r="O420" s="121"/>
      <c r="P420" s="76"/>
      <c r="Q420" s="418" t="s">
        <v>1861</v>
      </c>
      <c r="R420" s="26"/>
      <c r="S420" s="26"/>
    </row>
    <row r="421" spans="1:19" s="25" customFormat="1" ht="13.9" hidden="1" customHeight="1" outlineLevel="2" x14ac:dyDescent="0.2">
      <c r="A421" s="116">
        <f ca="1">IF($H421="UNIDADE CONSTRUTIVA",OFFSET(A421,-1,0)+1,LARGE(A$3:A420,1))</f>
        <v>0</v>
      </c>
      <c r="B421" s="116">
        <f t="shared" ca="1" si="91"/>
        <v>20</v>
      </c>
      <c r="C421" s="116">
        <f t="shared" ca="1" si="92"/>
        <v>1</v>
      </c>
      <c r="D421" s="117">
        <f t="shared" ca="1" si="93"/>
        <v>4</v>
      </c>
      <c r="E421" s="117">
        <f t="shared" ca="1" si="94"/>
        <v>4</v>
      </c>
      <c r="F421" s="438"/>
      <c r="G421" s="71"/>
      <c r="H421" s="72" t="s">
        <v>114</v>
      </c>
      <c r="I421" s="73" t="str">
        <f t="shared" ca="1" si="98"/>
        <v>20.001.004.004</v>
      </c>
      <c r="J421" s="74" t="s">
        <v>75</v>
      </c>
      <c r="K421" s="75" t="s">
        <v>1</v>
      </c>
      <c r="L421" s="114">
        <f>L410+L411+L412</f>
        <v>7116.75</v>
      </c>
      <c r="M421" s="114">
        <f>_xlfn.XLOOKUP($J421,CPU!$D$1:$D$3085,CPU!$H$1:$H$3085)</f>
        <v>58</v>
      </c>
      <c r="N421" s="94">
        <f t="shared" si="95"/>
        <v>412771.5</v>
      </c>
      <c r="O421" s="121" t="s">
        <v>2011</v>
      </c>
      <c r="P421" s="76"/>
      <c r="Q421" s="418" t="s">
        <v>1862</v>
      </c>
      <c r="R421" s="26"/>
      <c r="S421" s="26"/>
    </row>
    <row r="422" spans="1:19" s="25" customFormat="1" ht="13.9" customHeight="1" collapsed="1" x14ac:dyDescent="0.2">
      <c r="A422" s="116">
        <f ca="1">IF($H422="UNIDADE CONSTRUTIVA",OFFSET(A422,-1,0)+1,LARGE(A$3:A421,1))</f>
        <v>0</v>
      </c>
      <c r="B422" s="116">
        <f t="shared" ca="1" si="91"/>
        <v>21</v>
      </c>
      <c r="C422" s="116">
        <f t="shared" ca="1" si="92"/>
        <v>0</v>
      </c>
      <c r="D422" s="117">
        <f t="shared" ca="1" si="93"/>
        <v>4</v>
      </c>
      <c r="E422" s="117">
        <f t="shared" ca="1" si="94"/>
        <v>4</v>
      </c>
      <c r="F422" s="438"/>
      <c r="G422" s="71"/>
      <c r="H422" s="72" t="s">
        <v>111</v>
      </c>
      <c r="I422" s="73" t="str">
        <f t="shared" ca="1" si="98"/>
        <v>21</v>
      </c>
      <c r="J422" s="74" t="s">
        <v>76</v>
      </c>
      <c r="K422" s="75"/>
      <c r="L422" s="114"/>
      <c r="M422" s="114"/>
      <c r="N422" s="94">
        <f t="shared" ca="1" si="95"/>
        <v>3135402.8078880655</v>
      </c>
      <c r="O422" s="121">
        <f ca="1">N422/'Obra '!$E$9</f>
        <v>451.89198184132994</v>
      </c>
      <c r="P422" s="76"/>
      <c r="Q422" s="418" t="s">
        <v>142</v>
      </c>
      <c r="R422" s="122"/>
      <c r="S422" s="26"/>
    </row>
    <row r="423" spans="1:19" s="25" customFormat="1" ht="13.9" hidden="1" customHeight="1" outlineLevel="1" x14ac:dyDescent="0.2">
      <c r="A423" s="116">
        <f ca="1">IF($H423="UNIDADE CONSTRUTIVA",OFFSET(A423,-1,0)+1,LARGE(A$3:A422,1))</f>
        <v>0</v>
      </c>
      <c r="B423" s="116">
        <f t="shared" ca="1" si="91"/>
        <v>21</v>
      </c>
      <c r="C423" s="116">
        <f t="shared" ca="1" si="92"/>
        <v>1</v>
      </c>
      <c r="D423" s="117">
        <f t="shared" ca="1" si="93"/>
        <v>0</v>
      </c>
      <c r="E423" s="117">
        <f t="shared" ca="1" si="94"/>
        <v>4</v>
      </c>
      <c r="F423" s="523"/>
      <c r="G423" s="71"/>
      <c r="H423" s="72" t="s">
        <v>112</v>
      </c>
      <c r="I423" s="73" t="str">
        <f t="shared" ca="1" si="98"/>
        <v>21.001</v>
      </c>
      <c r="J423" s="74" t="s">
        <v>77</v>
      </c>
      <c r="K423" s="75"/>
      <c r="L423" s="114"/>
      <c r="M423" s="114"/>
      <c r="N423" s="94">
        <f t="shared" ca="1" si="95"/>
        <v>8351.1545080311116</v>
      </c>
      <c r="O423" s="121">
        <f ca="1">N422-N445</f>
        <v>2803962.2800781354</v>
      </c>
      <c r="P423" s="76"/>
      <c r="Q423" s="423"/>
      <c r="R423" s="26"/>
      <c r="S423" s="26"/>
    </row>
    <row r="424" spans="1:19" s="25" customFormat="1" ht="13.9" hidden="1" customHeight="1" outlineLevel="1" x14ac:dyDescent="0.2">
      <c r="A424" s="116">
        <f ca="1">IF($H424="UNIDADE CONSTRUTIVA",OFFSET(A424,-1,0)+1,LARGE(A$3:A423,1))</f>
        <v>0</v>
      </c>
      <c r="B424" s="116">
        <f t="shared" ca="1" si="91"/>
        <v>21</v>
      </c>
      <c r="C424" s="116">
        <f t="shared" ca="1" si="92"/>
        <v>1</v>
      </c>
      <c r="D424" s="117">
        <f t="shared" ca="1" si="93"/>
        <v>1</v>
      </c>
      <c r="E424" s="117">
        <f t="shared" ca="1" si="94"/>
        <v>0</v>
      </c>
      <c r="F424" s="438"/>
      <c r="G424" s="71"/>
      <c r="H424" s="72" t="s">
        <v>113</v>
      </c>
      <c r="I424" s="73" t="str">
        <f t="shared" ca="1" si="98"/>
        <v>21.001.001</v>
      </c>
      <c r="J424" s="74" t="s">
        <v>78</v>
      </c>
      <c r="K424" s="75"/>
      <c r="L424" s="114"/>
      <c r="M424" s="114"/>
      <c r="N424" s="94">
        <f t="shared" ca="1" si="95"/>
        <v>8351.1545080311116</v>
      </c>
      <c r="O424" s="121">
        <f ca="1">N424/'Obra '!$E$9</f>
        <v>1.20361560938937</v>
      </c>
      <c r="P424" s="76"/>
      <c r="Q424" s="418"/>
      <c r="R424" s="26"/>
      <c r="S424" s="26"/>
    </row>
    <row r="425" spans="1:19" s="25" customFormat="1" ht="13.9" hidden="1" customHeight="1" outlineLevel="2" x14ac:dyDescent="0.2">
      <c r="A425" s="116">
        <f ca="1">IF($H425="UNIDADE CONSTRUTIVA",OFFSET(A425,-1,0)+1,LARGE(A$3:A424,1))</f>
        <v>0</v>
      </c>
      <c r="B425" s="116">
        <f t="shared" ca="1" si="91"/>
        <v>21</v>
      </c>
      <c r="C425" s="116">
        <f t="shared" ca="1" si="92"/>
        <v>1</v>
      </c>
      <c r="D425" s="117">
        <f t="shared" ca="1" si="93"/>
        <v>1</v>
      </c>
      <c r="E425" s="117">
        <f t="shared" ca="1" si="94"/>
        <v>1</v>
      </c>
      <c r="F425" s="438"/>
      <c r="G425" s="71"/>
      <c r="H425" s="72" t="s">
        <v>114</v>
      </c>
      <c r="I425" s="73" t="str">
        <f t="shared" ca="1" si="98"/>
        <v>21.001.001.001</v>
      </c>
      <c r="J425" s="74" t="s">
        <v>6614</v>
      </c>
      <c r="K425" s="75" t="s">
        <v>1</v>
      </c>
      <c r="L425" s="114">
        <f>ARQUITETURA!H4326</f>
        <v>51.22</v>
      </c>
      <c r="M425" s="114">
        <f>_xlfn.XLOOKUP($J425,CPU!$D$1:$D$3085,CPU!$H$1:$H$3085)</f>
        <v>138.04479711111111</v>
      </c>
      <c r="N425" s="94">
        <f t="shared" si="95"/>
        <v>7070.6545080311107</v>
      </c>
      <c r="O425" s="121"/>
      <c r="P425" s="76"/>
      <c r="Q425" s="423"/>
      <c r="R425" s="26"/>
      <c r="S425" s="26"/>
    </row>
    <row r="426" spans="1:19" s="25" customFormat="1" ht="13.9" hidden="1" customHeight="1" outlineLevel="2" x14ac:dyDescent="0.2">
      <c r="A426" s="116">
        <f ca="1">IF($H426="UNIDADE CONSTRUTIVA",OFFSET(A426,-1,0)+1,LARGE(A$3:A425,1))</f>
        <v>0</v>
      </c>
      <c r="B426" s="116">
        <f t="shared" ca="1" si="91"/>
        <v>21</v>
      </c>
      <c r="C426" s="116">
        <f t="shared" ca="1" si="92"/>
        <v>1</v>
      </c>
      <c r="D426" s="117">
        <f t="shared" ca="1" si="93"/>
        <v>1</v>
      </c>
      <c r="E426" s="117">
        <f t="shared" ca="1" si="94"/>
        <v>2</v>
      </c>
      <c r="F426" s="438"/>
      <c r="G426" s="71"/>
      <c r="H426" s="72" t="s">
        <v>114</v>
      </c>
      <c r="I426" s="73" t="str">
        <f t="shared" ca="1" si="98"/>
        <v>21.001.001.002</v>
      </c>
      <c r="J426" s="74" t="s">
        <v>812</v>
      </c>
      <c r="K426" s="75" t="s">
        <v>1</v>
      </c>
      <c r="L426" s="114">
        <f>L425</f>
        <v>51.22</v>
      </c>
      <c r="M426" s="114">
        <f>_xlfn.XLOOKUP($J426,CPU!$D$1:$D$3085,CPU!$H$1:$H$3085)</f>
        <v>25</v>
      </c>
      <c r="N426" s="94">
        <f t="shared" si="95"/>
        <v>1280.5</v>
      </c>
      <c r="O426" s="121"/>
      <c r="P426" s="76"/>
      <c r="Q426" s="423"/>
      <c r="R426" s="26"/>
      <c r="S426" s="26"/>
    </row>
    <row r="427" spans="1:19" s="25" customFormat="1" ht="13.9" hidden="1" customHeight="1" outlineLevel="1" x14ac:dyDescent="0.2">
      <c r="A427" s="116">
        <f ca="1">IF($H427="UNIDADE CONSTRUTIVA",OFFSET(A427,-1,0)+1,LARGE(A$3:A426,1))</f>
        <v>0</v>
      </c>
      <c r="B427" s="116">
        <f t="shared" ca="1" si="91"/>
        <v>21</v>
      </c>
      <c r="C427" s="116">
        <f t="shared" ca="1" si="92"/>
        <v>2</v>
      </c>
      <c r="D427" s="117">
        <f t="shared" ca="1" si="93"/>
        <v>0</v>
      </c>
      <c r="E427" s="117">
        <f t="shared" ca="1" si="94"/>
        <v>2</v>
      </c>
      <c r="F427" s="438"/>
      <c r="G427" s="71"/>
      <c r="H427" s="72" t="s">
        <v>112</v>
      </c>
      <c r="I427" s="73" t="str">
        <f t="shared" ref="I427:I438" ca="1" si="100">IF(H427="Unidade Construtiva",TEXT(A427,"00"),IF(H427="Célula Construtiva",TEXT(B427,"00"),IF(H427="Etapa",CONCATENATE(TEXT(B427,"00"),".",TEXT(C427,"000")),IF(H427="Subetapa",CONCATENATE(TEXT(B427,"00"),".",TEXT(C427,"000"),".",TEXT(D427,"000")),IF(H427="Serviço",CONCATENATE(TEXT(B427,"00"),".",TEXT(C427,"000"),".",TEXT(D427,"000"),".",TEXT(E427,"000")),"")))))</f>
        <v>21.002</v>
      </c>
      <c r="J427" s="74" t="s">
        <v>142</v>
      </c>
      <c r="K427" s="75"/>
      <c r="L427" s="114"/>
      <c r="M427" s="114"/>
      <c r="N427" s="94">
        <f t="shared" ca="1" si="95"/>
        <v>3127051.6533800345</v>
      </c>
      <c r="O427" s="121">
        <f ca="1">N427/'Obra '!$E$9</f>
        <v>450.68836623194062</v>
      </c>
      <c r="P427" s="76"/>
      <c r="Q427" s="423"/>
      <c r="R427" s="26"/>
      <c r="S427" s="26"/>
    </row>
    <row r="428" spans="1:19" s="25" customFormat="1" ht="13.9" hidden="1" customHeight="1" outlineLevel="1" x14ac:dyDescent="0.2">
      <c r="A428" s="116">
        <f ca="1">IF($H428="UNIDADE CONSTRUTIVA",OFFSET(A428,-1,0)+1,LARGE(A$3:A427,1))</f>
        <v>0</v>
      </c>
      <c r="B428" s="116">
        <f t="shared" ca="1" si="91"/>
        <v>21</v>
      </c>
      <c r="C428" s="116">
        <f t="shared" ca="1" si="92"/>
        <v>2</v>
      </c>
      <c r="D428" s="117">
        <f t="shared" ca="1" si="93"/>
        <v>1</v>
      </c>
      <c r="E428" s="117">
        <f t="shared" ca="1" si="94"/>
        <v>0</v>
      </c>
      <c r="F428" s="438"/>
      <c r="G428" s="71"/>
      <c r="H428" s="72" t="s">
        <v>113</v>
      </c>
      <c r="I428" s="73" t="str">
        <f t="shared" ca="1" si="100"/>
        <v>21.002.001</v>
      </c>
      <c r="J428" s="74" t="s">
        <v>330</v>
      </c>
      <c r="K428" s="75"/>
      <c r="L428" s="114"/>
      <c r="M428" s="114"/>
      <c r="N428" s="94">
        <f t="shared" ca="1" si="95"/>
        <v>173459.75</v>
      </c>
      <c r="O428" s="121">
        <f ca="1">N428/'Obra '!$E$9</f>
        <v>25</v>
      </c>
      <c r="P428" s="76"/>
      <c r="Q428" s="423"/>
      <c r="R428" s="26"/>
      <c r="S428" s="26"/>
    </row>
    <row r="429" spans="1:19" s="25" customFormat="1" ht="13.9" hidden="1" customHeight="1" outlineLevel="2" x14ac:dyDescent="0.2">
      <c r="A429" s="116">
        <f ca="1">IF($H429="UNIDADE CONSTRUTIVA",OFFSET(A429,-1,0)+1,LARGE(A$3:A428,1))</f>
        <v>0</v>
      </c>
      <c r="B429" s="116">
        <f t="shared" ca="1" si="91"/>
        <v>21</v>
      </c>
      <c r="C429" s="116">
        <f t="shared" ca="1" si="92"/>
        <v>2</v>
      </c>
      <c r="D429" s="117">
        <f t="shared" ca="1" si="93"/>
        <v>1</v>
      </c>
      <c r="E429" s="117">
        <f t="shared" ca="1" si="94"/>
        <v>1</v>
      </c>
      <c r="F429" s="438"/>
      <c r="G429" s="71"/>
      <c r="H429" s="72" t="s">
        <v>114</v>
      </c>
      <c r="I429" s="73" t="str">
        <f t="shared" ca="1" si="100"/>
        <v>21.002.001.001</v>
      </c>
      <c r="J429" s="74" t="s">
        <v>83</v>
      </c>
      <c r="K429" s="75" t="s">
        <v>67</v>
      </c>
      <c r="L429" s="114">
        <v>1</v>
      </c>
      <c r="M429" s="114">
        <f>'Obra '!$E$9*25</f>
        <v>173459.75</v>
      </c>
      <c r="N429" s="94">
        <f t="shared" si="95"/>
        <v>173459.75</v>
      </c>
      <c r="O429" s="121"/>
      <c r="P429" s="76"/>
      <c r="Q429" s="423"/>
      <c r="R429" s="26"/>
      <c r="S429" s="26"/>
    </row>
    <row r="430" spans="1:19" s="25" customFormat="1" ht="13.9" hidden="1" customHeight="1" outlineLevel="1" x14ac:dyDescent="0.2">
      <c r="A430" s="116">
        <f ca="1">IF($H430="UNIDADE CONSTRUTIVA",OFFSET(A430,-1,0)+1,LARGE(A$3:A429,1))</f>
        <v>0</v>
      </c>
      <c r="B430" s="116">
        <f t="shared" ca="1" si="91"/>
        <v>21</v>
      </c>
      <c r="C430" s="116">
        <f t="shared" ca="1" si="92"/>
        <v>2</v>
      </c>
      <c r="D430" s="117">
        <f t="shared" ca="1" si="93"/>
        <v>2</v>
      </c>
      <c r="E430" s="117">
        <f t="shared" ca="1" si="94"/>
        <v>0</v>
      </c>
      <c r="F430" s="438"/>
      <c r="G430" s="71"/>
      <c r="H430" s="72" t="s">
        <v>113</v>
      </c>
      <c r="I430" s="73" t="str">
        <f t="shared" ca="1" si="100"/>
        <v>21.002.002</v>
      </c>
      <c r="J430" s="74" t="s">
        <v>331</v>
      </c>
      <c r="K430" s="75"/>
      <c r="L430" s="114"/>
      <c r="M430" s="114"/>
      <c r="N430" s="94">
        <f t="shared" ca="1" si="95"/>
        <v>2622790.202943353</v>
      </c>
      <c r="O430" s="121">
        <f ca="1">N430/'Obra '!$E$9</f>
        <v>378.01135464327501</v>
      </c>
      <c r="P430" s="76"/>
      <c r="Q430" s="423"/>
      <c r="R430" s="26"/>
      <c r="S430" s="26"/>
    </row>
    <row r="431" spans="1:19" s="25" customFormat="1" ht="13.9" hidden="1" customHeight="1" outlineLevel="2" x14ac:dyDescent="0.2">
      <c r="A431" s="116">
        <f ca="1">IF($H431="UNIDADE CONSTRUTIVA",OFFSET(A431,-1,0)+1,LARGE(A$3:A430,1))</f>
        <v>0</v>
      </c>
      <c r="B431" s="116">
        <f t="shared" ca="1" si="91"/>
        <v>21</v>
      </c>
      <c r="C431" s="116">
        <f t="shared" ca="1" si="92"/>
        <v>2</v>
      </c>
      <c r="D431" s="117">
        <f t="shared" ca="1" si="93"/>
        <v>2</v>
      </c>
      <c r="E431" s="117">
        <f t="shared" ca="1" si="94"/>
        <v>1</v>
      </c>
      <c r="F431" s="438"/>
      <c r="G431" s="71"/>
      <c r="H431" s="72" t="s">
        <v>114</v>
      </c>
      <c r="I431" s="73" t="str">
        <f t="shared" ca="1" si="100"/>
        <v>21.002.002.001</v>
      </c>
      <c r="J431" s="74" t="s">
        <v>79</v>
      </c>
      <c r="K431" s="75" t="s">
        <v>67</v>
      </c>
      <c r="L431" s="114">
        <v>1</v>
      </c>
      <c r="M431" s="114">
        <f>MOBILIÁRIO!C6</f>
        <v>2314968.6100000003</v>
      </c>
      <c r="N431" s="94">
        <f t="shared" si="95"/>
        <v>2314968.6100000003</v>
      </c>
      <c r="O431" s="121"/>
      <c r="P431" s="76"/>
      <c r="Q431" s="423"/>
      <c r="R431" s="26"/>
      <c r="S431" s="26"/>
    </row>
    <row r="432" spans="1:19" s="25" customFormat="1" ht="13.9" hidden="1" customHeight="1" outlineLevel="2" x14ac:dyDescent="0.2">
      <c r="A432" s="116">
        <f ca="1">IF($H432="UNIDADE CONSTRUTIVA",OFFSET(A432,-1,0)+1,LARGE(A$3:A431,1))</f>
        <v>0</v>
      </c>
      <c r="B432" s="116">
        <f t="shared" ca="1" si="91"/>
        <v>21</v>
      </c>
      <c r="C432" s="116">
        <f t="shared" ca="1" si="92"/>
        <v>2</v>
      </c>
      <c r="D432" s="117">
        <f t="shared" ca="1" si="93"/>
        <v>2</v>
      </c>
      <c r="E432" s="117">
        <f t="shared" ca="1" si="94"/>
        <v>2</v>
      </c>
      <c r="F432" s="438"/>
      <c r="G432" s="71"/>
      <c r="H432" s="72" t="s">
        <v>114</v>
      </c>
      <c r="I432" s="73" t="str">
        <f t="shared" ref="I432" ca="1" si="101">IF(H432="Unidade Construtiva",TEXT(A432,"00"),IF(H432="Célula Construtiva",TEXT(B432,"00"),IF(H432="Etapa",CONCATENATE(TEXT(B432,"00"),".",TEXT(C432,"000")),IF(H432="Subetapa",CONCATENATE(TEXT(B432,"00"),".",TEXT(C432,"000"),".",TEXT(D432,"000")),IF(H432="Serviço",CONCATENATE(TEXT(B432,"00"),".",TEXT(C432,"000"),".",TEXT(D432,"000"),".",TEXT(E432,"000")),"")))))</f>
        <v>21.002.002.002</v>
      </c>
      <c r="J432" s="74" t="s">
        <v>6926</v>
      </c>
      <c r="K432" s="75" t="s">
        <v>67</v>
      </c>
      <c r="L432" s="114">
        <v>1</v>
      </c>
      <c r="M432" s="114">
        <f>REVESTIMENTOS!C6</f>
        <v>307821.59294335288</v>
      </c>
      <c r="N432" s="94">
        <f t="shared" si="95"/>
        <v>307821.59294335288</v>
      </c>
      <c r="O432" s="121"/>
      <c r="P432" s="76"/>
      <c r="Q432" s="423"/>
      <c r="R432" s="26"/>
      <c r="S432" s="26"/>
    </row>
    <row r="433" spans="1:21" s="25" customFormat="1" ht="13.9" hidden="1" customHeight="1" outlineLevel="1" x14ac:dyDescent="0.2">
      <c r="A433" s="116">
        <f ca="1">IF($H433="UNIDADE CONSTRUTIVA",OFFSET(A433,-1,0)+1,LARGE(A$3:A432,1))</f>
        <v>0</v>
      </c>
      <c r="B433" s="116">
        <f t="shared" ca="1" si="91"/>
        <v>21</v>
      </c>
      <c r="C433" s="116">
        <f t="shared" ca="1" si="92"/>
        <v>2</v>
      </c>
      <c r="D433" s="117">
        <f t="shared" ca="1" si="93"/>
        <v>3</v>
      </c>
      <c r="E433" s="117">
        <f t="shared" ca="1" si="94"/>
        <v>0</v>
      </c>
      <c r="F433" s="438"/>
      <c r="G433" s="71"/>
      <c r="H433" s="72" t="s">
        <v>113</v>
      </c>
      <c r="I433" s="73" t="str">
        <f t="shared" ca="1" si="100"/>
        <v>21.002.003</v>
      </c>
      <c r="J433" s="74" t="s">
        <v>123</v>
      </c>
      <c r="K433" s="75"/>
      <c r="L433" s="114"/>
      <c r="M433" s="114"/>
      <c r="N433" s="94">
        <f t="shared" ca="1" si="95"/>
        <v>76322.290000000008</v>
      </c>
      <c r="O433" s="121">
        <f ca="1">N433/'Obra '!$E$9</f>
        <v>11</v>
      </c>
      <c r="P433" s="76"/>
      <c r="Q433" s="423"/>
      <c r="R433" s="26"/>
      <c r="S433" s="26"/>
    </row>
    <row r="434" spans="1:21" s="25" customFormat="1" ht="13.9" hidden="1" customHeight="1" outlineLevel="2" x14ac:dyDescent="0.2">
      <c r="A434" s="116">
        <f ca="1">IF($H434="UNIDADE CONSTRUTIVA",OFFSET(A434,-1,0)+1,LARGE(A$3:A433,1))</f>
        <v>0</v>
      </c>
      <c r="B434" s="116">
        <f t="shared" ca="1" si="91"/>
        <v>21</v>
      </c>
      <c r="C434" s="116">
        <f t="shared" ca="1" si="92"/>
        <v>2</v>
      </c>
      <c r="D434" s="117">
        <f t="shared" ca="1" si="93"/>
        <v>3</v>
      </c>
      <c r="E434" s="117">
        <f t="shared" ca="1" si="94"/>
        <v>1</v>
      </c>
      <c r="F434" s="438"/>
      <c r="G434" s="71"/>
      <c r="H434" s="72" t="s">
        <v>114</v>
      </c>
      <c r="I434" s="73" t="str">
        <f t="shared" ca="1" si="100"/>
        <v>21.002.003.001</v>
      </c>
      <c r="J434" s="74" t="s">
        <v>123</v>
      </c>
      <c r="K434" s="75" t="s">
        <v>67</v>
      </c>
      <c r="L434" s="114">
        <v>1</v>
      </c>
      <c r="M434" s="114">
        <f>'Obra '!$E$9*11</f>
        <v>76322.290000000008</v>
      </c>
      <c r="N434" s="94">
        <f t="shared" si="95"/>
        <v>76322.290000000008</v>
      </c>
      <c r="O434" s="121"/>
      <c r="P434" s="76"/>
      <c r="Q434" s="423"/>
      <c r="R434" s="26"/>
      <c r="S434" s="26"/>
    </row>
    <row r="435" spans="1:21" s="25" customFormat="1" ht="13.9" hidden="1" customHeight="1" outlineLevel="1" x14ac:dyDescent="0.2">
      <c r="A435" s="116">
        <f ca="1">IF($H435="UNIDADE CONSTRUTIVA",OFFSET(A435,-1,0)+1,LARGE(A$3:A434,1))</f>
        <v>0</v>
      </c>
      <c r="B435" s="116">
        <f t="shared" ca="1" si="91"/>
        <v>21</v>
      </c>
      <c r="C435" s="116">
        <f t="shared" ca="1" si="92"/>
        <v>2</v>
      </c>
      <c r="D435" s="117">
        <f t="shared" ca="1" si="93"/>
        <v>4</v>
      </c>
      <c r="E435" s="117">
        <f t="shared" ca="1" si="94"/>
        <v>0</v>
      </c>
      <c r="F435" s="438"/>
      <c r="G435" s="71"/>
      <c r="H435" s="72" t="s">
        <v>113</v>
      </c>
      <c r="I435" s="73" t="str">
        <f t="shared" ca="1" si="100"/>
        <v>21.002.004</v>
      </c>
      <c r="J435" s="74" t="s">
        <v>80</v>
      </c>
      <c r="K435" s="75"/>
      <c r="L435" s="114"/>
      <c r="M435" s="114"/>
      <c r="N435" s="94">
        <f t="shared" ca="1" si="95"/>
        <v>159582.97000000003</v>
      </c>
      <c r="O435" s="121">
        <f ca="1">N435/'Obra '!$E$9</f>
        <v>23.000000000000004</v>
      </c>
      <c r="P435" s="76"/>
      <c r="Q435" s="423"/>
      <c r="R435" s="26"/>
      <c r="S435" s="26"/>
    </row>
    <row r="436" spans="1:21" s="25" customFormat="1" ht="13.9" hidden="1" customHeight="1" outlineLevel="2" x14ac:dyDescent="0.2">
      <c r="A436" s="116">
        <f ca="1">IF($H436="UNIDADE CONSTRUTIVA",OFFSET(A436,-1,0)+1,LARGE(A$3:A435,1))</f>
        <v>0</v>
      </c>
      <c r="B436" s="116">
        <f t="shared" ca="1" si="91"/>
        <v>21</v>
      </c>
      <c r="C436" s="116">
        <f t="shared" ca="1" si="92"/>
        <v>2</v>
      </c>
      <c r="D436" s="117">
        <f t="shared" ca="1" si="93"/>
        <v>4</v>
      </c>
      <c r="E436" s="117">
        <f t="shared" ca="1" si="94"/>
        <v>1</v>
      </c>
      <c r="F436" s="438"/>
      <c r="G436" s="71"/>
      <c r="H436" s="72" t="s">
        <v>114</v>
      </c>
      <c r="I436" s="73" t="str">
        <f t="shared" ca="1" si="100"/>
        <v>21.002.004.001</v>
      </c>
      <c r="J436" s="74" t="s">
        <v>81</v>
      </c>
      <c r="K436" s="75" t="s">
        <v>67</v>
      </c>
      <c r="L436" s="114">
        <v>1</v>
      </c>
      <c r="M436" s="114">
        <f>'Obra '!$E$9*15</f>
        <v>104075.85</v>
      </c>
      <c r="N436" s="94">
        <f t="shared" si="95"/>
        <v>104075.85</v>
      </c>
      <c r="O436" s="121"/>
      <c r="P436" s="76"/>
      <c r="Q436" s="423"/>
      <c r="R436" s="26"/>
      <c r="S436" s="26"/>
    </row>
    <row r="437" spans="1:21" s="25" customFormat="1" ht="13.9" hidden="1" customHeight="1" outlineLevel="2" x14ac:dyDescent="0.2">
      <c r="A437" s="116">
        <f ca="1">IF($H437="UNIDADE CONSTRUTIVA",OFFSET(A437,-1,0)+1,LARGE(A$3:A436,1))</f>
        <v>0</v>
      </c>
      <c r="B437" s="116">
        <f t="shared" ca="1" si="91"/>
        <v>21</v>
      </c>
      <c r="C437" s="116">
        <f t="shared" ca="1" si="92"/>
        <v>2</v>
      </c>
      <c r="D437" s="117">
        <f t="shared" ca="1" si="93"/>
        <v>4</v>
      </c>
      <c r="E437" s="117">
        <f t="shared" ca="1" si="94"/>
        <v>2</v>
      </c>
      <c r="F437" s="438"/>
      <c r="G437" s="71"/>
      <c r="H437" s="72" t="s">
        <v>114</v>
      </c>
      <c r="I437" s="73" t="str">
        <f t="shared" ca="1" si="100"/>
        <v>21.002.004.002</v>
      </c>
      <c r="J437" s="74" t="s">
        <v>1863</v>
      </c>
      <c r="K437" s="75" t="s">
        <v>67</v>
      </c>
      <c r="L437" s="114">
        <v>1</v>
      </c>
      <c r="M437" s="114">
        <f>'Obra '!$E$9*5</f>
        <v>34691.950000000004</v>
      </c>
      <c r="N437" s="94">
        <f t="shared" si="95"/>
        <v>34691.950000000004</v>
      </c>
      <c r="O437" s="121"/>
      <c r="P437" s="76"/>
      <c r="Q437" s="423"/>
      <c r="R437" s="26"/>
      <c r="S437" s="26"/>
    </row>
    <row r="438" spans="1:21" s="25" customFormat="1" ht="13.9" hidden="1" customHeight="1" outlineLevel="2" x14ac:dyDescent="0.2">
      <c r="A438" s="116">
        <f ca="1">IF($H438="UNIDADE CONSTRUTIVA",OFFSET(A438,-1,0)+1,LARGE(A$3:A437,1))</f>
        <v>0</v>
      </c>
      <c r="B438" s="116">
        <f t="shared" ca="1" si="91"/>
        <v>21</v>
      </c>
      <c r="C438" s="116">
        <f t="shared" ca="1" si="92"/>
        <v>2</v>
      </c>
      <c r="D438" s="117">
        <f t="shared" ca="1" si="93"/>
        <v>4</v>
      </c>
      <c r="E438" s="117">
        <f t="shared" ca="1" si="94"/>
        <v>3</v>
      </c>
      <c r="F438" s="438"/>
      <c r="G438" s="71"/>
      <c r="H438" s="72" t="s">
        <v>114</v>
      </c>
      <c r="I438" s="73" t="str">
        <f t="shared" ca="1" si="100"/>
        <v>21.002.004.003</v>
      </c>
      <c r="J438" s="74" t="s">
        <v>1864</v>
      </c>
      <c r="K438" s="75" t="s">
        <v>67</v>
      </c>
      <c r="L438" s="114">
        <v>1</v>
      </c>
      <c r="M438" s="114">
        <f>'Obra '!$E$9*3</f>
        <v>20815.170000000002</v>
      </c>
      <c r="N438" s="94">
        <f t="shared" si="95"/>
        <v>20815.170000000002</v>
      </c>
      <c r="O438" s="121"/>
      <c r="P438" s="76"/>
      <c r="Q438" s="423"/>
      <c r="R438" s="26"/>
      <c r="S438" s="26"/>
    </row>
    <row r="439" spans="1:21" s="25" customFormat="1" ht="13.9" hidden="1" customHeight="1" outlineLevel="1" x14ac:dyDescent="0.2">
      <c r="A439" s="116">
        <f ca="1">IF($H439="UNIDADE CONSTRUTIVA",OFFSET(A439,-1,0)+1,LARGE(A$3:A400,1))</f>
        <v>0</v>
      </c>
      <c r="B439" s="116">
        <f ca="1">IF(H439="UNIDADE CONSTRUTIVA",0,IF(H439="CÉLULA CONSTRUTIVA",OFFSET(B439,-1,0)+1,OFFSET(B439,-1,0)))</f>
        <v>21</v>
      </c>
      <c r="C439" s="116">
        <f ca="1">IF(H439="CÉLULA CONSTRUTIVA",0,IF(H439="ETAPA",OFFSET(C439,-1,0)+1,OFFSET(C439,-1,0)))</f>
        <v>2</v>
      </c>
      <c r="D439" s="117">
        <f ca="1">IF(H439="ETAPA",0,IF(H439="SUBETAPA",OFFSET(D439,-1,0)+1,OFFSET(D439,-1,0)))</f>
        <v>5</v>
      </c>
      <c r="E439" s="117">
        <f ca="1">IF(H439="Subetapa",0,IF(H439="serviço",OFFSET(E439,-1,0)+1,OFFSET(E439,-1,0)))</f>
        <v>0</v>
      </c>
      <c r="F439" s="438"/>
      <c r="G439" s="71"/>
      <c r="H439" s="72" t="s">
        <v>113</v>
      </c>
      <c r="I439" s="73" t="str">
        <f ca="1">IF(H439="Unidade Construtiva",TEXT(A439,"00"),IF(H439="Célula Construtiva",TEXT(B439,"00"),IF(H439="Etapa",CONCATENATE(TEXT(B439,"00"),".",TEXT(C439,"000")),IF(H439="Subetapa",CONCATENATE(TEXT(B439,"00"),".",TEXT(C439,"000"),".",TEXT(D439,"000")),IF(H439="Serviço",CONCATENATE(TEXT(B439,"00"),".",TEXT(C439,"000"),".",TEXT(D439,"000"),".",TEXT(E439,"000")),"")))))</f>
        <v>21.002.005</v>
      </c>
      <c r="J439" s="74" t="s">
        <v>6953</v>
      </c>
      <c r="K439" s="75"/>
      <c r="L439" s="114"/>
      <c r="M439" s="114"/>
      <c r="N439" s="94">
        <f t="shared" ca="1" si="95"/>
        <v>32450.930436681221</v>
      </c>
      <c r="O439" s="121"/>
      <c r="P439" s="76"/>
      <c r="Q439" s="418"/>
      <c r="R439" s="26"/>
      <c r="S439" s="26"/>
    </row>
    <row r="440" spans="1:21" s="25" customFormat="1" ht="13.9" hidden="1" customHeight="1" outlineLevel="2" x14ac:dyDescent="0.2">
      <c r="A440" s="116">
        <f ca="1">IF($H440="UNIDADE CONSTRUTIVA",OFFSET(A440,-1,0)+1,LARGE(A$3:A439,1))</f>
        <v>0</v>
      </c>
      <c r="B440" s="116">
        <f ca="1">IF(H440="UNIDADE CONSTRUTIVA",0,IF(H440="CÉLULA CONSTRUTIVA",OFFSET(B440,-1,0)+1,OFFSET(B440,-1,0)))</f>
        <v>21</v>
      </c>
      <c r="C440" s="116">
        <f ca="1">IF(H440="CÉLULA CONSTRUTIVA",0,IF(H440="ETAPA",OFFSET(C440,-1,0)+1,OFFSET(C440,-1,0)))</f>
        <v>2</v>
      </c>
      <c r="D440" s="117">
        <f ca="1">IF(H440="ETAPA",0,IF(H440="SUBETAPA",OFFSET(D440,-1,0)+1,OFFSET(D440,-1,0)))</f>
        <v>5</v>
      </c>
      <c r="E440" s="117">
        <f ca="1">IF(H440="Subetapa",0,IF(H440="serviço",OFFSET(E440,-1,0)+1,OFFSET(E440,-1,0)))</f>
        <v>1</v>
      </c>
      <c r="F440" s="438"/>
      <c r="G440" s="71"/>
      <c r="H440" s="72" t="s">
        <v>114</v>
      </c>
      <c r="I440" s="73" t="str">
        <f ca="1">IF(H440="Unidade Construtiva",TEXT(A440,"00"),IF(H440="Célula Construtiva",TEXT(B440,"00"),IF(H440="Etapa",CONCATENATE(TEXT(B440,"00"),".",TEXT(C440,"000")),IF(H440="Subetapa",CONCATENATE(TEXT(B440,"00"),".",TEXT(C440,"000"),".",TEXT(D440,"000")),IF(H440="Serviço",CONCATENATE(TEXT(B440,"00"),".",TEXT(C440,"000"),".",TEXT(D440,"000"),".",TEXT(E440,"000")),"")))))</f>
        <v>21.002.005.001</v>
      </c>
      <c r="J440" s="74" t="s">
        <v>6950</v>
      </c>
      <c r="K440" s="75" t="s">
        <v>1</v>
      </c>
      <c r="L440" s="114">
        <f>ARQUITETURA!H4323</f>
        <v>26.261199999999999</v>
      </c>
      <c r="M440" s="114">
        <f>_xlfn.XLOOKUP($J440,CPU!$D$1:$D$3085,CPU!$H$1:$H$3085)</f>
        <v>1235.6986899563319</v>
      </c>
      <c r="N440" s="94">
        <f t="shared" si="95"/>
        <v>32450.930436681221</v>
      </c>
      <c r="O440" s="121"/>
      <c r="P440" s="76"/>
      <c r="Q440" s="418"/>
      <c r="R440" s="26"/>
      <c r="S440" s="26"/>
    </row>
    <row r="441" spans="1:21" s="25" customFormat="1" ht="13.9" hidden="1" customHeight="1" outlineLevel="1" x14ac:dyDescent="0.2">
      <c r="A441" s="116">
        <f ca="1">IF($H441="UNIDADE CONSTRUTIVA",OFFSET(A441,-1,0)+1,LARGE(A$3:A438,1))</f>
        <v>0</v>
      </c>
      <c r="B441" s="116">
        <f t="shared" ca="1" si="91"/>
        <v>21</v>
      </c>
      <c r="C441" s="116">
        <f t="shared" ca="1" si="92"/>
        <v>2</v>
      </c>
      <c r="D441" s="117">
        <f t="shared" ca="1" si="93"/>
        <v>6</v>
      </c>
      <c r="E441" s="117">
        <f t="shared" ca="1" si="94"/>
        <v>0</v>
      </c>
      <c r="F441" s="438"/>
      <c r="G441" s="71"/>
      <c r="H441" s="72" t="s">
        <v>113</v>
      </c>
      <c r="I441" s="73" t="str">
        <f t="shared" ref="I441:I447" ca="1" si="102">IF(H441="Unidade Construtiva",TEXT(A441,"00"),IF(H441="Célula Construtiva",TEXT(B441,"00"),IF(H441="Etapa",CONCATENATE(TEXT(B441,"00"),".",TEXT(C441,"000")),IF(H441="Subetapa",CONCATENATE(TEXT(B441,"00"),".",TEXT(C441,"000"),".",TEXT(D441,"000")),IF(H441="Serviço",CONCATENATE(TEXT(B441,"00"),".",TEXT(C441,"000"),".",TEXT(D441,"000"),".",TEXT(E441,"000")),"")))))</f>
        <v>21.002.006</v>
      </c>
      <c r="J441" s="74" t="s">
        <v>82</v>
      </c>
      <c r="K441" s="75"/>
      <c r="L441" s="114"/>
      <c r="M441" s="114"/>
      <c r="N441" s="94">
        <f t="shared" ref="N441:N447" ca="1" si="103">IF(H441="Serviço",M441*L441,IF(H441="CÉLULA CONSTRUTIVA",SUMIFS($N$8:$N$452,$B$8:$B$452,B441,$H$8:$H$452,"Serviço"),IF(H441="ETAPA",SUMIFS($N$8:$N$452,$B$8:$B$452,B441,$C$8:$C$452,C441,$H$8:$H$452,"Serviço"),IF(H441="SUBETAPA",SUMIFS($N$8:$N$452,$B$8:$B$452,B441,$C$8:$C$452,C441,$D$8:$D$452,D441,$H$8:$H$452,"Serviço"),0))))</f>
        <v>62445.510000000009</v>
      </c>
      <c r="O441" s="121">
        <f ca="1">N441/'Obra '!$E$9</f>
        <v>9.0000000000000018</v>
      </c>
      <c r="P441" s="76"/>
      <c r="Q441" s="423"/>
      <c r="R441" s="26"/>
      <c r="S441" s="26"/>
    </row>
    <row r="442" spans="1:21" s="25" customFormat="1" ht="13.9" hidden="1" customHeight="1" outlineLevel="2" x14ac:dyDescent="0.2">
      <c r="A442" s="116">
        <f ca="1">IF($H442="UNIDADE CONSTRUTIVA",OFFSET(A442,-1,0)+1,LARGE(A$3:A441,1))</f>
        <v>0</v>
      </c>
      <c r="B442" s="116">
        <f t="shared" ca="1" si="91"/>
        <v>21</v>
      </c>
      <c r="C442" s="116">
        <f t="shared" ca="1" si="92"/>
        <v>2</v>
      </c>
      <c r="D442" s="117">
        <f t="shared" ca="1" si="93"/>
        <v>6</v>
      </c>
      <c r="E442" s="117">
        <f t="shared" ca="1" si="94"/>
        <v>1</v>
      </c>
      <c r="F442" s="438"/>
      <c r="G442" s="71"/>
      <c r="H442" s="72" t="s">
        <v>114</v>
      </c>
      <c r="I442" s="73" t="str">
        <f t="shared" ca="1" si="102"/>
        <v>21.002.006.001</v>
      </c>
      <c r="J442" s="74" t="s">
        <v>84</v>
      </c>
      <c r="K442" s="75" t="s">
        <v>67</v>
      </c>
      <c r="L442" s="114">
        <v>1</v>
      </c>
      <c r="M442" s="114">
        <f>'Obra '!$E$9*5</f>
        <v>34691.950000000004</v>
      </c>
      <c r="N442" s="94">
        <f t="shared" si="103"/>
        <v>34691.950000000004</v>
      </c>
      <c r="O442" s="121"/>
      <c r="P442" s="76"/>
      <c r="Q442" s="423"/>
      <c r="R442" s="26"/>
      <c r="S442" s="26"/>
    </row>
    <row r="443" spans="1:21" s="25" customFormat="1" ht="11.25" hidden="1" customHeight="1" outlineLevel="2" x14ac:dyDescent="0.2">
      <c r="A443" s="116">
        <f ca="1">IF($H443="UNIDADE CONSTRUTIVA",OFFSET(A443,-1,0)+1,LARGE(A$3:A442,1))</f>
        <v>0</v>
      </c>
      <c r="B443" s="116">
        <f t="shared" ca="1" si="91"/>
        <v>21</v>
      </c>
      <c r="C443" s="116">
        <f t="shared" ca="1" si="92"/>
        <v>2</v>
      </c>
      <c r="D443" s="117">
        <f t="shared" ca="1" si="93"/>
        <v>6</v>
      </c>
      <c r="E443" s="117">
        <f t="shared" ca="1" si="94"/>
        <v>2</v>
      </c>
      <c r="F443" s="438"/>
      <c r="G443" s="71"/>
      <c r="H443" s="72" t="s">
        <v>114</v>
      </c>
      <c r="I443" s="73" t="str">
        <f t="shared" ca="1" si="102"/>
        <v>21.002.006.002</v>
      </c>
      <c r="J443" s="74" t="s">
        <v>85</v>
      </c>
      <c r="K443" s="75" t="s">
        <v>67</v>
      </c>
      <c r="L443" s="114">
        <v>1</v>
      </c>
      <c r="M443" s="114">
        <f>'Obra '!$E$9*4</f>
        <v>27753.56</v>
      </c>
      <c r="N443" s="94">
        <f t="shared" si="103"/>
        <v>27753.56</v>
      </c>
      <c r="O443" s="121"/>
      <c r="P443" s="76"/>
      <c r="Q443" s="423"/>
      <c r="R443" s="26"/>
      <c r="S443" s="12"/>
      <c r="T443" s="7"/>
      <c r="U443" s="7"/>
    </row>
    <row r="444" spans="1:21" s="25" customFormat="1" ht="13.9" customHeight="1" collapsed="1" x14ac:dyDescent="0.2">
      <c r="A444" s="116">
        <f ca="1">IF($H444="UNIDADE CONSTRUTIVA",OFFSET(A444,-1,0)+1,LARGE(A$3:A443,1))</f>
        <v>0</v>
      </c>
      <c r="B444" s="116">
        <f t="shared" ca="1" si="91"/>
        <v>22</v>
      </c>
      <c r="C444" s="116">
        <f t="shared" ca="1" si="92"/>
        <v>0</v>
      </c>
      <c r="D444" s="117">
        <f t="shared" ca="1" si="93"/>
        <v>6</v>
      </c>
      <c r="E444" s="117">
        <f t="shared" ca="1" si="94"/>
        <v>2</v>
      </c>
      <c r="F444" s="438"/>
      <c r="G444" s="71"/>
      <c r="H444" s="72" t="s">
        <v>111</v>
      </c>
      <c r="I444" s="73" t="str">
        <f t="shared" ca="1" si="102"/>
        <v>22</v>
      </c>
      <c r="J444" s="74" t="s">
        <v>2885</v>
      </c>
      <c r="K444" s="75"/>
      <c r="L444" s="114"/>
      <c r="M444" s="114"/>
      <c r="N444" s="94">
        <f t="shared" ca="1" si="103"/>
        <v>331440.5278099298</v>
      </c>
      <c r="O444" s="121">
        <f ca="1">N444/'Obra '!$E$9</f>
        <v>47.769083001954314</v>
      </c>
      <c r="P444" s="76"/>
      <c r="Q444" s="418" t="s">
        <v>193</v>
      </c>
      <c r="R444" s="122"/>
      <c r="S444" s="26"/>
    </row>
    <row r="445" spans="1:21" s="25" customFormat="1" ht="13.9" hidden="1" customHeight="1" outlineLevel="1" x14ac:dyDescent="0.2">
      <c r="A445" s="116">
        <f ca="1">IF($H445="UNIDADE CONSTRUTIVA",OFFSET(A445,-1,0)+1,LARGE(A$3:A444,1))</f>
        <v>0</v>
      </c>
      <c r="B445" s="116">
        <f t="shared" ca="1" si="91"/>
        <v>22</v>
      </c>
      <c r="C445" s="116">
        <f t="shared" ca="1" si="92"/>
        <v>1</v>
      </c>
      <c r="D445" s="117">
        <f t="shared" ca="1" si="93"/>
        <v>0</v>
      </c>
      <c r="E445" s="117">
        <f t="shared" ca="1" si="94"/>
        <v>2</v>
      </c>
      <c r="F445" s="438"/>
      <c r="G445" s="71"/>
      <c r="H445" s="72" t="s">
        <v>112</v>
      </c>
      <c r="I445" s="73" t="str">
        <f t="shared" ca="1" si="102"/>
        <v>22.001</v>
      </c>
      <c r="J445" s="74" t="s">
        <v>86</v>
      </c>
      <c r="K445" s="75"/>
      <c r="L445" s="114"/>
      <c r="M445" s="114"/>
      <c r="N445" s="94">
        <f t="shared" ca="1" si="103"/>
        <v>331440.5278099298</v>
      </c>
      <c r="O445" s="121">
        <f ca="1">N445/'Obra '!$E$9</f>
        <v>47.769083001954314</v>
      </c>
      <c r="P445" s="76"/>
      <c r="Q445" s="423"/>
      <c r="R445" s="26"/>
      <c r="S445" s="26"/>
    </row>
    <row r="446" spans="1:21" s="25" customFormat="1" ht="13.9" hidden="1" customHeight="1" outlineLevel="1" x14ac:dyDescent="0.2">
      <c r="A446" s="116">
        <f ca="1">IF($H446="UNIDADE CONSTRUTIVA",OFFSET(A446,-1,0)+1,LARGE(A$3:A445,1))</f>
        <v>0</v>
      </c>
      <c r="B446" s="116">
        <f t="shared" ca="1" si="91"/>
        <v>22</v>
      </c>
      <c r="C446" s="116">
        <f t="shared" ca="1" si="92"/>
        <v>1</v>
      </c>
      <c r="D446" s="117">
        <f t="shared" ca="1" si="93"/>
        <v>1</v>
      </c>
      <c r="E446" s="117">
        <f t="shared" ca="1" si="94"/>
        <v>0</v>
      </c>
      <c r="F446" s="438"/>
      <c r="G446" s="71"/>
      <c r="H446" s="72" t="s">
        <v>113</v>
      </c>
      <c r="I446" s="73" t="str">
        <f t="shared" ca="1" si="102"/>
        <v>22.001.001</v>
      </c>
      <c r="J446" s="74" t="s">
        <v>86</v>
      </c>
      <c r="K446" s="75"/>
      <c r="L446" s="114"/>
      <c r="M446" s="114"/>
      <c r="N446" s="94">
        <f t="shared" ca="1" si="103"/>
        <v>331440.5278099298</v>
      </c>
      <c r="O446" s="121">
        <f ca="1">N446/'Obra '!$E$9</f>
        <v>47.769083001954314</v>
      </c>
      <c r="P446" s="76"/>
      <c r="Q446" s="423"/>
      <c r="R446" s="26"/>
      <c r="S446" s="12"/>
      <c r="T446" s="7"/>
      <c r="U446" s="7"/>
    </row>
    <row r="447" spans="1:21" s="25" customFormat="1" ht="11.25" hidden="1" outlineLevel="2" x14ac:dyDescent="0.2">
      <c r="A447" s="116">
        <f ca="1">IF($H447="UNIDADE CONSTRUTIVA",OFFSET(A447,-1,0)+1,LARGE(A$3:A446,1))</f>
        <v>0</v>
      </c>
      <c r="B447" s="116">
        <f t="shared" ca="1" si="91"/>
        <v>22</v>
      </c>
      <c r="C447" s="116">
        <f t="shared" ca="1" si="92"/>
        <v>1</v>
      </c>
      <c r="D447" s="117">
        <f t="shared" ca="1" si="93"/>
        <v>1</v>
      </c>
      <c r="E447" s="117">
        <f t="shared" ca="1" si="94"/>
        <v>1</v>
      </c>
      <c r="F447" s="438"/>
      <c r="G447" s="71"/>
      <c r="H447" s="72" t="s">
        <v>114</v>
      </c>
      <c r="I447" s="73" t="str">
        <f t="shared" ca="1" si="102"/>
        <v>22.001.001.001</v>
      </c>
      <c r="J447" s="74" t="s">
        <v>86</v>
      </c>
      <c r="K447" s="75" t="s">
        <v>67</v>
      </c>
      <c r="L447" s="114">
        <v>1</v>
      </c>
      <c r="M447" s="114">
        <f ca="1">SUMIFS(N7:N443,H7:H443,"serviço")*0.02</f>
        <v>331440.5278099298</v>
      </c>
      <c r="N447" s="94">
        <f t="shared" ca="1" si="103"/>
        <v>331440.5278099298</v>
      </c>
      <c r="O447" s="121"/>
      <c r="P447" s="76"/>
      <c r="Q447" s="423"/>
      <c r="R447" s="26"/>
      <c r="S447" s="12"/>
      <c r="T447" s="7"/>
      <c r="U447" s="7"/>
    </row>
    <row r="448" spans="1:21" ht="11.25" x14ac:dyDescent="0.2">
      <c r="A448" s="116">
        <f ca="1">IF($H448="UNIDADE CONSTRUTIVA",OFFSET(A448,-1,0)+1,LARGE(A$3:A447,1))</f>
        <v>0</v>
      </c>
      <c r="B448" s="116">
        <f t="shared" ca="1" si="91"/>
        <v>22</v>
      </c>
      <c r="C448" s="116">
        <f t="shared" ca="1" si="92"/>
        <v>1</v>
      </c>
      <c r="D448" s="117">
        <f t="shared" ca="1" si="93"/>
        <v>1</v>
      </c>
      <c r="E448" s="117">
        <f t="shared" ca="1" si="94"/>
        <v>1</v>
      </c>
      <c r="F448" s="438"/>
      <c r="M448" s="133">
        <f ca="1">SUMIFS($N$7:$N$447,$H$7:$H$447,N448)</f>
        <v>16903466.918306414</v>
      </c>
      <c r="N448" s="95" t="s">
        <v>111</v>
      </c>
      <c r="Q448" s="423"/>
    </row>
    <row r="449" spans="1:19" ht="11.25" x14ac:dyDescent="0.2">
      <c r="A449" s="116">
        <f ca="1">IF($H449="UNIDADE CONSTRUTIVA",OFFSET(A449,-1,0)+1,LARGE(A$3:A448,1))</f>
        <v>0</v>
      </c>
      <c r="B449" s="116">
        <f t="shared" ca="1" si="91"/>
        <v>22</v>
      </c>
      <c r="C449" s="116">
        <f t="shared" ca="1" si="92"/>
        <v>1</v>
      </c>
      <c r="D449" s="117">
        <f t="shared" ca="1" si="93"/>
        <v>1</v>
      </c>
      <c r="E449" s="117">
        <f t="shared" ca="1" si="94"/>
        <v>1</v>
      </c>
      <c r="F449" s="438"/>
      <c r="M449" s="133">
        <f ca="1">SUMIFS($N$7:$N$447,$H$7:$H$447,N449)</f>
        <v>16903466.918306418</v>
      </c>
      <c r="N449" s="95" t="s">
        <v>112</v>
      </c>
      <c r="Q449" s="423"/>
    </row>
    <row r="450" spans="1:19" ht="11.25" x14ac:dyDescent="0.2">
      <c r="A450" s="116">
        <f ca="1">IF($H450="UNIDADE CONSTRUTIVA",OFFSET(A450,-1,0)+1,LARGE(A$3:A449,1))</f>
        <v>0</v>
      </c>
      <c r="B450" s="116">
        <f t="shared" ca="1" si="91"/>
        <v>22</v>
      </c>
      <c r="C450" s="116">
        <f t="shared" ca="1" si="92"/>
        <v>1</v>
      </c>
      <c r="D450" s="117">
        <f t="shared" ca="1" si="93"/>
        <v>1</v>
      </c>
      <c r="E450" s="117">
        <f t="shared" ca="1" si="94"/>
        <v>1</v>
      </c>
      <c r="F450" s="438"/>
      <c r="M450" s="133">
        <f ca="1">SUMIFS($N$7:$N$447,$H$7:$H$447,N450)</f>
        <v>16903466.918306421</v>
      </c>
      <c r="N450" s="95" t="s">
        <v>113</v>
      </c>
      <c r="Q450" s="423"/>
    </row>
    <row r="451" spans="1:19" ht="11.25" x14ac:dyDescent="0.2">
      <c r="A451" s="116">
        <f ca="1">IF($H451="UNIDADE CONSTRUTIVA",OFFSET(A451,-1,0)+1,LARGE(A$3:A450,1))</f>
        <v>0</v>
      </c>
      <c r="B451" s="116">
        <f t="shared" ca="1" si="91"/>
        <v>22</v>
      </c>
      <c r="C451" s="116">
        <f t="shared" ca="1" si="92"/>
        <v>1</v>
      </c>
      <c r="D451" s="117">
        <f t="shared" ca="1" si="93"/>
        <v>1</v>
      </c>
      <c r="E451" s="117">
        <f t="shared" ca="1" si="94"/>
        <v>1</v>
      </c>
      <c r="F451" s="438"/>
      <c r="L451" s="195"/>
      <c r="M451" s="133">
        <f ca="1">SUMIFS($N$7:$N$447,$H$7:$H$447,N451)</f>
        <v>16903466.918306418</v>
      </c>
      <c r="N451" s="95" t="s">
        <v>114</v>
      </c>
      <c r="Q451" s="423"/>
    </row>
    <row r="452" spans="1:19" ht="11.25" x14ac:dyDescent="0.2">
      <c r="A452" s="116">
        <f ca="1">IF($H452="UNIDADE CONSTRUTIVA",OFFSET(A452,-1,0)+1,LARGE(A$3:A451,1))</f>
        <v>0</v>
      </c>
      <c r="B452" s="116">
        <f t="shared" ca="1" si="91"/>
        <v>22</v>
      </c>
      <c r="C452" s="116">
        <f t="shared" ca="1" si="92"/>
        <v>1</v>
      </c>
      <c r="D452" s="117">
        <f t="shared" ca="1" si="93"/>
        <v>1</v>
      </c>
      <c r="E452" s="117">
        <f t="shared" ca="1" si="94"/>
        <v>1</v>
      </c>
      <c r="F452" s="438"/>
      <c r="M452" s="133">
        <f ca="1">SUM('EAP Análise'!B3:B27)</f>
        <v>16903466.918306418</v>
      </c>
      <c r="N452" s="95" t="s">
        <v>188</v>
      </c>
      <c r="Q452" s="423"/>
    </row>
    <row r="453" spans="1:19" ht="11.25" x14ac:dyDescent="0.2">
      <c r="A453" s="116">
        <f ca="1">IF($H453="UNIDADE CONSTRUTIVA",OFFSET(A453,-1,0)+1,LARGE(A$3:A452,1))</f>
        <v>0</v>
      </c>
      <c r="B453" s="116">
        <f t="shared" ca="1" si="91"/>
        <v>22</v>
      </c>
      <c r="C453" s="116">
        <f t="shared" ca="1" si="92"/>
        <v>1</v>
      </c>
      <c r="D453" s="117">
        <f t="shared" ca="1" si="93"/>
        <v>1</v>
      </c>
      <c r="E453" s="117">
        <f t="shared" ca="1" si="94"/>
        <v>1</v>
      </c>
      <c r="F453" s="438"/>
      <c r="M453" s="195">
        <f ca="1">M452-N445</f>
        <v>16572026.390496489</v>
      </c>
      <c r="N453" s="134" t="s">
        <v>2550</v>
      </c>
      <c r="Q453" s="423"/>
    </row>
    <row r="454" spans="1:19" ht="14.1" customHeight="1" x14ac:dyDescent="0.2">
      <c r="A454" s="116">
        <f ca="1">IF($H454="UNIDADE CONSTRUTIVA",OFFSET(A454,-1,0)+1,LARGE(A$3:A453,1))</f>
        <v>0</v>
      </c>
      <c r="B454" s="116">
        <f t="shared" ca="1" si="91"/>
        <v>22</v>
      </c>
      <c r="C454" s="116">
        <f t="shared" ca="1" si="92"/>
        <v>1</v>
      </c>
      <c r="D454" s="117">
        <f t="shared" ca="1" si="93"/>
        <v>1</v>
      </c>
      <c r="E454" s="117">
        <f t="shared" ca="1" si="94"/>
        <v>1</v>
      </c>
      <c r="F454" s="438"/>
      <c r="Q454" s="423"/>
    </row>
    <row r="455" spans="1:19" ht="14.1" customHeight="1" x14ac:dyDescent="0.2">
      <c r="A455" s="116">
        <f ca="1">IF($H455="UNIDADE CONSTRUTIVA",OFFSET(A455,-1,0)+1,LARGE(A$3:A454,1))</f>
        <v>0</v>
      </c>
      <c r="B455" s="116">
        <f t="shared" ca="1" si="91"/>
        <v>22</v>
      </c>
      <c r="C455" s="116">
        <f t="shared" ca="1" si="92"/>
        <v>1</v>
      </c>
      <c r="D455" s="117">
        <f t="shared" ca="1" si="93"/>
        <v>1</v>
      </c>
      <c r="E455" s="117">
        <f t="shared" ca="1" si="94"/>
        <v>1</v>
      </c>
      <c r="F455" s="438"/>
      <c r="M455" s="195"/>
      <c r="Q455" s="423"/>
    </row>
    <row r="456" spans="1:19" ht="14.1" customHeight="1" x14ac:dyDescent="0.2">
      <c r="A456" s="116">
        <f ca="1">IF($H456="UNIDADE CONSTRUTIVA",OFFSET(A456,-1,0)+1,LARGE(A$3:A455,1))</f>
        <v>0</v>
      </c>
      <c r="B456" s="116">
        <f t="shared" ca="1" si="91"/>
        <v>22</v>
      </c>
      <c r="C456" s="116">
        <f t="shared" ca="1" si="92"/>
        <v>1</v>
      </c>
      <c r="D456" s="117">
        <f t="shared" ca="1" si="93"/>
        <v>1</v>
      </c>
      <c r="E456" s="117">
        <f t="shared" ca="1" si="94"/>
        <v>1</v>
      </c>
      <c r="F456" s="438"/>
      <c r="G456" s="7"/>
      <c r="H456" s="7"/>
      <c r="I456" s="7"/>
      <c r="K456" s="7"/>
      <c r="L456" s="7"/>
      <c r="M456" s="7"/>
      <c r="N456" s="7"/>
      <c r="O456" s="7"/>
      <c r="P456" s="7"/>
      <c r="Q456" s="423"/>
      <c r="R456" s="7"/>
      <c r="S456" s="7"/>
    </row>
    <row r="457" spans="1:19" ht="14.1" customHeight="1" x14ac:dyDescent="0.2">
      <c r="A457" s="116">
        <f ca="1">IF($H457="UNIDADE CONSTRUTIVA",OFFSET(A457,-1,0)+1,LARGE(A$3:A456,1))</f>
        <v>0</v>
      </c>
      <c r="B457" s="116">
        <f t="shared" ref="B457:B520" ca="1" si="104">IF(H457="UNIDADE CONSTRUTIVA",0,IF(H457="CÉLULA CONSTRUTIVA",OFFSET(B457,-1,0)+1,OFFSET(B457,-1,0)))</f>
        <v>22</v>
      </c>
      <c r="C457" s="116">
        <f t="shared" ref="C457:C520" ca="1" si="105">IF(H457="CÉLULA CONSTRUTIVA",0,IF(H457="ETAPA",OFFSET(C457,-1,0)+1,OFFSET(C457,-1,0)))</f>
        <v>1</v>
      </c>
      <c r="D457" s="117">
        <f t="shared" ref="D457:D520" ca="1" si="106">IF(H457="ETAPA",0,IF(H457="SUBETAPA",OFFSET(D457,-1,0)+1,OFFSET(D457,-1,0)))</f>
        <v>1</v>
      </c>
      <c r="E457" s="117">
        <f t="shared" ref="E457:E520" ca="1" si="107">IF(H457="Subetapa",0,IF(H457="serviço",OFFSET(E457,-1,0)+1,OFFSET(E457,-1,0)))</f>
        <v>1</v>
      </c>
      <c r="F457" s="438"/>
      <c r="G457" s="7"/>
      <c r="H457" s="7"/>
      <c r="I457" s="7"/>
      <c r="K457" s="7"/>
      <c r="L457" s="7"/>
      <c r="M457" s="7"/>
      <c r="N457" s="7"/>
      <c r="O457" s="7"/>
      <c r="P457" s="7"/>
      <c r="Q457" s="423"/>
      <c r="R457" s="7"/>
      <c r="S457" s="7"/>
    </row>
    <row r="458" spans="1:19" ht="14.1" customHeight="1" x14ac:dyDescent="0.2">
      <c r="A458" s="116">
        <f ca="1">IF($H458="UNIDADE CONSTRUTIVA",OFFSET(A458,-1,0)+1,LARGE(A$3:A457,1))</f>
        <v>0</v>
      </c>
      <c r="B458" s="116">
        <f t="shared" ca="1" si="104"/>
        <v>22</v>
      </c>
      <c r="C458" s="116">
        <f t="shared" ca="1" si="105"/>
        <v>1</v>
      </c>
      <c r="D458" s="117">
        <f t="shared" ca="1" si="106"/>
        <v>1</v>
      </c>
      <c r="E458" s="117">
        <f t="shared" ca="1" si="107"/>
        <v>1</v>
      </c>
      <c r="F458" s="438"/>
      <c r="G458" s="7"/>
      <c r="H458" s="7"/>
      <c r="I458" s="7"/>
      <c r="K458" s="7"/>
      <c r="L458" s="7"/>
      <c r="M458" s="7"/>
      <c r="N458" s="7"/>
      <c r="O458" s="7"/>
      <c r="P458" s="7"/>
      <c r="Q458" s="423"/>
      <c r="R458" s="7"/>
      <c r="S458" s="7"/>
    </row>
    <row r="459" spans="1:19" ht="14.1" customHeight="1" x14ac:dyDescent="0.2">
      <c r="A459" s="116">
        <f ca="1">IF($H459="UNIDADE CONSTRUTIVA",OFFSET(A459,-1,0)+1,LARGE(A$3:A458,1))</f>
        <v>0</v>
      </c>
      <c r="B459" s="116">
        <f t="shared" ca="1" si="104"/>
        <v>22</v>
      </c>
      <c r="C459" s="116">
        <f t="shared" ca="1" si="105"/>
        <v>1</v>
      </c>
      <c r="D459" s="117">
        <f t="shared" ca="1" si="106"/>
        <v>1</v>
      </c>
      <c r="E459" s="117">
        <f t="shared" ca="1" si="107"/>
        <v>1</v>
      </c>
      <c r="F459" s="438"/>
      <c r="G459" s="7"/>
      <c r="H459" s="7"/>
      <c r="I459" s="7"/>
      <c r="K459" s="7"/>
      <c r="L459" s="7"/>
      <c r="M459" s="7"/>
      <c r="N459" s="7"/>
      <c r="O459" s="7"/>
      <c r="P459" s="7"/>
      <c r="R459" s="7"/>
      <c r="S459" s="7"/>
    </row>
    <row r="460" spans="1:19" ht="14.1" customHeight="1" x14ac:dyDescent="0.2">
      <c r="A460" s="116">
        <f ca="1">IF($H460="UNIDADE CONSTRUTIVA",OFFSET(A460,-1,0)+1,LARGE(A$3:A459,1))</f>
        <v>0</v>
      </c>
      <c r="B460" s="116">
        <f t="shared" ca="1" si="104"/>
        <v>22</v>
      </c>
      <c r="C460" s="116">
        <f t="shared" ca="1" si="105"/>
        <v>1</v>
      </c>
      <c r="D460" s="117">
        <f t="shared" ca="1" si="106"/>
        <v>1</v>
      </c>
      <c r="E460" s="117">
        <f t="shared" ca="1" si="107"/>
        <v>1</v>
      </c>
      <c r="F460" s="438"/>
      <c r="G460" s="7"/>
      <c r="H460" s="7"/>
      <c r="I460" s="7"/>
      <c r="K460" s="7"/>
      <c r="L460" s="7"/>
      <c r="M460" s="7"/>
      <c r="N460" s="7"/>
      <c r="O460" s="7"/>
      <c r="P460" s="7"/>
      <c r="R460" s="7"/>
      <c r="S460" s="7"/>
    </row>
    <row r="461" spans="1:19" ht="14.1" customHeight="1" x14ac:dyDescent="0.2">
      <c r="A461" s="116">
        <f ca="1">IF($H461="UNIDADE CONSTRUTIVA",OFFSET(A461,-1,0)+1,LARGE(A$3:A460,1))</f>
        <v>0</v>
      </c>
      <c r="B461" s="116">
        <f t="shared" ca="1" si="104"/>
        <v>22</v>
      </c>
      <c r="C461" s="116">
        <f t="shared" ca="1" si="105"/>
        <v>1</v>
      </c>
      <c r="D461" s="117">
        <f t="shared" ca="1" si="106"/>
        <v>1</v>
      </c>
      <c r="E461" s="117">
        <f t="shared" ca="1" si="107"/>
        <v>1</v>
      </c>
      <c r="F461" s="438"/>
      <c r="G461" s="7"/>
      <c r="H461" s="7"/>
      <c r="I461" s="7"/>
      <c r="K461" s="7"/>
      <c r="L461" s="7"/>
      <c r="M461" s="7"/>
      <c r="N461" s="7"/>
      <c r="O461" s="7"/>
      <c r="P461" s="7"/>
      <c r="R461" s="7"/>
      <c r="S461" s="7"/>
    </row>
    <row r="462" spans="1:19" ht="14.1" customHeight="1" x14ac:dyDescent="0.2">
      <c r="A462" s="116">
        <f ca="1">IF($H462="UNIDADE CONSTRUTIVA",OFFSET(A462,-1,0)+1,LARGE(A$3:A461,1))</f>
        <v>0</v>
      </c>
      <c r="B462" s="116">
        <f t="shared" ca="1" si="104"/>
        <v>22</v>
      </c>
      <c r="C462" s="116">
        <f t="shared" ca="1" si="105"/>
        <v>1</v>
      </c>
      <c r="D462" s="117">
        <f t="shared" ca="1" si="106"/>
        <v>1</v>
      </c>
      <c r="E462" s="117">
        <f t="shared" ca="1" si="107"/>
        <v>1</v>
      </c>
      <c r="F462" s="438"/>
      <c r="G462" s="7"/>
      <c r="H462" s="7"/>
      <c r="I462" s="7"/>
      <c r="K462" s="7"/>
      <c r="L462" s="7"/>
      <c r="M462" s="7"/>
      <c r="N462" s="7"/>
      <c r="O462" s="7"/>
      <c r="P462" s="7"/>
      <c r="R462" s="7"/>
      <c r="S462" s="7"/>
    </row>
    <row r="463" spans="1:19" ht="14.1" customHeight="1" x14ac:dyDescent="0.2">
      <c r="A463" s="116">
        <f ca="1">IF($H463="UNIDADE CONSTRUTIVA",OFFSET(A463,-1,0)+1,LARGE(A$3:A462,1))</f>
        <v>0</v>
      </c>
      <c r="B463" s="116">
        <f t="shared" ca="1" si="104"/>
        <v>22</v>
      </c>
      <c r="C463" s="116">
        <f t="shared" ca="1" si="105"/>
        <v>1</v>
      </c>
      <c r="D463" s="117">
        <f t="shared" ca="1" si="106"/>
        <v>1</v>
      </c>
      <c r="E463" s="117">
        <f t="shared" ca="1" si="107"/>
        <v>1</v>
      </c>
      <c r="F463" s="438"/>
      <c r="G463" s="7"/>
      <c r="H463" s="7"/>
      <c r="I463" s="7"/>
      <c r="K463" s="7"/>
      <c r="L463" s="7"/>
      <c r="M463" s="7"/>
      <c r="N463" s="7"/>
      <c r="O463" s="7"/>
      <c r="P463" s="7"/>
      <c r="R463" s="7"/>
      <c r="S463" s="7"/>
    </row>
    <row r="464" spans="1:19" ht="14.1" customHeight="1" x14ac:dyDescent="0.2">
      <c r="A464" s="116">
        <f ca="1">IF($H464="UNIDADE CONSTRUTIVA",OFFSET(A464,-1,0)+1,LARGE(A$3:A463,1))</f>
        <v>0</v>
      </c>
      <c r="B464" s="116">
        <f t="shared" ca="1" si="104"/>
        <v>22</v>
      </c>
      <c r="C464" s="116">
        <f t="shared" ca="1" si="105"/>
        <v>1</v>
      </c>
      <c r="D464" s="117">
        <f t="shared" ca="1" si="106"/>
        <v>1</v>
      </c>
      <c r="E464" s="117">
        <f t="shared" ca="1" si="107"/>
        <v>1</v>
      </c>
      <c r="F464" s="438"/>
      <c r="G464" s="7"/>
      <c r="H464" s="7"/>
      <c r="I464" s="7"/>
      <c r="K464" s="7"/>
      <c r="L464" s="7"/>
      <c r="M464" s="7"/>
      <c r="N464" s="7"/>
      <c r="O464" s="7"/>
      <c r="P464" s="7"/>
      <c r="R464" s="7"/>
      <c r="S464" s="7"/>
    </row>
    <row r="465" spans="1:19" ht="14.1" customHeight="1" x14ac:dyDescent="0.2">
      <c r="A465" s="116">
        <f ca="1">IF($H465="UNIDADE CONSTRUTIVA",OFFSET(A465,-1,0)+1,LARGE(A$3:A464,1))</f>
        <v>0</v>
      </c>
      <c r="B465" s="116">
        <f t="shared" ca="1" si="104"/>
        <v>22</v>
      </c>
      <c r="C465" s="116">
        <f t="shared" ca="1" si="105"/>
        <v>1</v>
      </c>
      <c r="D465" s="117">
        <f t="shared" ca="1" si="106"/>
        <v>1</v>
      </c>
      <c r="E465" s="117">
        <f t="shared" ca="1" si="107"/>
        <v>1</v>
      </c>
      <c r="F465" s="438"/>
      <c r="G465" s="7"/>
      <c r="H465" s="7"/>
      <c r="I465" s="7"/>
      <c r="K465" s="7"/>
      <c r="L465" s="7"/>
      <c r="M465" s="7"/>
      <c r="N465" s="7"/>
      <c r="O465" s="7"/>
      <c r="P465" s="7"/>
      <c r="R465" s="7"/>
      <c r="S465" s="7"/>
    </row>
    <row r="466" spans="1:19" ht="14.1" customHeight="1" x14ac:dyDescent="0.2">
      <c r="A466" s="116">
        <f ca="1">IF($H466="UNIDADE CONSTRUTIVA",OFFSET(A466,-1,0)+1,LARGE(A$3:A465,1))</f>
        <v>0</v>
      </c>
      <c r="B466" s="116">
        <f t="shared" ca="1" si="104"/>
        <v>22</v>
      </c>
      <c r="C466" s="116">
        <f t="shared" ca="1" si="105"/>
        <v>1</v>
      </c>
      <c r="D466" s="117">
        <f t="shared" ca="1" si="106"/>
        <v>1</v>
      </c>
      <c r="E466" s="117">
        <f t="shared" ca="1" si="107"/>
        <v>1</v>
      </c>
      <c r="F466" s="438"/>
      <c r="G466" s="7"/>
      <c r="H466" s="7"/>
      <c r="I466" s="7"/>
      <c r="K466" s="7"/>
      <c r="L466" s="7"/>
      <c r="M466" s="7"/>
      <c r="N466" s="7"/>
      <c r="O466" s="7"/>
      <c r="P466" s="7"/>
      <c r="R466" s="7"/>
      <c r="S466" s="7"/>
    </row>
    <row r="467" spans="1:19" ht="14.1" customHeight="1" x14ac:dyDescent="0.2">
      <c r="A467" s="116">
        <f ca="1">IF($H467="UNIDADE CONSTRUTIVA",OFFSET(A467,-1,0)+1,LARGE(A$3:A466,1))</f>
        <v>0</v>
      </c>
      <c r="B467" s="116">
        <f t="shared" ca="1" si="104"/>
        <v>22</v>
      </c>
      <c r="C467" s="116">
        <f t="shared" ca="1" si="105"/>
        <v>1</v>
      </c>
      <c r="D467" s="117">
        <f t="shared" ca="1" si="106"/>
        <v>1</v>
      </c>
      <c r="E467" s="117">
        <f t="shared" ca="1" si="107"/>
        <v>1</v>
      </c>
      <c r="F467" s="438"/>
      <c r="G467" s="7"/>
      <c r="H467" s="7"/>
      <c r="I467" s="7"/>
      <c r="K467" s="7"/>
      <c r="L467" s="7"/>
      <c r="M467" s="7"/>
      <c r="N467" s="7"/>
      <c r="O467" s="7"/>
      <c r="P467" s="7"/>
      <c r="R467" s="7"/>
      <c r="S467" s="7"/>
    </row>
    <row r="468" spans="1:19" ht="14.1" customHeight="1" x14ac:dyDescent="0.2">
      <c r="A468" s="116">
        <f ca="1">IF($H468="UNIDADE CONSTRUTIVA",OFFSET(A468,-1,0)+1,LARGE(A$3:A467,1))</f>
        <v>0</v>
      </c>
      <c r="B468" s="116">
        <f t="shared" ca="1" si="104"/>
        <v>22</v>
      </c>
      <c r="C468" s="116">
        <f t="shared" ca="1" si="105"/>
        <v>1</v>
      </c>
      <c r="D468" s="117">
        <f t="shared" ca="1" si="106"/>
        <v>1</v>
      </c>
      <c r="E468" s="117">
        <f t="shared" ca="1" si="107"/>
        <v>1</v>
      </c>
      <c r="F468" s="438"/>
      <c r="G468" s="7"/>
      <c r="H468" s="7"/>
      <c r="I468" s="7"/>
      <c r="K468" s="7"/>
      <c r="L468" s="7"/>
      <c r="M468" s="7"/>
      <c r="N468" s="7"/>
      <c r="O468" s="7"/>
      <c r="P468" s="7"/>
      <c r="R468" s="7"/>
      <c r="S468" s="7"/>
    </row>
    <row r="469" spans="1:19" ht="14.1" customHeight="1" x14ac:dyDescent="0.2">
      <c r="A469" s="116">
        <f ca="1">IF($H469="UNIDADE CONSTRUTIVA",OFFSET(A469,-1,0)+1,LARGE(A$3:A468,1))</f>
        <v>0</v>
      </c>
      <c r="B469" s="116">
        <f t="shared" ca="1" si="104"/>
        <v>22</v>
      </c>
      <c r="C469" s="116">
        <f t="shared" ca="1" si="105"/>
        <v>1</v>
      </c>
      <c r="D469" s="117">
        <f t="shared" ca="1" si="106"/>
        <v>1</v>
      </c>
      <c r="E469" s="117">
        <f t="shared" ca="1" si="107"/>
        <v>1</v>
      </c>
      <c r="F469" s="438"/>
      <c r="G469" s="7"/>
      <c r="H469" s="7"/>
      <c r="I469" s="7"/>
      <c r="K469" s="7"/>
      <c r="L469" s="7"/>
      <c r="M469" s="7"/>
      <c r="N469" s="7"/>
      <c r="O469" s="7"/>
      <c r="P469" s="7"/>
      <c r="R469" s="7"/>
      <c r="S469" s="7"/>
    </row>
    <row r="470" spans="1:19" ht="14.1" customHeight="1" x14ac:dyDescent="0.2">
      <c r="A470" s="116">
        <f ca="1">IF($H470="UNIDADE CONSTRUTIVA",OFFSET(A470,-1,0)+1,LARGE(A$3:A469,1))</f>
        <v>0</v>
      </c>
      <c r="B470" s="116">
        <f t="shared" ca="1" si="104"/>
        <v>22</v>
      </c>
      <c r="C470" s="116">
        <f t="shared" ca="1" si="105"/>
        <v>1</v>
      </c>
      <c r="D470" s="117">
        <f t="shared" ca="1" si="106"/>
        <v>1</v>
      </c>
      <c r="E470" s="117">
        <f t="shared" ca="1" si="107"/>
        <v>1</v>
      </c>
      <c r="F470" s="438"/>
      <c r="G470" s="7"/>
      <c r="H470" s="7"/>
      <c r="I470" s="7"/>
      <c r="K470" s="7"/>
      <c r="L470" s="7"/>
      <c r="M470" s="7"/>
      <c r="N470" s="7"/>
      <c r="O470" s="7"/>
      <c r="P470" s="7"/>
      <c r="R470" s="7"/>
      <c r="S470" s="7"/>
    </row>
    <row r="471" spans="1:19" ht="14.1" customHeight="1" x14ac:dyDescent="0.2">
      <c r="A471" s="116">
        <f ca="1">IF($H471="UNIDADE CONSTRUTIVA",OFFSET(A471,-1,0)+1,LARGE(A$3:A470,1))</f>
        <v>0</v>
      </c>
      <c r="B471" s="116">
        <f t="shared" ca="1" si="104"/>
        <v>22</v>
      </c>
      <c r="C471" s="116">
        <f t="shared" ca="1" si="105"/>
        <v>1</v>
      </c>
      <c r="D471" s="117">
        <f t="shared" ca="1" si="106"/>
        <v>1</v>
      </c>
      <c r="E471" s="117">
        <f t="shared" ca="1" si="107"/>
        <v>1</v>
      </c>
      <c r="F471" s="438"/>
      <c r="G471" s="7"/>
      <c r="H471" s="7"/>
      <c r="I471" s="7"/>
      <c r="K471" s="7"/>
      <c r="L471" s="7"/>
      <c r="M471" s="7"/>
      <c r="N471" s="7"/>
      <c r="O471" s="7"/>
      <c r="P471" s="7"/>
      <c r="R471" s="7"/>
      <c r="S471" s="7"/>
    </row>
    <row r="472" spans="1:19" ht="14.1" customHeight="1" x14ac:dyDescent="0.2">
      <c r="A472" s="116">
        <f ca="1">IF($H472="UNIDADE CONSTRUTIVA",OFFSET(A472,-1,0)+1,LARGE(A$3:A471,1))</f>
        <v>0</v>
      </c>
      <c r="B472" s="116">
        <f t="shared" ca="1" si="104"/>
        <v>22</v>
      </c>
      <c r="C472" s="116">
        <f t="shared" ca="1" si="105"/>
        <v>1</v>
      </c>
      <c r="D472" s="117">
        <f t="shared" ca="1" si="106"/>
        <v>1</v>
      </c>
      <c r="E472" s="117">
        <f t="shared" ca="1" si="107"/>
        <v>1</v>
      </c>
      <c r="F472" s="438"/>
      <c r="G472" s="7"/>
      <c r="H472" s="7"/>
      <c r="I472" s="7"/>
      <c r="K472" s="7"/>
      <c r="L472" s="7"/>
      <c r="M472" s="7"/>
      <c r="N472" s="7"/>
      <c r="O472" s="7"/>
      <c r="P472" s="7"/>
      <c r="R472" s="7"/>
      <c r="S472" s="7"/>
    </row>
    <row r="473" spans="1:19" ht="14.1" customHeight="1" x14ac:dyDescent="0.2">
      <c r="A473" s="116">
        <f ca="1">IF($H473="UNIDADE CONSTRUTIVA",OFFSET(A473,-1,0)+1,LARGE(A$3:A472,1))</f>
        <v>0</v>
      </c>
      <c r="B473" s="116">
        <f t="shared" ca="1" si="104"/>
        <v>22</v>
      </c>
      <c r="C473" s="116">
        <f t="shared" ca="1" si="105"/>
        <v>1</v>
      </c>
      <c r="D473" s="117">
        <f t="shared" ca="1" si="106"/>
        <v>1</v>
      </c>
      <c r="E473" s="117">
        <f t="shared" ca="1" si="107"/>
        <v>1</v>
      </c>
      <c r="F473" s="438"/>
      <c r="G473" s="7"/>
      <c r="H473" s="7"/>
      <c r="I473" s="7"/>
      <c r="K473" s="7"/>
      <c r="L473" s="7"/>
      <c r="M473" s="7"/>
      <c r="N473" s="7"/>
      <c r="O473" s="7"/>
      <c r="P473" s="7"/>
      <c r="R473" s="7"/>
      <c r="S473" s="7"/>
    </row>
    <row r="474" spans="1:19" ht="14.1" customHeight="1" x14ac:dyDescent="0.2">
      <c r="A474" s="116">
        <f ca="1">IF($H474="UNIDADE CONSTRUTIVA",OFFSET(A474,-1,0)+1,LARGE(A$3:A473,1))</f>
        <v>0</v>
      </c>
      <c r="B474" s="116">
        <f t="shared" ca="1" si="104"/>
        <v>22</v>
      </c>
      <c r="C474" s="116">
        <f t="shared" ca="1" si="105"/>
        <v>1</v>
      </c>
      <c r="D474" s="117">
        <f t="shared" ca="1" si="106"/>
        <v>1</v>
      </c>
      <c r="E474" s="117">
        <f t="shared" ca="1" si="107"/>
        <v>1</v>
      </c>
      <c r="F474" s="438"/>
      <c r="G474" s="7"/>
      <c r="H474" s="7"/>
      <c r="I474" s="7"/>
      <c r="K474" s="7"/>
      <c r="L474" s="7"/>
      <c r="M474" s="7"/>
      <c r="N474" s="7"/>
      <c r="O474" s="7"/>
      <c r="P474" s="7"/>
      <c r="R474" s="7"/>
      <c r="S474" s="7"/>
    </row>
    <row r="475" spans="1:19" ht="14.1" customHeight="1" x14ac:dyDescent="0.2">
      <c r="A475" s="116">
        <f ca="1">IF($H475="UNIDADE CONSTRUTIVA",OFFSET(A475,-1,0)+1,LARGE(A$3:A474,1))</f>
        <v>0</v>
      </c>
      <c r="B475" s="116">
        <f t="shared" ca="1" si="104"/>
        <v>22</v>
      </c>
      <c r="C475" s="116">
        <f t="shared" ca="1" si="105"/>
        <v>1</v>
      </c>
      <c r="D475" s="117">
        <f t="shared" ca="1" si="106"/>
        <v>1</v>
      </c>
      <c r="E475" s="117">
        <f t="shared" ca="1" si="107"/>
        <v>1</v>
      </c>
      <c r="F475" s="438"/>
      <c r="G475" s="7"/>
      <c r="H475" s="7"/>
      <c r="I475" s="7"/>
      <c r="K475" s="7"/>
      <c r="L475" s="7"/>
      <c r="M475" s="7"/>
      <c r="N475" s="7"/>
      <c r="O475" s="7"/>
      <c r="P475" s="7"/>
      <c r="R475" s="7"/>
      <c r="S475" s="7"/>
    </row>
    <row r="476" spans="1:19" ht="14.1" customHeight="1" x14ac:dyDescent="0.2">
      <c r="A476" s="116">
        <f ca="1">IF($H476="UNIDADE CONSTRUTIVA",OFFSET(A476,-1,0)+1,LARGE(A$3:A475,1))</f>
        <v>0</v>
      </c>
      <c r="B476" s="116">
        <f t="shared" ca="1" si="104"/>
        <v>22</v>
      </c>
      <c r="C476" s="116">
        <f t="shared" ca="1" si="105"/>
        <v>1</v>
      </c>
      <c r="D476" s="117">
        <f t="shared" ca="1" si="106"/>
        <v>1</v>
      </c>
      <c r="E476" s="117">
        <f t="shared" ca="1" si="107"/>
        <v>1</v>
      </c>
      <c r="F476" s="438"/>
      <c r="G476" s="7"/>
      <c r="H476" s="7"/>
      <c r="I476" s="7"/>
      <c r="K476" s="7"/>
      <c r="L476" s="7"/>
      <c r="M476" s="7"/>
      <c r="N476" s="7"/>
      <c r="O476" s="7"/>
      <c r="P476" s="7"/>
      <c r="R476" s="7"/>
      <c r="S476" s="7"/>
    </row>
    <row r="477" spans="1:19" ht="14.1" customHeight="1" x14ac:dyDescent="0.2">
      <c r="A477" s="116">
        <f ca="1">IF($H477="UNIDADE CONSTRUTIVA",OFFSET(A477,-1,0)+1,LARGE(A$3:A476,1))</f>
        <v>0</v>
      </c>
      <c r="B477" s="116">
        <f t="shared" ca="1" si="104"/>
        <v>22</v>
      </c>
      <c r="C477" s="116">
        <f t="shared" ca="1" si="105"/>
        <v>1</v>
      </c>
      <c r="D477" s="117">
        <f t="shared" ca="1" si="106"/>
        <v>1</v>
      </c>
      <c r="E477" s="117">
        <f t="shared" ca="1" si="107"/>
        <v>1</v>
      </c>
      <c r="F477" s="438"/>
      <c r="G477" s="7"/>
      <c r="H477" s="7"/>
      <c r="I477" s="7"/>
      <c r="K477" s="7"/>
      <c r="L477" s="7"/>
      <c r="M477" s="7"/>
      <c r="N477" s="7"/>
      <c r="O477" s="7"/>
      <c r="P477" s="7"/>
      <c r="R477" s="7"/>
      <c r="S477" s="7"/>
    </row>
    <row r="478" spans="1:19" ht="14.1" customHeight="1" x14ac:dyDescent="0.2">
      <c r="A478" s="116">
        <f ca="1">IF($H478="UNIDADE CONSTRUTIVA",OFFSET(A478,-1,0)+1,LARGE(A$3:A477,1))</f>
        <v>0</v>
      </c>
      <c r="B478" s="116">
        <f t="shared" ca="1" si="104"/>
        <v>22</v>
      </c>
      <c r="C478" s="116">
        <f t="shared" ca="1" si="105"/>
        <v>1</v>
      </c>
      <c r="D478" s="117">
        <f t="shared" ca="1" si="106"/>
        <v>1</v>
      </c>
      <c r="E478" s="117">
        <f t="shared" ca="1" si="107"/>
        <v>1</v>
      </c>
      <c r="F478" s="438"/>
      <c r="G478" s="7"/>
      <c r="H478" s="7"/>
      <c r="I478" s="7"/>
      <c r="K478" s="7"/>
      <c r="L478" s="7"/>
      <c r="M478" s="7"/>
      <c r="N478" s="7"/>
      <c r="O478" s="7"/>
      <c r="P478" s="7"/>
      <c r="R478" s="7"/>
      <c r="S478" s="7"/>
    </row>
    <row r="479" spans="1:19" ht="14.1" customHeight="1" x14ac:dyDescent="0.2">
      <c r="A479" s="116">
        <f ca="1">IF($H479="UNIDADE CONSTRUTIVA",OFFSET(A479,-1,0)+1,LARGE(A$3:A478,1))</f>
        <v>0</v>
      </c>
      <c r="B479" s="116">
        <f t="shared" ca="1" si="104"/>
        <v>22</v>
      </c>
      <c r="C479" s="116">
        <f t="shared" ca="1" si="105"/>
        <v>1</v>
      </c>
      <c r="D479" s="117">
        <f t="shared" ca="1" si="106"/>
        <v>1</v>
      </c>
      <c r="E479" s="117">
        <f t="shared" ca="1" si="107"/>
        <v>1</v>
      </c>
      <c r="F479" s="438"/>
      <c r="G479" s="7"/>
      <c r="H479" s="7"/>
      <c r="I479" s="7"/>
      <c r="K479" s="7"/>
      <c r="L479" s="7"/>
      <c r="M479" s="7"/>
      <c r="N479" s="7"/>
      <c r="O479" s="7"/>
      <c r="P479" s="7"/>
      <c r="R479" s="7"/>
      <c r="S479" s="7"/>
    </row>
    <row r="480" spans="1:19" ht="14.1" customHeight="1" x14ac:dyDescent="0.2">
      <c r="A480" s="116">
        <f ca="1">IF($H480="UNIDADE CONSTRUTIVA",OFFSET(A480,-1,0)+1,LARGE(A$3:A479,1))</f>
        <v>0</v>
      </c>
      <c r="B480" s="116">
        <f t="shared" ca="1" si="104"/>
        <v>22</v>
      </c>
      <c r="C480" s="116">
        <f t="shared" ca="1" si="105"/>
        <v>1</v>
      </c>
      <c r="D480" s="117">
        <f t="shared" ca="1" si="106"/>
        <v>1</v>
      </c>
      <c r="E480" s="117">
        <f t="shared" ca="1" si="107"/>
        <v>1</v>
      </c>
      <c r="F480" s="438"/>
      <c r="G480" s="7"/>
      <c r="H480" s="7"/>
      <c r="I480" s="7"/>
      <c r="K480" s="7"/>
      <c r="L480" s="7"/>
      <c r="M480" s="7"/>
      <c r="N480" s="7"/>
      <c r="O480" s="7"/>
      <c r="P480" s="7"/>
      <c r="R480" s="7"/>
      <c r="S480" s="7"/>
    </row>
    <row r="481" spans="1:19" ht="14.1" customHeight="1" x14ac:dyDescent="0.2">
      <c r="A481" s="116">
        <f ca="1">IF($H481="UNIDADE CONSTRUTIVA",OFFSET(A481,-1,0)+1,LARGE(A$3:A480,1))</f>
        <v>0</v>
      </c>
      <c r="B481" s="116">
        <f t="shared" ca="1" si="104"/>
        <v>22</v>
      </c>
      <c r="C481" s="116">
        <f t="shared" ca="1" si="105"/>
        <v>1</v>
      </c>
      <c r="D481" s="117">
        <f t="shared" ca="1" si="106"/>
        <v>1</v>
      </c>
      <c r="E481" s="117">
        <f t="shared" ca="1" si="107"/>
        <v>1</v>
      </c>
      <c r="F481" s="438"/>
      <c r="G481" s="7"/>
      <c r="H481" s="7"/>
      <c r="I481" s="7"/>
      <c r="K481" s="7"/>
      <c r="L481" s="7"/>
      <c r="M481" s="7"/>
      <c r="N481" s="7"/>
      <c r="O481" s="7"/>
      <c r="P481" s="7"/>
      <c r="R481" s="7"/>
      <c r="S481" s="7"/>
    </row>
    <row r="482" spans="1:19" ht="14.1" customHeight="1" x14ac:dyDescent="0.2">
      <c r="A482" s="116">
        <f ca="1">IF($H482="UNIDADE CONSTRUTIVA",OFFSET(A482,-1,0)+1,LARGE(A$3:A481,1))</f>
        <v>0</v>
      </c>
      <c r="B482" s="116">
        <f t="shared" ca="1" si="104"/>
        <v>22</v>
      </c>
      <c r="C482" s="116">
        <f t="shared" ca="1" si="105"/>
        <v>1</v>
      </c>
      <c r="D482" s="117">
        <f t="shared" ca="1" si="106"/>
        <v>1</v>
      </c>
      <c r="E482" s="117">
        <f t="shared" ca="1" si="107"/>
        <v>1</v>
      </c>
      <c r="F482" s="438"/>
      <c r="G482" s="7"/>
      <c r="H482" s="7"/>
      <c r="I482" s="7"/>
      <c r="K482" s="7"/>
      <c r="L482" s="7"/>
      <c r="M482" s="7"/>
      <c r="N482" s="7"/>
      <c r="O482" s="7"/>
      <c r="P482" s="7"/>
      <c r="R482" s="7"/>
      <c r="S482" s="7"/>
    </row>
    <row r="483" spans="1:19" ht="14.1" customHeight="1" x14ac:dyDescent="0.2">
      <c r="A483" s="116">
        <f ca="1">IF($H483="UNIDADE CONSTRUTIVA",OFFSET(A483,-1,0)+1,LARGE(A$3:A482,1))</f>
        <v>0</v>
      </c>
      <c r="B483" s="116">
        <f t="shared" ca="1" si="104"/>
        <v>22</v>
      </c>
      <c r="C483" s="116">
        <f t="shared" ca="1" si="105"/>
        <v>1</v>
      </c>
      <c r="D483" s="117">
        <f t="shared" ca="1" si="106"/>
        <v>1</v>
      </c>
      <c r="E483" s="117">
        <f t="shared" ca="1" si="107"/>
        <v>1</v>
      </c>
      <c r="F483" s="438"/>
      <c r="G483" s="7"/>
      <c r="H483" s="7"/>
      <c r="I483" s="7"/>
      <c r="K483" s="7"/>
      <c r="L483" s="7"/>
      <c r="M483" s="7"/>
      <c r="N483" s="7"/>
      <c r="O483" s="7"/>
      <c r="P483" s="7"/>
      <c r="R483" s="7"/>
      <c r="S483" s="7"/>
    </row>
    <row r="484" spans="1:19" ht="14.1" customHeight="1" x14ac:dyDescent="0.2">
      <c r="A484" s="116">
        <f ca="1">IF($H484="UNIDADE CONSTRUTIVA",OFFSET(A484,-1,0)+1,LARGE(A$3:A483,1))</f>
        <v>0</v>
      </c>
      <c r="B484" s="116">
        <f t="shared" ca="1" si="104"/>
        <v>22</v>
      </c>
      <c r="C484" s="116">
        <f t="shared" ca="1" si="105"/>
        <v>1</v>
      </c>
      <c r="D484" s="117">
        <f t="shared" ca="1" si="106"/>
        <v>1</v>
      </c>
      <c r="E484" s="117">
        <f t="shared" ca="1" si="107"/>
        <v>1</v>
      </c>
      <c r="F484" s="438"/>
      <c r="G484" s="7"/>
      <c r="H484" s="7"/>
      <c r="I484" s="7"/>
      <c r="K484" s="7"/>
      <c r="L484" s="7"/>
      <c r="M484" s="7"/>
      <c r="N484" s="7"/>
      <c r="O484" s="7"/>
      <c r="P484" s="7"/>
      <c r="R484" s="7"/>
      <c r="S484" s="7"/>
    </row>
    <row r="485" spans="1:19" ht="14.1" customHeight="1" x14ac:dyDescent="0.2">
      <c r="A485" s="116">
        <f ca="1">IF($H485="UNIDADE CONSTRUTIVA",OFFSET(A485,-1,0)+1,LARGE(A$3:A484,1))</f>
        <v>0</v>
      </c>
      <c r="B485" s="116">
        <f t="shared" ca="1" si="104"/>
        <v>22</v>
      </c>
      <c r="C485" s="116">
        <f t="shared" ca="1" si="105"/>
        <v>1</v>
      </c>
      <c r="D485" s="117">
        <f t="shared" ca="1" si="106"/>
        <v>1</v>
      </c>
      <c r="E485" s="117">
        <f t="shared" ca="1" si="107"/>
        <v>1</v>
      </c>
      <c r="F485" s="438"/>
      <c r="G485" s="7"/>
      <c r="H485" s="7"/>
      <c r="I485" s="7"/>
      <c r="K485" s="7"/>
      <c r="L485" s="7"/>
      <c r="M485" s="7"/>
      <c r="N485" s="7"/>
      <c r="O485" s="7"/>
      <c r="P485" s="7"/>
      <c r="R485" s="7"/>
      <c r="S485" s="7"/>
    </row>
    <row r="486" spans="1:19" ht="14.1" customHeight="1" x14ac:dyDescent="0.2">
      <c r="A486" s="116">
        <f ca="1">IF($H486="UNIDADE CONSTRUTIVA",OFFSET(A486,-1,0)+1,LARGE(A$3:A485,1))</f>
        <v>0</v>
      </c>
      <c r="B486" s="116">
        <f t="shared" ca="1" si="104"/>
        <v>22</v>
      </c>
      <c r="C486" s="116">
        <f t="shared" ca="1" si="105"/>
        <v>1</v>
      </c>
      <c r="D486" s="117">
        <f t="shared" ca="1" si="106"/>
        <v>1</v>
      </c>
      <c r="E486" s="117">
        <f t="shared" ca="1" si="107"/>
        <v>1</v>
      </c>
      <c r="F486" s="438"/>
      <c r="G486" s="7"/>
      <c r="H486" s="7"/>
      <c r="I486" s="7"/>
      <c r="K486" s="7"/>
      <c r="L486" s="7"/>
      <c r="M486" s="7"/>
      <c r="N486" s="7"/>
      <c r="O486" s="7"/>
      <c r="P486" s="7"/>
      <c r="R486" s="7"/>
      <c r="S486" s="7"/>
    </row>
    <row r="487" spans="1:19" ht="14.1" customHeight="1" x14ac:dyDescent="0.2">
      <c r="A487" s="116">
        <f ca="1">IF($H487="UNIDADE CONSTRUTIVA",OFFSET(A487,-1,0)+1,LARGE(A$3:A486,1))</f>
        <v>0</v>
      </c>
      <c r="B487" s="116">
        <f t="shared" ca="1" si="104"/>
        <v>22</v>
      </c>
      <c r="C487" s="116">
        <f t="shared" ca="1" si="105"/>
        <v>1</v>
      </c>
      <c r="D487" s="117">
        <f t="shared" ca="1" si="106"/>
        <v>1</v>
      </c>
      <c r="E487" s="117">
        <f t="shared" ca="1" si="107"/>
        <v>1</v>
      </c>
      <c r="F487" s="438"/>
      <c r="G487" s="7"/>
      <c r="H487" s="7"/>
      <c r="I487" s="7"/>
      <c r="K487" s="7"/>
      <c r="L487" s="7"/>
      <c r="M487" s="7"/>
      <c r="N487" s="7"/>
      <c r="O487" s="7"/>
      <c r="P487" s="7"/>
      <c r="R487" s="7"/>
      <c r="S487" s="7"/>
    </row>
    <row r="488" spans="1:19" ht="14.1" customHeight="1" x14ac:dyDescent="0.2">
      <c r="A488" s="116">
        <f ca="1">IF($H488="UNIDADE CONSTRUTIVA",OFFSET(A488,-1,0)+1,LARGE(A$3:A487,1))</f>
        <v>0</v>
      </c>
      <c r="B488" s="116">
        <f t="shared" ca="1" si="104"/>
        <v>22</v>
      </c>
      <c r="C488" s="116">
        <f t="shared" ca="1" si="105"/>
        <v>1</v>
      </c>
      <c r="D488" s="117">
        <f t="shared" ca="1" si="106"/>
        <v>1</v>
      </c>
      <c r="E488" s="117">
        <f t="shared" ca="1" si="107"/>
        <v>1</v>
      </c>
      <c r="F488" s="438"/>
      <c r="G488" s="7"/>
      <c r="H488" s="7"/>
      <c r="I488" s="7"/>
      <c r="K488" s="7"/>
      <c r="L488" s="7"/>
      <c r="M488" s="7"/>
      <c r="N488" s="7"/>
      <c r="O488" s="7"/>
      <c r="P488" s="7"/>
      <c r="R488" s="7"/>
      <c r="S488" s="7"/>
    </row>
    <row r="489" spans="1:19" ht="14.1" customHeight="1" x14ac:dyDescent="0.2">
      <c r="A489" s="116">
        <f ca="1">IF($H489="UNIDADE CONSTRUTIVA",OFFSET(A489,-1,0)+1,LARGE(A$3:A488,1))</f>
        <v>0</v>
      </c>
      <c r="B489" s="116">
        <f t="shared" ca="1" si="104"/>
        <v>22</v>
      </c>
      <c r="C489" s="116">
        <f t="shared" ca="1" si="105"/>
        <v>1</v>
      </c>
      <c r="D489" s="117">
        <f t="shared" ca="1" si="106"/>
        <v>1</v>
      </c>
      <c r="E489" s="117">
        <f t="shared" ca="1" si="107"/>
        <v>1</v>
      </c>
      <c r="F489" s="438"/>
      <c r="G489" s="7"/>
      <c r="H489" s="7"/>
      <c r="I489" s="7"/>
      <c r="K489" s="7"/>
      <c r="L489" s="7"/>
      <c r="M489" s="7"/>
      <c r="N489" s="7"/>
      <c r="O489" s="7"/>
      <c r="P489" s="7"/>
      <c r="R489" s="7"/>
      <c r="S489" s="7"/>
    </row>
    <row r="490" spans="1:19" ht="14.1" customHeight="1" x14ac:dyDescent="0.2">
      <c r="A490" s="116">
        <f ca="1">IF($H490="UNIDADE CONSTRUTIVA",OFFSET(A490,-1,0)+1,LARGE(A$3:A489,1))</f>
        <v>0</v>
      </c>
      <c r="B490" s="116">
        <f t="shared" ca="1" si="104"/>
        <v>22</v>
      </c>
      <c r="C490" s="116">
        <f t="shared" ca="1" si="105"/>
        <v>1</v>
      </c>
      <c r="D490" s="117">
        <f t="shared" ca="1" si="106"/>
        <v>1</v>
      </c>
      <c r="E490" s="117">
        <f t="shared" ca="1" si="107"/>
        <v>1</v>
      </c>
      <c r="F490" s="438"/>
      <c r="G490" s="7"/>
      <c r="H490" s="7"/>
      <c r="I490" s="7"/>
      <c r="K490" s="7"/>
      <c r="L490" s="7"/>
      <c r="M490" s="7"/>
      <c r="N490" s="7"/>
      <c r="O490" s="7"/>
      <c r="P490" s="7"/>
      <c r="R490" s="7"/>
      <c r="S490" s="7"/>
    </row>
    <row r="491" spans="1:19" ht="14.1" customHeight="1" x14ac:dyDescent="0.2">
      <c r="A491" s="116">
        <f ca="1">IF($H491="UNIDADE CONSTRUTIVA",OFFSET(A491,-1,0)+1,LARGE(A$3:A490,1))</f>
        <v>0</v>
      </c>
      <c r="B491" s="116">
        <f t="shared" ca="1" si="104"/>
        <v>22</v>
      </c>
      <c r="C491" s="116">
        <f t="shared" ca="1" si="105"/>
        <v>1</v>
      </c>
      <c r="D491" s="117">
        <f t="shared" ca="1" si="106"/>
        <v>1</v>
      </c>
      <c r="E491" s="117">
        <f t="shared" ca="1" si="107"/>
        <v>1</v>
      </c>
      <c r="F491" s="438"/>
      <c r="G491" s="7"/>
      <c r="H491" s="7"/>
      <c r="I491" s="7"/>
      <c r="K491" s="7"/>
      <c r="L491" s="7"/>
      <c r="M491" s="7"/>
      <c r="N491" s="7"/>
      <c r="O491" s="7"/>
      <c r="P491" s="7"/>
      <c r="R491" s="7"/>
      <c r="S491" s="7"/>
    </row>
    <row r="492" spans="1:19" ht="14.1" customHeight="1" x14ac:dyDescent="0.2">
      <c r="A492" s="116">
        <f ca="1">IF($H492="UNIDADE CONSTRUTIVA",OFFSET(A492,-1,0)+1,LARGE(A$3:A491,1))</f>
        <v>0</v>
      </c>
      <c r="B492" s="116">
        <f t="shared" ca="1" si="104"/>
        <v>22</v>
      </c>
      <c r="C492" s="116">
        <f t="shared" ca="1" si="105"/>
        <v>1</v>
      </c>
      <c r="D492" s="117">
        <f t="shared" ca="1" si="106"/>
        <v>1</v>
      </c>
      <c r="E492" s="117">
        <f t="shared" ca="1" si="107"/>
        <v>1</v>
      </c>
      <c r="F492" s="438"/>
      <c r="G492" s="7"/>
      <c r="H492" s="7"/>
      <c r="I492" s="7"/>
      <c r="K492" s="7"/>
      <c r="L492" s="7"/>
      <c r="M492" s="7"/>
      <c r="N492" s="7"/>
      <c r="O492" s="7"/>
      <c r="P492" s="7"/>
      <c r="R492" s="7"/>
      <c r="S492" s="7"/>
    </row>
    <row r="493" spans="1:19" ht="14.1" customHeight="1" x14ac:dyDescent="0.2">
      <c r="A493" s="116">
        <f ca="1">IF($H493="UNIDADE CONSTRUTIVA",OFFSET(A493,-1,0)+1,LARGE(A$3:A492,1))</f>
        <v>0</v>
      </c>
      <c r="B493" s="116">
        <f t="shared" ca="1" si="104"/>
        <v>22</v>
      </c>
      <c r="C493" s="116">
        <f t="shared" ca="1" si="105"/>
        <v>1</v>
      </c>
      <c r="D493" s="117">
        <f t="shared" ca="1" si="106"/>
        <v>1</v>
      </c>
      <c r="E493" s="117">
        <f t="shared" ca="1" si="107"/>
        <v>1</v>
      </c>
      <c r="F493" s="438"/>
      <c r="G493" s="7"/>
      <c r="H493" s="7"/>
      <c r="I493" s="7"/>
      <c r="K493" s="7"/>
      <c r="L493" s="7"/>
      <c r="M493" s="7"/>
      <c r="N493" s="7"/>
      <c r="O493" s="7"/>
      <c r="P493" s="7"/>
      <c r="R493" s="7"/>
      <c r="S493" s="7"/>
    </row>
    <row r="494" spans="1:19" ht="14.1" customHeight="1" x14ac:dyDescent="0.2">
      <c r="A494" s="116">
        <f ca="1">IF($H494="UNIDADE CONSTRUTIVA",OFFSET(A494,-1,0)+1,LARGE(A$3:A493,1))</f>
        <v>0</v>
      </c>
      <c r="B494" s="116">
        <f t="shared" ca="1" si="104"/>
        <v>22</v>
      </c>
      <c r="C494" s="116">
        <f t="shared" ca="1" si="105"/>
        <v>1</v>
      </c>
      <c r="D494" s="117">
        <f t="shared" ca="1" si="106"/>
        <v>1</v>
      </c>
      <c r="E494" s="117">
        <f t="shared" ca="1" si="107"/>
        <v>1</v>
      </c>
      <c r="F494" s="438"/>
      <c r="G494" s="7"/>
      <c r="H494" s="7"/>
      <c r="I494" s="7"/>
      <c r="K494" s="7"/>
      <c r="L494" s="7"/>
      <c r="M494" s="7"/>
      <c r="N494" s="7"/>
      <c r="O494" s="7"/>
      <c r="P494" s="7"/>
      <c r="R494" s="7"/>
      <c r="S494" s="7"/>
    </row>
    <row r="495" spans="1:19" ht="14.1" customHeight="1" x14ac:dyDescent="0.2">
      <c r="A495" s="116">
        <f ca="1">IF($H495="UNIDADE CONSTRUTIVA",OFFSET(A495,-1,0)+1,LARGE(A$3:A494,1))</f>
        <v>0</v>
      </c>
      <c r="B495" s="116">
        <f t="shared" ca="1" si="104"/>
        <v>22</v>
      </c>
      <c r="C495" s="116">
        <f t="shared" ca="1" si="105"/>
        <v>1</v>
      </c>
      <c r="D495" s="117">
        <f t="shared" ca="1" si="106"/>
        <v>1</v>
      </c>
      <c r="E495" s="117">
        <f t="shared" ca="1" si="107"/>
        <v>1</v>
      </c>
      <c r="F495" s="438"/>
      <c r="G495" s="7"/>
      <c r="H495" s="7"/>
      <c r="I495" s="7"/>
      <c r="K495" s="7"/>
      <c r="L495" s="7"/>
      <c r="M495" s="7"/>
      <c r="N495" s="7"/>
      <c r="O495" s="7"/>
      <c r="P495" s="7"/>
      <c r="R495" s="7"/>
      <c r="S495" s="7"/>
    </row>
    <row r="496" spans="1:19" ht="14.1" customHeight="1" x14ac:dyDescent="0.2">
      <c r="A496" s="116">
        <f ca="1">IF($H496="UNIDADE CONSTRUTIVA",OFFSET(A496,-1,0)+1,LARGE(A$3:A495,1))</f>
        <v>0</v>
      </c>
      <c r="B496" s="116">
        <f t="shared" ca="1" si="104"/>
        <v>22</v>
      </c>
      <c r="C496" s="116">
        <f t="shared" ca="1" si="105"/>
        <v>1</v>
      </c>
      <c r="D496" s="117">
        <f t="shared" ca="1" si="106"/>
        <v>1</v>
      </c>
      <c r="E496" s="117">
        <f t="shared" ca="1" si="107"/>
        <v>1</v>
      </c>
      <c r="F496" s="438"/>
      <c r="G496" s="7"/>
      <c r="H496" s="7"/>
      <c r="I496" s="7"/>
      <c r="K496" s="7"/>
      <c r="L496" s="7"/>
      <c r="M496" s="7"/>
      <c r="N496" s="7"/>
      <c r="O496" s="7"/>
      <c r="P496" s="7"/>
      <c r="R496" s="7"/>
      <c r="S496" s="7"/>
    </row>
    <row r="497" spans="1:19" ht="14.1" customHeight="1" x14ac:dyDescent="0.2">
      <c r="A497" s="116">
        <f ca="1">IF($H497="UNIDADE CONSTRUTIVA",OFFSET(A497,-1,0)+1,LARGE(A$3:A496,1))</f>
        <v>0</v>
      </c>
      <c r="B497" s="116">
        <f t="shared" ca="1" si="104"/>
        <v>22</v>
      </c>
      <c r="C497" s="116">
        <f t="shared" ca="1" si="105"/>
        <v>1</v>
      </c>
      <c r="D497" s="117">
        <f t="shared" ca="1" si="106"/>
        <v>1</v>
      </c>
      <c r="E497" s="117">
        <f t="shared" ca="1" si="107"/>
        <v>1</v>
      </c>
      <c r="F497" s="438"/>
      <c r="G497" s="7"/>
      <c r="H497" s="7"/>
      <c r="I497" s="7"/>
      <c r="K497" s="7"/>
      <c r="L497" s="7"/>
      <c r="M497" s="7"/>
      <c r="N497" s="7"/>
      <c r="O497" s="7"/>
      <c r="P497" s="7"/>
      <c r="R497" s="7"/>
      <c r="S497" s="7"/>
    </row>
    <row r="498" spans="1:19" ht="14.1" customHeight="1" x14ac:dyDescent="0.2">
      <c r="A498" s="116">
        <f ca="1">IF($H498="UNIDADE CONSTRUTIVA",OFFSET(A498,-1,0)+1,LARGE(A$3:A497,1))</f>
        <v>0</v>
      </c>
      <c r="B498" s="116">
        <f t="shared" ca="1" si="104"/>
        <v>22</v>
      </c>
      <c r="C498" s="116">
        <f t="shared" ca="1" si="105"/>
        <v>1</v>
      </c>
      <c r="D498" s="117">
        <f t="shared" ca="1" si="106"/>
        <v>1</v>
      </c>
      <c r="E498" s="117">
        <f t="shared" ca="1" si="107"/>
        <v>1</v>
      </c>
      <c r="F498" s="438"/>
      <c r="G498" s="7"/>
      <c r="H498" s="7"/>
      <c r="I498" s="7"/>
      <c r="K498" s="7"/>
      <c r="L498" s="7"/>
      <c r="M498" s="7"/>
      <c r="N498" s="7"/>
      <c r="O498" s="7"/>
      <c r="P498" s="7"/>
      <c r="R498" s="7"/>
      <c r="S498" s="7"/>
    </row>
    <row r="499" spans="1:19" ht="14.1" customHeight="1" x14ac:dyDescent="0.2">
      <c r="A499" s="116">
        <f ca="1">IF($H499="UNIDADE CONSTRUTIVA",OFFSET(A499,-1,0)+1,LARGE(A$3:A498,1))</f>
        <v>0</v>
      </c>
      <c r="B499" s="116">
        <f t="shared" ca="1" si="104"/>
        <v>22</v>
      </c>
      <c r="C499" s="116">
        <f t="shared" ca="1" si="105"/>
        <v>1</v>
      </c>
      <c r="D499" s="117">
        <f t="shared" ca="1" si="106"/>
        <v>1</v>
      </c>
      <c r="E499" s="117">
        <f t="shared" ca="1" si="107"/>
        <v>1</v>
      </c>
      <c r="F499" s="438"/>
      <c r="G499" s="7"/>
      <c r="H499" s="7"/>
      <c r="I499" s="7"/>
      <c r="K499" s="7"/>
      <c r="L499" s="7"/>
      <c r="M499" s="7"/>
      <c r="N499" s="7"/>
      <c r="O499" s="7"/>
      <c r="P499" s="7"/>
      <c r="R499" s="7"/>
      <c r="S499" s="7"/>
    </row>
    <row r="500" spans="1:19" ht="14.1" customHeight="1" x14ac:dyDescent="0.2">
      <c r="A500" s="116">
        <f ca="1">IF($H500="UNIDADE CONSTRUTIVA",OFFSET(A500,-1,0)+1,LARGE(A$3:A499,1))</f>
        <v>0</v>
      </c>
      <c r="B500" s="116">
        <f t="shared" ca="1" si="104"/>
        <v>22</v>
      </c>
      <c r="C500" s="116">
        <f t="shared" ca="1" si="105"/>
        <v>1</v>
      </c>
      <c r="D500" s="117">
        <f t="shared" ca="1" si="106"/>
        <v>1</v>
      </c>
      <c r="E500" s="117">
        <f t="shared" ca="1" si="107"/>
        <v>1</v>
      </c>
      <c r="F500" s="438"/>
      <c r="G500" s="7"/>
      <c r="H500" s="7"/>
      <c r="I500" s="7"/>
      <c r="K500" s="7"/>
      <c r="L500" s="7"/>
      <c r="M500" s="7"/>
      <c r="N500" s="7"/>
      <c r="O500" s="7"/>
      <c r="P500" s="7"/>
      <c r="R500" s="7"/>
      <c r="S500" s="7"/>
    </row>
    <row r="501" spans="1:19" ht="14.1" customHeight="1" x14ac:dyDescent="0.2">
      <c r="A501" s="116">
        <f ca="1">IF($H501="UNIDADE CONSTRUTIVA",OFFSET(A501,-1,0)+1,LARGE(A$3:A500,1))</f>
        <v>0</v>
      </c>
      <c r="B501" s="116">
        <f t="shared" ca="1" si="104"/>
        <v>22</v>
      </c>
      <c r="C501" s="116">
        <f t="shared" ca="1" si="105"/>
        <v>1</v>
      </c>
      <c r="D501" s="117">
        <f t="shared" ca="1" si="106"/>
        <v>1</v>
      </c>
      <c r="E501" s="117">
        <f t="shared" ca="1" si="107"/>
        <v>1</v>
      </c>
      <c r="F501" s="438"/>
      <c r="G501" s="7"/>
      <c r="H501" s="7"/>
      <c r="I501" s="7"/>
      <c r="K501" s="7"/>
      <c r="L501" s="7"/>
      <c r="M501" s="7"/>
      <c r="N501" s="7"/>
      <c r="O501" s="7"/>
      <c r="P501" s="7"/>
      <c r="R501" s="7"/>
      <c r="S501" s="7"/>
    </row>
    <row r="502" spans="1:19" ht="14.1" customHeight="1" x14ac:dyDescent="0.2">
      <c r="A502" s="116">
        <f ca="1">IF($H502="UNIDADE CONSTRUTIVA",OFFSET(A502,-1,0)+1,LARGE(A$3:A501,1))</f>
        <v>0</v>
      </c>
      <c r="B502" s="116">
        <f t="shared" ca="1" si="104"/>
        <v>22</v>
      </c>
      <c r="C502" s="116">
        <f t="shared" ca="1" si="105"/>
        <v>1</v>
      </c>
      <c r="D502" s="117">
        <f t="shared" ca="1" si="106"/>
        <v>1</v>
      </c>
      <c r="E502" s="117">
        <f t="shared" ca="1" si="107"/>
        <v>1</v>
      </c>
      <c r="F502" s="438"/>
      <c r="G502" s="7"/>
      <c r="H502" s="7"/>
      <c r="I502" s="7"/>
      <c r="K502" s="7"/>
      <c r="L502" s="7"/>
      <c r="M502" s="7"/>
      <c r="N502" s="7"/>
      <c r="O502" s="7"/>
      <c r="P502" s="7"/>
      <c r="R502" s="7"/>
      <c r="S502" s="7"/>
    </row>
    <row r="503" spans="1:19" ht="14.1" customHeight="1" x14ac:dyDescent="0.2">
      <c r="A503" s="116">
        <f ca="1">IF($H503="UNIDADE CONSTRUTIVA",OFFSET(A503,-1,0)+1,LARGE(A$3:A502,1))</f>
        <v>0</v>
      </c>
      <c r="B503" s="116">
        <f t="shared" ca="1" si="104"/>
        <v>22</v>
      </c>
      <c r="C503" s="116">
        <f t="shared" ca="1" si="105"/>
        <v>1</v>
      </c>
      <c r="D503" s="117">
        <f t="shared" ca="1" si="106"/>
        <v>1</v>
      </c>
      <c r="E503" s="117">
        <f t="shared" ca="1" si="107"/>
        <v>1</v>
      </c>
      <c r="F503" s="438"/>
      <c r="G503" s="7"/>
      <c r="H503" s="7"/>
      <c r="I503" s="7"/>
      <c r="K503" s="7"/>
      <c r="L503" s="7"/>
      <c r="M503" s="7"/>
      <c r="N503" s="7"/>
      <c r="O503" s="7"/>
      <c r="P503" s="7"/>
      <c r="R503" s="7"/>
      <c r="S503" s="7"/>
    </row>
    <row r="504" spans="1:19" ht="14.1" customHeight="1" x14ac:dyDescent="0.2">
      <c r="A504" s="116">
        <f ca="1">IF($H504="UNIDADE CONSTRUTIVA",OFFSET(A504,-1,0)+1,LARGE(A$3:A503,1))</f>
        <v>0</v>
      </c>
      <c r="B504" s="116">
        <f t="shared" ca="1" si="104"/>
        <v>22</v>
      </c>
      <c r="C504" s="116">
        <f t="shared" ca="1" si="105"/>
        <v>1</v>
      </c>
      <c r="D504" s="117">
        <f t="shared" ca="1" si="106"/>
        <v>1</v>
      </c>
      <c r="E504" s="117">
        <f t="shared" ca="1" si="107"/>
        <v>1</v>
      </c>
      <c r="F504" s="438"/>
      <c r="G504" s="7"/>
      <c r="H504" s="7"/>
      <c r="I504" s="7"/>
      <c r="K504" s="7"/>
      <c r="L504" s="7"/>
      <c r="M504" s="7"/>
      <c r="N504" s="7"/>
      <c r="O504" s="7"/>
      <c r="P504" s="7"/>
      <c r="R504" s="7"/>
      <c r="S504" s="7"/>
    </row>
    <row r="505" spans="1:19" ht="14.1" customHeight="1" x14ac:dyDescent="0.2">
      <c r="A505" s="116">
        <f ca="1">IF($H505="UNIDADE CONSTRUTIVA",OFFSET(A505,-1,0)+1,LARGE(A$3:A504,1))</f>
        <v>0</v>
      </c>
      <c r="B505" s="116">
        <f t="shared" ca="1" si="104"/>
        <v>22</v>
      </c>
      <c r="C505" s="116">
        <f t="shared" ca="1" si="105"/>
        <v>1</v>
      </c>
      <c r="D505" s="117">
        <f t="shared" ca="1" si="106"/>
        <v>1</v>
      </c>
      <c r="E505" s="117">
        <f t="shared" ca="1" si="107"/>
        <v>1</v>
      </c>
      <c r="F505" s="438"/>
      <c r="G505" s="7"/>
      <c r="H505" s="7"/>
      <c r="I505" s="7"/>
      <c r="K505" s="7"/>
      <c r="L505" s="7"/>
      <c r="M505" s="7"/>
      <c r="N505" s="7"/>
      <c r="O505" s="7"/>
      <c r="P505" s="7"/>
      <c r="R505" s="7"/>
      <c r="S505" s="7"/>
    </row>
    <row r="506" spans="1:19" ht="14.1" customHeight="1" x14ac:dyDescent="0.2">
      <c r="A506" s="116">
        <f ca="1">IF($H506="UNIDADE CONSTRUTIVA",OFFSET(A506,-1,0)+1,LARGE(A$3:A505,1))</f>
        <v>0</v>
      </c>
      <c r="B506" s="116">
        <f t="shared" ca="1" si="104"/>
        <v>22</v>
      </c>
      <c r="C506" s="116">
        <f t="shared" ca="1" si="105"/>
        <v>1</v>
      </c>
      <c r="D506" s="117">
        <f t="shared" ca="1" si="106"/>
        <v>1</v>
      </c>
      <c r="E506" s="117">
        <f t="shared" ca="1" si="107"/>
        <v>1</v>
      </c>
      <c r="F506" s="438"/>
      <c r="G506" s="7"/>
      <c r="H506" s="7"/>
      <c r="I506" s="7"/>
      <c r="K506" s="7"/>
      <c r="L506" s="7"/>
      <c r="M506" s="7"/>
      <c r="N506" s="7"/>
      <c r="O506" s="7"/>
      <c r="P506" s="7"/>
      <c r="R506" s="7"/>
      <c r="S506" s="7"/>
    </row>
    <row r="507" spans="1:19" ht="14.1" customHeight="1" x14ac:dyDescent="0.2">
      <c r="A507" s="116">
        <f ca="1">IF($H507="UNIDADE CONSTRUTIVA",OFFSET(A507,-1,0)+1,LARGE(A$3:A506,1))</f>
        <v>0</v>
      </c>
      <c r="B507" s="116">
        <f t="shared" ca="1" si="104"/>
        <v>22</v>
      </c>
      <c r="C507" s="116">
        <f t="shared" ca="1" si="105"/>
        <v>1</v>
      </c>
      <c r="D507" s="117">
        <f t="shared" ca="1" si="106"/>
        <v>1</v>
      </c>
      <c r="E507" s="117">
        <f t="shared" ca="1" si="107"/>
        <v>1</v>
      </c>
      <c r="F507" s="438"/>
      <c r="G507" s="7"/>
      <c r="H507" s="7"/>
      <c r="I507" s="7"/>
      <c r="K507" s="7"/>
      <c r="L507" s="7"/>
      <c r="M507" s="7"/>
      <c r="N507" s="7"/>
      <c r="O507" s="7"/>
      <c r="P507" s="7"/>
      <c r="R507" s="7"/>
      <c r="S507" s="7"/>
    </row>
    <row r="508" spans="1:19" ht="14.1" customHeight="1" x14ac:dyDescent="0.2">
      <c r="A508" s="116">
        <f ca="1">IF($H508="UNIDADE CONSTRUTIVA",OFFSET(A508,-1,0)+1,LARGE(A$3:A507,1))</f>
        <v>0</v>
      </c>
      <c r="B508" s="116">
        <f t="shared" ca="1" si="104"/>
        <v>22</v>
      </c>
      <c r="C508" s="116">
        <f t="shared" ca="1" si="105"/>
        <v>1</v>
      </c>
      <c r="D508" s="117">
        <f t="shared" ca="1" si="106"/>
        <v>1</v>
      </c>
      <c r="E508" s="117">
        <f t="shared" ca="1" si="107"/>
        <v>1</v>
      </c>
      <c r="F508" s="438"/>
      <c r="G508" s="7"/>
      <c r="H508" s="7"/>
      <c r="I508" s="7"/>
      <c r="K508" s="7"/>
      <c r="L508" s="7"/>
      <c r="M508" s="7"/>
      <c r="N508" s="7"/>
      <c r="O508" s="7"/>
      <c r="P508" s="7"/>
      <c r="R508" s="7"/>
      <c r="S508" s="7"/>
    </row>
    <row r="509" spans="1:19" ht="14.1" customHeight="1" x14ac:dyDescent="0.2">
      <c r="A509" s="116">
        <f ca="1">IF($H509="UNIDADE CONSTRUTIVA",OFFSET(A509,-1,0)+1,LARGE(A$3:A508,1))</f>
        <v>0</v>
      </c>
      <c r="B509" s="116">
        <f t="shared" ca="1" si="104"/>
        <v>22</v>
      </c>
      <c r="C509" s="116">
        <f t="shared" ca="1" si="105"/>
        <v>1</v>
      </c>
      <c r="D509" s="117">
        <f t="shared" ca="1" si="106"/>
        <v>1</v>
      </c>
      <c r="E509" s="117">
        <f t="shared" ca="1" si="107"/>
        <v>1</v>
      </c>
      <c r="F509" s="438"/>
      <c r="G509" s="7"/>
      <c r="H509" s="7"/>
      <c r="I509" s="7"/>
      <c r="K509" s="7"/>
      <c r="L509" s="7"/>
      <c r="M509" s="7"/>
      <c r="N509" s="7"/>
      <c r="O509" s="7"/>
      <c r="P509" s="7"/>
      <c r="R509" s="7"/>
      <c r="S509" s="7"/>
    </row>
    <row r="510" spans="1:19" ht="14.1" customHeight="1" x14ac:dyDescent="0.2">
      <c r="A510" s="116">
        <f ca="1">IF($H510="UNIDADE CONSTRUTIVA",OFFSET(A510,-1,0)+1,LARGE(A$3:A509,1))</f>
        <v>0</v>
      </c>
      <c r="B510" s="116">
        <f t="shared" ca="1" si="104"/>
        <v>22</v>
      </c>
      <c r="C510" s="116">
        <f t="shared" ca="1" si="105"/>
        <v>1</v>
      </c>
      <c r="D510" s="117">
        <f t="shared" ca="1" si="106"/>
        <v>1</v>
      </c>
      <c r="E510" s="117">
        <f t="shared" ca="1" si="107"/>
        <v>1</v>
      </c>
      <c r="F510" s="438"/>
      <c r="G510" s="7"/>
      <c r="H510" s="7"/>
      <c r="I510" s="7"/>
      <c r="K510" s="7"/>
      <c r="L510" s="7"/>
      <c r="M510" s="7"/>
      <c r="N510" s="7"/>
      <c r="O510" s="7"/>
      <c r="P510" s="7"/>
      <c r="R510" s="7"/>
      <c r="S510" s="7"/>
    </row>
    <row r="511" spans="1:19" ht="14.1" customHeight="1" x14ac:dyDescent="0.2">
      <c r="A511" s="116">
        <f ca="1">IF($H511="UNIDADE CONSTRUTIVA",OFFSET(A511,-1,0)+1,LARGE(A$3:A510,1))</f>
        <v>0</v>
      </c>
      <c r="B511" s="116">
        <f t="shared" ca="1" si="104"/>
        <v>22</v>
      </c>
      <c r="C511" s="116">
        <f t="shared" ca="1" si="105"/>
        <v>1</v>
      </c>
      <c r="D511" s="117">
        <f t="shared" ca="1" si="106"/>
        <v>1</v>
      </c>
      <c r="E511" s="117">
        <f t="shared" ca="1" si="107"/>
        <v>1</v>
      </c>
      <c r="F511" s="438"/>
      <c r="G511" s="7"/>
      <c r="H511" s="7"/>
      <c r="I511" s="7"/>
      <c r="K511" s="7"/>
      <c r="L511" s="7"/>
      <c r="M511" s="7"/>
      <c r="N511" s="7"/>
      <c r="O511" s="7"/>
      <c r="P511" s="7"/>
      <c r="R511" s="7"/>
      <c r="S511" s="7"/>
    </row>
    <row r="512" spans="1:19" ht="14.1" customHeight="1" x14ac:dyDescent="0.2">
      <c r="A512" s="116">
        <f ca="1">IF($H512="UNIDADE CONSTRUTIVA",OFFSET(A512,-1,0)+1,LARGE(A$3:A511,1))</f>
        <v>0</v>
      </c>
      <c r="B512" s="116">
        <f t="shared" ca="1" si="104"/>
        <v>22</v>
      </c>
      <c r="C512" s="116">
        <f t="shared" ca="1" si="105"/>
        <v>1</v>
      </c>
      <c r="D512" s="117">
        <f t="shared" ca="1" si="106"/>
        <v>1</v>
      </c>
      <c r="E512" s="117">
        <f t="shared" ca="1" si="107"/>
        <v>1</v>
      </c>
      <c r="F512" s="438"/>
      <c r="G512" s="7"/>
      <c r="H512" s="7"/>
      <c r="I512" s="7"/>
      <c r="K512" s="7"/>
      <c r="L512" s="7"/>
      <c r="M512" s="7"/>
      <c r="N512" s="7"/>
      <c r="O512" s="7"/>
      <c r="P512" s="7"/>
      <c r="R512" s="7"/>
      <c r="S512" s="7"/>
    </row>
    <row r="513" spans="1:19" ht="14.1" customHeight="1" x14ac:dyDescent="0.2">
      <c r="A513" s="116">
        <f ca="1">IF($H513="UNIDADE CONSTRUTIVA",OFFSET(A513,-1,0)+1,LARGE(A$3:A512,1))</f>
        <v>0</v>
      </c>
      <c r="B513" s="116">
        <f t="shared" ca="1" si="104"/>
        <v>22</v>
      </c>
      <c r="C513" s="116">
        <f t="shared" ca="1" si="105"/>
        <v>1</v>
      </c>
      <c r="D513" s="117">
        <f t="shared" ca="1" si="106"/>
        <v>1</v>
      </c>
      <c r="E513" s="117">
        <f t="shared" ca="1" si="107"/>
        <v>1</v>
      </c>
      <c r="F513" s="438"/>
      <c r="G513" s="7"/>
      <c r="H513" s="7"/>
      <c r="I513" s="7"/>
      <c r="K513" s="7"/>
      <c r="L513" s="7"/>
      <c r="M513" s="7"/>
      <c r="N513" s="7"/>
      <c r="O513" s="7"/>
      <c r="P513" s="7"/>
      <c r="R513" s="7"/>
      <c r="S513" s="7"/>
    </row>
    <row r="514" spans="1:19" ht="14.1" customHeight="1" x14ac:dyDescent="0.2">
      <c r="A514" s="116">
        <f ca="1">IF($H514="UNIDADE CONSTRUTIVA",OFFSET(A514,-1,0)+1,LARGE(A$3:A513,1))</f>
        <v>0</v>
      </c>
      <c r="B514" s="116">
        <f t="shared" ca="1" si="104"/>
        <v>22</v>
      </c>
      <c r="C514" s="116">
        <f t="shared" ca="1" si="105"/>
        <v>1</v>
      </c>
      <c r="D514" s="117">
        <f t="shared" ca="1" si="106"/>
        <v>1</v>
      </c>
      <c r="E514" s="117">
        <f t="shared" ca="1" si="107"/>
        <v>1</v>
      </c>
      <c r="F514" s="438"/>
      <c r="G514" s="7"/>
      <c r="H514" s="7"/>
      <c r="I514" s="7"/>
      <c r="K514" s="7"/>
      <c r="L514" s="7"/>
      <c r="M514" s="7"/>
      <c r="N514" s="7"/>
      <c r="O514" s="7"/>
      <c r="P514" s="7"/>
      <c r="R514" s="7"/>
      <c r="S514" s="7"/>
    </row>
    <row r="515" spans="1:19" ht="14.1" customHeight="1" x14ac:dyDescent="0.2">
      <c r="A515" s="116">
        <f ca="1">IF($H515="UNIDADE CONSTRUTIVA",OFFSET(A515,-1,0)+1,LARGE(A$3:A514,1))</f>
        <v>0</v>
      </c>
      <c r="B515" s="116">
        <f t="shared" ca="1" si="104"/>
        <v>22</v>
      </c>
      <c r="C515" s="116">
        <f t="shared" ca="1" si="105"/>
        <v>1</v>
      </c>
      <c r="D515" s="117">
        <f t="shared" ca="1" si="106"/>
        <v>1</v>
      </c>
      <c r="E515" s="117">
        <f t="shared" ca="1" si="107"/>
        <v>1</v>
      </c>
      <c r="F515" s="438"/>
      <c r="G515" s="7"/>
      <c r="H515" s="7"/>
      <c r="I515" s="7"/>
      <c r="K515" s="7"/>
      <c r="L515" s="7"/>
      <c r="M515" s="7"/>
      <c r="N515" s="7"/>
      <c r="O515" s="7"/>
      <c r="P515" s="7"/>
      <c r="R515" s="7"/>
      <c r="S515" s="7"/>
    </row>
    <row r="516" spans="1:19" ht="14.1" customHeight="1" x14ac:dyDescent="0.2">
      <c r="A516" s="116">
        <f ca="1">IF($H516="UNIDADE CONSTRUTIVA",OFFSET(A516,-1,0)+1,LARGE(A$3:A515,1))</f>
        <v>0</v>
      </c>
      <c r="B516" s="116">
        <f t="shared" ca="1" si="104"/>
        <v>22</v>
      </c>
      <c r="C516" s="116">
        <f t="shared" ca="1" si="105"/>
        <v>1</v>
      </c>
      <c r="D516" s="117">
        <f t="shared" ca="1" si="106"/>
        <v>1</v>
      </c>
      <c r="E516" s="117">
        <f t="shared" ca="1" si="107"/>
        <v>1</v>
      </c>
      <c r="F516" s="438"/>
      <c r="G516" s="7"/>
      <c r="H516" s="7"/>
      <c r="I516" s="7"/>
      <c r="K516" s="7"/>
      <c r="L516" s="7"/>
      <c r="M516" s="7"/>
      <c r="N516" s="7"/>
      <c r="O516" s="7"/>
      <c r="P516" s="7"/>
      <c r="R516" s="7"/>
      <c r="S516" s="7"/>
    </row>
    <row r="517" spans="1:19" ht="14.1" customHeight="1" x14ac:dyDescent="0.2">
      <c r="A517" s="116">
        <f ca="1">IF($H517="UNIDADE CONSTRUTIVA",OFFSET(A517,-1,0)+1,LARGE(A$3:A516,1))</f>
        <v>0</v>
      </c>
      <c r="B517" s="116">
        <f t="shared" ca="1" si="104"/>
        <v>22</v>
      </c>
      <c r="C517" s="116">
        <f t="shared" ca="1" si="105"/>
        <v>1</v>
      </c>
      <c r="D517" s="117">
        <f t="shared" ca="1" si="106"/>
        <v>1</v>
      </c>
      <c r="E517" s="117">
        <f t="shared" ca="1" si="107"/>
        <v>1</v>
      </c>
      <c r="F517" s="438"/>
      <c r="G517" s="7"/>
      <c r="H517" s="7"/>
      <c r="I517" s="7"/>
      <c r="K517" s="7"/>
      <c r="L517" s="7"/>
      <c r="M517" s="7"/>
      <c r="N517" s="7"/>
      <c r="O517" s="7"/>
      <c r="P517" s="7"/>
      <c r="R517" s="7"/>
      <c r="S517" s="7"/>
    </row>
    <row r="518" spans="1:19" ht="14.1" customHeight="1" x14ac:dyDescent="0.2">
      <c r="A518" s="116">
        <f ca="1">IF($H518="UNIDADE CONSTRUTIVA",OFFSET(A518,-1,0)+1,LARGE(A$3:A517,1))</f>
        <v>0</v>
      </c>
      <c r="B518" s="116">
        <f t="shared" ca="1" si="104"/>
        <v>22</v>
      </c>
      <c r="C518" s="116">
        <f t="shared" ca="1" si="105"/>
        <v>1</v>
      </c>
      <c r="D518" s="117">
        <f t="shared" ca="1" si="106"/>
        <v>1</v>
      </c>
      <c r="E518" s="117">
        <f t="shared" ca="1" si="107"/>
        <v>1</v>
      </c>
      <c r="F518" s="438"/>
      <c r="G518" s="7"/>
      <c r="H518" s="7"/>
      <c r="I518" s="7"/>
      <c r="K518" s="7"/>
      <c r="L518" s="7"/>
      <c r="M518" s="7"/>
      <c r="N518" s="7"/>
      <c r="O518" s="7"/>
      <c r="P518" s="7"/>
      <c r="R518" s="7"/>
      <c r="S518" s="7"/>
    </row>
    <row r="519" spans="1:19" ht="14.1" customHeight="1" x14ac:dyDescent="0.2">
      <c r="A519" s="116">
        <f ca="1">IF($H519="UNIDADE CONSTRUTIVA",OFFSET(A519,-1,0)+1,LARGE(A$3:A518,1))</f>
        <v>0</v>
      </c>
      <c r="B519" s="116">
        <f t="shared" ca="1" si="104"/>
        <v>22</v>
      </c>
      <c r="C519" s="116">
        <f t="shared" ca="1" si="105"/>
        <v>1</v>
      </c>
      <c r="D519" s="117">
        <f t="shared" ca="1" si="106"/>
        <v>1</v>
      </c>
      <c r="E519" s="117">
        <f t="shared" ca="1" si="107"/>
        <v>1</v>
      </c>
      <c r="F519" s="438"/>
      <c r="G519" s="7"/>
      <c r="H519" s="7"/>
      <c r="I519" s="7"/>
      <c r="K519" s="7"/>
      <c r="L519" s="7"/>
      <c r="M519" s="7"/>
      <c r="N519" s="7"/>
      <c r="O519" s="7"/>
      <c r="P519" s="7"/>
      <c r="R519" s="7"/>
      <c r="S519" s="7"/>
    </row>
    <row r="520" spans="1:19" ht="14.1" customHeight="1" x14ac:dyDescent="0.2">
      <c r="A520" s="116">
        <f ca="1">IF($H520="UNIDADE CONSTRUTIVA",OFFSET(A520,-1,0)+1,LARGE(A$3:A519,1))</f>
        <v>0</v>
      </c>
      <c r="B520" s="116">
        <f t="shared" ca="1" si="104"/>
        <v>22</v>
      </c>
      <c r="C520" s="116">
        <f t="shared" ca="1" si="105"/>
        <v>1</v>
      </c>
      <c r="D520" s="117">
        <f t="shared" ca="1" si="106"/>
        <v>1</v>
      </c>
      <c r="E520" s="117">
        <f t="shared" ca="1" si="107"/>
        <v>1</v>
      </c>
      <c r="F520" s="438"/>
      <c r="G520" s="7"/>
      <c r="H520" s="7"/>
      <c r="I520" s="7"/>
      <c r="K520" s="7"/>
      <c r="L520" s="7"/>
      <c r="M520" s="7"/>
      <c r="N520" s="7"/>
      <c r="O520" s="7"/>
      <c r="P520" s="7"/>
      <c r="R520" s="7"/>
      <c r="S520" s="7"/>
    </row>
    <row r="521" spans="1:19" ht="14.1" customHeight="1" x14ac:dyDescent="0.2">
      <c r="A521" s="116">
        <f ca="1">IF($H521="UNIDADE CONSTRUTIVA",OFFSET(A521,-1,0)+1,LARGE(A$3:A520,1))</f>
        <v>0</v>
      </c>
      <c r="B521" s="116">
        <f t="shared" ref="B521:B584" ca="1" si="108">IF(H521="UNIDADE CONSTRUTIVA",0,IF(H521="CÉLULA CONSTRUTIVA",OFFSET(B521,-1,0)+1,OFFSET(B521,-1,0)))</f>
        <v>22</v>
      </c>
      <c r="C521" s="116">
        <f t="shared" ref="C521:C584" ca="1" si="109">IF(H521="CÉLULA CONSTRUTIVA",0,IF(H521="ETAPA",OFFSET(C521,-1,0)+1,OFFSET(C521,-1,0)))</f>
        <v>1</v>
      </c>
      <c r="D521" s="117">
        <f t="shared" ref="D521:D584" ca="1" si="110">IF(H521="ETAPA",0,IF(H521="SUBETAPA",OFFSET(D521,-1,0)+1,OFFSET(D521,-1,0)))</f>
        <v>1</v>
      </c>
      <c r="E521" s="117">
        <f t="shared" ref="E521:E584" ca="1" si="111">IF(H521="Subetapa",0,IF(H521="serviço",OFFSET(E521,-1,0)+1,OFFSET(E521,-1,0)))</f>
        <v>1</v>
      </c>
      <c r="F521" s="438"/>
      <c r="G521" s="7"/>
      <c r="H521" s="7"/>
      <c r="I521" s="7"/>
      <c r="K521" s="7"/>
      <c r="L521" s="7"/>
      <c r="M521" s="7"/>
      <c r="N521" s="7"/>
      <c r="O521" s="7"/>
      <c r="P521" s="7"/>
      <c r="R521" s="7"/>
      <c r="S521" s="7"/>
    </row>
    <row r="522" spans="1:19" ht="14.1" customHeight="1" x14ac:dyDescent="0.2">
      <c r="A522" s="116">
        <f ca="1">IF($H522="UNIDADE CONSTRUTIVA",OFFSET(A522,-1,0)+1,LARGE(A$3:A521,1))</f>
        <v>0</v>
      </c>
      <c r="B522" s="116">
        <f t="shared" ca="1" si="108"/>
        <v>22</v>
      </c>
      <c r="C522" s="116">
        <f t="shared" ca="1" si="109"/>
        <v>1</v>
      </c>
      <c r="D522" s="117">
        <f t="shared" ca="1" si="110"/>
        <v>1</v>
      </c>
      <c r="E522" s="117">
        <f t="shared" ca="1" si="111"/>
        <v>1</v>
      </c>
      <c r="F522" s="438"/>
      <c r="G522" s="7"/>
      <c r="H522" s="7"/>
      <c r="I522" s="7"/>
      <c r="K522" s="7"/>
      <c r="L522" s="7"/>
      <c r="M522" s="7"/>
      <c r="N522" s="7"/>
      <c r="O522" s="7"/>
      <c r="P522" s="7"/>
      <c r="R522" s="7"/>
      <c r="S522" s="7"/>
    </row>
    <row r="523" spans="1:19" ht="14.1" customHeight="1" x14ac:dyDescent="0.2">
      <c r="A523" s="116">
        <f ca="1">IF($H523="UNIDADE CONSTRUTIVA",OFFSET(A523,-1,0)+1,LARGE(A$3:A522,1))</f>
        <v>0</v>
      </c>
      <c r="B523" s="116">
        <f t="shared" ca="1" si="108"/>
        <v>22</v>
      </c>
      <c r="C523" s="116">
        <f t="shared" ca="1" si="109"/>
        <v>1</v>
      </c>
      <c r="D523" s="117">
        <f t="shared" ca="1" si="110"/>
        <v>1</v>
      </c>
      <c r="E523" s="117">
        <f t="shared" ca="1" si="111"/>
        <v>1</v>
      </c>
      <c r="F523" s="438"/>
      <c r="G523" s="7"/>
      <c r="H523" s="7"/>
      <c r="I523" s="7"/>
      <c r="K523" s="7"/>
      <c r="L523" s="7"/>
      <c r="M523" s="7"/>
      <c r="N523" s="7"/>
      <c r="O523" s="7"/>
      <c r="P523" s="7"/>
      <c r="R523" s="7"/>
      <c r="S523" s="7"/>
    </row>
    <row r="524" spans="1:19" ht="14.1" customHeight="1" x14ac:dyDescent="0.2">
      <c r="A524" s="116">
        <f ca="1">IF($H524="UNIDADE CONSTRUTIVA",OFFSET(A524,-1,0)+1,LARGE(A$3:A523,1))</f>
        <v>0</v>
      </c>
      <c r="B524" s="116">
        <f t="shared" ca="1" si="108"/>
        <v>22</v>
      </c>
      <c r="C524" s="116">
        <f t="shared" ca="1" si="109"/>
        <v>1</v>
      </c>
      <c r="D524" s="117">
        <f t="shared" ca="1" si="110"/>
        <v>1</v>
      </c>
      <c r="E524" s="117">
        <f t="shared" ca="1" si="111"/>
        <v>1</v>
      </c>
      <c r="F524" s="438"/>
      <c r="G524" s="7"/>
      <c r="H524" s="7"/>
      <c r="I524" s="7"/>
      <c r="K524" s="7"/>
      <c r="L524" s="7"/>
      <c r="M524" s="7"/>
      <c r="N524" s="7"/>
      <c r="O524" s="7"/>
      <c r="P524" s="7"/>
      <c r="R524" s="7"/>
      <c r="S524" s="7"/>
    </row>
    <row r="525" spans="1:19" ht="14.1" customHeight="1" x14ac:dyDescent="0.2">
      <c r="A525" s="116">
        <f ca="1">IF($H525="UNIDADE CONSTRUTIVA",OFFSET(A525,-1,0)+1,LARGE(A$3:A524,1))</f>
        <v>0</v>
      </c>
      <c r="B525" s="116">
        <f t="shared" ca="1" si="108"/>
        <v>22</v>
      </c>
      <c r="C525" s="116">
        <f t="shared" ca="1" si="109"/>
        <v>1</v>
      </c>
      <c r="D525" s="117">
        <f t="shared" ca="1" si="110"/>
        <v>1</v>
      </c>
      <c r="E525" s="117">
        <f t="shared" ca="1" si="111"/>
        <v>1</v>
      </c>
      <c r="F525" s="438"/>
      <c r="G525" s="7"/>
      <c r="H525" s="7"/>
      <c r="I525" s="7"/>
      <c r="K525" s="7"/>
      <c r="L525" s="7"/>
      <c r="M525" s="7"/>
      <c r="N525" s="7"/>
      <c r="O525" s="7"/>
      <c r="P525" s="7"/>
      <c r="R525" s="7"/>
      <c r="S525" s="7"/>
    </row>
    <row r="526" spans="1:19" ht="14.1" customHeight="1" x14ac:dyDescent="0.2">
      <c r="A526" s="116">
        <f ca="1">IF($H526="UNIDADE CONSTRUTIVA",OFFSET(A526,-1,0)+1,LARGE(A$3:A525,1))</f>
        <v>0</v>
      </c>
      <c r="B526" s="116">
        <f t="shared" ca="1" si="108"/>
        <v>22</v>
      </c>
      <c r="C526" s="116">
        <f t="shared" ca="1" si="109"/>
        <v>1</v>
      </c>
      <c r="D526" s="117">
        <f t="shared" ca="1" si="110"/>
        <v>1</v>
      </c>
      <c r="E526" s="117">
        <f t="shared" ca="1" si="111"/>
        <v>1</v>
      </c>
      <c r="F526" s="438"/>
      <c r="G526" s="7"/>
      <c r="H526" s="7"/>
      <c r="I526" s="7"/>
      <c r="K526" s="7"/>
      <c r="L526" s="7"/>
      <c r="M526" s="7"/>
      <c r="N526" s="7"/>
      <c r="O526" s="7"/>
      <c r="P526" s="7"/>
      <c r="R526" s="7"/>
      <c r="S526" s="7"/>
    </row>
    <row r="527" spans="1:19" ht="14.1" customHeight="1" x14ac:dyDescent="0.2">
      <c r="A527" s="116">
        <f ca="1">IF($H527="UNIDADE CONSTRUTIVA",OFFSET(A527,-1,0)+1,LARGE(A$3:A526,1))</f>
        <v>0</v>
      </c>
      <c r="B527" s="116">
        <f t="shared" ca="1" si="108"/>
        <v>22</v>
      </c>
      <c r="C527" s="116">
        <f t="shared" ca="1" si="109"/>
        <v>1</v>
      </c>
      <c r="D527" s="117">
        <f t="shared" ca="1" si="110"/>
        <v>1</v>
      </c>
      <c r="E527" s="117">
        <f t="shared" ca="1" si="111"/>
        <v>1</v>
      </c>
      <c r="F527" s="438"/>
      <c r="G527" s="7"/>
      <c r="H527" s="7"/>
      <c r="I527" s="7"/>
      <c r="K527" s="7"/>
      <c r="L527" s="7"/>
      <c r="M527" s="7"/>
      <c r="N527" s="7"/>
      <c r="O527" s="7"/>
      <c r="P527" s="7"/>
      <c r="R527" s="7"/>
      <c r="S527" s="7"/>
    </row>
    <row r="528" spans="1:19" ht="14.1" customHeight="1" x14ac:dyDescent="0.2">
      <c r="A528" s="116">
        <f ca="1">IF($H528="UNIDADE CONSTRUTIVA",OFFSET(A528,-1,0)+1,LARGE(A$3:A527,1))</f>
        <v>0</v>
      </c>
      <c r="B528" s="116">
        <f t="shared" ca="1" si="108"/>
        <v>22</v>
      </c>
      <c r="C528" s="116">
        <f t="shared" ca="1" si="109"/>
        <v>1</v>
      </c>
      <c r="D528" s="117">
        <f t="shared" ca="1" si="110"/>
        <v>1</v>
      </c>
      <c r="E528" s="117">
        <f t="shared" ca="1" si="111"/>
        <v>1</v>
      </c>
      <c r="F528" s="438"/>
      <c r="G528" s="7"/>
      <c r="H528" s="7"/>
      <c r="I528" s="7"/>
      <c r="K528" s="7"/>
      <c r="L528" s="7"/>
      <c r="M528" s="7"/>
      <c r="N528" s="7"/>
      <c r="O528" s="7"/>
      <c r="P528" s="7"/>
      <c r="R528" s="7"/>
      <c r="S528" s="7"/>
    </row>
    <row r="529" spans="1:19" ht="14.1" customHeight="1" x14ac:dyDescent="0.2">
      <c r="A529" s="116">
        <f ca="1">IF($H529="UNIDADE CONSTRUTIVA",OFFSET(A529,-1,0)+1,LARGE(A$3:A528,1))</f>
        <v>0</v>
      </c>
      <c r="B529" s="116">
        <f t="shared" ca="1" si="108"/>
        <v>22</v>
      </c>
      <c r="C529" s="116">
        <f t="shared" ca="1" si="109"/>
        <v>1</v>
      </c>
      <c r="D529" s="117">
        <f t="shared" ca="1" si="110"/>
        <v>1</v>
      </c>
      <c r="E529" s="117">
        <f t="shared" ca="1" si="111"/>
        <v>1</v>
      </c>
      <c r="F529" s="438"/>
      <c r="G529" s="7"/>
      <c r="H529" s="7"/>
      <c r="I529" s="7"/>
      <c r="K529" s="7"/>
      <c r="L529" s="7"/>
      <c r="M529" s="7"/>
      <c r="N529" s="7"/>
      <c r="O529" s="7"/>
      <c r="P529" s="7"/>
      <c r="R529" s="7"/>
      <c r="S529" s="7"/>
    </row>
    <row r="530" spans="1:19" ht="14.1" customHeight="1" x14ac:dyDescent="0.2">
      <c r="A530" s="116">
        <f ca="1">IF($H530="UNIDADE CONSTRUTIVA",OFFSET(A530,-1,0)+1,LARGE(A$3:A529,1))</f>
        <v>0</v>
      </c>
      <c r="B530" s="116">
        <f t="shared" ca="1" si="108"/>
        <v>22</v>
      </c>
      <c r="C530" s="116">
        <f t="shared" ca="1" si="109"/>
        <v>1</v>
      </c>
      <c r="D530" s="117">
        <f t="shared" ca="1" si="110"/>
        <v>1</v>
      </c>
      <c r="E530" s="117">
        <f t="shared" ca="1" si="111"/>
        <v>1</v>
      </c>
      <c r="F530" s="438"/>
      <c r="G530" s="7"/>
      <c r="H530" s="7"/>
      <c r="I530" s="7"/>
      <c r="K530" s="7"/>
      <c r="L530" s="7"/>
      <c r="M530" s="7"/>
      <c r="N530" s="7"/>
      <c r="O530" s="7"/>
      <c r="P530" s="7"/>
      <c r="R530" s="7"/>
      <c r="S530" s="7"/>
    </row>
    <row r="531" spans="1:19" ht="14.1" customHeight="1" x14ac:dyDescent="0.2">
      <c r="A531" s="116">
        <f ca="1">IF($H531="UNIDADE CONSTRUTIVA",OFFSET(A531,-1,0)+1,LARGE(A$3:A530,1))</f>
        <v>0</v>
      </c>
      <c r="B531" s="116">
        <f t="shared" ca="1" si="108"/>
        <v>22</v>
      </c>
      <c r="C531" s="116">
        <f t="shared" ca="1" si="109"/>
        <v>1</v>
      </c>
      <c r="D531" s="117">
        <f t="shared" ca="1" si="110"/>
        <v>1</v>
      </c>
      <c r="E531" s="117">
        <f t="shared" ca="1" si="111"/>
        <v>1</v>
      </c>
      <c r="F531" s="438"/>
      <c r="G531" s="7"/>
      <c r="H531" s="7"/>
      <c r="I531" s="7"/>
      <c r="K531" s="7"/>
      <c r="L531" s="7"/>
      <c r="M531" s="7"/>
      <c r="N531" s="7"/>
      <c r="O531" s="7"/>
      <c r="P531" s="7"/>
      <c r="R531" s="7"/>
      <c r="S531" s="7"/>
    </row>
    <row r="532" spans="1:19" ht="14.1" customHeight="1" x14ac:dyDescent="0.2">
      <c r="A532" s="116">
        <f ca="1">IF($H532="UNIDADE CONSTRUTIVA",OFFSET(A532,-1,0)+1,LARGE(A$3:A531,1))</f>
        <v>0</v>
      </c>
      <c r="B532" s="116">
        <f t="shared" ca="1" si="108"/>
        <v>22</v>
      </c>
      <c r="C532" s="116">
        <f t="shared" ca="1" si="109"/>
        <v>1</v>
      </c>
      <c r="D532" s="117">
        <f t="shared" ca="1" si="110"/>
        <v>1</v>
      </c>
      <c r="E532" s="117">
        <f t="shared" ca="1" si="111"/>
        <v>1</v>
      </c>
      <c r="F532" s="438"/>
      <c r="G532" s="7"/>
      <c r="H532" s="7"/>
      <c r="I532" s="7"/>
      <c r="K532" s="7"/>
      <c r="L532" s="7"/>
      <c r="M532" s="7"/>
      <c r="N532" s="7"/>
      <c r="O532" s="7"/>
      <c r="P532" s="7"/>
      <c r="R532" s="7"/>
      <c r="S532" s="7"/>
    </row>
    <row r="533" spans="1:19" ht="14.1" customHeight="1" x14ac:dyDescent="0.2">
      <c r="A533" s="116">
        <f ca="1">IF($H533="UNIDADE CONSTRUTIVA",OFFSET(A533,-1,0)+1,LARGE(A$3:A532,1))</f>
        <v>0</v>
      </c>
      <c r="B533" s="116">
        <f t="shared" ca="1" si="108"/>
        <v>22</v>
      </c>
      <c r="C533" s="116">
        <f t="shared" ca="1" si="109"/>
        <v>1</v>
      </c>
      <c r="D533" s="117">
        <f t="shared" ca="1" si="110"/>
        <v>1</v>
      </c>
      <c r="E533" s="117">
        <f t="shared" ca="1" si="111"/>
        <v>1</v>
      </c>
      <c r="F533" s="438"/>
      <c r="G533" s="7"/>
      <c r="H533" s="7"/>
      <c r="I533" s="7"/>
      <c r="K533" s="7"/>
      <c r="L533" s="7"/>
      <c r="M533" s="7"/>
      <c r="N533" s="7"/>
      <c r="O533" s="7"/>
      <c r="P533" s="7"/>
      <c r="R533" s="7"/>
      <c r="S533" s="7"/>
    </row>
    <row r="534" spans="1:19" ht="14.1" customHeight="1" x14ac:dyDescent="0.2">
      <c r="A534" s="116">
        <f ca="1">IF($H534="UNIDADE CONSTRUTIVA",OFFSET(A534,-1,0)+1,LARGE(A$3:A533,1))</f>
        <v>0</v>
      </c>
      <c r="B534" s="116">
        <f t="shared" ca="1" si="108"/>
        <v>22</v>
      </c>
      <c r="C534" s="116">
        <f t="shared" ca="1" si="109"/>
        <v>1</v>
      </c>
      <c r="D534" s="117">
        <f t="shared" ca="1" si="110"/>
        <v>1</v>
      </c>
      <c r="E534" s="117">
        <f t="shared" ca="1" si="111"/>
        <v>1</v>
      </c>
      <c r="F534" s="438"/>
      <c r="G534" s="7"/>
      <c r="H534" s="7"/>
      <c r="I534" s="7"/>
      <c r="K534" s="7"/>
      <c r="L534" s="7"/>
      <c r="M534" s="7"/>
      <c r="N534" s="7"/>
      <c r="O534" s="7"/>
      <c r="P534" s="7"/>
      <c r="R534" s="7"/>
      <c r="S534" s="7"/>
    </row>
    <row r="535" spans="1:19" ht="14.1" customHeight="1" x14ac:dyDescent="0.2">
      <c r="A535" s="116">
        <f ca="1">IF($H535="UNIDADE CONSTRUTIVA",OFFSET(A535,-1,0)+1,LARGE(A$3:A534,1))</f>
        <v>0</v>
      </c>
      <c r="B535" s="116">
        <f t="shared" ca="1" si="108"/>
        <v>22</v>
      </c>
      <c r="C535" s="116">
        <f t="shared" ca="1" si="109"/>
        <v>1</v>
      </c>
      <c r="D535" s="117">
        <f t="shared" ca="1" si="110"/>
        <v>1</v>
      </c>
      <c r="E535" s="117">
        <f t="shared" ca="1" si="111"/>
        <v>1</v>
      </c>
      <c r="F535" s="438"/>
      <c r="G535" s="7"/>
      <c r="H535" s="7"/>
      <c r="I535" s="7"/>
      <c r="K535" s="7"/>
      <c r="L535" s="7"/>
      <c r="M535" s="7"/>
      <c r="N535" s="7"/>
      <c r="O535" s="7"/>
      <c r="P535" s="7"/>
      <c r="R535" s="7"/>
      <c r="S535" s="7"/>
    </row>
    <row r="536" spans="1:19" ht="14.1" customHeight="1" x14ac:dyDescent="0.2">
      <c r="A536" s="116">
        <f ca="1">IF($H536="UNIDADE CONSTRUTIVA",OFFSET(A536,-1,0)+1,LARGE(A$3:A535,1))</f>
        <v>0</v>
      </c>
      <c r="B536" s="116">
        <f t="shared" ca="1" si="108"/>
        <v>22</v>
      </c>
      <c r="C536" s="116">
        <f t="shared" ca="1" si="109"/>
        <v>1</v>
      </c>
      <c r="D536" s="117">
        <f t="shared" ca="1" si="110"/>
        <v>1</v>
      </c>
      <c r="E536" s="117">
        <f t="shared" ca="1" si="111"/>
        <v>1</v>
      </c>
      <c r="F536" s="438"/>
      <c r="G536" s="7"/>
      <c r="H536" s="7"/>
      <c r="I536" s="7"/>
      <c r="K536" s="7"/>
      <c r="L536" s="7"/>
      <c r="M536" s="7"/>
      <c r="N536" s="7"/>
      <c r="O536" s="7"/>
      <c r="P536" s="7"/>
      <c r="R536" s="7"/>
      <c r="S536" s="7"/>
    </row>
    <row r="537" spans="1:19" ht="14.1" customHeight="1" x14ac:dyDescent="0.2">
      <c r="A537" s="116">
        <f ca="1">IF($H537="UNIDADE CONSTRUTIVA",OFFSET(A537,-1,0)+1,LARGE(A$3:A536,1))</f>
        <v>0</v>
      </c>
      <c r="B537" s="116">
        <f t="shared" ca="1" si="108"/>
        <v>22</v>
      </c>
      <c r="C537" s="116">
        <f t="shared" ca="1" si="109"/>
        <v>1</v>
      </c>
      <c r="D537" s="117">
        <f t="shared" ca="1" si="110"/>
        <v>1</v>
      </c>
      <c r="E537" s="117">
        <f t="shared" ca="1" si="111"/>
        <v>1</v>
      </c>
      <c r="F537" s="438"/>
      <c r="G537" s="7"/>
      <c r="H537" s="7"/>
      <c r="I537" s="7"/>
      <c r="K537" s="7"/>
      <c r="L537" s="7"/>
      <c r="M537" s="7"/>
      <c r="N537" s="7"/>
      <c r="O537" s="7"/>
      <c r="P537" s="7"/>
      <c r="R537" s="7"/>
      <c r="S537" s="7"/>
    </row>
    <row r="538" spans="1:19" ht="14.1" customHeight="1" x14ac:dyDescent="0.2">
      <c r="A538" s="116">
        <f ca="1">IF($H538="UNIDADE CONSTRUTIVA",OFFSET(A538,-1,0)+1,LARGE(A$3:A537,1))</f>
        <v>0</v>
      </c>
      <c r="B538" s="116">
        <f t="shared" ca="1" si="108"/>
        <v>22</v>
      </c>
      <c r="C538" s="116">
        <f t="shared" ca="1" si="109"/>
        <v>1</v>
      </c>
      <c r="D538" s="117">
        <f t="shared" ca="1" si="110"/>
        <v>1</v>
      </c>
      <c r="E538" s="117">
        <f t="shared" ca="1" si="111"/>
        <v>1</v>
      </c>
      <c r="F538" s="438"/>
      <c r="G538" s="7"/>
      <c r="H538" s="7"/>
      <c r="I538" s="7"/>
      <c r="K538" s="7"/>
      <c r="L538" s="7"/>
      <c r="M538" s="7"/>
      <c r="N538" s="7"/>
      <c r="O538" s="7"/>
      <c r="P538" s="7"/>
      <c r="R538" s="7"/>
      <c r="S538" s="7"/>
    </row>
    <row r="539" spans="1:19" ht="14.1" customHeight="1" x14ac:dyDescent="0.2">
      <c r="A539" s="116">
        <f ca="1">IF($H539="UNIDADE CONSTRUTIVA",OFFSET(A539,-1,0)+1,LARGE(A$3:A538,1))</f>
        <v>0</v>
      </c>
      <c r="B539" s="116">
        <f t="shared" ca="1" si="108"/>
        <v>22</v>
      </c>
      <c r="C539" s="116">
        <f t="shared" ca="1" si="109"/>
        <v>1</v>
      </c>
      <c r="D539" s="117">
        <f t="shared" ca="1" si="110"/>
        <v>1</v>
      </c>
      <c r="E539" s="117">
        <f t="shared" ca="1" si="111"/>
        <v>1</v>
      </c>
      <c r="F539" s="438"/>
      <c r="G539" s="7"/>
      <c r="H539" s="7"/>
      <c r="I539" s="7"/>
      <c r="K539" s="7"/>
      <c r="L539" s="7"/>
      <c r="M539" s="7"/>
      <c r="N539" s="7"/>
      <c r="O539" s="7"/>
      <c r="P539" s="7"/>
      <c r="R539" s="7"/>
      <c r="S539" s="7"/>
    </row>
    <row r="540" spans="1:19" ht="14.1" customHeight="1" x14ac:dyDescent="0.2">
      <c r="A540" s="116">
        <f ca="1">IF($H540="UNIDADE CONSTRUTIVA",OFFSET(A540,-1,0)+1,LARGE(A$3:A539,1))</f>
        <v>0</v>
      </c>
      <c r="B540" s="116">
        <f t="shared" ca="1" si="108"/>
        <v>22</v>
      </c>
      <c r="C540" s="116">
        <f t="shared" ca="1" si="109"/>
        <v>1</v>
      </c>
      <c r="D540" s="117">
        <f t="shared" ca="1" si="110"/>
        <v>1</v>
      </c>
      <c r="E540" s="117">
        <f t="shared" ca="1" si="111"/>
        <v>1</v>
      </c>
      <c r="F540" s="438"/>
      <c r="G540" s="7"/>
      <c r="H540" s="7"/>
      <c r="I540" s="7"/>
      <c r="K540" s="7"/>
      <c r="L540" s="7"/>
      <c r="M540" s="7"/>
      <c r="N540" s="7"/>
      <c r="O540" s="7"/>
      <c r="P540" s="7"/>
      <c r="R540" s="7"/>
      <c r="S540" s="7"/>
    </row>
    <row r="541" spans="1:19" ht="14.1" customHeight="1" x14ac:dyDescent="0.2">
      <c r="A541" s="116">
        <f ca="1">IF($H541="UNIDADE CONSTRUTIVA",OFFSET(A541,-1,0)+1,LARGE(A$3:A540,1))</f>
        <v>0</v>
      </c>
      <c r="B541" s="116">
        <f t="shared" ca="1" si="108"/>
        <v>22</v>
      </c>
      <c r="C541" s="116">
        <f t="shared" ca="1" si="109"/>
        <v>1</v>
      </c>
      <c r="D541" s="117">
        <f t="shared" ca="1" si="110"/>
        <v>1</v>
      </c>
      <c r="E541" s="117">
        <f t="shared" ca="1" si="111"/>
        <v>1</v>
      </c>
      <c r="F541" s="438"/>
      <c r="G541" s="7"/>
      <c r="H541" s="7"/>
      <c r="I541" s="7"/>
      <c r="K541" s="7"/>
      <c r="L541" s="7"/>
      <c r="M541" s="7"/>
      <c r="N541" s="7"/>
      <c r="O541" s="7"/>
      <c r="P541" s="7"/>
      <c r="R541" s="7"/>
      <c r="S541" s="7"/>
    </row>
    <row r="542" spans="1:19" ht="14.1" customHeight="1" x14ac:dyDescent="0.2">
      <c r="A542" s="116">
        <f ca="1">IF($H542="UNIDADE CONSTRUTIVA",OFFSET(A542,-1,0)+1,LARGE(A$3:A541,1))</f>
        <v>0</v>
      </c>
      <c r="B542" s="116">
        <f t="shared" ca="1" si="108"/>
        <v>22</v>
      </c>
      <c r="C542" s="116">
        <f t="shared" ca="1" si="109"/>
        <v>1</v>
      </c>
      <c r="D542" s="117">
        <f t="shared" ca="1" si="110"/>
        <v>1</v>
      </c>
      <c r="E542" s="117">
        <f t="shared" ca="1" si="111"/>
        <v>1</v>
      </c>
      <c r="F542" s="438"/>
      <c r="G542" s="7"/>
      <c r="H542" s="7"/>
      <c r="I542" s="7"/>
      <c r="K542" s="7"/>
      <c r="L542" s="7"/>
      <c r="M542" s="7"/>
      <c r="N542" s="7"/>
      <c r="O542" s="7"/>
      <c r="P542" s="7"/>
      <c r="R542" s="7"/>
      <c r="S542" s="7"/>
    </row>
    <row r="543" spans="1:19" ht="14.1" customHeight="1" x14ac:dyDescent="0.2">
      <c r="A543" s="116">
        <f ca="1">IF($H543="UNIDADE CONSTRUTIVA",OFFSET(A543,-1,0)+1,LARGE(A$3:A542,1))</f>
        <v>0</v>
      </c>
      <c r="B543" s="116">
        <f t="shared" ca="1" si="108"/>
        <v>22</v>
      </c>
      <c r="C543" s="116">
        <f t="shared" ca="1" si="109"/>
        <v>1</v>
      </c>
      <c r="D543" s="117">
        <f t="shared" ca="1" si="110"/>
        <v>1</v>
      </c>
      <c r="E543" s="117">
        <f t="shared" ca="1" si="111"/>
        <v>1</v>
      </c>
      <c r="F543" s="438"/>
      <c r="G543" s="7"/>
      <c r="H543" s="7"/>
      <c r="I543" s="7"/>
      <c r="K543" s="7"/>
      <c r="L543" s="7"/>
      <c r="M543" s="7"/>
      <c r="N543" s="7"/>
      <c r="O543" s="7"/>
      <c r="P543" s="7"/>
      <c r="R543" s="7"/>
      <c r="S543" s="7"/>
    </row>
    <row r="544" spans="1:19" ht="14.1" customHeight="1" x14ac:dyDescent="0.2">
      <c r="A544" s="116">
        <f ca="1">IF($H544="UNIDADE CONSTRUTIVA",OFFSET(A544,-1,0)+1,LARGE(A$3:A543,1))</f>
        <v>0</v>
      </c>
      <c r="B544" s="116">
        <f t="shared" ca="1" si="108"/>
        <v>22</v>
      </c>
      <c r="C544" s="116">
        <f t="shared" ca="1" si="109"/>
        <v>1</v>
      </c>
      <c r="D544" s="117">
        <f t="shared" ca="1" si="110"/>
        <v>1</v>
      </c>
      <c r="E544" s="117">
        <f t="shared" ca="1" si="111"/>
        <v>1</v>
      </c>
      <c r="F544" s="438"/>
      <c r="G544" s="7"/>
      <c r="H544" s="7"/>
      <c r="I544" s="7"/>
      <c r="K544" s="7"/>
      <c r="L544" s="7"/>
      <c r="M544" s="7"/>
      <c r="N544" s="7"/>
      <c r="O544" s="7"/>
      <c r="P544" s="7"/>
      <c r="R544" s="7"/>
      <c r="S544" s="7"/>
    </row>
    <row r="545" spans="1:19" ht="14.1" customHeight="1" x14ac:dyDescent="0.2">
      <c r="A545" s="116">
        <f ca="1">IF($H545="UNIDADE CONSTRUTIVA",OFFSET(A545,-1,0)+1,LARGE(A$3:A544,1))</f>
        <v>0</v>
      </c>
      <c r="B545" s="116">
        <f t="shared" ca="1" si="108"/>
        <v>22</v>
      </c>
      <c r="C545" s="116">
        <f t="shared" ca="1" si="109"/>
        <v>1</v>
      </c>
      <c r="D545" s="117">
        <f t="shared" ca="1" si="110"/>
        <v>1</v>
      </c>
      <c r="E545" s="117">
        <f t="shared" ca="1" si="111"/>
        <v>1</v>
      </c>
      <c r="F545" s="438"/>
      <c r="G545" s="7"/>
      <c r="H545" s="7"/>
      <c r="I545" s="7"/>
      <c r="K545" s="7"/>
      <c r="L545" s="7"/>
      <c r="M545" s="7"/>
      <c r="N545" s="7"/>
      <c r="O545" s="7"/>
      <c r="P545" s="7"/>
      <c r="R545" s="7"/>
      <c r="S545" s="7"/>
    </row>
    <row r="546" spans="1:19" ht="14.1" customHeight="1" x14ac:dyDescent="0.2">
      <c r="A546" s="116">
        <f ca="1">IF($H546="UNIDADE CONSTRUTIVA",OFFSET(A546,-1,0)+1,LARGE(A$3:A545,1))</f>
        <v>0</v>
      </c>
      <c r="B546" s="116">
        <f t="shared" ca="1" si="108"/>
        <v>22</v>
      </c>
      <c r="C546" s="116">
        <f t="shared" ca="1" si="109"/>
        <v>1</v>
      </c>
      <c r="D546" s="117">
        <f t="shared" ca="1" si="110"/>
        <v>1</v>
      </c>
      <c r="E546" s="117">
        <f t="shared" ca="1" si="111"/>
        <v>1</v>
      </c>
      <c r="F546" s="438"/>
      <c r="G546" s="7"/>
      <c r="H546" s="7"/>
      <c r="I546" s="7"/>
      <c r="K546" s="7"/>
      <c r="L546" s="7"/>
      <c r="M546" s="7"/>
      <c r="N546" s="7"/>
      <c r="O546" s="7"/>
      <c r="P546" s="7"/>
      <c r="R546" s="7"/>
      <c r="S546" s="7"/>
    </row>
    <row r="547" spans="1:19" ht="14.1" customHeight="1" x14ac:dyDescent="0.2">
      <c r="A547" s="116">
        <f ca="1">IF($H547="UNIDADE CONSTRUTIVA",OFFSET(A547,-1,0)+1,LARGE(A$3:A546,1))</f>
        <v>0</v>
      </c>
      <c r="B547" s="116">
        <f t="shared" ca="1" si="108"/>
        <v>22</v>
      </c>
      <c r="C547" s="116">
        <f t="shared" ca="1" si="109"/>
        <v>1</v>
      </c>
      <c r="D547" s="117">
        <f t="shared" ca="1" si="110"/>
        <v>1</v>
      </c>
      <c r="E547" s="117">
        <f t="shared" ca="1" si="111"/>
        <v>1</v>
      </c>
      <c r="F547" s="438"/>
      <c r="G547" s="7"/>
      <c r="H547" s="7"/>
      <c r="I547" s="7"/>
      <c r="K547" s="7"/>
      <c r="L547" s="7"/>
      <c r="M547" s="7"/>
      <c r="N547" s="7"/>
      <c r="O547" s="7"/>
      <c r="P547" s="7"/>
      <c r="R547" s="7"/>
      <c r="S547" s="7"/>
    </row>
    <row r="548" spans="1:19" ht="14.1" customHeight="1" x14ac:dyDescent="0.2">
      <c r="A548" s="116">
        <f ca="1">IF($H548="UNIDADE CONSTRUTIVA",OFFSET(A548,-1,0)+1,LARGE(A$3:A547,1))</f>
        <v>0</v>
      </c>
      <c r="B548" s="116">
        <f t="shared" ca="1" si="108"/>
        <v>22</v>
      </c>
      <c r="C548" s="116">
        <f t="shared" ca="1" si="109"/>
        <v>1</v>
      </c>
      <c r="D548" s="117">
        <f t="shared" ca="1" si="110"/>
        <v>1</v>
      </c>
      <c r="E548" s="117">
        <f t="shared" ca="1" si="111"/>
        <v>1</v>
      </c>
      <c r="F548" s="438"/>
      <c r="G548" s="7"/>
      <c r="H548" s="7"/>
      <c r="I548" s="7"/>
      <c r="K548" s="7"/>
      <c r="L548" s="7"/>
      <c r="M548" s="7"/>
      <c r="N548" s="7"/>
      <c r="O548" s="7"/>
      <c r="P548" s="7"/>
      <c r="R548" s="7"/>
      <c r="S548" s="7"/>
    </row>
    <row r="549" spans="1:19" ht="14.1" customHeight="1" x14ac:dyDescent="0.2">
      <c r="A549" s="116">
        <f ca="1">IF($H549="UNIDADE CONSTRUTIVA",OFFSET(A549,-1,0)+1,LARGE(A$3:A548,1))</f>
        <v>0</v>
      </c>
      <c r="B549" s="116">
        <f t="shared" ca="1" si="108"/>
        <v>22</v>
      </c>
      <c r="C549" s="116">
        <f t="shared" ca="1" si="109"/>
        <v>1</v>
      </c>
      <c r="D549" s="117">
        <f t="shared" ca="1" si="110"/>
        <v>1</v>
      </c>
      <c r="E549" s="117">
        <f t="shared" ca="1" si="111"/>
        <v>1</v>
      </c>
      <c r="F549" s="438"/>
      <c r="G549" s="7"/>
      <c r="H549" s="7"/>
      <c r="I549" s="7"/>
      <c r="K549" s="7"/>
      <c r="L549" s="7"/>
      <c r="M549" s="7"/>
      <c r="N549" s="7"/>
      <c r="O549" s="7"/>
      <c r="P549" s="7"/>
      <c r="R549" s="7"/>
      <c r="S549" s="7"/>
    </row>
    <row r="550" spans="1:19" ht="14.1" customHeight="1" x14ac:dyDescent="0.2">
      <c r="A550" s="116">
        <f ca="1">IF($H550="UNIDADE CONSTRUTIVA",OFFSET(A550,-1,0)+1,LARGE(A$3:A549,1))</f>
        <v>0</v>
      </c>
      <c r="B550" s="116">
        <f t="shared" ca="1" si="108"/>
        <v>22</v>
      </c>
      <c r="C550" s="116">
        <f t="shared" ca="1" si="109"/>
        <v>1</v>
      </c>
      <c r="D550" s="117">
        <f t="shared" ca="1" si="110"/>
        <v>1</v>
      </c>
      <c r="E550" s="117">
        <f t="shared" ca="1" si="111"/>
        <v>1</v>
      </c>
      <c r="F550" s="438"/>
      <c r="G550" s="7"/>
      <c r="H550" s="7"/>
      <c r="I550" s="7"/>
      <c r="K550" s="7"/>
      <c r="L550" s="7"/>
      <c r="M550" s="7"/>
      <c r="N550" s="7"/>
      <c r="O550" s="7"/>
      <c r="P550" s="7"/>
      <c r="R550" s="7"/>
      <c r="S550" s="7"/>
    </row>
    <row r="551" spans="1:19" ht="14.1" customHeight="1" x14ac:dyDescent="0.2">
      <c r="A551" s="116">
        <f ca="1">IF($H551="UNIDADE CONSTRUTIVA",OFFSET(A551,-1,0)+1,LARGE(A$3:A550,1))</f>
        <v>0</v>
      </c>
      <c r="B551" s="116">
        <f t="shared" ca="1" si="108"/>
        <v>22</v>
      </c>
      <c r="C551" s="116">
        <f t="shared" ca="1" si="109"/>
        <v>1</v>
      </c>
      <c r="D551" s="117">
        <f t="shared" ca="1" si="110"/>
        <v>1</v>
      </c>
      <c r="E551" s="117">
        <f t="shared" ca="1" si="111"/>
        <v>1</v>
      </c>
      <c r="F551" s="438"/>
      <c r="G551" s="7"/>
      <c r="H551" s="7"/>
      <c r="I551" s="7"/>
      <c r="K551" s="7"/>
      <c r="L551" s="7"/>
      <c r="M551" s="7"/>
      <c r="N551" s="7"/>
      <c r="O551" s="7"/>
      <c r="P551" s="7"/>
      <c r="R551" s="7"/>
      <c r="S551" s="7"/>
    </row>
    <row r="552" spans="1:19" ht="14.1" customHeight="1" x14ac:dyDescent="0.2">
      <c r="A552" s="116">
        <f ca="1">IF($H552="UNIDADE CONSTRUTIVA",OFFSET(A552,-1,0)+1,LARGE(A$3:A551,1))</f>
        <v>0</v>
      </c>
      <c r="B552" s="116">
        <f t="shared" ca="1" si="108"/>
        <v>22</v>
      </c>
      <c r="C552" s="116">
        <f t="shared" ca="1" si="109"/>
        <v>1</v>
      </c>
      <c r="D552" s="117">
        <f t="shared" ca="1" si="110"/>
        <v>1</v>
      </c>
      <c r="E552" s="117">
        <f t="shared" ca="1" si="111"/>
        <v>1</v>
      </c>
      <c r="F552" s="438"/>
      <c r="G552" s="7"/>
      <c r="H552" s="7"/>
      <c r="I552" s="7"/>
      <c r="K552" s="7"/>
      <c r="L552" s="7"/>
      <c r="M552" s="7"/>
      <c r="N552" s="7"/>
      <c r="O552" s="7"/>
      <c r="P552" s="7"/>
      <c r="R552" s="7"/>
      <c r="S552" s="7"/>
    </row>
    <row r="553" spans="1:19" ht="14.1" customHeight="1" x14ac:dyDescent="0.2">
      <c r="A553" s="116">
        <f ca="1">IF($H553="UNIDADE CONSTRUTIVA",OFFSET(A553,-1,0)+1,LARGE(A$3:A552,1))</f>
        <v>0</v>
      </c>
      <c r="B553" s="116">
        <f t="shared" ca="1" si="108"/>
        <v>22</v>
      </c>
      <c r="C553" s="116">
        <f t="shared" ca="1" si="109"/>
        <v>1</v>
      </c>
      <c r="D553" s="117">
        <f t="shared" ca="1" si="110"/>
        <v>1</v>
      </c>
      <c r="E553" s="117">
        <f t="shared" ca="1" si="111"/>
        <v>1</v>
      </c>
      <c r="F553" s="438"/>
      <c r="G553" s="7"/>
      <c r="H553" s="7"/>
      <c r="I553" s="7"/>
      <c r="K553" s="7"/>
      <c r="L553" s="7"/>
      <c r="M553" s="7"/>
      <c r="N553" s="7"/>
      <c r="O553" s="7"/>
      <c r="P553" s="7"/>
      <c r="R553" s="7"/>
      <c r="S553" s="7"/>
    </row>
    <row r="554" spans="1:19" ht="14.1" customHeight="1" x14ac:dyDescent="0.2">
      <c r="A554" s="116">
        <f ca="1">IF($H554="UNIDADE CONSTRUTIVA",OFFSET(A554,-1,0)+1,LARGE(A$3:A553,1))</f>
        <v>0</v>
      </c>
      <c r="B554" s="116">
        <f t="shared" ca="1" si="108"/>
        <v>22</v>
      </c>
      <c r="C554" s="116">
        <f t="shared" ca="1" si="109"/>
        <v>1</v>
      </c>
      <c r="D554" s="117">
        <f t="shared" ca="1" si="110"/>
        <v>1</v>
      </c>
      <c r="E554" s="117">
        <f t="shared" ca="1" si="111"/>
        <v>1</v>
      </c>
      <c r="F554" s="438"/>
      <c r="G554" s="7"/>
      <c r="H554" s="7"/>
      <c r="I554" s="7"/>
      <c r="K554" s="7"/>
      <c r="L554" s="7"/>
      <c r="M554" s="7"/>
      <c r="N554" s="7"/>
      <c r="O554" s="7"/>
      <c r="P554" s="7"/>
      <c r="R554" s="7"/>
      <c r="S554" s="7"/>
    </row>
    <row r="555" spans="1:19" ht="14.1" customHeight="1" x14ac:dyDescent="0.2">
      <c r="A555" s="116">
        <f ca="1">IF($H555="UNIDADE CONSTRUTIVA",OFFSET(A555,-1,0)+1,LARGE(A$3:A554,1))</f>
        <v>0</v>
      </c>
      <c r="B555" s="116">
        <f t="shared" ca="1" si="108"/>
        <v>22</v>
      </c>
      <c r="C555" s="116">
        <f t="shared" ca="1" si="109"/>
        <v>1</v>
      </c>
      <c r="D555" s="117">
        <f t="shared" ca="1" si="110"/>
        <v>1</v>
      </c>
      <c r="E555" s="117">
        <f t="shared" ca="1" si="111"/>
        <v>1</v>
      </c>
      <c r="F555" s="438"/>
      <c r="G555" s="7"/>
      <c r="H555" s="7"/>
      <c r="I555" s="7"/>
      <c r="K555" s="7"/>
      <c r="L555" s="7"/>
      <c r="M555" s="7"/>
      <c r="N555" s="7"/>
      <c r="O555" s="7"/>
      <c r="P555" s="7"/>
      <c r="R555" s="7"/>
      <c r="S555" s="7"/>
    </row>
    <row r="556" spans="1:19" ht="14.1" customHeight="1" x14ac:dyDescent="0.2">
      <c r="A556" s="116">
        <f ca="1">IF($H556="UNIDADE CONSTRUTIVA",OFFSET(A556,-1,0)+1,LARGE(A$3:A555,1))</f>
        <v>0</v>
      </c>
      <c r="B556" s="116">
        <f t="shared" ca="1" si="108"/>
        <v>22</v>
      </c>
      <c r="C556" s="116">
        <f t="shared" ca="1" si="109"/>
        <v>1</v>
      </c>
      <c r="D556" s="117">
        <f t="shared" ca="1" si="110"/>
        <v>1</v>
      </c>
      <c r="E556" s="117">
        <f t="shared" ca="1" si="111"/>
        <v>1</v>
      </c>
      <c r="F556" s="438"/>
      <c r="G556" s="7"/>
      <c r="H556" s="7"/>
      <c r="I556" s="7"/>
      <c r="K556" s="7"/>
      <c r="L556" s="7"/>
      <c r="M556" s="7"/>
      <c r="N556" s="7"/>
      <c r="O556" s="7"/>
      <c r="P556" s="7"/>
      <c r="R556" s="7"/>
      <c r="S556" s="7"/>
    </row>
    <row r="557" spans="1:19" ht="14.1" customHeight="1" x14ac:dyDescent="0.2">
      <c r="A557" s="116">
        <f ca="1">IF($H557="UNIDADE CONSTRUTIVA",OFFSET(A557,-1,0)+1,LARGE(A$3:A556,1))</f>
        <v>0</v>
      </c>
      <c r="B557" s="116">
        <f t="shared" ca="1" si="108"/>
        <v>22</v>
      </c>
      <c r="C557" s="116">
        <f t="shared" ca="1" si="109"/>
        <v>1</v>
      </c>
      <c r="D557" s="117">
        <f t="shared" ca="1" si="110"/>
        <v>1</v>
      </c>
      <c r="E557" s="117">
        <f t="shared" ca="1" si="111"/>
        <v>1</v>
      </c>
      <c r="F557" s="438"/>
      <c r="G557" s="7"/>
      <c r="H557" s="7"/>
      <c r="I557" s="7"/>
      <c r="K557" s="7"/>
      <c r="L557" s="7"/>
      <c r="M557" s="7"/>
      <c r="N557" s="7"/>
      <c r="O557" s="7"/>
      <c r="P557" s="7"/>
      <c r="R557" s="7"/>
      <c r="S557" s="7"/>
    </row>
    <row r="558" spans="1:19" ht="14.1" customHeight="1" x14ac:dyDescent="0.2">
      <c r="A558" s="116">
        <f ca="1">IF($H558="UNIDADE CONSTRUTIVA",OFFSET(A558,-1,0)+1,LARGE(A$3:A557,1))</f>
        <v>0</v>
      </c>
      <c r="B558" s="116">
        <f t="shared" ca="1" si="108"/>
        <v>22</v>
      </c>
      <c r="C558" s="116">
        <f t="shared" ca="1" si="109"/>
        <v>1</v>
      </c>
      <c r="D558" s="117">
        <f t="shared" ca="1" si="110"/>
        <v>1</v>
      </c>
      <c r="E558" s="117">
        <f t="shared" ca="1" si="111"/>
        <v>1</v>
      </c>
      <c r="F558" s="438"/>
      <c r="G558" s="7"/>
      <c r="H558" s="7"/>
      <c r="I558" s="7"/>
      <c r="K558" s="7"/>
      <c r="L558" s="7"/>
      <c r="M558" s="7"/>
      <c r="N558" s="7"/>
      <c r="O558" s="7"/>
      <c r="P558" s="7"/>
      <c r="R558" s="7"/>
      <c r="S558" s="7"/>
    </row>
    <row r="559" spans="1:19" ht="14.1" customHeight="1" x14ac:dyDescent="0.2">
      <c r="A559" s="116">
        <f ca="1">IF($H559="UNIDADE CONSTRUTIVA",OFFSET(A559,-1,0)+1,LARGE(A$3:A558,1))</f>
        <v>0</v>
      </c>
      <c r="B559" s="116">
        <f t="shared" ca="1" si="108"/>
        <v>22</v>
      </c>
      <c r="C559" s="116">
        <f t="shared" ca="1" si="109"/>
        <v>1</v>
      </c>
      <c r="D559" s="117">
        <f t="shared" ca="1" si="110"/>
        <v>1</v>
      </c>
      <c r="E559" s="117">
        <f t="shared" ca="1" si="111"/>
        <v>1</v>
      </c>
      <c r="F559" s="438"/>
      <c r="G559" s="7"/>
      <c r="H559" s="7"/>
      <c r="I559" s="7"/>
      <c r="K559" s="7"/>
      <c r="L559" s="7"/>
      <c r="M559" s="7"/>
      <c r="N559" s="7"/>
      <c r="O559" s="7"/>
      <c r="P559" s="7"/>
      <c r="R559" s="7"/>
      <c r="S559" s="7"/>
    </row>
    <row r="560" spans="1:19" ht="14.1" customHeight="1" x14ac:dyDescent="0.2">
      <c r="A560" s="116">
        <f ca="1">IF($H560="UNIDADE CONSTRUTIVA",OFFSET(A560,-1,0)+1,LARGE(A$3:A559,1))</f>
        <v>0</v>
      </c>
      <c r="B560" s="116">
        <f t="shared" ca="1" si="108"/>
        <v>22</v>
      </c>
      <c r="C560" s="116">
        <f t="shared" ca="1" si="109"/>
        <v>1</v>
      </c>
      <c r="D560" s="117">
        <f t="shared" ca="1" si="110"/>
        <v>1</v>
      </c>
      <c r="E560" s="117">
        <f t="shared" ca="1" si="111"/>
        <v>1</v>
      </c>
      <c r="F560" s="438"/>
      <c r="G560" s="7"/>
      <c r="H560" s="7"/>
      <c r="I560" s="7"/>
      <c r="K560" s="7"/>
      <c r="L560" s="7"/>
      <c r="M560" s="7"/>
      <c r="N560" s="7"/>
      <c r="O560" s="7"/>
      <c r="P560" s="7"/>
      <c r="R560" s="7"/>
      <c r="S560" s="7"/>
    </row>
    <row r="561" spans="1:19" ht="14.1" customHeight="1" x14ac:dyDescent="0.2">
      <c r="A561" s="116">
        <f ca="1">IF($H561="UNIDADE CONSTRUTIVA",OFFSET(A561,-1,0)+1,LARGE(A$3:A560,1))</f>
        <v>0</v>
      </c>
      <c r="B561" s="116">
        <f t="shared" ca="1" si="108"/>
        <v>22</v>
      </c>
      <c r="C561" s="116">
        <f t="shared" ca="1" si="109"/>
        <v>1</v>
      </c>
      <c r="D561" s="117">
        <f t="shared" ca="1" si="110"/>
        <v>1</v>
      </c>
      <c r="E561" s="117">
        <f t="shared" ca="1" si="111"/>
        <v>1</v>
      </c>
      <c r="F561" s="438"/>
      <c r="G561" s="7"/>
      <c r="H561" s="7"/>
      <c r="I561" s="7"/>
      <c r="K561" s="7"/>
      <c r="L561" s="7"/>
      <c r="M561" s="7"/>
      <c r="N561" s="7"/>
      <c r="O561" s="7"/>
      <c r="P561" s="7"/>
      <c r="R561" s="7"/>
      <c r="S561" s="7"/>
    </row>
    <row r="562" spans="1:19" ht="14.1" customHeight="1" x14ac:dyDescent="0.2">
      <c r="A562" s="116">
        <f ca="1">IF($H562="UNIDADE CONSTRUTIVA",OFFSET(A562,-1,0)+1,LARGE(A$3:A561,1))</f>
        <v>0</v>
      </c>
      <c r="B562" s="116">
        <f t="shared" ca="1" si="108"/>
        <v>22</v>
      </c>
      <c r="C562" s="116">
        <f t="shared" ca="1" si="109"/>
        <v>1</v>
      </c>
      <c r="D562" s="117">
        <f t="shared" ca="1" si="110"/>
        <v>1</v>
      </c>
      <c r="E562" s="117">
        <f t="shared" ca="1" si="111"/>
        <v>1</v>
      </c>
      <c r="F562" s="438"/>
      <c r="G562" s="7"/>
      <c r="H562" s="7"/>
      <c r="I562" s="7"/>
      <c r="K562" s="7"/>
      <c r="L562" s="7"/>
      <c r="M562" s="7"/>
      <c r="N562" s="7"/>
      <c r="O562" s="7"/>
      <c r="P562" s="7"/>
      <c r="R562" s="7"/>
      <c r="S562" s="7"/>
    </row>
    <row r="563" spans="1:19" ht="14.1" customHeight="1" x14ac:dyDescent="0.2">
      <c r="A563" s="116">
        <f ca="1">IF($H563="UNIDADE CONSTRUTIVA",OFFSET(A563,-1,0)+1,LARGE(A$3:A562,1))</f>
        <v>0</v>
      </c>
      <c r="B563" s="116">
        <f t="shared" ca="1" si="108"/>
        <v>22</v>
      </c>
      <c r="C563" s="116">
        <f t="shared" ca="1" si="109"/>
        <v>1</v>
      </c>
      <c r="D563" s="117">
        <f t="shared" ca="1" si="110"/>
        <v>1</v>
      </c>
      <c r="E563" s="117">
        <f t="shared" ca="1" si="111"/>
        <v>1</v>
      </c>
      <c r="F563" s="438"/>
      <c r="G563" s="7"/>
      <c r="H563" s="7"/>
      <c r="I563" s="7"/>
      <c r="K563" s="7"/>
      <c r="L563" s="7"/>
      <c r="M563" s="7"/>
      <c r="N563" s="7"/>
      <c r="O563" s="7"/>
      <c r="P563" s="7"/>
      <c r="R563" s="7"/>
      <c r="S563" s="7"/>
    </row>
    <row r="564" spans="1:19" ht="14.1" customHeight="1" x14ac:dyDescent="0.2">
      <c r="A564" s="116">
        <f ca="1">IF($H564="UNIDADE CONSTRUTIVA",OFFSET(A564,-1,0)+1,LARGE(A$3:A563,1))</f>
        <v>0</v>
      </c>
      <c r="B564" s="116">
        <f t="shared" ca="1" si="108"/>
        <v>22</v>
      </c>
      <c r="C564" s="116">
        <f t="shared" ca="1" si="109"/>
        <v>1</v>
      </c>
      <c r="D564" s="117">
        <f t="shared" ca="1" si="110"/>
        <v>1</v>
      </c>
      <c r="E564" s="117">
        <f t="shared" ca="1" si="111"/>
        <v>1</v>
      </c>
      <c r="F564" s="438"/>
      <c r="G564" s="7"/>
      <c r="H564" s="7"/>
      <c r="I564" s="7"/>
      <c r="K564" s="7"/>
      <c r="L564" s="7"/>
      <c r="M564" s="7"/>
      <c r="N564" s="7"/>
      <c r="O564" s="7"/>
      <c r="P564" s="7"/>
      <c r="R564" s="7"/>
      <c r="S564" s="7"/>
    </row>
    <row r="565" spans="1:19" ht="14.1" customHeight="1" x14ac:dyDescent="0.2">
      <c r="A565" s="116">
        <f ca="1">IF($H565="UNIDADE CONSTRUTIVA",OFFSET(A565,-1,0)+1,LARGE(A$3:A564,1))</f>
        <v>0</v>
      </c>
      <c r="B565" s="116">
        <f t="shared" ca="1" si="108"/>
        <v>22</v>
      </c>
      <c r="C565" s="116">
        <f t="shared" ca="1" si="109"/>
        <v>1</v>
      </c>
      <c r="D565" s="117">
        <f t="shared" ca="1" si="110"/>
        <v>1</v>
      </c>
      <c r="E565" s="117">
        <f t="shared" ca="1" si="111"/>
        <v>1</v>
      </c>
      <c r="F565" s="438"/>
      <c r="G565" s="7"/>
      <c r="H565" s="7"/>
      <c r="I565" s="7"/>
      <c r="K565" s="7"/>
      <c r="L565" s="7"/>
      <c r="M565" s="7"/>
      <c r="N565" s="7"/>
      <c r="O565" s="7"/>
      <c r="P565" s="7"/>
      <c r="R565" s="7"/>
      <c r="S565" s="7"/>
    </row>
    <row r="566" spans="1:19" ht="14.1" customHeight="1" x14ac:dyDescent="0.2">
      <c r="A566" s="116">
        <f ca="1">IF($H566="UNIDADE CONSTRUTIVA",OFFSET(A566,-1,0)+1,LARGE(A$3:A565,1))</f>
        <v>0</v>
      </c>
      <c r="B566" s="116">
        <f t="shared" ca="1" si="108"/>
        <v>22</v>
      </c>
      <c r="C566" s="116">
        <f t="shared" ca="1" si="109"/>
        <v>1</v>
      </c>
      <c r="D566" s="117">
        <f t="shared" ca="1" si="110"/>
        <v>1</v>
      </c>
      <c r="E566" s="117">
        <f t="shared" ca="1" si="111"/>
        <v>1</v>
      </c>
      <c r="F566" s="438"/>
      <c r="G566" s="7"/>
      <c r="H566" s="7"/>
      <c r="I566" s="7"/>
      <c r="K566" s="7"/>
      <c r="L566" s="7"/>
      <c r="M566" s="7"/>
      <c r="N566" s="7"/>
      <c r="O566" s="7"/>
      <c r="P566" s="7"/>
      <c r="R566" s="7"/>
      <c r="S566" s="7"/>
    </row>
    <row r="567" spans="1:19" ht="14.1" customHeight="1" x14ac:dyDescent="0.2">
      <c r="A567" s="116">
        <f ca="1">IF($H567="UNIDADE CONSTRUTIVA",OFFSET(A567,-1,0)+1,LARGE(A$3:A566,1))</f>
        <v>0</v>
      </c>
      <c r="B567" s="116">
        <f t="shared" ca="1" si="108"/>
        <v>22</v>
      </c>
      <c r="C567" s="116">
        <f t="shared" ca="1" si="109"/>
        <v>1</v>
      </c>
      <c r="D567" s="117">
        <f t="shared" ca="1" si="110"/>
        <v>1</v>
      </c>
      <c r="E567" s="117">
        <f t="shared" ca="1" si="111"/>
        <v>1</v>
      </c>
      <c r="F567" s="438"/>
      <c r="G567" s="7"/>
      <c r="H567" s="7"/>
      <c r="I567" s="7"/>
      <c r="K567" s="7"/>
      <c r="L567" s="7"/>
      <c r="M567" s="7"/>
      <c r="N567" s="7"/>
      <c r="O567" s="7"/>
      <c r="P567" s="7"/>
      <c r="R567" s="7"/>
      <c r="S567" s="7"/>
    </row>
    <row r="568" spans="1:19" ht="14.1" customHeight="1" x14ac:dyDescent="0.2">
      <c r="A568" s="116">
        <f ca="1">IF($H568="UNIDADE CONSTRUTIVA",OFFSET(A568,-1,0)+1,LARGE(A$3:A567,1))</f>
        <v>0</v>
      </c>
      <c r="B568" s="116">
        <f t="shared" ca="1" si="108"/>
        <v>22</v>
      </c>
      <c r="C568" s="116">
        <f t="shared" ca="1" si="109"/>
        <v>1</v>
      </c>
      <c r="D568" s="117">
        <f t="shared" ca="1" si="110"/>
        <v>1</v>
      </c>
      <c r="E568" s="117">
        <f t="shared" ca="1" si="111"/>
        <v>1</v>
      </c>
      <c r="F568" s="438"/>
      <c r="G568" s="7"/>
      <c r="H568" s="7"/>
      <c r="I568" s="7"/>
      <c r="K568" s="7"/>
      <c r="L568" s="7"/>
      <c r="M568" s="7"/>
      <c r="N568" s="7"/>
      <c r="O568" s="7"/>
      <c r="P568" s="7"/>
      <c r="R568" s="7"/>
      <c r="S568" s="7"/>
    </row>
    <row r="569" spans="1:19" ht="14.1" customHeight="1" x14ac:dyDescent="0.2">
      <c r="A569" s="116">
        <f ca="1">IF($H569="UNIDADE CONSTRUTIVA",OFFSET(A569,-1,0)+1,LARGE(A$3:A568,1))</f>
        <v>0</v>
      </c>
      <c r="B569" s="116">
        <f t="shared" ca="1" si="108"/>
        <v>22</v>
      </c>
      <c r="C569" s="116">
        <f t="shared" ca="1" si="109"/>
        <v>1</v>
      </c>
      <c r="D569" s="117">
        <f t="shared" ca="1" si="110"/>
        <v>1</v>
      </c>
      <c r="E569" s="117">
        <f t="shared" ca="1" si="111"/>
        <v>1</v>
      </c>
      <c r="F569" s="438"/>
      <c r="G569" s="7"/>
      <c r="H569" s="7"/>
      <c r="I569" s="7"/>
      <c r="K569" s="7"/>
      <c r="L569" s="7"/>
      <c r="M569" s="7"/>
      <c r="N569" s="7"/>
      <c r="O569" s="7"/>
      <c r="P569" s="7"/>
      <c r="R569" s="7"/>
      <c r="S569" s="7"/>
    </row>
    <row r="570" spans="1:19" ht="14.1" customHeight="1" x14ac:dyDescent="0.2">
      <c r="A570" s="116">
        <f ca="1">IF($H570="UNIDADE CONSTRUTIVA",OFFSET(A570,-1,0)+1,LARGE(A$3:A569,1))</f>
        <v>0</v>
      </c>
      <c r="B570" s="116">
        <f t="shared" ca="1" si="108"/>
        <v>22</v>
      </c>
      <c r="C570" s="116">
        <f t="shared" ca="1" si="109"/>
        <v>1</v>
      </c>
      <c r="D570" s="117">
        <f t="shared" ca="1" si="110"/>
        <v>1</v>
      </c>
      <c r="E570" s="117">
        <f t="shared" ca="1" si="111"/>
        <v>1</v>
      </c>
      <c r="F570" s="438"/>
      <c r="G570" s="7"/>
      <c r="H570" s="7"/>
      <c r="I570" s="7"/>
      <c r="K570" s="7"/>
      <c r="L570" s="7"/>
      <c r="M570" s="7"/>
      <c r="N570" s="7"/>
      <c r="O570" s="7"/>
      <c r="P570" s="7"/>
      <c r="R570" s="7"/>
      <c r="S570" s="7"/>
    </row>
    <row r="571" spans="1:19" ht="14.1" customHeight="1" x14ac:dyDescent="0.2">
      <c r="A571" s="116">
        <f ca="1">IF($H571="UNIDADE CONSTRUTIVA",OFFSET(A571,-1,0)+1,LARGE(A$3:A570,1))</f>
        <v>0</v>
      </c>
      <c r="B571" s="116">
        <f t="shared" ca="1" si="108"/>
        <v>22</v>
      </c>
      <c r="C571" s="116">
        <f t="shared" ca="1" si="109"/>
        <v>1</v>
      </c>
      <c r="D571" s="117">
        <f t="shared" ca="1" si="110"/>
        <v>1</v>
      </c>
      <c r="E571" s="117">
        <f t="shared" ca="1" si="111"/>
        <v>1</v>
      </c>
      <c r="F571" s="438"/>
      <c r="G571" s="7"/>
      <c r="H571" s="7"/>
      <c r="I571" s="7"/>
      <c r="K571" s="7"/>
      <c r="L571" s="7"/>
      <c r="M571" s="7"/>
      <c r="N571" s="7"/>
      <c r="O571" s="7"/>
      <c r="P571" s="7"/>
      <c r="R571" s="7"/>
      <c r="S571" s="7"/>
    </row>
    <row r="572" spans="1:19" ht="14.1" customHeight="1" x14ac:dyDescent="0.2">
      <c r="A572" s="116">
        <f ca="1">IF($H572="UNIDADE CONSTRUTIVA",OFFSET(A572,-1,0)+1,LARGE(A$3:A571,1))</f>
        <v>0</v>
      </c>
      <c r="B572" s="116">
        <f t="shared" ca="1" si="108"/>
        <v>22</v>
      </c>
      <c r="C572" s="116">
        <f t="shared" ca="1" si="109"/>
        <v>1</v>
      </c>
      <c r="D572" s="117">
        <f t="shared" ca="1" si="110"/>
        <v>1</v>
      </c>
      <c r="E572" s="117">
        <f t="shared" ca="1" si="111"/>
        <v>1</v>
      </c>
      <c r="F572" s="438"/>
      <c r="G572" s="7"/>
      <c r="H572" s="7"/>
      <c r="I572" s="7"/>
      <c r="K572" s="7"/>
      <c r="L572" s="7"/>
      <c r="M572" s="7"/>
      <c r="N572" s="7"/>
      <c r="O572" s="7"/>
      <c r="P572" s="7"/>
      <c r="R572" s="7"/>
      <c r="S572" s="7"/>
    </row>
    <row r="573" spans="1:19" ht="14.1" customHeight="1" x14ac:dyDescent="0.2">
      <c r="A573" s="116">
        <f ca="1">IF($H573="UNIDADE CONSTRUTIVA",OFFSET(A573,-1,0)+1,LARGE(A$3:A572,1))</f>
        <v>0</v>
      </c>
      <c r="B573" s="116">
        <f t="shared" ca="1" si="108"/>
        <v>22</v>
      </c>
      <c r="C573" s="116">
        <f t="shared" ca="1" si="109"/>
        <v>1</v>
      </c>
      <c r="D573" s="117">
        <f t="shared" ca="1" si="110"/>
        <v>1</v>
      </c>
      <c r="E573" s="117">
        <f t="shared" ca="1" si="111"/>
        <v>1</v>
      </c>
      <c r="F573" s="438"/>
      <c r="G573" s="7"/>
      <c r="H573" s="7"/>
      <c r="I573" s="7"/>
      <c r="K573" s="7"/>
      <c r="L573" s="7"/>
      <c r="M573" s="7"/>
      <c r="N573" s="7"/>
      <c r="O573" s="7"/>
      <c r="P573" s="7"/>
      <c r="R573" s="7"/>
      <c r="S573" s="7"/>
    </row>
    <row r="574" spans="1:19" ht="14.1" customHeight="1" x14ac:dyDescent="0.2">
      <c r="A574" s="116">
        <f ca="1">IF($H574="UNIDADE CONSTRUTIVA",OFFSET(A574,-1,0)+1,LARGE(A$3:A573,1))</f>
        <v>0</v>
      </c>
      <c r="B574" s="116">
        <f t="shared" ca="1" si="108"/>
        <v>22</v>
      </c>
      <c r="C574" s="116">
        <f t="shared" ca="1" si="109"/>
        <v>1</v>
      </c>
      <c r="D574" s="117">
        <f t="shared" ca="1" si="110"/>
        <v>1</v>
      </c>
      <c r="E574" s="117">
        <f t="shared" ca="1" si="111"/>
        <v>1</v>
      </c>
      <c r="F574" s="438"/>
      <c r="G574" s="7"/>
      <c r="H574" s="7"/>
      <c r="I574" s="7"/>
      <c r="K574" s="7"/>
      <c r="L574" s="7"/>
      <c r="M574" s="7"/>
      <c r="N574" s="7"/>
      <c r="O574" s="7"/>
      <c r="P574" s="7"/>
      <c r="R574" s="7"/>
      <c r="S574" s="7"/>
    </row>
    <row r="575" spans="1:19" ht="14.1" customHeight="1" x14ac:dyDescent="0.2">
      <c r="A575" s="116">
        <f ca="1">IF($H575="UNIDADE CONSTRUTIVA",OFFSET(A575,-1,0)+1,LARGE(A$3:A574,1))</f>
        <v>0</v>
      </c>
      <c r="B575" s="116">
        <f t="shared" ca="1" si="108"/>
        <v>22</v>
      </c>
      <c r="C575" s="116">
        <f t="shared" ca="1" si="109"/>
        <v>1</v>
      </c>
      <c r="D575" s="117">
        <f t="shared" ca="1" si="110"/>
        <v>1</v>
      </c>
      <c r="E575" s="117">
        <f t="shared" ca="1" si="111"/>
        <v>1</v>
      </c>
      <c r="F575" s="438"/>
      <c r="G575" s="7"/>
      <c r="H575" s="7"/>
      <c r="I575" s="7"/>
      <c r="K575" s="7"/>
      <c r="L575" s="7"/>
      <c r="M575" s="7"/>
      <c r="N575" s="7"/>
      <c r="O575" s="7"/>
      <c r="P575" s="7"/>
      <c r="R575" s="7"/>
      <c r="S575" s="7"/>
    </row>
    <row r="576" spans="1:19" ht="14.1" customHeight="1" x14ac:dyDescent="0.2">
      <c r="A576" s="116">
        <f ca="1">IF($H576="UNIDADE CONSTRUTIVA",OFFSET(A576,-1,0)+1,LARGE(A$3:A575,1))</f>
        <v>0</v>
      </c>
      <c r="B576" s="116">
        <f t="shared" ca="1" si="108"/>
        <v>22</v>
      </c>
      <c r="C576" s="116">
        <f t="shared" ca="1" si="109"/>
        <v>1</v>
      </c>
      <c r="D576" s="117">
        <f t="shared" ca="1" si="110"/>
        <v>1</v>
      </c>
      <c r="E576" s="117">
        <f t="shared" ca="1" si="111"/>
        <v>1</v>
      </c>
      <c r="F576" s="438"/>
      <c r="G576" s="7"/>
      <c r="H576" s="7"/>
      <c r="I576" s="7"/>
      <c r="K576" s="7"/>
      <c r="L576" s="7"/>
      <c r="M576" s="7"/>
      <c r="N576" s="7"/>
      <c r="O576" s="7"/>
      <c r="P576" s="7"/>
      <c r="R576" s="7"/>
      <c r="S576" s="7"/>
    </row>
    <row r="577" spans="1:19" ht="14.1" customHeight="1" x14ac:dyDescent="0.2">
      <c r="A577" s="116">
        <f ca="1">IF($H577="UNIDADE CONSTRUTIVA",OFFSET(A577,-1,0)+1,LARGE(A$3:A576,1))</f>
        <v>0</v>
      </c>
      <c r="B577" s="116">
        <f t="shared" ca="1" si="108"/>
        <v>22</v>
      </c>
      <c r="C577" s="116">
        <f t="shared" ca="1" si="109"/>
        <v>1</v>
      </c>
      <c r="D577" s="117">
        <f t="shared" ca="1" si="110"/>
        <v>1</v>
      </c>
      <c r="E577" s="117">
        <f t="shared" ca="1" si="111"/>
        <v>1</v>
      </c>
      <c r="F577" s="438"/>
      <c r="G577" s="7"/>
      <c r="H577" s="7"/>
      <c r="I577" s="7"/>
      <c r="K577" s="7"/>
      <c r="L577" s="7"/>
      <c r="M577" s="7"/>
      <c r="N577" s="7"/>
      <c r="O577" s="7"/>
      <c r="P577" s="7"/>
      <c r="R577" s="7"/>
      <c r="S577" s="7"/>
    </row>
    <row r="578" spans="1:19" ht="14.1" customHeight="1" x14ac:dyDescent="0.2">
      <c r="A578" s="116">
        <f ca="1">IF($H578="UNIDADE CONSTRUTIVA",OFFSET(A578,-1,0)+1,LARGE(A$3:A577,1))</f>
        <v>0</v>
      </c>
      <c r="B578" s="116">
        <f t="shared" ca="1" si="108"/>
        <v>22</v>
      </c>
      <c r="C578" s="116">
        <f t="shared" ca="1" si="109"/>
        <v>1</v>
      </c>
      <c r="D578" s="117">
        <f t="shared" ca="1" si="110"/>
        <v>1</v>
      </c>
      <c r="E578" s="117">
        <f t="shared" ca="1" si="111"/>
        <v>1</v>
      </c>
      <c r="F578" s="438"/>
      <c r="G578" s="7"/>
      <c r="H578" s="7"/>
      <c r="I578" s="7"/>
      <c r="K578" s="7"/>
      <c r="L578" s="7"/>
      <c r="M578" s="7"/>
      <c r="N578" s="7"/>
      <c r="O578" s="7"/>
      <c r="P578" s="7"/>
      <c r="R578" s="7"/>
      <c r="S578" s="7"/>
    </row>
    <row r="579" spans="1:19" ht="14.1" customHeight="1" x14ac:dyDescent="0.2">
      <c r="A579" s="116">
        <f ca="1">IF($H579="UNIDADE CONSTRUTIVA",OFFSET(A579,-1,0)+1,LARGE(A$3:A578,1))</f>
        <v>0</v>
      </c>
      <c r="B579" s="116">
        <f t="shared" ca="1" si="108"/>
        <v>22</v>
      </c>
      <c r="C579" s="116">
        <f t="shared" ca="1" si="109"/>
        <v>1</v>
      </c>
      <c r="D579" s="117">
        <f t="shared" ca="1" si="110"/>
        <v>1</v>
      </c>
      <c r="E579" s="117">
        <f t="shared" ca="1" si="111"/>
        <v>1</v>
      </c>
      <c r="F579" s="438"/>
      <c r="G579" s="7"/>
      <c r="H579" s="7"/>
      <c r="I579" s="7"/>
      <c r="K579" s="7"/>
      <c r="L579" s="7"/>
      <c r="M579" s="7"/>
      <c r="N579" s="7"/>
      <c r="O579" s="7"/>
      <c r="P579" s="7"/>
      <c r="R579" s="7"/>
      <c r="S579" s="7"/>
    </row>
    <row r="580" spans="1:19" ht="14.1" customHeight="1" x14ac:dyDescent="0.2">
      <c r="A580" s="116">
        <f ca="1">IF($H580="UNIDADE CONSTRUTIVA",OFFSET(A580,-1,0)+1,LARGE(A$3:A579,1))</f>
        <v>0</v>
      </c>
      <c r="B580" s="116">
        <f t="shared" ca="1" si="108"/>
        <v>22</v>
      </c>
      <c r="C580" s="116">
        <f t="shared" ca="1" si="109"/>
        <v>1</v>
      </c>
      <c r="D580" s="117">
        <f t="shared" ca="1" si="110"/>
        <v>1</v>
      </c>
      <c r="E580" s="117">
        <f t="shared" ca="1" si="111"/>
        <v>1</v>
      </c>
      <c r="F580" s="438"/>
      <c r="G580" s="7"/>
      <c r="H580" s="7"/>
      <c r="I580" s="7"/>
      <c r="K580" s="7"/>
      <c r="L580" s="7"/>
      <c r="M580" s="7"/>
      <c r="N580" s="7"/>
      <c r="O580" s="7"/>
      <c r="P580" s="7"/>
      <c r="R580" s="7"/>
      <c r="S580" s="7"/>
    </row>
    <row r="581" spans="1:19" ht="14.1" customHeight="1" x14ac:dyDescent="0.2">
      <c r="A581" s="116">
        <f ca="1">IF($H581="UNIDADE CONSTRUTIVA",OFFSET(A581,-1,0)+1,LARGE(A$3:A580,1))</f>
        <v>0</v>
      </c>
      <c r="B581" s="116">
        <f t="shared" ca="1" si="108"/>
        <v>22</v>
      </c>
      <c r="C581" s="116">
        <f t="shared" ca="1" si="109"/>
        <v>1</v>
      </c>
      <c r="D581" s="117">
        <f t="shared" ca="1" si="110"/>
        <v>1</v>
      </c>
      <c r="E581" s="117">
        <f t="shared" ca="1" si="111"/>
        <v>1</v>
      </c>
      <c r="F581" s="438"/>
      <c r="G581" s="7"/>
      <c r="H581" s="7"/>
      <c r="I581" s="7"/>
      <c r="K581" s="7"/>
      <c r="L581" s="7"/>
      <c r="M581" s="7"/>
      <c r="N581" s="7"/>
      <c r="O581" s="7"/>
      <c r="P581" s="7"/>
      <c r="R581" s="7"/>
      <c r="S581" s="7"/>
    </row>
    <row r="582" spans="1:19" ht="14.1" customHeight="1" x14ac:dyDescent="0.2">
      <c r="A582" s="116">
        <f ca="1">IF($H582="UNIDADE CONSTRUTIVA",OFFSET(A582,-1,0)+1,LARGE(A$3:A581,1))</f>
        <v>0</v>
      </c>
      <c r="B582" s="116">
        <f t="shared" ca="1" si="108"/>
        <v>22</v>
      </c>
      <c r="C582" s="116">
        <f t="shared" ca="1" si="109"/>
        <v>1</v>
      </c>
      <c r="D582" s="117">
        <f t="shared" ca="1" si="110"/>
        <v>1</v>
      </c>
      <c r="E582" s="117">
        <f t="shared" ca="1" si="111"/>
        <v>1</v>
      </c>
      <c r="F582" s="438"/>
      <c r="G582" s="7"/>
      <c r="H582" s="7"/>
      <c r="I582" s="7"/>
      <c r="K582" s="7"/>
      <c r="L582" s="7"/>
      <c r="M582" s="7"/>
      <c r="N582" s="7"/>
      <c r="O582" s="7"/>
      <c r="P582" s="7"/>
      <c r="R582" s="7"/>
      <c r="S582" s="7"/>
    </row>
    <row r="583" spans="1:19" ht="14.1" customHeight="1" x14ac:dyDescent="0.2">
      <c r="A583" s="116">
        <f ca="1">IF($H583="UNIDADE CONSTRUTIVA",OFFSET(A583,-1,0)+1,LARGE(A$3:A582,1))</f>
        <v>0</v>
      </c>
      <c r="B583" s="116">
        <f t="shared" ca="1" si="108"/>
        <v>22</v>
      </c>
      <c r="C583" s="116">
        <f t="shared" ca="1" si="109"/>
        <v>1</v>
      </c>
      <c r="D583" s="117">
        <f t="shared" ca="1" si="110"/>
        <v>1</v>
      </c>
      <c r="E583" s="117">
        <f t="shared" ca="1" si="111"/>
        <v>1</v>
      </c>
      <c r="F583" s="438"/>
      <c r="G583" s="7"/>
      <c r="H583" s="7"/>
      <c r="I583" s="7"/>
      <c r="K583" s="7"/>
      <c r="L583" s="7"/>
      <c r="M583" s="7"/>
      <c r="N583" s="7"/>
      <c r="O583" s="7"/>
      <c r="P583" s="7"/>
      <c r="R583" s="7"/>
      <c r="S583" s="7"/>
    </row>
    <row r="584" spans="1:19" ht="14.1" customHeight="1" x14ac:dyDescent="0.2">
      <c r="A584" s="116">
        <f ca="1">IF($H584="UNIDADE CONSTRUTIVA",OFFSET(A584,-1,0)+1,LARGE(A$3:A583,1))</f>
        <v>0</v>
      </c>
      <c r="B584" s="116">
        <f t="shared" ca="1" si="108"/>
        <v>22</v>
      </c>
      <c r="C584" s="116">
        <f t="shared" ca="1" si="109"/>
        <v>1</v>
      </c>
      <c r="D584" s="117">
        <f t="shared" ca="1" si="110"/>
        <v>1</v>
      </c>
      <c r="E584" s="117">
        <f t="shared" ca="1" si="111"/>
        <v>1</v>
      </c>
      <c r="F584" s="438"/>
      <c r="G584" s="7"/>
      <c r="H584" s="7"/>
      <c r="I584" s="7"/>
      <c r="K584" s="7"/>
      <c r="L584" s="7"/>
      <c r="M584" s="7"/>
      <c r="N584" s="7"/>
      <c r="O584" s="7"/>
      <c r="P584" s="7"/>
      <c r="R584" s="7"/>
      <c r="S584" s="7"/>
    </row>
    <row r="585" spans="1:19" ht="14.1" customHeight="1" x14ac:dyDescent="0.2">
      <c r="A585" s="116">
        <f ca="1">IF($H585="UNIDADE CONSTRUTIVA",OFFSET(A585,-1,0)+1,LARGE(A$3:A584,1))</f>
        <v>0</v>
      </c>
      <c r="B585" s="116">
        <f t="shared" ref="B585:B616" ca="1" si="112">IF(H585="UNIDADE CONSTRUTIVA",0,IF(H585="CÉLULA CONSTRUTIVA",OFFSET(B585,-1,0)+1,OFFSET(B585,-1,0)))</f>
        <v>22</v>
      </c>
      <c r="C585" s="116">
        <f t="shared" ref="C585:C616" ca="1" si="113">IF(H585="CÉLULA CONSTRUTIVA",0,IF(H585="ETAPA",OFFSET(C585,-1,0)+1,OFFSET(C585,-1,0)))</f>
        <v>1</v>
      </c>
      <c r="D585" s="117">
        <f t="shared" ref="D585:D616" ca="1" si="114">IF(H585="ETAPA",0,IF(H585="SUBETAPA",OFFSET(D585,-1,0)+1,OFFSET(D585,-1,0)))</f>
        <v>1</v>
      </c>
      <c r="E585" s="117">
        <f t="shared" ref="E585:E616" ca="1" si="115">IF(H585="Subetapa",0,IF(H585="serviço",OFFSET(E585,-1,0)+1,OFFSET(E585,-1,0)))</f>
        <v>1</v>
      </c>
      <c r="F585" s="438"/>
      <c r="G585" s="7"/>
      <c r="H585" s="7"/>
      <c r="I585" s="7"/>
      <c r="K585" s="7"/>
      <c r="L585" s="7"/>
      <c r="M585" s="7"/>
      <c r="N585" s="7"/>
      <c r="O585" s="7"/>
      <c r="P585" s="7"/>
      <c r="R585" s="7"/>
      <c r="S585" s="7"/>
    </row>
    <row r="586" spans="1:19" ht="14.1" customHeight="1" x14ac:dyDescent="0.2">
      <c r="A586" s="116">
        <f ca="1">IF($H586="UNIDADE CONSTRUTIVA",OFFSET(A586,-1,0)+1,LARGE(A$3:A585,1))</f>
        <v>0</v>
      </c>
      <c r="B586" s="116">
        <f t="shared" ca="1" si="112"/>
        <v>22</v>
      </c>
      <c r="C586" s="116">
        <f t="shared" ca="1" si="113"/>
        <v>1</v>
      </c>
      <c r="D586" s="117">
        <f t="shared" ca="1" si="114"/>
        <v>1</v>
      </c>
      <c r="E586" s="117">
        <f t="shared" ca="1" si="115"/>
        <v>1</v>
      </c>
      <c r="F586" s="438"/>
      <c r="G586" s="7"/>
      <c r="H586" s="7"/>
      <c r="I586" s="7"/>
      <c r="K586" s="7"/>
      <c r="L586" s="7"/>
      <c r="M586" s="7"/>
      <c r="N586" s="7"/>
      <c r="O586" s="7"/>
      <c r="P586" s="7"/>
      <c r="R586" s="7"/>
      <c r="S586" s="7"/>
    </row>
    <row r="587" spans="1:19" ht="14.1" customHeight="1" x14ac:dyDescent="0.2">
      <c r="A587" s="116">
        <f ca="1">IF($H587="UNIDADE CONSTRUTIVA",OFFSET(A587,-1,0)+1,LARGE(A$3:A586,1))</f>
        <v>0</v>
      </c>
      <c r="B587" s="116">
        <f t="shared" ca="1" si="112"/>
        <v>22</v>
      </c>
      <c r="C587" s="116">
        <f t="shared" ca="1" si="113"/>
        <v>1</v>
      </c>
      <c r="D587" s="117">
        <f t="shared" ca="1" si="114"/>
        <v>1</v>
      </c>
      <c r="E587" s="117">
        <f t="shared" ca="1" si="115"/>
        <v>1</v>
      </c>
      <c r="F587" s="438"/>
      <c r="G587" s="7"/>
      <c r="H587" s="7"/>
      <c r="I587" s="7"/>
      <c r="K587" s="7"/>
      <c r="L587" s="7"/>
      <c r="M587" s="7"/>
      <c r="N587" s="7"/>
      <c r="O587" s="7"/>
      <c r="P587" s="7"/>
      <c r="R587" s="7"/>
      <c r="S587" s="7"/>
    </row>
    <row r="588" spans="1:19" ht="14.1" customHeight="1" x14ac:dyDescent="0.2">
      <c r="A588" s="116">
        <f ca="1">IF($H588="UNIDADE CONSTRUTIVA",OFFSET(A588,-1,0)+1,LARGE(A$3:A587,1))</f>
        <v>0</v>
      </c>
      <c r="B588" s="116">
        <f t="shared" ca="1" si="112"/>
        <v>22</v>
      </c>
      <c r="C588" s="116">
        <f t="shared" ca="1" si="113"/>
        <v>1</v>
      </c>
      <c r="D588" s="117">
        <f t="shared" ca="1" si="114"/>
        <v>1</v>
      </c>
      <c r="E588" s="117">
        <f t="shared" ca="1" si="115"/>
        <v>1</v>
      </c>
      <c r="F588" s="438"/>
      <c r="G588" s="7"/>
      <c r="H588" s="7"/>
      <c r="I588" s="7"/>
      <c r="K588" s="7"/>
      <c r="L588" s="7"/>
      <c r="M588" s="7"/>
      <c r="N588" s="7"/>
      <c r="O588" s="7"/>
      <c r="P588" s="7"/>
      <c r="R588" s="7"/>
      <c r="S588" s="7"/>
    </row>
    <row r="589" spans="1:19" ht="14.1" customHeight="1" x14ac:dyDescent="0.2">
      <c r="A589" s="116">
        <f ca="1">IF($H589="UNIDADE CONSTRUTIVA",OFFSET(A589,-1,0)+1,LARGE(A$3:A588,1))</f>
        <v>0</v>
      </c>
      <c r="B589" s="116">
        <f t="shared" ca="1" si="112"/>
        <v>22</v>
      </c>
      <c r="C589" s="116">
        <f t="shared" ca="1" si="113"/>
        <v>1</v>
      </c>
      <c r="D589" s="117">
        <f t="shared" ca="1" si="114"/>
        <v>1</v>
      </c>
      <c r="E589" s="117">
        <f t="shared" ca="1" si="115"/>
        <v>1</v>
      </c>
      <c r="F589" s="438"/>
      <c r="G589" s="7"/>
      <c r="H589" s="7"/>
      <c r="I589" s="7"/>
      <c r="K589" s="7"/>
      <c r="L589" s="7"/>
      <c r="M589" s="7"/>
      <c r="N589" s="7"/>
      <c r="O589" s="7"/>
      <c r="P589" s="7"/>
      <c r="R589" s="7"/>
      <c r="S589" s="7"/>
    </row>
    <row r="590" spans="1:19" ht="14.1" customHeight="1" x14ac:dyDescent="0.2">
      <c r="A590" s="116">
        <f ca="1">IF($H590="UNIDADE CONSTRUTIVA",OFFSET(A590,-1,0)+1,LARGE(A$3:A589,1))</f>
        <v>0</v>
      </c>
      <c r="B590" s="116">
        <f t="shared" ca="1" si="112"/>
        <v>22</v>
      </c>
      <c r="C590" s="116">
        <f t="shared" ca="1" si="113"/>
        <v>1</v>
      </c>
      <c r="D590" s="117">
        <f t="shared" ca="1" si="114"/>
        <v>1</v>
      </c>
      <c r="E590" s="117">
        <f t="shared" ca="1" si="115"/>
        <v>1</v>
      </c>
      <c r="F590" s="438"/>
      <c r="G590" s="7"/>
      <c r="H590" s="7"/>
      <c r="I590" s="7"/>
      <c r="K590" s="7"/>
      <c r="L590" s="7"/>
      <c r="M590" s="7"/>
      <c r="N590" s="7"/>
      <c r="O590" s="7"/>
      <c r="P590" s="7"/>
      <c r="R590" s="7"/>
      <c r="S590" s="7"/>
    </row>
    <row r="591" spans="1:19" ht="14.1" customHeight="1" x14ac:dyDescent="0.2">
      <c r="A591" s="116">
        <f ca="1">IF($H591="UNIDADE CONSTRUTIVA",OFFSET(A591,-1,0)+1,LARGE(A$3:A590,1))</f>
        <v>0</v>
      </c>
      <c r="B591" s="116">
        <f t="shared" ca="1" si="112"/>
        <v>22</v>
      </c>
      <c r="C591" s="116">
        <f t="shared" ca="1" si="113"/>
        <v>1</v>
      </c>
      <c r="D591" s="117">
        <f t="shared" ca="1" si="114"/>
        <v>1</v>
      </c>
      <c r="E591" s="117">
        <f t="shared" ca="1" si="115"/>
        <v>1</v>
      </c>
      <c r="F591" s="438"/>
      <c r="G591" s="7"/>
      <c r="H591" s="7"/>
      <c r="I591" s="7"/>
      <c r="K591" s="7"/>
      <c r="L591" s="7"/>
      <c r="M591" s="7"/>
      <c r="N591" s="7"/>
      <c r="O591" s="7"/>
      <c r="P591" s="7"/>
      <c r="R591" s="7"/>
      <c r="S591" s="7"/>
    </row>
    <row r="592" spans="1:19" ht="14.1" customHeight="1" x14ac:dyDescent="0.2">
      <c r="A592" s="116">
        <f ca="1">IF($H592="UNIDADE CONSTRUTIVA",OFFSET(A592,-1,0)+1,LARGE(A$3:A591,1))</f>
        <v>0</v>
      </c>
      <c r="B592" s="116">
        <f t="shared" ca="1" si="112"/>
        <v>22</v>
      </c>
      <c r="C592" s="116">
        <f t="shared" ca="1" si="113"/>
        <v>1</v>
      </c>
      <c r="D592" s="117">
        <f t="shared" ca="1" si="114"/>
        <v>1</v>
      </c>
      <c r="E592" s="117">
        <f t="shared" ca="1" si="115"/>
        <v>1</v>
      </c>
      <c r="F592" s="438"/>
      <c r="G592" s="7"/>
      <c r="H592" s="7"/>
      <c r="I592" s="7"/>
      <c r="K592" s="7"/>
      <c r="L592" s="7"/>
      <c r="M592" s="7"/>
      <c r="N592" s="7"/>
      <c r="O592" s="7"/>
      <c r="P592" s="7"/>
      <c r="R592" s="7"/>
      <c r="S592" s="7"/>
    </row>
    <row r="593" spans="1:19" ht="14.1" customHeight="1" x14ac:dyDescent="0.2">
      <c r="A593" s="116">
        <f ca="1">IF($H593="UNIDADE CONSTRUTIVA",OFFSET(A593,-1,0)+1,LARGE(A$3:A592,1))</f>
        <v>0</v>
      </c>
      <c r="B593" s="116">
        <f t="shared" ca="1" si="112"/>
        <v>22</v>
      </c>
      <c r="C593" s="116">
        <f t="shared" ca="1" si="113"/>
        <v>1</v>
      </c>
      <c r="D593" s="117">
        <f t="shared" ca="1" si="114"/>
        <v>1</v>
      </c>
      <c r="E593" s="117">
        <f t="shared" ca="1" si="115"/>
        <v>1</v>
      </c>
      <c r="F593" s="438"/>
      <c r="G593" s="7"/>
      <c r="H593" s="7"/>
      <c r="I593" s="7"/>
      <c r="K593" s="7"/>
      <c r="L593" s="7"/>
      <c r="M593" s="7"/>
      <c r="N593" s="7"/>
      <c r="O593" s="7"/>
      <c r="P593" s="7"/>
      <c r="R593" s="7"/>
      <c r="S593" s="7"/>
    </row>
    <row r="594" spans="1:19" ht="14.1" customHeight="1" x14ac:dyDescent="0.2">
      <c r="A594" s="116">
        <f ca="1">IF($H594="UNIDADE CONSTRUTIVA",OFFSET(A594,-1,0)+1,LARGE(A$3:A593,1))</f>
        <v>0</v>
      </c>
      <c r="B594" s="116">
        <f t="shared" ca="1" si="112"/>
        <v>22</v>
      </c>
      <c r="C594" s="116">
        <f t="shared" ca="1" si="113"/>
        <v>1</v>
      </c>
      <c r="D594" s="117">
        <f t="shared" ca="1" si="114"/>
        <v>1</v>
      </c>
      <c r="E594" s="117">
        <f t="shared" ca="1" si="115"/>
        <v>1</v>
      </c>
      <c r="F594" s="438"/>
      <c r="G594" s="7"/>
      <c r="H594" s="7"/>
      <c r="I594" s="7"/>
      <c r="K594" s="7"/>
      <c r="L594" s="7"/>
      <c r="M594" s="7"/>
      <c r="N594" s="7"/>
      <c r="O594" s="7"/>
      <c r="P594" s="7"/>
      <c r="R594" s="7"/>
      <c r="S594" s="7"/>
    </row>
    <row r="595" spans="1:19" ht="14.1" customHeight="1" x14ac:dyDescent="0.2">
      <c r="A595" s="116">
        <f ca="1">IF($H595="UNIDADE CONSTRUTIVA",OFFSET(A595,-1,0)+1,LARGE(A$3:A594,1))</f>
        <v>0</v>
      </c>
      <c r="B595" s="116">
        <f t="shared" ca="1" si="112"/>
        <v>22</v>
      </c>
      <c r="C595" s="116">
        <f t="shared" ca="1" si="113"/>
        <v>1</v>
      </c>
      <c r="D595" s="117">
        <f t="shared" ca="1" si="114"/>
        <v>1</v>
      </c>
      <c r="E595" s="117">
        <f t="shared" ca="1" si="115"/>
        <v>1</v>
      </c>
      <c r="F595" s="438"/>
      <c r="G595" s="7"/>
      <c r="H595" s="7"/>
      <c r="I595" s="7"/>
      <c r="K595" s="7"/>
      <c r="L595" s="7"/>
      <c r="M595" s="7"/>
      <c r="N595" s="7"/>
      <c r="O595" s="7"/>
      <c r="P595" s="7"/>
      <c r="R595" s="7"/>
      <c r="S595" s="7"/>
    </row>
    <row r="596" spans="1:19" ht="14.1" customHeight="1" x14ac:dyDescent="0.2">
      <c r="A596" s="116">
        <f ca="1">IF($H596="UNIDADE CONSTRUTIVA",OFFSET(A596,-1,0)+1,LARGE(A$3:A595,1))</f>
        <v>0</v>
      </c>
      <c r="B596" s="116">
        <f t="shared" ca="1" si="112"/>
        <v>22</v>
      </c>
      <c r="C596" s="116">
        <f t="shared" ca="1" si="113"/>
        <v>1</v>
      </c>
      <c r="D596" s="117">
        <f t="shared" ca="1" si="114"/>
        <v>1</v>
      </c>
      <c r="E596" s="117">
        <f t="shared" ca="1" si="115"/>
        <v>1</v>
      </c>
      <c r="F596" s="438"/>
      <c r="G596" s="7"/>
      <c r="H596" s="7"/>
      <c r="I596" s="7"/>
      <c r="K596" s="7"/>
      <c r="L596" s="7"/>
      <c r="M596" s="7"/>
      <c r="N596" s="7"/>
      <c r="O596" s="7"/>
      <c r="P596" s="7"/>
      <c r="R596" s="7"/>
      <c r="S596" s="7"/>
    </row>
    <row r="597" spans="1:19" ht="14.1" customHeight="1" x14ac:dyDescent="0.2">
      <c r="A597" s="116">
        <f ca="1">IF($H597="UNIDADE CONSTRUTIVA",OFFSET(A597,-1,0)+1,LARGE(A$3:A596,1))</f>
        <v>0</v>
      </c>
      <c r="B597" s="116">
        <f t="shared" ca="1" si="112"/>
        <v>22</v>
      </c>
      <c r="C597" s="116">
        <f t="shared" ca="1" si="113"/>
        <v>1</v>
      </c>
      <c r="D597" s="117">
        <f t="shared" ca="1" si="114"/>
        <v>1</v>
      </c>
      <c r="E597" s="117">
        <f t="shared" ca="1" si="115"/>
        <v>1</v>
      </c>
      <c r="F597" s="438"/>
      <c r="G597" s="7"/>
      <c r="H597" s="7"/>
      <c r="I597" s="7"/>
      <c r="K597" s="7"/>
      <c r="L597" s="7"/>
      <c r="M597" s="7"/>
      <c r="N597" s="7"/>
      <c r="O597" s="7"/>
      <c r="P597" s="7"/>
      <c r="R597" s="7"/>
      <c r="S597" s="7"/>
    </row>
    <row r="598" spans="1:19" ht="14.1" customHeight="1" x14ac:dyDescent="0.2">
      <c r="A598" s="116">
        <f ca="1">IF($H598="UNIDADE CONSTRUTIVA",OFFSET(A598,-1,0)+1,LARGE(A$3:A597,1))</f>
        <v>0</v>
      </c>
      <c r="B598" s="116">
        <f t="shared" ca="1" si="112"/>
        <v>22</v>
      </c>
      <c r="C598" s="116">
        <f t="shared" ca="1" si="113"/>
        <v>1</v>
      </c>
      <c r="D598" s="117">
        <f t="shared" ca="1" si="114"/>
        <v>1</v>
      </c>
      <c r="E598" s="117">
        <f t="shared" ca="1" si="115"/>
        <v>1</v>
      </c>
      <c r="F598" s="438"/>
      <c r="G598" s="7"/>
      <c r="H598" s="7"/>
      <c r="I598" s="7"/>
      <c r="K598" s="7"/>
      <c r="L598" s="7"/>
      <c r="M598" s="7"/>
      <c r="N598" s="7"/>
      <c r="O598" s="7"/>
      <c r="P598" s="7"/>
      <c r="R598" s="7"/>
      <c r="S598" s="7"/>
    </row>
    <row r="599" spans="1:19" ht="14.1" customHeight="1" x14ac:dyDescent="0.2">
      <c r="A599" s="116">
        <f ca="1">IF($H599="UNIDADE CONSTRUTIVA",OFFSET(A599,-1,0)+1,LARGE(A$3:A598,1))</f>
        <v>0</v>
      </c>
      <c r="B599" s="116">
        <f t="shared" ca="1" si="112"/>
        <v>22</v>
      </c>
      <c r="C599" s="116">
        <f t="shared" ca="1" si="113"/>
        <v>1</v>
      </c>
      <c r="D599" s="117">
        <f t="shared" ca="1" si="114"/>
        <v>1</v>
      </c>
      <c r="E599" s="117">
        <f t="shared" ca="1" si="115"/>
        <v>1</v>
      </c>
      <c r="F599" s="438"/>
      <c r="G599" s="7"/>
      <c r="H599" s="7"/>
      <c r="I599" s="7"/>
      <c r="K599" s="7"/>
      <c r="L599" s="7"/>
      <c r="M599" s="7"/>
      <c r="N599" s="7"/>
      <c r="O599" s="7"/>
      <c r="P599" s="7"/>
      <c r="R599" s="7"/>
      <c r="S599" s="7"/>
    </row>
    <row r="600" spans="1:19" ht="14.1" customHeight="1" x14ac:dyDescent="0.2">
      <c r="A600" s="116">
        <f ca="1">IF($H600="UNIDADE CONSTRUTIVA",OFFSET(A600,-1,0)+1,LARGE(A$3:A599,1))</f>
        <v>0</v>
      </c>
      <c r="B600" s="116">
        <f t="shared" ca="1" si="112"/>
        <v>22</v>
      </c>
      <c r="C600" s="116">
        <f t="shared" ca="1" si="113"/>
        <v>1</v>
      </c>
      <c r="D600" s="117">
        <f t="shared" ca="1" si="114"/>
        <v>1</v>
      </c>
      <c r="E600" s="117">
        <f t="shared" ca="1" si="115"/>
        <v>1</v>
      </c>
      <c r="F600" s="438"/>
      <c r="G600" s="7"/>
      <c r="H600" s="7"/>
      <c r="I600" s="7"/>
      <c r="K600" s="7"/>
      <c r="L600" s="7"/>
      <c r="M600" s="7"/>
      <c r="N600" s="7"/>
      <c r="O600" s="7"/>
      <c r="P600" s="7"/>
      <c r="R600" s="7"/>
      <c r="S600" s="7"/>
    </row>
    <row r="601" spans="1:19" ht="14.1" customHeight="1" x14ac:dyDescent="0.2">
      <c r="A601" s="116">
        <f ca="1">IF($H601="UNIDADE CONSTRUTIVA",OFFSET(A601,-1,0)+1,LARGE(A$3:A600,1))</f>
        <v>0</v>
      </c>
      <c r="B601" s="116">
        <f t="shared" ca="1" si="112"/>
        <v>22</v>
      </c>
      <c r="C601" s="116">
        <f t="shared" ca="1" si="113"/>
        <v>1</v>
      </c>
      <c r="D601" s="117">
        <f t="shared" ca="1" si="114"/>
        <v>1</v>
      </c>
      <c r="E601" s="117">
        <f t="shared" ca="1" si="115"/>
        <v>1</v>
      </c>
      <c r="F601" s="438"/>
      <c r="G601" s="7"/>
      <c r="H601" s="7"/>
      <c r="I601" s="7"/>
      <c r="K601" s="7"/>
      <c r="L601" s="7"/>
      <c r="M601" s="7"/>
      <c r="N601" s="7"/>
      <c r="O601" s="7"/>
      <c r="P601" s="7"/>
      <c r="R601" s="7"/>
      <c r="S601" s="7"/>
    </row>
    <row r="602" spans="1:19" ht="14.1" customHeight="1" x14ac:dyDescent="0.2">
      <c r="A602" s="116">
        <f ca="1">IF($H602="UNIDADE CONSTRUTIVA",OFFSET(A602,-1,0)+1,LARGE(A$3:A601,1))</f>
        <v>0</v>
      </c>
      <c r="B602" s="116">
        <f t="shared" ca="1" si="112"/>
        <v>22</v>
      </c>
      <c r="C602" s="116">
        <f t="shared" ca="1" si="113"/>
        <v>1</v>
      </c>
      <c r="D602" s="117">
        <f t="shared" ca="1" si="114"/>
        <v>1</v>
      </c>
      <c r="E602" s="117">
        <f t="shared" ca="1" si="115"/>
        <v>1</v>
      </c>
      <c r="F602" s="438"/>
      <c r="G602" s="7"/>
      <c r="H602" s="7"/>
      <c r="I602" s="7"/>
      <c r="K602" s="7"/>
      <c r="L602" s="7"/>
      <c r="M602" s="7"/>
      <c r="N602" s="7"/>
      <c r="O602" s="7"/>
      <c r="P602" s="7"/>
      <c r="R602" s="7"/>
      <c r="S602" s="7"/>
    </row>
    <row r="603" spans="1:19" ht="14.1" customHeight="1" x14ac:dyDescent="0.2">
      <c r="A603" s="116">
        <f ca="1">IF($H603="UNIDADE CONSTRUTIVA",OFFSET(A603,-1,0)+1,LARGE(A$3:A602,1))</f>
        <v>0</v>
      </c>
      <c r="B603" s="116">
        <f t="shared" ca="1" si="112"/>
        <v>22</v>
      </c>
      <c r="C603" s="116">
        <f t="shared" ca="1" si="113"/>
        <v>1</v>
      </c>
      <c r="D603" s="117">
        <f t="shared" ca="1" si="114"/>
        <v>1</v>
      </c>
      <c r="E603" s="117">
        <f t="shared" ca="1" si="115"/>
        <v>1</v>
      </c>
      <c r="F603" s="438"/>
      <c r="G603" s="7"/>
      <c r="H603" s="7"/>
      <c r="I603" s="7"/>
      <c r="K603" s="7"/>
      <c r="L603" s="7"/>
      <c r="M603" s="7"/>
      <c r="N603" s="7"/>
      <c r="O603" s="7"/>
      <c r="P603" s="7"/>
      <c r="R603" s="7"/>
      <c r="S603" s="7"/>
    </row>
    <row r="604" spans="1:19" ht="14.1" customHeight="1" x14ac:dyDescent="0.2">
      <c r="A604" s="116">
        <f ca="1">IF($H604="UNIDADE CONSTRUTIVA",OFFSET(A604,-1,0)+1,LARGE(A$3:A603,1))</f>
        <v>0</v>
      </c>
      <c r="B604" s="116">
        <f t="shared" ca="1" si="112"/>
        <v>22</v>
      </c>
      <c r="C604" s="116">
        <f t="shared" ca="1" si="113"/>
        <v>1</v>
      </c>
      <c r="D604" s="117">
        <f t="shared" ca="1" si="114"/>
        <v>1</v>
      </c>
      <c r="E604" s="117">
        <f t="shared" ca="1" si="115"/>
        <v>1</v>
      </c>
      <c r="F604" s="438"/>
      <c r="G604" s="7"/>
      <c r="H604" s="7"/>
      <c r="I604" s="7"/>
      <c r="K604" s="7"/>
      <c r="L604" s="7"/>
      <c r="M604" s="7"/>
      <c r="N604" s="7"/>
      <c r="O604" s="7"/>
      <c r="P604" s="7"/>
      <c r="R604" s="7"/>
      <c r="S604" s="7"/>
    </row>
    <row r="605" spans="1:19" ht="14.1" customHeight="1" x14ac:dyDescent="0.2">
      <c r="A605" s="116">
        <f ca="1">IF($H605="UNIDADE CONSTRUTIVA",OFFSET(A605,-1,0)+1,LARGE(A$3:A604,1))</f>
        <v>0</v>
      </c>
      <c r="B605" s="116">
        <f t="shared" ca="1" si="112"/>
        <v>22</v>
      </c>
      <c r="C605" s="116">
        <f t="shared" ca="1" si="113"/>
        <v>1</v>
      </c>
      <c r="D605" s="117">
        <f t="shared" ca="1" si="114"/>
        <v>1</v>
      </c>
      <c r="E605" s="117">
        <f t="shared" ca="1" si="115"/>
        <v>1</v>
      </c>
      <c r="F605" s="438"/>
      <c r="G605" s="7"/>
      <c r="H605" s="7"/>
      <c r="I605" s="7"/>
      <c r="K605" s="7"/>
      <c r="L605" s="7"/>
      <c r="M605" s="7"/>
      <c r="N605" s="7"/>
      <c r="O605" s="7"/>
      <c r="P605" s="7"/>
      <c r="R605" s="7"/>
      <c r="S605" s="7"/>
    </row>
    <row r="606" spans="1:19" ht="14.1" customHeight="1" x14ac:dyDescent="0.2">
      <c r="A606" s="116">
        <f ca="1">IF($H606="UNIDADE CONSTRUTIVA",OFFSET(A606,-1,0)+1,LARGE(A$3:A605,1))</f>
        <v>0</v>
      </c>
      <c r="B606" s="116">
        <f t="shared" ca="1" si="112"/>
        <v>22</v>
      </c>
      <c r="C606" s="116">
        <f t="shared" ca="1" si="113"/>
        <v>1</v>
      </c>
      <c r="D606" s="117">
        <f t="shared" ca="1" si="114"/>
        <v>1</v>
      </c>
      <c r="E606" s="117">
        <f t="shared" ca="1" si="115"/>
        <v>1</v>
      </c>
      <c r="F606" s="438"/>
      <c r="G606" s="7"/>
      <c r="H606" s="7"/>
      <c r="I606" s="7"/>
      <c r="K606" s="7"/>
      <c r="L606" s="7"/>
      <c r="M606" s="7"/>
      <c r="N606" s="7"/>
      <c r="O606" s="7"/>
      <c r="P606" s="7"/>
      <c r="R606" s="7"/>
      <c r="S606" s="7"/>
    </row>
    <row r="607" spans="1:19" ht="14.1" customHeight="1" x14ac:dyDescent="0.2">
      <c r="A607" s="116">
        <f ca="1">IF($H607="UNIDADE CONSTRUTIVA",OFFSET(A607,-1,0)+1,LARGE(A$3:A606,1))</f>
        <v>0</v>
      </c>
      <c r="B607" s="116">
        <f t="shared" ca="1" si="112"/>
        <v>22</v>
      </c>
      <c r="C607" s="116">
        <f t="shared" ca="1" si="113"/>
        <v>1</v>
      </c>
      <c r="D607" s="117">
        <f t="shared" ca="1" si="114"/>
        <v>1</v>
      </c>
      <c r="E607" s="117">
        <f t="shared" ca="1" si="115"/>
        <v>1</v>
      </c>
      <c r="F607" s="438"/>
      <c r="G607" s="7"/>
      <c r="H607" s="7"/>
      <c r="I607" s="7"/>
      <c r="K607" s="7"/>
      <c r="L607" s="7"/>
      <c r="M607" s="7"/>
      <c r="N607" s="7"/>
      <c r="O607" s="7"/>
      <c r="P607" s="7"/>
      <c r="R607" s="7"/>
      <c r="S607" s="7"/>
    </row>
    <row r="608" spans="1:19" ht="14.1" customHeight="1" x14ac:dyDescent="0.2">
      <c r="A608" s="116">
        <f ca="1">IF($H608="UNIDADE CONSTRUTIVA",OFFSET(A608,-1,0)+1,LARGE(A$3:A607,1))</f>
        <v>0</v>
      </c>
      <c r="B608" s="116">
        <f t="shared" ca="1" si="112"/>
        <v>22</v>
      </c>
      <c r="C608" s="116">
        <f t="shared" ca="1" si="113"/>
        <v>1</v>
      </c>
      <c r="D608" s="117">
        <f t="shared" ca="1" si="114"/>
        <v>1</v>
      </c>
      <c r="E608" s="117">
        <f t="shared" ca="1" si="115"/>
        <v>1</v>
      </c>
      <c r="F608" s="438"/>
      <c r="G608" s="7"/>
      <c r="H608" s="7"/>
      <c r="I608" s="7"/>
      <c r="K608" s="7"/>
      <c r="L608" s="7"/>
      <c r="M608" s="7"/>
      <c r="N608" s="7"/>
      <c r="O608" s="7"/>
      <c r="P608" s="7"/>
      <c r="R608" s="7"/>
      <c r="S608" s="7"/>
    </row>
    <row r="609" spans="1:19" ht="14.1" customHeight="1" x14ac:dyDescent="0.2">
      <c r="A609" s="116">
        <f ca="1">IF($H609="UNIDADE CONSTRUTIVA",OFFSET(A609,-1,0)+1,LARGE(A$3:A608,1))</f>
        <v>0</v>
      </c>
      <c r="B609" s="116">
        <f t="shared" ca="1" si="112"/>
        <v>22</v>
      </c>
      <c r="C609" s="116">
        <f t="shared" ca="1" si="113"/>
        <v>1</v>
      </c>
      <c r="D609" s="117">
        <f t="shared" ca="1" si="114"/>
        <v>1</v>
      </c>
      <c r="E609" s="117">
        <f t="shared" ca="1" si="115"/>
        <v>1</v>
      </c>
      <c r="F609" s="438"/>
      <c r="G609" s="7"/>
      <c r="H609" s="7"/>
      <c r="I609" s="7"/>
      <c r="K609" s="7"/>
      <c r="L609" s="7"/>
      <c r="M609" s="7"/>
      <c r="N609" s="7"/>
      <c r="O609" s="7"/>
      <c r="P609" s="7"/>
      <c r="R609" s="7"/>
      <c r="S609" s="7"/>
    </row>
    <row r="610" spans="1:19" ht="14.1" customHeight="1" x14ac:dyDescent="0.2">
      <c r="A610" s="116">
        <f ca="1">IF($H610="UNIDADE CONSTRUTIVA",OFFSET(A610,-1,0)+1,LARGE(A$3:A609,1))</f>
        <v>0</v>
      </c>
      <c r="B610" s="116">
        <f t="shared" ca="1" si="112"/>
        <v>22</v>
      </c>
      <c r="C610" s="116">
        <f t="shared" ca="1" si="113"/>
        <v>1</v>
      </c>
      <c r="D610" s="117">
        <f t="shared" ca="1" si="114"/>
        <v>1</v>
      </c>
      <c r="E610" s="117">
        <f t="shared" ca="1" si="115"/>
        <v>1</v>
      </c>
      <c r="F610" s="438"/>
      <c r="G610" s="7"/>
      <c r="H610" s="7"/>
      <c r="I610" s="7"/>
      <c r="K610" s="7"/>
      <c r="L610" s="7"/>
      <c r="M610" s="7"/>
      <c r="N610" s="7"/>
      <c r="O610" s="7"/>
      <c r="P610" s="7"/>
      <c r="R610" s="7"/>
      <c r="S610" s="7"/>
    </row>
    <row r="611" spans="1:19" ht="14.1" customHeight="1" x14ac:dyDescent="0.2">
      <c r="A611" s="116">
        <f ca="1">IF($H611="UNIDADE CONSTRUTIVA",OFFSET(A611,-1,0)+1,LARGE(A$3:A610,1))</f>
        <v>0</v>
      </c>
      <c r="B611" s="116">
        <f t="shared" ca="1" si="112"/>
        <v>22</v>
      </c>
      <c r="C611" s="116">
        <f t="shared" ca="1" si="113"/>
        <v>1</v>
      </c>
      <c r="D611" s="117">
        <f t="shared" ca="1" si="114"/>
        <v>1</v>
      </c>
      <c r="E611" s="117">
        <f t="shared" ca="1" si="115"/>
        <v>1</v>
      </c>
      <c r="F611" s="438"/>
      <c r="G611" s="7"/>
      <c r="H611" s="7"/>
      <c r="I611" s="7"/>
      <c r="K611" s="7"/>
      <c r="L611" s="7"/>
      <c r="M611" s="7"/>
      <c r="N611" s="7"/>
      <c r="O611" s="7"/>
      <c r="P611" s="7"/>
      <c r="R611" s="7"/>
      <c r="S611" s="7"/>
    </row>
    <row r="612" spans="1:19" ht="14.1" customHeight="1" x14ac:dyDescent="0.2">
      <c r="A612" s="116">
        <f ca="1">IF($H612="UNIDADE CONSTRUTIVA",OFFSET(A612,-1,0)+1,LARGE(A$3:A611,1))</f>
        <v>0</v>
      </c>
      <c r="B612" s="116">
        <f t="shared" ca="1" si="112"/>
        <v>22</v>
      </c>
      <c r="C612" s="116">
        <f t="shared" ca="1" si="113"/>
        <v>1</v>
      </c>
      <c r="D612" s="117">
        <f t="shared" ca="1" si="114"/>
        <v>1</v>
      </c>
      <c r="E612" s="117">
        <f t="shared" ca="1" si="115"/>
        <v>1</v>
      </c>
      <c r="F612" s="438"/>
      <c r="G612" s="7"/>
      <c r="H612" s="7"/>
      <c r="I612" s="7"/>
      <c r="K612" s="7"/>
      <c r="L612" s="7"/>
      <c r="M612" s="7"/>
      <c r="N612" s="7"/>
      <c r="O612" s="7"/>
      <c r="P612" s="7"/>
      <c r="R612" s="7"/>
      <c r="S612" s="7"/>
    </row>
    <row r="613" spans="1:19" ht="14.1" customHeight="1" x14ac:dyDescent="0.2">
      <c r="A613" s="116">
        <f ca="1">IF($H613="UNIDADE CONSTRUTIVA",OFFSET(A613,-1,0)+1,LARGE(A$3:A612,1))</f>
        <v>0</v>
      </c>
      <c r="B613" s="116">
        <f t="shared" ca="1" si="112"/>
        <v>22</v>
      </c>
      <c r="C613" s="116">
        <f t="shared" ca="1" si="113"/>
        <v>1</v>
      </c>
      <c r="D613" s="117">
        <f t="shared" ca="1" si="114"/>
        <v>1</v>
      </c>
      <c r="E613" s="117">
        <f t="shared" ca="1" si="115"/>
        <v>1</v>
      </c>
      <c r="F613" s="438"/>
      <c r="G613" s="7"/>
      <c r="H613" s="7"/>
      <c r="I613" s="7"/>
      <c r="K613" s="7"/>
      <c r="L613" s="7"/>
      <c r="M613" s="7"/>
      <c r="N613" s="7"/>
      <c r="O613" s="7"/>
      <c r="P613" s="7"/>
      <c r="R613" s="7"/>
      <c r="S613" s="7"/>
    </row>
    <row r="614" spans="1:19" ht="14.1" customHeight="1" x14ac:dyDescent="0.2">
      <c r="A614" s="116">
        <f ca="1">IF($H614="UNIDADE CONSTRUTIVA",OFFSET(A614,-1,0)+1,LARGE(A$3:A613,1))</f>
        <v>0</v>
      </c>
      <c r="B614" s="116">
        <f t="shared" ca="1" si="112"/>
        <v>22</v>
      </c>
      <c r="C614" s="116">
        <f t="shared" ca="1" si="113"/>
        <v>1</v>
      </c>
      <c r="D614" s="117">
        <f t="shared" ca="1" si="114"/>
        <v>1</v>
      </c>
      <c r="E614" s="117">
        <f t="shared" ca="1" si="115"/>
        <v>1</v>
      </c>
      <c r="F614" s="438"/>
      <c r="G614" s="7"/>
      <c r="H614" s="7"/>
      <c r="I614" s="7"/>
      <c r="K614" s="7"/>
      <c r="L614" s="7"/>
      <c r="M614" s="7"/>
      <c r="N614" s="7"/>
      <c r="O614" s="7"/>
      <c r="P614" s="7"/>
      <c r="R614" s="7"/>
      <c r="S614" s="7"/>
    </row>
    <row r="615" spans="1:19" ht="14.1" customHeight="1" x14ac:dyDescent="0.2">
      <c r="A615" s="116">
        <f ca="1">IF($H615="UNIDADE CONSTRUTIVA",OFFSET(A615,-1,0)+1,LARGE(A$3:A614,1))</f>
        <v>0</v>
      </c>
      <c r="B615" s="116">
        <f t="shared" ca="1" si="112"/>
        <v>22</v>
      </c>
      <c r="C615" s="116">
        <f t="shared" ca="1" si="113"/>
        <v>1</v>
      </c>
      <c r="D615" s="117">
        <f t="shared" ca="1" si="114"/>
        <v>1</v>
      </c>
      <c r="E615" s="117">
        <f t="shared" ca="1" si="115"/>
        <v>1</v>
      </c>
      <c r="F615" s="438"/>
      <c r="G615" s="7"/>
      <c r="H615" s="7"/>
      <c r="I615" s="7"/>
      <c r="K615" s="7"/>
      <c r="L615" s="7"/>
      <c r="M615" s="7"/>
      <c r="N615" s="7"/>
      <c r="O615" s="7"/>
      <c r="P615" s="7"/>
      <c r="R615" s="7"/>
      <c r="S615" s="7"/>
    </row>
    <row r="616" spans="1:19" ht="14.1" customHeight="1" x14ac:dyDescent="0.2">
      <c r="A616" s="116">
        <f ca="1">IF($H616="UNIDADE CONSTRUTIVA",OFFSET(A616,-1,0)+1,LARGE(A$3:A615,1))</f>
        <v>0</v>
      </c>
      <c r="B616" s="116">
        <f t="shared" ca="1" si="112"/>
        <v>22</v>
      </c>
      <c r="C616" s="116">
        <f t="shared" ca="1" si="113"/>
        <v>1</v>
      </c>
      <c r="D616" s="117">
        <f t="shared" ca="1" si="114"/>
        <v>1</v>
      </c>
      <c r="E616" s="117">
        <f t="shared" ca="1" si="115"/>
        <v>1</v>
      </c>
      <c r="F616" s="438"/>
      <c r="G616" s="7"/>
      <c r="H616" s="7"/>
      <c r="I616" s="7"/>
      <c r="K616" s="7"/>
      <c r="L616" s="7"/>
      <c r="M616" s="7"/>
      <c r="N616" s="7"/>
      <c r="O616" s="7"/>
      <c r="P616" s="7"/>
      <c r="R616" s="7"/>
      <c r="S616" s="7"/>
    </row>
    <row r="617" spans="1:19" ht="14.1" customHeight="1" x14ac:dyDescent="0.2">
      <c r="A617" s="116">
        <f ca="1">IF($H617="UNIDADE CONSTRUTIVA",OFFSET(A617,-1,0)+1,LARGE(A$3:A616,1))</f>
        <v>0</v>
      </c>
      <c r="B617" s="116">
        <f t="shared" ref="B617:B621" ca="1" si="116">IF(H617="UNIDADE CONSTRUTIVA",0,IF(H617="CÉLULA CONSTRUTIVA",OFFSET(B617,-1,0)+1,OFFSET(B617,-1,0)))</f>
        <v>22</v>
      </c>
      <c r="C617" s="116">
        <f t="shared" ref="C617:C621" ca="1" si="117">IF(H617="CÉLULA CONSTRUTIVA",0,IF(H617="ETAPA",OFFSET(C617,-1,0)+1,OFFSET(C617,-1,0)))</f>
        <v>1</v>
      </c>
      <c r="D617" s="117">
        <f t="shared" ref="D617:D621" ca="1" si="118">IF(H617="ETAPA",0,IF(H617="SUBETAPA",OFFSET(D617,-1,0)+1,OFFSET(D617,-1,0)))</f>
        <v>1</v>
      </c>
      <c r="E617" s="117">
        <f t="shared" ref="E617:E621" ca="1" si="119">IF(H617="Subetapa",0,IF(H617="serviço",OFFSET(E617,-1,0)+1,OFFSET(E617,-1,0)))</f>
        <v>1</v>
      </c>
      <c r="F617" s="438"/>
      <c r="G617" s="7"/>
      <c r="H617" s="7"/>
      <c r="I617" s="7"/>
      <c r="K617" s="7"/>
      <c r="L617" s="7"/>
      <c r="M617" s="7"/>
      <c r="N617" s="7"/>
      <c r="O617" s="7"/>
      <c r="P617" s="7"/>
      <c r="R617" s="7"/>
      <c r="S617" s="7"/>
    </row>
    <row r="618" spans="1:19" ht="14.1" customHeight="1" x14ac:dyDescent="0.2">
      <c r="A618" s="116">
        <f ca="1">IF($H618="UNIDADE CONSTRUTIVA",OFFSET(A618,-1,0)+1,LARGE(A$3:A617,1))</f>
        <v>0</v>
      </c>
      <c r="B618" s="116">
        <f t="shared" ca="1" si="116"/>
        <v>22</v>
      </c>
      <c r="C618" s="116">
        <f t="shared" ca="1" si="117"/>
        <v>1</v>
      </c>
      <c r="D618" s="117">
        <f t="shared" ca="1" si="118"/>
        <v>1</v>
      </c>
      <c r="E618" s="117">
        <f t="shared" ca="1" si="119"/>
        <v>1</v>
      </c>
      <c r="F618" s="438"/>
      <c r="G618" s="7"/>
      <c r="H618" s="7"/>
      <c r="I618" s="7"/>
      <c r="K618" s="7"/>
      <c r="L618" s="7"/>
      <c r="M618" s="7"/>
      <c r="N618" s="7"/>
      <c r="O618" s="7"/>
      <c r="P618" s="7"/>
      <c r="R618" s="7"/>
      <c r="S618" s="7"/>
    </row>
    <row r="619" spans="1:19" ht="14.1" customHeight="1" x14ac:dyDescent="0.2">
      <c r="A619" s="116">
        <f ca="1">IF($H619="UNIDADE CONSTRUTIVA",OFFSET(A619,-1,0)+1,LARGE(A$3:A618,1))</f>
        <v>0</v>
      </c>
      <c r="B619" s="116">
        <f t="shared" ca="1" si="116"/>
        <v>22</v>
      </c>
      <c r="C619" s="116">
        <f t="shared" ca="1" si="117"/>
        <v>1</v>
      </c>
      <c r="D619" s="117">
        <f t="shared" ca="1" si="118"/>
        <v>1</v>
      </c>
      <c r="E619" s="117">
        <f t="shared" ca="1" si="119"/>
        <v>1</v>
      </c>
      <c r="F619" s="438"/>
      <c r="G619" s="7"/>
      <c r="H619" s="7"/>
      <c r="I619" s="7"/>
      <c r="K619" s="7"/>
      <c r="L619" s="7"/>
      <c r="M619" s="7"/>
      <c r="N619" s="7"/>
      <c r="O619" s="7"/>
      <c r="P619" s="7"/>
      <c r="R619" s="7"/>
      <c r="S619" s="7"/>
    </row>
    <row r="620" spans="1:19" ht="14.1" customHeight="1" x14ac:dyDescent="0.2">
      <c r="A620" s="116">
        <f ca="1">IF($H620="UNIDADE CONSTRUTIVA",OFFSET(A620,-1,0)+1,LARGE(A$3:A619,1))</f>
        <v>0</v>
      </c>
      <c r="B620" s="116">
        <f t="shared" ca="1" si="116"/>
        <v>22</v>
      </c>
      <c r="C620" s="116">
        <f t="shared" ca="1" si="117"/>
        <v>1</v>
      </c>
      <c r="D620" s="117">
        <f t="shared" ca="1" si="118"/>
        <v>1</v>
      </c>
      <c r="E620" s="117">
        <f t="shared" ca="1" si="119"/>
        <v>1</v>
      </c>
      <c r="F620" s="438"/>
      <c r="G620" s="7"/>
      <c r="H620" s="7"/>
      <c r="I620" s="7"/>
      <c r="K620" s="7"/>
      <c r="L620" s="7"/>
      <c r="M620" s="7"/>
      <c r="N620" s="7"/>
      <c r="O620" s="7"/>
      <c r="P620" s="7"/>
      <c r="R620" s="7"/>
      <c r="S620" s="7"/>
    </row>
    <row r="621" spans="1:19" ht="14.1" customHeight="1" x14ac:dyDescent="0.2">
      <c r="A621" s="116">
        <f ca="1">IF($H621="UNIDADE CONSTRUTIVA",OFFSET(A621,-1,0)+1,LARGE(A$3:A620,1))</f>
        <v>0</v>
      </c>
      <c r="B621" s="116">
        <f t="shared" ca="1" si="116"/>
        <v>22</v>
      </c>
      <c r="C621" s="116">
        <f t="shared" ca="1" si="117"/>
        <v>1</v>
      </c>
      <c r="D621" s="117">
        <f t="shared" ca="1" si="118"/>
        <v>1</v>
      </c>
      <c r="E621" s="117">
        <f t="shared" ca="1" si="119"/>
        <v>1</v>
      </c>
      <c r="F621" s="438"/>
      <c r="G621" s="7"/>
      <c r="H621" s="7"/>
      <c r="I621" s="7"/>
      <c r="K621" s="7"/>
      <c r="L621" s="7"/>
      <c r="M621" s="7"/>
      <c r="N621" s="7"/>
      <c r="O621" s="7"/>
      <c r="P621" s="7"/>
      <c r="R621" s="7"/>
      <c r="S621" s="7"/>
    </row>
    <row r="622" spans="1:19" ht="14.1" customHeight="1" x14ac:dyDescent="0.2">
      <c r="A622" s="116">
        <f ca="1">IF($H622="UNIDADE CONSTRUTIVA",OFFSET(A622,-1,0)+1,LARGE(A$3:A621,1))</f>
        <v>0</v>
      </c>
      <c r="B622" s="116">
        <f t="shared" ref="B622:B685" ca="1" si="120">IF(H622="UNIDADE CONSTRUTIVA",0,IF(H622="CÉLULA CONSTRUTIVA",OFFSET(B622,-1,0)+1,OFFSET(B622,-1,0)))</f>
        <v>22</v>
      </c>
      <c r="C622" s="116">
        <f t="shared" ref="C622:C685" ca="1" si="121">IF(H622="CÉLULA CONSTRUTIVA",0,IF(H622="ETAPA",OFFSET(C622,-1,0)+1,OFFSET(C622,-1,0)))</f>
        <v>1</v>
      </c>
      <c r="D622" s="117">
        <f t="shared" ref="D622:D685" ca="1" si="122">IF(H622="ETAPA",0,IF(H622="SUBETAPA",OFFSET(D622,-1,0)+1,OFFSET(D622,-1,0)))</f>
        <v>1</v>
      </c>
      <c r="E622" s="117">
        <f t="shared" ref="E622:E685" ca="1" si="123">IF(H622="Subetapa",0,IF(H622="serviço",OFFSET(E622,-1,0)+1,OFFSET(E622,-1,0)))</f>
        <v>1</v>
      </c>
      <c r="F622" s="438"/>
      <c r="G622" s="7"/>
      <c r="H622" s="7"/>
      <c r="I622" s="7"/>
      <c r="K622" s="7"/>
      <c r="L622" s="7"/>
      <c r="M622" s="7"/>
      <c r="N622" s="7"/>
      <c r="O622" s="7"/>
      <c r="P622" s="7"/>
      <c r="R622" s="7"/>
      <c r="S622" s="7"/>
    </row>
    <row r="623" spans="1:19" ht="14.1" customHeight="1" x14ac:dyDescent="0.2">
      <c r="A623" s="116">
        <f ca="1">IF($H623="UNIDADE CONSTRUTIVA",OFFSET(A623,-1,0)+1,LARGE(A$3:A622,1))</f>
        <v>0</v>
      </c>
      <c r="B623" s="116">
        <f t="shared" ca="1" si="120"/>
        <v>22</v>
      </c>
      <c r="C623" s="116">
        <f t="shared" ca="1" si="121"/>
        <v>1</v>
      </c>
      <c r="D623" s="117">
        <f t="shared" ca="1" si="122"/>
        <v>1</v>
      </c>
      <c r="E623" s="117">
        <f t="shared" ca="1" si="123"/>
        <v>1</v>
      </c>
      <c r="F623" s="438"/>
      <c r="G623" s="7"/>
      <c r="H623" s="7"/>
      <c r="I623" s="7"/>
      <c r="K623" s="7"/>
      <c r="L623" s="7"/>
      <c r="M623" s="7"/>
      <c r="N623" s="7"/>
      <c r="O623" s="7"/>
      <c r="P623" s="7"/>
      <c r="R623" s="7"/>
      <c r="S623" s="7"/>
    </row>
    <row r="624" spans="1:19" ht="14.1" customHeight="1" x14ac:dyDescent="0.2">
      <c r="A624" s="116">
        <f ca="1">IF($H624="UNIDADE CONSTRUTIVA",OFFSET(A624,-1,0)+1,LARGE(A$3:A623,1))</f>
        <v>0</v>
      </c>
      <c r="B624" s="116">
        <f t="shared" ca="1" si="120"/>
        <v>22</v>
      </c>
      <c r="C624" s="116">
        <f t="shared" ca="1" si="121"/>
        <v>1</v>
      </c>
      <c r="D624" s="117">
        <f t="shared" ca="1" si="122"/>
        <v>1</v>
      </c>
      <c r="E624" s="117">
        <f t="shared" ca="1" si="123"/>
        <v>1</v>
      </c>
      <c r="F624" s="438"/>
      <c r="G624" s="7"/>
      <c r="H624" s="7"/>
      <c r="I624" s="7"/>
      <c r="K624" s="7"/>
      <c r="L624" s="7"/>
      <c r="M624" s="7"/>
      <c r="N624" s="7"/>
      <c r="O624" s="7"/>
      <c r="P624" s="7"/>
      <c r="R624" s="7"/>
      <c r="S624" s="7"/>
    </row>
    <row r="625" spans="1:19" ht="14.1" customHeight="1" x14ac:dyDescent="0.2">
      <c r="A625" s="116">
        <f ca="1">IF($H625="UNIDADE CONSTRUTIVA",OFFSET(A625,-1,0)+1,LARGE(A$3:A624,1))</f>
        <v>0</v>
      </c>
      <c r="B625" s="116">
        <f t="shared" ca="1" si="120"/>
        <v>22</v>
      </c>
      <c r="C625" s="116">
        <f t="shared" ca="1" si="121"/>
        <v>1</v>
      </c>
      <c r="D625" s="117">
        <f t="shared" ca="1" si="122"/>
        <v>1</v>
      </c>
      <c r="E625" s="117">
        <f t="shared" ca="1" si="123"/>
        <v>1</v>
      </c>
      <c r="F625" s="438"/>
      <c r="G625" s="7"/>
      <c r="H625" s="7"/>
      <c r="I625" s="7"/>
      <c r="K625" s="7"/>
      <c r="L625" s="7"/>
      <c r="M625" s="7"/>
      <c r="N625" s="7"/>
      <c r="O625" s="7"/>
      <c r="P625" s="7"/>
      <c r="R625" s="7"/>
      <c r="S625" s="7"/>
    </row>
    <row r="626" spans="1:19" ht="14.1" customHeight="1" x14ac:dyDescent="0.2">
      <c r="A626" s="116">
        <f ca="1">IF($H626="UNIDADE CONSTRUTIVA",OFFSET(A626,-1,0)+1,LARGE(A$3:A625,1))</f>
        <v>0</v>
      </c>
      <c r="B626" s="116">
        <f t="shared" ca="1" si="120"/>
        <v>22</v>
      </c>
      <c r="C626" s="116">
        <f t="shared" ca="1" si="121"/>
        <v>1</v>
      </c>
      <c r="D626" s="117">
        <f t="shared" ca="1" si="122"/>
        <v>1</v>
      </c>
      <c r="E626" s="117">
        <f t="shared" ca="1" si="123"/>
        <v>1</v>
      </c>
      <c r="F626" s="438"/>
      <c r="G626" s="7"/>
      <c r="H626" s="7"/>
      <c r="I626" s="7"/>
      <c r="K626" s="7"/>
      <c r="L626" s="7"/>
      <c r="M626" s="7"/>
      <c r="N626" s="7"/>
      <c r="O626" s="7"/>
      <c r="P626" s="7"/>
      <c r="R626" s="7"/>
      <c r="S626" s="7"/>
    </row>
    <row r="627" spans="1:19" ht="14.1" customHeight="1" x14ac:dyDescent="0.2">
      <c r="A627" s="116">
        <f ca="1">IF($H627="UNIDADE CONSTRUTIVA",OFFSET(A627,-1,0)+1,LARGE(A$3:A626,1))</f>
        <v>0</v>
      </c>
      <c r="B627" s="116">
        <f t="shared" ca="1" si="120"/>
        <v>22</v>
      </c>
      <c r="C627" s="116">
        <f t="shared" ca="1" si="121"/>
        <v>1</v>
      </c>
      <c r="D627" s="117">
        <f t="shared" ca="1" si="122"/>
        <v>1</v>
      </c>
      <c r="E627" s="117">
        <f t="shared" ca="1" si="123"/>
        <v>1</v>
      </c>
      <c r="F627" s="438"/>
      <c r="G627" s="7"/>
      <c r="H627" s="7"/>
      <c r="I627" s="7"/>
      <c r="K627" s="7"/>
      <c r="L627" s="7"/>
      <c r="M627" s="7"/>
      <c r="N627" s="7"/>
      <c r="O627" s="7"/>
      <c r="P627" s="7"/>
      <c r="R627" s="7"/>
      <c r="S627" s="7"/>
    </row>
    <row r="628" spans="1:19" ht="14.1" customHeight="1" x14ac:dyDescent="0.2">
      <c r="A628" s="116">
        <f ca="1">IF($H628="UNIDADE CONSTRUTIVA",OFFSET(A628,-1,0)+1,LARGE(A$3:A627,1))</f>
        <v>0</v>
      </c>
      <c r="B628" s="116">
        <f t="shared" ca="1" si="120"/>
        <v>22</v>
      </c>
      <c r="C628" s="116">
        <f t="shared" ca="1" si="121"/>
        <v>1</v>
      </c>
      <c r="D628" s="117">
        <f t="shared" ca="1" si="122"/>
        <v>1</v>
      </c>
      <c r="E628" s="117">
        <f t="shared" ca="1" si="123"/>
        <v>1</v>
      </c>
      <c r="F628" s="438"/>
      <c r="G628" s="7"/>
      <c r="H628" s="7"/>
      <c r="I628" s="7"/>
      <c r="K628" s="7"/>
      <c r="L628" s="7"/>
      <c r="M628" s="7"/>
      <c r="N628" s="7"/>
      <c r="O628" s="7"/>
      <c r="P628" s="7"/>
      <c r="R628" s="7"/>
      <c r="S628" s="7"/>
    </row>
    <row r="629" spans="1:19" ht="14.1" customHeight="1" x14ac:dyDescent="0.2">
      <c r="A629" s="116">
        <f ca="1">IF($H629="UNIDADE CONSTRUTIVA",OFFSET(A629,-1,0)+1,LARGE(A$3:A628,1))</f>
        <v>0</v>
      </c>
      <c r="B629" s="116">
        <f t="shared" ca="1" si="120"/>
        <v>22</v>
      </c>
      <c r="C629" s="116">
        <f t="shared" ca="1" si="121"/>
        <v>1</v>
      </c>
      <c r="D629" s="117">
        <f t="shared" ca="1" si="122"/>
        <v>1</v>
      </c>
      <c r="E629" s="117">
        <f t="shared" ca="1" si="123"/>
        <v>1</v>
      </c>
      <c r="F629" s="438"/>
      <c r="G629" s="7"/>
      <c r="H629" s="7"/>
      <c r="I629" s="7"/>
      <c r="K629" s="7"/>
      <c r="L629" s="7"/>
      <c r="M629" s="7"/>
      <c r="N629" s="7"/>
      <c r="O629" s="7"/>
      <c r="P629" s="7"/>
      <c r="R629" s="7"/>
      <c r="S629" s="7"/>
    </row>
    <row r="630" spans="1:19" ht="14.1" customHeight="1" x14ac:dyDescent="0.2">
      <c r="A630" s="116">
        <f ca="1">IF($H630="UNIDADE CONSTRUTIVA",OFFSET(A630,-1,0)+1,LARGE(A$3:A629,1))</f>
        <v>0</v>
      </c>
      <c r="B630" s="116">
        <f t="shared" ca="1" si="120"/>
        <v>22</v>
      </c>
      <c r="C630" s="116">
        <f t="shared" ca="1" si="121"/>
        <v>1</v>
      </c>
      <c r="D630" s="117">
        <f t="shared" ca="1" si="122"/>
        <v>1</v>
      </c>
      <c r="E630" s="117">
        <f t="shared" ca="1" si="123"/>
        <v>1</v>
      </c>
      <c r="F630" s="438"/>
      <c r="G630" s="7"/>
      <c r="H630" s="7"/>
      <c r="I630" s="7"/>
      <c r="K630" s="7"/>
      <c r="L630" s="7"/>
      <c r="M630" s="7"/>
      <c r="N630" s="7"/>
      <c r="O630" s="7"/>
      <c r="P630" s="7"/>
      <c r="R630" s="7"/>
      <c r="S630" s="7"/>
    </row>
    <row r="631" spans="1:19" ht="14.1" customHeight="1" x14ac:dyDescent="0.2">
      <c r="A631" s="116">
        <f ca="1">IF($H631="UNIDADE CONSTRUTIVA",OFFSET(A631,-1,0)+1,LARGE(A$3:A630,1))</f>
        <v>0</v>
      </c>
      <c r="B631" s="116">
        <f t="shared" ca="1" si="120"/>
        <v>22</v>
      </c>
      <c r="C631" s="116">
        <f t="shared" ca="1" si="121"/>
        <v>1</v>
      </c>
      <c r="D631" s="117">
        <f t="shared" ca="1" si="122"/>
        <v>1</v>
      </c>
      <c r="E631" s="117">
        <f t="shared" ca="1" si="123"/>
        <v>1</v>
      </c>
      <c r="F631" s="438"/>
      <c r="G631" s="7"/>
      <c r="H631" s="7"/>
      <c r="I631" s="7"/>
      <c r="K631" s="7"/>
      <c r="L631" s="7"/>
      <c r="M631" s="7"/>
      <c r="N631" s="7"/>
      <c r="O631" s="7"/>
      <c r="P631" s="7"/>
      <c r="R631" s="7"/>
      <c r="S631" s="7"/>
    </row>
    <row r="632" spans="1:19" ht="14.1" customHeight="1" x14ac:dyDescent="0.2">
      <c r="A632" s="116">
        <f ca="1">IF($H632="UNIDADE CONSTRUTIVA",OFFSET(A632,-1,0)+1,LARGE(A$3:A631,1))</f>
        <v>0</v>
      </c>
      <c r="B632" s="116">
        <f t="shared" ca="1" si="120"/>
        <v>22</v>
      </c>
      <c r="C632" s="116">
        <f t="shared" ca="1" si="121"/>
        <v>1</v>
      </c>
      <c r="D632" s="117">
        <f t="shared" ca="1" si="122"/>
        <v>1</v>
      </c>
      <c r="E632" s="117">
        <f t="shared" ca="1" si="123"/>
        <v>1</v>
      </c>
      <c r="F632" s="438"/>
      <c r="G632" s="7"/>
      <c r="H632" s="7"/>
      <c r="I632" s="7"/>
      <c r="K632" s="7"/>
      <c r="L632" s="7"/>
      <c r="M632" s="7"/>
      <c r="N632" s="7"/>
      <c r="O632" s="7"/>
      <c r="P632" s="7"/>
      <c r="R632" s="7"/>
      <c r="S632" s="7"/>
    </row>
    <row r="633" spans="1:19" ht="14.1" customHeight="1" x14ac:dyDescent="0.2">
      <c r="A633" s="116">
        <f ca="1">IF($H633="UNIDADE CONSTRUTIVA",OFFSET(A633,-1,0)+1,LARGE(A$3:A632,1))</f>
        <v>0</v>
      </c>
      <c r="B633" s="116">
        <f t="shared" ca="1" si="120"/>
        <v>22</v>
      </c>
      <c r="C633" s="116">
        <f t="shared" ca="1" si="121"/>
        <v>1</v>
      </c>
      <c r="D633" s="117">
        <f t="shared" ca="1" si="122"/>
        <v>1</v>
      </c>
      <c r="E633" s="117">
        <f t="shared" ca="1" si="123"/>
        <v>1</v>
      </c>
      <c r="F633" s="438"/>
      <c r="G633" s="7"/>
      <c r="H633" s="7"/>
      <c r="I633" s="7"/>
      <c r="K633" s="7"/>
      <c r="L633" s="7"/>
      <c r="M633" s="7"/>
      <c r="N633" s="7"/>
      <c r="O633" s="7"/>
      <c r="P633" s="7"/>
      <c r="R633" s="7"/>
      <c r="S633" s="7"/>
    </row>
    <row r="634" spans="1:19" ht="14.1" customHeight="1" x14ac:dyDescent="0.2">
      <c r="A634" s="116">
        <f ca="1">IF($H634="UNIDADE CONSTRUTIVA",OFFSET(A634,-1,0)+1,LARGE(A$3:A633,1))</f>
        <v>0</v>
      </c>
      <c r="B634" s="116">
        <f t="shared" ca="1" si="120"/>
        <v>22</v>
      </c>
      <c r="C634" s="116">
        <f t="shared" ca="1" si="121"/>
        <v>1</v>
      </c>
      <c r="D634" s="117">
        <f t="shared" ca="1" si="122"/>
        <v>1</v>
      </c>
      <c r="E634" s="117">
        <f t="shared" ca="1" si="123"/>
        <v>1</v>
      </c>
      <c r="F634" s="438"/>
      <c r="G634" s="7"/>
      <c r="H634" s="7"/>
      <c r="I634" s="7"/>
      <c r="K634" s="7"/>
      <c r="L634" s="7"/>
      <c r="M634" s="7"/>
      <c r="N634" s="7"/>
      <c r="O634" s="7"/>
      <c r="P634" s="7"/>
      <c r="R634" s="7"/>
      <c r="S634" s="7"/>
    </row>
    <row r="635" spans="1:19" ht="14.1" customHeight="1" x14ac:dyDescent="0.2">
      <c r="A635" s="116">
        <f ca="1">IF($H635="UNIDADE CONSTRUTIVA",OFFSET(A635,-1,0)+1,LARGE(A$3:A634,1))</f>
        <v>0</v>
      </c>
      <c r="B635" s="116">
        <f t="shared" ca="1" si="120"/>
        <v>22</v>
      </c>
      <c r="C635" s="116">
        <f t="shared" ca="1" si="121"/>
        <v>1</v>
      </c>
      <c r="D635" s="117">
        <f t="shared" ca="1" si="122"/>
        <v>1</v>
      </c>
      <c r="E635" s="117">
        <f t="shared" ca="1" si="123"/>
        <v>1</v>
      </c>
      <c r="F635" s="438"/>
      <c r="G635" s="7"/>
      <c r="H635" s="7"/>
      <c r="I635" s="7"/>
      <c r="K635" s="7"/>
      <c r="L635" s="7"/>
      <c r="M635" s="7"/>
      <c r="N635" s="7"/>
      <c r="O635" s="7"/>
      <c r="P635" s="7"/>
      <c r="R635" s="7"/>
      <c r="S635" s="7"/>
    </row>
    <row r="636" spans="1:19" ht="14.1" customHeight="1" x14ac:dyDescent="0.2">
      <c r="A636" s="116">
        <f ca="1">IF($H636="UNIDADE CONSTRUTIVA",OFFSET(A636,-1,0)+1,LARGE(A$3:A635,1))</f>
        <v>0</v>
      </c>
      <c r="B636" s="116">
        <f t="shared" ca="1" si="120"/>
        <v>22</v>
      </c>
      <c r="C636" s="116">
        <f t="shared" ca="1" si="121"/>
        <v>1</v>
      </c>
      <c r="D636" s="117">
        <f t="shared" ca="1" si="122"/>
        <v>1</v>
      </c>
      <c r="E636" s="117">
        <f t="shared" ca="1" si="123"/>
        <v>1</v>
      </c>
      <c r="F636" s="438"/>
      <c r="G636" s="7"/>
      <c r="H636" s="7"/>
      <c r="I636" s="7"/>
      <c r="K636" s="7"/>
      <c r="L636" s="7"/>
      <c r="M636" s="7"/>
      <c r="N636" s="7"/>
      <c r="O636" s="7"/>
      <c r="P636" s="7"/>
      <c r="R636" s="7"/>
      <c r="S636" s="7"/>
    </row>
    <row r="637" spans="1:19" ht="14.1" customHeight="1" x14ac:dyDescent="0.2">
      <c r="A637" s="116">
        <f ca="1">IF($H637="UNIDADE CONSTRUTIVA",OFFSET(A637,-1,0)+1,LARGE(A$3:A636,1))</f>
        <v>0</v>
      </c>
      <c r="B637" s="116">
        <f t="shared" ca="1" si="120"/>
        <v>22</v>
      </c>
      <c r="C637" s="116">
        <f t="shared" ca="1" si="121"/>
        <v>1</v>
      </c>
      <c r="D637" s="117">
        <f t="shared" ca="1" si="122"/>
        <v>1</v>
      </c>
      <c r="E637" s="117">
        <f t="shared" ca="1" si="123"/>
        <v>1</v>
      </c>
      <c r="F637" s="438"/>
      <c r="G637" s="7"/>
      <c r="H637" s="7"/>
      <c r="I637" s="7"/>
      <c r="K637" s="7"/>
      <c r="L637" s="7"/>
      <c r="M637" s="7"/>
      <c r="N637" s="7"/>
      <c r="O637" s="7"/>
      <c r="P637" s="7"/>
      <c r="R637" s="7"/>
      <c r="S637" s="7"/>
    </row>
    <row r="638" spans="1:19" ht="14.1" customHeight="1" x14ac:dyDescent="0.2">
      <c r="A638" s="116">
        <f ca="1">IF($H638="UNIDADE CONSTRUTIVA",OFFSET(A638,-1,0)+1,LARGE(A$3:A637,1))</f>
        <v>0</v>
      </c>
      <c r="B638" s="116">
        <f t="shared" ca="1" si="120"/>
        <v>22</v>
      </c>
      <c r="C638" s="116">
        <f t="shared" ca="1" si="121"/>
        <v>1</v>
      </c>
      <c r="D638" s="117">
        <f t="shared" ca="1" si="122"/>
        <v>1</v>
      </c>
      <c r="E638" s="117">
        <f t="shared" ca="1" si="123"/>
        <v>1</v>
      </c>
      <c r="F638" s="438"/>
      <c r="G638" s="7"/>
      <c r="H638" s="7"/>
      <c r="I638" s="7"/>
      <c r="K638" s="7"/>
      <c r="L638" s="7"/>
      <c r="M638" s="7"/>
      <c r="N638" s="7"/>
      <c r="O638" s="7"/>
      <c r="P638" s="7"/>
      <c r="R638" s="7"/>
      <c r="S638" s="7"/>
    </row>
    <row r="639" spans="1:19" ht="14.1" customHeight="1" x14ac:dyDescent="0.2">
      <c r="A639" s="116">
        <f ca="1">IF($H639="UNIDADE CONSTRUTIVA",OFFSET(A639,-1,0)+1,LARGE(A$3:A638,1))</f>
        <v>0</v>
      </c>
      <c r="B639" s="116">
        <f t="shared" ca="1" si="120"/>
        <v>22</v>
      </c>
      <c r="C639" s="116">
        <f t="shared" ca="1" si="121"/>
        <v>1</v>
      </c>
      <c r="D639" s="117">
        <f t="shared" ca="1" si="122"/>
        <v>1</v>
      </c>
      <c r="E639" s="117">
        <f t="shared" ca="1" si="123"/>
        <v>1</v>
      </c>
      <c r="F639" s="438"/>
      <c r="G639" s="7"/>
      <c r="H639" s="7"/>
      <c r="I639" s="7"/>
      <c r="K639" s="7"/>
      <c r="L639" s="7"/>
      <c r="M639" s="7"/>
      <c r="N639" s="7"/>
      <c r="O639" s="7"/>
      <c r="P639" s="7"/>
      <c r="R639" s="7"/>
      <c r="S639" s="7"/>
    </row>
    <row r="640" spans="1:19" ht="14.1" customHeight="1" x14ac:dyDescent="0.2">
      <c r="A640" s="116">
        <f ca="1">IF($H640="UNIDADE CONSTRUTIVA",OFFSET(A640,-1,0)+1,LARGE(A$3:A639,1))</f>
        <v>0</v>
      </c>
      <c r="B640" s="116">
        <f t="shared" ca="1" si="120"/>
        <v>22</v>
      </c>
      <c r="C640" s="116">
        <f t="shared" ca="1" si="121"/>
        <v>1</v>
      </c>
      <c r="D640" s="117">
        <f t="shared" ca="1" si="122"/>
        <v>1</v>
      </c>
      <c r="E640" s="117">
        <f t="shared" ca="1" si="123"/>
        <v>1</v>
      </c>
      <c r="F640" s="438"/>
      <c r="G640" s="7"/>
      <c r="H640" s="7"/>
      <c r="I640" s="7"/>
      <c r="K640" s="7"/>
      <c r="L640" s="7"/>
      <c r="M640" s="7"/>
      <c r="N640" s="7"/>
      <c r="O640" s="7"/>
      <c r="P640" s="7"/>
      <c r="R640" s="7"/>
      <c r="S640" s="7"/>
    </row>
    <row r="641" spans="1:19" ht="14.1" customHeight="1" x14ac:dyDescent="0.2">
      <c r="A641" s="116">
        <f ca="1">IF($H641="UNIDADE CONSTRUTIVA",OFFSET(A641,-1,0)+1,LARGE(A$3:A640,1))</f>
        <v>0</v>
      </c>
      <c r="B641" s="116">
        <f t="shared" ca="1" si="120"/>
        <v>22</v>
      </c>
      <c r="C641" s="116">
        <f t="shared" ca="1" si="121"/>
        <v>1</v>
      </c>
      <c r="D641" s="117">
        <f t="shared" ca="1" si="122"/>
        <v>1</v>
      </c>
      <c r="E641" s="117">
        <f t="shared" ca="1" si="123"/>
        <v>1</v>
      </c>
      <c r="F641" s="438"/>
      <c r="G641" s="7"/>
      <c r="H641" s="7"/>
      <c r="I641" s="7"/>
      <c r="K641" s="7"/>
      <c r="L641" s="7"/>
      <c r="M641" s="7"/>
      <c r="N641" s="7"/>
      <c r="O641" s="7"/>
      <c r="P641" s="7"/>
      <c r="R641" s="7"/>
      <c r="S641" s="7"/>
    </row>
    <row r="642" spans="1:19" ht="14.1" customHeight="1" x14ac:dyDescent="0.2">
      <c r="A642" s="116">
        <f ca="1">IF($H642="UNIDADE CONSTRUTIVA",OFFSET(A642,-1,0)+1,LARGE(A$3:A641,1))</f>
        <v>0</v>
      </c>
      <c r="B642" s="116">
        <f t="shared" ca="1" si="120"/>
        <v>22</v>
      </c>
      <c r="C642" s="116">
        <f t="shared" ca="1" si="121"/>
        <v>1</v>
      </c>
      <c r="D642" s="117">
        <f t="shared" ca="1" si="122"/>
        <v>1</v>
      </c>
      <c r="E642" s="117">
        <f t="shared" ca="1" si="123"/>
        <v>1</v>
      </c>
      <c r="F642" s="438"/>
      <c r="G642" s="7"/>
      <c r="H642" s="7"/>
      <c r="I642" s="7"/>
      <c r="K642" s="7"/>
      <c r="L642" s="7"/>
      <c r="M642" s="7"/>
      <c r="N642" s="7"/>
      <c r="O642" s="7"/>
      <c r="P642" s="7"/>
      <c r="R642" s="7"/>
      <c r="S642" s="7"/>
    </row>
    <row r="643" spans="1:19" ht="14.1" customHeight="1" x14ac:dyDescent="0.2">
      <c r="A643" s="116">
        <f ca="1">IF($H643="UNIDADE CONSTRUTIVA",OFFSET(A643,-1,0)+1,LARGE(A$3:A642,1))</f>
        <v>0</v>
      </c>
      <c r="B643" s="116">
        <f t="shared" ca="1" si="120"/>
        <v>22</v>
      </c>
      <c r="C643" s="116">
        <f t="shared" ca="1" si="121"/>
        <v>1</v>
      </c>
      <c r="D643" s="117">
        <f t="shared" ca="1" si="122"/>
        <v>1</v>
      </c>
      <c r="E643" s="117">
        <f t="shared" ca="1" si="123"/>
        <v>1</v>
      </c>
      <c r="F643" s="438"/>
      <c r="G643" s="7"/>
      <c r="H643" s="7"/>
      <c r="I643" s="7"/>
      <c r="K643" s="7"/>
      <c r="L643" s="7"/>
      <c r="M643" s="7"/>
      <c r="N643" s="7"/>
      <c r="O643" s="7"/>
      <c r="P643" s="7"/>
      <c r="R643" s="7"/>
      <c r="S643" s="7"/>
    </row>
    <row r="644" spans="1:19" ht="14.1" customHeight="1" x14ac:dyDescent="0.2">
      <c r="A644" s="116">
        <f ca="1">IF($H644="UNIDADE CONSTRUTIVA",OFFSET(A644,-1,0)+1,LARGE(A$3:A643,1))</f>
        <v>0</v>
      </c>
      <c r="B644" s="116">
        <f t="shared" ca="1" si="120"/>
        <v>22</v>
      </c>
      <c r="C644" s="116">
        <f t="shared" ca="1" si="121"/>
        <v>1</v>
      </c>
      <c r="D644" s="117">
        <f t="shared" ca="1" si="122"/>
        <v>1</v>
      </c>
      <c r="E644" s="117">
        <f t="shared" ca="1" si="123"/>
        <v>1</v>
      </c>
      <c r="F644" s="438"/>
      <c r="G644" s="7"/>
      <c r="H644" s="7"/>
      <c r="I644" s="7"/>
      <c r="K644" s="7"/>
      <c r="L644" s="7"/>
      <c r="M644" s="7"/>
      <c r="N644" s="7"/>
      <c r="O644" s="7"/>
      <c r="P644" s="7"/>
      <c r="R644" s="7"/>
      <c r="S644" s="7"/>
    </row>
    <row r="645" spans="1:19" ht="14.1" customHeight="1" x14ac:dyDescent="0.2">
      <c r="A645" s="116">
        <f ca="1">IF($H645="UNIDADE CONSTRUTIVA",OFFSET(A645,-1,0)+1,LARGE(A$3:A644,1))</f>
        <v>0</v>
      </c>
      <c r="B645" s="116">
        <f t="shared" ca="1" si="120"/>
        <v>22</v>
      </c>
      <c r="C645" s="116">
        <f t="shared" ca="1" si="121"/>
        <v>1</v>
      </c>
      <c r="D645" s="117">
        <f t="shared" ca="1" si="122"/>
        <v>1</v>
      </c>
      <c r="E645" s="117">
        <f t="shared" ca="1" si="123"/>
        <v>1</v>
      </c>
      <c r="F645" s="438"/>
      <c r="G645" s="7"/>
      <c r="H645" s="7"/>
      <c r="I645" s="7"/>
      <c r="K645" s="7"/>
      <c r="L645" s="7"/>
      <c r="M645" s="7"/>
      <c r="N645" s="7"/>
      <c r="O645" s="7"/>
      <c r="P645" s="7"/>
      <c r="R645" s="7"/>
      <c r="S645" s="7"/>
    </row>
    <row r="646" spans="1:19" ht="14.1" customHeight="1" x14ac:dyDescent="0.2">
      <c r="A646" s="116">
        <f ca="1">IF($H646="UNIDADE CONSTRUTIVA",OFFSET(A646,-1,0)+1,LARGE(A$3:A645,1))</f>
        <v>0</v>
      </c>
      <c r="B646" s="116">
        <f t="shared" ca="1" si="120"/>
        <v>22</v>
      </c>
      <c r="C646" s="116">
        <f t="shared" ca="1" si="121"/>
        <v>1</v>
      </c>
      <c r="D646" s="117">
        <f t="shared" ca="1" si="122"/>
        <v>1</v>
      </c>
      <c r="E646" s="117">
        <f t="shared" ca="1" si="123"/>
        <v>1</v>
      </c>
      <c r="F646" s="438"/>
      <c r="G646" s="7"/>
      <c r="H646" s="7"/>
      <c r="I646" s="7"/>
      <c r="K646" s="7"/>
      <c r="L646" s="7"/>
      <c r="M646" s="7"/>
      <c r="N646" s="7"/>
      <c r="O646" s="7"/>
      <c r="P646" s="7"/>
      <c r="R646" s="7"/>
      <c r="S646" s="7"/>
    </row>
    <row r="647" spans="1:19" ht="14.1" customHeight="1" x14ac:dyDescent="0.2">
      <c r="A647" s="116">
        <f ca="1">IF($H647="UNIDADE CONSTRUTIVA",OFFSET(A647,-1,0)+1,LARGE(A$3:A646,1))</f>
        <v>0</v>
      </c>
      <c r="B647" s="116">
        <f t="shared" ca="1" si="120"/>
        <v>22</v>
      </c>
      <c r="C647" s="116">
        <f t="shared" ca="1" si="121"/>
        <v>1</v>
      </c>
      <c r="D647" s="117">
        <f t="shared" ca="1" si="122"/>
        <v>1</v>
      </c>
      <c r="E647" s="117">
        <f t="shared" ca="1" si="123"/>
        <v>1</v>
      </c>
      <c r="F647" s="438"/>
      <c r="G647" s="7"/>
      <c r="H647" s="7"/>
      <c r="I647" s="7"/>
      <c r="K647" s="7"/>
      <c r="L647" s="7"/>
      <c r="M647" s="7"/>
      <c r="N647" s="7"/>
      <c r="O647" s="7"/>
      <c r="P647" s="7"/>
      <c r="R647" s="7"/>
      <c r="S647" s="7"/>
    </row>
    <row r="648" spans="1:19" ht="14.1" customHeight="1" x14ac:dyDescent="0.2">
      <c r="A648" s="116">
        <f ca="1">IF($H648="UNIDADE CONSTRUTIVA",OFFSET(A648,-1,0)+1,LARGE(A$3:A647,1))</f>
        <v>0</v>
      </c>
      <c r="B648" s="116">
        <f t="shared" ca="1" si="120"/>
        <v>22</v>
      </c>
      <c r="C648" s="116">
        <f t="shared" ca="1" si="121"/>
        <v>1</v>
      </c>
      <c r="D648" s="117">
        <f t="shared" ca="1" si="122"/>
        <v>1</v>
      </c>
      <c r="E648" s="117">
        <f t="shared" ca="1" si="123"/>
        <v>1</v>
      </c>
      <c r="F648" s="438"/>
      <c r="G648" s="7"/>
      <c r="H648" s="7"/>
      <c r="I648" s="7"/>
      <c r="K648" s="7"/>
      <c r="L648" s="7"/>
      <c r="M648" s="7"/>
      <c r="N648" s="7"/>
      <c r="O648" s="7"/>
      <c r="P648" s="7"/>
      <c r="R648" s="7"/>
      <c r="S648" s="7"/>
    </row>
    <row r="649" spans="1:19" ht="14.1" customHeight="1" x14ac:dyDescent="0.2">
      <c r="A649" s="116">
        <f ca="1">IF($H649="UNIDADE CONSTRUTIVA",OFFSET(A649,-1,0)+1,LARGE(A$3:A648,1))</f>
        <v>0</v>
      </c>
      <c r="B649" s="116">
        <f t="shared" ca="1" si="120"/>
        <v>22</v>
      </c>
      <c r="C649" s="116">
        <f t="shared" ca="1" si="121"/>
        <v>1</v>
      </c>
      <c r="D649" s="117">
        <f t="shared" ca="1" si="122"/>
        <v>1</v>
      </c>
      <c r="E649" s="117">
        <f t="shared" ca="1" si="123"/>
        <v>1</v>
      </c>
      <c r="F649" s="438"/>
      <c r="G649" s="7"/>
      <c r="H649" s="7"/>
      <c r="I649" s="7"/>
      <c r="K649" s="7"/>
      <c r="L649" s="7"/>
      <c r="M649" s="7"/>
      <c r="N649" s="7"/>
      <c r="O649" s="7"/>
      <c r="P649" s="7"/>
      <c r="R649" s="7"/>
      <c r="S649" s="7"/>
    </row>
    <row r="650" spans="1:19" ht="14.1" customHeight="1" x14ac:dyDescent="0.2">
      <c r="A650" s="116">
        <f ca="1">IF($H650="UNIDADE CONSTRUTIVA",OFFSET(A650,-1,0)+1,LARGE(A$3:A649,1))</f>
        <v>0</v>
      </c>
      <c r="B650" s="116">
        <f t="shared" ca="1" si="120"/>
        <v>22</v>
      </c>
      <c r="C650" s="116">
        <f t="shared" ca="1" si="121"/>
        <v>1</v>
      </c>
      <c r="D650" s="117">
        <f t="shared" ca="1" si="122"/>
        <v>1</v>
      </c>
      <c r="E650" s="117">
        <f t="shared" ca="1" si="123"/>
        <v>1</v>
      </c>
      <c r="F650" s="438"/>
      <c r="G650" s="7"/>
      <c r="H650" s="7"/>
      <c r="I650" s="7"/>
      <c r="K650" s="7"/>
      <c r="L650" s="7"/>
      <c r="M650" s="7"/>
      <c r="N650" s="7"/>
      <c r="O650" s="7"/>
      <c r="P650" s="7"/>
      <c r="R650" s="7"/>
      <c r="S650" s="7"/>
    </row>
    <row r="651" spans="1:19" ht="14.1" customHeight="1" x14ac:dyDescent="0.2">
      <c r="A651" s="116">
        <f ca="1">IF($H651="UNIDADE CONSTRUTIVA",OFFSET(A651,-1,0)+1,LARGE(A$3:A650,1))</f>
        <v>0</v>
      </c>
      <c r="B651" s="116">
        <f t="shared" ca="1" si="120"/>
        <v>22</v>
      </c>
      <c r="C651" s="116">
        <f t="shared" ca="1" si="121"/>
        <v>1</v>
      </c>
      <c r="D651" s="117">
        <f t="shared" ca="1" si="122"/>
        <v>1</v>
      </c>
      <c r="E651" s="117">
        <f t="shared" ca="1" si="123"/>
        <v>1</v>
      </c>
      <c r="F651" s="438"/>
      <c r="G651" s="7"/>
      <c r="H651" s="7"/>
      <c r="I651" s="7"/>
      <c r="K651" s="7"/>
      <c r="L651" s="7"/>
      <c r="M651" s="7"/>
      <c r="N651" s="7"/>
      <c r="O651" s="7"/>
      <c r="P651" s="7"/>
      <c r="R651" s="7"/>
      <c r="S651" s="7"/>
    </row>
    <row r="652" spans="1:19" ht="14.1" customHeight="1" x14ac:dyDescent="0.2">
      <c r="A652" s="116">
        <f ca="1">IF($H652="UNIDADE CONSTRUTIVA",OFFSET(A652,-1,0)+1,LARGE(A$3:A651,1))</f>
        <v>0</v>
      </c>
      <c r="B652" s="116">
        <f t="shared" ca="1" si="120"/>
        <v>22</v>
      </c>
      <c r="C652" s="116">
        <f t="shared" ca="1" si="121"/>
        <v>1</v>
      </c>
      <c r="D652" s="117">
        <f t="shared" ca="1" si="122"/>
        <v>1</v>
      </c>
      <c r="E652" s="117">
        <f t="shared" ca="1" si="123"/>
        <v>1</v>
      </c>
      <c r="F652" s="438"/>
      <c r="G652" s="7"/>
      <c r="H652" s="7"/>
      <c r="I652" s="7"/>
      <c r="K652" s="7"/>
      <c r="L652" s="7"/>
      <c r="M652" s="7"/>
      <c r="N652" s="7"/>
      <c r="O652" s="7"/>
      <c r="P652" s="7"/>
      <c r="R652" s="7"/>
      <c r="S652" s="7"/>
    </row>
    <row r="653" spans="1:19" ht="14.1" customHeight="1" x14ac:dyDescent="0.2">
      <c r="A653" s="116">
        <f ca="1">IF($H653="UNIDADE CONSTRUTIVA",OFFSET(A653,-1,0)+1,LARGE(A$3:A652,1))</f>
        <v>0</v>
      </c>
      <c r="B653" s="116">
        <f t="shared" ca="1" si="120"/>
        <v>22</v>
      </c>
      <c r="C653" s="116">
        <f t="shared" ca="1" si="121"/>
        <v>1</v>
      </c>
      <c r="D653" s="117">
        <f t="shared" ca="1" si="122"/>
        <v>1</v>
      </c>
      <c r="E653" s="117">
        <f t="shared" ca="1" si="123"/>
        <v>1</v>
      </c>
      <c r="F653" s="438"/>
      <c r="G653" s="7"/>
      <c r="H653" s="7"/>
      <c r="I653" s="7"/>
      <c r="K653" s="7"/>
      <c r="L653" s="7"/>
      <c r="M653" s="7"/>
      <c r="N653" s="7"/>
      <c r="O653" s="7"/>
      <c r="P653" s="7"/>
      <c r="R653" s="7"/>
      <c r="S653" s="7"/>
    </row>
    <row r="654" spans="1:19" ht="14.1" customHeight="1" x14ac:dyDescent="0.2">
      <c r="A654" s="116">
        <f ca="1">IF($H654="UNIDADE CONSTRUTIVA",OFFSET(A654,-1,0)+1,LARGE(A$3:A653,1))</f>
        <v>0</v>
      </c>
      <c r="B654" s="116">
        <f t="shared" ca="1" si="120"/>
        <v>22</v>
      </c>
      <c r="C654" s="116">
        <f t="shared" ca="1" si="121"/>
        <v>1</v>
      </c>
      <c r="D654" s="117">
        <f t="shared" ca="1" si="122"/>
        <v>1</v>
      </c>
      <c r="E654" s="117">
        <f t="shared" ca="1" si="123"/>
        <v>1</v>
      </c>
      <c r="F654" s="438"/>
      <c r="G654" s="7"/>
      <c r="H654" s="7"/>
      <c r="I654" s="7"/>
      <c r="K654" s="7"/>
      <c r="L654" s="7"/>
      <c r="M654" s="7"/>
      <c r="N654" s="7"/>
      <c r="O654" s="7"/>
      <c r="P654" s="7"/>
      <c r="R654" s="7"/>
      <c r="S654" s="7"/>
    </row>
    <row r="655" spans="1:19" ht="14.1" customHeight="1" x14ac:dyDescent="0.2">
      <c r="A655" s="116">
        <f ca="1">IF($H655="UNIDADE CONSTRUTIVA",OFFSET(A655,-1,0)+1,LARGE(A$3:A654,1))</f>
        <v>0</v>
      </c>
      <c r="B655" s="116">
        <f t="shared" ca="1" si="120"/>
        <v>22</v>
      </c>
      <c r="C655" s="116">
        <f t="shared" ca="1" si="121"/>
        <v>1</v>
      </c>
      <c r="D655" s="117">
        <f t="shared" ca="1" si="122"/>
        <v>1</v>
      </c>
      <c r="E655" s="117">
        <f t="shared" ca="1" si="123"/>
        <v>1</v>
      </c>
      <c r="F655" s="438"/>
      <c r="G655" s="7"/>
      <c r="H655" s="7"/>
      <c r="I655" s="7"/>
      <c r="K655" s="7"/>
      <c r="L655" s="7"/>
      <c r="M655" s="7"/>
      <c r="N655" s="7"/>
      <c r="O655" s="7"/>
      <c r="P655" s="7"/>
      <c r="R655" s="7"/>
      <c r="S655" s="7"/>
    </row>
    <row r="656" spans="1:19" ht="14.1" customHeight="1" x14ac:dyDescent="0.2">
      <c r="A656" s="116">
        <f ca="1">IF($H656="UNIDADE CONSTRUTIVA",OFFSET(A656,-1,0)+1,LARGE(A$3:A655,1))</f>
        <v>0</v>
      </c>
      <c r="B656" s="116">
        <f t="shared" ca="1" si="120"/>
        <v>22</v>
      </c>
      <c r="C656" s="116">
        <f t="shared" ca="1" si="121"/>
        <v>1</v>
      </c>
      <c r="D656" s="117">
        <f t="shared" ca="1" si="122"/>
        <v>1</v>
      </c>
      <c r="E656" s="117">
        <f t="shared" ca="1" si="123"/>
        <v>1</v>
      </c>
      <c r="F656" s="438"/>
      <c r="G656" s="7"/>
      <c r="H656" s="7"/>
      <c r="I656" s="7"/>
      <c r="K656" s="7"/>
      <c r="L656" s="7"/>
      <c r="M656" s="7"/>
      <c r="N656" s="7"/>
      <c r="O656" s="7"/>
      <c r="P656" s="7"/>
      <c r="R656" s="7"/>
      <c r="S656" s="7"/>
    </row>
    <row r="657" spans="1:19" ht="14.1" customHeight="1" x14ac:dyDescent="0.2">
      <c r="A657" s="116">
        <f ca="1">IF($H657="UNIDADE CONSTRUTIVA",OFFSET(A657,-1,0)+1,LARGE(A$3:A656,1))</f>
        <v>0</v>
      </c>
      <c r="B657" s="116">
        <f t="shared" ca="1" si="120"/>
        <v>22</v>
      </c>
      <c r="C657" s="116">
        <f t="shared" ca="1" si="121"/>
        <v>1</v>
      </c>
      <c r="D657" s="117">
        <f t="shared" ca="1" si="122"/>
        <v>1</v>
      </c>
      <c r="E657" s="117">
        <f t="shared" ca="1" si="123"/>
        <v>1</v>
      </c>
      <c r="F657" s="438"/>
      <c r="G657" s="7"/>
      <c r="H657" s="7"/>
      <c r="I657" s="7"/>
      <c r="K657" s="7"/>
      <c r="L657" s="7"/>
      <c r="M657" s="7"/>
      <c r="N657" s="7"/>
      <c r="O657" s="7"/>
      <c r="P657" s="7"/>
      <c r="R657" s="7"/>
      <c r="S657" s="7"/>
    </row>
    <row r="658" spans="1:19" ht="14.1" customHeight="1" x14ac:dyDescent="0.2">
      <c r="A658" s="116">
        <f ca="1">IF($H658="UNIDADE CONSTRUTIVA",OFFSET(A658,-1,0)+1,LARGE(A$3:A657,1))</f>
        <v>0</v>
      </c>
      <c r="B658" s="116">
        <f t="shared" ca="1" si="120"/>
        <v>22</v>
      </c>
      <c r="C658" s="116">
        <f t="shared" ca="1" si="121"/>
        <v>1</v>
      </c>
      <c r="D658" s="117">
        <f t="shared" ca="1" si="122"/>
        <v>1</v>
      </c>
      <c r="E658" s="117">
        <f t="shared" ca="1" si="123"/>
        <v>1</v>
      </c>
      <c r="F658" s="438"/>
      <c r="G658" s="7"/>
      <c r="H658" s="7"/>
      <c r="I658" s="7"/>
      <c r="K658" s="7"/>
      <c r="L658" s="7"/>
      <c r="M658" s="7"/>
      <c r="N658" s="7"/>
      <c r="O658" s="7"/>
      <c r="P658" s="7"/>
      <c r="R658" s="7"/>
      <c r="S658" s="7"/>
    </row>
    <row r="659" spans="1:19" ht="14.1" customHeight="1" x14ac:dyDescent="0.2">
      <c r="A659" s="116">
        <f ca="1">IF($H659="UNIDADE CONSTRUTIVA",OFFSET(A659,-1,0)+1,LARGE(A$3:A658,1))</f>
        <v>0</v>
      </c>
      <c r="B659" s="116">
        <f t="shared" ca="1" si="120"/>
        <v>22</v>
      </c>
      <c r="C659" s="116">
        <f t="shared" ca="1" si="121"/>
        <v>1</v>
      </c>
      <c r="D659" s="117">
        <f t="shared" ca="1" si="122"/>
        <v>1</v>
      </c>
      <c r="E659" s="117">
        <f t="shared" ca="1" si="123"/>
        <v>1</v>
      </c>
      <c r="F659" s="438"/>
      <c r="G659" s="7"/>
      <c r="H659" s="7"/>
      <c r="I659" s="7"/>
      <c r="K659" s="7"/>
      <c r="L659" s="7"/>
      <c r="M659" s="7"/>
      <c r="N659" s="7"/>
      <c r="O659" s="7"/>
      <c r="P659" s="7"/>
      <c r="R659" s="7"/>
      <c r="S659" s="7"/>
    </row>
    <row r="660" spans="1:19" ht="14.1" customHeight="1" x14ac:dyDescent="0.2">
      <c r="A660" s="116">
        <f ca="1">IF($H660="UNIDADE CONSTRUTIVA",OFFSET(A660,-1,0)+1,LARGE(A$3:A659,1))</f>
        <v>0</v>
      </c>
      <c r="B660" s="116">
        <f t="shared" ca="1" si="120"/>
        <v>22</v>
      </c>
      <c r="C660" s="116">
        <f t="shared" ca="1" si="121"/>
        <v>1</v>
      </c>
      <c r="D660" s="117">
        <f t="shared" ca="1" si="122"/>
        <v>1</v>
      </c>
      <c r="E660" s="117">
        <f t="shared" ca="1" si="123"/>
        <v>1</v>
      </c>
      <c r="F660" s="438"/>
      <c r="G660" s="7"/>
      <c r="H660" s="7"/>
      <c r="I660" s="7"/>
      <c r="K660" s="7"/>
      <c r="L660" s="7"/>
      <c r="M660" s="7"/>
      <c r="N660" s="7"/>
      <c r="O660" s="7"/>
      <c r="P660" s="7"/>
      <c r="R660" s="7"/>
      <c r="S660" s="7"/>
    </row>
    <row r="661" spans="1:19" ht="14.1" customHeight="1" x14ac:dyDescent="0.2">
      <c r="A661" s="116">
        <f ca="1">IF($H661="UNIDADE CONSTRUTIVA",OFFSET(A661,-1,0)+1,LARGE(A$3:A660,1))</f>
        <v>0</v>
      </c>
      <c r="B661" s="116">
        <f t="shared" ca="1" si="120"/>
        <v>22</v>
      </c>
      <c r="C661" s="116">
        <f t="shared" ca="1" si="121"/>
        <v>1</v>
      </c>
      <c r="D661" s="117">
        <f t="shared" ca="1" si="122"/>
        <v>1</v>
      </c>
      <c r="E661" s="117">
        <f t="shared" ca="1" si="123"/>
        <v>1</v>
      </c>
      <c r="F661" s="438"/>
      <c r="G661" s="7"/>
      <c r="H661" s="7"/>
      <c r="I661" s="7"/>
      <c r="K661" s="7"/>
      <c r="L661" s="7"/>
      <c r="M661" s="7"/>
      <c r="N661" s="7"/>
      <c r="O661" s="7"/>
      <c r="P661" s="7"/>
      <c r="R661" s="7"/>
      <c r="S661" s="7"/>
    </row>
    <row r="662" spans="1:19" ht="14.1" customHeight="1" x14ac:dyDescent="0.2">
      <c r="A662" s="116">
        <f ca="1">IF($H662="UNIDADE CONSTRUTIVA",OFFSET(A662,-1,0)+1,LARGE(A$3:A661,1))</f>
        <v>0</v>
      </c>
      <c r="B662" s="116">
        <f t="shared" ca="1" si="120"/>
        <v>22</v>
      </c>
      <c r="C662" s="116">
        <f t="shared" ca="1" si="121"/>
        <v>1</v>
      </c>
      <c r="D662" s="117">
        <f t="shared" ca="1" si="122"/>
        <v>1</v>
      </c>
      <c r="E662" s="117">
        <f t="shared" ca="1" si="123"/>
        <v>1</v>
      </c>
      <c r="F662" s="438"/>
      <c r="G662" s="7"/>
      <c r="H662" s="7"/>
      <c r="I662" s="7"/>
      <c r="K662" s="7"/>
      <c r="L662" s="7"/>
      <c r="M662" s="7"/>
      <c r="N662" s="7"/>
      <c r="O662" s="7"/>
      <c r="P662" s="7"/>
      <c r="R662" s="7"/>
      <c r="S662" s="7"/>
    </row>
    <row r="663" spans="1:19" ht="14.1" customHeight="1" x14ac:dyDescent="0.2">
      <c r="A663" s="116">
        <f ca="1">IF($H663="UNIDADE CONSTRUTIVA",OFFSET(A663,-1,0)+1,LARGE(A$3:A662,1))</f>
        <v>0</v>
      </c>
      <c r="B663" s="116">
        <f t="shared" ca="1" si="120"/>
        <v>22</v>
      </c>
      <c r="C663" s="116">
        <f t="shared" ca="1" si="121"/>
        <v>1</v>
      </c>
      <c r="D663" s="117">
        <f t="shared" ca="1" si="122"/>
        <v>1</v>
      </c>
      <c r="E663" s="117">
        <f t="shared" ca="1" si="123"/>
        <v>1</v>
      </c>
      <c r="F663" s="438"/>
      <c r="G663" s="7"/>
      <c r="H663" s="7"/>
      <c r="I663" s="7"/>
      <c r="K663" s="7"/>
      <c r="L663" s="7"/>
      <c r="M663" s="7"/>
      <c r="N663" s="7"/>
      <c r="O663" s="7"/>
      <c r="P663" s="7"/>
      <c r="R663" s="7"/>
      <c r="S663" s="7"/>
    </row>
    <row r="664" spans="1:19" ht="14.1" customHeight="1" x14ac:dyDescent="0.2">
      <c r="A664" s="116">
        <f ca="1">IF($H664="UNIDADE CONSTRUTIVA",OFFSET(A664,-1,0)+1,LARGE(A$3:A663,1))</f>
        <v>0</v>
      </c>
      <c r="B664" s="116">
        <f t="shared" ca="1" si="120"/>
        <v>22</v>
      </c>
      <c r="C664" s="116">
        <f t="shared" ca="1" si="121"/>
        <v>1</v>
      </c>
      <c r="D664" s="117">
        <f t="shared" ca="1" si="122"/>
        <v>1</v>
      </c>
      <c r="E664" s="117">
        <f t="shared" ca="1" si="123"/>
        <v>1</v>
      </c>
      <c r="F664" s="438"/>
      <c r="G664" s="7"/>
      <c r="H664" s="7"/>
      <c r="I664" s="7"/>
      <c r="K664" s="7"/>
      <c r="L664" s="7"/>
      <c r="M664" s="7"/>
      <c r="N664" s="7"/>
      <c r="O664" s="7"/>
      <c r="P664" s="7"/>
      <c r="R664" s="7"/>
      <c r="S664" s="7"/>
    </row>
    <row r="665" spans="1:19" ht="14.1" customHeight="1" x14ac:dyDescent="0.2">
      <c r="A665" s="116">
        <f ca="1">IF($H665="UNIDADE CONSTRUTIVA",OFFSET(A665,-1,0)+1,LARGE(A$3:A664,1))</f>
        <v>0</v>
      </c>
      <c r="B665" s="116">
        <f t="shared" ca="1" si="120"/>
        <v>22</v>
      </c>
      <c r="C665" s="116">
        <f t="shared" ca="1" si="121"/>
        <v>1</v>
      </c>
      <c r="D665" s="117">
        <f t="shared" ca="1" si="122"/>
        <v>1</v>
      </c>
      <c r="E665" s="117">
        <f t="shared" ca="1" si="123"/>
        <v>1</v>
      </c>
      <c r="F665" s="438"/>
      <c r="G665" s="7"/>
      <c r="H665" s="7"/>
      <c r="I665" s="7"/>
      <c r="K665" s="7"/>
      <c r="L665" s="7"/>
      <c r="M665" s="7"/>
      <c r="N665" s="7"/>
      <c r="O665" s="7"/>
      <c r="P665" s="7"/>
      <c r="R665" s="7"/>
      <c r="S665" s="7"/>
    </row>
    <row r="666" spans="1:19" ht="14.1" customHeight="1" x14ac:dyDescent="0.2">
      <c r="A666" s="116">
        <f ca="1">IF($H666="UNIDADE CONSTRUTIVA",OFFSET(A666,-1,0)+1,LARGE(A$3:A665,1))</f>
        <v>0</v>
      </c>
      <c r="B666" s="116">
        <f t="shared" ca="1" si="120"/>
        <v>22</v>
      </c>
      <c r="C666" s="116">
        <f t="shared" ca="1" si="121"/>
        <v>1</v>
      </c>
      <c r="D666" s="117">
        <f t="shared" ca="1" si="122"/>
        <v>1</v>
      </c>
      <c r="E666" s="117">
        <f t="shared" ca="1" si="123"/>
        <v>1</v>
      </c>
      <c r="F666" s="438"/>
      <c r="G666" s="7"/>
      <c r="H666" s="7"/>
      <c r="I666" s="7"/>
      <c r="K666" s="7"/>
      <c r="L666" s="7"/>
      <c r="M666" s="7"/>
      <c r="N666" s="7"/>
      <c r="O666" s="7"/>
      <c r="P666" s="7"/>
      <c r="R666" s="7"/>
      <c r="S666" s="7"/>
    </row>
    <row r="667" spans="1:19" ht="14.1" customHeight="1" x14ac:dyDescent="0.2">
      <c r="A667" s="116">
        <f ca="1">IF($H667="UNIDADE CONSTRUTIVA",OFFSET(A667,-1,0)+1,LARGE(A$3:A666,1))</f>
        <v>0</v>
      </c>
      <c r="B667" s="116">
        <f t="shared" ca="1" si="120"/>
        <v>22</v>
      </c>
      <c r="C667" s="116">
        <f t="shared" ca="1" si="121"/>
        <v>1</v>
      </c>
      <c r="D667" s="117">
        <f t="shared" ca="1" si="122"/>
        <v>1</v>
      </c>
      <c r="E667" s="117">
        <f t="shared" ca="1" si="123"/>
        <v>1</v>
      </c>
      <c r="F667" s="438"/>
      <c r="G667" s="7"/>
      <c r="H667" s="7"/>
      <c r="I667" s="7"/>
      <c r="K667" s="7"/>
      <c r="L667" s="7"/>
      <c r="M667" s="7"/>
      <c r="N667" s="7"/>
      <c r="O667" s="7"/>
      <c r="P667" s="7"/>
      <c r="R667" s="7"/>
      <c r="S667" s="7"/>
    </row>
    <row r="668" spans="1:19" ht="14.1" customHeight="1" x14ac:dyDescent="0.2">
      <c r="A668" s="116">
        <f ca="1">IF($H668="UNIDADE CONSTRUTIVA",OFFSET(A668,-1,0)+1,LARGE(A$3:A667,1))</f>
        <v>0</v>
      </c>
      <c r="B668" s="116">
        <f t="shared" ca="1" si="120"/>
        <v>22</v>
      </c>
      <c r="C668" s="116">
        <f t="shared" ca="1" si="121"/>
        <v>1</v>
      </c>
      <c r="D668" s="117">
        <f t="shared" ca="1" si="122"/>
        <v>1</v>
      </c>
      <c r="E668" s="117">
        <f t="shared" ca="1" si="123"/>
        <v>1</v>
      </c>
      <c r="F668" s="438"/>
      <c r="G668" s="7"/>
      <c r="H668" s="7"/>
      <c r="I668" s="7"/>
      <c r="K668" s="7"/>
      <c r="L668" s="7"/>
      <c r="M668" s="7"/>
      <c r="N668" s="7"/>
      <c r="O668" s="7"/>
      <c r="P668" s="7"/>
      <c r="R668" s="7"/>
      <c r="S668" s="7"/>
    </row>
    <row r="669" spans="1:19" ht="14.1" customHeight="1" x14ac:dyDescent="0.2">
      <c r="A669" s="116">
        <f ca="1">IF($H669="UNIDADE CONSTRUTIVA",OFFSET(A669,-1,0)+1,LARGE(A$3:A668,1))</f>
        <v>0</v>
      </c>
      <c r="B669" s="116">
        <f t="shared" ca="1" si="120"/>
        <v>22</v>
      </c>
      <c r="C669" s="116">
        <f t="shared" ca="1" si="121"/>
        <v>1</v>
      </c>
      <c r="D669" s="117">
        <f t="shared" ca="1" si="122"/>
        <v>1</v>
      </c>
      <c r="E669" s="117">
        <f t="shared" ca="1" si="123"/>
        <v>1</v>
      </c>
      <c r="F669" s="438"/>
      <c r="G669" s="7"/>
      <c r="H669" s="7"/>
      <c r="I669" s="7"/>
      <c r="K669" s="7"/>
      <c r="L669" s="7"/>
      <c r="M669" s="7"/>
      <c r="N669" s="7"/>
      <c r="O669" s="7"/>
      <c r="P669" s="7"/>
      <c r="R669" s="7"/>
      <c r="S669" s="7"/>
    </row>
    <row r="670" spans="1:19" ht="14.1" customHeight="1" x14ac:dyDescent="0.2">
      <c r="A670" s="116">
        <f ca="1">IF($H670="UNIDADE CONSTRUTIVA",OFFSET(A670,-1,0)+1,LARGE(A$3:A669,1))</f>
        <v>0</v>
      </c>
      <c r="B670" s="116">
        <f t="shared" ca="1" si="120"/>
        <v>22</v>
      </c>
      <c r="C670" s="116">
        <f t="shared" ca="1" si="121"/>
        <v>1</v>
      </c>
      <c r="D670" s="117">
        <f t="shared" ca="1" si="122"/>
        <v>1</v>
      </c>
      <c r="E670" s="117">
        <f t="shared" ca="1" si="123"/>
        <v>1</v>
      </c>
      <c r="F670" s="438"/>
      <c r="G670" s="7"/>
      <c r="H670" s="7"/>
      <c r="I670" s="7"/>
      <c r="K670" s="7"/>
      <c r="L670" s="7"/>
      <c r="M670" s="7"/>
      <c r="N670" s="7"/>
      <c r="O670" s="7"/>
      <c r="P670" s="7"/>
      <c r="R670" s="7"/>
      <c r="S670" s="7"/>
    </row>
    <row r="671" spans="1:19" ht="14.1" customHeight="1" x14ac:dyDescent="0.2">
      <c r="A671" s="116">
        <f ca="1">IF($H671="UNIDADE CONSTRUTIVA",OFFSET(A671,-1,0)+1,LARGE(A$3:A670,1))</f>
        <v>0</v>
      </c>
      <c r="B671" s="116">
        <f t="shared" ca="1" si="120"/>
        <v>22</v>
      </c>
      <c r="C671" s="116">
        <f t="shared" ca="1" si="121"/>
        <v>1</v>
      </c>
      <c r="D671" s="117">
        <f t="shared" ca="1" si="122"/>
        <v>1</v>
      </c>
      <c r="E671" s="117">
        <f t="shared" ca="1" si="123"/>
        <v>1</v>
      </c>
      <c r="F671" s="438"/>
      <c r="G671" s="7"/>
      <c r="H671" s="7"/>
      <c r="I671" s="7"/>
      <c r="K671" s="7"/>
      <c r="L671" s="7"/>
      <c r="M671" s="7"/>
      <c r="N671" s="7"/>
      <c r="O671" s="7"/>
      <c r="P671" s="7"/>
      <c r="R671" s="7"/>
      <c r="S671" s="7"/>
    </row>
    <row r="672" spans="1:19" ht="14.1" customHeight="1" x14ac:dyDescent="0.2">
      <c r="A672" s="116">
        <f ca="1">IF($H672="UNIDADE CONSTRUTIVA",OFFSET(A672,-1,0)+1,LARGE(A$3:A671,1))</f>
        <v>0</v>
      </c>
      <c r="B672" s="116">
        <f t="shared" ca="1" si="120"/>
        <v>22</v>
      </c>
      <c r="C672" s="116">
        <f t="shared" ca="1" si="121"/>
        <v>1</v>
      </c>
      <c r="D672" s="117">
        <f t="shared" ca="1" si="122"/>
        <v>1</v>
      </c>
      <c r="E672" s="117">
        <f t="shared" ca="1" si="123"/>
        <v>1</v>
      </c>
      <c r="F672" s="438"/>
      <c r="G672" s="7"/>
      <c r="H672" s="7"/>
      <c r="I672" s="7"/>
      <c r="K672" s="7"/>
      <c r="L672" s="7"/>
      <c r="M672" s="7"/>
      <c r="N672" s="7"/>
      <c r="O672" s="7"/>
      <c r="P672" s="7"/>
      <c r="R672" s="7"/>
      <c r="S672" s="7"/>
    </row>
    <row r="673" spans="1:19" ht="14.1" customHeight="1" x14ac:dyDescent="0.2">
      <c r="A673" s="116">
        <f ca="1">IF($H673="UNIDADE CONSTRUTIVA",OFFSET(A673,-1,0)+1,LARGE(A$3:A672,1))</f>
        <v>0</v>
      </c>
      <c r="B673" s="116">
        <f t="shared" ca="1" si="120"/>
        <v>22</v>
      </c>
      <c r="C673" s="116">
        <f t="shared" ca="1" si="121"/>
        <v>1</v>
      </c>
      <c r="D673" s="117">
        <f t="shared" ca="1" si="122"/>
        <v>1</v>
      </c>
      <c r="E673" s="117">
        <f t="shared" ca="1" si="123"/>
        <v>1</v>
      </c>
      <c r="F673" s="438"/>
      <c r="G673" s="7"/>
      <c r="H673" s="7"/>
      <c r="I673" s="7"/>
      <c r="K673" s="7"/>
      <c r="L673" s="7"/>
      <c r="M673" s="7"/>
      <c r="N673" s="7"/>
      <c r="O673" s="7"/>
      <c r="P673" s="7"/>
      <c r="R673" s="7"/>
      <c r="S673" s="7"/>
    </row>
    <row r="674" spans="1:19" ht="14.1" customHeight="1" x14ac:dyDescent="0.2">
      <c r="A674" s="116">
        <f ca="1">IF($H674="UNIDADE CONSTRUTIVA",OFFSET(A674,-1,0)+1,LARGE(A$3:A673,1))</f>
        <v>0</v>
      </c>
      <c r="B674" s="116">
        <f t="shared" ca="1" si="120"/>
        <v>22</v>
      </c>
      <c r="C674" s="116">
        <f t="shared" ca="1" si="121"/>
        <v>1</v>
      </c>
      <c r="D674" s="117">
        <f t="shared" ca="1" si="122"/>
        <v>1</v>
      </c>
      <c r="E674" s="117">
        <f t="shared" ca="1" si="123"/>
        <v>1</v>
      </c>
      <c r="F674" s="438"/>
      <c r="G674" s="7"/>
      <c r="H674" s="7"/>
      <c r="I674" s="7"/>
      <c r="K674" s="7"/>
      <c r="L674" s="7"/>
      <c r="M674" s="7"/>
      <c r="N674" s="7"/>
      <c r="O674" s="7"/>
      <c r="P674" s="7"/>
      <c r="R674" s="7"/>
      <c r="S674" s="7"/>
    </row>
    <row r="675" spans="1:19" ht="14.1" customHeight="1" x14ac:dyDescent="0.2">
      <c r="A675" s="116">
        <f ca="1">IF($H675="UNIDADE CONSTRUTIVA",OFFSET(A675,-1,0)+1,LARGE(A$3:A674,1))</f>
        <v>0</v>
      </c>
      <c r="B675" s="116">
        <f t="shared" ca="1" si="120"/>
        <v>22</v>
      </c>
      <c r="C675" s="116">
        <f t="shared" ca="1" si="121"/>
        <v>1</v>
      </c>
      <c r="D675" s="117">
        <f t="shared" ca="1" si="122"/>
        <v>1</v>
      </c>
      <c r="E675" s="117">
        <f t="shared" ca="1" si="123"/>
        <v>1</v>
      </c>
      <c r="F675" s="438"/>
      <c r="G675" s="7"/>
      <c r="H675" s="7"/>
      <c r="I675" s="7"/>
      <c r="K675" s="7"/>
      <c r="L675" s="7"/>
      <c r="M675" s="7"/>
      <c r="N675" s="7"/>
      <c r="O675" s="7"/>
      <c r="P675" s="7"/>
      <c r="R675" s="7"/>
      <c r="S675" s="7"/>
    </row>
    <row r="676" spans="1:19" ht="14.1" customHeight="1" x14ac:dyDescent="0.2">
      <c r="A676" s="116">
        <f ca="1">IF($H676="UNIDADE CONSTRUTIVA",OFFSET(A676,-1,0)+1,LARGE(A$3:A675,1))</f>
        <v>0</v>
      </c>
      <c r="B676" s="116">
        <f t="shared" ca="1" si="120"/>
        <v>22</v>
      </c>
      <c r="C676" s="116">
        <f t="shared" ca="1" si="121"/>
        <v>1</v>
      </c>
      <c r="D676" s="117">
        <f t="shared" ca="1" si="122"/>
        <v>1</v>
      </c>
      <c r="E676" s="117">
        <f t="shared" ca="1" si="123"/>
        <v>1</v>
      </c>
      <c r="F676" s="438"/>
      <c r="G676" s="7"/>
      <c r="H676" s="7"/>
      <c r="I676" s="7"/>
      <c r="K676" s="7"/>
      <c r="L676" s="7"/>
      <c r="M676" s="7"/>
      <c r="N676" s="7"/>
      <c r="O676" s="7"/>
      <c r="P676" s="7"/>
      <c r="R676" s="7"/>
      <c r="S676" s="7"/>
    </row>
    <row r="677" spans="1:19" ht="14.1" customHeight="1" x14ac:dyDescent="0.2">
      <c r="A677" s="116">
        <f ca="1">IF($H677="UNIDADE CONSTRUTIVA",OFFSET(A677,-1,0)+1,LARGE(A$3:A676,1))</f>
        <v>0</v>
      </c>
      <c r="B677" s="116">
        <f t="shared" ca="1" si="120"/>
        <v>22</v>
      </c>
      <c r="C677" s="116">
        <f t="shared" ca="1" si="121"/>
        <v>1</v>
      </c>
      <c r="D677" s="117">
        <f t="shared" ca="1" si="122"/>
        <v>1</v>
      </c>
      <c r="E677" s="117">
        <f t="shared" ca="1" si="123"/>
        <v>1</v>
      </c>
      <c r="F677" s="438"/>
      <c r="G677" s="7"/>
      <c r="H677" s="7"/>
      <c r="I677" s="7"/>
      <c r="K677" s="7"/>
      <c r="L677" s="7"/>
      <c r="M677" s="7"/>
      <c r="N677" s="7"/>
      <c r="O677" s="7"/>
      <c r="P677" s="7"/>
      <c r="R677" s="7"/>
      <c r="S677" s="7"/>
    </row>
    <row r="678" spans="1:19" ht="14.1" customHeight="1" x14ac:dyDescent="0.2">
      <c r="A678" s="116">
        <f ca="1">IF($H678="UNIDADE CONSTRUTIVA",OFFSET(A678,-1,0)+1,LARGE(A$3:A677,1))</f>
        <v>0</v>
      </c>
      <c r="B678" s="116">
        <f t="shared" ca="1" si="120"/>
        <v>22</v>
      </c>
      <c r="C678" s="116">
        <f t="shared" ca="1" si="121"/>
        <v>1</v>
      </c>
      <c r="D678" s="117">
        <f t="shared" ca="1" si="122"/>
        <v>1</v>
      </c>
      <c r="E678" s="117">
        <f t="shared" ca="1" si="123"/>
        <v>1</v>
      </c>
      <c r="F678" s="438"/>
      <c r="G678" s="7"/>
      <c r="H678" s="7"/>
      <c r="I678" s="7"/>
      <c r="K678" s="7"/>
      <c r="L678" s="7"/>
      <c r="M678" s="7"/>
      <c r="N678" s="7"/>
      <c r="O678" s="7"/>
      <c r="P678" s="7"/>
      <c r="R678" s="7"/>
      <c r="S678" s="7"/>
    </row>
    <row r="679" spans="1:19" ht="14.1" customHeight="1" x14ac:dyDescent="0.2">
      <c r="A679" s="116">
        <f ca="1">IF($H679="UNIDADE CONSTRUTIVA",OFFSET(A679,-1,0)+1,LARGE(A$3:A678,1))</f>
        <v>0</v>
      </c>
      <c r="B679" s="116">
        <f t="shared" ca="1" si="120"/>
        <v>22</v>
      </c>
      <c r="C679" s="116">
        <f t="shared" ca="1" si="121"/>
        <v>1</v>
      </c>
      <c r="D679" s="117">
        <f t="shared" ca="1" si="122"/>
        <v>1</v>
      </c>
      <c r="E679" s="117">
        <f t="shared" ca="1" si="123"/>
        <v>1</v>
      </c>
      <c r="F679" s="438"/>
      <c r="G679" s="7"/>
      <c r="H679" s="7"/>
      <c r="I679" s="7"/>
      <c r="K679" s="7"/>
      <c r="L679" s="7"/>
      <c r="M679" s="7"/>
      <c r="N679" s="7"/>
      <c r="O679" s="7"/>
      <c r="P679" s="7"/>
      <c r="R679" s="7"/>
      <c r="S679" s="7"/>
    </row>
    <row r="680" spans="1:19" ht="14.1" customHeight="1" x14ac:dyDescent="0.2">
      <c r="A680" s="116">
        <f ca="1">IF($H680="UNIDADE CONSTRUTIVA",OFFSET(A680,-1,0)+1,LARGE(A$3:A679,1))</f>
        <v>0</v>
      </c>
      <c r="B680" s="116">
        <f t="shared" ca="1" si="120"/>
        <v>22</v>
      </c>
      <c r="C680" s="116">
        <f t="shared" ca="1" si="121"/>
        <v>1</v>
      </c>
      <c r="D680" s="117">
        <f t="shared" ca="1" si="122"/>
        <v>1</v>
      </c>
      <c r="E680" s="117">
        <f t="shared" ca="1" si="123"/>
        <v>1</v>
      </c>
      <c r="F680" s="438"/>
      <c r="G680" s="7"/>
      <c r="H680" s="7"/>
      <c r="I680" s="7"/>
      <c r="K680" s="7"/>
      <c r="L680" s="7"/>
      <c r="M680" s="7"/>
      <c r="N680" s="7"/>
      <c r="O680" s="7"/>
      <c r="P680" s="7"/>
      <c r="R680" s="7"/>
      <c r="S680" s="7"/>
    </row>
    <row r="681" spans="1:19" ht="14.1" customHeight="1" x14ac:dyDescent="0.2">
      <c r="A681" s="116">
        <f ca="1">IF($H681="UNIDADE CONSTRUTIVA",OFFSET(A681,-1,0)+1,LARGE(A$3:A680,1))</f>
        <v>0</v>
      </c>
      <c r="B681" s="116">
        <f t="shared" ca="1" si="120"/>
        <v>22</v>
      </c>
      <c r="C681" s="116">
        <f t="shared" ca="1" si="121"/>
        <v>1</v>
      </c>
      <c r="D681" s="117">
        <f t="shared" ca="1" si="122"/>
        <v>1</v>
      </c>
      <c r="E681" s="117">
        <f t="shared" ca="1" si="123"/>
        <v>1</v>
      </c>
      <c r="F681" s="438"/>
      <c r="G681" s="7"/>
      <c r="H681" s="7"/>
      <c r="I681" s="7"/>
      <c r="K681" s="7"/>
      <c r="L681" s="7"/>
      <c r="M681" s="7"/>
      <c r="N681" s="7"/>
      <c r="O681" s="7"/>
      <c r="P681" s="7"/>
      <c r="R681" s="7"/>
      <c r="S681" s="7"/>
    </row>
    <row r="682" spans="1:19" ht="14.1" customHeight="1" x14ac:dyDescent="0.2">
      <c r="A682" s="116">
        <f ca="1">IF($H682="UNIDADE CONSTRUTIVA",OFFSET(A682,-1,0)+1,LARGE(A$3:A681,1))</f>
        <v>0</v>
      </c>
      <c r="B682" s="116">
        <f t="shared" ca="1" si="120"/>
        <v>22</v>
      </c>
      <c r="C682" s="116">
        <f t="shared" ca="1" si="121"/>
        <v>1</v>
      </c>
      <c r="D682" s="117">
        <f t="shared" ca="1" si="122"/>
        <v>1</v>
      </c>
      <c r="E682" s="117">
        <f t="shared" ca="1" si="123"/>
        <v>1</v>
      </c>
      <c r="F682" s="438"/>
      <c r="G682" s="7"/>
      <c r="H682" s="7"/>
      <c r="I682" s="7"/>
      <c r="K682" s="7"/>
      <c r="L682" s="7"/>
      <c r="M682" s="7"/>
      <c r="N682" s="7"/>
      <c r="O682" s="7"/>
      <c r="P682" s="7"/>
      <c r="R682" s="7"/>
      <c r="S682" s="7"/>
    </row>
    <row r="683" spans="1:19" ht="14.1" customHeight="1" x14ac:dyDescent="0.2">
      <c r="A683" s="116">
        <f ca="1">IF($H683="UNIDADE CONSTRUTIVA",OFFSET(A683,-1,0)+1,LARGE(A$3:A682,1))</f>
        <v>0</v>
      </c>
      <c r="B683" s="116">
        <f t="shared" ca="1" si="120"/>
        <v>22</v>
      </c>
      <c r="C683" s="116">
        <f t="shared" ca="1" si="121"/>
        <v>1</v>
      </c>
      <c r="D683" s="117">
        <f t="shared" ca="1" si="122"/>
        <v>1</v>
      </c>
      <c r="E683" s="117">
        <f t="shared" ca="1" si="123"/>
        <v>1</v>
      </c>
      <c r="F683" s="438"/>
      <c r="G683" s="7"/>
      <c r="H683" s="7"/>
      <c r="I683" s="7"/>
      <c r="K683" s="7"/>
      <c r="L683" s="7"/>
      <c r="M683" s="7"/>
      <c r="N683" s="7"/>
      <c r="O683" s="7"/>
      <c r="P683" s="7"/>
      <c r="R683" s="7"/>
      <c r="S683" s="7"/>
    </row>
    <row r="684" spans="1:19" ht="14.1" customHeight="1" x14ac:dyDescent="0.2">
      <c r="A684" s="116">
        <f ca="1">IF($H684="UNIDADE CONSTRUTIVA",OFFSET(A684,-1,0)+1,LARGE(A$3:A683,1))</f>
        <v>0</v>
      </c>
      <c r="B684" s="116">
        <f t="shared" ca="1" si="120"/>
        <v>22</v>
      </c>
      <c r="C684" s="116">
        <f t="shared" ca="1" si="121"/>
        <v>1</v>
      </c>
      <c r="D684" s="117">
        <f t="shared" ca="1" si="122"/>
        <v>1</v>
      </c>
      <c r="E684" s="117">
        <f t="shared" ca="1" si="123"/>
        <v>1</v>
      </c>
      <c r="F684" s="438"/>
      <c r="G684" s="7"/>
      <c r="H684" s="7"/>
      <c r="I684" s="7"/>
      <c r="K684" s="7"/>
      <c r="L684" s="7"/>
      <c r="M684" s="7"/>
      <c r="N684" s="7"/>
      <c r="O684" s="7"/>
      <c r="P684" s="7"/>
      <c r="R684" s="7"/>
      <c r="S684" s="7"/>
    </row>
    <row r="685" spans="1:19" ht="14.1" customHeight="1" x14ac:dyDescent="0.2">
      <c r="A685" s="116">
        <f ca="1">IF($H685="UNIDADE CONSTRUTIVA",OFFSET(A685,-1,0)+1,LARGE(A$3:A684,1))</f>
        <v>0</v>
      </c>
      <c r="B685" s="116">
        <f t="shared" ca="1" si="120"/>
        <v>22</v>
      </c>
      <c r="C685" s="116">
        <f t="shared" ca="1" si="121"/>
        <v>1</v>
      </c>
      <c r="D685" s="117">
        <f t="shared" ca="1" si="122"/>
        <v>1</v>
      </c>
      <c r="E685" s="117">
        <f t="shared" ca="1" si="123"/>
        <v>1</v>
      </c>
      <c r="F685" s="438"/>
      <c r="G685" s="7"/>
      <c r="H685" s="7"/>
      <c r="I685" s="7"/>
      <c r="K685" s="7"/>
      <c r="L685" s="7"/>
      <c r="M685" s="7"/>
      <c r="N685" s="7"/>
      <c r="O685" s="7"/>
      <c r="P685" s="7"/>
      <c r="R685" s="7"/>
      <c r="S685" s="7"/>
    </row>
    <row r="686" spans="1:19" ht="14.1" customHeight="1" x14ac:dyDescent="0.2">
      <c r="A686" s="116">
        <f ca="1">IF($H686="UNIDADE CONSTRUTIVA",OFFSET(A686,-1,0)+1,LARGE(A$3:A685,1))</f>
        <v>0</v>
      </c>
      <c r="B686" s="116">
        <f t="shared" ref="B686:B749" ca="1" si="124">IF(H686="UNIDADE CONSTRUTIVA",0,IF(H686="CÉLULA CONSTRUTIVA",OFFSET(B686,-1,0)+1,OFFSET(B686,-1,0)))</f>
        <v>22</v>
      </c>
      <c r="C686" s="116">
        <f t="shared" ref="C686:C749" ca="1" si="125">IF(H686="CÉLULA CONSTRUTIVA",0,IF(H686="ETAPA",OFFSET(C686,-1,0)+1,OFFSET(C686,-1,0)))</f>
        <v>1</v>
      </c>
      <c r="D686" s="117">
        <f t="shared" ref="D686:D749" ca="1" si="126">IF(H686="ETAPA",0,IF(H686="SUBETAPA",OFFSET(D686,-1,0)+1,OFFSET(D686,-1,0)))</f>
        <v>1</v>
      </c>
      <c r="E686" s="117">
        <f t="shared" ref="E686:E749" ca="1" si="127">IF(H686="Subetapa",0,IF(H686="serviço",OFFSET(E686,-1,0)+1,OFFSET(E686,-1,0)))</f>
        <v>1</v>
      </c>
      <c r="F686" s="438"/>
      <c r="G686" s="7"/>
      <c r="H686" s="7"/>
      <c r="I686" s="7"/>
      <c r="K686" s="7"/>
      <c r="L686" s="7"/>
      <c r="M686" s="7"/>
      <c r="N686" s="7"/>
      <c r="O686" s="7"/>
      <c r="P686" s="7"/>
      <c r="R686" s="7"/>
      <c r="S686" s="7"/>
    </row>
    <row r="687" spans="1:19" ht="14.1" customHeight="1" x14ac:dyDescent="0.2">
      <c r="A687" s="116">
        <f ca="1">IF($H687="UNIDADE CONSTRUTIVA",OFFSET(A687,-1,0)+1,LARGE(A$3:A686,1))</f>
        <v>0</v>
      </c>
      <c r="B687" s="116">
        <f t="shared" ca="1" si="124"/>
        <v>22</v>
      </c>
      <c r="C687" s="116">
        <f t="shared" ca="1" si="125"/>
        <v>1</v>
      </c>
      <c r="D687" s="117">
        <f t="shared" ca="1" si="126"/>
        <v>1</v>
      </c>
      <c r="E687" s="117">
        <f t="shared" ca="1" si="127"/>
        <v>1</v>
      </c>
      <c r="F687" s="438"/>
      <c r="G687" s="7"/>
      <c r="H687" s="7"/>
      <c r="I687" s="7"/>
      <c r="K687" s="7"/>
      <c r="L687" s="7"/>
      <c r="M687" s="7"/>
      <c r="N687" s="7"/>
      <c r="O687" s="7"/>
      <c r="P687" s="7"/>
      <c r="R687" s="7"/>
      <c r="S687" s="7"/>
    </row>
    <row r="688" spans="1:19" ht="14.1" customHeight="1" x14ac:dyDescent="0.2">
      <c r="A688" s="116">
        <f ca="1">IF($H688="UNIDADE CONSTRUTIVA",OFFSET(A688,-1,0)+1,LARGE(A$3:A687,1))</f>
        <v>0</v>
      </c>
      <c r="B688" s="116">
        <f t="shared" ca="1" si="124"/>
        <v>22</v>
      </c>
      <c r="C688" s="116">
        <f t="shared" ca="1" si="125"/>
        <v>1</v>
      </c>
      <c r="D688" s="117">
        <f t="shared" ca="1" si="126"/>
        <v>1</v>
      </c>
      <c r="E688" s="117">
        <f t="shared" ca="1" si="127"/>
        <v>1</v>
      </c>
      <c r="F688" s="438"/>
      <c r="G688" s="7"/>
      <c r="H688" s="7"/>
      <c r="I688" s="7"/>
      <c r="K688" s="7"/>
      <c r="L688" s="7"/>
      <c r="M688" s="7"/>
      <c r="N688" s="7"/>
      <c r="O688" s="7"/>
      <c r="P688" s="7"/>
      <c r="R688" s="7"/>
      <c r="S688" s="7"/>
    </row>
    <row r="689" spans="1:19" ht="14.1" customHeight="1" x14ac:dyDescent="0.2">
      <c r="A689" s="116">
        <f ca="1">IF($H689="UNIDADE CONSTRUTIVA",OFFSET(A689,-1,0)+1,LARGE(A$3:A688,1))</f>
        <v>0</v>
      </c>
      <c r="B689" s="116">
        <f t="shared" ca="1" si="124"/>
        <v>22</v>
      </c>
      <c r="C689" s="116">
        <f t="shared" ca="1" si="125"/>
        <v>1</v>
      </c>
      <c r="D689" s="117">
        <f t="shared" ca="1" si="126"/>
        <v>1</v>
      </c>
      <c r="E689" s="117">
        <f t="shared" ca="1" si="127"/>
        <v>1</v>
      </c>
      <c r="F689" s="438"/>
      <c r="G689" s="7"/>
      <c r="H689" s="7"/>
      <c r="I689" s="7"/>
      <c r="K689" s="7"/>
      <c r="L689" s="7"/>
      <c r="M689" s="7"/>
      <c r="N689" s="7"/>
      <c r="O689" s="7"/>
      <c r="P689" s="7"/>
      <c r="R689" s="7"/>
      <c r="S689" s="7"/>
    </row>
    <row r="690" spans="1:19" ht="14.1" customHeight="1" x14ac:dyDescent="0.2">
      <c r="A690" s="116">
        <f ca="1">IF($H690="UNIDADE CONSTRUTIVA",OFFSET(A690,-1,0)+1,LARGE(A$3:A689,1))</f>
        <v>0</v>
      </c>
      <c r="B690" s="116">
        <f t="shared" ca="1" si="124"/>
        <v>22</v>
      </c>
      <c r="C690" s="116">
        <f t="shared" ca="1" si="125"/>
        <v>1</v>
      </c>
      <c r="D690" s="117">
        <f t="shared" ca="1" si="126"/>
        <v>1</v>
      </c>
      <c r="E690" s="117">
        <f t="shared" ca="1" si="127"/>
        <v>1</v>
      </c>
      <c r="F690" s="438"/>
      <c r="G690" s="7"/>
      <c r="H690" s="7"/>
      <c r="I690" s="7"/>
      <c r="K690" s="7"/>
      <c r="L690" s="7"/>
      <c r="M690" s="7"/>
      <c r="N690" s="7"/>
      <c r="O690" s="7"/>
      <c r="P690" s="7"/>
      <c r="R690" s="7"/>
      <c r="S690" s="7"/>
    </row>
    <row r="691" spans="1:19" ht="14.1" customHeight="1" x14ac:dyDescent="0.2">
      <c r="A691" s="116">
        <f ca="1">IF($H691="UNIDADE CONSTRUTIVA",OFFSET(A691,-1,0)+1,LARGE(A$3:A690,1))</f>
        <v>0</v>
      </c>
      <c r="B691" s="116">
        <f t="shared" ca="1" si="124"/>
        <v>22</v>
      </c>
      <c r="C691" s="116">
        <f t="shared" ca="1" si="125"/>
        <v>1</v>
      </c>
      <c r="D691" s="117">
        <f t="shared" ca="1" si="126"/>
        <v>1</v>
      </c>
      <c r="E691" s="117">
        <f t="shared" ca="1" si="127"/>
        <v>1</v>
      </c>
      <c r="F691" s="438"/>
      <c r="G691" s="7"/>
      <c r="H691" s="7"/>
      <c r="I691" s="7"/>
      <c r="K691" s="7"/>
      <c r="L691" s="7"/>
      <c r="M691" s="7"/>
      <c r="N691" s="7"/>
      <c r="O691" s="7"/>
      <c r="P691" s="7"/>
      <c r="R691" s="7"/>
      <c r="S691" s="7"/>
    </row>
    <row r="692" spans="1:19" ht="14.1" customHeight="1" x14ac:dyDescent="0.2">
      <c r="A692" s="116">
        <f ca="1">IF($H692="UNIDADE CONSTRUTIVA",OFFSET(A692,-1,0)+1,LARGE(A$3:A691,1))</f>
        <v>0</v>
      </c>
      <c r="B692" s="116">
        <f t="shared" ca="1" si="124"/>
        <v>22</v>
      </c>
      <c r="C692" s="116">
        <f t="shared" ca="1" si="125"/>
        <v>1</v>
      </c>
      <c r="D692" s="117">
        <f t="shared" ca="1" si="126"/>
        <v>1</v>
      </c>
      <c r="E692" s="117">
        <f t="shared" ca="1" si="127"/>
        <v>1</v>
      </c>
      <c r="F692" s="438"/>
      <c r="G692" s="7"/>
      <c r="H692" s="7"/>
      <c r="I692" s="7"/>
      <c r="K692" s="7"/>
      <c r="L692" s="7"/>
      <c r="M692" s="7"/>
      <c r="N692" s="7"/>
      <c r="O692" s="7"/>
      <c r="P692" s="7"/>
      <c r="R692" s="7"/>
      <c r="S692" s="7"/>
    </row>
    <row r="693" spans="1:19" ht="14.1" customHeight="1" x14ac:dyDescent="0.2">
      <c r="A693" s="116">
        <f ca="1">IF($H693="UNIDADE CONSTRUTIVA",OFFSET(A693,-1,0)+1,LARGE(A$3:A692,1))</f>
        <v>0</v>
      </c>
      <c r="B693" s="116">
        <f t="shared" ca="1" si="124"/>
        <v>22</v>
      </c>
      <c r="C693" s="116">
        <f t="shared" ca="1" si="125"/>
        <v>1</v>
      </c>
      <c r="D693" s="117">
        <f t="shared" ca="1" si="126"/>
        <v>1</v>
      </c>
      <c r="E693" s="117">
        <f t="shared" ca="1" si="127"/>
        <v>1</v>
      </c>
      <c r="F693" s="438"/>
      <c r="G693" s="7"/>
      <c r="H693" s="7"/>
      <c r="I693" s="7"/>
      <c r="K693" s="7"/>
      <c r="L693" s="7"/>
      <c r="M693" s="7"/>
      <c r="N693" s="7"/>
      <c r="O693" s="7"/>
      <c r="P693" s="7"/>
      <c r="R693" s="7"/>
      <c r="S693" s="7"/>
    </row>
    <row r="694" spans="1:19" ht="14.1" customHeight="1" x14ac:dyDescent="0.2">
      <c r="A694" s="116">
        <f ca="1">IF($H694="UNIDADE CONSTRUTIVA",OFFSET(A694,-1,0)+1,LARGE(A$3:A693,1))</f>
        <v>0</v>
      </c>
      <c r="B694" s="116">
        <f t="shared" ca="1" si="124"/>
        <v>22</v>
      </c>
      <c r="C694" s="116">
        <f t="shared" ca="1" si="125"/>
        <v>1</v>
      </c>
      <c r="D694" s="117">
        <f t="shared" ca="1" si="126"/>
        <v>1</v>
      </c>
      <c r="E694" s="117">
        <f t="shared" ca="1" si="127"/>
        <v>1</v>
      </c>
      <c r="F694" s="438"/>
      <c r="G694" s="7"/>
      <c r="H694" s="7"/>
      <c r="I694" s="7"/>
      <c r="K694" s="7"/>
      <c r="L694" s="7"/>
      <c r="M694" s="7"/>
      <c r="N694" s="7"/>
      <c r="O694" s="7"/>
      <c r="P694" s="7"/>
      <c r="R694" s="7"/>
      <c r="S694" s="7"/>
    </row>
    <row r="695" spans="1:19" ht="14.1" customHeight="1" x14ac:dyDescent="0.2">
      <c r="A695" s="116">
        <f ca="1">IF($H695="UNIDADE CONSTRUTIVA",OFFSET(A695,-1,0)+1,LARGE(A$3:A694,1))</f>
        <v>0</v>
      </c>
      <c r="B695" s="116">
        <f t="shared" ca="1" si="124"/>
        <v>22</v>
      </c>
      <c r="C695" s="116">
        <f t="shared" ca="1" si="125"/>
        <v>1</v>
      </c>
      <c r="D695" s="117">
        <f t="shared" ca="1" si="126"/>
        <v>1</v>
      </c>
      <c r="E695" s="117">
        <f t="shared" ca="1" si="127"/>
        <v>1</v>
      </c>
      <c r="F695" s="438"/>
      <c r="G695" s="7"/>
      <c r="H695" s="7"/>
      <c r="I695" s="7"/>
      <c r="K695" s="7"/>
      <c r="L695" s="7"/>
      <c r="M695" s="7"/>
      <c r="N695" s="7"/>
      <c r="O695" s="7"/>
      <c r="P695" s="7"/>
      <c r="R695" s="7"/>
      <c r="S695" s="7"/>
    </row>
    <row r="696" spans="1:19" ht="14.1" customHeight="1" x14ac:dyDescent="0.2">
      <c r="A696" s="116">
        <f ca="1">IF($H696="UNIDADE CONSTRUTIVA",OFFSET(A696,-1,0)+1,LARGE(A$3:A695,1))</f>
        <v>0</v>
      </c>
      <c r="B696" s="116">
        <f t="shared" ca="1" si="124"/>
        <v>22</v>
      </c>
      <c r="C696" s="116">
        <f t="shared" ca="1" si="125"/>
        <v>1</v>
      </c>
      <c r="D696" s="117">
        <f t="shared" ca="1" si="126"/>
        <v>1</v>
      </c>
      <c r="E696" s="117">
        <f t="shared" ca="1" si="127"/>
        <v>1</v>
      </c>
      <c r="F696" s="438"/>
      <c r="G696" s="7"/>
      <c r="H696" s="7"/>
      <c r="I696" s="7"/>
      <c r="K696" s="7"/>
      <c r="L696" s="7"/>
      <c r="M696" s="7"/>
      <c r="N696" s="7"/>
      <c r="O696" s="7"/>
      <c r="P696" s="7"/>
      <c r="R696" s="7"/>
      <c r="S696" s="7"/>
    </row>
    <row r="697" spans="1:19" ht="14.1" customHeight="1" x14ac:dyDescent="0.2">
      <c r="A697" s="116">
        <f ca="1">IF($H697="UNIDADE CONSTRUTIVA",OFFSET(A697,-1,0)+1,LARGE(A$3:A696,1))</f>
        <v>0</v>
      </c>
      <c r="B697" s="116">
        <f t="shared" ca="1" si="124"/>
        <v>22</v>
      </c>
      <c r="C697" s="116">
        <f t="shared" ca="1" si="125"/>
        <v>1</v>
      </c>
      <c r="D697" s="117">
        <f t="shared" ca="1" si="126"/>
        <v>1</v>
      </c>
      <c r="E697" s="117">
        <f t="shared" ca="1" si="127"/>
        <v>1</v>
      </c>
      <c r="F697" s="438"/>
      <c r="G697" s="7"/>
      <c r="H697" s="7"/>
      <c r="I697" s="7"/>
      <c r="K697" s="7"/>
      <c r="L697" s="7"/>
      <c r="M697" s="7"/>
      <c r="N697" s="7"/>
      <c r="O697" s="7"/>
      <c r="P697" s="7"/>
      <c r="R697" s="7"/>
      <c r="S697" s="7"/>
    </row>
    <row r="698" spans="1:19" ht="14.1" customHeight="1" x14ac:dyDescent="0.2">
      <c r="A698" s="116">
        <f ca="1">IF($H698="UNIDADE CONSTRUTIVA",OFFSET(A698,-1,0)+1,LARGE(A$3:A697,1))</f>
        <v>0</v>
      </c>
      <c r="B698" s="116">
        <f t="shared" ca="1" si="124"/>
        <v>22</v>
      </c>
      <c r="C698" s="116">
        <f t="shared" ca="1" si="125"/>
        <v>1</v>
      </c>
      <c r="D698" s="117">
        <f t="shared" ca="1" si="126"/>
        <v>1</v>
      </c>
      <c r="E698" s="117">
        <f t="shared" ca="1" si="127"/>
        <v>1</v>
      </c>
      <c r="F698" s="438"/>
      <c r="G698" s="7"/>
      <c r="H698" s="7"/>
      <c r="I698" s="7"/>
      <c r="K698" s="7"/>
      <c r="L698" s="7"/>
      <c r="M698" s="7"/>
      <c r="N698" s="7"/>
      <c r="O698" s="7"/>
      <c r="P698" s="7"/>
      <c r="R698" s="7"/>
      <c r="S698" s="7"/>
    </row>
    <row r="699" spans="1:19" ht="14.1" customHeight="1" x14ac:dyDescent="0.2">
      <c r="A699" s="116">
        <f ca="1">IF($H699="UNIDADE CONSTRUTIVA",OFFSET(A699,-1,0)+1,LARGE(A$3:A698,1))</f>
        <v>0</v>
      </c>
      <c r="B699" s="116">
        <f t="shared" ca="1" si="124"/>
        <v>22</v>
      </c>
      <c r="C699" s="116">
        <f t="shared" ca="1" si="125"/>
        <v>1</v>
      </c>
      <c r="D699" s="117">
        <f t="shared" ca="1" si="126"/>
        <v>1</v>
      </c>
      <c r="E699" s="117">
        <f t="shared" ca="1" si="127"/>
        <v>1</v>
      </c>
      <c r="F699" s="438"/>
      <c r="G699" s="7"/>
      <c r="H699" s="7"/>
      <c r="I699" s="7"/>
      <c r="K699" s="7"/>
      <c r="L699" s="7"/>
      <c r="M699" s="7"/>
      <c r="N699" s="7"/>
      <c r="O699" s="7"/>
      <c r="P699" s="7"/>
      <c r="R699" s="7"/>
      <c r="S699" s="7"/>
    </row>
    <row r="700" spans="1:19" ht="14.1" customHeight="1" x14ac:dyDescent="0.2">
      <c r="A700" s="116">
        <f ca="1">IF($H700="UNIDADE CONSTRUTIVA",OFFSET(A700,-1,0)+1,LARGE(A$3:A699,1))</f>
        <v>0</v>
      </c>
      <c r="B700" s="116">
        <f t="shared" ca="1" si="124"/>
        <v>22</v>
      </c>
      <c r="C700" s="116">
        <f t="shared" ca="1" si="125"/>
        <v>1</v>
      </c>
      <c r="D700" s="117">
        <f t="shared" ca="1" si="126"/>
        <v>1</v>
      </c>
      <c r="E700" s="117">
        <f t="shared" ca="1" si="127"/>
        <v>1</v>
      </c>
      <c r="F700" s="438"/>
      <c r="G700" s="7"/>
      <c r="H700" s="7"/>
      <c r="I700" s="7"/>
      <c r="K700" s="7"/>
      <c r="L700" s="7"/>
      <c r="M700" s="7"/>
      <c r="N700" s="7"/>
      <c r="O700" s="7"/>
      <c r="P700" s="7"/>
      <c r="R700" s="7"/>
      <c r="S700" s="7"/>
    </row>
    <row r="701" spans="1:19" ht="14.1" customHeight="1" x14ac:dyDescent="0.2">
      <c r="A701" s="116">
        <f ca="1">IF($H701="UNIDADE CONSTRUTIVA",OFFSET(A701,-1,0)+1,LARGE(A$3:A700,1))</f>
        <v>0</v>
      </c>
      <c r="B701" s="116">
        <f t="shared" ca="1" si="124"/>
        <v>22</v>
      </c>
      <c r="C701" s="116">
        <f t="shared" ca="1" si="125"/>
        <v>1</v>
      </c>
      <c r="D701" s="117">
        <f t="shared" ca="1" si="126"/>
        <v>1</v>
      </c>
      <c r="E701" s="117">
        <f t="shared" ca="1" si="127"/>
        <v>1</v>
      </c>
      <c r="F701" s="438"/>
      <c r="G701" s="7"/>
      <c r="H701" s="7"/>
      <c r="I701" s="7"/>
      <c r="K701" s="7"/>
      <c r="L701" s="7"/>
      <c r="M701" s="7"/>
      <c r="N701" s="7"/>
      <c r="O701" s="7"/>
      <c r="P701" s="7"/>
      <c r="R701" s="7"/>
      <c r="S701" s="7"/>
    </row>
    <row r="702" spans="1:19" ht="14.1" customHeight="1" x14ac:dyDescent="0.2">
      <c r="A702" s="116">
        <f ca="1">IF($H702="UNIDADE CONSTRUTIVA",OFFSET(A702,-1,0)+1,LARGE(A$3:A701,1))</f>
        <v>0</v>
      </c>
      <c r="B702" s="116">
        <f t="shared" ca="1" si="124"/>
        <v>22</v>
      </c>
      <c r="C702" s="116">
        <f t="shared" ca="1" si="125"/>
        <v>1</v>
      </c>
      <c r="D702" s="117">
        <f t="shared" ca="1" si="126"/>
        <v>1</v>
      </c>
      <c r="E702" s="117">
        <f t="shared" ca="1" si="127"/>
        <v>1</v>
      </c>
      <c r="F702" s="438"/>
      <c r="G702" s="7"/>
      <c r="H702" s="7"/>
      <c r="I702" s="7"/>
      <c r="K702" s="7"/>
      <c r="L702" s="7"/>
      <c r="M702" s="7"/>
      <c r="N702" s="7"/>
      <c r="O702" s="7"/>
      <c r="P702" s="7"/>
      <c r="R702" s="7"/>
      <c r="S702" s="7"/>
    </row>
    <row r="703" spans="1:19" ht="14.1" customHeight="1" x14ac:dyDescent="0.2">
      <c r="A703" s="116">
        <f ca="1">IF($H703="UNIDADE CONSTRUTIVA",OFFSET(A703,-1,0)+1,LARGE(A$3:A702,1))</f>
        <v>0</v>
      </c>
      <c r="B703" s="116">
        <f t="shared" ca="1" si="124"/>
        <v>22</v>
      </c>
      <c r="C703" s="116">
        <f t="shared" ca="1" si="125"/>
        <v>1</v>
      </c>
      <c r="D703" s="117">
        <f t="shared" ca="1" si="126"/>
        <v>1</v>
      </c>
      <c r="E703" s="117">
        <f t="shared" ca="1" si="127"/>
        <v>1</v>
      </c>
      <c r="F703" s="438"/>
      <c r="G703" s="7"/>
      <c r="H703" s="7"/>
      <c r="I703" s="7"/>
      <c r="K703" s="7"/>
      <c r="L703" s="7"/>
      <c r="M703" s="7"/>
      <c r="N703" s="7"/>
      <c r="O703" s="7"/>
      <c r="P703" s="7"/>
      <c r="R703" s="7"/>
      <c r="S703" s="7"/>
    </row>
    <row r="704" spans="1:19" ht="14.1" customHeight="1" x14ac:dyDescent="0.2">
      <c r="A704" s="116">
        <f ca="1">IF($H704="UNIDADE CONSTRUTIVA",OFFSET(A704,-1,0)+1,LARGE(A$3:A703,1))</f>
        <v>0</v>
      </c>
      <c r="B704" s="116">
        <f t="shared" ca="1" si="124"/>
        <v>22</v>
      </c>
      <c r="C704" s="116">
        <f t="shared" ca="1" si="125"/>
        <v>1</v>
      </c>
      <c r="D704" s="117">
        <f t="shared" ca="1" si="126"/>
        <v>1</v>
      </c>
      <c r="E704" s="117">
        <f t="shared" ca="1" si="127"/>
        <v>1</v>
      </c>
      <c r="F704" s="438"/>
      <c r="G704" s="7"/>
      <c r="H704" s="7"/>
      <c r="I704" s="7"/>
      <c r="K704" s="7"/>
      <c r="L704" s="7"/>
      <c r="M704" s="7"/>
      <c r="N704" s="7"/>
      <c r="O704" s="7"/>
      <c r="P704" s="7"/>
      <c r="R704" s="7"/>
      <c r="S704" s="7"/>
    </row>
    <row r="705" spans="1:19" ht="14.1" customHeight="1" x14ac:dyDescent="0.2">
      <c r="A705" s="116">
        <f ca="1">IF($H705="UNIDADE CONSTRUTIVA",OFFSET(A705,-1,0)+1,LARGE(A$3:A704,1))</f>
        <v>0</v>
      </c>
      <c r="B705" s="116">
        <f t="shared" ca="1" si="124"/>
        <v>22</v>
      </c>
      <c r="C705" s="116">
        <f t="shared" ca="1" si="125"/>
        <v>1</v>
      </c>
      <c r="D705" s="117">
        <f t="shared" ca="1" si="126"/>
        <v>1</v>
      </c>
      <c r="E705" s="117">
        <f t="shared" ca="1" si="127"/>
        <v>1</v>
      </c>
      <c r="F705" s="438"/>
      <c r="G705" s="7"/>
      <c r="H705" s="7"/>
      <c r="I705" s="7"/>
      <c r="K705" s="7"/>
      <c r="L705" s="7"/>
      <c r="M705" s="7"/>
      <c r="N705" s="7"/>
      <c r="O705" s="7"/>
      <c r="P705" s="7"/>
      <c r="R705" s="7"/>
      <c r="S705" s="7"/>
    </row>
    <row r="706" spans="1:19" ht="14.1" customHeight="1" x14ac:dyDescent="0.2">
      <c r="A706" s="116">
        <f ca="1">IF($H706="UNIDADE CONSTRUTIVA",OFFSET(A706,-1,0)+1,LARGE(A$3:A705,1))</f>
        <v>0</v>
      </c>
      <c r="B706" s="116">
        <f t="shared" ca="1" si="124"/>
        <v>22</v>
      </c>
      <c r="C706" s="116">
        <f t="shared" ca="1" si="125"/>
        <v>1</v>
      </c>
      <c r="D706" s="117">
        <f t="shared" ca="1" si="126"/>
        <v>1</v>
      </c>
      <c r="E706" s="117">
        <f t="shared" ca="1" si="127"/>
        <v>1</v>
      </c>
      <c r="F706" s="438"/>
      <c r="G706" s="7"/>
      <c r="H706" s="7"/>
      <c r="I706" s="7"/>
      <c r="K706" s="7"/>
      <c r="L706" s="7"/>
      <c r="M706" s="7"/>
      <c r="N706" s="7"/>
      <c r="O706" s="7"/>
      <c r="P706" s="7"/>
      <c r="R706" s="7"/>
      <c r="S706" s="7"/>
    </row>
    <row r="707" spans="1:19" ht="14.1" customHeight="1" x14ac:dyDescent="0.2">
      <c r="A707" s="116">
        <f ca="1">IF($H707="UNIDADE CONSTRUTIVA",OFFSET(A707,-1,0)+1,LARGE(A$3:A706,1))</f>
        <v>0</v>
      </c>
      <c r="B707" s="116">
        <f t="shared" ca="1" si="124"/>
        <v>22</v>
      </c>
      <c r="C707" s="116">
        <f t="shared" ca="1" si="125"/>
        <v>1</v>
      </c>
      <c r="D707" s="117">
        <f t="shared" ca="1" si="126"/>
        <v>1</v>
      </c>
      <c r="E707" s="117">
        <f t="shared" ca="1" si="127"/>
        <v>1</v>
      </c>
      <c r="F707" s="438"/>
      <c r="G707" s="7"/>
      <c r="H707" s="7"/>
      <c r="I707" s="7"/>
      <c r="K707" s="7"/>
      <c r="L707" s="7"/>
      <c r="M707" s="7"/>
      <c r="N707" s="7"/>
      <c r="O707" s="7"/>
      <c r="P707" s="7"/>
      <c r="R707" s="7"/>
      <c r="S707" s="7"/>
    </row>
    <row r="708" spans="1:19" ht="14.1" customHeight="1" x14ac:dyDescent="0.2">
      <c r="A708" s="116">
        <f ca="1">IF($H708="UNIDADE CONSTRUTIVA",OFFSET(A708,-1,0)+1,LARGE(A$3:A707,1))</f>
        <v>0</v>
      </c>
      <c r="B708" s="116">
        <f t="shared" ca="1" si="124"/>
        <v>22</v>
      </c>
      <c r="C708" s="116">
        <f t="shared" ca="1" si="125"/>
        <v>1</v>
      </c>
      <c r="D708" s="117">
        <f t="shared" ca="1" si="126"/>
        <v>1</v>
      </c>
      <c r="E708" s="117">
        <f t="shared" ca="1" si="127"/>
        <v>1</v>
      </c>
      <c r="F708" s="438"/>
      <c r="G708" s="7"/>
      <c r="H708" s="7"/>
      <c r="I708" s="7"/>
      <c r="K708" s="7"/>
      <c r="L708" s="7"/>
      <c r="M708" s="7"/>
      <c r="N708" s="7"/>
      <c r="O708" s="7"/>
      <c r="P708" s="7"/>
      <c r="R708" s="7"/>
      <c r="S708" s="7"/>
    </row>
    <row r="709" spans="1:19" ht="14.1" customHeight="1" x14ac:dyDescent="0.2">
      <c r="A709" s="116">
        <f ca="1">IF($H709="UNIDADE CONSTRUTIVA",OFFSET(A709,-1,0)+1,LARGE(A$3:A708,1))</f>
        <v>0</v>
      </c>
      <c r="B709" s="116">
        <f t="shared" ca="1" si="124"/>
        <v>22</v>
      </c>
      <c r="C709" s="116">
        <f t="shared" ca="1" si="125"/>
        <v>1</v>
      </c>
      <c r="D709" s="117">
        <f t="shared" ca="1" si="126"/>
        <v>1</v>
      </c>
      <c r="E709" s="117">
        <f t="shared" ca="1" si="127"/>
        <v>1</v>
      </c>
      <c r="F709" s="438"/>
      <c r="G709" s="7"/>
      <c r="H709" s="7"/>
      <c r="I709" s="7"/>
      <c r="K709" s="7"/>
      <c r="L709" s="7"/>
      <c r="M709" s="7"/>
      <c r="N709" s="7"/>
      <c r="O709" s="7"/>
      <c r="P709" s="7"/>
      <c r="R709" s="7"/>
      <c r="S709" s="7"/>
    </row>
    <row r="710" spans="1:19" ht="14.1" customHeight="1" x14ac:dyDescent="0.2">
      <c r="A710" s="116">
        <f ca="1">IF($H710="UNIDADE CONSTRUTIVA",OFFSET(A710,-1,0)+1,LARGE(A$3:A709,1))</f>
        <v>0</v>
      </c>
      <c r="B710" s="116">
        <f t="shared" ca="1" si="124"/>
        <v>22</v>
      </c>
      <c r="C710" s="116">
        <f t="shared" ca="1" si="125"/>
        <v>1</v>
      </c>
      <c r="D710" s="117">
        <f t="shared" ca="1" si="126"/>
        <v>1</v>
      </c>
      <c r="E710" s="117">
        <f t="shared" ca="1" si="127"/>
        <v>1</v>
      </c>
      <c r="F710" s="438"/>
      <c r="G710" s="7"/>
      <c r="H710" s="7"/>
      <c r="I710" s="7"/>
      <c r="K710" s="7"/>
      <c r="L710" s="7"/>
      <c r="M710" s="7"/>
      <c r="N710" s="7"/>
      <c r="O710" s="7"/>
      <c r="P710" s="7"/>
      <c r="R710" s="7"/>
      <c r="S710" s="7"/>
    </row>
    <row r="711" spans="1:19" ht="14.1" customHeight="1" x14ac:dyDescent="0.2">
      <c r="A711" s="116">
        <f ca="1">IF($H711="UNIDADE CONSTRUTIVA",OFFSET(A711,-1,0)+1,LARGE(A$3:A710,1))</f>
        <v>0</v>
      </c>
      <c r="B711" s="116">
        <f t="shared" ca="1" si="124"/>
        <v>22</v>
      </c>
      <c r="C711" s="116">
        <f t="shared" ca="1" si="125"/>
        <v>1</v>
      </c>
      <c r="D711" s="117">
        <f t="shared" ca="1" si="126"/>
        <v>1</v>
      </c>
      <c r="E711" s="117">
        <f t="shared" ca="1" si="127"/>
        <v>1</v>
      </c>
      <c r="F711" s="438"/>
      <c r="G711" s="7"/>
      <c r="H711" s="7"/>
      <c r="I711" s="7"/>
      <c r="K711" s="7"/>
      <c r="L711" s="7"/>
      <c r="M711" s="7"/>
      <c r="N711" s="7"/>
      <c r="O711" s="7"/>
      <c r="P711" s="7"/>
      <c r="R711" s="7"/>
      <c r="S711" s="7"/>
    </row>
    <row r="712" spans="1:19" ht="14.1" customHeight="1" x14ac:dyDescent="0.2">
      <c r="A712" s="116">
        <f ca="1">IF($H712="UNIDADE CONSTRUTIVA",OFFSET(A712,-1,0)+1,LARGE(A$3:A711,1))</f>
        <v>0</v>
      </c>
      <c r="B712" s="116">
        <f t="shared" ca="1" si="124"/>
        <v>22</v>
      </c>
      <c r="C712" s="116">
        <f t="shared" ca="1" si="125"/>
        <v>1</v>
      </c>
      <c r="D712" s="117">
        <f t="shared" ca="1" si="126"/>
        <v>1</v>
      </c>
      <c r="E712" s="117">
        <f t="shared" ca="1" si="127"/>
        <v>1</v>
      </c>
      <c r="F712" s="438"/>
      <c r="G712" s="7"/>
      <c r="H712" s="7"/>
      <c r="I712" s="7"/>
      <c r="K712" s="7"/>
      <c r="L712" s="7"/>
      <c r="M712" s="7"/>
      <c r="N712" s="7"/>
      <c r="O712" s="7"/>
      <c r="P712" s="7"/>
      <c r="R712" s="7"/>
      <c r="S712" s="7"/>
    </row>
    <row r="713" spans="1:19" ht="14.1" customHeight="1" x14ac:dyDescent="0.2">
      <c r="A713" s="116">
        <f ca="1">IF($H713="UNIDADE CONSTRUTIVA",OFFSET(A713,-1,0)+1,LARGE(A$3:A712,1))</f>
        <v>0</v>
      </c>
      <c r="B713" s="116">
        <f t="shared" ca="1" si="124"/>
        <v>22</v>
      </c>
      <c r="C713" s="116">
        <f t="shared" ca="1" si="125"/>
        <v>1</v>
      </c>
      <c r="D713" s="117">
        <f t="shared" ca="1" si="126"/>
        <v>1</v>
      </c>
      <c r="E713" s="117">
        <f t="shared" ca="1" si="127"/>
        <v>1</v>
      </c>
      <c r="F713" s="438"/>
      <c r="G713" s="7"/>
      <c r="H713" s="7"/>
      <c r="I713" s="7"/>
      <c r="K713" s="7"/>
      <c r="L713" s="7"/>
      <c r="M713" s="7"/>
      <c r="N713" s="7"/>
      <c r="O713" s="7"/>
      <c r="P713" s="7"/>
      <c r="R713" s="7"/>
      <c r="S713" s="7"/>
    </row>
    <row r="714" spans="1:19" ht="14.1" customHeight="1" x14ac:dyDescent="0.2">
      <c r="A714" s="116">
        <f ca="1">IF($H714="UNIDADE CONSTRUTIVA",OFFSET(A714,-1,0)+1,LARGE(A$3:A713,1))</f>
        <v>0</v>
      </c>
      <c r="B714" s="116">
        <f t="shared" ca="1" si="124"/>
        <v>22</v>
      </c>
      <c r="C714" s="116">
        <f t="shared" ca="1" si="125"/>
        <v>1</v>
      </c>
      <c r="D714" s="117">
        <f t="shared" ca="1" si="126"/>
        <v>1</v>
      </c>
      <c r="E714" s="117">
        <f t="shared" ca="1" si="127"/>
        <v>1</v>
      </c>
      <c r="F714" s="438"/>
      <c r="G714" s="7"/>
      <c r="H714" s="7"/>
      <c r="I714" s="7"/>
      <c r="K714" s="7"/>
      <c r="L714" s="7"/>
      <c r="M714" s="7"/>
      <c r="N714" s="7"/>
      <c r="O714" s="7"/>
      <c r="P714" s="7"/>
      <c r="R714" s="7"/>
      <c r="S714" s="7"/>
    </row>
    <row r="715" spans="1:19" ht="14.1" customHeight="1" x14ac:dyDescent="0.2">
      <c r="A715" s="116">
        <f ca="1">IF($H715="UNIDADE CONSTRUTIVA",OFFSET(A715,-1,0)+1,LARGE(A$3:A714,1))</f>
        <v>0</v>
      </c>
      <c r="B715" s="116">
        <f t="shared" ca="1" si="124"/>
        <v>22</v>
      </c>
      <c r="C715" s="116">
        <f t="shared" ca="1" si="125"/>
        <v>1</v>
      </c>
      <c r="D715" s="117">
        <f t="shared" ca="1" si="126"/>
        <v>1</v>
      </c>
      <c r="E715" s="117">
        <f t="shared" ca="1" si="127"/>
        <v>1</v>
      </c>
      <c r="F715" s="438"/>
      <c r="G715" s="7"/>
      <c r="H715" s="7"/>
      <c r="I715" s="7"/>
      <c r="K715" s="7"/>
      <c r="L715" s="7"/>
      <c r="M715" s="7"/>
      <c r="N715" s="7"/>
      <c r="O715" s="7"/>
      <c r="P715" s="7"/>
      <c r="R715" s="7"/>
      <c r="S715" s="7"/>
    </row>
    <row r="716" spans="1:19" ht="14.1" customHeight="1" x14ac:dyDescent="0.2">
      <c r="A716" s="116">
        <f ca="1">IF($H716="UNIDADE CONSTRUTIVA",OFFSET(A716,-1,0)+1,LARGE(A$3:A715,1))</f>
        <v>0</v>
      </c>
      <c r="B716" s="116">
        <f t="shared" ca="1" si="124"/>
        <v>22</v>
      </c>
      <c r="C716" s="116">
        <f t="shared" ca="1" si="125"/>
        <v>1</v>
      </c>
      <c r="D716" s="117">
        <f t="shared" ca="1" si="126"/>
        <v>1</v>
      </c>
      <c r="E716" s="117">
        <f t="shared" ca="1" si="127"/>
        <v>1</v>
      </c>
      <c r="F716" s="438"/>
      <c r="G716" s="7"/>
      <c r="H716" s="7"/>
      <c r="I716" s="7"/>
      <c r="K716" s="7"/>
      <c r="L716" s="7"/>
      <c r="M716" s="7"/>
      <c r="N716" s="7"/>
      <c r="O716" s="7"/>
      <c r="P716" s="7"/>
      <c r="R716" s="7"/>
      <c r="S716" s="7"/>
    </row>
    <row r="717" spans="1:19" ht="14.1" customHeight="1" x14ac:dyDescent="0.2">
      <c r="A717" s="116">
        <f ca="1">IF($H717="UNIDADE CONSTRUTIVA",OFFSET(A717,-1,0)+1,LARGE(A$3:A716,1))</f>
        <v>0</v>
      </c>
      <c r="B717" s="116">
        <f t="shared" ca="1" si="124"/>
        <v>22</v>
      </c>
      <c r="C717" s="116">
        <f t="shared" ca="1" si="125"/>
        <v>1</v>
      </c>
      <c r="D717" s="117">
        <f t="shared" ca="1" si="126"/>
        <v>1</v>
      </c>
      <c r="E717" s="117">
        <f t="shared" ca="1" si="127"/>
        <v>1</v>
      </c>
      <c r="F717" s="438"/>
      <c r="G717" s="7"/>
      <c r="H717" s="7"/>
      <c r="I717" s="7"/>
      <c r="K717" s="7"/>
      <c r="L717" s="7"/>
      <c r="M717" s="7"/>
      <c r="N717" s="7"/>
      <c r="O717" s="7"/>
      <c r="P717" s="7"/>
      <c r="R717" s="7"/>
      <c r="S717" s="7"/>
    </row>
    <row r="718" spans="1:19" ht="14.1" customHeight="1" x14ac:dyDescent="0.2">
      <c r="A718" s="116">
        <f ca="1">IF($H718="UNIDADE CONSTRUTIVA",OFFSET(A718,-1,0)+1,LARGE(A$3:A717,1))</f>
        <v>0</v>
      </c>
      <c r="B718" s="116">
        <f t="shared" ca="1" si="124"/>
        <v>22</v>
      </c>
      <c r="C718" s="116">
        <f t="shared" ca="1" si="125"/>
        <v>1</v>
      </c>
      <c r="D718" s="117">
        <f t="shared" ca="1" si="126"/>
        <v>1</v>
      </c>
      <c r="E718" s="117">
        <f t="shared" ca="1" si="127"/>
        <v>1</v>
      </c>
      <c r="F718" s="438"/>
      <c r="G718" s="7"/>
      <c r="H718" s="7"/>
      <c r="I718" s="7"/>
      <c r="K718" s="7"/>
      <c r="L718" s="7"/>
      <c r="M718" s="7"/>
      <c r="N718" s="7"/>
      <c r="O718" s="7"/>
      <c r="P718" s="7"/>
      <c r="R718" s="7"/>
      <c r="S718" s="7"/>
    </row>
    <row r="719" spans="1:19" ht="14.1" customHeight="1" x14ac:dyDescent="0.2">
      <c r="A719" s="116">
        <f ca="1">IF($H719="UNIDADE CONSTRUTIVA",OFFSET(A719,-1,0)+1,LARGE(A$3:A718,1))</f>
        <v>0</v>
      </c>
      <c r="B719" s="116">
        <f t="shared" ca="1" si="124"/>
        <v>22</v>
      </c>
      <c r="C719" s="116">
        <f t="shared" ca="1" si="125"/>
        <v>1</v>
      </c>
      <c r="D719" s="117">
        <f t="shared" ca="1" si="126"/>
        <v>1</v>
      </c>
      <c r="E719" s="117">
        <f t="shared" ca="1" si="127"/>
        <v>1</v>
      </c>
      <c r="F719" s="438"/>
      <c r="G719" s="7"/>
      <c r="H719" s="7"/>
      <c r="I719" s="7"/>
      <c r="K719" s="7"/>
      <c r="L719" s="7"/>
      <c r="M719" s="7"/>
      <c r="N719" s="7"/>
      <c r="O719" s="7"/>
      <c r="P719" s="7"/>
      <c r="R719" s="7"/>
      <c r="S719" s="7"/>
    </row>
    <row r="720" spans="1:19" ht="14.1" customHeight="1" x14ac:dyDescent="0.2">
      <c r="A720" s="116">
        <f ca="1">IF($H720="UNIDADE CONSTRUTIVA",OFFSET(A720,-1,0)+1,LARGE(A$3:A719,1))</f>
        <v>0</v>
      </c>
      <c r="B720" s="116">
        <f t="shared" ca="1" si="124"/>
        <v>22</v>
      </c>
      <c r="C720" s="116">
        <f t="shared" ca="1" si="125"/>
        <v>1</v>
      </c>
      <c r="D720" s="117">
        <f t="shared" ca="1" si="126"/>
        <v>1</v>
      </c>
      <c r="E720" s="117">
        <f t="shared" ca="1" si="127"/>
        <v>1</v>
      </c>
      <c r="F720" s="438"/>
      <c r="G720" s="7"/>
      <c r="H720" s="7"/>
      <c r="I720" s="7"/>
      <c r="K720" s="7"/>
      <c r="L720" s="7"/>
      <c r="M720" s="7"/>
      <c r="N720" s="7"/>
      <c r="O720" s="7"/>
      <c r="P720" s="7"/>
      <c r="R720" s="7"/>
      <c r="S720" s="7"/>
    </row>
    <row r="721" spans="1:19" ht="14.1" customHeight="1" x14ac:dyDescent="0.2">
      <c r="A721" s="116">
        <f ca="1">IF($H721="UNIDADE CONSTRUTIVA",OFFSET(A721,-1,0)+1,LARGE(A$3:A720,1))</f>
        <v>0</v>
      </c>
      <c r="B721" s="116">
        <f t="shared" ca="1" si="124"/>
        <v>22</v>
      </c>
      <c r="C721" s="116">
        <f t="shared" ca="1" si="125"/>
        <v>1</v>
      </c>
      <c r="D721" s="117">
        <f t="shared" ca="1" si="126"/>
        <v>1</v>
      </c>
      <c r="E721" s="117">
        <f t="shared" ca="1" si="127"/>
        <v>1</v>
      </c>
      <c r="F721" s="438"/>
      <c r="G721" s="7"/>
      <c r="H721" s="7"/>
      <c r="I721" s="7"/>
      <c r="K721" s="7"/>
      <c r="L721" s="7"/>
      <c r="M721" s="7"/>
      <c r="N721" s="7"/>
      <c r="O721" s="7"/>
      <c r="P721" s="7"/>
      <c r="R721" s="7"/>
      <c r="S721" s="7"/>
    </row>
    <row r="722" spans="1:19" ht="14.1" customHeight="1" x14ac:dyDescent="0.2">
      <c r="A722" s="116">
        <f ca="1">IF($H722="UNIDADE CONSTRUTIVA",OFFSET(A722,-1,0)+1,LARGE(A$3:A721,1))</f>
        <v>0</v>
      </c>
      <c r="B722" s="116">
        <f t="shared" ca="1" si="124"/>
        <v>22</v>
      </c>
      <c r="C722" s="116">
        <f t="shared" ca="1" si="125"/>
        <v>1</v>
      </c>
      <c r="D722" s="117">
        <f t="shared" ca="1" si="126"/>
        <v>1</v>
      </c>
      <c r="E722" s="117">
        <f t="shared" ca="1" si="127"/>
        <v>1</v>
      </c>
      <c r="F722" s="438"/>
      <c r="G722" s="7"/>
      <c r="H722" s="7"/>
      <c r="I722" s="7"/>
      <c r="K722" s="7"/>
      <c r="L722" s="7"/>
      <c r="M722" s="7"/>
      <c r="N722" s="7"/>
      <c r="O722" s="7"/>
      <c r="P722" s="7"/>
      <c r="R722" s="7"/>
      <c r="S722" s="7"/>
    </row>
    <row r="723" spans="1:19" ht="14.1" customHeight="1" x14ac:dyDescent="0.2">
      <c r="A723" s="116">
        <f ca="1">IF($H723="UNIDADE CONSTRUTIVA",OFFSET(A723,-1,0)+1,LARGE(A$3:A722,1))</f>
        <v>0</v>
      </c>
      <c r="B723" s="116">
        <f t="shared" ca="1" si="124"/>
        <v>22</v>
      </c>
      <c r="C723" s="116">
        <f t="shared" ca="1" si="125"/>
        <v>1</v>
      </c>
      <c r="D723" s="117">
        <f t="shared" ca="1" si="126"/>
        <v>1</v>
      </c>
      <c r="E723" s="117">
        <f t="shared" ca="1" si="127"/>
        <v>1</v>
      </c>
      <c r="F723" s="438"/>
      <c r="G723" s="7"/>
      <c r="H723" s="7"/>
      <c r="I723" s="7"/>
      <c r="K723" s="7"/>
      <c r="L723" s="7"/>
      <c r="M723" s="7"/>
      <c r="N723" s="7"/>
      <c r="O723" s="7"/>
      <c r="P723" s="7"/>
      <c r="R723" s="7"/>
      <c r="S723" s="7"/>
    </row>
    <row r="724" spans="1:19" ht="14.1" customHeight="1" x14ac:dyDescent="0.2">
      <c r="A724" s="116">
        <f ca="1">IF($H724="UNIDADE CONSTRUTIVA",OFFSET(A724,-1,0)+1,LARGE(A$3:A723,1))</f>
        <v>0</v>
      </c>
      <c r="B724" s="116">
        <f t="shared" ca="1" si="124"/>
        <v>22</v>
      </c>
      <c r="C724" s="116">
        <f t="shared" ca="1" si="125"/>
        <v>1</v>
      </c>
      <c r="D724" s="117">
        <f t="shared" ca="1" si="126"/>
        <v>1</v>
      </c>
      <c r="E724" s="117">
        <f t="shared" ca="1" si="127"/>
        <v>1</v>
      </c>
      <c r="F724" s="438"/>
      <c r="G724" s="7"/>
      <c r="H724" s="7"/>
      <c r="I724" s="7"/>
      <c r="K724" s="7"/>
      <c r="L724" s="7"/>
      <c r="M724" s="7"/>
      <c r="N724" s="7"/>
      <c r="O724" s="7"/>
      <c r="P724" s="7"/>
      <c r="R724" s="7"/>
      <c r="S724" s="7"/>
    </row>
    <row r="725" spans="1:19" ht="14.1" customHeight="1" x14ac:dyDescent="0.2">
      <c r="A725" s="116">
        <f ca="1">IF($H725="UNIDADE CONSTRUTIVA",OFFSET(A725,-1,0)+1,LARGE(A$3:A724,1))</f>
        <v>0</v>
      </c>
      <c r="B725" s="116">
        <f t="shared" ca="1" si="124"/>
        <v>22</v>
      </c>
      <c r="C725" s="116">
        <f t="shared" ca="1" si="125"/>
        <v>1</v>
      </c>
      <c r="D725" s="117">
        <f t="shared" ca="1" si="126"/>
        <v>1</v>
      </c>
      <c r="E725" s="117">
        <f t="shared" ca="1" si="127"/>
        <v>1</v>
      </c>
      <c r="F725" s="438"/>
      <c r="G725" s="7"/>
      <c r="H725" s="7"/>
      <c r="I725" s="7"/>
      <c r="K725" s="7"/>
      <c r="L725" s="7"/>
      <c r="M725" s="7"/>
      <c r="N725" s="7"/>
      <c r="O725" s="7"/>
      <c r="P725" s="7"/>
      <c r="R725" s="7"/>
      <c r="S725" s="7"/>
    </row>
    <row r="726" spans="1:19" ht="14.1" customHeight="1" x14ac:dyDescent="0.2">
      <c r="A726" s="116">
        <f ca="1">IF($H726="UNIDADE CONSTRUTIVA",OFFSET(A726,-1,0)+1,LARGE(A$3:A725,1))</f>
        <v>0</v>
      </c>
      <c r="B726" s="116">
        <f t="shared" ca="1" si="124"/>
        <v>22</v>
      </c>
      <c r="C726" s="116">
        <f t="shared" ca="1" si="125"/>
        <v>1</v>
      </c>
      <c r="D726" s="117">
        <f t="shared" ca="1" si="126"/>
        <v>1</v>
      </c>
      <c r="E726" s="117">
        <f t="shared" ca="1" si="127"/>
        <v>1</v>
      </c>
      <c r="F726" s="438"/>
      <c r="G726" s="7"/>
      <c r="H726" s="7"/>
      <c r="I726" s="7"/>
      <c r="K726" s="7"/>
      <c r="L726" s="7"/>
      <c r="M726" s="7"/>
      <c r="N726" s="7"/>
      <c r="O726" s="7"/>
      <c r="P726" s="7"/>
      <c r="R726" s="7"/>
      <c r="S726" s="7"/>
    </row>
    <row r="727" spans="1:19" ht="14.1" customHeight="1" x14ac:dyDescent="0.2">
      <c r="A727" s="116">
        <f ca="1">IF($H727="UNIDADE CONSTRUTIVA",OFFSET(A727,-1,0)+1,LARGE(A$3:A726,1))</f>
        <v>0</v>
      </c>
      <c r="B727" s="116">
        <f t="shared" ca="1" si="124"/>
        <v>22</v>
      </c>
      <c r="C727" s="116">
        <f t="shared" ca="1" si="125"/>
        <v>1</v>
      </c>
      <c r="D727" s="117">
        <f t="shared" ca="1" si="126"/>
        <v>1</v>
      </c>
      <c r="E727" s="117">
        <f t="shared" ca="1" si="127"/>
        <v>1</v>
      </c>
      <c r="F727" s="438"/>
      <c r="G727" s="7"/>
      <c r="H727" s="7"/>
      <c r="I727" s="7"/>
      <c r="K727" s="7"/>
      <c r="L727" s="7"/>
      <c r="M727" s="7"/>
      <c r="N727" s="7"/>
      <c r="O727" s="7"/>
      <c r="P727" s="7"/>
      <c r="R727" s="7"/>
      <c r="S727" s="7"/>
    </row>
    <row r="728" spans="1:19" ht="14.1" customHeight="1" x14ac:dyDescent="0.2">
      <c r="A728" s="116">
        <f ca="1">IF($H728="UNIDADE CONSTRUTIVA",OFFSET(A728,-1,0)+1,LARGE(A$3:A727,1))</f>
        <v>0</v>
      </c>
      <c r="B728" s="116">
        <f t="shared" ca="1" si="124"/>
        <v>22</v>
      </c>
      <c r="C728" s="116">
        <f t="shared" ca="1" si="125"/>
        <v>1</v>
      </c>
      <c r="D728" s="117">
        <f t="shared" ca="1" si="126"/>
        <v>1</v>
      </c>
      <c r="E728" s="117">
        <f t="shared" ca="1" si="127"/>
        <v>1</v>
      </c>
      <c r="F728" s="438"/>
      <c r="G728" s="7"/>
      <c r="H728" s="7"/>
      <c r="I728" s="7"/>
      <c r="K728" s="7"/>
      <c r="L728" s="7"/>
      <c r="M728" s="7"/>
      <c r="N728" s="7"/>
      <c r="O728" s="7"/>
      <c r="P728" s="7"/>
      <c r="R728" s="7"/>
      <c r="S728" s="7"/>
    </row>
    <row r="729" spans="1:19" ht="14.1" customHeight="1" x14ac:dyDescent="0.2">
      <c r="A729" s="116">
        <f ca="1">IF($H729="UNIDADE CONSTRUTIVA",OFFSET(A729,-1,0)+1,LARGE(A$3:A728,1))</f>
        <v>0</v>
      </c>
      <c r="B729" s="116">
        <f t="shared" ca="1" si="124"/>
        <v>22</v>
      </c>
      <c r="C729" s="116">
        <f t="shared" ca="1" si="125"/>
        <v>1</v>
      </c>
      <c r="D729" s="117">
        <f t="shared" ca="1" si="126"/>
        <v>1</v>
      </c>
      <c r="E729" s="117">
        <f t="shared" ca="1" si="127"/>
        <v>1</v>
      </c>
      <c r="F729" s="438"/>
      <c r="G729" s="7"/>
      <c r="H729" s="7"/>
      <c r="I729" s="7"/>
      <c r="K729" s="7"/>
      <c r="L729" s="7"/>
      <c r="M729" s="7"/>
      <c r="N729" s="7"/>
      <c r="O729" s="7"/>
      <c r="P729" s="7"/>
      <c r="R729" s="7"/>
      <c r="S729" s="7"/>
    </row>
    <row r="730" spans="1:19" ht="14.1" customHeight="1" x14ac:dyDescent="0.2">
      <c r="A730" s="116">
        <f ca="1">IF($H730="UNIDADE CONSTRUTIVA",OFFSET(A730,-1,0)+1,LARGE(A$3:A729,1))</f>
        <v>0</v>
      </c>
      <c r="B730" s="116">
        <f t="shared" ca="1" si="124"/>
        <v>22</v>
      </c>
      <c r="C730" s="116">
        <f t="shared" ca="1" si="125"/>
        <v>1</v>
      </c>
      <c r="D730" s="117">
        <f t="shared" ca="1" si="126"/>
        <v>1</v>
      </c>
      <c r="E730" s="117">
        <f t="shared" ca="1" si="127"/>
        <v>1</v>
      </c>
      <c r="F730" s="438"/>
      <c r="G730" s="7"/>
      <c r="H730" s="7"/>
      <c r="I730" s="7"/>
      <c r="K730" s="7"/>
      <c r="L730" s="7"/>
      <c r="M730" s="7"/>
      <c r="N730" s="7"/>
      <c r="O730" s="7"/>
      <c r="P730" s="7"/>
      <c r="R730" s="7"/>
      <c r="S730" s="7"/>
    </row>
    <row r="731" spans="1:19" ht="14.1" customHeight="1" x14ac:dyDescent="0.2">
      <c r="A731" s="116">
        <f ca="1">IF($H731="UNIDADE CONSTRUTIVA",OFFSET(A731,-1,0)+1,LARGE(A$3:A730,1))</f>
        <v>0</v>
      </c>
      <c r="B731" s="116">
        <f t="shared" ca="1" si="124"/>
        <v>22</v>
      </c>
      <c r="C731" s="116">
        <f t="shared" ca="1" si="125"/>
        <v>1</v>
      </c>
      <c r="D731" s="117">
        <f t="shared" ca="1" si="126"/>
        <v>1</v>
      </c>
      <c r="E731" s="117">
        <f t="shared" ca="1" si="127"/>
        <v>1</v>
      </c>
      <c r="F731" s="438"/>
      <c r="G731" s="7"/>
      <c r="H731" s="7"/>
      <c r="I731" s="7"/>
      <c r="K731" s="7"/>
      <c r="L731" s="7"/>
      <c r="M731" s="7"/>
      <c r="N731" s="7"/>
      <c r="O731" s="7"/>
      <c r="P731" s="7"/>
      <c r="R731" s="7"/>
      <c r="S731" s="7"/>
    </row>
    <row r="732" spans="1:19" ht="14.1" customHeight="1" x14ac:dyDescent="0.2">
      <c r="A732" s="116">
        <f ca="1">IF($H732="UNIDADE CONSTRUTIVA",OFFSET(A732,-1,0)+1,LARGE(A$3:A731,1))</f>
        <v>0</v>
      </c>
      <c r="B732" s="116">
        <f t="shared" ca="1" si="124"/>
        <v>22</v>
      </c>
      <c r="C732" s="116">
        <f t="shared" ca="1" si="125"/>
        <v>1</v>
      </c>
      <c r="D732" s="117">
        <f t="shared" ca="1" si="126"/>
        <v>1</v>
      </c>
      <c r="E732" s="117">
        <f t="shared" ca="1" si="127"/>
        <v>1</v>
      </c>
      <c r="F732" s="438"/>
      <c r="G732" s="7"/>
      <c r="H732" s="7"/>
      <c r="I732" s="7"/>
      <c r="K732" s="7"/>
      <c r="L732" s="7"/>
      <c r="M732" s="7"/>
      <c r="N732" s="7"/>
      <c r="O732" s="7"/>
      <c r="P732" s="7"/>
      <c r="R732" s="7"/>
      <c r="S732" s="7"/>
    </row>
    <row r="733" spans="1:19" ht="14.1" customHeight="1" x14ac:dyDescent="0.2">
      <c r="A733" s="116">
        <f ca="1">IF($H733="UNIDADE CONSTRUTIVA",OFFSET(A733,-1,0)+1,LARGE(A$3:A732,1))</f>
        <v>0</v>
      </c>
      <c r="B733" s="116">
        <f t="shared" ca="1" si="124"/>
        <v>22</v>
      </c>
      <c r="C733" s="116">
        <f t="shared" ca="1" si="125"/>
        <v>1</v>
      </c>
      <c r="D733" s="117">
        <f t="shared" ca="1" si="126"/>
        <v>1</v>
      </c>
      <c r="E733" s="117">
        <f t="shared" ca="1" si="127"/>
        <v>1</v>
      </c>
      <c r="F733" s="438"/>
      <c r="G733" s="7"/>
      <c r="H733" s="7"/>
      <c r="I733" s="7"/>
      <c r="K733" s="7"/>
      <c r="L733" s="7"/>
      <c r="M733" s="7"/>
      <c r="N733" s="7"/>
      <c r="O733" s="7"/>
      <c r="P733" s="7"/>
      <c r="R733" s="7"/>
      <c r="S733" s="7"/>
    </row>
    <row r="734" spans="1:19" ht="14.1" customHeight="1" x14ac:dyDescent="0.2">
      <c r="A734" s="116">
        <f ca="1">IF($H734="UNIDADE CONSTRUTIVA",OFFSET(A734,-1,0)+1,LARGE(A$3:A733,1))</f>
        <v>0</v>
      </c>
      <c r="B734" s="116">
        <f t="shared" ca="1" si="124"/>
        <v>22</v>
      </c>
      <c r="C734" s="116">
        <f t="shared" ca="1" si="125"/>
        <v>1</v>
      </c>
      <c r="D734" s="117">
        <f t="shared" ca="1" si="126"/>
        <v>1</v>
      </c>
      <c r="E734" s="117">
        <f t="shared" ca="1" si="127"/>
        <v>1</v>
      </c>
      <c r="F734" s="438"/>
      <c r="G734" s="7"/>
      <c r="H734" s="7"/>
      <c r="I734" s="7"/>
      <c r="K734" s="7"/>
      <c r="L734" s="7"/>
      <c r="M734" s="7"/>
      <c r="N734" s="7"/>
      <c r="O734" s="7"/>
      <c r="P734" s="7"/>
      <c r="R734" s="7"/>
      <c r="S734" s="7"/>
    </row>
    <row r="735" spans="1:19" ht="14.1" customHeight="1" x14ac:dyDescent="0.2">
      <c r="A735" s="116">
        <f ca="1">IF($H735="UNIDADE CONSTRUTIVA",OFFSET(A735,-1,0)+1,LARGE(A$3:A734,1))</f>
        <v>0</v>
      </c>
      <c r="B735" s="116">
        <f t="shared" ca="1" si="124"/>
        <v>22</v>
      </c>
      <c r="C735" s="116">
        <f t="shared" ca="1" si="125"/>
        <v>1</v>
      </c>
      <c r="D735" s="117">
        <f t="shared" ca="1" si="126"/>
        <v>1</v>
      </c>
      <c r="E735" s="117">
        <f t="shared" ca="1" si="127"/>
        <v>1</v>
      </c>
      <c r="F735" s="438"/>
      <c r="G735" s="7"/>
      <c r="H735" s="7"/>
      <c r="I735" s="7"/>
      <c r="K735" s="7"/>
      <c r="L735" s="7"/>
      <c r="M735" s="7"/>
      <c r="N735" s="7"/>
      <c r="O735" s="7"/>
      <c r="P735" s="7"/>
      <c r="R735" s="7"/>
      <c r="S735" s="7"/>
    </row>
    <row r="736" spans="1:19" ht="14.1" customHeight="1" x14ac:dyDescent="0.2">
      <c r="A736" s="116">
        <f ca="1">IF($H736="UNIDADE CONSTRUTIVA",OFFSET(A736,-1,0)+1,LARGE(A$3:A735,1))</f>
        <v>0</v>
      </c>
      <c r="B736" s="116">
        <f t="shared" ca="1" si="124"/>
        <v>22</v>
      </c>
      <c r="C736" s="116">
        <f t="shared" ca="1" si="125"/>
        <v>1</v>
      </c>
      <c r="D736" s="117">
        <f t="shared" ca="1" si="126"/>
        <v>1</v>
      </c>
      <c r="E736" s="117">
        <f t="shared" ca="1" si="127"/>
        <v>1</v>
      </c>
      <c r="F736" s="438"/>
      <c r="G736" s="7"/>
      <c r="H736" s="7"/>
      <c r="I736" s="7"/>
      <c r="K736" s="7"/>
      <c r="L736" s="7"/>
      <c r="M736" s="7"/>
      <c r="N736" s="7"/>
      <c r="O736" s="7"/>
      <c r="P736" s="7"/>
      <c r="R736" s="7"/>
      <c r="S736" s="7"/>
    </row>
    <row r="737" spans="1:19" ht="14.1" customHeight="1" x14ac:dyDescent="0.2">
      <c r="A737" s="116">
        <f ca="1">IF($H737="UNIDADE CONSTRUTIVA",OFFSET(A737,-1,0)+1,LARGE(A$3:A736,1))</f>
        <v>0</v>
      </c>
      <c r="B737" s="116">
        <f t="shared" ca="1" si="124"/>
        <v>22</v>
      </c>
      <c r="C737" s="116">
        <f t="shared" ca="1" si="125"/>
        <v>1</v>
      </c>
      <c r="D737" s="117">
        <f t="shared" ca="1" si="126"/>
        <v>1</v>
      </c>
      <c r="E737" s="117">
        <f t="shared" ca="1" si="127"/>
        <v>1</v>
      </c>
      <c r="F737" s="438"/>
      <c r="G737" s="7"/>
      <c r="H737" s="7"/>
      <c r="I737" s="7"/>
      <c r="K737" s="7"/>
      <c r="L737" s="7"/>
      <c r="M737" s="7"/>
      <c r="N737" s="7"/>
      <c r="O737" s="7"/>
      <c r="P737" s="7"/>
      <c r="R737" s="7"/>
      <c r="S737" s="7"/>
    </row>
    <row r="738" spans="1:19" ht="14.1" customHeight="1" x14ac:dyDescent="0.2">
      <c r="A738" s="116">
        <f ca="1">IF($H738="UNIDADE CONSTRUTIVA",OFFSET(A738,-1,0)+1,LARGE(A$3:A737,1))</f>
        <v>0</v>
      </c>
      <c r="B738" s="116">
        <f t="shared" ca="1" si="124"/>
        <v>22</v>
      </c>
      <c r="C738" s="116">
        <f t="shared" ca="1" si="125"/>
        <v>1</v>
      </c>
      <c r="D738" s="117">
        <f t="shared" ca="1" si="126"/>
        <v>1</v>
      </c>
      <c r="E738" s="117">
        <f t="shared" ca="1" si="127"/>
        <v>1</v>
      </c>
      <c r="F738" s="438"/>
      <c r="G738" s="7"/>
      <c r="H738" s="7"/>
      <c r="I738" s="7"/>
      <c r="K738" s="7"/>
      <c r="L738" s="7"/>
      <c r="M738" s="7"/>
      <c r="N738" s="7"/>
      <c r="O738" s="7"/>
      <c r="P738" s="7"/>
      <c r="R738" s="7"/>
      <c r="S738" s="7"/>
    </row>
    <row r="739" spans="1:19" ht="14.1" customHeight="1" x14ac:dyDescent="0.2">
      <c r="A739" s="116">
        <f ca="1">IF($H739="UNIDADE CONSTRUTIVA",OFFSET(A739,-1,0)+1,LARGE(A$3:A738,1))</f>
        <v>0</v>
      </c>
      <c r="B739" s="116">
        <f t="shared" ca="1" si="124"/>
        <v>22</v>
      </c>
      <c r="C739" s="116">
        <f t="shared" ca="1" si="125"/>
        <v>1</v>
      </c>
      <c r="D739" s="117">
        <f t="shared" ca="1" si="126"/>
        <v>1</v>
      </c>
      <c r="E739" s="117">
        <f t="shared" ca="1" si="127"/>
        <v>1</v>
      </c>
      <c r="F739" s="438"/>
      <c r="G739" s="7"/>
      <c r="H739" s="7"/>
      <c r="I739" s="7"/>
      <c r="K739" s="7"/>
      <c r="L739" s="7"/>
      <c r="M739" s="7"/>
      <c r="N739" s="7"/>
      <c r="O739" s="7"/>
      <c r="P739" s="7"/>
      <c r="R739" s="7"/>
      <c r="S739" s="7"/>
    </row>
    <row r="740" spans="1:19" ht="14.1" customHeight="1" x14ac:dyDescent="0.2">
      <c r="A740" s="116">
        <f ca="1">IF($H740="UNIDADE CONSTRUTIVA",OFFSET(A740,-1,0)+1,LARGE(A$3:A739,1))</f>
        <v>0</v>
      </c>
      <c r="B740" s="116">
        <f t="shared" ca="1" si="124"/>
        <v>22</v>
      </c>
      <c r="C740" s="116">
        <f t="shared" ca="1" si="125"/>
        <v>1</v>
      </c>
      <c r="D740" s="117">
        <f t="shared" ca="1" si="126"/>
        <v>1</v>
      </c>
      <c r="E740" s="117">
        <f t="shared" ca="1" si="127"/>
        <v>1</v>
      </c>
      <c r="F740" s="438"/>
      <c r="G740" s="7"/>
      <c r="H740" s="7"/>
      <c r="I740" s="7"/>
      <c r="K740" s="7"/>
      <c r="L740" s="7"/>
      <c r="M740" s="7"/>
      <c r="N740" s="7"/>
      <c r="O740" s="7"/>
      <c r="P740" s="7"/>
      <c r="R740" s="7"/>
      <c r="S740" s="7"/>
    </row>
    <row r="741" spans="1:19" ht="14.1" customHeight="1" x14ac:dyDescent="0.2">
      <c r="A741" s="116">
        <f ca="1">IF($H741="UNIDADE CONSTRUTIVA",OFFSET(A741,-1,0)+1,LARGE(A$3:A740,1))</f>
        <v>0</v>
      </c>
      <c r="B741" s="116">
        <f t="shared" ca="1" si="124"/>
        <v>22</v>
      </c>
      <c r="C741" s="116">
        <f t="shared" ca="1" si="125"/>
        <v>1</v>
      </c>
      <c r="D741" s="117">
        <f t="shared" ca="1" si="126"/>
        <v>1</v>
      </c>
      <c r="E741" s="117">
        <f t="shared" ca="1" si="127"/>
        <v>1</v>
      </c>
      <c r="F741" s="438"/>
      <c r="G741" s="7"/>
      <c r="H741" s="7"/>
      <c r="I741" s="7"/>
      <c r="K741" s="7"/>
      <c r="L741" s="7"/>
      <c r="M741" s="7"/>
      <c r="N741" s="7"/>
      <c r="O741" s="7"/>
      <c r="P741" s="7"/>
      <c r="R741" s="7"/>
      <c r="S741" s="7"/>
    </row>
    <row r="742" spans="1:19" ht="14.1" customHeight="1" x14ac:dyDescent="0.2">
      <c r="A742" s="116">
        <f ca="1">IF($H742="UNIDADE CONSTRUTIVA",OFFSET(A742,-1,0)+1,LARGE(A$3:A741,1))</f>
        <v>0</v>
      </c>
      <c r="B742" s="116">
        <f t="shared" ca="1" si="124"/>
        <v>22</v>
      </c>
      <c r="C742" s="116">
        <f t="shared" ca="1" si="125"/>
        <v>1</v>
      </c>
      <c r="D742" s="117">
        <f t="shared" ca="1" si="126"/>
        <v>1</v>
      </c>
      <c r="E742" s="117">
        <f t="shared" ca="1" si="127"/>
        <v>1</v>
      </c>
      <c r="F742" s="438"/>
      <c r="G742" s="7"/>
      <c r="H742" s="7"/>
      <c r="I742" s="7"/>
      <c r="K742" s="7"/>
      <c r="L742" s="7"/>
      <c r="M742" s="7"/>
      <c r="N742" s="7"/>
      <c r="O742" s="7"/>
      <c r="P742" s="7"/>
      <c r="R742" s="7"/>
      <c r="S742" s="7"/>
    </row>
    <row r="743" spans="1:19" ht="14.1" customHeight="1" x14ac:dyDescent="0.2">
      <c r="A743" s="116">
        <f ca="1">IF($H743="UNIDADE CONSTRUTIVA",OFFSET(A743,-1,0)+1,LARGE(A$3:A742,1))</f>
        <v>0</v>
      </c>
      <c r="B743" s="116">
        <f t="shared" ca="1" si="124"/>
        <v>22</v>
      </c>
      <c r="C743" s="116">
        <f t="shared" ca="1" si="125"/>
        <v>1</v>
      </c>
      <c r="D743" s="117">
        <f t="shared" ca="1" si="126"/>
        <v>1</v>
      </c>
      <c r="E743" s="117">
        <f t="shared" ca="1" si="127"/>
        <v>1</v>
      </c>
      <c r="F743" s="438"/>
      <c r="G743" s="7"/>
      <c r="H743" s="7"/>
      <c r="I743" s="7"/>
      <c r="K743" s="7"/>
      <c r="L743" s="7"/>
      <c r="M743" s="7"/>
      <c r="N743" s="7"/>
      <c r="O743" s="7"/>
      <c r="P743" s="7"/>
      <c r="R743" s="7"/>
      <c r="S743" s="7"/>
    </row>
    <row r="744" spans="1:19" ht="14.1" customHeight="1" x14ac:dyDescent="0.2">
      <c r="A744" s="116">
        <f ca="1">IF($H744="UNIDADE CONSTRUTIVA",OFFSET(A744,-1,0)+1,LARGE(A$3:A743,1))</f>
        <v>0</v>
      </c>
      <c r="B744" s="116">
        <f t="shared" ca="1" si="124"/>
        <v>22</v>
      </c>
      <c r="C744" s="116">
        <f t="shared" ca="1" si="125"/>
        <v>1</v>
      </c>
      <c r="D744" s="117">
        <f t="shared" ca="1" si="126"/>
        <v>1</v>
      </c>
      <c r="E744" s="117">
        <f t="shared" ca="1" si="127"/>
        <v>1</v>
      </c>
      <c r="F744" s="438"/>
      <c r="G744" s="7"/>
      <c r="H744" s="7"/>
      <c r="I744" s="7"/>
      <c r="K744" s="7"/>
      <c r="L744" s="7"/>
      <c r="M744" s="7"/>
      <c r="N744" s="7"/>
      <c r="O744" s="7"/>
      <c r="P744" s="7"/>
      <c r="R744" s="7"/>
      <c r="S744" s="7"/>
    </row>
    <row r="745" spans="1:19" ht="14.1" customHeight="1" x14ac:dyDescent="0.2">
      <c r="A745" s="116">
        <f ca="1">IF($H745="UNIDADE CONSTRUTIVA",OFFSET(A745,-1,0)+1,LARGE(A$3:A744,1))</f>
        <v>0</v>
      </c>
      <c r="B745" s="116">
        <f t="shared" ca="1" si="124"/>
        <v>22</v>
      </c>
      <c r="C745" s="116">
        <f t="shared" ca="1" si="125"/>
        <v>1</v>
      </c>
      <c r="D745" s="117">
        <f t="shared" ca="1" si="126"/>
        <v>1</v>
      </c>
      <c r="E745" s="117">
        <f t="shared" ca="1" si="127"/>
        <v>1</v>
      </c>
      <c r="F745" s="438"/>
      <c r="G745" s="7"/>
      <c r="H745" s="7"/>
      <c r="I745" s="7"/>
      <c r="K745" s="7"/>
      <c r="L745" s="7"/>
      <c r="M745" s="7"/>
      <c r="N745" s="7"/>
      <c r="O745" s="7"/>
      <c r="P745" s="7"/>
      <c r="R745" s="7"/>
      <c r="S745" s="7"/>
    </row>
    <row r="746" spans="1:19" ht="14.1" customHeight="1" x14ac:dyDescent="0.2">
      <c r="A746" s="116">
        <f ca="1">IF($H746="UNIDADE CONSTRUTIVA",OFFSET(A746,-1,0)+1,LARGE(A$3:A745,1))</f>
        <v>0</v>
      </c>
      <c r="B746" s="116">
        <f t="shared" ca="1" si="124"/>
        <v>22</v>
      </c>
      <c r="C746" s="116">
        <f t="shared" ca="1" si="125"/>
        <v>1</v>
      </c>
      <c r="D746" s="117">
        <f t="shared" ca="1" si="126"/>
        <v>1</v>
      </c>
      <c r="E746" s="117">
        <f t="shared" ca="1" si="127"/>
        <v>1</v>
      </c>
      <c r="F746" s="438"/>
      <c r="G746" s="7"/>
      <c r="H746" s="7"/>
      <c r="I746" s="7"/>
      <c r="K746" s="7"/>
      <c r="L746" s="7"/>
      <c r="M746" s="7"/>
      <c r="N746" s="7"/>
      <c r="O746" s="7"/>
      <c r="P746" s="7"/>
      <c r="R746" s="7"/>
      <c r="S746" s="7"/>
    </row>
    <row r="747" spans="1:19" ht="14.1" customHeight="1" x14ac:dyDescent="0.2">
      <c r="A747" s="116">
        <f ca="1">IF($H747="UNIDADE CONSTRUTIVA",OFFSET(A747,-1,0)+1,LARGE(A$3:A746,1))</f>
        <v>0</v>
      </c>
      <c r="B747" s="116">
        <f t="shared" ca="1" si="124"/>
        <v>22</v>
      </c>
      <c r="C747" s="116">
        <f t="shared" ca="1" si="125"/>
        <v>1</v>
      </c>
      <c r="D747" s="117">
        <f t="shared" ca="1" si="126"/>
        <v>1</v>
      </c>
      <c r="E747" s="117">
        <f t="shared" ca="1" si="127"/>
        <v>1</v>
      </c>
      <c r="F747" s="438"/>
      <c r="G747" s="7"/>
      <c r="H747" s="7"/>
      <c r="I747" s="7"/>
      <c r="K747" s="7"/>
      <c r="L747" s="7"/>
      <c r="M747" s="7"/>
      <c r="N747" s="7"/>
      <c r="O747" s="7"/>
      <c r="P747" s="7"/>
      <c r="R747" s="7"/>
      <c r="S747" s="7"/>
    </row>
    <row r="748" spans="1:19" ht="14.1" customHeight="1" x14ac:dyDescent="0.2">
      <c r="A748" s="116">
        <f ca="1">IF($H748="UNIDADE CONSTRUTIVA",OFFSET(A748,-1,0)+1,LARGE(A$3:A747,1))</f>
        <v>0</v>
      </c>
      <c r="B748" s="116">
        <f t="shared" ca="1" si="124"/>
        <v>22</v>
      </c>
      <c r="C748" s="116">
        <f t="shared" ca="1" si="125"/>
        <v>1</v>
      </c>
      <c r="D748" s="117">
        <f t="shared" ca="1" si="126"/>
        <v>1</v>
      </c>
      <c r="E748" s="117">
        <f t="shared" ca="1" si="127"/>
        <v>1</v>
      </c>
      <c r="F748" s="438"/>
      <c r="G748" s="7"/>
      <c r="H748" s="7"/>
      <c r="I748" s="7"/>
      <c r="K748" s="7"/>
      <c r="L748" s="7"/>
      <c r="M748" s="7"/>
      <c r="N748" s="7"/>
      <c r="O748" s="7"/>
      <c r="P748" s="7"/>
      <c r="R748" s="7"/>
      <c r="S748" s="7"/>
    </row>
    <row r="749" spans="1:19" ht="14.1" customHeight="1" x14ac:dyDescent="0.2">
      <c r="A749" s="116">
        <f ca="1">IF($H749="UNIDADE CONSTRUTIVA",OFFSET(A749,-1,0)+1,LARGE(A$3:A748,1))</f>
        <v>0</v>
      </c>
      <c r="B749" s="116">
        <f t="shared" ca="1" si="124"/>
        <v>22</v>
      </c>
      <c r="C749" s="116">
        <f t="shared" ca="1" si="125"/>
        <v>1</v>
      </c>
      <c r="D749" s="117">
        <f t="shared" ca="1" si="126"/>
        <v>1</v>
      </c>
      <c r="E749" s="117">
        <f t="shared" ca="1" si="127"/>
        <v>1</v>
      </c>
      <c r="F749" s="438"/>
      <c r="G749" s="7"/>
      <c r="H749" s="7"/>
      <c r="I749" s="7"/>
      <c r="K749" s="7"/>
      <c r="L749" s="7"/>
      <c r="M749" s="7"/>
      <c r="N749" s="7"/>
      <c r="O749" s="7"/>
      <c r="P749" s="7"/>
      <c r="R749" s="7"/>
      <c r="S749" s="7"/>
    </row>
    <row r="750" spans="1:19" ht="14.1" customHeight="1" x14ac:dyDescent="0.2">
      <c r="A750" s="116">
        <f ca="1">IF($H750="UNIDADE CONSTRUTIVA",OFFSET(A750,-1,0)+1,LARGE(A$3:A749,1))</f>
        <v>0</v>
      </c>
      <c r="B750" s="116">
        <f t="shared" ref="B750:B813" ca="1" si="128">IF(H750="UNIDADE CONSTRUTIVA",0,IF(H750="CÉLULA CONSTRUTIVA",OFFSET(B750,-1,0)+1,OFFSET(B750,-1,0)))</f>
        <v>22</v>
      </c>
      <c r="C750" s="116">
        <f t="shared" ref="C750:C813" ca="1" si="129">IF(H750="CÉLULA CONSTRUTIVA",0,IF(H750="ETAPA",OFFSET(C750,-1,0)+1,OFFSET(C750,-1,0)))</f>
        <v>1</v>
      </c>
      <c r="D750" s="117">
        <f t="shared" ref="D750:D813" ca="1" si="130">IF(H750="ETAPA",0,IF(H750="SUBETAPA",OFFSET(D750,-1,0)+1,OFFSET(D750,-1,0)))</f>
        <v>1</v>
      </c>
      <c r="E750" s="117">
        <f t="shared" ref="E750:E813" ca="1" si="131">IF(H750="Subetapa",0,IF(H750="serviço",OFFSET(E750,-1,0)+1,OFFSET(E750,-1,0)))</f>
        <v>1</v>
      </c>
      <c r="F750" s="438"/>
      <c r="G750" s="7"/>
      <c r="H750" s="7"/>
      <c r="I750" s="7"/>
      <c r="K750" s="7"/>
      <c r="L750" s="7"/>
      <c r="M750" s="7"/>
      <c r="N750" s="7"/>
      <c r="O750" s="7"/>
      <c r="P750" s="7"/>
      <c r="R750" s="7"/>
      <c r="S750" s="7"/>
    </row>
    <row r="751" spans="1:19" ht="14.1" customHeight="1" x14ac:dyDescent="0.2">
      <c r="A751" s="116">
        <f ca="1">IF($H751="UNIDADE CONSTRUTIVA",OFFSET(A751,-1,0)+1,LARGE(A$3:A750,1))</f>
        <v>0</v>
      </c>
      <c r="B751" s="116">
        <f t="shared" ca="1" si="128"/>
        <v>22</v>
      </c>
      <c r="C751" s="116">
        <f t="shared" ca="1" si="129"/>
        <v>1</v>
      </c>
      <c r="D751" s="117">
        <f t="shared" ca="1" si="130"/>
        <v>1</v>
      </c>
      <c r="E751" s="117">
        <f t="shared" ca="1" si="131"/>
        <v>1</v>
      </c>
      <c r="F751" s="438"/>
      <c r="G751" s="7"/>
      <c r="H751" s="7"/>
      <c r="I751" s="7"/>
      <c r="K751" s="7"/>
      <c r="L751" s="7"/>
      <c r="M751" s="7"/>
      <c r="N751" s="7"/>
      <c r="O751" s="7"/>
      <c r="P751" s="7"/>
      <c r="R751" s="7"/>
      <c r="S751" s="7"/>
    </row>
    <row r="752" spans="1:19" ht="14.1" customHeight="1" x14ac:dyDescent="0.2">
      <c r="A752" s="116">
        <f ca="1">IF($H752="UNIDADE CONSTRUTIVA",OFFSET(A752,-1,0)+1,LARGE(A$3:A751,1))</f>
        <v>0</v>
      </c>
      <c r="B752" s="116">
        <f t="shared" ca="1" si="128"/>
        <v>22</v>
      </c>
      <c r="C752" s="116">
        <f t="shared" ca="1" si="129"/>
        <v>1</v>
      </c>
      <c r="D752" s="117">
        <f t="shared" ca="1" si="130"/>
        <v>1</v>
      </c>
      <c r="E752" s="117">
        <f t="shared" ca="1" si="131"/>
        <v>1</v>
      </c>
      <c r="F752" s="438"/>
      <c r="G752" s="7"/>
      <c r="H752" s="7"/>
      <c r="I752" s="7"/>
      <c r="K752" s="7"/>
      <c r="L752" s="7"/>
      <c r="M752" s="7"/>
      <c r="N752" s="7"/>
      <c r="O752" s="7"/>
      <c r="P752" s="7"/>
      <c r="R752" s="7"/>
      <c r="S752" s="7"/>
    </row>
    <row r="753" spans="1:19" ht="14.1" customHeight="1" x14ac:dyDescent="0.2">
      <c r="A753" s="116">
        <f ca="1">IF($H753="UNIDADE CONSTRUTIVA",OFFSET(A753,-1,0)+1,LARGE(A$3:A752,1))</f>
        <v>0</v>
      </c>
      <c r="B753" s="116">
        <f t="shared" ca="1" si="128"/>
        <v>22</v>
      </c>
      <c r="C753" s="116">
        <f t="shared" ca="1" si="129"/>
        <v>1</v>
      </c>
      <c r="D753" s="117">
        <f t="shared" ca="1" si="130"/>
        <v>1</v>
      </c>
      <c r="E753" s="117">
        <f t="shared" ca="1" si="131"/>
        <v>1</v>
      </c>
      <c r="F753" s="438"/>
      <c r="G753" s="7"/>
      <c r="H753" s="7"/>
      <c r="I753" s="7"/>
      <c r="K753" s="7"/>
      <c r="L753" s="7"/>
      <c r="M753" s="7"/>
      <c r="N753" s="7"/>
      <c r="O753" s="7"/>
      <c r="P753" s="7"/>
      <c r="R753" s="7"/>
      <c r="S753" s="7"/>
    </row>
    <row r="754" spans="1:19" ht="14.1" customHeight="1" x14ac:dyDescent="0.2">
      <c r="A754" s="116">
        <f ca="1">IF($H754="UNIDADE CONSTRUTIVA",OFFSET(A754,-1,0)+1,LARGE(A$3:A753,1))</f>
        <v>0</v>
      </c>
      <c r="B754" s="116">
        <f t="shared" ca="1" si="128"/>
        <v>22</v>
      </c>
      <c r="C754" s="116">
        <f t="shared" ca="1" si="129"/>
        <v>1</v>
      </c>
      <c r="D754" s="117">
        <f t="shared" ca="1" si="130"/>
        <v>1</v>
      </c>
      <c r="E754" s="117">
        <f t="shared" ca="1" si="131"/>
        <v>1</v>
      </c>
      <c r="F754" s="438"/>
      <c r="G754" s="7"/>
      <c r="H754" s="7"/>
      <c r="I754" s="7"/>
      <c r="K754" s="7"/>
      <c r="L754" s="7"/>
      <c r="M754" s="7"/>
      <c r="N754" s="7"/>
      <c r="O754" s="7"/>
      <c r="P754" s="7"/>
      <c r="R754" s="7"/>
      <c r="S754" s="7"/>
    </row>
    <row r="755" spans="1:19" ht="14.1" customHeight="1" x14ac:dyDescent="0.2">
      <c r="A755" s="116">
        <f ca="1">IF($H755="UNIDADE CONSTRUTIVA",OFFSET(A755,-1,0)+1,LARGE(A$3:A754,1))</f>
        <v>0</v>
      </c>
      <c r="B755" s="116">
        <f t="shared" ca="1" si="128"/>
        <v>22</v>
      </c>
      <c r="C755" s="116">
        <f t="shared" ca="1" si="129"/>
        <v>1</v>
      </c>
      <c r="D755" s="117">
        <f t="shared" ca="1" si="130"/>
        <v>1</v>
      </c>
      <c r="E755" s="117">
        <f t="shared" ca="1" si="131"/>
        <v>1</v>
      </c>
      <c r="F755" s="438"/>
      <c r="G755" s="7"/>
      <c r="H755" s="7"/>
      <c r="I755" s="7"/>
      <c r="K755" s="7"/>
      <c r="L755" s="7"/>
      <c r="M755" s="7"/>
      <c r="N755" s="7"/>
      <c r="O755" s="7"/>
      <c r="P755" s="7"/>
      <c r="R755" s="7"/>
      <c r="S755" s="7"/>
    </row>
    <row r="756" spans="1:19" ht="14.1" customHeight="1" x14ac:dyDescent="0.2">
      <c r="A756" s="116">
        <f ca="1">IF($H756="UNIDADE CONSTRUTIVA",OFFSET(A756,-1,0)+1,LARGE(A$3:A755,1))</f>
        <v>0</v>
      </c>
      <c r="B756" s="116">
        <f t="shared" ca="1" si="128"/>
        <v>22</v>
      </c>
      <c r="C756" s="116">
        <f t="shared" ca="1" si="129"/>
        <v>1</v>
      </c>
      <c r="D756" s="117">
        <f t="shared" ca="1" si="130"/>
        <v>1</v>
      </c>
      <c r="E756" s="117">
        <f t="shared" ca="1" si="131"/>
        <v>1</v>
      </c>
      <c r="F756" s="438"/>
      <c r="G756" s="7"/>
      <c r="H756" s="7"/>
      <c r="I756" s="7"/>
      <c r="K756" s="7"/>
      <c r="L756" s="7"/>
      <c r="M756" s="7"/>
      <c r="N756" s="7"/>
      <c r="O756" s="7"/>
      <c r="P756" s="7"/>
      <c r="R756" s="7"/>
      <c r="S756" s="7"/>
    </row>
    <row r="757" spans="1:19" ht="14.1" customHeight="1" x14ac:dyDescent="0.2">
      <c r="A757" s="116">
        <f ca="1">IF($H757="UNIDADE CONSTRUTIVA",OFFSET(A757,-1,0)+1,LARGE(A$3:A756,1))</f>
        <v>0</v>
      </c>
      <c r="B757" s="116">
        <f t="shared" ca="1" si="128"/>
        <v>22</v>
      </c>
      <c r="C757" s="116">
        <f t="shared" ca="1" si="129"/>
        <v>1</v>
      </c>
      <c r="D757" s="117">
        <f t="shared" ca="1" si="130"/>
        <v>1</v>
      </c>
      <c r="E757" s="117">
        <f t="shared" ca="1" si="131"/>
        <v>1</v>
      </c>
      <c r="F757" s="438"/>
      <c r="G757" s="7"/>
      <c r="H757" s="7"/>
      <c r="I757" s="7"/>
      <c r="K757" s="7"/>
      <c r="L757" s="7"/>
      <c r="M757" s="7"/>
      <c r="N757" s="7"/>
      <c r="O757" s="7"/>
      <c r="P757" s="7"/>
      <c r="R757" s="7"/>
      <c r="S757" s="7"/>
    </row>
    <row r="758" spans="1:19" ht="14.1" customHeight="1" x14ac:dyDescent="0.2">
      <c r="A758" s="116">
        <f ca="1">IF($H758="UNIDADE CONSTRUTIVA",OFFSET(A758,-1,0)+1,LARGE(A$3:A757,1))</f>
        <v>0</v>
      </c>
      <c r="B758" s="116">
        <f t="shared" ca="1" si="128"/>
        <v>22</v>
      </c>
      <c r="C758" s="116">
        <f t="shared" ca="1" si="129"/>
        <v>1</v>
      </c>
      <c r="D758" s="117">
        <f t="shared" ca="1" si="130"/>
        <v>1</v>
      </c>
      <c r="E758" s="117">
        <f t="shared" ca="1" si="131"/>
        <v>1</v>
      </c>
      <c r="F758" s="438"/>
      <c r="G758" s="7"/>
      <c r="H758" s="7"/>
      <c r="I758" s="7"/>
      <c r="K758" s="7"/>
      <c r="L758" s="7"/>
      <c r="M758" s="7"/>
      <c r="N758" s="7"/>
      <c r="O758" s="7"/>
      <c r="P758" s="7"/>
      <c r="R758" s="7"/>
      <c r="S758" s="7"/>
    </row>
    <row r="759" spans="1:19" ht="14.1" customHeight="1" x14ac:dyDescent="0.2">
      <c r="A759" s="116">
        <f ca="1">IF($H759="UNIDADE CONSTRUTIVA",OFFSET(A759,-1,0)+1,LARGE(A$3:A758,1))</f>
        <v>0</v>
      </c>
      <c r="B759" s="116">
        <f t="shared" ca="1" si="128"/>
        <v>22</v>
      </c>
      <c r="C759" s="116">
        <f t="shared" ca="1" si="129"/>
        <v>1</v>
      </c>
      <c r="D759" s="117">
        <f t="shared" ca="1" si="130"/>
        <v>1</v>
      </c>
      <c r="E759" s="117">
        <f t="shared" ca="1" si="131"/>
        <v>1</v>
      </c>
      <c r="F759" s="438"/>
      <c r="G759" s="7"/>
      <c r="H759" s="7"/>
      <c r="I759" s="7"/>
      <c r="K759" s="7"/>
      <c r="L759" s="7"/>
      <c r="M759" s="7"/>
      <c r="N759" s="7"/>
      <c r="O759" s="7"/>
      <c r="P759" s="7"/>
      <c r="R759" s="7"/>
      <c r="S759" s="7"/>
    </row>
    <row r="760" spans="1:19" ht="14.1" customHeight="1" x14ac:dyDescent="0.2">
      <c r="A760" s="116">
        <f ca="1">IF($H760="UNIDADE CONSTRUTIVA",OFFSET(A760,-1,0)+1,LARGE(A$3:A759,1))</f>
        <v>0</v>
      </c>
      <c r="B760" s="116">
        <f t="shared" ca="1" si="128"/>
        <v>22</v>
      </c>
      <c r="C760" s="116">
        <f t="shared" ca="1" si="129"/>
        <v>1</v>
      </c>
      <c r="D760" s="117">
        <f t="shared" ca="1" si="130"/>
        <v>1</v>
      </c>
      <c r="E760" s="117">
        <f t="shared" ca="1" si="131"/>
        <v>1</v>
      </c>
      <c r="F760" s="438"/>
      <c r="G760" s="7"/>
      <c r="H760" s="7"/>
      <c r="I760" s="7"/>
      <c r="K760" s="7"/>
      <c r="L760" s="7"/>
      <c r="M760" s="7"/>
      <c r="N760" s="7"/>
      <c r="O760" s="7"/>
      <c r="P760" s="7"/>
      <c r="R760" s="7"/>
      <c r="S760" s="7"/>
    </row>
    <row r="761" spans="1:19" ht="14.1" customHeight="1" x14ac:dyDescent="0.2">
      <c r="A761" s="116">
        <f ca="1">IF($H761="UNIDADE CONSTRUTIVA",OFFSET(A761,-1,0)+1,LARGE(A$3:A760,1))</f>
        <v>0</v>
      </c>
      <c r="B761" s="116">
        <f t="shared" ca="1" si="128"/>
        <v>22</v>
      </c>
      <c r="C761" s="116">
        <f t="shared" ca="1" si="129"/>
        <v>1</v>
      </c>
      <c r="D761" s="117">
        <f t="shared" ca="1" si="130"/>
        <v>1</v>
      </c>
      <c r="E761" s="117">
        <f t="shared" ca="1" si="131"/>
        <v>1</v>
      </c>
      <c r="F761" s="438"/>
      <c r="G761" s="7"/>
      <c r="H761" s="7"/>
      <c r="I761" s="7"/>
      <c r="K761" s="7"/>
      <c r="L761" s="7"/>
      <c r="M761" s="7"/>
      <c r="N761" s="7"/>
      <c r="O761" s="7"/>
      <c r="P761" s="7"/>
      <c r="R761" s="7"/>
      <c r="S761" s="7"/>
    </row>
    <row r="762" spans="1:19" ht="14.1" customHeight="1" x14ac:dyDescent="0.2">
      <c r="A762" s="116">
        <f ca="1">IF($H762="UNIDADE CONSTRUTIVA",OFFSET(A762,-1,0)+1,LARGE(A$3:A761,1))</f>
        <v>0</v>
      </c>
      <c r="B762" s="116">
        <f t="shared" ca="1" si="128"/>
        <v>22</v>
      </c>
      <c r="C762" s="116">
        <f t="shared" ca="1" si="129"/>
        <v>1</v>
      </c>
      <c r="D762" s="117">
        <f t="shared" ca="1" si="130"/>
        <v>1</v>
      </c>
      <c r="E762" s="117">
        <f t="shared" ca="1" si="131"/>
        <v>1</v>
      </c>
      <c r="F762" s="438"/>
      <c r="G762" s="7"/>
      <c r="H762" s="7"/>
      <c r="I762" s="7"/>
      <c r="K762" s="7"/>
      <c r="L762" s="7"/>
      <c r="M762" s="7"/>
      <c r="N762" s="7"/>
      <c r="O762" s="7"/>
      <c r="P762" s="7"/>
      <c r="R762" s="7"/>
      <c r="S762" s="7"/>
    </row>
    <row r="763" spans="1:19" ht="14.1" customHeight="1" x14ac:dyDescent="0.2">
      <c r="A763" s="116">
        <f ca="1">IF($H763="UNIDADE CONSTRUTIVA",OFFSET(A763,-1,0)+1,LARGE(A$3:A762,1))</f>
        <v>0</v>
      </c>
      <c r="B763" s="116">
        <f t="shared" ca="1" si="128"/>
        <v>22</v>
      </c>
      <c r="C763" s="116">
        <f t="shared" ca="1" si="129"/>
        <v>1</v>
      </c>
      <c r="D763" s="117">
        <f t="shared" ca="1" si="130"/>
        <v>1</v>
      </c>
      <c r="E763" s="117">
        <f t="shared" ca="1" si="131"/>
        <v>1</v>
      </c>
      <c r="F763" s="438"/>
      <c r="G763" s="7"/>
      <c r="H763" s="7"/>
      <c r="I763" s="7"/>
      <c r="K763" s="7"/>
      <c r="L763" s="7"/>
      <c r="M763" s="7"/>
      <c r="N763" s="7"/>
      <c r="O763" s="7"/>
      <c r="P763" s="7"/>
      <c r="R763" s="7"/>
      <c r="S763" s="7"/>
    </row>
    <row r="764" spans="1:19" ht="14.1" customHeight="1" x14ac:dyDescent="0.2">
      <c r="A764" s="116">
        <f ca="1">IF($H764="UNIDADE CONSTRUTIVA",OFFSET(A764,-1,0)+1,LARGE(A$3:A763,1))</f>
        <v>0</v>
      </c>
      <c r="B764" s="116">
        <f t="shared" ca="1" si="128"/>
        <v>22</v>
      </c>
      <c r="C764" s="116">
        <f t="shared" ca="1" si="129"/>
        <v>1</v>
      </c>
      <c r="D764" s="117">
        <f t="shared" ca="1" si="130"/>
        <v>1</v>
      </c>
      <c r="E764" s="117">
        <f t="shared" ca="1" si="131"/>
        <v>1</v>
      </c>
      <c r="F764" s="438"/>
      <c r="G764" s="7"/>
      <c r="H764" s="7"/>
      <c r="I764" s="7"/>
      <c r="K764" s="7"/>
      <c r="L764" s="7"/>
      <c r="M764" s="7"/>
      <c r="N764" s="7"/>
      <c r="O764" s="7"/>
      <c r="P764" s="7"/>
      <c r="R764" s="7"/>
      <c r="S764" s="7"/>
    </row>
    <row r="765" spans="1:19" ht="14.1" customHeight="1" x14ac:dyDescent="0.2">
      <c r="A765" s="116">
        <f ca="1">IF($H765="UNIDADE CONSTRUTIVA",OFFSET(A765,-1,0)+1,LARGE(A$3:A764,1))</f>
        <v>0</v>
      </c>
      <c r="B765" s="116">
        <f t="shared" ca="1" si="128"/>
        <v>22</v>
      </c>
      <c r="C765" s="116">
        <f t="shared" ca="1" si="129"/>
        <v>1</v>
      </c>
      <c r="D765" s="117">
        <f t="shared" ca="1" si="130"/>
        <v>1</v>
      </c>
      <c r="E765" s="117">
        <f t="shared" ca="1" si="131"/>
        <v>1</v>
      </c>
      <c r="F765" s="438"/>
      <c r="G765" s="7"/>
      <c r="H765" s="7"/>
      <c r="I765" s="7"/>
      <c r="K765" s="7"/>
      <c r="L765" s="7"/>
      <c r="M765" s="7"/>
      <c r="N765" s="7"/>
      <c r="O765" s="7"/>
      <c r="P765" s="7"/>
      <c r="R765" s="7"/>
      <c r="S765" s="7"/>
    </row>
    <row r="766" spans="1:19" ht="14.1" customHeight="1" x14ac:dyDescent="0.2">
      <c r="A766" s="116">
        <f ca="1">IF($H766="UNIDADE CONSTRUTIVA",OFFSET(A766,-1,0)+1,LARGE(A$3:A765,1))</f>
        <v>0</v>
      </c>
      <c r="B766" s="116">
        <f t="shared" ca="1" si="128"/>
        <v>22</v>
      </c>
      <c r="C766" s="116">
        <f t="shared" ca="1" si="129"/>
        <v>1</v>
      </c>
      <c r="D766" s="117">
        <f t="shared" ca="1" si="130"/>
        <v>1</v>
      </c>
      <c r="E766" s="117">
        <f t="shared" ca="1" si="131"/>
        <v>1</v>
      </c>
      <c r="F766" s="438"/>
      <c r="G766" s="7"/>
      <c r="H766" s="7"/>
      <c r="I766" s="7"/>
      <c r="K766" s="7"/>
      <c r="L766" s="7"/>
      <c r="M766" s="7"/>
      <c r="N766" s="7"/>
      <c r="O766" s="7"/>
      <c r="P766" s="7"/>
      <c r="R766" s="7"/>
      <c r="S766" s="7"/>
    </row>
    <row r="767" spans="1:19" ht="14.1" customHeight="1" x14ac:dyDescent="0.2">
      <c r="A767" s="116">
        <f ca="1">IF($H767="UNIDADE CONSTRUTIVA",OFFSET(A767,-1,0)+1,LARGE(A$3:A766,1))</f>
        <v>0</v>
      </c>
      <c r="B767" s="116">
        <f t="shared" ca="1" si="128"/>
        <v>22</v>
      </c>
      <c r="C767" s="116">
        <f t="shared" ca="1" si="129"/>
        <v>1</v>
      </c>
      <c r="D767" s="117">
        <f t="shared" ca="1" si="130"/>
        <v>1</v>
      </c>
      <c r="E767" s="117">
        <f t="shared" ca="1" si="131"/>
        <v>1</v>
      </c>
      <c r="F767" s="438"/>
      <c r="G767" s="7"/>
      <c r="H767" s="7"/>
      <c r="I767" s="7"/>
      <c r="K767" s="7"/>
      <c r="L767" s="7"/>
      <c r="M767" s="7"/>
      <c r="N767" s="7"/>
      <c r="O767" s="7"/>
      <c r="P767" s="7"/>
      <c r="R767" s="7"/>
      <c r="S767" s="7"/>
    </row>
    <row r="768" spans="1:19" ht="14.1" customHeight="1" x14ac:dyDescent="0.2">
      <c r="A768" s="116">
        <f ca="1">IF($H768="UNIDADE CONSTRUTIVA",OFFSET(A768,-1,0)+1,LARGE(A$3:A767,1))</f>
        <v>0</v>
      </c>
      <c r="B768" s="116">
        <f t="shared" ca="1" si="128"/>
        <v>22</v>
      </c>
      <c r="C768" s="116">
        <f t="shared" ca="1" si="129"/>
        <v>1</v>
      </c>
      <c r="D768" s="117">
        <f t="shared" ca="1" si="130"/>
        <v>1</v>
      </c>
      <c r="E768" s="117">
        <f t="shared" ca="1" si="131"/>
        <v>1</v>
      </c>
      <c r="F768" s="438"/>
      <c r="G768" s="7"/>
      <c r="H768" s="7"/>
      <c r="I768" s="7"/>
      <c r="K768" s="7"/>
      <c r="L768" s="7"/>
      <c r="M768" s="7"/>
      <c r="N768" s="7"/>
      <c r="O768" s="7"/>
      <c r="P768" s="7"/>
      <c r="R768" s="7"/>
      <c r="S768" s="7"/>
    </row>
    <row r="769" spans="1:19" ht="14.1" customHeight="1" x14ac:dyDescent="0.2">
      <c r="A769" s="116">
        <f ca="1">IF($H769="UNIDADE CONSTRUTIVA",OFFSET(A769,-1,0)+1,LARGE(A$3:A768,1))</f>
        <v>0</v>
      </c>
      <c r="B769" s="116">
        <f t="shared" ca="1" si="128"/>
        <v>22</v>
      </c>
      <c r="C769" s="116">
        <f t="shared" ca="1" si="129"/>
        <v>1</v>
      </c>
      <c r="D769" s="117">
        <f t="shared" ca="1" si="130"/>
        <v>1</v>
      </c>
      <c r="E769" s="117">
        <f t="shared" ca="1" si="131"/>
        <v>1</v>
      </c>
      <c r="F769" s="438"/>
      <c r="G769" s="7"/>
      <c r="H769" s="7"/>
      <c r="I769" s="7"/>
      <c r="K769" s="7"/>
      <c r="L769" s="7"/>
      <c r="M769" s="7"/>
      <c r="N769" s="7"/>
      <c r="O769" s="7"/>
      <c r="P769" s="7"/>
      <c r="R769" s="7"/>
      <c r="S769" s="7"/>
    </row>
    <row r="770" spans="1:19" ht="14.1" customHeight="1" x14ac:dyDescent="0.2">
      <c r="A770" s="116">
        <f ca="1">IF($H770="UNIDADE CONSTRUTIVA",OFFSET(A770,-1,0)+1,LARGE(A$3:A769,1))</f>
        <v>0</v>
      </c>
      <c r="B770" s="116">
        <f t="shared" ca="1" si="128"/>
        <v>22</v>
      </c>
      <c r="C770" s="116">
        <f t="shared" ca="1" si="129"/>
        <v>1</v>
      </c>
      <c r="D770" s="117">
        <f t="shared" ca="1" si="130"/>
        <v>1</v>
      </c>
      <c r="E770" s="117">
        <f t="shared" ca="1" si="131"/>
        <v>1</v>
      </c>
      <c r="F770" s="438"/>
      <c r="G770" s="7"/>
      <c r="H770" s="7"/>
      <c r="I770" s="7"/>
      <c r="K770" s="7"/>
      <c r="L770" s="7"/>
      <c r="M770" s="7"/>
      <c r="N770" s="7"/>
      <c r="O770" s="7"/>
      <c r="P770" s="7"/>
      <c r="R770" s="7"/>
      <c r="S770" s="7"/>
    </row>
    <row r="771" spans="1:19" ht="14.1" customHeight="1" x14ac:dyDescent="0.2">
      <c r="A771" s="116">
        <f ca="1">IF($H771="UNIDADE CONSTRUTIVA",OFFSET(A771,-1,0)+1,LARGE(A$3:A770,1))</f>
        <v>0</v>
      </c>
      <c r="B771" s="116">
        <f t="shared" ca="1" si="128"/>
        <v>22</v>
      </c>
      <c r="C771" s="116">
        <f t="shared" ca="1" si="129"/>
        <v>1</v>
      </c>
      <c r="D771" s="117">
        <f t="shared" ca="1" si="130"/>
        <v>1</v>
      </c>
      <c r="E771" s="117">
        <f t="shared" ca="1" si="131"/>
        <v>1</v>
      </c>
      <c r="F771" s="438"/>
      <c r="G771" s="7"/>
      <c r="H771" s="7"/>
      <c r="I771" s="7"/>
      <c r="K771" s="7"/>
      <c r="L771" s="7"/>
      <c r="M771" s="7"/>
      <c r="N771" s="7"/>
      <c r="O771" s="7"/>
      <c r="P771" s="7"/>
      <c r="R771" s="7"/>
      <c r="S771" s="7"/>
    </row>
    <row r="772" spans="1:19" ht="14.1" customHeight="1" x14ac:dyDescent="0.2">
      <c r="A772" s="116">
        <f ca="1">IF($H772="UNIDADE CONSTRUTIVA",OFFSET(A772,-1,0)+1,LARGE(A$3:A771,1))</f>
        <v>0</v>
      </c>
      <c r="B772" s="116">
        <f t="shared" ca="1" si="128"/>
        <v>22</v>
      </c>
      <c r="C772" s="116">
        <f t="shared" ca="1" si="129"/>
        <v>1</v>
      </c>
      <c r="D772" s="117">
        <f t="shared" ca="1" si="130"/>
        <v>1</v>
      </c>
      <c r="E772" s="117">
        <f t="shared" ca="1" si="131"/>
        <v>1</v>
      </c>
      <c r="F772" s="438"/>
      <c r="G772" s="7"/>
      <c r="H772" s="7"/>
      <c r="I772" s="7"/>
      <c r="K772" s="7"/>
      <c r="L772" s="7"/>
      <c r="M772" s="7"/>
      <c r="N772" s="7"/>
      <c r="O772" s="7"/>
      <c r="P772" s="7"/>
      <c r="R772" s="7"/>
      <c r="S772" s="7"/>
    </row>
    <row r="773" spans="1:19" ht="14.1" customHeight="1" x14ac:dyDescent="0.2">
      <c r="A773" s="116">
        <f ca="1">IF($H773="UNIDADE CONSTRUTIVA",OFFSET(A773,-1,0)+1,LARGE(A$3:A772,1))</f>
        <v>0</v>
      </c>
      <c r="B773" s="116">
        <f t="shared" ca="1" si="128"/>
        <v>22</v>
      </c>
      <c r="C773" s="116">
        <f t="shared" ca="1" si="129"/>
        <v>1</v>
      </c>
      <c r="D773" s="117">
        <f t="shared" ca="1" si="130"/>
        <v>1</v>
      </c>
      <c r="E773" s="117">
        <f t="shared" ca="1" si="131"/>
        <v>1</v>
      </c>
      <c r="F773" s="438"/>
      <c r="G773" s="7"/>
      <c r="H773" s="7"/>
      <c r="I773" s="7"/>
      <c r="K773" s="7"/>
      <c r="L773" s="7"/>
      <c r="M773" s="7"/>
      <c r="N773" s="7"/>
      <c r="O773" s="7"/>
      <c r="P773" s="7"/>
      <c r="R773" s="7"/>
      <c r="S773" s="7"/>
    </row>
    <row r="774" spans="1:19" ht="14.1" customHeight="1" x14ac:dyDescent="0.2">
      <c r="A774" s="116">
        <f ca="1">IF($H774="UNIDADE CONSTRUTIVA",OFFSET(A774,-1,0)+1,LARGE(A$3:A773,1))</f>
        <v>0</v>
      </c>
      <c r="B774" s="116">
        <f t="shared" ca="1" si="128"/>
        <v>22</v>
      </c>
      <c r="C774" s="116">
        <f t="shared" ca="1" si="129"/>
        <v>1</v>
      </c>
      <c r="D774" s="117">
        <f t="shared" ca="1" si="130"/>
        <v>1</v>
      </c>
      <c r="E774" s="117">
        <f t="shared" ca="1" si="131"/>
        <v>1</v>
      </c>
      <c r="F774" s="438"/>
      <c r="G774" s="7"/>
      <c r="H774" s="7"/>
      <c r="I774" s="7"/>
      <c r="K774" s="7"/>
      <c r="L774" s="7"/>
      <c r="M774" s="7"/>
      <c r="N774" s="7"/>
      <c r="O774" s="7"/>
      <c r="P774" s="7"/>
      <c r="R774" s="7"/>
      <c r="S774" s="7"/>
    </row>
    <row r="775" spans="1:19" ht="14.1" customHeight="1" x14ac:dyDescent="0.2">
      <c r="A775" s="116">
        <f ca="1">IF($H775="UNIDADE CONSTRUTIVA",OFFSET(A775,-1,0)+1,LARGE(A$3:A774,1))</f>
        <v>0</v>
      </c>
      <c r="B775" s="116">
        <f t="shared" ca="1" si="128"/>
        <v>22</v>
      </c>
      <c r="C775" s="116">
        <f t="shared" ca="1" si="129"/>
        <v>1</v>
      </c>
      <c r="D775" s="117">
        <f t="shared" ca="1" si="130"/>
        <v>1</v>
      </c>
      <c r="E775" s="117">
        <f t="shared" ca="1" si="131"/>
        <v>1</v>
      </c>
      <c r="F775" s="438"/>
      <c r="G775" s="7"/>
      <c r="H775" s="7"/>
      <c r="I775" s="7"/>
      <c r="K775" s="7"/>
      <c r="L775" s="7"/>
      <c r="M775" s="7"/>
      <c r="N775" s="7"/>
      <c r="O775" s="7"/>
      <c r="P775" s="7"/>
      <c r="R775" s="7"/>
      <c r="S775" s="7"/>
    </row>
    <row r="776" spans="1:19" ht="14.1" customHeight="1" x14ac:dyDescent="0.2">
      <c r="A776" s="116">
        <f ca="1">IF($H776="UNIDADE CONSTRUTIVA",OFFSET(A776,-1,0)+1,LARGE(A$3:A775,1))</f>
        <v>0</v>
      </c>
      <c r="B776" s="116">
        <f t="shared" ca="1" si="128"/>
        <v>22</v>
      </c>
      <c r="C776" s="116">
        <f t="shared" ca="1" si="129"/>
        <v>1</v>
      </c>
      <c r="D776" s="117">
        <f t="shared" ca="1" si="130"/>
        <v>1</v>
      </c>
      <c r="E776" s="117">
        <f t="shared" ca="1" si="131"/>
        <v>1</v>
      </c>
      <c r="F776" s="438"/>
      <c r="G776" s="7"/>
      <c r="H776" s="7"/>
      <c r="I776" s="7"/>
      <c r="K776" s="7"/>
      <c r="L776" s="7"/>
      <c r="M776" s="7"/>
      <c r="N776" s="7"/>
      <c r="O776" s="7"/>
      <c r="P776" s="7"/>
      <c r="R776" s="7"/>
      <c r="S776" s="7"/>
    </row>
    <row r="777" spans="1:19" ht="14.1" customHeight="1" x14ac:dyDescent="0.2">
      <c r="A777" s="116">
        <f ca="1">IF($H777="UNIDADE CONSTRUTIVA",OFFSET(A777,-1,0)+1,LARGE(A$3:A776,1))</f>
        <v>0</v>
      </c>
      <c r="B777" s="116">
        <f t="shared" ca="1" si="128"/>
        <v>22</v>
      </c>
      <c r="C777" s="116">
        <f t="shared" ca="1" si="129"/>
        <v>1</v>
      </c>
      <c r="D777" s="117">
        <f t="shared" ca="1" si="130"/>
        <v>1</v>
      </c>
      <c r="E777" s="117">
        <f t="shared" ca="1" si="131"/>
        <v>1</v>
      </c>
      <c r="F777" s="438"/>
      <c r="G777" s="7"/>
      <c r="H777" s="7"/>
      <c r="I777" s="7"/>
      <c r="K777" s="7"/>
      <c r="L777" s="7"/>
      <c r="M777" s="7"/>
      <c r="N777" s="7"/>
      <c r="O777" s="7"/>
      <c r="P777" s="7"/>
      <c r="R777" s="7"/>
      <c r="S777" s="7"/>
    </row>
    <row r="778" spans="1:19" ht="14.1" customHeight="1" x14ac:dyDescent="0.2">
      <c r="A778" s="116">
        <f ca="1">IF($H778="UNIDADE CONSTRUTIVA",OFFSET(A778,-1,0)+1,LARGE(A$3:A777,1))</f>
        <v>0</v>
      </c>
      <c r="B778" s="116">
        <f t="shared" ca="1" si="128"/>
        <v>22</v>
      </c>
      <c r="C778" s="116">
        <f t="shared" ca="1" si="129"/>
        <v>1</v>
      </c>
      <c r="D778" s="117">
        <f t="shared" ca="1" si="130"/>
        <v>1</v>
      </c>
      <c r="E778" s="117">
        <f t="shared" ca="1" si="131"/>
        <v>1</v>
      </c>
      <c r="F778" s="438"/>
      <c r="G778" s="7"/>
      <c r="H778" s="7"/>
      <c r="I778" s="7"/>
      <c r="K778" s="7"/>
      <c r="L778" s="7"/>
      <c r="M778" s="7"/>
      <c r="N778" s="7"/>
      <c r="O778" s="7"/>
      <c r="P778" s="7"/>
      <c r="R778" s="7"/>
      <c r="S778" s="7"/>
    </row>
    <row r="779" spans="1:19" ht="14.1" customHeight="1" x14ac:dyDescent="0.2">
      <c r="A779" s="116">
        <f ca="1">IF($H779="UNIDADE CONSTRUTIVA",OFFSET(A779,-1,0)+1,LARGE(A$3:A778,1))</f>
        <v>0</v>
      </c>
      <c r="B779" s="116">
        <f t="shared" ca="1" si="128"/>
        <v>22</v>
      </c>
      <c r="C779" s="116">
        <f t="shared" ca="1" si="129"/>
        <v>1</v>
      </c>
      <c r="D779" s="117">
        <f t="shared" ca="1" si="130"/>
        <v>1</v>
      </c>
      <c r="E779" s="117">
        <f t="shared" ca="1" si="131"/>
        <v>1</v>
      </c>
      <c r="F779" s="438"/>
      <c r="G779" s="7"/>
      <c r="H779" s="7"/>
      <c r="I779" s="7"/>
      <c r="K779" s="7"/>
      <c r="L779" s="7"/>
      <c r="M779" s="7"/>
      <c r="N779" s="7"/>
      <c r="O779" s="7"/>
      <c r="P779" s="7"/>
      <c r="R779" s="7"/>
      <c r="S779" s="7"/>
    </row>
    <row r="780" spans="1:19" ht="14.1" customHeight="1" x14ac:dyDescent="0.2">
      <c r="A780" s="116">
        <f ca="1">IF($H780="UNIDADE CONSTRUTIVA",OFFSET(A780,-1,0)+1,LARGE(A$3:A779,1))</f>
        <v>0</v>
      </c>
      <c r="B780" s="116">
        <f t="shared" ca="1" si="128"/>
        <v>22</v>
      </c>
      <c r="C780" s="116">
        <f t="shared" ca="1" si="129"/>
        <v>1</v>
      </c>
      <c r="D780" s="117">
        <f t="shared" ca="1" si="130"/>
        <v>1</v>
      </c>
      <c r="E780" s="117">
        <f t="shared" ca="1" si="131"/>
        <v>1</v>
      </c>
      <c r="F780" s="438"/>
      <c r="G780" s="7"/>
      <c r="H780" s="7"/>
      <c r="I780" s="7"/>
      <c r="K780" s="7"/>
      <c r="L780" s="7"/>
      <c r="M780" s="7"/>
      <c r="N780" s="7"/>
      <c r="O780" s="7"/>
      <c r="P780" s="7"/>
      <c r="R780" s="7"/>
      <c r="S780" s="7"/>
    </row>
    <row r="781" spans="1:19" ht="14.1" customHeight="1" x14ac:dyDescent="0.2">
      <c r="A781" s="116">
        <f ca="1">IF($H781="UNIDADE CONSTRUTIVA",OFFSET(A781,-1,0)+1,LARGE(A$3:A780,1))</f>
        <v>0</v>
      </c>
      <c r="B781" s="116">
        <f t="shared" ca="1" si="128"/>
        <v>22</v>
      </c>
      <c r="C781" s="116">
        <f t="shared" ca="1" si="129"/>
        <v>1</v>
      </c>
      <c r="D781" s="117">
        <f t="shared" ca="1" si="130"/>
        <v>1</v>
      </c>
      <c r="E781" s="117">
        <f t="shared" ca="1" si="131"/>
        <v>1</v>
      </c>
      <c r="F781" s="438"/>
      <c r="G781" s="7"/>
      <c r="H781" s="7"/>
      <c r="I781" s="7"/>
      <c r="K781" s="7"/>
      <c r="L781" s="7"/>
      <c r="M781" s="7"/>
      <c r="N781" s="7"/>
      <c r="O781" s="7"/>
      <c r="P781" s="7"/>
      <c r="R781" s="7"/>
      <c r="S781" s="7"/>
    </row>
    <row r="782" spans="1:19" ht="14.1" customHeight="1" x14ac:dyDescent="0.2">
      <c r="A782" s="116">
        <f ca="1">IF($H782="UNIDADE CONSTRUTIVA",OFFSET(A782,-1,0)+1,LARGE(A$3:A781,1))</f>
        <v>0</v>
      </c>
      <c r="B782" s="116">
        <f t="shared" ca="1" si="128"/>
        <v>22</v>
      </c>
      <c r="C782" s="116">
        <f t="shared" ca="1" si="129"/>
        <v>1</v>
      </c>
      <c r="D782" s="117">
        <f t="shared" ca="1" si="130"/>
        <v>1</v>
      </c>
      <c r="E782" s="117">
        <f t="shared" ca="1" si="131"/>
        <v>1</v>
      </c>
      <c r="F782" s="438"/>
      <c r="G782" s="7"/>
      <c r="H782" s="7"/>
      <c r="I782" s="7"/>
      <c r="K782" s="7"/>
      <c r="L782" s="7"/>
      <c r="M782" s="7"/>
      <c r="N782" s="7"/>
      <c r="O782" s="7"/>
      <c r="P782" s="7"/>
      <c r="R782" s="7"/>
      <c r="S782" s="7"/>
    </row>
    <row r="783" spans="1:19" ht="14.1" customHeight="1" x14ac:dyDescent="0.2">
      <c r="A783" s="116">
        <f ca="1">IF($H783="UNIDADE CONSTRUTIVA",OFFSET(A783,-1,0)+1,LARGE(A$3:A782,1))</f>
        <v>0</v>
      </c>
      <c r="B783" s="116">
        <f t="shared" ca="1" si="128"/>
        <v>22</v>
      </c>
      <c r="C783" s="116">
        <f t="shared" ca="1" si="129"/>
        <v>1</v>
      </c>
      <c r="D783" s="117">
        <f t="shared" ca="1" si="130"/>
        <v>1</v>
      </c>
      <c r="E783" s="117">
        <f t="shared" ca="1" si="131"/>
        <v>1</v>
      </c>
      <c r="F783" s="438"/>
      <c r="G783" s="7"/>
      <c r="H783" s="7"/>
      <c r="I783" s="7"/>
      <c r="K783" s="7"/>
      <c r="L783" s="7"/>
      <c r="M783" s="7"/>
      <c r="N783" s="7"/>
      <c r="O783" s="7"/>
      <c r="P783" s="7"/>
      <c r="R783" s="7"/>
      <c r="S783" s="7"/>
    </row>
    <row r="784" spans="1:19" ht="14.1" customHeight="1" x14ac:dyDescent="0.2">
      <c r="A784" s="116">
        <f ca="1">IF($H784="UNIDADE CONSTRUTIVA",OFFSET(A784,-1,0)+1,LARGE(A$3:A783,1))</f>
        <v>0</v>
      </c>
      <c r="B784" s="116">
        <f t="shared" ca="1" si="128"/>
        <v>22</v>
      </c>
      <c r="C784" s="116">
        <f t="shared" ca="1" si="129"/>
        <v>1</v>
      </c>
      <c r="D784" s="117">
        <f t="shared" ca="1" si="130"/>
        <v>1</v>
      </c>
      <c r="E784" s="117">
        <f t="shared" ca="1" si="131"/>
        <v>1</v>
      </c>
      <c r="F784" s="438"/>
      <c r="G784" s="7"/>
      <c r="H784" s="7"/>
      <c r="I784" s="7"/>
      <c r="K784" s="7"/>
      <c r="L784" s="7"/>
      <c r="M784" s="7"/>
      <c r="N784" s="7"/>
      <c r="O784" s="7"/>
      <c r="P784" s="7"/>
      <c r="R784" s="7"/>
      <c r="S784" s="7"/>
    </row>
    <row r="785" spans="1:19" ht="14.1" customHeight="1" x14ac:dyDescent="0.2">
      <c r="A785" s="116">
        <f ca="1">IF($H785="UNIDADE CONSTRUTIVA",OFFSET(A785,-1,0)+1,LARGE(A$3:A784,1))</f>
        <v>0</v>
      </c>
      <c r="B785" s="116">
        <f t="shared" ca="1" si="128"/>
        <v>22</v>
      </c>
      <c r="C785" s="116">
        <f t="shared" ca="1" si="129"/>
        <v>1</v>
      </c>
      <c r="D785" s="117">
        <f t="shared" ca="1" si="130"/>
        <v>1</v>
      </c>
      <c r="E785" s="117">
        <f t="shared" ca="1" si="131"/>
        <v>1</v>
      </c>
      <c r="F785" s="438"/>
      <c r="G785" s="7"/>
      <c r="H785" s="7"/>
      <c r="I785" s="7"/>
      <c r="K785" s="7"/>
      <c r="L785" s="7"/>
      <c r="M785" s="7"/>
      <c r="N785" s="7"/>
      <c r="O785" s="7"/>
      <c r="P785" s="7"/>
      <c r="R785" s="7"/>
      <c r="S785" s="7"/>
    </row>
    <row r="786" spans="1:19" ht="14.1" customHeight="1" x14ac:dyDescent="0.2">
      <c r="A786" s="116">
        <f ca="1">IF($H786="UNIDADE CONSTRUTIVA",OFFSET(A786,-1,0)+1,LARGE(A$3:A785,1))</f>
        <v>0</v>
      </c>
      <c r="B786" s="116">
        <f t="shared" ca="1" si="128"/>
        <v>22</v>
      </c>
      <c r="C786" s="116">
        <f t="shared" ca="1" si="129"/>
        <v>1</v>
      </c>
      <c r="D786" s="117">
        <f t="shared" ca="1" si="130"/>
        <v>1</v>
      </c>
      <c r="E786" s="117">
        <f t="shared" ca="1" si="131"/>
        <v>1</v>
      </c>
      <c r="F786" s="438"/>
      <c r="G786" s="7"/>
      <c r="H786" s="7"/>
      <c r="I786" s="7"/>
      <c r="K786" s="7"/>
      <c r="L786" s="7"/>
      <c r="M786" s="7"/>
      <c r="N786" s="7"/>
      <c r="O786" s="7"/>
      <c r="P786" s="7"/>
      <c r="R786" s="7"/>
      <c r="S786" s="7"/>
    </row>
    <row r="787" spans="1:19" ht="14.1" customHeight="1" x14ac:dyDescent="0.2">
      <c r="A787" s="116">
        <f ca="1">IF($H787="UNIDADE CONSTRUTIVA",OFFSET(A787,-1,0)+1,LARGE(A$3:A786,1))</f>
        <v>0</v>
      </c>
      <c r="B787" s="116">
        <f t="shared" ca="1" si="128"/>
        <v>22</v>
      </c>
      <c r="C787" s="116">
        <f t="shared" ca="1" si="129"/>
        <v>1</v>
      </c>
      <c r="D787" s="117">
        <f t="shared" ca="1" si="130"/>
        <v>1</v>
      </c>
      <c r="E787" s="117">
        <f t="shared" ca="1" si="131"/>
        <v>1</v>
      </c>
      <c r="F787" s="438"/>
      <c r="G787" s="7"/>
      <c r="H787" s="7"/>
      <c r="I787" s="7"/>
      <c r="K787" s="7"/>
      <c r="L787" s="7"/>
      <c r="M787" s="7"/>
      <c r="N787" s="7"/>
      <c r="O787" s="7"/>
      <c r="P787" s="7"/>
      <c r="R787" s="7"/>
      <c r="S787" s="7"/>
    </row>
    <row r="788" spans="1:19" ht="14.1" customHeight="1" x14ac:dyDescent="0.2">
      <c r="A788" s="116">
        <f ca="1">IF($H788="UNIDADE CONSTRUTIVA",OFFSET(A788,-1,0)+1,LARGE(A$3:A787,1))</f>
        <v>0</v>
      </c>
      <c r="B788" s="116">
        <f t="shared" ca="1" si="128"/>
        <v>22</v>
      </c>
      <c r="C788" s="116">
        <f t="shared" ca="1" si="129"/>
        <v>1</v>
      </c>
      <c r="D788" s="117">
        <f t="shared" ca="1" si="130"/>
        <v>1</v>
      </c>
      <c r="E788" s="117">
        <f t="shared" ca="1" si="131"/>
        <v>1</v>
      </c>
      <c r="F788" s="438"/>
      <c r="G788" s="7"/>
      <c r="H788" s="7"/>
      <c r="I788" s="7"/>
      <c r="K788" s="7"/>
      <c r="L788" s="7"/>
      <c r="M788" s="7"/>
      <c r="N788" s="7"/>
      <c r="O788" s="7"/>
      <c r="P788" s="7"/>
      <c r="R788" s="7"/>
      <c r="S788" s="7"/>
    </row>
    <row r="789" spans="1:19" ht="14.1" customHeight="1" x14ac:dyDescent="0.2">
      <c r="A789" s="116">
        <f ca="1">IF($H789="UNIDADE CONSTRUTIVA",OFFSET(A789,-1,0)+1,LARGE(A$3:A788,1))</f>
        <v>0</v>
      </c>
      <c r="B789" s="116">
        <f t="shared" ca="1" si="128"/>
        <v>22</v>
      </c>
      <c r="C789" s="116">
        <f t="shared" ca="1" si="129"/>
        <v>1</v>
      </c>
      <c r="D789" s="117">
        <f t="shared" ca="1" si="130"/>
        <v>1</v>
      </c>
      <c r="E789" s="117">
        <f t="shared" ca="1" si="131"/>
        <v>1</v>
      </c>
      <c r="F789" s="438"/>
      <c r="G789" s="7"/>
      <c r="H789" s="7"/>
      <c r="I789" s="7"/>
      <c r="K789" s="7"/>
      <c r="L789" s="7"/>
      <c r="M789" s="7"/>
      <c r="N789" s="7"/>
      <c r="O789" s="7"/>
      <c r="P789" s="7"/>
      <c r="R789" s="7"/>
      <c r="S789" s="7"/>
    </row>
    <row r="790" spans="1:19" ht="14.1" customHeight="1" x14ac:dyDescent="0.2">
      <c r="A790" s="116">
        <f ca="1">IF($H790="UNIDADE CONSTRUTIVA",OFFSET(A790,-1,0)+1,LARGE(A$3:A789,1))</f>
        <v>0</v>
      </c>
      <c r="B790" s="116">
        <f t="shared" ca="1" si="128"/>
        <v>22</v>
      </c>
      <c r="C790" s="116">
        <f t="shared" ca="1" si="129"/>
        <v>1</v>
      </c>
      <c r="D790" s="117">
        <f t="shared" ca="1" si="130"/>
        <v>1</v>
      </c>
      <c r="E790" s="117">
        <f t="shared" ca="1" si="131"/>
        <v>1</v>
      </c>
      <c r="F790" s="438"/>
      <c r="G790" s="7"/>
      <c r="H790" s="7"/>
      <c r="I790" s="7"/>
      <c r="K790" s="7"/>
      <c r="L790" s="7"/>
      <c r="M790" s="7"/>
      <c r="N790" s="7"/>
      <c r="O790" s="7"/>
      <c r="P790" s="7"/>
      <c r="R790" s="7"/>
      <c r="S790" s="7"/>
    </row>
    <row r="791" spans="1:19" ht="14.1" customHeight="1" x14ac:dyDescent="0.2">
      <c r="A791" s="116">
        <f ca="1">IF($H791="UNIDADE CONSTRUTIVA",OFFSET(A791,-1,0)+1,LARGE(A$3:A790,1))</f>
        <v>0</v>
      </c>
      <c r="B791" s="116">
        <f t="shared" ca="1" si="128"/>
        <v>22</v>
      </c>
      <c r="C791" s="116">
        <f t="shared" ca="1" si="129"/>
        <v>1</v>
      </c>
      <c r="D791" s="117">
        <f t="shared" ca="1" si="130"/>
        <v>1</v>
      </c>
      <c r="E791" s="117">
        <f t="shared" ca="1" si="131"/>
        <v>1</v>
      </c>
      <c r="F791" s="438"/>
      <c r="G791" s="7"/>
      <c r="H791" s="7"/>
      <c r="I791" s="7"/>
      <c r="K791" s="7"/>
      <c r="L791" s="7"/>
      <c r="M791" s="7"/>
      <c r="N791" s="7"/>
      <c r="O791" s="7"/>
      <c r="P791" s="7"/>
      <c r="R791" s="7"/>
      <c r="S791" s="7"/>
    </row>
    <row r="792" spans="1:19" ht="14.1" customHeight="1" x14ac:dyDescent="0.2">
      <c r="A792" s="116">
        <f ca="1">IF($H792="UNIDADE CONSTRUTIVA",OFFSET(A792,-1,0)+1,LARGE(A$3:A791,1))</f>
        <v>0</v>
      </c>
      <c r="B792" s="116">
        <f t="shared" ca="1" si="128"/>
        <v>22</v>
      </c>
      <c r="C792" s="116">
        <f t="shared" ca="1" si="129"/>
        <v>1</v>
      </c>
      <c r="D792" s="117">
        <f t="shared" ca="1" si="130"/>
        <v>1</v>
      </c>
      <c r="E792" s="117">
        <f t="shared" ca="1" si="131"/>
        <v>1</v>
      </c>
      <c r="F792" s="438"/>
      <c r="G792" s="7"/>
      <c r="H792" s="7"/>
      <c r="I792" s="7"/>
      <c r="K792" s="7"/>
      <c r="L792" s="7"/>
      <c r="M792" s="7"/>
      <c r="N792" s="7"/>
      <c r="O792" s="7"/>
      <c r="P792" s="7"/>
      <c r="R792" s="7"/>
      <c r="S792" s="7"/>
    </row>
    <row r="793" spans="1:19" ht="14.1" customHeight="1" x14ac:dyDescent="0.2">
      <c r="A793" s="116">
        <f ca="1">IF($H793="UNIDADE CONSTRUTIVA",OFFSET(A793,-1,0)+1,LARGE(A$3:A792,1))</f>
        <v>0</v>
      </c>
      <c r="B793" s="116">
        <f t="shared" ca="1" si="128"/>
        <v>22</v>
      </c>
      <c r="C793" s="116">
        <f t="shared" ca="1" si="129"/>
        <v>1</v>
      </c>
      <c r="D793" s="117">
        <f t="shared" ca="1" si="130"/>
        <v>1</v>
      </c>
      <c r="E793" s="117">
        <f t="shared" ca="1" si="131"/>
        <v>1</v>
      </c>
      <c r="F793" s="438"/>
      <c r="G793" s="7"/>
      <c r="H793" s="7"/>
      <c r="I793" s="7"/>
      <c r="K793" s="7"/>
      <c r="L793" s="7"/>
      <c r="M793" s="7"/>
      <c r="N793" s="7"/>
      <c r="O793" s="7"/>
      <c r="P793" s="7"/>
      <c r="R793" s="7"/>
      <c r="S793" s="7"/>
    </row>
    <row r="794" spans="1:19" ht="14.1" customHeight="1" x14ac:dyDescent="0.2">
      <c r="A794" s="116">
        <f ca="1">IF($H794="UNIDADE CONSTRUTIVA",OFFSET(A794,-1,0)+1,LARGE(A$3:A793,1))</f>
        <v>0</v>
      </c>
      <c r="B794" s="116">
        <f t="shared" ca="1" si="128"/>
        <v>22</v>
      </c>
      <c r="C794" s="116">
        <f t="shared" ca="1" si="129"/>
        <v>1</v>
      </c>
      <c r="D794" s="117">
        <f t="shared" ca="1" si="130"/>
        <v>1</v>
      </c>
      <c r="E794" s="117">
        <f t="shared" ca="1" si="131"/>
        <v>1</v>
      </c>
      <c r="F794" s="438"/>
      <c r="G794" s="7"/>
      <c r="H794" s="7"/>
      <c r="I794" s="7"/>
      <c r="K794" s="7"/>
      <c r="L794" s="7"/>
      <c r="M794" s="7"/>
      <c r="N794" s="7"/>
      <c r="O794" s="7"/>
      <c r="P794" s="7"/>
      <c r="R794" s="7"/>
      <c r="S794" s="7"/>
    </row>
    <row r="795" spans="1:19" ht="14.1" customHeight="1" x14ac:dyDescent="0.2">
      <c r="A795" s="116">
        <f ca="1">IF($H795="UNIDADE CONSTRUTIVA",OFFSET(A795,-1,0)+1,LARGE(A$3:A794,1))</f>
        <v>0</v>
      </c>
      <c r="B795" s="116">
        <f t="shared" ca="1" si="128"/>
        <v>22</v>
      </c>
      <c r="C795" s="116">
        <f t="shared" ca="1" si="129"/>
        <v>1</v>
      </c>
      <c r="D795" s="117">
        <f t="shared" ca="1" si="130"/>
        <v>1</v>
      </c>
      <c r="E795" s="117">
        <f t="shared" ca="1" si="131"/>
        <v>1</v>
      </c>
      <c r="F795" s="438"/>
      <c r="G795" s="7"/>
      <c r="H795" s="7"/>
      <c r="I795" s="7"/>
      <c r="K795" s="7"/>
      <c r="L795" s="7"/>
      <c r="M795" s="7"/>
      <c r="N795" s="7"/>
      <c r="O795" s="7"/>
      <c r="P795" s="7"/>
      <c r="R795" s="7"/>
      <c r="S795" s="7"/>
    </row>
    <row r="796" spans="1:19" ht="14.1" customHeight="1" x14ac:dyDescent="0.2">
      <c r="A796" s="116">
        <f ca="1">IF($H796="UNIDADE CONSTRUTIVA",OFFSET(A796,-1,0)+1,LARGE(A$3:A795,1))</f>
        <v>0</v>
      </c>
      <c r="B796" s="116">
        <f t="shared" ca="1" si="128"/>
        <v>22</v>
      </c>
      <c r="C796" s="116">
        <f t="shared" ca="1" si="129"/>
        <v>1</v>
      </c>
      <c r="D796" s="117">
        <f t="shared" ca="1" si="130"/>
        <v>1</v>
      </c>
      <c r="E796" s="117">
        <f t="shared" ca="1" si="131"/>
        <v>1</v>
      </c>
      <c r="F796" s="438"/>
      <c r="G796" s="7"/>
      <c r="H796" s="7"/>
      <c r="I796" s="7"/>
      <c r="K796" s="7"/>
      <c r="L796" s="7"/>
      <c r="M796" s="7"/>
      <c r="N796" s="7"/>
      <c r="O796" s="7"/>
      <c r="P796" s="7"/>
      <c r="R796" s="7"/>
      <c r="S796" s="7"/>
    </row>
    <row r="797" spans="1:19" ht="14.1" customHeight="1" x14ac:dyDescent="0.2">
      <c r="A797" s="116">
        <f ca="1">IF($H797="UNIDADE CONSTRUTIVA",OFFSET(A797,-1,0)+1,LARGE(A$3:A796,1))</f>
        <v>0</v>
      </c>
      <c r="B797" s="116">
        <f t="shared" ca="1" si="128"/>
        <v>22</v>
      </c>
      <c r="C797" s="116">
        <f t="shared" ca="1" si="129"/>
        <v>1</v>
      </c>
      <c r="D797" s="117">
        <f t="shared" ca="1" si="130"/>
        <v>1</v>
      </c>
      <c r="E797" s="117">
        <f t="shared" ca="1" si="131"/>
        <v>1</v>
      </c>
      <c r="F797" s="438"/>
      <c r="G797" s="7"/>
      <c r="H797" s="7"/>
      <c r="I797" s="7"/>
      <c r="K797" s="7"/>
      <c r="L797" s="7"/>
      <c r="M797" s="7"/>
      <c r="N797" s="7"/>
      <c r="O797" s="7"/>
      <c r="P797" s="7"/>
      <c r="R797" s="7"/>
      <c r="S797" s="7"/>
    </row>
    <row r="798" spans="1:19" ht="14.1" customHeight="1" x14ac:dyDescent="0.2">
      <c r="A798" s="116">
        <f ca="1">IF($H798="UNIDADE CONSTRUTIVA",OFFSET(A798,-1,0)+1,LARGE(A$3:A797,1))</f>
        <v>0</v>
      </c>
      <c r="B798" s="116">
        <f t="shared" ca="1" si="128"/>
        <v>22</v>
      </c>
      <c r="C798" s="116">
        <f t="shared" ca="1" si="129"/>
        <v>1</v>
      </c>
      <c r="D798" s="117">
        <f t="shared" ca="1" si="130"/>
        <v>1</v>
      </c>
      <c r="E798" s="117">
        <f t="shared" ca="1" si="131"/>
        <v>1</v>
      </c>
      <c r="F798" s="438"/>
      <c r="G798" s="7"/>
      <c r="H798" s="7"/>
      <c r="I798" s="7"/>
      <c r="K798" s="7"/>
      <c r="L798" s="7"/>
      <c r="M798" s="7"/>
      <c r="N798" s="7"/>
      <c r="O798" s="7"/>
      <c r="P798" s="7"/>
      <c r="R798" s="7"/>
      <c r="S798" s="7"/>
    </row>
    <row r="799" spans="1:19" ht="14.1" customHeight="1" x14ac:dyDescent="0.2">
      <c r="A799" s="116">
        <f ca="1">IF($H799="UNIDADE CONSTRUTIVA",OFFSET(A799,-1,0)+1,LARGE(A$3:A798,1))</f>
        <v>0</v>
      </c>
      <c r="B799" s="116">
        <f t="shared" ca="1" si="128"/>
        <v>22</v>
      </c>
      <c r="C799" s="116">
        <f t="shared" ca="1" si="129"/>
        <v>1</v>
      </c>
      <c r="D799" s="117">
        <f t="shared" ca="1" si="130"/>
        <v>1</v>
      </c>
      <c r="E799" s="117">
        <f t="shared" ca="1" si="131"/>
        <v>1</v>
      </c>
      <c r="F799" s="438"/>
      <c r="G799" s="7"/>
      <c r="H799" s="7"/>
      <c r="I799" s="7"/>
      <c r="K799" s="7"/>
      <c r="L799" s="7"/>
      <c r="M799" s="7"/>
      <c r="N799" s="7"/>
      <c r="O799" s="7"/>
      <c r="P799" s="7"/>
      <c r="R799" s="7"/>
      <c r="S799" s="7"/>
    </row>
    <row r="800" spans="1:19" ht="14.1" customHeight="1" x14ac:dyDescent="0.2">
      <c r="A800" s="116">
        <f ca="1">IF($H800="UNIDADE CONSTRUTIVA",OFFSET(A800,-1,0)+1,LARGE(A$3:A799,1))</f>
        <v>0</v>
      </c>
      <c r="B800" s="116">
        <f t="shared" ca="1" si="128"/>
        <v>22</v>
      </c>
      <c r="C800" s="116">
        <f t="shared" ca="1" si="129"/>
        <v>1</v>
      </c>
      <c r="D800" s="117">
        <f t="shared" ca="1" si="130"/>
        <v>1</v>
      </c>
      <c r="E800" s="117">
        <f t="shared" ca="1" si="131"/>
        <v>1</v>
      </c>
      <c r="F800" s="438"/>
      <c r="G800" s="7"/>
      <c r="H800" s="7"/>
      <c r="I800" s="7"/>
      <c r="K800" s="7"/>
      <c r="L800" s="7"/>
      <c r="M800" s="7"/>
      <c r="N800" s="7"/>
      <c r="O800" s="7"/>
      <c r="P800" s="7"/>
      <c r="R800" s="7"/>
      <c r="S800" s="7"/>
    </row>
    <row r="801" spans="1:19" ht="14.1" customHeight="1" x14ac:dyDescent="0.2">
      <c r="A801" s="116">
        <f ca="1">IF($H801="UNIDADE CONSTRUTIVA",OFFSET(A801,-1,0)+1,LARGE(A$3:A800,1))</f>
        <v>0</v>
      </c>
      <c r="B801" s="116">
        <f t="shared" ca="1" si="128"/>
        <v>22</v>
      </c>
      <c r="C801" s="116">
        <f t="shared" ca="1" si="129"/>
        <v>1</v>
      </c>
      <c r="D801" s="117">
        <f t="shared" ca="1" si="130"/>
        <v>1</v>
      </c>
      <c r="E801" s="117">
        <f t="shared" ca="1" si="131"/>
        <v>1</v>
      </c>
      <c r="F801" s="438"/>
      <c r="G801" s="7"/>
      <c r="H801" s="7"/>
      <c r="I801" s="7"/>
      <c r="K801" s="7"/>
      <c r="L801" s="7"/>
      <c r="M801" s="7"/>
      <c r="N801" s="7"/>
      <c r="O801" s="7"/>
      <c r="P801" s="7"/>
      <c r="R801" s="7"/>
      <c r="S801" s="7"/>
    </row>
    <row r="802" spans="1:19" ht="14.1" customHeight="1" x14ac:dyDescent="0.2">
      <c r="A802" s="116">
        <f ca="1">IF($H802="UNIDADE CONSTRUTIVA",OFFSET(A802,-1,0)+1,LARGE(A$3:A801,1))</f>
        <v>0</v>
      </c>
      <c r="B802" s="116">
        <f t="shared" ca="1" si="128"/>
        <v>22</v>
      </c>
      <c r="C802" s="116">
        <f t="shared" ca="1" si="129"/>
        <v>1</v>
      </c>
      <c r="D802" s="117">
        <f t="shared" ca="1" si="130"/>
        <v>1</v>
      </c>
      <c r="E802" s="117">
        <f t="shared" ca="1" si="131"/>
        <v>1</v>
      </c>
      <c r="F802" s="438"/>
      <c r="G802" s="7"/>
      <c r="H802" s="7"/>
      <c r="I802" s="7"/>
      <c r="K802" s="7"/>
      <c r="L802" s="7"/>
      <c r="M802" s="7"/>
      <c r="N802" s="7"/>
      <c r="O802" s="7"/>
      <c r="P802" s="7"/>
      <c r="R802" s="7"/>
      <c r="S802" s="7"/>
    </row>
    <row r="803" spans="1:19" ht="14.1" customHeight="1" x14ac:dyDescent="0.2">
      <c r="A803" s="116">
        <f ca="1">IF($H803="UNIDADE CONSTRUTIVA",OFFSET(A803,-1,0)+1,LARGE(A$3:A802,1))</f>
        <v>0</v>
      </c>
      <c r="B803" s="116">
        <f t="shared" ca="1" si="128"/>
        <v>22</v>
      </c>
      <c r="C803" s="116">
        <f t="shared" ca="1" si="129"/>
        <v>1</v>
      </c>
      <c r="D803" s="117">
        <f t="shared" ca="1" si="130"/>
        <v>1</v>
      </c>
      <c r="E803" s="117">
        <f t="shared" ca="1" si="131"/>
        <v>1</v>
      </c>
      <c r="F803" s="438"/>
      <c r="G803" s="7"/>
      <c r="H803" s="7"/>
      <c r="I803" s="7"/>
      <c r="K803" s="7"/>
      <c r="L803" s="7"/>
      <c r="M803" s="7"/>
      <c r="N803" s="7"/>
      <c r="O803" s="7"/>
      <c r="P803" s="7"/>
      <c r="R803" s="7"/>
      <c r="S803" s="7"/>
    </row>
    <row r="804" spans="1:19" ht="14.1" customHeight="1" x14ac:dyDescent="0.2">
      <c r="A804" s="116">
        <f ca="1">IF($H804="UNIDADE CONSTRUTIVA",OFFSET(A804,-1,0)+1,LARGE(A$3:A803,1))</f>
        <v>0</v>
      </c>
      <c r="B804" s="116">
        <f t="shared" ca="1" si="128"/>
        <v>22</v>
      </c>
      <c r="C804" s="116">
        <f t="shared" ca="1" si="129"/>
        <v>1</v>
      </c>
      <c r="D804" s="117">
        <f t="shared" ca="1" si="130"/>
        <v>1</v>
      </c>
      <c r="E804" s="117">
        <f t="shared" ca="1" si="131"/>
        <v>1</v>
      </c>
      <c r="F804" s="438"/>
      <c r="G804" s="7"/>
      <c r="H804" s="7"/>
      <c r="I804" s="7"/>
      <c r="K804" s="7"/>
      <c r="L804" s="7"/>
      <c r="M804" s="7"/>
      <c r="N804" s="7"/>
      <c r="O804" s="7"/>
      <c r="P804" s="7"/>
      <c r="R804" s="7"/>
      <c r="S804" s="7"/>
    </row>
    <row r="805" spans="1:19" ht="14.1" customHeight="1" x14ac:dyDescent="0.2">
      <c r="A805" s="116">
        <f ca="1">IF($H805="UNIDADE CONSTRUTIVA",OFFSET(A805,-1,0)+1,LARGE(A$3:A804,1))</f>
        <v>0</v>
      </c>
      <c r="B805" s="116">
        <f t="shared" ca="1" si="128"/>
        <v>22</v>
      </c>
      <c r="C805" s="116">
        <f t="shared" ca="1" si="129"/>
        <v>1</v>
      </c>
      <c r="D805" s="117">
        <f t="shared" ca="1" si="130"/>
        <v>1</v>
      </c>
      <c r="E805" s="117">
        <f t="shared" ca="1" si="131"/>
        <v>1</v>
      </c>
      <c r="F805" s="438"/>
      <c r="G805" s="7"/>
      <c r="H805" s="7"/>
      <c r="I805" s="7"/>
      <c r="K805" s="7"/>
      <c r="L805" s="7"/>
      <c r="M805" s="7"/>
      <c r="N805" s="7"/>
      <c r="O805" s="7"/>
      <c r="P805" s="7"/>
      <c r="R805" s="7"/>
      <c r="S805" s="7"/>
    </row>
    <row r="806" spans="1:19" ht="14.1" customHeight="1" x14ac:dyDescent="0.2">
      <c r="A806" s="116">
        <f ca="1">IF($H806="UNIDADE CONSTRUTIVA",OFFSET(A806,-1,0)+1,LARGE(A$3:A805,1))</f>
        <v>0</v>
      </c>
      <c r="B806" s="116">
        <f t="shared" ca="1" si="128"/>
        <v>22</v>
      </c>
      <c r="C806" s="116">
        <f t="shared" ca="1" si="129"/>
        <v>1</v>
      </c>
      <c r="D806" s="117">
        <f t="shared" ca="1" si="130"/>
        <v>1</v>
      </c>
      <c r="E806" s="117">
        <f t="shared" ca="1" si="131"/>
        <v>1</v>
      </c>
      <c r="F806" s="438"/>
      <c r="G806" s="7"/>
      <c r="H806" s="7"/>
      <c r="I806" s="7"/>
      <c r="K806" s="7"/>
      <c r="L806" s="7"/>
      <c r="M806" s="7"/>
      <c r="N806" s="7"/>
      <c r="O806" s="7"/>
      <c r="P806" s="7"/>
      <c r="R806" s="7"/>
      <c r="S806" s="7"/>
    </row>
    <row r="807" spans="1:19" ht="14.1" customHeight="1" x14ac:dyDescent="0.2">
      <c r="A807" s="116">
        <f ca="1">IF($H807="UNIDADE CONSTRUTIVA",OFFSET(A807,-1,0)+1,LARGE(A$3:A806,1))</f>
        <v>0</v>
      </c>
      <c r="B807" s="116">
        <f t="shared" ca="1" si="128"/>
        <v>22</v>
      </c>
      <c r="C807" s="116">
        <f t="shared" ca="1" si="129"/>
        <v>1</v>
      </c>
      <c r="D807" s="117">
        <f t="shared" ca="1" si="130"/>
        <v>1</v>
      </c>
      <c r="E807" s="117">
        <f t="shared" ca="1" si="131"/>
        <v>1</v>
      </c>
      <c r="F807" s="438"/>
      <c r="G807" s="7"/>
      <c r="H807" s="7"/>
      <c r="I807" s="7"/>
      <c r="K807" s="7"/>
      <c r="L807" s="7"/>
      <c r="M807" s="7"/>
      <c r="N807" s="7"/>
      <c r="O807" s="7"/>
      <c r="P807" s="7"/>
      <c r="R807" s="7"/>
      <c r="S807" s="7"/>
    </row>
    <row r="808" spans="1:19" ht="14.1" customHeight="1" x14ac:dyDescent="0.2">
      <c r="A808" s="116">
        <f ca="1">IF($H808="UNIDADE CONSTRUTIVA",OFFSET(A808,-1,0)+1,LARGE(A$3:A807,1))</f>
        <v>0</v>
      </c>
      <c r="B808" s="116">
        <f t="shared" ca="1" si="128"/>
        <v>22</v>
      </c>
      <c r="C808" s="116">
        <f t="shared" ca="1" si="129"/>
        <v>1</v>
      </c>
      <c r="D808" s="117">
        <f t="shared" ca="1" si="130"/>
        <v>1</v>
      </c>
      <c r="E808" s="117">
        <f t="shared" ca="1" si="131"/>
        <v>1</v>
      </c>
      <c r="F808" s="438"/>
      <c r="G808" s="7"/>
      <c r="H808" s="7"/>
      <c r="I808" s="7"/>
      <c r="K808" s="7"/>
      <c r="L808" s="7"/>
      <c r="M808" s="7"/>
      <c r="N808" s="7"/>
      <c r="O808" s="7"/>
      <c r="P808" s="7"/>
      <c r="R808" s="7"/>
      <c r="S808" s="7"/>
    </row>
    <row r="809" spans="1:19" ht="14.1" customHeight="1" x14ac:dyDescent="0.2">
      <c r="A809" s="116">
        <f ca="1">IF($H809="UNIDADE CONSTRUTIVA",OFFSET(A809,-1,0)+1,LARGE(A$3:A808,1))</f>
        <v>0</v>
      </c>
      <c r="B809" s="116">
        <f t="shared" ca="1" si="128"/>
        <v>22</v>
      </c>
      <c r="C809" s="116">
        <f t="shared" ca="1" si="129"/>
        <v>1</v>
      </c>
      <c r="D809" s="117">
        <f t="shared" ca="1" si="130"/>
        <v>1</v>
      </c>
      <c r="E809" s="117">
        <f t="shared" ca="1" si="131"/>
        <v>1</v>
      </c>
      <c r="F809" s="438"/>
      <c r="G809" s="7"/>
      <c r="H809" s="7"/>
      <c r="I809" s="7"/>
      <c r="K809" s="7"/>
      <c r="L809" s="7"/>
      <c r="M809" s="7"/>
      <c r="N809" s="7"/>
      <c r="O809" s="7"/>
      <c r="P809" s="7"/>
      <c r="R809" s="7"/>
      <c r="S809" s="7"/>
    </row>
    <row r="810" spans="1:19" ht="14.1" customHeight="1" x14ac:dyDescent="0.2">
      <c r="A810" s="116">
        <f ca="1">IF($H810="UNIDADE CONSTRUTIVA",OFFSET(A810,-1,0)+1,LARGE(A$3:A809,1))</f>
        <v>0</v>
      </c>
      <c r="B810" s="116">
        <f t="shared" ca="1" si="128"/>
        <v>22</v>
      </c>
      <c r="C810" s="116">
        <f t="shared" ca="1" si="129"/>
        <v>1</v>
      </c>
      <c r="D810" s="117">
        <f t="shared" ca="1" si="130"/>
        <v>1</v>
      </c>
      <c r="E810" s="117">
        <f t="shared" ca="1" si="131"/>
        <v>1</v>
      </c>
      <c r="F810" s="438"/>
      <c r="G810" s="7"/>
      <c r="H810" s="7"/>
      <c r="I810" s="7"/>
      <c r="K810" s="7"/>
      <c r="L810" s="7"/>
      <c r="M810" s="7"/>
      <c r="N810" s="7"/>
      <c r="O810" s="7"/>
      <c r="P810" s="7"/>
      <c r="R810" s="7"/>
      <c r="S810" s="7"/>
    </row>
    <row r="811" spans="1:19" ht="14.1" customHeight="1" x14ac:dyDescent="0.2">
      <c r="A811" s="116">
        <f ca="1">IF($H811="UNIDADE CONSTRUTIVA",OFFSET(A811,-1,0)+1,LARGE(A$3:A810,1))</f>
        <v>0</v>
      </c>
      <c r="B811" s="116">
        <f t="shared" ca="1" si="128"/>
        <v>22</v>
      </c>
      <c r="C811" s="116">
        <f t="shared" ca="1" si="129"/>
        <v>1</v>
      </c>
      <c r="D811" s="117">
        <f t="shared" ca="1" si="130"/>
        <v>1</v>
      </c>
      <c r="E811" s="117">
        <f t="shared" ca="1" si="131"/>
        <v>1</v>
      </c>
      <c r="F811" s="438"/>
      <c r="G811" s="7"/>
      <c r="H811" s="7"/>
      <c r="I811" s="7"/>
      <c r="K811" s="7"/>
      <c r="L811" s="7"/>
      <c r="M811" s="7"/>
      <c r="N811" s="7"/>
      <c r="O811" s="7"/>
      <c r="P811" s="7"/>
      <c r="R811" s="7"/>
      <c r="S811" s="7"/>
    </row>
    <row r="812" spans="1:19" ht="14.1" customHeight="1" x14ac:dyDescent="0.2">
      <c r="A812" s="116">
        <f ca="1">IF($H812="UNIDADE CONSTRUTIVA",OFFSET(A812,-1,0)+1,LARGE(A$3:A811,1))</f>
        <v>0</v>
      </c>
      <c r="B812" s="116">
        <f t="shared" ca="1" si="128"/>
        <v>22</v>
      </c>
      <c r="C812" s="116">
        <f t="shared" ca="1" si="129"/>
        <v>1</v>
      </c>
      <c r="D812" s="117">
        <f t="shared" ca="1" si="130"/>
        <v>1</v>
      </c>
      <c r="E812" s="117">
        <f t="shared" ca="1" si="131"/>
        <v>1</v>
      </c>
      <c r="F812" s="438"/>
      <c r="G812" s="7"/>
      <c r="H812" s="7"/>
      <c r="I812" s="7"/>
      <c r="K812" s="7"/>
      <c r="L812" s="7"/>
      <c r="M812" s="7"/>
      <c r="N812" s="7"/>
      <c r="O812" s="7"/>
      <c r="P812" s="7"/>
      <c r="R812" s="7"/>
      <c r="S812" s="7"/>
    </row>
    <row r="813" spans="1:19" ht="14.1" customHeight="1" x14ac:dyDescent="0.2">
      <c r="A813" s="116">
        <f ca="1">IF($H813="UNIDADE CONSTRUTIVA",OFFSET(A813,-1,0)+1,LARGE(A$3:A812,1))</f>
        <v>0</v>
      </c>
      <c r="B813" s="116">
        <f t="shared" ca="1" si="128"/>
        <v>22</v>
      </c>
      <c r="C813" s="116">
        <f t="shared" ca="1" si="129"/>
        <v>1</v>
      </c>
      <c r="D813" s="117">
        <f t="shared" ca="1" si="130"/>
        <v>1</v>
      </c>
      <c r="E813" s="117">
        <f t="shared" ca="1" si="131"/>
        <v>1</v>
      </c>
      <c r="F813" s="438"/>
      <c r="G813" s="7"/>
      <c r="H813" s="7"/>
      <c r="I813" s="7"/>
      <c r="K813" s="7"/>
      <c r="L813" s="7"/>
      <c r="M813" s="7"/>
      <c r="N813" s="7"/>
      <c r="O813" s="7"/>
      <c r="P813" s="7"/>
      <c r="R813" s="7"/>
      <c r="S813" s="7"/>
    </row>
    <row r="814" spans="1:19" ht="14.1" customHeight="1" x14ac:dyDescent="0.2">
      <c r="A814" s="116">
        <f ca="1">IF($H814="UNIDADE CONSTRUTIVA",OFFSET(A814,-1,0)+1,LARGE(A$3:A813,1))</f>
        <v>0</v>
      </c>
      <c r="B814" s="116">
        <f t="shared" ref="B814:B877" ca="1" si="132">IF(H814="UNIDADE CONSTRUTIVA",0,IF(H814="CÉLULA CONSTRUTIVA",OFFSET(B814,-1,0)+1,OFFSET(B814,-1,0)))</f>
        <v>22</v>
      </c>
      <c r="C814" s="116">
        <f t="shared" ref="C814:C877" ca="1" si="133">IF(H814="CÉLULA CONSTRUTIVA",0,IF(H814="ETAPA",OFFSET(C814,-1,0)+1,OFFSET(C814,-1,0)))</f>
        <v>1</v>
      </c>
      <c r="D814" s="117">
        <f t="shared" ref="D814:D877" ca="1" si="134">IF(H814="ETAPA",0,IF(H814="SUBETAPA",OFFSET(D814,-1,0)+1,OFFSET(D814,-1,0)))</f>
        <v>1</v>
      </c>
      <c r="E814" s="117">
        <f t="shared" ref="E814:E877" ca="1" si="135">IF(H814="Subetapa",0,IF(H814="serviço",OFFSET(E814,-1,0)+1,OFFSET(E814,-1,0)))</f>
        <v>1</v>
      </c>
      <c r="F814" s="438"/>
      <c r="G814" s="7"/>
      <c r="H814" s="7"/>
      <c r="I814" s="7"/>
      <c r="K814" s="7"/>
      <c r="L814" s="7"/>
      <c r="M814" s="7"/>
      <c r="N814" s="7"/>
      <c r="O814" s="7"/>
      <c r="P814" s="7"/>
      <c r="R814" s="7"/>
      <c r="S814" s="7"/>
    </row>
    <row r="815" spans="1:19" ht="14.1" customHeight="1" x14ac:dyDescent="0.2">
      <c r="A815" s="116">
        <f ca="1">IF($H815="UNIDADE CONSTRUTIVA",OFFSET(A815,-1,0)+1,LARGE(A$3:A814,1))</f>
        <v>0</v>
      </c>
      <c r="B815" s="116">
        <f t="shared" ca="1" si="132"/>
        <v>22</v>
      </c>
      <c r="C815" s="116">
        <f t="shared" ca="1" si="133"/>
        <v>1</v>
      </c>
      <c r="D815" s="117">
        <f t="shared" ca="1" si="134"/>
        <v>1</v>
      </c>
      <c r="E815" s="117">
        <f t="shared" ca="1" si="135"/>
        <v>1</v>
      </c>
      <c r="F815" s="438"/>
      <c r="G815" s="7"/>
      <c r="H815" s="7"/>
      <c r="I815" s="7"/>
      <c r="K815" s="7"/>
      <c r="L815" s="7"/>
      <c r="M815" s="7"/>
      <c r="N815" s="7"/>
      <c r="O815" s="7"/>
      <c r="P815" s="7"/>
      <c r="R815" s="7"/>
      <c r="S815" s="7"/>
    </row>
    <row r="816" spans="1:19" ht="14.1" customHeight="1" x14ac:dyDescent="0.2">
      <c r="A816" s="116">
        <f ca="1">IF($H816="UNIDADE CONSTRUTIVA",OFFSET(A816,-1,0)+1,LARGE(A$3:A815,1))</f>
        <v>0</v>
      </c>
      <c r="B816" s="116">
        <f t="shared" ca="1" si="132"/>
        <v>22</v>
      </c>
      <c r="C816" s="116">
        <f t="shared" ca="1" si="133"/>
        <v>1</v>
      </c>
      <c r="D816" s="117">
        <f t="shared" ca="1" si="134"/>
        <v>1</v>
      </c>
      <c r="E816" s="117">
        <f t="shared" ca="1" si="135"/>
        <v>1</v>
      </c>
      <c r="F816" s="438"/>
      <c r="G816" s="7"/>
      <c r="H816" s="7"/>
      <c r="I816" s="7"/>
      <c r="K816" s="7"/>
      <c r="L816" s="7"/>
      <c r="M816" s="7"/>
      <c r="N816" s="7"/>
      <c r="O816" s="7"/>
      <c r="P816" s="7"/>
      <c r="R816" s="7"/>
      <c r="S816" s="7"/>
    </row>
    <row r="817" spans="1:19" ht="14.1" customHeight="1" x14ac:dyDescent="0.2">
      <c r="A817" s="116">
        <f ca="1">IF($H817="UNIDADE CONSTRUTIVA",OFFSET(A817,-1,0)+1,LARGE(A$3:A816,1))</f>
        <v>0</v>
      </c>
      <c r="B817" s="116">
        <f t="shared" ca="1" si="132"/>
        <v>22</v>
      </c>
      <c r="C817" s="116">
        <f t="shared" ca="1" si="133"/>
        <v>1</v>
      </c>
      <c r="D817" s="117">
        <f t="shared" ca="1" si="134"/>
        <v>1</v>
      </c>
      <c r="E817" s="117">
        <f t="shared" ca="1" si="135"/>
        <v>1</v>
      </c>
      <c r="F817" s="438"/>
      <c r="G817" s="7"/>
      <c r="H817" s="7"/>
      <c r="I817" s="7"/>
      <c r="K817" s="7"/>
      <c r="L817" s="7"/>
      <c r="M817" s="7"/>
      <c r="N817" s="7"/>
      <c r="O817" s="7"/>
      <c r="P817" s="7"/>
      <c r="R817" s="7"/>
      <c r="S817" s="7"/>
    </row>
    <row r="818" spans="1:19" ht="14.1" customHeight="1" x14ac:dyDescent="0.2">
      <c r="A818" s="116">
        <f ca="1">IF($H818="UNIDADE CONSTRUTIVA",OFFSET(A818,-1,0)+1,LARGE(A$3:A817,1))</f>
        <v>0</v>
      </c>
      <c r="B818" s="116">
        <f t="shared" ca="1" si="132"/>
        <v>22</v>
      </c>
      <c r="C818" s="116">
        <f t="shared" ca="1" si="133"/>
        <v>1</v>
      </c>
      <c r="D818" s="117">
        <f t="shared" ca="1" si="134"/>
        <v>1</v>
      </c>
      <c r="E818" s="117">
        <f t="shared" ca="1" si="135"/>
        <v>1</v>
      </c>
      <c r="F818" s="438"/>
      <c r="G818" s="7"/>
      <c r="H818" s="7"/>
      <c r="I818" s="7"/>
      <c r="K818" s="7"/>
      <c r="L818" s="7"/>
      <c r="M818" s="7"/>
      <c r="N818" s="7"/>
      <c r="O818" s="7"/>
      <c r="P818" s="7"/>
      <c r="R818" s="7"/>
      <c r="S818" s="7"/>
    </row>
    <row r="819" spans="1:19" ht="14.1" customHeight="1" x14ac:dyDescent="0.2">
      <c r="A819" s="116">
        <f ca="1">IF($H819="UNIDADE CONSTRUTIVA",OFFSET(A819,-1,0)+1,LARGE(A$3:A818,1))</f>
        <v>0</v>
      </c>
      <c r="B819" s="116">
        <f t="shared" ca="1" si="132"/>
        <v>22</v>
      </c>
      <c r="C819" s="116">
        <f t="shared" ca="1" si="133"/>
        <v>1</v>
      </c>
      <c r="D819" s="117">
        <f t="shared" ca="1" si="134"/>
        <v>1</v>
      </c>
      <c r="E819" s="117">
        <f t="shared" ca="1" si="135"/>
        <v>1</v>
      </c>
      <c r="F819" s="438"/>
      <c r="G819" s="7"/>
      <c r="H819" s="7"/>
      <c r="I819" s="7"/>
      <c r="K819" s="7"/>
      <c r="L819" s="7"/>
      <c r="M819" s="7"/>
      <c r="N819" s="7"/>
      <c r="O819" s="7"/>
      <c r="P819" s="7"/>
      <c r="R819" s="7"/>
      <c r="S819" s="7"/>
    </row>
    <row r="820" spans="1:19" ht="14.1" customHeight="1" x14ac:dyDescent="0.2">
      <c r="A820" s="116">
        <f ca="1">IF($H820="UNIDADE CONSTRUTIVA",OFFSET(A820,-1,0)+1,LARGE(A$3:A819,1))</f>
        <v>0</v>
      </c>
      <c r="B820" s="116">
        <f t="shared" ca="1" si="132"/>
        <v>22</v>
      </c>
      <c r="C820" s="116">
        <f t="shared" ca="1" si="133"/>
        <v>1</v>
      </c>
      <c r="D820" s="117">
        <f t="shared" ca="1" si="134"/>
        <v>1</v>
      </c>
      <c r="E820" s="117">
        <f t="shared" ca="1" si="135"/>
        <v>1</v>
      </c>
      <c r="F820" s="438"/>
      <c r="G820" s="7"/>
      <c r="H820" s="7"/>
      <c r="I820" s="7"/>
      <c r="K820" s="7"/>
      <c r="L820" s="7"/>
      <c r="M820" s="7"/>
      <c r="N820" s="7"/>
      <c r="O820" s="7"/>
      <c r="P820" s="7"/>
      <c r="R820" s="7"/>
      <c r="S820" s="7"/>
    </row>
    <row r="821" spans="1:19" ht="14.1" customHeight="1" x14ac:dyDescent="0.2">
      <c r="A821" s="116">
        <f ca="1">IF($H821="UNIDADE CONSTRUTIVA",OFFSET(A821,-1,0)+1,LARGE(A$3:A820,1))</f>
        <v>0</v>
      </c>
      <c r="B821" s="116">
        <f t="shared" ca="1" si="132"/>
        <v>22</v>
      </c>
      <c r="C821" s="116">
        <f t="shared" ca="1" si="133"/>
        <v>1</v>
      </c>
      <c r="D821" s="117">
        <f t="shared" ca="1" si="134"/>
        <v>1</v>
      </c>
      <c r="E821" s="117">
        <f t="shared" ca="1" si="135"/>
        <v>1</v>
      </c>
      <c r="F821" s="438"/>
      <c r="G821" s="7"/>
      <c r="H821" s="7"/>
      <c r="I821" s="7"/>
      <c r="K821" s="7"/>
      <c r="L821" s="7"/>
      <c r="M821" s="7"/>
      <c r="N821" s="7"/>
      <c r="O821" s="7"/>
      <c r="P821" s="7"/>
      <c r="R821" s="7"/>
      <c r="S821" s="7"/>
    </row>
    <row r="822" spans="1:19" ht="14.1" customHeight="1" x14ac:dyDescent="0.2">
      <c r="A822" s="116">
        <f ca="1">IF($H822="UNIDADE CONSTRUTIVA",OFFSET(A822,-1,0)+1,LARGE(A$3:A821,1))</f>
        <v>0</v>
      </c>
      <c r="B822" s="116">
        <f t="shared" ca="1" si="132"/>
        <v>22</v>
      </c>
      <c r="C822" s="116">
        <f t="shared" ca="1" si="133"/>
        <v>1</v>
      </c>
      <c r="D822" s="117">
        <f t="shared" ca="1" si="134"/>
        <v>1</v>
      </c>
      <c r="E822" s="117">
        <f t="shared" ca="1" si="135"/>
        <v>1</v>
      </c>
      <c r="F822" s="438"/>
      <c r="G822" s="7"/>
      <c r="H822" s="7"/>
      <c r="I822" s="7"/>
      <c r="K822" s="7"/>
      <c r="L822" s="7"/>
      <c r="M822" s="7"/>
      <c r="N822" s="7"/>
      <c r="O822" s="7"/>
      <c r="P822" s="7"/>
      <c r="R822" s="7"/>
      <c r="S822" s="7"/>
    </row>
    <row r="823" spans="1:19" ht="14.1" customHeight="1" x14ac:dyDescent="0.2">
      <c r="A823" s="116">
        <f ca="1">IF($H823="UNIDADE CONSTRUTIVA",OFFSET(A823,-1,0)+1,LARGE(A$3:A822,1))</f>
        <v>0</v>
      </c>
      <c r="B823" s="116">
        <f t="shared" ca="1" si="132"/>
        <v>22</v>
      </c>
      <c r="C823" s="116">
        <f t="shared" ca="1" si="133"/>
        <v>1</v>
      </c>
      <c r="D823" s="117">
        <f t="shared" ca="1" si="134"/>
        <v>1</v>
      </c>
      <c r="E823" s="117">
        <f t="shared" ca="1" si="135"/>
        <v>1</v>
      </c>
      <c r="F823" s="438"/>
      <c r="G823" s="7"/>
      <c r="H823" s="7"/>
      <c r="I823" s="7"/>
      <c r="K823" s="7"/>
      <c r="L823" s="7"/>
      <c r="M823" s="7"/>
      <c r="N823" s="7"/>
      <c r="O823" s="7"/>
      <c r="P823" s="7"/>
      <c r="R823" s="7"/>
      <c r="S823" s="7"/>
    </row>
    <row r="824" spans="1:19" ht="14.1" customHeight="1" x14ac:dyDescent="0.2">
      <c r="A824" s="116">
        <f ca="1">IF($H824="UNIDADE CONSTRUTIVA",OFFSET(A824,-1,0)+1,LARGE(A$3:A823,1))</f>
        <v>0</v>
      </c>
      <c r="B824" s="116">
        <f t="shared" ca="1" si="132"/>
        <v>22</v>
      </c>
      <c r="C824" s="116">
        <f t="shared" ca="1" si="133"/>
        <v>1</v>
      </c>
      <c r="D824" s="117">
        <f t="shared" ca="1" si="134"/>
        <v>1</v>
      </c>
      <c r="E824" s="117">
        <f t="shared" ca="1" si="135"/>
        <v>1</v>
      </c>
      <c r="F824" s="438"/>
      <c r="G824" s="7"/>
      <c r="H824" s="7"/>
      <c r="I824" s="7"/>
      <c r="K824" s="7"/>
      <c r="L824" s="7"/>
      <c r="M824" s="7"/>
      <c r="N824" s="7"/>
      <c r="O824" s="7"/>
      <c r="P824" s="7"/>
      <c r="R824" s="7"/>
      <c r="S824" s="7"/>
    </row>
    <row r="825" spans="1:19" ht="14.1" customHeight="1" x14ac:dyDescent="0.2">
      <c r="A825" s="116">
        <f ca="1">IF($H825="UNIDADE CONSTRUTIVA",OFFSET(A825,-1,0)+1,LARGE(A$3:A824,1))</f>
        <v>0</v>
      </c>
      <c r="B825" s="116">
        <f t="shared" ca="1" si="132"/>
        <v>22</v>
      </c>
      <c r="C825" s="116">
        <f t="shared" ca="1" si="133"/>
        <v>1</v>
      </c>
      <c r="D825" s="117">
        <f t="shared" ca="1" si="134"/>
        <v>1</v>
      </c>
      <c r="E825" s="117">
        <f t="shared" ca="1" si="135"/>
        <v>1</v>
      </c>
      <c r="F825" s="438"/>
      <c r="G825" s="7"/>
      <c r="H825" s="7"/>
      <c r="I825" s="7"/>
      <c r="K825" s="7"/>
      <c r="L825" s="7"/>
      <c r="M825" s="7"/>
      <c r="N825" s="7"/>
      <c r="O825" s="7"/>
      <c r="P825" s="7"/>
      <c r="R825" s="7"/>
      <c r="S825" s="7"/>
    </row>
    <row r="826" spans="1:19" ht="14.1" customHeight="1" x14ac:dyDescent="0.2">
      <c r="A826" s="116">
        <f ca="1">IF($H826="UNIDADE CONSTRUTIVA",OFFSET(A826,-1,0)+1,LARGE(A$3:A825,1))</f>
        <v>0</v>
      </c>
      <c r="B826" s="116">
        <f t="shared" ca="1" si="132"/>
        <v>22</v>
      </c>
      <c r="C826" s="116">
        <f t="shared" ca="1" si="133"/>
        <v>1</v>
      </c>
      <c r="D826" s="117">
        <f t="shared" ca="1" si="134"/>
        <v>1</v>
      </c>
      <c r="E826" s="117">
        <f t="shared" ca="1" si="135"/>
        <v>1</v>
      </c>
      <c r="F826" s="438"/>
      <c r="G826" s="7"/>
      <c r="H826" s="7"/>
      <c r="I826" s="7"/>
      <c r="K826" s="7"/>
      <c r="L826" s="7"/>
      <c r="M826" s="7"/>
      <c r="N826" s="7"/>
      <c r="O826" s="7"/>
      <c r="P826" s="7"/>
      <c r="R826" s="7"/>
      <c r="S826" s="7"/>
    </row>
    <row r="827" spans="1:19" ht="14.1" customHeight="1" x14ac:dyDescent="0.2">
      <c r="A827" s="116">
        <f ca="1">IF($H827="UNIDADE CONSTRUTIVA",OFFSET(A827,-1,0)+1,LARGE(A$3:A826,1))</f>
        <v>0</v>
      </c>
      <c r="B827" s="116">
        <f t="shared" ca="1" si="132"/>
        <v>22</v>
      </c>
      <c r="C827" s="116">
        <f t="shared" ca="1" si="133"/>
        <v>1</v>
      </c>
      <c r="D827" s="117">
        <f t="shared" ca="1" si="134"/>
        <v>1</v>
      </c>
      <c r="E827" s="117">
        <f t="shared" ca="1" si="135"/>
        <v>1</v>
      </c>
      <c r="F827" s="438"/>
      <c r="G827" s="7"/>
      <c r="H827" s="7"/>
      <c r="I827" s="7"/>
      <c r="K827" s="7"/>
      <c r="L827" s="7"/>
      <c r="M827" s="7"/>
      <c r="N827" s="7"/>
      <c r="O827" s="7"/>
      <c r="P827" s="7"/>
      <c r="R827" s="7"/>
      <c r="S827" s="7"/>
    </row>
    <row r="828" spans="1:19" ht="14.1" customHeight="1" x14ac:dyDescent="0.2">
      <c r="A828" s="116">
        <f ca="1">IF($H828="UNIDADE CONSTRUTIVA",OFFSET(A828,-1,0)+1,LARGE(A$3:A827,1))</f>
        <v>0</v>
      </c>
      <c r="B828" s="116">
        <f t="shared" ca="1" si="132"/>
        <v>22</v>
      </c>
      <c r="C828" s="116">
        <f t="shared" ca="1" si="133"/>
        <v>1</v>
      </c>
      <c r="D828" s="117">
        <f t="shared" ca="1" si="134"/>
        <v>1</v>
      </c>
      <c r="E828" s="117">
        <f t="shared" ca="1" si="135"/>
        <v>1</v>
      </c>
      <c r="F828" s="438"/>
      <c r="G828" s="7"/>
      <c r="H828" s="7"/>
      <c r="I828" s="7"/>
      <c r="K828" s="7"/>
      <c r="L828" s="7"/>
      <c r="M828" s="7"/>
      <c r="N828" s="7"/>
      <c r="O828" s="7"/>
      <c r="P828" s="7"/>
      <c r="R828" s="7"/>
      <c r="S828" s="7"/>
    </row>
    <row r="829" spans="1:19" ht="14.1" customHeight="1" x14ac:dyDescent="0.2">
      <c r="A829" s="116">
        <f ca="1">IF($H829="UNIDADE CONSTRUTIVA",OFFSET(A829,-1,0)+1,LARGE(A$3:A828,1))</f>
        <v>0</v>
      </c>
      <c r="B829" s="116">
        <f t="shared" ca="1" si="132"/>
        <v>22</v>
      </c>
      <c r="C829" s="116">
        <f t="shared" ca="1" si="133"/>
        <v>1</v>
      </c>
      <c r="D829" s="117">
        <f t="shared" ca="1" si="134"/>
        <v>1</v>
      </c>
      <c r="E829" s="117">
        <f t="shared" ca="1" si="135"/>
        <v>1</v>
      </c>
      <c r="F829" s="438"/>
      <c r="G829" s="7"/>
      <c r="H829" s="7"/>
      <c r="I829" s="7"/>
      <c r="K829" s="7"/>
      <c r="L829" s="7"/>
      <c r="M829" s="7"/>
      <c r="N829" s="7"/>
      <c r="O829" s="7"/>
      <c r="P829" s="7"/>
      <c r="R829" s="7"/>
      <c r="S829" s="7"/>
    </row>
    <row r="830" spans="1:19" ht="14.1" customHeight="1" x14ac:dyDescent="0.2">
      <c r="A830" s="116">
        <f ca="1">IF($H830="UNIDADE CONSTRUTIVA",OFFSET(A830,-1,0)+1,LARGE(A$3:A829,1))</f>
        <v>0</v>
      </c>
      <c r="B830" s="116">
        <f t="shared" ca="1" si="132"/>
        <v>22</v>
      </c>
      <c r="C830" s="116">
        <f t="shared" ca="1" si="133"/>
        <v>1</v>
      </c>
      <c r="D830" s="117">
        <f t="shared" ca="1" si="134"/>
        <v>1</v>
      </c>
      <c r="E830" s="117">
        <f t="shared" ca="1" si="135"/>
        <v>1</v>
      </c>
      <c r="F830" s="438"/>
      <c r="G830" s="7"/>
      <c r="H830" s="7"/>
      <c r="I830" s="7"/>
      <c r="K830" s="7"/>
      <c r="L830" s="7"/>
      <c r="M830" s="7"/>
      <c r="N830" s="7"/>
      <c r="O830" s="7"/>
      <c r="P830" s="7"/>
      <c r="R830" s="7"/>
      <c r="S830" s="7"/>
    </row>
    <row r="831" spans="1:19" ht="14.1" customHeight="1" x14ac:dyDescent="0.2">
      <c r="A831" s="116">
        <f ca="1">IF($H831="UNIDADE CONSTRUTIVA",OFFSET(A831,-1,0)+1,LARGE(A$3:A830,1))</f>
        <v>0</v>
      </c>
      <c r="B831" s="116">
        <f t="shared" ca="1" si="132"/>
        <v>22</v>
      </c>
      <c r="C831" s="116">
        <f t="shared" ca="1" si="133"/>
        <v>1</v>
      </c>
      <c r="D831" s="117">
        <f t="shared" ca="1" si="134"/>
        <v>1</v>
      </c>
      <c r="E831" s="117">
        <f t="shared" ca="1" si="135"/>
        <v>1</v>
      </c>
      <c r="F831" s="438"/>
      <c r="G831" s="7"/>
      <c r="H831" s="7"/>
      <c r="I831" s="7"/>
      <c r="K831" s="7"/>
      <c r="L831" s="7"/>
      <c r="M831" s="7"/>
      <c r="N831" s="7"/>
      <c r="O831" s="7"/>
      <c r="P831" s="7"/>
      <c r="R831" s="7"/>
      <c r="S831" s="7"/>
    </row>
    <row r="832" spans="1:19" ht="14.1" customHeight="1" x14ac:dyDescent="0.2">
      <c r="A832" s="116">
        <f ca="1">IF($H832="UNIDADE CONSTRUTIVA",OFFSET(A832,-1,0)+1,LARGE(A$3:A831,1))</f>
        <v>0</v>
      </c>
      <c r="B832" s="116">
        <f t="shared" ca="1" si="132"/>
        <v>22</v>
      </c>
      <c r="C832" s="116">
        <f t="shared" ca="1" si="133"/>
        <v>1</v>
      </c>
      <c r="D832" s="117">
        <f t="shared" ca="1" si="134"/>
        <v>1</v>
      </c>
      <c r="E832" s="117">
        <f t="shared" ca="1" si="135"/>
        <v>1</v>
      </c>
      <c r="F832" s="438"/>
      <c r="G832" s="7"/>
      <c r="H832" s="7"/>
      <c r="I832" s="7"/>
      <c r="K832" s="7"/>
      <c r="L832" s="7"/>
      <c r="M832" s="7"/>
      <c r="N832" s="7"/>
      <c r="O832" s="7"/>
      <c r="P832" s="7"/>
      <c r="R832" s="7"/>
      <c r="S832" s="7"/>
    </row>
    <row r="833" spans="1:19" ht="14.1" customHeight="1" x14ac:dyDescent="0.2">
      <c r="A833" s="116">
        <f ca="1">IF($H833="UNIDADE CONSTRUTIVA",OFFSET(A833,-1,0)+1,LARGE(A$3:A832,1))</f>
        <v>0</v>
      </c>
      <c r="B833" s="116">
        <f t="shared" ca="1" si="132"/>
        <v>22</v>
      </c>
      <c r="C833" s="116">
        <f t="shared" ca="1" si="133"/>
        <v>1</v>
      </c>
      <c r="D833" s="117">
        <f t="shared" ca="1" si="134"/>
        <v>1</v>
      </c>
      <c r="E833" s="117">
        <f t="shared" ca="1" si="135"/>
        <v>1</v>
      </c>
      <c r="F833" s="438"/>
      <c r="G833" s="7"/>
      <c r="H833" s="7"/>
      <c r="I833" s="7"/>
      <c r="K833" s="7"/>
      <c r="L833" s="7"/>
      <c r="M833" s="7"/>
      <c r="N833" s="7"/>
      <c r="O833" s="7"/>
      <c r="P833" s="7"/>
      <c r="R833" s="7"/>
      <c r="S833" s="7"/>
    </row>
    <row r="834" spans="1:19" ht="14.1" customHeight="1" x14ac:dyDescent="0.2">
      <c r="A834" s="116">
        <f ca="1">IF($H834="UNIDADE CONSTRUTIVA",OFFSET(A834,-1,0)+1,LARGE(A$3:A833,1))</f>
        <v>0</v>
      </c>
      <c r="B834" s="116">
        <f t="shared" ca="1" si="132"/>
        <v>22</v>
      </c>
      <c r="C834" s="116">
        <f t="shared" ca="1" si="133"/>
        <v>1</v>
      </c>
      <c r="D834" s="117">
        <f t="shared" ca="1" si="134"/>
        <v>1</v>
      </c>
      <c r="E834" s="117">
        <f t="shared" ca="1" si="135"/>
        <v>1</v>
      </c>
      <c r="F834" s="438"/>
      <c r="G834" s="7"/>
      <c r="H834" s="7"/>
      <c r="I834" s="7"/>
      <c r="K834" s="7"/>
      <c r="L834" s="7"/>
      <c r="M834" s="7"/>
      <c r="N834" s="7"/>
      <c r="O834" s="7"/>
      <c r="P834" s="7"/>
      <c r="R834" s="7"/>
      <c r="S834" s="7"/>
    </row>
    <row r="835" spans="1:19" ht="14.1" customHeight="1" x14ac:dyDescent="0.2">
      <c r="A835" s="116">
        <f ca="1">IF($H835="UNIDADE CONSTRUTIVA",OFFSET(A835,-1,0)+1,LARGE(A$3:A834,1))</f>
        <v>0</v>
      </c>
      <c r="B835" s="116">
        <f t="shared" ca="1" si="132"/>
        <v>22</v>
      </c>
      <c r="C835" s="116">
        <f t="shared" ca="1" si="133"/>
        <v>1</v>
      </c>
      <c r="D835" s="117">
        <f t="shared" ca="1" si="134"/>
        <v>1</v>
      </c>
      <c r="E835" s="117">
        <f t="shared" ca="1" si="135"/>
        <v>1</v>
      </c>
      <c r="F835" s="438"/>
      <c r="G835" s="7"/>
      <c r="H835" s="7"/>
      <c r="I835" s="7"/>
      <c r="K835" s="7"/>
      <c r="L835" s="7"/>
      <c r="M835" s="7"/>
      <c r="N835" s="7"/>
      <c r="O835" s="7"/>
      <c r="P835" s="7"/>
      <c r="R835" s="7"/>
      <c r="S835" s="7"/>
    </row>
    <row r="836" spans="1:19" ht="14.1" customHeight="1" x14ac:dyDescent="0.2">
      <c r="A836" s="116">
        <f ca="1">IF($H836="UNIDADE CONSTRUTIVA",OFFSET(A836,-1,0)+1,LARGE(A$3:A835,1))</f>
        <v>0</v>
      </c>
      <c r="B836" s="116">
        <f t="shared" ca="1" si="132"/>
        <v>22</v>
      </c>
      <c r="C836" s="116">
        <f t="shared" ca="1" si="133"/>
        <v>1</v>
      </c>
      <c r="D836" s="117">
        <f t="shared" ca="1" si="134"/>
        <v>1</v>
      </c>
      <c r="E836" s="117">
        <f t="shared" ca="1" si="135"/>
        <v>1</v>
      </c>
      <c r="F836" s="438"/>
      <c r="G836" s="7"/>
      <c r="H836" s="7"/>
      <c r="I836" s="7"/>
      <c r="K836" s="7"/>
      <c r="L836" s="7"/>
      <c r="M836" s="7"/>
      <c r="N836" s="7"/>
      <c r="O836" s="7"/>
      <c r="P836" s="7"/>
      <c r="R836" s="7"/>
      <c r="S836" s="7"/>
    </row>
    <row r="837" spans="1:19" ht="14.1" customHeight="1" x14ac:dyDescent="0.2">
      <c r="A837" s="116">
        <f ca="1">IF($H837="UNIDADE CONSTRUTIVA",OFFSET(A837,-1,0)+1,LARGE(A$3:A836,1))</f>
        <v>0</v>
      </c>
      <c r="B837" s="116">
        <f t="shared" ca="1" si="132"/>
        <v>22</v>
      </c>
      <c r="C837" s="116">
        <f t="shared" ca="1" si="133"/>
        <v>1</v>
      </c>
      <c r="D837" s="117">
        <f t="shared" ca="1" si="134"/>
        <v>1</v>
      </c>
      <c r="E837" s="117">
        <f t="shared" ca="1" si="135"/>
        <v>1</v>
      </c>
      <c r="F837" s="438"/>
      <c r="G837" s="7"/>
      <c r="H837" s="7"/>
      <c r="I837" s="7"/>
      <c r="K837" s="7"/>
      <c r="L837" s="7"/>
      <c r="M837" s="7"/>
      <c r="N837" s="7"/>
      <c r="O837" s="7"/>
      <c r="P837" s="7"/>
      <c r="R837" s="7"/>
      <c r="S837" s="7"/>
    </row>
    <row r="838" spans="1:19" ht="14.1" customHeight="1" x14ac:dyDescent="0.2">
      <c r="A838" s="116">
        <f ca="1">IF($H838="UNIDADE CONSTRUTIVA",OFFSET(A838,-1,0)+1,LARGE(A$3:A837,1))</f>
        <v>0</v>
      </c>
      <c r="B838" s="116">
        <f t="shared" ca="1" si="132"/>
        <v>22</v>
      </c>
      <c r="C838" s="116">
        <f t="shared" ca="1" si="133"/>
        <v>1</v>
      </c>
      <c r="D838" s="117">
        <f t="shared" ca="1" si="134"/>
        <v>1</v>
      </c>
      <c r="E838" s="117">
        <f t="shared" ca="1" si="135"/>
        <v>1</v>
      </c>
      <c r="F838" s="438"/>
      <c r="G838" s="7"/>
      <c r="H838" s="7"/>
      <c r="I838" s="7"/>
      <c r="K838" s="7"/>
      <c r="L838" s="7"/>
      <c r="M838" s="7"/>
      <c r="N838" s="7"/>
      <c r="O838" s="7"/>
      <c r="P838" s="7"/>
      <c r="R838" s="7"/>
      <c r="S838" s="7"/>
    </row>
    <row r="839" spans="1:19" ht="14.1" customHeight="1" x14ac:dyDescent="0.2">
      <c r="A839" s="116">
        <f ca="1">IF($H839="UNIDADE CONSTRUTIVA",OFFSET(A839,-1,0)+1,LARGE(A$3:A838,1))</f>
        <v>0</v>
      </c>
      <c r="B839" s="116">
        <f t="shared" ca="1" si="132"/>
        <v>22</v>
      </c>
      <c r="C839" s="116">
        <f t="shared" ca="1" si="133"/>
        <v>1</v>
      </c>
      <c r="D839" s="117">
        <f t="shared" ca="1" si="134"/>
        <v>1</v>
      </c>
      <c r="E839" s="117">
        <f t="shared" ca="1" si="135"/>
        <v>1</v>
      </c>
      <c r="F839" s="438"/>
      <c r="G839" s="7"/>
      <c r="H839" s="7"/>
      <c r="I839" s="7"/>
      <c r="K839" s="7"/>
      <c r="L839" s="7"/>
      <c r="M839" s="7"/>
      <c r="N839" s="7"/>
      <c r="O839" s="7"/>
      <c r="P839" s="7"/>
      <c r="R839" s="7"/>
      <c r="S839" s="7"/>
    </row>
    <row r="840" spans="1:19" ht="14.1" customHeight="1" x14ac:dyDescent="0.2">
      <c r="A840" s="116">
        <f ca="1">IF($H840="UNIDADE CONSTRUTIVA",OFFSET(A840,-1,0)+1,LARGE(A$3:A839,1))</f>
        <v>0</v>
      </c>
      <c r="B840" s="116">
        <f t="shared" ca="1" si="132"/>
        <v>22</v>
      </c>
      <c r="C840" s="116">
        <f t="shared" ca="1" si="133"/>
        <v>1</v>
      </c>
      <c r="D840" s="117">
        <f t="shared" ca="1" si="134"/>
        <v>1</v>
      </c>
      <c r="E840" s="117">
        <f t="shared" ca="1" si="135"/>
        <v>1</v>
      </c>
      <c r="F840" s="438"/>
      <c r="G840" s="7"/>
      <c r="H840" s="7"/>
      <c r="I840" s="7"/>
      <c r="K840" s="7"/>
      <c r="L840" s="7"/>
      <c r="M840" s="7"/>
      <c r="N840" s="7"/>
      <c r="O840" s="7"/>
      <c r="P840" s="7"/>
      <c r="R840" s="7"/>
      <c r="S840" s="7"/>
    </row>
    <row r="841" spans="1:19" ht="14.1" customHeight="1" x14ac:dyDescent="0.2">
      <c r="A841" s="116">
        <f ca="1">IF($H841="UNIDADE CONSTRUTIVA",OFFSET(A841,-1,0)+1,LARGE(A$3:A840,1))</f>
        <v>0</v>
      </c>
      <c r="B841" s="116">
        <f t="shared" ca="1" si="132"/>
        <v>22</v>
      </c>
      <c r="C841" s="116">
        <f t="shared" ca="1" si="133"/>
        <v>1</v>
      </c>
      <c r="D841" s="117">
        <f t="shared" ca="1" si="134"/>
        <v>1</v>
      </c>
      <c r="E841" s="117">
        <f t="shared" ca="1" si="135"/>
        <v>1</v>
      </c>
      <c r="F841" s="438"/>
      <c r="G841" s="7"/>
      <c r="H841" s="7"/>
      <c r="I841" s="7"/>
      <c r="K841" s="7"/>
      <c r="L841" s="7"/>
      <c r="M841" s="7"/>
      <c r="N841" s="7"/>
      <c r="O841" s="7"/>
      <c r="P841" s="7"/>
      <c r="R841" s="7"/>
      <c r="S841" s="7"/>
    </row>
    <row r="842" spans="1:19" ht="14.1" customHeight="1" x14ac:dyDescent="0.2">
      <c r="A842" s="116">
        <f ca="1">IF($H842="UNIDADE CONSTRUTIVA",OFFSET(A842,-1,0)+1,LARGE(A$3:A841,1))</f>
        <v>0</v>
      </c>
      <c r="B842" s="116">
        <f t="shared" ca="1" si="132"/>
        <v>22</v>
      </c>
      <c r="C842" s="116">
        <f t="shared" ca="1" si="133"/>
        <v>1</v>
      </c>
      <c r="D842" s="117">
        <f t="shared" ca="1" si="134"/>
        <v>1</v>
      </c>
      <c r="E842" s="117">
        <f t="shared" ca="1" si="135"/>
        <v>1</v>
      </c>
      <c r="F842" s="438"/>
      <c r="G842" s="7"/>
      <c r="H842" s="7"/>
      <c r="I842" s="7"/>
      <c r="K842" s="7"/>
      <c r="L842" s="7"/>
      <c r="M842" s="7"/>
      <c r="N842" s="7"/>
      <c r="O842" s="7"/>
      <c r="P842" s="7"/>
      <c r="R842" s="7"/>
      <c r="S842" s="7"/>
    </row>
    <row r="843" spans="1:19" ht="14.1" customHeight="1" x14ac:dyDescent="0.2">
      <c r="A843" s="116">
        <f ca="1">IF($H843="UNIDADE CONSTRUTIVA",OFFSET(A843,-1,0)+1,LARGE(A$3:A842,1))</f>
        <v>0</v>
      </c>
      <c r="B843" s="116">
        <f t="shared" ca="1" si="132"/>
        <v>22</v>
      </c>
      <c r="C843" s="116">
        <f t="shared" ca="1" si="133"/>
        <v>1</v>
      </c>
      <c r="D843" s="117">
        <f t="shared" ca="1" si="134"/>
        <v>1</v>
      </c>
      <c r="E843" s="117">
        <f t="shared" ca="1" si="135"/>
        <v>1</v>
      </c>
      <c r="F843" s="438"/>
      <c r="G843" s="7"/>
      <c r="H843" s="7"/>
      <c r="I843" s="7"/>
      <c r="K843" s="7"/>
      <c r="L843" s="7"/>
      <c r="M843" s="7"/>
      <c r="N843" s="7"/>
      <c r="O843" s="7"/>
      <c r="P843" s="7"/>
      <c r="R843" s="7"/>
      <c r="S843" s="7"/>
    </row>
    <row r="844" spans="1:19" ht="14.1" customHeight="1" x14ac:dyDescent="0.2">
      <c r="A844" s="116">
        <f ca="1">IF($H844="UNIDADE CONSTRUTIVA",OFFSET(A844,-1,0)+1,LARGE(A$3:A843,1))</f>
        <v>0</v>
      </c>
      <c r="B844" s="116">
        <f t="shared" ca="1" si="132"/>
        <v>22</v>
      </c>
      <c r="C844" s="116">
        <f t="shared" ca="1" si="133"/>
        <v>1</v>
      </c>
      <c r="D844" s="117">
        <f t="shared" ca="1" si="134"/>
        <v>1</v>
      </c>
      <c r="E844" s="117">
        <f t="shared" ca="1" si="135"/>
        <v>1</v>
      </c>
      <c r="F844" s="438"/>
      <c r="G844" s="7"/>
      <c r="H844" s="7"/>
      <c r="I844" s="7"/>
      <c r="K844" s="7"/>
      <c r="L844" s="7"/>
      <c r="M844" s="7"/>
      <c r="N844" s="7"/>
      <c r="O844" s="7"/>
      <c r="P844" s="7"/>
      <c r="R844" s="7"/>
      <c r="S844" s="7"/>
    </row>
    <row r="845" spans="1:19" ht="14.1" customHeight="1" x14ac:dyDescent="0.2">
      <c r="A845" s="116">
        <f ca="1">IF($H845="UNIDADE CONSTRUTIVA",OFFSET(A845,-1,0)+1,LARGE(A$3:A844,1))</f>
        <v>0</v>
      </c>
      <c r="B845" s="116">
        <f t="shared" ca="1" si="132"/>
        <v>22</v>
      </c>
      <c r="C845" s="116">
        <f t="shared" ca="1" si="133"/>
        <v>1</v>
      </c>
      <c r="D845" s="117">
        <f t="shared" ca="1" si="134"/>
        <v>1</v>
      </c>
      <c r="E845" s="117">
        <f t="shared" ca="1" si="135"/>
        <v>1</v>
      </c>
      <c r="F845" s="438"/>
      <c r="G845" s="7"/>
      <c r="H845" s="7"/>
      <c r="I845" s="7"/>
      <c r="K845" s="7"/>
      <c r="L845" s="7"/>
      <c r="M845" s="7"/>
      <c r="N845" s="7"/>
      <c r="O845" s="7"/>
      <c r="P845" s="7"/>
      <c r="R845" s="7"/>
      <c r="S845" s="7"/>
    </row>
    <row r="846" spans="1:19" ht="14.1" customHeight="1" x14ac:dyDescent="0.2">
      <c r="A846" s="116">
        <f ca="1">IF($H846="UNIDADE CONSTRUTIVA",OFFSET(A846,-1,0)+1,LARGE(A$3:A845,1))</f>
        <v>0</v>
      </c>
      <c r="B846" s="116">
        <f t="shared" ca="1" si="132"/>
        <v>22</v>
      </c>
      <c r="C846" s="116">
        <f t="shared" ca="1" si="133"/>
        <v>1</v>
      </c>
      <c r="D846" s="117">
        <f t="shared" ca="1" si="134"/>
        <v>1</v>
      </c>
      <c r="E846" s="117">
        <f t="shared" ca="1" si="135"/>
        <v>1</v>
      </c>
      <c r="F846" s="438"/>
      <c r="G846" s="7"/>
      <c r="H846" s="7"/>
      <c r="I846" s="7"/>
      <c r="K846" s="7"/>
      <c r="L846" s="7"/>
      <c r="M846" s="7"/>
      <c r="N846" s="7"/>
      <c r="O846" s="7"/>
      <c r="P846" s="7"/>
      <c r="R846" s="7"/>
      <c r="S846" s="7"/>
    </row>
    <row r="847" spans="1:19" ht="14.1" customHeight="1" x14ac:dyDescent="0.2">
      <c r="A847" s="116">
        <f ca="1">IF($H847="UNIDADE CONSTRUTIVA",OFFSET(A847,-1,0)+1,LARGE(A$3:A846,1))</f>
        <v>0</v>
      </c>
      <c r="B847" s="116">
        <f t="shared" ca="1" si="132"/>
        <v>22</v>
      </c>
      <c r="C847" s="116">
        <f t="shared" ca="1" si="133"/>
        <v>1</v>
      </c>
      <c r="D847" s="117">
        <f t="shared" ca="1" si="134"/>
        <v>1</v>
      </c>
      <c r="E847" s="117">
        <f t="shared" ca="1" si="135"/>
        <v>1</v>
      </c>
      <c r="F847" s="438"/>
      <c r="G847" s="7"/>
      <c r="H847" s="7"/>
      <c r="I847" s="7"/>
      <c r="K847" s="7"/>
      <c r="L847" s="7"/>
      <c r="M847" s="7"/>
      <c r="N847" s="7"/>
      <c r="O847" s="7"/>
      <c r="P847" s="7"/>
      <c r="R847" s="7"/>
      <c r="S847" s="7"/>
    </row>
    <row r="848" spans="1:19" ht="14.1" customHeight="1" x14ac:dyDescent="0.2">
      <c r="A848" s="116">
        <f ca="1">IF($H848="UNIDADE CONSTRUTIVA",OFFSET(A848,-1,0)+1,LARGE(A$3:A847,1))</f>
        <v>0</v>
      </c>
      <c r="B848" s="116">
        <f t="shared" ca="1" si="132"/>
        <v>22</v>
      </c>
      <c r="C848" s="116">
        <f t="shared" ca="1" si="133"/>
        <v>1</v>
      </c>
      <c r="D848" s="117">
        <f t="shared" ca="1" si="134"/>
        <v>1</v>
      </c>
      <c r="E848" s="117">
        <f t="shared" ca="1" si="135"/>
        <v>1</v>
      </c>
      <c r="F848" s="438"/>
      <c r="G848" s="7"/>
      <c r="H848" s="7"/>
      <c r="I848" s="7"/>
      <c r="K848" s="7"/>
      <c r="L848" s="7"/>
      <c r="M848" s="7"/>
      <c r="N848" s="7"/>
      <c r="O848" s="7"/>
      <c r="P848" s="7"/>
      <c r="R848" s="7"/>
      <c r="S848" s="7"/>
    </row>
    <row r="849" spans="1:19" ht="14.1" customHeight="1" x14ac:dyDescent="0.2">
      <c r="A849" s="116">
        <f ca="1">IF($H849="UNIDADE CONSTRUTIVA",OFFSET(A849,-1,0)+1,LARGE(A$3:A848,1))</f>
        <v>0</v>
      </c>
      <c r="B849" s="116">
        <f t="shared" ca="1" si="132"/>
        <v>22</v>
      </c>
      <c r="C849" s="116">
        <f t="shared" ca="1" si="133"/>
        <v>1</v>
      </c>
      <c r="D849" s="117">
        <f t="shared" ca="1" si="134"/>
        <v>1</v>
      </c>
      <c r="E849" s="117">
        <f t="shared" ca="1" si="135"/>
        <v>1</v>
      </c>
      <c r="F849" s="438"/>
      <c r="G849" s="7"/>
      <c r="H849" s="7"/>
      <c r="I849" s="7"/>
      <c r="K849" s="7"/>
      <c r="L849" s="7"/>
      <c r="M849" s="7"/>
      <c r="N849" s="7"/>
      <c r="O849" s="7"/>
      <c r="P849" s="7"/>
      <c r="R849" s="7"/>
      <c r="S849" s="7"/>
    </row>
    <row r="850" spans="1:19" ht="14.1" customHeight="1" x14ac:dyDescent="0.2">
      <c r="A850" s="116">
        <f ca="1">IF($H850="UNIDADE CONSTRUTIVA",OFFSET(A850,-1,0)+1,LARGE(A$3:A849,1))</f>
        <v>0</v>
      </c>
      <c r="B850" s="116">
        <f t="shared" ca="1" si="132"/>
        <v>22</v>
      </c>
      <c r="C850" s="116">
        <f t="shared" ca="1" si="133"/>
        <v>1</v>
      </c>
      <c r="D850" s="117">
        <f t="shared" ca="1" si="134"/>
        <v>1</v>
      </c>
      <c r="E850" s="117">
        <f t="shared" ca="1" si="135"/>
        <v>1</v>
      </c>
      <c r="F850" s="438"/>
      <c r="G850" s="7"/>
      <c r="H850" s="7"/>
      <c r="I850" s="7"/>
      <c r="K850" s="7"/>
      <c r="L850" s="7"/>
      <c r="M850" s="7"/>
      <c r="N850" s="7"/>
      <c r="O850" s="7"/>
      <c r="P850" s="7"/>
      <c r="R850" s="7"/>
      <c r="S850" s="7"/>
    </row>
    <row r="851" spans="1:19" ht="14.1" customHeight="1" x14ac:dyDescent="0.2">
      <c r="A851" s="116">
        <f ca="1">IF($H851="UNIDADE CONSTRUTIVA",OFFSET(A851,-1,0)+1,LARGE(A$3:A850,1))</f>
        <v>0</v>
      </c>
      <c r="B851" s="116">
        <f t="shared" ca="1" si="132"/>
        <v>22</v>
      </c>
      <c r="C851" s="116">
        <f t="shared" ca="1" si="133"/>
        <v>1</v>
      </c>
      <c r="D851" s="117">
        <f t="shared" ca="1" si="134"/>
        <v>1</v>
      </c>
      <c r="E851" s="117">
        <f t="shared" ca="1" si="135"/>
        <v>1</v>
      </c>
      <c r="F851" s="438"/>
      <c r="G851" s="7"/>
      <c r="H851" s="7"/>
      <c r="I851" s="7"/>
      <c r="K851" s="7"/>
      <c r="L851" s="7"/>
      <c r="M851" s="7"/>
      <c r="N851" s="7"/>
      <c r="O851" s="7"/>
      <c r="P851" s="7"/>
      <c r="R851" s="7"/>
      <c r="S851" s="7"/>
    </row>
    <row r="852" spans="1:19" ht="14.1" customHeight="1" x14ac:dyDescent="0.2">
      <c r="A852" s="116">
        <f ca="1">IF($H852="UNIDADE CONSTRUTIVA",OFFSET(A852,-1,0)+1,LARGE(A$3:A851,1))</f>
        <v>0</v>
      </c>
      <c r="B852" s="116">
        <f t="shared" ca="1" si="132"/>
        <v>22</v>
      </c>
      <c r="C852" s="116">
        <f t="shared" ca="1" si="133"/>
        <v>1</v>
      </c>
      <c r="D852" s="117">
        <f t="shared" ca="1" si="134"/>
        <v>1</v>
      </c>
      <c r="E852" s="117">
        <f t="shared" ca="1" si="135"/>
        <v>1</v>
      </c>
      <c r="F852" s="438"/>
      <c r="G852" s="7"/>
      <c r="H852" s="7"/>
      <c r="I852" s="7"/>
      <c r="K852" s="7"/>
      <c r="L852" s="7"/>
      <c r="M852" s="7"/>
      <c r="N852" s="7"/>
      <c r="O852" s="7"/>
      <c r="P852" s="7"/>
      <c r="R852" s="7"/>
      <c r="S852" s="7"/>
    </row>
    <row r="853" spans="1:19" ht="14.1" customHeight="1" x14ac:dyDescent="0.2">
      <c r="A853" s="116">
        <f ca="1">IF($H853="UNIDADE CONSTRUTIVA",OFFSET(A853,-1,0)+1,LARGE(A$3:A852,1))</f>
        <v>0</v>
      </c>
      <c r="B853" s="116">
        <f t="shared" ca="1" si="132"/>
        <v>22</v>
      </c>
      <c r="C853" s="116">
        <f t="shared" ca="1" si="133"/>
        <v>1</v>
      </c>
      <c r="D853" s="117">
        <f t="shared" ca="1" si="134"/>
        <v>1</v>
      </c>
      <c r="E853" s="117">
        <f t="shared" ca="1" si="135"/>
        <v>1</v>
      </c>
      <c r="F853" s="438"/>
      <c r="G853" s="7"/>
      <c r="H853" s="7"/>
      <c r="I853" s="7"/>
      <c r="K853" s="7"/>
      <c r="L853" s="7"/>
      <c r="M853" s="7"/>
      <c r="N853" s="7"/>
      <c r="O853" s="7"/>
      <c r="P853" s="7"/>
      <c r="R853" s="7"/>
      <c r="S853" s="7"/>
    </row>
    <row r="854" spans="1:19" ht="14.1" customHeight="1" x14ac:dyDescent="0.2">
      <c r="A854" s="116">
        <f ca="1">IF($H854="UNIDADE CONSTRUTIVA",OFFSET(A854,-1,0)+1,LARGE(A$3:A853,1))</f>
        <v>0</v>
      </c>
      <c r="B854" s="116">
        <f t="shared" ca="1" si="132"/>
        <v>22</v>
      </c>
      <c r="C854" s="116">
        <f t="shared" ca="1" si="133"/>
        <v>1</v>
      </c>
      <c r="D854" s="117">
        <f t="shared" ca="1" si="134"/>
        <v>1</v>
      </c>
      <c r="E854" s="117">
        <f t="shared" ca="1" si="135"/>
        <v>1</v>
      </c>
      <c r="F854" s="438"/>
      <c r="G854" s="7"/>
      <c r="H854" s="7"/>
      <c r="I854" s="7"/>
      <c r="K854" s="7"/>
      <c r="L854" s="7"/>
      <c r="M854" s="7"/>
      <c r="N854" s="7"/>
      <c r="O854" s="7"/>
      <c r="P854" s="7"/>
      <c r="R854" s="7"/>
      <c r="S854" s="7"/>
    </row>
    <row r="855" spans="1:19" ht="14.1" customHeight="1" x14ac:dyDescent="0.2">
      <c r="A855" s="116">
        <f ca="1">IF($H855="UNIDADE CONSTRUTIVA",OFFSET(A855,-1,0)+1,LARGE(A$3:A854,1))</f>
        <v>0</v>
      </c>
      <c r="B855" s="116">
        <f t="shared" ca="1" si="132"/>
        <v>22</v>
      </c>
      <c r="C855" s="116">
        <f t="shared" ca="1" si="133"/>
        <v>1</v>
      </c>
      <c r="D855" s="117">
        <f t="shared" ca="1" si="134"/>
        <v>1</v>
      </c>
      <c r="E855" s="117">
        <f t="shared" ca="1" si="135"/>
        <v>1</v>
      </c>
      <c r="F855" s="438"/>
      <c r="G855" s="7"/>
      <c r="H855" s="7"/>
      <c r="I855" s="7"/>
      <c r="K855" s="7"/>
      <c r="L855" s="7"/>
      <c r="M855" s="7"/>
      <c r="N855" s="7"/>
      <c r="O855" s="7"/>
      <c r="P855" s="7"/>
      <c r="R855" s="7"/>
      <c r="S855" s="7"/>
    </row>
    <row r="856" spans="1:19" ht="14.1" customHeight="1" x14ac:dyDescent="0.2">
      <c r="A856" s="116">
        <f ca="1">IF($H856="UNIDADE CONSTRUTIVA",OFFSET(A856,-1,0)+1,LARGE(A$3:A855,1))</f>
        <v>0</v>
      </c>
      <c r="B856" s="116">
        <f t="shared" ca="1" si="132"/>
        <v>22</v>
      </c>
      <c r="C856" s="116">
        <f t="shared" ca="1" si="133"/>
        <v>1</v>
      </c>
      <c r="D856" s="117">
        <f t="shared" ca="1" si="134"/>
        <v>1</v>
      </c>
      <c r="E856" s="117">
        <f t="shared" ca="1" si="135"/>
        <v>1</v>
      </c>
      <c r="F856" s="438"/>
      <c r="G856" s="7"/>
      <c r="H856" s="7"/>
      <c r="I856" s="7"/>
      <c r="K856" s="7"/>
      <c r="L856" s="7"/>
      <c r="M856" s="7"/>
      <c r="N856" s="7"/>
      <c r="O856" s="7"/>
      <c r="P856" s="7"/>
      <c r="R856" s="7"/>
      <c r="S856" s="7"/>
    </row>
    <row r="857" spans="1:19" ht="14.1" customHeight="1" x14ac:dyDescent="0.2">
      <c r="A857" s="116">
        <f ca="1">IF($H857="UNIDADE CONSTRUTIVA",OFFSET(A857,-1,0)+1,LARGE(A$3:A856,1))</f>
        <v>0</v>
      </c>
      <c r="B857" s="116">
        <f t="shared" ca="1" si="132"/>
        <v>22</v>
      </c>
      <c r="C857" s="116">
        <f t="shared" ca="1" si="133"/>
        <v>1</v>
      </c>
      <c r="D857" s="117">
        <f t="shared" ca="1" si="134"/>
        <v>1</v>
      </c>
      <c r="E857" s="117">
        <f t="shared" ca="1" si="135"/>
        <v>1</v>
      </c>
      <c r="F857" s="438"/>
      <c r="G857" s="7"/>
      <c r="H857" s="7"/>
      <c r="I857" s="7"/>
      <c r="K857" s="7"/>
      <c r="L857" s="7"/>
      <c r="M857" s="7"/>
      <c r="N857" s="7"/>
      <c r="O857" s="7"/>
      <c r="P857" s="7"/>
      <c r="R857" s="7"/>
      <c r="S857" s="7"/>
    </row>
    <row r="858" spans="1:19" ht="14.1" customHeight="1" x14ac:dyDescent="0.2">
      <c r="A858" s="116">
        <f ca="1">IF($H858="UNIDADE CONSTRUTIVA",OFFSET(A858,-1,0)+1,LARGE(A$3:A857,1))</f>
        <v>0</v>
      </c>
      <c r="B858" s="116">
        <f t="shared" ca="1" si="132"/>
        <v>22</v>
      </c>
      <c r="C858" s="116">
        <f t="shared" ca="1" si="133"/>
        <v>1</v>
      </c>
      <c r="D858" s="117">
        <f t="shared" ca="1" si="134"/>
        <v>1</v>
      </c>
      <c r="E858" s="117">
        <f t="shared" ca="1" si="135"/>
        <v>1</v>
      </c>
      <c r="F858" s="438"/>
      <c r="G858" s="7"/>
      <c r="H858" s="7"/>
      <c r="I858" s="7"/>
      <c r="K858" s="7"/>
      <c r="L858" s="7"/>
      <c r="M858" s="7"/>
      <c r="N858" s="7"/>
      <c r="O858" s="7"/>
      <c r="P858" s="7"/>
      <c r="R858" s="7"/>
      <c r="S858" s="7"/>
    </row>
    <row r="859" spans="1:19" ht="14.1" customHeight="1" x14ac:dyDescent="0.2">
      <c r="A859" s="116">
        <f ca="1">IF($H859="UNIDADE CONSTRUTIVA",OFFSET(A859,-1,0)+1,LARGE(A$3:A858,1))</f>
        <v>0</v>
      </c>
      <c r="B859" s="116">
        <f t="shared" ca="1" si="132"/>
        <v>22</v>
      </c>
      <c r="C859" s="116">
        <f t="shared" ca="1" si="133"/>
        <v>1</v>
      </c>
      <c r="D859" s="117">
        <f t="shared" ca="1" si="134"/>
        <v>1</v>
      </c>
      <c r="E859" s="117">
        <f t="shared" ca="1" si="135"/>
        <v>1</v>
      </c>
      <c r="F859" s="438"/>
      <c r="G859" s="7"/>
      <c r="H859" s="7"/>
      <c r="I859" s="7"/>
      <c r="K859" s="7"/>
      <c r="L859" s="7"/>
      <c r="M859" s="7"/>
      <c r="N859" s="7"/>
      <c r="O859" s="7"/>
      <c r="P859" s="7"/>
      <c r="R859" s="7"/>
      <c r="S859" s="7"/>
    </row>
    <row r="860" spans="1:19" ht="14.1" customHeight="1" x14ac:dyDescent="0.2">
      <c r="A860" s="116">
        <f ca="1">IF($H860="UNIDADE CONSTRUTIVA",OFFSET(A860,-1,0)+1,LARGE(A$3:A859,1))</f>
        <v>0</v>
      </c>
      <c r="B860" s="116">
        <f t="shared" ca="1" si="132"/>
        <v>22</v>
      </c>
      <c r="C860" s="116">
        <f t="shared" ca="1" si="133"/>
        <v>1</v>
      </c>
      <c r="D860" s="117">
        <f t="shared" ca="1" si="134"/>
        <v>1</v>
      </c>
      <c r="E860" s="117">
        <f t="shared" ca="1" si="135"/>
        <v>1</v>
      </c>
      <c r="F860" s="438"/>
      <c r="G860" s="7"/>
      <c r="H860" s="7"/>
      <c r="I860" s="7"/>
      <c r="K860" s="7"/>
      <c r="L860" s="7"/>
      <c r="M860" s="7"/>
      <c r="N860" s="7"/>
      <c r="O860" s="7"/>
      <c r="P860" s="7"/>
      <c r="R860" s="7"/>
      <c r="S860" s="7"/>
    </row>
    <row r="861" spans="1:19" ht="14.1" customHeight="1" x14ac:dyDescent="0.2">
      <c r="A861" s="116">
        <f ca="1">IF($H861="UNIDADE CONSTRUTIVA",OFFSET(A861,-1,0)+1,LARGE(A$3:A860,1))</f>
        <v>0</v>
      </c>
      <c r="B861" s="116">
        <f t="shared" ca="1" si="132"/>
        <v>22</v>
      </c>
      <c r="C861" s="116">
        <f t="shared" ca="1" si="133"/>
        <v>1</v>
      </c>
      <c r="D861" s="117">
        <f t="shared" ca="1" si="134"/>
        <v>1</v>
      </c>
      <c r="E861" s="117">
        <f t="shared" ca="1" si="135"/>
        <v>1</v>
      </c>
      <c r="F861" s="438"/>
      <c r="G861" s="7"/>
      <c r="H861" s="7"/>
      <c r="I861" s="7"/>
      <c r="K861" s="7"/>
      <c r="L861" s="7"/>
      <c r="M861" s="7"/>
      <c r="N861" s="7"/>
      <c r="O861" s="7"/>
      <c r="P861" s="7"/>
      <c r="R861" s="7"/>
      <c r="S861" s="7"/>
    </row>
    <row r="862" spans="1:19" ht="14.1" customHeight="1" x14ac:dyDescent="0.2">
      <c r="A862" s="116">
        <f ca="1">IF($H862="UNIDADE CONSTRUTIVA",OFFSET(A862,-1,0)+1,LARGE(A$3:A861,1))</f>
        <v>0</v>
      </c>
      <c r="B862" s="116">
        <f t="shared" ca="1" si="132"/>
        <v>22</v>
      </c>
      <c r="C862" s="116">
        <f t="shared" ca="1" si="133"/>
        <v>1</v>
      </c>
      <c r="D862" s="117">
        <f t="shared" ca="1" si="134"/>
        <v>1</v>
      </c>
      <c r="E862" s="117">
        <f t="shared" ca="1" si="135"/>
        <v>1</v>
      </c>
      <c r="F862" s="438"/>
      <c r="G862" s="7"/>
      <c r="H862" s="7"/>
      <c r="I862" s="7"/>
      <c r="K862" s="7"/>
      <c r="L862" s="7"/>
      <c r="M862" s="7"/>
      <c r="N862" s="7"/>
      <c r="O862" s="7"/>
      <c r="P862" s="7"/>
      <c r="R862" s="7"/>
      <c r="S862" s="7"/>
    </row>
    <row r="863" spans="1:19" ht="14.1" customHeight="1" x14ac:dyDescent="0.2">
      <c r="A863" s="116">
        <f ca="1">IF($H863="UNIDADE CONSTRUTIVA",OFFSET(A863,-1,0)+1,LARGE(A$3:A862,1))</f>
        <v>0</v>
      </c>
      <c r="B863" s="116">
        <f t="shared" ca="1" si="132"/>
        <v>22</v>
      </c>
      <c r="C863" s="116">
        <f t="shared" ca="1" si="133"/>
        <v>1</v>
      </c>
      <c r="D863" s="117">
        <f t="shared" ca="1" si="134"/>
        <v>1</v>
      </c>
      <c r="E863" s="117">
        <f t="shared" ca="1" si="135"/>
        <v>1</v>
      </c>
      <c r="F863" s="438"/>
      <c r="G863" s="7"/>
      <c r="H863" s="7"/>
      <c r="I863" s="7"/>
      <c r="K863" s="7"/>
      <c r="L863" s="7"/>
      <c r="M863" s="7"/>
      <c r="N863" s="7"/>
      <c r="O863" s="7"/>
      <c r="P863" s="7"/>
      <c r="R863" s="7"/>
      <c r="S863" s="7"/>
    </row>
    <row r="864" spans="1:19" ht="14.1" customHeight="1" x14ac:dyDescent="0.2">
      <c r="A864" s="116">
        <f ca="1">IF($H864="UNIDADE CONSTRUTIVA",OFFSET(A864,-1,0)+1,LARGE(A$3:A863,1))</f>
        <v>0</v>
      </c>
      <c r="B864" s="116">
        <f t="shared" ca="1" si="132"/>
        <v>22</v>
      </c>
      <c r="C864" s="116">
        <f t="shared" ca="1" si="133"/>
        <v>1</v>
      </c>
      <c r="D864" s="117">
        <f t="shared" ca="1" si="134"/>
        <v>1</v>
      </c>
      <c r="E864" s="117">
        <f t="shared" ca="1" si="135"/>
        <v>1</v>
      </c>
      <c r="F864" s="438"/>
      <c r="G864" s="7"/>
      <c r="H864" s="7"/>
      <c r="I864" s="7"/>
      <c r="K864" s="7"/>
      <c r="L864" s="7"/>
      <c r="M864" s="7"/>
      <c r="N864" s="7"/>
      <c r="O864" s="7"/>
      <c r="P864" s="7"/>
      <c r="R864" s="7"/>
      <c r="S864" s="7"/>
    </row>
    <row r="865" spans="1:19" ht="14.1" customHeight="1" x14ac:dyDescent="0.2">
      <c r="A865" s="116">
        <f ca="1">IF($H865="UNIDADE CONSTRUTIVA",OFFSET(A865,-1,0)+1,LARGE(A$3:A864,1))</f>
        <v>0</v>
      </c>
      <c r="B865" s="116">
        <f t="shared" ca="1" si="132"/>
        <v>22</v>
      </c>
      <c r="C865" s="116">
        <f t="shared" ca="1" si="133"/>
        <v>1</v>
      </c>
      <c r="D865" s="117">
        <f t="shared" ca="1" si="134"/>
        <v>1</v>
      </c>
      <c r="E865" s="117">
        <f t="shared" ca="1" si="135"/>
        <v>1</v>
      </c>
      <c r="F865" s="438"/>
      <c r="G865" s="7"/>
      <c r="H865" s="7"/>
      <c r="I865" s="7"/>
      <c r="K865" s="7"/>
      <c r="L865" s="7"/>
      <c r="M865" s="7"/>
      <c r="N865" s="7"/>
      <c r="O865" s="7"/>
      <c r="P865" s="7"/>
      <c r="R865" s="7"/>
      <c r="S865" s="7"/>
    </row>
    <row r="866" spans="1:19" ht="14.1" customHeight="1" x14ac:dyDescent="0.2">
      <c r="A866" s="116">
        <f ca="1">IF($H866="UNIDADE CONSTRUTIVA",OFFSET(A866,-1,0)+1,LARGE(A$3:A865,1))</f>
        <v>0</v>
      </c>
      <c r="B866" s="116">
        <f t="shared" ca="1" si="132"/>
        <v>22</v>
      </c>
      <c r="C866" s="116">
        <f t="shared" ca="1" si="133"/>
        <v>1</v>
      </c>
      <c r="D866" s="117">
        <f t="shared" ca="1" si="134"/>
        <v>1</v>
      </c>
      <c r="E866" s="117">
        <f t="shared" ca="1" si="135"/>
        <v>1</v>
      </c>
      <c r="F866" s="438"/>
      <c r="G866" s="7"/>
      <c r="H866" s="7"/>
      <c r="I866" s="7"/>
      <c r="K866" s="7"/>
      <c r="L866" s="7"/>
      <c r="M866" s="7"/>
      <c r="N866" s="7"/>
      <c r="O866" s="7"/>
      <c r="P866" s="7"/>
      <c r="R866" s="7"/>
      <c r="S866" s="7"/>
    </row>
    <row r="867" spans="1:19" ht="14.1" customHeight="1" x14ac:dyDescent="0.2">
      <c r="A867" s="116">
        <f ca="1">IF($H867="UNIDADE CONSTRUTIVA",OFFSET(A867,-1,0)+1,LARGE(A$3:A866,1))</f>
        <v>0</v>
      </c>
      <c r="B867" s="116">
        <f t="shared" ca="1" si="132"/>
        <v>22</v>
      </c>
      <c r="C867" s="116">
        <f t="shared" ca="1" si="133"/>
        <v>1</v>
      </c>
      <c r="D867" s="117">
        <f t="shared" ca="1" si="134"/>
        <v>1</v>
      </c>
      <c r="E867" s="117">
        <f t="shared" ca="1" si="135"/>
        <v>1</v>
      </c>
      <c r="F867" s="438"/>
      <c r="G867" s="7"/>
      <c r="H867" s="7"/>
      <c r="I867" s="7"/>
      <c r="K867" s="7"/>
      <c r="L867" s="7"/>
      <c r="M867" s="7"/>
      <c r="N867" s="7"/>
      <c r="O867" s="7"/>
      <c r="P867" s="7"/>
      <c r="R867" s="7"/>
      <c r="S867" s="7"/>
    </row>
    <row r="868" spans="1:19" ht="14.1" customHeight="1" x14ac:dyDescent="0.2">
      <c r="A868" s="116">
        <f ca="1">IF($H868="UNIDADE CONSTRUTIVA",OFFSET(A868,-1,0)+1,LARGE(A$3:A867,1))</f>
        <v>0</v>
      </c>
      <c r="B868" s="116">
        <f t="shared" ca="1" si="132"/>
        <v>22</v>
      </c>
      <c r="C868" s="116">
        <f t="shared" ca="1" si="133"/>
        <v>1</v>
      </c>
      <c r="D868" s="117">
        <f t="shared" ca="1" si="134"/>
        <v>1</v>
      </c>
      <c r="E868" s="117">
        <f t="shared" ca="1" si="135"/>
        <v>1</v>
      </c>
      <c r="F868" s="438"/>
      <c r="G868" s="7"/>
      <c r="H868" s="7"/>
      <c r="I868" s="7"/>
      <c r="K868" s="7"/>
      <c r="L868" s="7"/>
      <c r="M868" s="7"/>
      <c r="N868" s="7"/>
      <c r="O868" s="7"/>
      <c r="P868" s="7"/>
      <c r="R868" s="7"/>
      <c r="S868" s="7"/>
    </row>
    <row r="869" spans="1:19" ht="14.1" customHeight="1" x14ac:dyDescent="0.2">
      <c r="A869" s="116">
        <f ca="1">IF($H869="UNIDADE CONSTRUTIVA",OFFSET(A869,-1,0)+1,LARGE(A$3:A868,1))</f>
        <v>0</v>
      </c>
      <c r="B869" s="116">
        <f t="shared" ca="1" si="132"/>
        <v>22</v>
      </c>
      <c r="C869" s="116">
        <f t="shared" ca="1" si="133"/>
        <v>1</v>
      </c>
      <c r="D869" s="117">
        <f t="shared" ca="1" si="134"/>
        <v>1</v>
      </c>
      <c r="E869" s="117">
        <f t="shared" ca="1" si="135"/>
        <v>1</v>
      </c>
      <c r="F869" s="438"/>
      <c r="G869" s="7"/>
      <c r="H869" s="7"/>
      <c r="I869" s="7"/>
      <c r="K869" s="7"/>
      <c r="L869" s="7"/>
      <c r="M869" s="7"/>
      <c r="N869" s="7"/>
      <c r="O869" s="7"/>
      <c r="P869" s="7"/>
      <c r="R869" s="7"/>
      <c r="S869" s="7"/>
    </row>
    <row r="870" spans="1:19" ht="14.1" customHeight="1" x14ac:dyDescent="0.2">
      <c r="A870" s="116">
        <f ca="1">IF($H870="UNIDADE CONSTRUTIVA",OFFSET(A870,-1,0)+1,LARGE(A$3:A869,1))</f>
        <v>0</v>
      </c>
      <c r="B870" s="116">
        <f t="shared" ca="1" si="132"/>
        <v>22</v>
      </c>
      <c r="C870" s="116">
        <f t="shared" ca="1" si="133"/>
        <v>1</v>
      </c>
      <c r="D870" s="117">
        <f t="shared" ca="1" si="134"/>
        <v>1</v>
      </c>
      <c r="E870" s="117">
        <f t="shared" ca="1" si="135"/>
        <v>1</v>
      </c>
      <c r="F870" s="438"/>
      <c r="G870" s="7"/>
      <c r="H870" s="7"/>
      <c r="I870" s="7"/>
      <c r="K870" s="7"/>
      <c r="L870" s="7"/>
      <c r="M870" s="7"/>
      <c r="N870" s="7"/>
      <c r="O870" s="7"/>
      <c r="P870" s="7"/>
      <c r="R870" s="7"/>
      <c r="S870" s="7"/>
    </row>
    <row r="871" spans="1:19" ht="14.1" customHeight="1" x14ac:dyDescent="0.2">
      <c r="A871" s="116">
        <f ca="1">IF($H871="UNIDADE CONSTRUTIVA",OFFSET(A871,-1,0)+1,LARGE(A$3:A870,1))</f>
        <v>0</v>
      </c>
      <c r="B871" s="116">
        <f t="shared" ca="1" si="132"/>
        <v>22</v>
      </c>
      <c r="C871" s="116">
        <f t="shared" ca="1" si="133"/>
        <v>1</v>
      </c>
      <c r="D871" s="117">
        <f t="shared" ca="1" si="134"/>
        <v>1</v>
      </c>
      <c r="E871" s="117">
        <f t="shared" ca="1" si="135"/>
        <v>1</v>
      </c>
      <c r="F871" s="438"/>
      <c r="G871" s="7"/>
      <c r="H871" s="7"/>
      <c r="I871" s="7"/>
      <c r="K871" s="7"/>
      <c r="L871" s="7"/>
      <c r="M871" s="7"/>
      <c r="N871" s="7"/>
      <c r="O871" s="7"/>
      <c r="P871" s="7"/>
      <c r="R871" s="7"/>
      <c r="S871" s="7"/>
    </row>
    <row r="872" spans="1:19" ht="14.1" customHeight="1" x14ac:dyDescent="0.2">
      <c r="A872" s="116">
        <f ca="1">IF($H872="UNIDADE CONSTRUTIVA",OFFSET(A872,-1,0)+1,LARGE(A$3:A871,1))</f>
        <v>0</v>
      </c>
      <c r="B872" s="116">
        <f t="shared" ca="1" si="132"/>
        <v>22</v>
      </c>
      <c r="C872" s="116">
        <f t="shared" ca="1" si="133"/>
        <v>1</v>
      </c>
      <c r="D872" s="117">
        <f t="shared" ca="1" si="134"/>
        <v>1</v>
      </c>
      <c r="E872" s="117">
        <f t="shared" ca="1" si="135"/>
        <v>1</v>
      </c>
      <c r="F872" s="438"/>
      <c r="G872" s="7"/>
      <c r="H872" s="7"/>
      <c r="I872" s="7"/>
      <c r="K872" s="7"/>
      <c r="L872" s="7"/>
      <c r="M872" s="7"/>
      <c r="N872" s="7"/>
      <c r="O872" s="7"/>
      <c r="P872" s="7"/>
      <c r="R872" s="7"/>
      <c r="S872" s="7"/>
    </row>
    <row r="873" spans="1:19" ht="14.1" customHeight="1" x14ac:dyDescent="0.2">
      <c r="A873" s="116">
        <f ca="1">IF($H873="UNIDADE CONSTRUTIVA",OFFSET(A873,-1,0)+1,LARGE(A$3:A872,1))</f>
        <v>0</v>
      </c>
      <c r="B873" s="116">
        <f t="shared" ca="1" si="132"/>
        <v>22</v>
      </c>
      <c r="C873" s="116">
        <f t="shared" ca="1" si="133"/>
        <v>1</v>
      </c>
      <c r="D873" s="117">
        <f t="shared" ca="1" si="134"/>
        <v>1</v>
      </c>
      <c r="E873" s="117">
        <f t="shared" ca="1" si="135"/>
        <v>1</v>
      </c>
      <c r="F873" s="438"/>
      <c r="G873" s="7"/>
      <c r="H873" s="7"/>
      <c r="I873" s="7"/>
      <c r="K873" s="7"/>
      <c r="L873" s="7"/>
      <c r="M873" s="7"/>
      <c r="N873" s="7"/>
      <c r="O873" s="7"/>
      <c r="P873" s="7"/>
      <c r="R873" s="7"/>
      <c r="S873" s="7"/>
    </row>
    <row r="874" spans="1:19" ht="14.1" customHeight="1" x14ac:dyDescent="0.2">
      <c r="A874" s="116">
        <f ca="1">IF($H874="UNIDADE CONSTRUTIVA",OFFSET(A874,-1,0)+1,LARGE(A$3:A873,1))</f>
        <v>0</v>
      </c>
      <c r="B874" s="116">
        <f t="shared" ca="1" si="132"/>
        <v>22</v>
      </c>
      <c r="C874" s="116">
        <f t="shared" ca="1" si="133"/>
        <v>1</v>
      </c>
      <c r="D874" s="117">
        <f t="shared" ca="1" si="134"/>
        <v>1</v>
      </c>
      <c r="E874" s="117">
        <f t="shared" ca="1" si="135"/>
        <v>1</v>
      </c>
      <c r="F874" s="438"/>
      <c r="G874" s="7"/>
      <c r="H874" s="7"/>
      <c r="I874" s="7"/>
      <c r="K874" s="7"/>
      <c r="L874" s="7"/>
      <c r="M874" s="7"/>
      <c r="N874" s="7"/>
      <c r="O874" s="7"/>
      <c r="P874" s="7"/>
      <c r="R874" s="7"/>
      <c r="S874" s="7"/>
    </row>
    <row r="875" spans="1:19" ht="14.1" customHeight="1" x14ac:dyDescent="0.2">
      <c r="A875" s="116">
        <f ca="1">IF($H875="UNIDADE CONSTRUTIVA",OFFSET(A875,-1,0)+1,LARGE(A$3:A874,1))</f>
        <v>0</v>
      </c>
      <c r="B875" s="116">
        <f t="shared" ca="1" si="132"/>
        <v>22</v>
      </c>
      <c r="C875" s="116">
        <f t="shared" ca="1" si="133"/>
        <v>1</v>
      </c>
      <c r="D875" s="117">
        <f t="shared" ca="1" si="134"/>
        <v>1</v>
      </c>
      <c r="E875" s="117">
        <f t="shared" ca="1" si="135"/>
        <v>1</v>
      </c>
      <c r="F875" s="438"/>
      <c r="G875" s="7"/>
      <c r="H875" s="7"/>
      <c r="I875" s="7"/>
      <c r="K875" s="7"/>
      <c r="L875" s="7"/>
      <c r="M875" s="7"/>
      <c r="N875" s="7"/>
      <c r="O875" s="7"/>
      <c r="P875" s="7"/>
      <c r="R875" s="7"/>
      <c r="S875" s="7"/>
    </row>
    <row r="876" spans="1:19" ht="14.1" customHeight="1" x14ac:dyDescent="0.2">
      <c r="A876" s="116">
        <f ca="1">IF($H876="UNIDADE CONSTRUTIVA",OFFSET(A876,-1,0)+1,LARGE(A$3:A875,1))</f>
        <v>0</v>
      </c>
      <c r="B876" s="116">
        <f t="shared" ca="1" si="132"/>
        <v>22</v>
      </c>
      <c r="C876" s="116">
        <f t="shared" ca="1" si="133"/>
        <v>1</v>
      </c>
      <c r="D876" s="117">
        <f t="shared" ca="1" si="134"/>
        <v>1</v>
      </c>
      <c r="E876" s="117">
        <f t="shared" ca="1" si="135"/>
        <v>1</v>
      </c>
      <c r="F876" s="438"/>
      <c r="G876" s="7"/>
      <c r="H876" s="7"/>
      <c r="I876" s="7"/>
      <c r="K876" s="7"/>
      <c r="L876" s="7"/>
      <c r="M876" s="7"/>
      <c r="N876" s="7"/>
      <c r="O876" s="7"/>
      <c r="P876" s="7"/>
      <c r="R876" s="7"/>
      <c r="S876" s="7"/>
    </row>
    <row r="877" spans="1:19" ht="14.1" customHeight="1" x14ac:dyDescent="0.2">
      <c r="A877" s="116">
        <f ca="1">IF($H877="UNIDADE CONSTRUTIVA",OFFSET(A877,-1,0)+1,LARGE(A$3:A876,1))</f>
        <v>0</v>
      </c>
      <c r="B877" s="116">
        <f t="shared" ca="1" si="132"/>
        <v>22</v>
      </c>
      <c r="C877" s="116">
        <f t="shared" ca="1" si="133"/>
        <v>1</v>
      </c>
      <c r="D877" s="117">
        <f t="shared" ca="1" si="134"/>
        <v>1</v>
      </c>
      <c r="E877" s="117">
        <f t="shared" ca="1" si="135"/>
        <v>1</v>
      </c>
      <c r="F877" s="438"/>
      <c r="G877" s="7"/>
      <c r="H877" s="7"/>
      <c r="I877" s="7"/>
      <c r="K877" s="7"/>
      <c r="L877" s="7"/>
      <c r="M877" s="7"/>
      <c r="N877" s="7"/>
      <c r="O877" s="7"/>
      <c r="P877" s="7"/>
      <c r="R877" s="7"/>
      <c r="S877" s="7"/>
    </row>
    <row r="878" spans="1:19" ht="14.1" customHeight="1" x14ac:dyDescent="0.2">
      <c r="A878" s="116">
        <f ca="1">IF($H878="UNIDADE CONSTRUTIVA",OFFSET(A878,-1,0)+1,LARGE(A$3:A877,1))</f>
        <v>0</v>
      </c>
      <c r="B878" s="116">
        <f t="shared" ref="B878:B941" ca="1" si="136">IF(H878="UNIDADE CONSTRUTIVA",0,IF(H878="CÉLULA CONSTRUTIVA",OFFSET(B878,-1,0)+1,OFFSET(B878,-1,0)))</f>
        <v>22</v>
      </c>
      <c r="C878" s="116">
        <f t="shared" ref="C878:C941" ca="1" si="137">IF(H878="CÉLULA CONSTRUTIVA",0,IF(H878="ETAPA",OFFSET(C878,-1,0)+1,OFFSET(C878,-1,0)))</f>
        <v>1</v>
      </c>
      <c r="D878" s="117">
        <f t="shared" ref="D878:D941" ca="1" si="138">IF(H878="ETAPA",0,IF(H878="SUBETAPA",OFFSET(D878,-1,0)+1,OFFSET(D878,-1,0)))</f>
        <v>1</v>
      </c>
      <c r="E878" s="117">
        <f t="shared" ref="E878:E941" ca="1" si="139">IF(H878="Subetapa",0,IF(H878="serviço",OFFSET(E878,-1,0)+1,OFFSET(E878,-1,0)))</f>
        <v>1</v>
      </c>
      <c r="F878" s="438"/>
      <c r="G878" s="7"/>
      <c r="H878" s="7"/>
      <c r="I878" s="7"/>
      <c r="K878" s="7"/>
      <c r="L878" s="7"/>
      <c r="M878" s="7"/>
      <c r="N878" s="7"/>
      <c r="O878" s="7"/>
      <c r="P878" s="7"/>
      <c r="R878" s="7"/>
      <c r="S878" s="7"/>
    </row>
    <row r="879" spans="1:19" ht="14.1" customHeight="1" x14ac:dyDescent="0.2">
      <c r="A879" s="116">
        <f ca="1">IF($H879="UNIDADE CONSTRUTIVA",OFFSET(A879,-1,0)+1,LARGE(A$3:A878,1))</f>
        <v>0</v>
      </c>
      <c r="B879" s="116">
        <f t="shared" ca="1" si="136"/>
        <v>22</v>
      </c>
      <c r="C879" s="116">
        <f t="shared" ca="1" si="137"/>
        <v>1</v>
      </c>
      <c r="D879" s="117">
        <f t="shared" ca="1" si="138"/>
        <v>1</v>
      </c>
      <c r="E879" s="117">
        <f t="shared" ca="1" si="139"/>
        <v>1</v>
      </c>
      <c r="F879" s="438"/>
      <c r="G879" s="7"/>
      <c r="H879" s="7"/>
      <c r="I879" s="7"/>
      <c r="K879" s="7"/>
      <c r="L879" s="7"/>
      <c r="M879" s="7"/>
      <c r="N879" s="7"/>
      <c r="O879" s="7"/>
      <c r="P879" s="7"/>
      <c r="R879" s="7"/>
      <c r="S879" s="7"/>
    </row>
    <row r="880" spans="1:19" ht="14.1" customHeight="1" x14ac:dyDescent="0.2">
      <c r="A880" s="116">
        <f ca="1">IF($H880="UNIDADE CONSTRUTIVA",OFFSET(A880,-1,0)+1,LARGE(A$3:A879,1))</f>
        <v>0</v>
      </c>
      <c r="B880" s="116">
        <f t="shared" ca="1" si="136"/>
        <v>22</v>
      </c>
      <c r="C880" s="116">
        <f t="shared" ca="1" si="137"/>
        <v>1</v>
      </c>
      <c r="D880" s="117">
        <f t="shared" ca="1" si="138"/>
        <v>1</v>
      </c>
      <c r="E880" s="117">
        <f t="shared" ca="1" si="139"/>
        <v>1</v>
      </c>
      <c r="F880" s="438"/>
      <c r="G880" s="7"/>
      <c r="H880" s="7"/>
      <c r="I880" s="7"/>
      <c r="K880" s="7"/>
      <c r="L880" s="7"/>
      <c r="M880" s="7"/>
      <c r="N880" s="7"/>
      <c r="O880" s="7"/>
      <c r="P880" s="7"/>
      <c r="R880" s="7"/>
      <c r="S880" s="7"/>
    </row>
    <row r="881" spans="1:19" ht="14.1" customHeight="1" x14ac:dyDescent="0.2">
      <c r="A881" s="116">
        <f ca="1">IF($H881="UNIDADE CONSTRUTIVA",OFFSET(A881,-1,0)+1,LARGE(A$3:A880,1))</f>
        <v>0</v>
      </c>
      <c r="B881" s="116">
        <f t="shared" ca="1" si="136"/>
        <v>22</v>
      </c>
      <c r="C881" s="116">
        <f t="shared" ca="1" si="137"/>
        <v>1</v>
      </c>
      <c r="D881" s="117">
        <f t="shared" ca="1" si="138"/>
        <v>1</v>
      </c>
      <c r="E881" s="117">
        <f t="shared" ca="1" si="139"/>
        <v>1</v>
      </c>
      <c r="F881" s="438"/>
      <c r="G881" s="7"/>
      <c r="H881" s="7"/>
      <c r="I881" s="7"/>
      <c r="K881" s="7"/>
      <c r="L881" s="7"/>
      <c r="M881" s="7"/>
      <c r="N881" s="7"/>
      <c r="O881" s="7"/>
      <c r="P881" s="7"/>
      <c r="R881" s="7"/>
      <c r="S881" s="7"/>
    </row>
    <row r="882" spans="1:19" ht="14.1" customHeight="1" x14ac:dyDescent="0.2">
      <c r="A882" s="116">
        <f ca="1">IF($H882="UNIDADE CONSTRUTIVA",OFFSET(A882,-1,0)+1,LARGE(A$3:A881,1))</f>
        <v>0</v>
      </c>
      <c r="B882" s="116">
        <f t="shared" ca="1" si="136"/>
        <v>22</v>
      </c>
      <c r="C882" s="116">
        <f t="shared" ca="1" si="137"/>
        <v>1</v>
      </c>
      <c r="D882" s="117">
        <f t="shared" ca="1" si="138"/>
        <v>1</v>
      </c>
      <c r="E882" s="117">
        <f t="shared" ca="1" si="139"/>
        <v>1</v>
      </c>
      <c r="F882" s="438"/>
      <c r="G882" s="7"/>
      <c r="H882" s="7"/>
      <c r="I882" s="7"/>
      <c r="K882" s="7"/>
      <c r="L882" s="7"/>
      <c r="M882" s="7"/>
      <c r="N882" s="7"/>
      <c r="O882" s="7"/>
      <c r="P882" s="7"/>
      <c r="R882" s="7"/>
      <c r="S882" s="7"/>
    </row>
    <row r="883" spans="1:19" ht="14.1" customHeight="1" x14ac:dyDescent="0.2">
      <c r="A883" s="116">
        <f ca="1">IF($H883="UNIDADE CONSTRUTIVA",OFFSET(A883,-1,0)+1,LARGE(A$3:A882,1))</f>
        <v>0</v>
      </c>
      <c r="B883" s="116">
        <f t="shared" ca="1" si="136"/>
        <v>22</v>
      </c>
      <c r="C883" s="116">
        <f t="shared" ca="1" si="137"/>
        <v>1</v>
      </c>
      <c r="D883" s="117">
        <f t="shared" ca="1" si="138"/>
        <v>1</v>
      </c>
      <c r="E883" s="117">
        <f t="shared" ca="1" si="139"/>
        <v>1</v>
      </c>
      <c r="F883" s="438"/>
      <c r="G883" s="7"/>
      <c r="H883" s="7"/>
      <c r="I883" s="7"/>
      <c r="K883" s="7"/>
      <c r="L883" s="7"/>
      <c r="M883" s="7"/>
      <c r="N883" s="7"/>
      <c r="O883" s="7"/>
      <c r="P883" s="7"/>
      <c r="R883" s="7"/>
      <c r="S883" s="7"/>
    </row>
    <row r="884" spans="1:19" ht="14.1" customHeight="1" x14ac:dyDescent="0.2">
      <c r="A884" s="116">
        <f ca="1">IF($H884="UNIDADE CONSTRUTIVA",OFFSET(A884,-1,0)+1,LARGE(A$3:A883,1))</f>
        <v>0</v>
      </c>
      <c r="B884" s="116">
        <f t="shared" ca="1" si="136"/>
        <v>22</v>
      </c>
      <c r="C884" s="116">
        <f t="shared" ca="1" si="137"/>
        <v>1</v>
      </c>
      <c r="D884" s="117">
        <f t="shared" ca="1" si="138"/>
        <v>1</v>
      </c>
      <c r="E884" s="117">
        <f t="shared" ca="1" si="139"/>
        <v>1</v>
      </c>
      <c r="F884" s="438"/>
      <c r="G884" s="7"/>
      <c r="H884" s="7"/>
      <c r="I884" s="7"/>
      <c r="K884" s="7"/>
      <c r="L884" s="7"/>
      <c r="M884" s="7"/>
      <c r="N884" s="7"/>
      <c r="O884" s="7"/>
      <c r="P884" s="7"/>
      <c r="R884" s="7"/>
      <c r="S884" s="7"/>
    </row>
    <row r="885" spans="1:19" ht="14.1" customHeight="1" x14ac:dyDescent="0.2">
      <c r="A885" s="116">
        <f ca="1">IF($H885="UNIDADE CONSTRUTIVA",OFFSET(A885,-1,0)+1,LARGE(A$3:A884,1))</f>
        <v>0</v>
      </c>
      <c r="B885" s="116">
        <f t="shared" ca="1" si="136"/>
        <v>22</v>
      </c>
      <c r="C885" s="116">
        <f t="shared" ca="1" si="137"/>
        <v>1</v>
      </c>
      <c r="D885" s="117">
        <f t="shared" ca="1" si="138"/>
        <v>1</v>
      </c>
      <c r="E885" s="117">
        <f t="shared" ca="1" si="139"/>
        <v>1</v>
      </c>
      <c r="F885" s="438"/>
      <c r="G885" s="7"/>
      <c r="H885" s="7"/>
      <c r="I885" s="7"/>
      <c r="K885" s="7"/>
      <c r="L885" s="7"/>
      <c r="M885" s="7"/>
      <c r="N885" s="7"/>
      <c r="O885" s="7"/>
      <c r="P885" s="7"/>
      <c r="R885" s="7"/>
      <c r="S885" s="7"/>
    </row>
    <row r="886" spans="1:19" ht="14.1" customHeight="1" x14ac:dyDescent="0.2">
      <c r="A886" s="116">
        <f ca="1">IF($H886="UNIDADE CONSTRUTIVA",OFFSET(A886,-1,0)+1,LARGE(A$3:A885,1))</f>
        <v>0</v>
      </c>
      <c r="B886" s="116">
        <f t="shared" ca="1" si="136"/>
        <v>22</v>
      </c>
      <c r="C886" s="116">
        <f t="shared" ca="1" si="137"/>
        <v>1</v>
      </c>
      <c r="D886" s="117">
        <f t="shared" ca="1" si="138"/>
        <v>1</v>
      </c>
      <c r="E886" s="117">
        <f t="shared" ca="1" si="139"/>
        <v>1</v>
      </c>
      <c r="F886" s="438"/>
      <c r="G886" s="7"/>
      <c r="H886" s="7"/>
      <c r="I886" s="7"/>
      <c r="K886" s="7"/>
      <c r="L886" s="7"/>
      <c r="M886" s="7"/>
      <c r="N886" s="7"/>
      <c r="O886" s="7"/>
      <c r="P886" s="7"/>
      <c r="R886" s="7"/>
      <c r="S886" s="7"/>
    </row>
    <row r="887" spans="1:19" ht="14.1" customHeight="1" x14ac:dyDescent="0.2">
      <c r="A887" s="116">
        <f ca="1">IF($H887="UNIDADE CONSTRUTIVA",OFFSET(A887,-1,0)+1,LARGE(A$3:A886,1))</f>
        <v>0</v>
      </c>
      <c r="B887" s="116">
        <f t="shared" ca="1" si="136"/>
        <v>22</v>
      </c>
      <c r="C887" s="116">
        <f t="shared" ca="1" si="137"/>
        <v>1</v>
      </c>
      <c r="D887" s="117">
        <f t="shared" ca="1" si="138"/>
        <v>1</v>
      </c>
      <c r="E887" s="117">
        <f t="shared" ca="1" si="139"/>
        <v>1</v>
      </c>
      <c r="F887" s="438"/>
      <c r="G887" s="7"/>
      <c r="H887" s="7"/>
      <c r="I887" s="7"/>
      <c r="K887" s="7"/>
      <c r="L887" s="7"/>
      <c r="M887" s="7"/>
      <c r="N887" s="7"/>
      <c r="O887" s="7"/>
      <c r="P887" s="7"/>
      <c r="R887" s="7"/>
      <c r="S887" s="7"/>
    </row>
    <row r="888" spans="1:19" ht="14.1" customHeight="1" x14ac:dyDescent="0.2">
      <c r="A888" s="116">
        <f ca="1">IF($H888="UNIDADE CONSTRUTIVA",OFFSET(A888,-1,0)+1,LARGE(A$3:A887,1))</f>
        <v>0</v>
      </c>
      <c r="B888" s="116">
        <f t="shared" ca="1" si="136"/>
        <v>22</v>
      </c>
      <c r="C888" s="116">
        <f t="shared" ca="1" si="137"/>
        <v>1</v>
      </c>
      <c r="D888" s="117">
        <f t="shared" ca="1" si="138"/>
        <v>1</v>
      </c>
      <c r="E888" s="117">
        <f t="shared" ca="1" si="139"/>
        <v>1</v>
      </c>
      <c r="F888" s="438"/>
      <c r="G888" s="7"/>
      <c r="H888" s="7"/>
      <c r="I888" s="7"/>
      <c r="K888" s="7"/>
      <c r="L888" s="7"/>
      <c r="M888" s="7"/>
      <c r="N888" s="7"/>
      <c r="O888" s="7"/>
      <c r="P888" s="7"/>
      <c r="R888" s="7"/>
      <c r="S888" s="7"/>
    </row>
    <row r="889" spans="1:19" ht="14.1" customHeight="1" x14ac:dyDescent="0.2">
      <c r="A889" s="116">
        <f ca="1">IF($H889="UNIDADE CONSTRUTIVA",OFFSET(A889,-1,0)+1,LARGE(A$3:A888,1))</f>
        <v>0</v>
      </c>
      <c r="B889" s="116">
        <f t="shared" ca="1" si="136"/>
        <v>22</v>
      </c>
      <c r="C889" s="116">
        <f t="shared" ca="1" si="137"/>
        <v>1</v>
      </c>
      <c r="D889" s="117">
        <f t="shared" ca="1" si="138"/>
        <v>1</v>
      </c>
      <c r="E889" s="117">
        <f t="shared" ca="1" si="139"/>
        <v>1</v>
      </c>
      <c r="F889" s="438"/>
      <c r="G889" s="7"/>
      <c r="H889" s="7"/>
      <c r="I889" s="7"/>
      <c r="K889" s="7"/>
      <c r="L889" s="7"/>
      <c r="M889" s="7"/>
      <c r="N889" s="7"/>
      <c r="O889" s="7"/>
      <c r="P889" s="7"/>
      <c r="R889" s="7"/>
      <c r="S889" s="7"/>
    </row>
    <row r="890" spans="1:19" ht="14.1" customHeight="1" x14ac:dyDescent="0.2">
      <c r="A890" s="116">
        <f ca="1">IF($H890="UNIDADE CONSTRUTIVA",OFFSET(A890,-1,0)+1,LARGE(A$3:A889,1))</f>
        <v>0</v>
      </c>
      <c r="B890" s="116">
        <f t="shared" ca="1" si="136"/>
        <v>22</v>
      </c>
      <c r="C890" s="116">
        <f t="shared" ca="1" si="137"/>
        <v>1</v>
      </c>
      <c r="D890" s="117">
        <f t="shared" ca="1" si="138"/>
        <v>1</v>
      </c>
      <c r="E890" s="117">
        <f t="shared" ca="1" si="139"/>
        <v>1</v>
      </c>
      <c r="F890" s="438"/>
      <c r="G890" s="7"/>
      <c r="H890" s="7"/>
      <c r="I890" s="7"/>
      <c r="K890" s="7"/>
      <c r="L890" s="7"/>
      <c r="M890" s="7"/>
      <c r="N890" s="7"/>
      <c r="O890" s="7"/>
      <c r="P890" s="7"/>
      <c r="R890" s="7"/>
      <c r="S890" s="7"/>
    </row>
    <row r="891" spans="1:19" ht="14.1" customHeight="1" x14ac:dyDescent="0.2">
      <c r="A891" s="116">
        <f ca="1">IF($H891="UNIDADE CONSTRUTIVA",OFFSET(A891,-1,0)+1,LARGE(A$3:A890,1))</f>
        <v>0</v>
      </c>
      <c r="B891" s="116">
        <f t="shared" ca="1" si="136"/>
        <v>22</v>
      </c>
      <c r="C891" s="116">
        <f t="shared" ca="1" si="137"/>
        <v>1</v>
      </c>
      <c r="D891" s="117">
        <f t="shared" ca="1" si="138"/>
        <v>1</v>
      </c>
      <c r="E891" s="117">
        <f t="shared" ca="1" si="139"/>
        <v>1</v>
      </c>
      <c r="F891" s="438"/>
      <c r="G891" s="7"/>
      <c r="H891" s="7"/>
      <c r="I891" s="7"/>
      <c r="K891" s="7"/>
      <c r="L891" s="7"/>
      <c r="M891" s="7"/>
      <c r="N891" s="7"/>
      <c r="O891" s="7"/>
      <c r="P891" s="7"/>
      <c r="R891" s="7"/>
      <c r="S891" s="7"/>
    </row>
    <row r="892" spans="1:19" ht="14.1" customHeight="1" x14ac:dyDescent="0.2">
      <c r="A892" s="116">
        <f ca="1">IF($H892="UNIDADE CONSTRUTIVA",OFFSET(A892,-1,0)+1,LARGE(A$3:A891,1))</f>
        <v>0</v>
      </c>
      <c r="B892" s="116">
        <f t="shared" ca="1" si="136"/>
        <v>22</v>
      </c>
      <c r="C892" s="116">
        <f t="shared" ca="1" si="137"/>
        <v>1</v>
      </c>
      <c r="D892" s="117">
        <f t="shared" ca="1" si="138"/>
        <v>1</v>
      </c>
      <c r="E892" s="117">
        <f t="shared" ca="1" si="139"/>
        <v>1</v>
      </c>
      <c r="F892" s="438"/>
      <c r="G892" s="7"/>
      <c r="H892" s="7"/>
      <c r="I892" s="7"/>
      <c r="K892" s="7"/>
      <c r="L892" s="7"/>
      <c r="M892" s="7"/>
      <c r="N892" s="7"/>
      <c r="O892" s="7"/>
      <c r="P892" s="7"/>
      <c r="R892" s="7"/>
      <c r="S892" s="7"/>
    </row>
    <row r="893" spans="1:19" ht="14.1" customHeight="1" x14ac:dyDescent="0.2">
      <c r="A893" s="116">
        <f ca="1">IF($H893="UNIDADE CONSTRUTIVA",OFFSET(A893,-1,0)+1,LARGE(A$3:A892,1))</f>
        <v>0</v>
      </c>
      <c r="B893" s="116">
        <f t="shared" ca="1" si="136"/>
        <v>22</v>
      </c>
      <c r="C893" s="116">
        <f t="shared" ca="1" si="137"/>
        <v>1</v>
      </c>
      <c r="D893" s="117">
        <f t="shared" ca="1" si="138"/>
        <v>1</v>
      </c>
      <c r="E893" s="117">
        <f t="shared" ca="1" si="139"/>
        <v>1</v>
      </c>
      <c r="F893" s="438"/>
      <c r="G893" s="7"/>
      <c r="H893" s="7"/>
      <c r="I893" s="7"/>
      <c r="K893" s="7"/>
      <c r="L893" s="7"/>
      <c r="M893" s="7"/>
      <c r="N893" s="7"/>
      <c r="O893" s="7"/>
      <c r="P893" s="7"/>
      <c r="R893" s="7"/>
      <c r="S893" s="7"/>
    </row>
    <row r="894" spans="1:19" ht="14.1" customHeight="1" x14ac:dyDescent="0.2">
      <c r="A894" s="116">
        <f ca="1">IF($H894="UNIDADE CONSTRUTIVA",OFFSET(A894,-1,0)+1,LARGE(A$3:A893,1))</f>
        <v>0</v>
      </c>
      <c r="B894" s="116">
        <f t="shared" ca="1" si="136"/>
        <v>22</v>
      </c>
      <c r="C894" s="116">
        <f t="shared" ca="1" si="137"/>
        <v>1</v>
      </c>
      <c r="D894" s="117">
        <f t="shared" ca="1" si="138"/>
        <v>1</v>
      </c>
      <c r="E894" s="117">
        <f t="shared" ca="1" si="139"/>
        <v>1</v>
      </c>
      <c r="F894" s="438"/>
      <c r="G894" s="7"/>
      <c r="H894" s="7"/>
      <c r="I894" s="7"/>
      <c r="K894" s="7"/>
      <c r="L894" s="7"/>
      <c r="M894" s="7"/>
      <c r="N894" s="7"/>
      <c r="O894" s="7"/>
      <c r="P894" s="7"/>
      <c r="R894" s="7"/>
      <c r="S894" s="7"/>
    </row>
    <row r="895" spans="1:19" ht="14.1" customHeight="1" x14ac:dyDescent="0.2">
      <c r="A895" s="116">
        <f ca="1">IF($H895="UNIDADE CONSTRUTIVA",OFFSET(A895,-1,0)+1,LARGE(A$3:A894,1))</f>
        <v>0</v>
      </c>
      <c r="B895" s="116">
        <f t="shared" ca="1" si="136"/>
        <v>22</v>
      </c>
      <c r="C895" s="116">
        <f t="shared" ca="1" si="137"/>
        <v>1</v>
      </c>
      <c r="D895" s="117">
        <f t="shared" ca="1" si="138"/>
        <v>1</v>
      </c>
      <c r="E895" s="117">
        <f t="shared" ca="1" si="139"/>
        <v>1</v>
      </c>
      <c r="F895" s="438"/>
      <c r="G895" s="7"/>
      <c r="H895" s="7"/>
      <c r="I895" s="7"/>
      <c r="K895" s="7"/>
      <c r="L895" s="7"/>
      <c r="M895" s="7"/>
      <c r="N895" s="7"/>
      <c r="O895" s="7"/>
      <c r="P895" s="7"/>
      <c r="R895" s="7"/>
      <c r="S895" s="7"/>
    </row>
    <row r="896" spans="1:19" ht="14.1" customHeight="1" x14ac:dyDescent="0.2">
      <c r="A896" s="116">
        <f ca="1">IF($H896="UNIDADE CONSTRUTIVA",OFFSET(A896,-1,0)+1,LARGE(A$3:A895,1))</f>
        <v>0</v>
      </c>
      <c r="B896" s="116">
        <f t="shared" ca="1" si="136"/>
        <v>22</v>
      </c>
      <c r="C896" s="116">
        <f t="shared" ca="1" si="137"/>
        <v>1</v>
      </c>
      <c r="D896" s="117">
        <f t="shared" ca="1" si="138"/>
        <v>1</v>
      </c>
      <c r="E896" s="117">
        <f t="shared" ca="1" si="139"/>
        <v>1</v>
      </c>
      <c r="F896" s="438"/>
      <c r="G896" s="7"/>
      <c r="H896" s="7"/>
      <c r="I896" s="7"/>
      <c r="K896" s="7"/>
      <c r="L896" s="7"/>
      <c r="M896" s="7"/>
      <c r="N896" s="7"/>
      <c r="O896" s="7"/>
      <c r="P896" s="7"/>
      <c r="R896" s="7"/>
      <c r="S896" s="7"/>
    </row>
    <row r="897" spans="1:19" ht="14.1" customHeight="1" x14ac:dyDescent="0.2">
      <c r="A897" s="116">
        <f ca="1">IF($H897="UNIDADE CONSTRUTIVA",OFFSET(A897,-1,0)+1,LARGE(A$3:A896,1))</f>
        <v>0</v>
      </c>
      <c r="B897" s="116">
        <f t="shared" ca="1" si="136"/>
        <v>22</v>
      </c>
      <c r="C897" s="116">
        <f t="shared" ca="1" si="137"/>
        <v>1</v>
      </c>
      <c r="D897" s="117">
        <f t="shared" ca="1" si="138"/>
        <v>1</v>
      </c>
      <c r="E897" s="117">
        <f t="shared" ca="1" si="139"/>
        <v>1</v>
      </c>
      <c r="F897" s="438"/>
      <c r="G897" s="7"/>
      <c r="H897" s="7"/>
      <c r="I897" s="7"/>
      <c r="K897" s="7"/>
      <c r="L897" s="7"/>
      <c r="M897" s="7"/>
      <c r="N897" s="7"/>
      <c r="O897" s="7"/>
      <c r="P897" s="7"/>
      <c r="R897" s="7"/>
      <c r="S897" s="7"/>
    </row>
    <row r="898" spans="1:19" ht="14.1" customHeight="1" x14ac:dyDescent="0.2">
      <c r="A898" s="116">
        <f ca="1">IF($H898="UNIDADE CONSTRUTIVA",OFFSET(A898,-1,0)+1,LARGE(A$3:A897,1))</f>
        <v>0</v>
      </c>
      <c r="B898" s="116">
        <f t="shared" ca="1" si="136"/>
        <v>22</v>
      </c>
      <c r="C898" s="116">
        <f t="shared" ca="1" si="137"/>
        <v>1</v>
      </c>
      <c r="D898" s="117">
        <f t="shared" ca="1" si="138"/>
        <v>1</v>
      </c>
      <c r="E898" s="117">
        <f t="shared" ca="1" si="139"/>
        <v>1</v>
      </c>
      <c r="F898" s="438"/>
      <c r="G898" s="7"/>
      <c r="H898" s="7"/>
      <c r="I898" s="7"/>
      <c r="K898" s="7"/>
      <c r="L898" s="7"/>
      <c r="M898" s="7"/>
      <c r="N898" s="7"/>
      <c r="O898" s="7"/>
      <c r="P898" s="7"/>
      <c r="R898" s="7"/>
      <c r="S898" s="7"/>
    </row>
    <row r="899" spans="1:19" ht="14.1" customHeight="1" x14ac:dyDescent="0.2">
      <c r="A899" s="116">
        <f ca="1">IF($H899="UNIDADE CONSTRUTIVA",OFFSET(A899,-1,0)+1,LARGE(A$3:A898,1))</f>
        <v>0</v>
      </c>
      <c r="B899" s="116">
        <f t="shared" ca="1" si="136"/>
        <v>22</v>
      </c>
      <c r="C899" s="116">
        <f t="shared" ca="1" si="137"/>
        <v>1</v>
      </c>
      <c r="D899" s="117">
        <f t="shared" ca="1" si="138"/>
        <v>1</v>
      </c>
      <c r="E899" s="117">
        <f t="shared" ca="1" si="139"/>
        <v>1</v>
      </c>
      <c r="F899" s="438"/>
      <c r="G899" s="7"/>
      <c r="H899" s="7"/>
      <c r="I899" s="7"/>
      <c r="K899" s="7"/>
      <c r="L899" s="7"/>
      <c r="M899" s="7"/>
      <c r="N899" s="7"/>
      <c r="O899" s="7"/>
      <c r="P899" s="7"/>
      <c r="R899" s="7"/>
      <c r="S899" s="7"/>
    </row>
    <row r="900" spans="1:19" ht="14.1" customHeight="1" x14ac:dyDescent="0.2">
      <c r="A900" s="116">
        <f ca="1">IF($H900="UNIDADE CONSTRUTIVA",OFFSET(A900,-1,0)+1,LARGE(A$3:A899,1))</f>
        <v>0</v>
      </c>
      <c r="B900" s="116">
        <f t="shared" ca="1" si="136"/>
        <v>22</v>
      </c>
      <c r="C900" s="116">
        <f t="shared" ca="1" si="137"/>
        <v>1</v>
      </c>
      <c r="D900" s="117">
        <f t="shared" ca="1" si="138"/>
        <v>1</v>
      </c>
      <c r="E900" s="117">
        <f t="shared" ca="1" si="139"/>
        <v>1</v>
      </c>
      <c r="F900" s="438"/>
      <c r="G900" s="7"/>
      <c r="H900" s="7"/>
      <c r="I900" s="7"/>
      <c r="K900" s="7"/>
      <c r="L900" s="7"/>
      <c r="M900" s="7"/>
      <c r="N900" s="7"/>
      <c r="O900" s="7"/>
      <c r="P900" s="7"/>
      <c r="R900" s="7"/>
      <c r="S900" s="7"/>
    </row>
    <row r="901" spans="1:19" ht="14.1" customHeight="1" x14ac:dyDescent="0.2">
      <c r="A901" s="116">
        <f ca="1">IF($H901="UNIDADE CONSTRUTIVA",OFFSET(A901,-1,0)+1,LARGE(A$3:A900,1))</f>
        <v>0</v>
      </c>
      <c r="B901" s="116">
        <f t="shared" ca="1" si="136"/>
        <v>22</v>
      </c>
      <c r="C901" s="116">
        <f t="shared" ca="1" si="137"/>
        <v>1</v>
      </c>
      <c r="D901" s="117">
        <f t="shared" ca="1" si="138"/>
        <v>1</v>
      </c>
      <c r="E901" s="117">
        <f t="shared" ca="1" si="139"/>
        <v>1</v>
      </c>
      <c r="F901" s="438"/>
      <c r="G901" s="7"/>
      <c r="H901" s="7"/>
      <c r="I901" s="7"/>
      <c r="K901" s="7"/>
      <c r="L901" s="7"/>
      <c r="M901" s="7"/>
      <c r="N901" s="7"/>
      <c r="O901" s="7"/>
      <c r="P901" s="7"/>
      <c r="R901" s="7"/>
      <c r="S901" s="7"/>
    </row>
    <row r="902" spans="1:19" ht="14.1" customHeight="1" x14ac:dyDescent="0.2">
      <c r="A902" s="116">
        <f ca="1">IF($H902="UNIDADE CONSTRUTIVA",OFFSET(A902,-1,0)+1,LARGE(A$3:A901,1))</f>
        <v>0</v>
      </c>
      <c r="B902" s="116">
        <f t="shared" ca="1" si="136"/>
        <v>22</v>
      </c>
      <c r="C902" s="116">
        <f t="shared" ca="1" si="137"/>
        <v>1</v>
      </c>
      <c r="D902" s="117">
        <f t="shared" ca="1" si="138"/>
        <v>1</v>
      </c>
      <c r="E902" s="117">
        <f t="shared" ca="1" si="139"/>
        <v>1</v>
      </c>
      <c r="F902" s="438"/>
      <c r="G902" s="7"/>
      <c r="H902" s="7"/>
      <c r="I902" s="7"/>
      <c r="K902" s="7"/>
      <c r="L902" s="7"/>
      <c r="M902" s="7"/>
      <c r="N902" s="7"/>
      <c r="O902" s="7"/>
      <c r="P902" s="7"/>
      <c r="R902" s="7"/>
      <c r="S902" s="7"/>
    </row>
    <row r="903" spans="1:19" ht="14.1" customHeight="1" x14ac:dyDescent="0.2">
      <c r="A903" s="116">
        <f ca="1">IF($H903="UNIDADE CONSTRUTIVA",OFFSET(A903,-1,0)+1,LARGE(A$3:A902,1))</f>
        <v>0</v>
      </c>
      <c r="B903" s="116">
        <f t="shared" ca="1" si="136"/>
        <v>22</v>
      </c>
      <c r="C903" s="116">
        <f t="shared" ca="1" si="137"/>
        <v>1</v>
      </c>
      <c r="D903" s="117">
        <f t="shared" ca="1" si="138"/>
        <v>1</v>
      </c>
      <c r="E903" s="117">
        <f t="shared" ca="1" si="139"/>
        <v>1</v>
      </c>
      <c r="F903" s="438"/>
      <c r="G903" s="7"/>
      <c r="H903" s="7"/>
      <c r="I903" s="7"/>
      <c r="K903" s="7"/>
      <c r="L903" s="7"/>
      <c r="M903" s="7"/>
      <c r="N903" s="7"/>
      <c r="O903" s="7"/>
      <c r="P903" s="7"/>
      <c r="R903" s="7"/>
      <c r="S903" s="7"/>
    </row>
    <row r="904" spans="1:19" ht="14.1" customHeight="1" x14ac:dyDescent="0.2">
      <c r="A904" s="116">
        <f ca="1">IF($H904="UNIDADE CONSTRUTIVA",OFFSET(A904,-1,0)+1,LARGE(A$3:A903,1))</f>
        <v>0</v>
      </c>
      <c r="B904" s="116">
        <f t="shared" ca="1" si="136"/>
        <v>22</v>
      </c>
      <c r="C904" s="116">
        <f t="shared" ca="1" si="137"/>
        <v>1</v>
      </c>
      <c r="D904" s="117">
        <f t="shared" ca="1" si="138"/>
        <v>1</v>
      </c>
      <c r="E904" s="117">
        <f t="shared" ca="1" si="139"/>
        <v>1</v>
      </c>
      <c r="F904" s="438"/>
      <c r="G904" s="7"/>
      <c r="H904" s="7"/>
      <c r="I904" s="7"/>
      <c r="K904" s="7"/>
      <c r="L904" s="7"/>
      <c r="M904" s="7"/>
      <c r="N904" s="7"/>
      <c r="O904" s="7"/>
      <c r="P904" s="7"/>
      <c r="R904" s="7"/>
      <c r="S904" s="7"/>
    </row>
    <row r="905" spans="1:19" ht="14.1" customHeight="1" x14ac:dyDescent="0.2">
      <c r="A905" s="116">
        <f ca="1">IF($H905="UNIDADE CONSTRUTIVA",OFFSET(A905,-1,0)+1,LARGE(A$3:A904,1))</f>
        <v>0</v>
      </c>
      <c r="B905" s="116">
        <f t="shared" ca="1" si="136"/>
        <v>22</v>
      </c>
      <c r="C905" s="116">
        <f t="shared" ca="1" si="137"/>
        <v>1</v>
      </c>
      <c r="D905" s="117">
        <f t="shared" ca="1" si="138"/>
        <v>1</v>
      </c>
      <c r="E905" s="117">
        <f t="shared" ca="1" si="139"/>
        <v>1</v>
      </c>
      <c r="F905" s="438"/>
      <c r="G905" s="7"/>
      <c r="H905" s="7"/>
      <c r="I905" s="7"/>
      <c r="K905" s="7"/>
      <c r="L905" s="7"/>
      <c r="M905" s="7"/>
      <c r="N905" s="7"/>
      <c r="O905" s="7"/>
      <c r="P905" s="7"/>
      <c r="R905" s="7"/>
      <c r="S905" s="7"/>
    </row>
    <row r="906" spans="1:19" ht="14.1" customHeight="1" x14ac:dyDescent="0.2">
      <c r="A906" s="116">
        <f ca="1">IF($H906="UNIDADE CONSTRUTIVA",OFFSET(A906,-1,0)+1,LARGE(A$3:A905,1))</f>
        <v>0</v>
      </c>
      <c r="B906" s="116">
        <f t="shared" ca="1" si="136"/>
        <v>22</v>
      </c>
      <c r="C906" s="116">
        <f t="shared" ca="1" si="137"/>
        <v>1</v>
      </c>
      <c r="D906" s="117">
        <f t="shared" ca="1" si="138"/>
        <v>1</v>
      </c>
      <c r="E906" s="117">
        <f t="shared" ca="1" si="139"/>
        <v>1</v>
      </c>
      <c r="F906" s="438"/>
      <c r="G906" s="7"/>
      <c r="H906" s="7"/>
      <c r="I906" s="7"/>
      <c r="K906" s="7"/>
      <c r="L906" s="7"/>
      <c r="M906" s="7"/>
      <c r="N906" s="7"/>
      <c r="O906" s="7"/>
      <c r="P906" s="7"/>
      <c r="R906" s="7"/>
      <c r="S906" s="7"/>
    </row>
    <row r="907" spans="1:19" ht="14.1" customHeight="1" x14ac:dyDescent="0.2">
      <c r="A907" s="116">
        <f ca="1">IF($H907="UNIDADE CONSTRUTIVA",OFFSET(A907,-1,0)+1,LARGE(A$3:A906,1))</f>
        <v>0</v>
      </c>
      <c r="B907" s="116">
        <f t="shared" ca="1" si="136"/>
        <v>22</v>
      </c>
      <c r="C907" s="116">
        <f t="shared" ca="1" si="137"/>
        <v>1</v>
      </c>
      <c r="D907" s="117">
        <f t="shared" ca="1" si="138"/>
        <v>1</v>
      </c>
      <c r="E907" s="117">
        <f t="shared" ca="1" si="139"/>
        <v>1</v>
      </c>
      <c r="F907" s="438"/>
      <c r="G907" s="7"/>
      <c r="H907" s="7"/>
      <c r="I907" s="7"/>
      <c r="K907" s="7"/>
      <c r="L907" s="7"/>
      <c r="M907" s="7"/>
      <c r="N907" s="7"/>
      <c r="O907" s="7"/>
      <c r="P907" s="7"/>
      <c r="R907" s="7"/>
      <c r="S907" s="7"/>
    </row>
    <row r="908" spans="1:19" ht="14.1" customHeight="1" x14ac:dyDescent="0.2">
      <c r="A908" s="116">
        <f ca="1">IF($H908="UNIDADE CONSTRUTIVA",OFFSET(A908,-1,0)+1,LARGE(A$3:A907,1))</f>
        <v>0</v>
      </c>
      <c r="B908" s="116">
        <f t="shared" ca="1" si="136"/>
        <v>22</v>
      </c>
      <c r="C908" s="116">
        <f t="shared" ca="1" si="137"/>
        <v>1</v>
      </c>
      <c r="D908" s="117">
        <f t="shared" ca="1" si="138"/>
        <v>1</v>
      </c>
      <c r="E908" s="117">
        <f t="shared" ca="1" si="139"/>
        <v>1</v>
      </c>
      <c r="F908" s="438"/>
      <c r="G908" s="7"/>
      <c r="H908" s="7"/>
      <c r="I908" s="7"/>
      <c r="K908" s="7"/>
      <c r="L908" s="7"/>
      <c r="M908" s="7"/>
      <c r="N908" s="7"/>
      <c r="O908" s="7"/>
      <c r="P908" s="7"/>
      <c r="R908" s="7"/>
      <c r="S908" s="7"/>
    </row>
    <row r="909" spans="1:19" ht="14.1" customHeight="1" x14ac:dyDescent="0.2">
      <c r="A909" s="116">
        <f ca="1">IF($H909="UNIDADE CONSTRUTIVA",OFFSET(A909,-1,0)+1,LARGE(A$3:A908,1))</f>
        <v>0</v>
      </c>
      <c r="B909" s="116">
        <f t="shared" ca="1" si="136"/>
        <v>22</v>
      </c>
      <c r="C909" s="116">
        <f t="shared" ca="1" si="137"/>
        <v>1</v>
      </c>
      <c r="D909" s="117">
        <f t="shared" ca="1" si="138"/>
        <v>1</v>
      </c>
      <c r="E909" s="117">
        <f t="shared" ca="1" si="139"/>
        <v>1</v>
      </c>
      <c r="F909" s="438"/>
      <c r="G909" s="7"/>
      <c r="H909" s="7"/>
      <c r="I909" s="7"/>
      <c r="K909" s="7"/>
      <c r="L909" s="7"/>
      <c r="M909" s="7"/>
      <c r="N909" s="7"/>
      <c r="O909" s="7"/>
      <c r="P909" s="7"/>
      <c r="R909" s="7"/>
      <c r="S909" s="7"/>
    </row>
    <row r="910" spans="1:19" ht="14.1" customHeight="1" x14ac:dyDescent="0.2">
      <c r="A910" s="116">
        <f ca="1">IF($H910="UNIDADE CONSTRUTIVA",OFFSET(A910,-1,0)+1,LARGE(A$3:A909,1))</f>
        <v>0</v>
      </c>
      <c r="B910" s="116">
        <f t="shared" ca="1" si="136"/>
        <v>22</v>
      </c>
      <c r="C910" s="116">
        <f t="shared" ca="1" si="137"/>
        <v>1</v>
      </c>
      <c r="D910" s="117">
        <f t="shared" ca="1" si="138"/>
        <v>1</v>
      </c>
      <c r="E910" s="117">
        <f t="shared" ca="1" si="139"/>
        <v>1</v>
      </c>
      <c r="F910" s="438"/>
      <c r="G910" s="7"/>
      <c r="H910" s="7"/>
      <c r="I910" s="7"/>
      <c r="K910" s="7"/>
      <c r="L910" s="7"/>
      <c r="M910" s="7"/>
      <c r="N910" s="7"/>
      <c r="O910" s="7"/>
      <c r="P910" s="7"/>
      <c r="R910" s="7"/>
      <c r="S910" s="7"/>
    </row>
    <row r="911" spans="1:19" ht="14.1" customHeight="1" x14ac:dyDescent="0.2">
      <c r="A911" s="116">
        <f ca="1">IF($H911="UNIDADE CONSTRUTIVA",OFFSET(A911,-1,0)+1,LARGE(A$3:A910,1))</f>
        <v>0</v>
      </c>
      <c r="B911" s="116">
        <f t="shared" ca="1" si="136"/>
        <v>22</v>
      </c>
      <c r="C911" s="116">
        <f t="shared" ca="1" si="137"/>
        <v>1</v>
      </c>
      <c r="D911" s="117">
        <f t="shared" ca="1" si="138"/>
        <v>1</v>
      </c>
      <c r="E911" s="117">
        <f t="shared" ca="1" si="139"/>
        <v>1</v>
      </c>
      <c r="F911" s="438"/>
      <c r="G911" s="7"/>
      <c r="H911" s="7"/>
      <c r="I911" s="7"/>
      <c r="K911" s="7"/>
      <c r="L911" s="7"/>
      <c r="M911" s="7"/>
      <c r="N911" s="7"/>
      <c r="O911" s="7"/>
      <c r="P911" s="7"/>
      <c r="R911" s="7"/>
      <c r="S911" s="7"/>
    </row>
    <row r="912" spans="1:19" ht="14.1" customHeight="1" x14ac:dyDescent="0.2">
      <c r="A912" s="116">
        <f ca="1">IF($H912="UNIDADE CONSTRUTIVA",OFFSET(A912,-1,0)+1,LARGE(A$3:A911,1))</f>
        <v>0</v>
      </c>
      <c r="B912" s="116">
        <f t="shared" ca="1" si="136"/>
        <v>22</v>
      </c>
      <c r="C912" s="116">
        <f t="shared" ca="1" si="137"/>
        <v>1</v>
      </c>
      <c r="D912" s="117">
        <f t="shared" ca="1" si="138"/>
        <v>1</v>
      </c>
      <c r="E912" s="117">
        <f t="shared" ca="1" si="139"/>
        <v>1</v>
      </c>
      <c r="F912" s="438"/>
      <c r="G912" s="7"/>
      <c r="H912" s="7"/>
      <c r="I912" s="7"/>
      <c r="K912" s="7"/>
      <c r="L912" s="7"/>
      <c r="M912" s="7"/>
      <c r="N912" s="7"/>
      <c r="O912" s="7"/>
      <c r="P912" s="7"/>
      <c r="R912" s="7"/>
      <c r="S912" s="7"/>
    </row>
    <row r="913" spans="1:19" ht="14.1" customHeight="1" x14ac:dyDescent="0.2">
      <c r="A913" s="116">
        <f ca="1">IF($H913="UNIDADE CONSTRUTIVA",OFFSET(A913,-1,0)+1,LARGE(A$3:A912,1))</f>
        <v>0</v>
      </c>
      <c r="B913" s="116">
        <f t="shared" ca="1" si="136"/>
        <v>22</v>
      </c>
      <c r="C913" s="116">
        <f t="shared" ca="1" si="137"/>
        <v>1</v>
      </c>
      <c r="D913" s="117">
        <f t="shared" ca="1" si="138"/>
        <v>1</v>
      </c>
      <c r="E913" s="117">
        <f t="shared" ca="1" si="139"/>
        <v>1</v>
      </c>
      <c r="F913" s="438"/>
      <c r="G913" s="7"/>
      <c r="H913" s="7"/>
      <c r="I913" s="7"/>
      <c r="K913" s="7"/>
      <c r="L913" s="7"/>
      <c r="M913" s="7"/>
      <c r="N913" s="7"/>
      <c r="O913" s="7"/>
      <c r="P913" s="7"/>
      <c r="R913" s="7"/>
      <c r="S913" s="7"/>
    </row>
    <row r="914" spans="1:19" ht="14.1" customHeight="1" x14ac:dyDescent="0.2">
      <c r="A914" s="116">
        <f ca="1">IF($H914="UNIDADE CONSTRUTIVA",OFFSET(A914,-1,0)+1,LARGE(A$3:A913,1))</f>
        <v>0</v>
      </c>
      <c r="B914" s="116">
        <f t="shared" ca="1" si="136"/>
        <v>22</v>
      </c>
      <c r="C914" s="116">
        <f t="shared" ca="1" si="137"/>
        <v>1</v>
      </c>
      <c r="D914" s="117">
        <f t="shared" ca="1" si="138"/>
        <v>1</v>
      </c>
      <c r="E914" s="117">
        <f t="shared" ca="1" si="139"/>
        <v>1</v>
      </c>
      <c r="F914" s="438"/>
      <c r="G914" s="7"/>
      <c r="H914" s="7"/>
      <c r="I914" s="7"/>
      <c r="K914" s="7"/>
      <c r="L914" s="7"/>
      <c r="M914" s="7"/>
      <c r="N914" s="7"/>
      <c r="O914" s="7"/>
      <c r="P914" s="7"/>
      <c r="R914" s="7"/>
      <c r="S914" s="7"/>
    </row>
    <row r="915" spans="1:19" ht="14.1" customHeight="1" x14ac:dyDescent="0.2">
      <c r="A915" s="116">
        <f ca="1">IF($H915="UNIDADE CONSTRUTIVA",OFFSET(A915,-1,0)+1,LARGE(A$3:A914,1))</f>
        <v>0</v>
      </c>
      <c r="B915" s="116">
        <f t="shared" ca="1" si="136"/>
        <v>22</v>
      </c>
      <c r="C915" s="116">
        <f t="shared" ca="1" si="137"/>
        <v>1</v>
      </c>
      <c r="D915" s="117">
        <f t="shared" ca="1" si="138"/>
        <v>1</v>
      </c>
      <c r="E915" s="117">
        <f t="shared" ca="1" si="139"/>
        <v>1</v>
      </c>
      <c r="F915" s="438"/>
      <c r="G915" s="7"/>
      <c r="H915" s="7"/>
      <c r="I915" s="7"/>
      <c r="K915" s="7"/>
      <c r="L915" s="7"/>
      <c r="M915" s="7"/>
      <c r="N915" s="7"/>
      <c r="O915" s="7"/>
      <c r="P915" s="7"/>
      <c r="R915" s="7"/>
      <c r="S915" s="7"/>
    </row>
    <row r="916" spans="1:19" ht="14.1" customHeight="1" x14ac:dyDescent="0.2">
      <c r="A916" s="116">
        <f ca="1">IF($H916="UNIDADE CONSTRUTIVA",OFFSET(A916,-1,0)+1,LARGE(A$3:A915,1))</f>
        <v>0</v>
      </c>
      <c r="B916" s="116">
        <f t="shared" ca="1" si="136"/>
        <v>22</v>
      </c>
      <c r="C916" s="116">
        <f t="shared" ca="1" si="137"/>
        <v>1</v>
      </c>
      <c r="D916" s="117">
        <f t="shared" ca="1" si="138"/>
        <v>1</v>
      </c>
      <c r="E916" s="117">
        <f t="shared" ca="1" si="139"/>
        <v>1</v>
      </c>
      <c r="F916" s="438"/>
      <c r="G916" s="7"/>
      <c r="H916" s="7"/>
      <c r="I916" s="7"/>
      <c r="K916" s="7"/>
      <c r="L916" s="7"/>
      <c r="M916" s="7"/>
      <c r="N916" s="7"/>
      <c r="O916" s="7"/>
      <c r="P916" s="7"/>
      <c r="R916" s="7"/>
      <c r="S916" s="7"/>
    </row>
    <row r="917" spans="1:19" ht="14.1" customHeight="1" x14ac:dyDescent="0.2">
      <c r="A917" s="116">
        <f ca="1">IF($H917="UNIDADE CONSTRUTIVA",OFFSET(A917,-1,0)+1,LARGE(A$3:A916,1))</f>
        <v>0</v>
      </c>
      <c r="B917" s="116">
        <f t="shared" ca="1" si="136"/>
        <v>22</v>
      </c>
      <c r="C917" s="116">
        <f t="shared" ca="1" si="137"/>
        <v>1</v>
      </c>
      <c r="D917" s="117">
        <f t="shared" ca="1" si="138"/>
        <v>1</v>
      </c>
      <c r="E917" s="117">
        <f t="shared" ca="1" si="139"/>
        <v>1</v>
      </c>
      <c r="F917" s="438"/>
      <c r="G917" s="7"/>
      <c r="H917" s="7"/>
      <c r="I917" s="7"/>
      <c r="K917" s="7"/>
      <c r="L917" s="7"/>
      <c r="M917" s="7"/>
      <c r="N917" s="7"/>
      <c r="O917" s="7"/>
      <c r="P917" s="7"/>
      <c r="R917" s="7"/>
      <c r="S917" s="7"/>
    </row>
    <row r="918" spans="1:19" ht="14.1" customHeight="1" x14ac:dyDescent="0.2">
      <c r="A918" s="116">
        <f ca="1">IF($H918="UNIDADE CONSTRUTIVA",OFFSET(A918,-1,0)+1,LARGE(A$3:A917,1))</f>
        <v>0</v>
      </c>
      <c r="B918" s="116">
        <f t="shared" ca="1" si="136"/>
        <v>22</v>
      </c>
      <c r="C918" s="116">
        <f t="shared" ca="1" si="137"/>
        <v>1</v>
      </c>
      <c r="D918" s="117">
        <f t="shared" ca="1" si="138"/>
        <v>1</v>
      </c>
      <c r="E918" s="117">
        <f t="shared" ca="1" si="139"/>
        <v>1</v>
      </c>
      <c r="F918" s="438"/>
      <c r="G918" s="7"/>
      <c r="H918" s="7"/>
      <c r="I918" s="7"/>
      <c r="K918" s="7"/>
      <c r="L918" s="7"/>
      <c r="M918" s="7"/>
      <c r="N918" s="7"/>
      <c r="O918" s="7"/>
      <c r="P918" s="7"/>
      <c r="R918" s="7"/>
      <c r="S918" s="7"/>
    </row>
    <row r="919" spans="1:19" ht="14.1" customHeight="1" x14ac:dyDescent="0.2">
      <c r="A919" s="116">
        <f ca="1">IF($H919="UNIDADE CONSTRUTIVA",OFFSET(A919,-1,0)+1,LARGE(A$3:A918,1))</f>
        <v>0</v>
      </c>
      <c r="B919" s="116">
        <f t="shared" ca="1" si="136"/>
        <v>22</v>
      </c>
      <c r="C919" s="116">
        <f t="shared" ca="1" si="137"/>
        <v>1</v>
      </c>
      <c r="D919" s="117">
        <f t="shared" ca="1" si="138"/>
        <v>1</v>
      </c>
      <c r="E919" s="117">
        <f t="shared" ca="1" si="139"/>
        <v>1</v>
      </c>
      <c r="F919" s="438"/>
      <c r="G919" s="7"/>
      <c r="H919" s="7"/>
      <c r="I919" s="7"/>
      <c r="K919" s="7"/>
      <c r="L919" s="7"/>
      <c r="M919" s="7"/>
      <c r="N919" s="7"/>
      <c r="O919" s="7"/>
      <c r="P919" s="7"/>
      <c r="R919" s="7"/>
      <c r="S919" s="7"/>
    </row>
    <row r="920" spans="1:19" ht="14.1" customHeight="1" x14ac:dyDescent="0.2">
      <c r="A920" s="116">
        <f ca="1">IF($H920="UNIDADE CONSTRUTIVA",OFFSET(A920,-1,0)+1,LARGE(A$3:A919,1))</f>
        <v>0</v>
      </c>
      <c r="B920" s="116">
        <f t="shared" ca="1" si="136"/>
        <v>22</v>
      </c>
      <c r="C920" s="116">
        <f t="shared" ca="1" si="137"/>
        <v>1</v>
      </c>
      <c r="D920" s="117">
        <f t="shared" ca="1" si="138"/>
        <v>1</v>
      </c>
      <c r="E920" s="117">
        <f t="shared" ca="1" si="139"/>
        <v>1</v>
      </c>
      <c r="F920" s="438"/>
      <c r="G920" s="7"/>
      <c r="H920" s="7"/>
      <c r="I920" s="7"/>
      <c r="K920" s="7"/>
      <c r="L920" s="7"/>
      <c r="M920" s="7"/>
      <c r="N920" s="7"/>
      <c r="O920" s="7"/>
      <c r="P920" s="7"/>
      <c r="R920" s="7"/>
      <c r="S920" s="7"/>
    </row>
    <row r="921" spans="1:19" ht="14.1" customHeight="1" x14ac:dyDescent="0.2">
      <c r="A921" s="116">
        <f ca="1">IF($H921="UNIDADE CONSTRUTIVA",OFFSET(A921,-1,0)+1,LARGE(A$3:A920,1))</f>
        <v>0</v>
      </c>
      <c r="B921" s="116">
        <f t="shared" ca="1" si="136"/>
        <v>22</v>
      </c>
      <c r="C921" s="116">
        <f t="shared" ca="1" si="137"/>
        <v>1</v>
      </c>
      <c r="D921" s="117">
        <f t="shared" ca="1" si="138"/>
        <v>1</v>
      </c>
      <c r="E921" s="117">
        <f t="shared" ca="1" si="139"/>
        <v>1</v>
      </c>
      <c r="F921" s="438"/>
      <c r="G921" s="7"/>
      <c r="H921" s="7"/>
      <c r="I921" s="7"/>
      <c r="K921" s="7"/>
      <c r="L921" s="7"/>
      <c r="M921" s="7"/>
      <c r="N921" s="7"/>
      <c r="O921" s="7"/>
      <c r="P921" s="7"/>
      <c r="R921" s="7"/>
      <c r="S921" s="7"/>
    </row>
    <row r="922" spans="1:19" ht="14.1" customHeight="1" x14ac:dyDescent="0.2">
      <c r="A922" s="116">
        <f ca="1">IF($H922="UNIDADE CONSTRUTIVA",OFFSET(A922,-1,0)+1,LARGE(A$3:A921,1))</f>
        <v>0</v>
      </c>
      <c r="B922" s="116">
        <f t="shared" ca="1" si="136"/>
        <v>22</v>
      </c>
      <c r="C922" s="116">
        <f t="shared" ca="1" si="137"/>
        <v>1</v>
      </c>
      <c r="D922" s="117">
        <f t="shared" ca="1" si="138"/>
        <v>1</v>
      </c>
      <c r="E922" s="117">
        <f t="shared" ca="1" si="139"/>
        <v>1</v>
      </c>
      <c r="F922" s="438"/>
      <c r="G922" s="7"/>
      <c r="H922" s="7"/>
      <c r="I922" s="7"/>
      <c r="K922" s="7"/>
      <c r="L922" s="7"/>
      <c r="M922" s="7"/>
      <c r="N922" s="7"/>
      <c r="O922" s="7"/>
      <c r="P922" s="7"/>
      <c r="R922" s="7"/>
      <c r="S922" s="7"/>
    </row>
    <row r="923" spans="1:19" ht="14.1" customHeight="1" x14ac:dyDescent="0.2">
      <c r="A923" s="116">
        <f ca="1">IF($H923="UNIDADE CONSTRUTIVA",OFFSET(A923,-1,0)+1,LARGE(A$3:A922,1))</f>
        <v>0</v>
      </c>
      <c r="B923" s="116">
        <f t="shared" ca="1" si="136"/>
        <v>22</v>
      </c>
      <c r="C923" s="116">
        <f t="shared" ca="1" si="137"/>
        <v>1</v>
      </c>
      <c r="D923" s="117">
        <f t="shared" ca="1" si="138"/>
        <v>1</v>
      </c>
      <c r="E923" s="117">
        <f t="shared" ca="1" si="139"/>
        <v>1</v>
      </c>
      <c r="F923" s="438"/>
      <c r="G923" s="7"/>
      <c r="H923" s="7"/>
      <c r="I923" s="7"/>
      <c r="K923" s="7"/>
      <c r="L923" s="7"/>
      <c r="M923" s="7"/>
      <c r="N923" s="7"/>
      <c r="O923" s="7"/>
      <c r="P923" s="7"/>
      <c r="R923" s="7"/>
      <c r="S923" s="7"/>
    </row>
    <row r="924" spans="1:19" ht="14.1" customHeight="1" x14ac:dyDescent="0.2">
      <c r="A924" s="116">
        <f ca="1">IF($H924="UNIDADE CONSTRUTIVA",OFFSET(A924,-1,0)+1,LARGE(A$3:A923,1))</f>
        <v>0</v>
      </c>
      <c r="B924" s="116">
        <f t="shared" ca="1" si="136"/>
        <v>22</v>
      </c>
      <c r="C924" s="116">
        <f t="shared" ca="1" si="137"/>
        <v>1</v>
      </c>
      <c r="D924" s="117">
        <f t="shared" ca="1" si="138"/>
        <v>1</v>
      </c>
      <c r="E924" s="117">
        <f t="shared" ca="1" si="139"/>
        <v>1</v>
      </c>
      <c r="F924" s="438"/>
      <c r="G924" s="7"/>
      <c r="H924" s="7"/>
      <c r="I924" s="7"/>
      <c r="K924" s="7"/>
      <c r="L924" s="7"/>
      <c r="M924" s="7"/>
      <c r="N924" s="7"/>
      <c r="O924" s="7"/>
      <c r="P924" s="7"/>
      <c r="R924" s="7"/>
      <c r="S924" s="7"/>
    </row>
    <row r="925" spans="1:19" ht="14.1" customHeight="1" x14ac:dyDescent="0.2">
      <c r="A925" s="116">
        <f ca="1">IF($H925="UNIDADE CONSTRUTIVA",OFFSET(A925,-1,0)+1,LARGE(A$3:A924,1))</f>
        <v>0</v>
      </c>
      <c r="B925" s="116">
        <f t="shared" ca="1" si="136"/>
        <v>22</v>
      </c>
      <c r="C925" s="116">
        <f t="shared" ca="1" si="137"/>
        <v>1</v>
      </c>
      <c r="D925" s="117">
        <f t="shared" ca="1" si="138"/>
        <v>1</v>
      </c>
      <c r="E925" s="117">
        <f t="shared" ca="1" si="139"/>
        <v>1</v>
      </c>
      <c r="F925" s="438"/>
      <c r="G925" s="7"/>
      <c r="H925" s="7"/>
      <c r="I925" s="7"/>
      <c r="K925" s="7"/>
      <c r="L925" s="7"/>
      <c r="M925" s="7"/>
      <c r="N925" s="7"/>
      <c r="O925" s="7"/>
      <c r="P925" s="7"/>
      <c r="R925" s="7"/>
      <c r="S925" s="7"/>
    </row>
    <row r="926" spans="1:19" ht="14.1" customHeight="1" x14ac:dyDescent="0.2">
      <c r="A926" s="116">
        <f ca="1">IF($H926="UNIDADE CONSTRUTIVA",OFFSET(A926,-1,0)+1,LARGE(A$3:A925,1))</f>
        <v>0</v>
      </c>
      <c r="B926" s="116">
        <f t="shared" ca="1" si="136"/>
        <v>22</v>
      </c>
      <c r="C926" s="116">
        <f t="shared" ca="1" si="137"/>
        <v>1</v>
      </c>
      <c r="D926" s="117">
        <f t="shared" ca="1" si="138"/>
        <v>1</v>
      </c>
      <c r="E926" s="117">
        <f t="shared" ca="1" si="139"/>
        <v>1</v>
      </c>
      <c r="F926" s="438"/>
      <c r="G926" s="7"/>
      <c r="H926" s="7"/>
      <c r="I926" s="7"/>
      <c r="K926" s="7"/>
      <c r="L926" s="7"/>
      <c r="M926" s="7"/>
      <c r="N926" s="7"/>
      <c r="O926" s="7"/>
      <c r="P926" s="7"/>
      <c r="R926" s="7"/>
      <c r="S926" s="7"/>
    </row>
    <row r="927" spans="1:19" ht="14.1" customHeight="1" x14ac:dyDescent="0.2">
      <c r="A927" s="116">
        <f ca="1">IF($H927="UNIDADE CONSTRUTIVA",OFFSET(A927,-1,0)+1,LARGE(A$3:A926,1))</f>
        <v>0</v>
      </c>
      <c r="B927" s="116">
        <f t="shared" ca="1" si="136"/>
        <v>22</v>
      </c>
      <c r="C927" s="116">
        <f t="shared" ca="1" si="137"/>
        <v>1</v>
      </c>
      <c r="D927" s="117">
        <f t="shared" ca="1" si="138"/>
        <v>1</v>
      </c>
      <c r="E927" s="117">
        <f t="shared" ca="1" si="139"/>
        <v>1</v>
      </c>
      <c r="F927" s="438"/>
      <c r="G927" s="7"/>
      <c r="H927" s="7"/>
      <c r="I927" s="7"/>
      <c r="K927" s="7"/>
      <c r="L927" s="7"/>
      <c r="M927" s="7"/>
      <c r="N927" s="7"/>
      <c r="O927" s="7"/>
      <c r="P927" s="7"/>
      <c r="R927" s="7"/>
      <c r="S927" s="7"/>
    </row>
    <row r="928" spans="1:19" ht="14.1" customHeight="1" x14ac:dyDescent="0.2">
      <c r="A928" s="116">
        <f ca="1">IF($H928="UNIDADE CONSTRUTIVA",OFFSET(A928,-1,0)+1,LARGE(A$3:A927,1))</f>
        <v>0</v>
      </c>
      <c r="B928" s="116">
        <f t="shared" ca="1" si="136"/>
        <v>22</v>
      </c>
      <c r="C928" s="116">
        <f t="shared" ca="1" si="137"/>
        <v>1</v>
      </c>
      <c r="D928" s="117">
        <f t="shared" ca="1" si="138"/>
        <v>1</v>
      </c>
      <c r="E928" s="117">
        <f t="shared" ca="1" si="139"/>
        <v>1</v>
      </c>
      <c r="F928" s="438"/>
      <c r="G928" s="7"/>
      <c r="H928" s="7"/>
      <c r="I928" s="7"/>
      <c r="K928" s="7"/>
      <c r="L928" s="7"/>
      <c r="M928" s="7"/>
      <c r="N928" s="7"/>
      <c r="O928" s="7"/>
      <c r="P928" s="7"/>
      <c r="R928" s="7"/>
      <c r="S928" s="7"/>
    </row>
    <row r="929" spans="1:19" ht="14.1" customHeight="1" x14ac:dyDescent="0.2">
      <c r="A929" s="116">
        <f ca="1">IF($H929="UNIDADE CONSTRUTIVA",OFFSET(A929,-1,0)+1,LARGE(A$3:A928,1))</f>
        <v>0</v>
      </c>
      <c r="B929" s="116">
        <f t="shared" ca="1" si="136"/>
        <v>22</v>
      </c>
      <c r="C929" s="116">
        <f t="shared" ca="1" si="137"/>
        <v>1</v>
      </c>
      <c r="D929" s="117">
        <f t="shared" ca="1" si="138"/>
        <v>1</v>
      </c>
      <c r="E929" s="117">
        <f t="shared" ca="1" si="139"/>
        <v>1</v>
      </c>
      <c r="F929" s="438"/>
      <c r="G929" s="7"/>
      <c r="H929" s="7"/>
      <c r="I929" s="7"/>
      <c r="K929" s="7"/>
      <c r="L929" s="7"/>
      <c r="M929" s="7"/>
      <c r="N929" s="7"/>
      <c r="O929" s="7"/>
      <c r="P929" s="7"/>
      <c r="R929" s="7"/>
      <c r="S929" s="7"/>
    </row>
    <row r="930" spans="1:19" ht="14.1" customHeight="1" x14ac:dyDescent="0.2">
      <c r="A930" s="116">
        <f ca="1">IF($H930="UNIDADE CONSTRUTIVA",OFFSET(A930,-1,0)+1,LARGE(A$3:A929,1))</f>
        <v>0</v>
      </c>
      <c r="B930" s="116">
        <f t="shared" ca="1" si="136"/>
        <v>22</v>
      </c>
      <c r="C930" s="116">
        <f t="shared" ca="1" si="137"/>
        <v>1</v>
      </c>
      <c r="D930" s="117">
        <f t="shared" ca="1" si="138"/>
        <v>1</v>
      </c>
      <c r="E930" s="117">
        <f t="shared" ca="1" si="139"/>
        <v>1</v>
      </c>
      <c r="F930" s="438"/>
      <c r="G930" s="7"/>
      <c r="H930" s="7"/>
      <c r="I930" s="7"/>
      <c r="K930" s="7"/>
      <c r="L930" s="7"/>
      <c r="M930" s="7"/>
      <c r="N930" s="7"/>
      <c r="O930" s="7"/>
      <c r="P930" s="7"/>
      <c r="R930" s="7"/>
      <c r="S930" s="7"/>
    </row>
    <row r="931" spans="1:19" ht="14.1" customHeight="1" x14ac:dyDescent="0.2">
      <c r="A931" s="116">
        <f ca="1">IF($H931="UNIDADE CONSTRUTIVA",OFFSET(A931,-1,0)+1,LARGE(A$3:A930,1))</f>
        <v>0</v>
      </c>
      <c r="B931" s="116">
        <f t="shared" ca="1" si="136"/>
        <v>22</v>
      </c>
      <c r="C931" s="116">
        <f t="shared" ca="1" si="137"/>
        <v>1</v>
      </c>
      <c r="D931" s="117">
        <f t="shared" ca="1" si="138"/>
        <v>1</v>
      </c>
      <c r="E931" s="117">
        <f t="shared" ca="1" si="139"/>
        <v>1</v>
      </c>
      <c r="F931" s="438"/>
      <c r="G931" s="7"/>
      <c r="H931" s="7"/>
      <c r="I931" s="7"/>
      <c r="K931" s="7"/>
      <c r="L931" s="7"/>
      <c r="M931" s="7"/>
      <c r="N931" s="7"/>
      <c r="O931" s="7"/>
      <c r="P931" s="7"/>
      <c r="R931" s="7"/>
      <c r="S931" s="7"/>
    </row>
    <row r="932" spans="1:19" ht="14.1" customHeight="1" x14ac:dyDescent="0.2">
      <c r="A932" s="116">
        <f ca="1">IF($H932="UNIDADE CONSTRUTIVA",OFFSET(A932,-1,0)+1,LARGE(A$3:A931,1))</f>
        <v>0</v>
      </c>
      <c r="B932" s="116">
        <f t="shared" ca="1" si="136"/>
        <v>22</v>
      </c>
      <c r="C932" s="116">
        <f t="shared" ca="1" si="137"/>
        <v>1</v>
      </c>
      <c r="D932" s="117">
        <f t="shared" ca="1" si="138"/>
        <v>1</v>
      </c>
      <c r="E932" s="117">
        <f t="shared" ca="1" si="139"/>
        <v>1</v>
      </c>
      <c r="F932" s="438"/>
      <c r="G932" s="7"/>
      <c r="H932" s="7"/>
      <c r="I932" s="7"/>
      <c r="K932" s="7"/>
      <c r="L932" s="7"/>
      <c r="M932" s="7"/>
      <c r="N932" s="7"/>
      <c r="O932" s="7"/>
      <c r="P932" s="7"/>
      <c r="R932" s="7"/>
      <c r="S932" s="7"/>
    </row>
    <row r="933" spans="1:19" ht="14.1" customHeight="1" x14ac:dyDescent="0.2">
      <c r="A933" s="116">
        <f ca="1">IF($H933="UNIDADE CONSTRUTIVA",OFFSET(A933,-1,0)+1,LARGE(A$3:A932,1))</f>
        <v>0</v>
      </c>
      <c r="B933" s="116">
        <f t="shared" ca="1" si="136"/>
        <v>22</v>
      </c>
      <c r="C933" s="116">
        <f t="shared" ca="1" si="137"/>
        <v>1</v>
      </c>
      <c r="D933" s="117">
        <f t="shared" ca="1" si="138"/>
        <v>1</v>
      </c>
      <c r="E933" s="117">
        <f t="shared" ca="1" si="139"/>
        <v>1</v>
      </c>
      <c r="F933" s="438"/>
      <c r="G933" s="7"/>
      <c r="H933" s="7"/>
      <c r="I933" s="7"/>
      <c r="K933" s="7"/>
      <c r="L933" s="7"/>
      <c r="M933" s="7"/>
      <c r="N933" s="7"/>
      <c r="O933" s="7"/>
      <c r="P933" s="7"/>
      <c r="R933" s="7"/>
      <c r="S933" s="7"/>
    </row>
    <row r="934" spans="1:19" ht="14.1" customHeight="1" x14ac:dyDescent="0.2">
      <c r="A934" s="116">
        <f ca="1">IF($H934="UNIDADE CONSTRUTIVA",OFFSET(A934,-1,0)+1,LARGE(A$3:A933,1))</f>
        <v>0</v>
      </c>
      <c r="B934" s="116">
        <f t="shared" ca="1" si="136"/>
        <v>22</v>
      </c>
      <c r="C934" s="116">
        <f t="shared" ca="1" si="137"/>
        <v>1</v>
      </c>
      <c r="D934" s="117">
        <f t="shared" ca="1" si="138"/>
        <v>1</v>
      </c>
      <c r="E934" s="117">
        <f t="shared" ca="1" si="139"/>
        <v>1</v>
      </c>
      <c r="F934" s="438"/>
      <c r="G934" s="7"/>
      <c r="H934" s="7"/>
      <c r="I934" s="7"/>
      <c r="K934" s="7"/>
      <c r="L934" s="7"/>
      <c r="M934" s="7"/>
      <c r="N934" s="7"/>
      <c r="O934" s="7"/>
      <c r="P934" s="7"/>
      <c r="R934" s="7"/>
      <c r="S934" s="7"/>
    </row>
    <row r="935" spans="1:19" ht="14.1" customHeight="1" x14ac:dyDescent="0.2">
      <c r="A935" s="116">
        <f ca="1">IF($H935="UNIDADE CONSTRUTIVA",OFFSET(A935,-1,0)+1,LARGE(A$3:A934,1))</f>
        <v>0</v>
      </c>
      <c r="B935" s="116">
        <f t="shared" ca="1" si="136"/>
        <v>22</v>
      </c>
      <c r="C935" s="116">
        <f t="shared" ca="1" si="137"/>
        <v>1</v>
      </c>
      <c r="D935" s="117">
        <f t="shared" ca="1" si="138"/>
        <v>1</v>
      </c>
      <c r="E935" s="117">
        <f t="shared" ca="1" si="139"/>
        <v>1</v>
      </c>
      <c r="F935" s="438"/>
      <c r="G935" s="7"/>
      <c r="H935" s="7"/>
      <c r="I935" s="7"/>
      <c r="K935" s="7"/>
      <c r="L935" s="7"/>
      <c r="M935" s="7"/>
      <c r="N935" s="7"/>
      <c r="O935" s="7"/>
      <c r="P935" s="7"/>
      <c r="R935" s="7"/>
      <c r="S935" s="7"/>
    </row>
    <row r="936" spans="1:19" ht="14.1" customHeight="1" x14ac:dyDescent="0.2">
      <c r="A936" s="116">
        <f ca="1">IF($H936="UNIDADE CONSTRUTIVA",OFFSET(A936,-1,0)+1,LARGE(A$3:A935,1))</f>
        <v>0</v>
      </c>
      <c r="B936" s="116">
        <f t="shared" ca="1" si="136"/>
        <v>22</v>
      </c>
      <c r="C936" s="116">
        <f t="shared" ca="1" si="137"/>
        <v>1</v>
      </c>
      <c r="D936" s="117">
        <f t="shared" ca="1" si="138"/>
        <v>1</v>
      </c>
      <c r="E936" s="117">
        <f t="shared" ca="1" si="139"/>
        <v>1</v>
      </c>
      <c r="F936" s="438"/>
      <c r="G936" s="7"/>
      <c r="H936" s="7"/>
      <c r="I936" s="7"/>
      <c r="K936" s="7"/>
      <c r="L936" s="7"/>
      <c r="M936" s="7"/>
      <c r="N936" s="7"/>
      <c r="O936" s="7"/>
      <c r="P936" s="7"/>
      <c r="R936" s="7"/>
      <c r="S936" s="7"/>
    </row>
    <row r="937" spans="1:19" ht="14.1" customHeight="1" x14ac:dyDescent="0.2">
      <c r="A937" s="116">
        <f ca="1">IF($H937="UNIDADE CONSTRUTIVA",OFFSET(A937,-1,0)+1,LARGE(A$3:A936,1))</f>
        <v>0</v>
      </c>
      <c r="B937" s="116">
        <f t="shared" ca="1" si="136"/>
        <v>22</v>
      </c>
      <c r="C937" s="116">
        <f t="shared" ca="1" si="137"/>
        <v>1</v>
      </c>
      <c r="D937" s="117">
        <f t="shared" ca="1" si="138"/>
        <v>1</v>
      </c>
      <c r="E937" s="117">
        <f t="shared" ca="1" si="139"/>
        <v>1</v>
      </c>
      <c r="F937" s="438"/>
      <c r="G937" s="7"/>
      <c r="H937" s="7"/>
      <c r="I937" s="7"/>
      <c r="K937" s="7"/>
      <c r="L937" s="7"/>
      <c r="M937" s="7"/>
      <c r="N937" s="7"/>
      <c r="O937" s="7"/>
      <c r="P937" s="7"/>
      <c r="R937" s="7"/>
      <c r="S937" s="7"/>
    </row>
    <row r="938" spans="1:19" ht="14.1" customHeight="1" x14ac:dyDescent="0.2">
      <c r="A938" s="116">
        <f ca="1">IF($H938="UNIDADE CONSTRUTIVA",OFFSET(A938,-1,0)+1,LARGE(A$3:A937,1))</f>
        <v>0</v>
      </c>
      <c r="B938" s="116">
        <f t="shared" ca="1" si="136"/>
        <v>22</v>
      </c>
      <c r="C938" s="116">
        <f t="shared" ca="1" si="137"/>
        <v>1</v>
      </c>
      <c r="D938" s="117">
        <f t="shared" ca="1" si="138"/>
        <v>1</v>
      </c>
      <c r="E938" s="117">
        <f t="shared" ca="1" si="139"/>
        <v>1</v>
      </c>
      <c r="F938" s="438"/>
      <c r="G938" s="7"/>
      <c r="H938" s="7"/>
      <c r="I938" s="7"/>
      <c r="K938" s="7"/>
      <c r="L938" s="7"/>
      <c r="M938" s="7"/>
      <c r="N938" s="7"/>
      <c r="O938" s="7"/>
      <c r="P938" s="7"/>
      <c r="R938" s="7"/>
      <c r="S938" s="7"/>
    </row>
    <row r="939" spans="1:19" ht="14.1" customHeight="1" x14ac:dyDescent="0.2">
      <c r="A939" s="116">
        <f ca="1">IF($H939="UNIDADE CONSTRUTIVA",OFFSET(A939,-1,0)+1,LARGE(A$3:A938,1))</f>
        <v>0</v>
      </c>
      <c r="B939" s="116">
        <f t="shared" ca="1" si="136"/>
        <v>22</v>
      </c>
      <c r="C939" s="116">
        <f t="shared" ca="1" si="137"/>
        <v>1</v>
      </c>
      <c r="D939" s="117">
        <f t="shared" ca="1" si="138"/>
        <v>1</v>
      </c>
      <c r="E939" s="117">
        <f t="shared" ca="1" si="139"/>
        <v>1</v>
      </c>
      <c r="F939" s="438"/>
      <c r="G939" s="7"/>
      <c r="H939" s="7"/>
      <c r="I939" s="7"/>
      <c r="K939" s="7"/>
      <c r="L939" s="7"/>
      <c r="M939" s="7"/>
      <c r="N939" s="7"/>
      <c r="O939" s="7"/>
      <c r="P939" s="7"/>
      <c r="R939" s="7"/>
      <c r="S939" s="7"/>
    </row>
    <row r="940" spans="1:19" ht="14.1" customHeight="1" x14ac:dyDescent="0.2">
      <c r="A940" s="116">
        <f ca="1">IF($H940="UNIDADE CONSTRUTIVA",OFFSET(A940,-1,0)+1,LARGE(A$3:A939,1))</f>
        <v>0</v>
      </c>
      <c r="B940" s="116">
        <f t="shared" ca="1" si="136"/>
        <v>22</v>
      </c>
      <c r="C940" s="116">
        <f t="shared" ca="1" si="137"/>
        <v>1</v>
      </c>
      <c r="D940" s="117">
        <f t="shared" ca="1" si="138"/>
        <v>1</v>
      </c>
      <c r="E940" s="117">
        <f t="shared" ca="1" si="139"/>
        <v>1</v>
      </c>
      <c r="F940" s="438"/>
      <c r="G940" s="7"/>
      <c r="H940" s="7"/>
      <c r="I940" s="7"/>
      <c r="K940" s="7"/>
      <c r="L940" s="7"/>
      <c r="M940" s="7"/>
      <c r="N940" s="7"/>
      <c r="O940" s="7"/>
      <c r="P940" s="7"/>
      <c r="R940" s="7"/>
      <c r="S940" s="7"/>
    </row>
    <row r="941" spans="1:19" ht="14.1" customHeight="1" x14ac:dyDescent="0.2">
      <c r="A941" s="116">
        <f ca="1">IF($H941="UNIDADE CONSTRUTIVA",OFFSET(A941,-1,0)+1,LARGE(A$3:A940,1))</f>
        <v>0</v>
      </c>
      <c r="B941" s="116">
        <f t="shared" ca="1" si="136"/>
        <v>22</v>
      </c>
      <c r="C941" s="116">
        <f t="shared" ca="1" si="137"/>
        <v>1</v>
      </c>
      <c r="D941" s="117">
        <f t="shared" ca="1" si="138"/>
        <v>1</v>
      </c>
      <c r="E941" s="117">
        <f t="shared" ca="1" si="139"/>
        <v>1</v>
      </c>
      <c r="F941" s="438"/>
      <c r="G941" s="7"/>
      <c r="H941" s="7"/>
      <c r="I941" s="7"/>
      <c r="K941" s="7"/>
      <c r="L941" s="7"/>
      <c r="M941" s="7"/>
      <c r="N941" s="7"/>
      <c r="O941" s="7"/>
      <c r="P941" s="7"/>
      <c r="R941" s="7"/>
      <c r="S941" s="7"/>
    </row>
    <row r="942" spans="1:19" ht="14.1" customHeight="1" x14ac:dyDescent="0.2">
      <c r="A942" s="116">
        <f ca="1">IF($H942="UNIDADE CONSTRUTIVA",OFFSET(A942,-1,0)+1,LARGE(A$3:A941,1))</f>
        <v>0</v>
      </c>
      <c r="B942" s="116">
        <f t="shared" ref="B942:B1005" ca="1" si="140">IF(H942="UNIDADE CONSTRUTIVA",0,IF(H942="CÉLULA CONSTRUTIVA",OFFSET(B942,-1,0)+1,OFFSET(B942,-1,0)))</f>
        <v>22</v>
      </c>
      <c r="C942" s="116">
        <f t="shared" ref="C942:C1005" ca="1" si="141">IF(H942="CÉLULA CONSTRUTIVA",0,IF(H942="ETAPA",OFFSET(C942,-1,0)+1,OFFSET(C942,-1,0)))</f>
        <v>1</v>
      </c>
      <c r="D942" s="117">
        <f t="shared" ref="D942:D1005" ca="1" si="142">IF(H942="ETAPA",0,IF(H942="SUBETAPA",OFFSET(D942,-1,0)+1,OFFSET(D942,-1,0)))</f>
        <v>1</v>
      </c>
      <c r="E942" s="117">
        <f t="shared" ref="E942:E1005" ca="1" si="143">IF(H942="Subetapa",0,IF(H942="serviço",OFFSET(E942,-1,0)+1,OFFSET(E942,-1,0)))</f>
        <v>1</v>
      </c>
      <c r="F942" s="438"/>
      <c r="G942" s="7"/>
      <c r="H942" s="7"/>
      <c r="I942" s="7"/>
      <c r="K942" s="7"/>
      <c r="L942" s="7"/>
      <c r="M942" s="7"/>
      <c r="N942" s="7"/>
      <c r="O942" s="7"/>
      <c r="P942" s="7"/>
      <c r="R942" s="7"/>
      <c r="S942" s="7"/>
    </row>
    <row r="943" spans="1:19" ht="14.1" customHeight="1" x14ac:dyDescent="0.2">
      <c r="A943" s="116">
        <f ca="1">IF($H943="UNIDADE CONSTRUTIVA",OFFSET(A943,-1,0)+1,LARGE(A$3:A942,1))</f>
        <v>0</v>
      </c>
      <c r="B943" s="116">
        <f t="shared" ca="1" si="140"/>
        <v>22</v>
      </c>
      <c r="C943" s="116">
        <f t="shared" ca="1" si="141"/>
        <v>1</v>
      </c>
      <c r="D943" s="117">
        <f t="shared" ca="1" si="142"/>
        <v>1</v>
      </c>
      <c r="E943" s="117">
        <f t="shared" ca="1" si="143"/>
        <v>1</v>
      </c>
      <c r="F943" s="438"/>
      <c r="G943" s="7"/>
      <c r="H943" s="7"/>
      <c r="I943" s="7"/>
      <c r="K943" s="7"/>
      <c r="L943" s="7"/>
      <c r="M943" s="7"/>
      <c r="N943" s="7"/>
      <c r="O943" s="7"/>
      <c r="P943" s="7"/>
      <c r="R943" s="7"/>
      <c r="S943" s="7"/>
    </row>
    <row r="944" spans="1:19" ht="14.1" customHeight="1" x14ac:dyDescent="0.2">
      <c r="A944" s="116">
        <f ca="1">IF($H944="UNIDADE CONSTRUTIVA",OFFSET(A944,-1,0)+1,LARGE(A$3:A943,1))</f>
        <v>0</v>
      </c>
      <c r="B944" s="116">
        <f t="shared" ca="1" si="140"/>
        <v>22</v>
      </c>
      <c r="C944" s="116">
        <f t="shared" ca="1" si="141"/>
        <v>1</v>
      </c>
      <c r="D944" s="117">
        <f t="shared" ca="1" si="142"/>
        <v>1</v>
      </c>
      <c r="E944" s="117">
        <f t="shared" ca="1" si="143"/>
        <v>1</v>
      </c>
      <c r="F944" s="438"/>
      <c r="G944" s="7"/>
      <c r="H944" s="7"/>
      <c r="I944" s="7"/>
      <c r="K944" s="7"/>
      <c r="L944" s="7"/>
      <c r="M944" s="7"/>
      <c r="N944" s="7"/>
      <c r="O944" s="7"/>
      <c r="P944" s="7"/>
      <c r="R944" s="7"/>
      <c r="S944" s="7"/>
    </row>
    <row r="945" spans="1:19" ht="14.1" customHeight="1" x14ac:dyDescent="0.2">
      <c r="A945" s="116">
        <f ca="1">IF($H945="UNIDADE CONSTRUTIVA",OFFSET(A945,-1,0)+1,LARGE(A$3:A944,1))</f>
        <v>0</v>
      </c>
      <c r="B945" s="116">
        <f t="shared" ca="1" si="140"/>
        <v>22</v>
      </c>
      <c r="C945" s="116">
        <f t="shared" ca="1" si="141"/>
        <v>1</v>
      </c>
      <c r="D945" s="117">
        <f t="shared" ca="1" si="142"/>
        <v>1</v>
      </c>
      <c r="E945" s="117">
        <f t="shared" ca="1" si="143"/>
        <v>1</v>
      </c>
      <c r="F945" s="438"/>
      <c r="G945" s="7"/>
      <c r="H945" s="7"/>
      <c r="I945" s="7"/>
      <c r="K945" s="7"/>
      <c r="L945" s="7"/>
      <c r="M945" s="7"/>
      <c r="N945" s="7"/>
      <c r="O945" s="7"/>
      <c r="P945" s="7"/>
      <c r="R945" s="7"/>
      <c r="S945" s="7"/>
    </row>
    <row r="946" spans="1:19" ht="14.1" customHeight="1" x14ac:dyDescent="0.2">
      <c r="A946" s="116">
        <f ca="1">IF($H946="UNIDADE CONSTRUTIVA",OFFSET(A946,-1,0)+1,LARGE(A$3:A945,1))</f>
        <v>0</v>
      </c>
      <c r="B946" s="116">
        <f t="shared" ca="1" si="140"/>
        <v>22</v>
      </c>
      <c r="C946" s="116">
        <f t="shared" ca="1" si="141"/>
        <v>1</v>
      </c>
      <c r="D946" s="117">
        <f t="shared" ca="1" si="142"/>
        <v>1</v>
      </c>
      <c r="E946" s="117">
        <f t="shared" ca="1" si="143"/>
        <v>1</v>
      </c>
      <c r="F946" s="438"/>
      <c r="G946" s="7"/>
      <c r="H946" s="7"/>
      <c r="I946" s="7"/>
      <c r="K946" s="7"/>
      <c r="L946" s="7"/>
      <c r="M946" s="7"/>
      <c r="N946" s="7"/>
      <c r="O946" s="7"/>
      <c r="P946" s="7"/>
      <c r="R946" s="7"/>
      <c r="S946" s="7"/>
    </row>
    <row r="947" spans="1:19" ht="14.1" customHeight="1" x14ac:dyDescent="0.2">
      <c r="A947" s="116">
        <f ca="1">IF($H947="UNIDADE CONSTRUTIVA",OFFSET(A947,-1,0)+1,LARGE(A$3:A946,1))</f>
        <v>0</v>
      </c>
      <c r="B947" s="116">
        <f t="shared" ca="1" si="140"/>
        <v>22</v>
      </c>
      <c r="C947" s="116">
        <f t="shared" ca="1" si="141"/>
        <v>1</v>
      </c>
      <c r="D947" s="117">
        <f t="shared" ca="1" si="142"/>
        <v>1</v>
      </c>
      <c r="E947" s="117">
        <f t="shared" ca="1" si="143"/>
        <v>1</v>
      </c>
      <c r="F947" s="438"/>
      <c r="G947" s="7"/>
      <c r="H947" s="7"/>
      <c r="I947" s="7"/>
      <c r="K947" s="7"/>
      <c r="L947" s="7"/>
      <c r="M947" s="7"/>
      <c r="N947" s="7"/>
      <c r="O947" s="7"/>
      <c r="P947" s="7"/>
      <c r="R947" s="7"/>
      <c r="S947" s="7"/>
    </row>
    <row r="948" spans="1:19" ht="14.1" customHeight="1" x14ac:dyDescent="0.2">
      <c r="A948" s="116">
        <f ca="1">IF($H948="UNIDADE CONSTRUTIVA",OFFSET(A948,-1,0)+1,LARGE(A$3:A947,1))</f>
        <v>0</v>
      </c>
      <c r="B948" s="116">
        <f t="shared" ca="1" si="140"/>
        <v>22</v>
      </c>
      <c r="C948" s="116">
        <f t="shared" ca="1" si="141"/>
        <v>1</v>
      </c>
      <c r="D948" s="117">
        <f t="shared" ca="1" si="142"/>
        <v>1</v>
      </c>
      <c r="E948" s="117">
        <f t="shared" ca="1" si="143"/>
        <v>1</v>
      </c>
      <c r="F948" s="438"/>
      <c r="G948" s="7"/>
      <c r="H948" s="7"/>
      <c r="I948" s="7"/>
      <c r="K948" s="7"/>
      <c r="L948" s="7"/>
      <c r="M948" s="7"/>
      <c r="N948" s="7"/>
      <c r="O948" s="7"/>
      <c r="P948" s="7"/>
      <c r="R948" s="7"/>
      <c r="S948" s="7"/>
    </row>
    <row r="949" spans="1:19" ht="14.1" customHeight="1" x14ac:dyDescent="0.2">
      <c r="A949" s="116">
        <f ca="1">IF($H949="UNIDADE CONSTRUTIVA",OFFSET(A949,-1,0)+1,LARGE(A$3:A948,1))</f>
        <v>0</v>
      </c>
      <c r="B949" s="116">
        <f t="shared" ca="1" si="140"/>
        <v>22</v>
      </c>
      <c r="C949" s="116">
        <f t="shared" ca="1" si="141"/>
        <v>1</v>
      </c>
      <c r="D949" s="117">
        <f t="shared" ca="1" si="142"/>
        <v>1</v>
      </c>
      <c r="E949" s="117">
        <f t="shared" ca="1" si="143"/>
        <v>1</v>
      </c>
      <c r="F949" s="438"/>
      <c r="G949" s="7"/>
      <c r="H949" s="7"/>
      <c r="I949" s="7"/>
      <c r="K949" s="7"/>
      <c r="L949" s="7"/>
      <c r="M949" s="7"/>
      <c r="N949" s="7"/>
      <c r="O949" s="7"/>
      <c r="P949" s="7"/>
      <c r="R949" s="7"/>
      <c r="S949" s="7"/>
    </row>
    <row r="950" spans="1:19" ht="14.1" customHeight="1" x14ac:dyDescent="0.2">
      <c r="A950" s="116">
        <f ca="1">IF($H950="UNIDADE CONSTRUTIVA",OFFSET(A950,-1,0)+1,LARGE(A$3:A949,1))</f>
        <v>0</v>
      </c>
      <c r="B950" s="116">
        <f t="shared" ca="1" si="140"/>
        <v>22</v>
      </c>
      <c r="C950" s="116">
        <f t="shared" ca="1" si="141"/>
        <v>1</v>
      </c>
      <c r="D950" s="117">
        <f t="shared" ca="1" si="142"/>
        <v>1</v>
      </c>
      <c r="E950" s="117">
        <f t="shared" ca="1" si="143"/>
        <v>1</v>
      </c>
      <c r="F950" s="438"/>
      <c r="G950" s="7"/>
      <c r="H950" s="7"/>
      <c r="I950" s="7"/>
      <c r="K950" s="7"/>
      <c r="L950" s="7"/>
      <c r="M950" s="7"/>
      <c r="N950" s="7"/>
      <c r="O950" s="7"/>
      <c r="P950" s="7"/>
      <c r="R950" s="7"/>
      <c r="S950" s="7"/>
    </row>
    <row r="951" spans="1:19" ht="14.1" customHeight="1" x14ac:dyDescent="0.2">
      <c r="A951" s="116">
        <f ca="1">IF($H951="UNIDADE CONSTRUTIVA",OFFSET(A951,-1,0)+1,LARGE(A$3:A950,1))</f>
        <v>0</v>
      </c>
      <c r="B951" s="116">
        <f t="shared" ca="1" si="140"/>
        <v>22</v>
      </c>
      <c r="C951" s="116">
        <f t="shared" ca="1" si="141"/>
        <v>1</v>
      </c>
      <c r="D951" s="117">
        <f t="shared" ca="1" si="142"/>
        <v>1</v>
      </c>
      <c r="E951" s="117">
        <f t="shared" ca="1" si="143"/>
        <v>1</v>
      </c>
      <c r="F951" s="438"/>
      <c r="G951" s="7"/>
      <c r="H951" s="7"/>
      <c r="I951" s="7"/>
      <c r="K951" s="7"/>
      <c r="L951" s="7"/>
      <c r="M951" s="7"/>
      <c r="N951" s="7"/>
      <c r="O951" s="7"/>
      <c r="P951" s="7"/>
      <c r="R951" s="7"/>
      <c r="S951" s="7"/>
    </row>
    <row r="952" spans="1:19" ht="14.1" customHeight="1" x14ac:dyDescent="0.2">
      <c r="A952" s="116">
        <f ca="1">IF($H952="UNIDADE CONSTRUTIVA",OFFSET(A952,-1,0)+1,LARGE(A$3:A951,1))</f>
        <v>0</v>
      </c>
      <c r="B952" s="116">
        <f t="shared" ca="1" si="140"/>
        <v>22</v>
      </c>
      <c r="C952" s="116">
        <f t="shared" ca="1" si="141"/>
        <v>1</v>
      </c>
      <c r="D952" s="117">
        <f t="shared" ca="1" si="142"/>
        <v>1</v>
      </c>
      <c r="E952" s="117">
        <f t="shared" ca="1" si="143"/>
        <v>1</v>
      </c>
      <c r="F952" s="438"/>
      <c r="G952" s="7"/>
      <c r="H952" s="7"/>
      <c r="I952" s="7"/>
      <c r="K952" s="7"/>
      <c r="L952" s="7"/>
      <c r="M952" s="7"/>
      <c r="N952" s="7"/>
      <c r="O952" s="7"/>
      <c r="P952" s="7"/>
      <c r="R952" s="7"/>
      <c r="S952" s="7"/>
    </row>
    <row r="953" spans="1:19" ht="14.1" customHeight="1" x14ac:dyDescent="0.2">
      <c r="A953" s="116">
        <f ca="1">IF($H953="UNIDADE CONSTRUTIVA",OFFSET(A953,-1,0)+1,LARGE(A$3:A952,1))</f>
        <v>0</v>
      </c>
      <c r="B953" s="116">
        <f t="shared" ca="1" si="140"/>
        <v>22</v>
      </c>
      <c r="C953" s="116">
        <f t="shared" ca="1" si="141"/>
        <v>1</v>
      </c>
      <c r="D953" s="117">
        <f t="shared" ca="1" si="142"/>
        <v>1</v>
      </c>
      <c r="E953" s="117">
        <f t="shared" ca="1" si="143"/>
        <v>1</v>
      </c>
      <c r="F953" s="438"/>
      <c r="G953" s="7"/>
      <c r="H953" s="7"/>
      <c r="I953" s="7"/>
      <c r="K953" s="7"/>
      <c r="L953" s="7"/>
      <c r="M953" s="7"/>
      <c r="N953" s="7"/>
      <c r="O953" s="7"/>
      <c r="P953" s="7"/>
      <c r="R953" s="7"/>
      <c r="S953" s="7"/>
    </row>
    <row r="954" spans="1:19" ht="14.1" customHeight="1" x14ac:dyDescent="0.2">
      <c r="A954" s="116">
        <f ca="1">IF($H954="UNIDADE CONSTRUTIVA",OFFSET(A954,-1,0)+1,LARGE(A$3:A953,1))</f>
        <v>0</v>
      </c>
      <c r="B954" s="116">
        <f t="shared" ca="1" si="140"/>
        <v>22</v>
      </c>
      <c r="C954" s="116">
        <f t="shared" ca="1" si="141"/>
        <v>1</v>
      </c>
      <c r="D954" s="117">
        <f t="shared" ca="1" si="142"/>
        <v>1</v>
      </c>
      <c r="E954" s="117">
        <f t="shared" ca="1" si="143"/>
        <v>1</v>
      </c>
      <c r="F954" s="438"/>
      <c r="G954" s="7"/>
      <c r="H954" s="7"/>
      <c r="I954" s="7"/>
      <c r="K954" s="7"/>
      <c r="L954" s="7"/>
      <c r="M954" s="7"/>
      <c r="N954" s="7"/>
      <c r="O954" s="7"/>
      <c r="P954" s="7"/>
      <c r="R954" s="7"/>
      <c r="S954" s="7"/>
    </row>
    <row r="955" spans="1:19" ht="14.1" customHeight="1" x14ac:dyDescent="0.2">
      <c r="A955" s="116">
        <f ca="1">IF($H955="UNIDADE CONSTRUTIVA",OFFSET(A955,-1,0)+1,LARGE(A$3:A954,1))</f>
        <v>0</v>
      </c>
      <c r="B955" s="116">
        <f t="shared" ca="1" si="140"/>
        <v>22</v>
      </c>
      <c r="C955" s="116">
        <f t="shared" ca="1" si="141"/>
        <v>1</v>
      </c>
      <c r="D955" s="117">
        <f t="shared" ca="1" si="142"/>
        <v>1</v>
      </c>
      <c r="E955" s="117">
        <f t="shared" ca="1" si="143"/>
        <v>1</v>
      </c>
      <c r="F955" s="438"/>
      <c r="G955" s="7"/>
      <c r="H955" s="7"/>
      <c r="I955" s="7"/>
      <c r="K955" s="7"/>
      <c r="L955" s="7"/>
      <c r="M955" s="7"/>
      <c r="N955" s="7"/>
      <c r="O955" s="7"/>
      <c r="P955" s="7"/>
      <c r="R955" s="7"/>
      <c r="S955" s="7"/>
    </row>
    <row r="956" spans="1:19" ht="14.1" customHeight="1" x14ac:dyDescent="0.2">
      <c r="A956" s="116">
        <f ca="1">IF($H956="UNIDADE CONSTRUTIVA",OFFSET(A956,-1,0)+1,LARGE(A$3:A955,1))</f>
        <v>0</v>
      </c>
      <c r="B956" s="116">
        <f t="shared" ca="1" si="140"/>
        <v>22</v>
      </c>
      <c r="C956" s="116">
        <f t="shared" ca="1" si="141"/>
        <v>1</v>
      </c>
      <c r="D956" s="117">
        <f t="shared" ca="1" si="142"/>
        <v>1</v>
      </c>
      <c r="E956" s="117">
        <f t="shared" ca="1" si="143"/>
        <v>1</v>
      </c>
      <c r="F956" s="438"/>
      <c r="G956" s="7"/>
      <c r="H956" s="7"/>
      <c r="I956" s="7"/>
      <c r="K956" s="7"/>
      <c r="L956" s="7"/>
      <c r="M956" s="7"/>
      <c r="N956" s="7"/>
      <c r="O956" s="7"/>
      <c r="P956" s="7"/>
      <c r="R956" s="7"/>
      <c r="S956" s="7"/>
    </row>
    <row r="957" spans="1:19" ht="14.1" customHeight="1" x14ac:dyDescent="0.2">
      <c r="A957" s="116">
        <f ca="1">IF($H957="UNIDADE CONSTRUTIVA",OFFSET(A957,-1,0)+1,LARGE(A$3:A956,1))</f>
        <v>0</v>
      </c>
      <c r="B957" s="116">
        <f t="shared" ca="1" si="140"/>
        <v>22</v>
      </c>
      <c r="C957" s="116">
        <f t="shared" ca="1" si="141"/>
        <v>1</v>
      </c>
      <c r="D957" s="117">
        <f t="shared" ca="1" si="142"/>
        <v>1</v>
      </c>
      <c r="E957" s="117">
        <f t="shared" ca="1" si="143"/>
        <v>1</v>
      </c>
      <c r="F957" s="438"/>
      <c r="G957" s="7"/>
      <c r="H957" s="7"/>
      <c r="I957" s="7"/>
      <c r="K957" s="7"/>
      <c r="L957" s="7"/>
      <c r="M957" s="7"/>
      <c r="N957" s="7"/>
      <c r="O957" s="7"/>
      <c r="P957" s="7"/>
      <c r="R957" s="7"/>
      <c r="S957" s="7"/>
    </row>
    <row r="958" spans="1:19" ht="14.1" customHeight="1" x14ac:dyDescent="0.2">
      <c r="A958" s="116">
        <f ca="1">IF($H958="UNIDADE CONSTRUTIVA",OFFSET(A958,-1,0)+1,LARGE(A$3:A957,1))</f>
        <v>0</v>
      </c>
      <c r="B958" s="116">
        <f t="shared" ca="1" si="140"/>
        <v>22</v>
      </c>
      <c r="C958" s="116">
        <f t="shared" ca="1" si="141"/>
        <v>1</v>
      </c>
      <c r="D958" s="117">
        <f t="shared" ca="1" si="142"/>
        <v>1</v>
      </c>
      <c r="E958" s="117">
        <f t="shared" ca="1" si="143"/>
        <v>1</v>
      </c>
      <c r="F958" s="438"/>
      <c r="G958" s="7"/>
      <c r="H958" s="7"/>
      <c r="I958" s="7"/>
      <c r="K958" s="7"/>
      <c r="L958" s="7"/>
      <c r="M958" s="7"/>
      <c r="N958" s="7"/>
      <c r="O958" s="7"/>
      <c r="P958" s="7"/>
      <c r="R958" s="7"/>
      <c r="S958" s="7"/>
    </row>
    <row r="959" spans="1:19" ht="14.1" customHeight="1" x14ac:dyDescent="0.2">
      <c r="A959" s="116">
        <f ca="1">IF($H959="UNIDADE CONSTRUTIVA",OFFSET(A959,-1,0)+1,LARGE(A$3:A958,1))</f>
        <v>0</v>
      </c>
      <c r="B959" s="116">
        <f t="shared" ca="1" si="140"/>
        <v>22</v>
      </c>
      <c r="C959" s="116">
        <f t="shared" ca="1" si="141"/>
        <v>1</v>
      </c>
      <c r="D959" s="117">
        <f t="shared" ca="1" si="142"/>
        <v>1</v>
      </c>
      <c r="E959" s="117">
        <f t="shared" ca="1" si="143"/>
        <v>1</v>
      </c>
      <c r="F959" s="438"/>
      <c r="G959" s="7"/>
      <c r="H959" s="7"/>
      <c r="I959" s="7"/>
      <c r="K959" s="7"/>
      <c r="L959" s="7"/>
      <c r="M959" s="7"/>
      <c r="N959" s="7"/>
      <c r="O959" s="7"/>
      <c r="P959" s="7"/>
      <c r="R959" s="7"/>
      <c r="S959" s="7"/>
    </row>
    <row r="960" spans="1:19" ht="14.1" customHeight="1" x14ac:dyDescent="0.2">
      <c r="A960" s="116">
        <f ca="1">IF($H960="UNIDADE CONSTRUTIVA",OFFSET(A960,-1,0)+1,LARGE(A$3:A959,1))</f>
        <v>0</v>
      </c>
      <c r="B960" s="116">
        <f t="shared" ca="1" si="140"/>
        <v>22</v>
      </c>
      <c r="C960" s="116">
        <f t="shared" ca="1" si="141"/>
        <v>1</v>
      </c>
      <c r="D960" s="117">
        <f t="shared" ca="1" si="142"/>
        <v>1</v>
      </c>
      <c r="E960" s="117">
        <f t="shared" ca="1" si="143"/>
        <v>1</v>
      </c>
      <c r="F960" s="438"/>
      <c r="G960" s="7"/>
      <c r="H960" s="7"/>
      <c r="I960" s="7"/>
      <c r="K960" s="7"/>
      <c r="L960" s="7"/>
      <c r="M960" s="7"/>
      <c r="N960" s="7"/>
      <c r="O960" s="7"/>
      <c r="P960" s="7"/>
      <c r="R960" s="7"/>
      <c r="S960" s="7"/>
    </row>
    <row r="961" spans="1:19" ht="14.1" customHeight="1" x14ac:dyDescent="0.2">
      <c r="A961" s="116">
        <f ca="1">IF($H961="UNIDADE CONSTRUTIVA",OFFSET(A961,-1,0)+1,LARGE(A$3:A960,1))</f>
        <v>0</v>
      </c>
      <c r="B961" s="116">
        <f t="shared" ca="1" si="140"/>
        <v>22</v>
      </c>
      <c r="C961" s="116">
        <f t="shared" ca="1" si="141"/>
        <v>1</v>
      </c>
      <c r="D961" s="117">
        <f t="shared" ca="1" si="142"/>
        <v>1</v>
      </c>
      <c r="E961" s="117">
        <f t="shared" ca="1" si="143"/>
        <v>1</v>
      </c>
      <c r="F961" s="438"/>
      <c r="G961" s="7"/>
      <c r="H961" s="7"/>
      <c r="I961" s="7"/>
      <c r="K961" s="7"/>
      <c r="L961" s="7"/>
      <c r="M961" s="7"/>
      <c r="N961" s="7"/>
      <c r="O961" s="7"/>
      <c r="P961" s="7"/>
      <c r="R961" s="7"/>
      <c r="S961" s="7"/>
    </row>
    <row r="962" spans="1:19" ht="14.1" customHeight="1" x14ac:dyDescent="0.2">
      <c r="A962" s="116">
        <f ca="1">IF($H962="UNIDADE CONSTRUTIVA",OFFSET(A962,-1,0)+1,LARGE(A$3:A961,1))</f>
        <v>0</v>
      </c>
      <c r="B962" s="116">
        <f t="shared" ca="1" si="140"/>
        <v>22</v>
      </c>
      <c r="C962" s="116">
        <f t="shared" ca="1" si="141"/>
        <v>1</v>
      </c>
      <c r="D962" s="117">
        <f t="shared" ca="1" si="142"/>
        <v>1</v>
      </c>
      <c r="E962" s="117">
        <f t="shared" ca="1" si="143"/>
        <v>1</v>
      </c>
      <c r="F962" s="438"/>
      <c r="G962" s="7"/>
      <c r="H962" s="7"/>
      <c r="I962" s="7"/>
      <c r="K962" s="7"/>
      <c r="L962" s="7"/>
      <c r="M962" s="7"/>
      <c r="N962" s="7"/>
      <c r="O962" s="7"/>
      <c r="P962" s="7"/>
      <c r="R962" s="7"/>
      <c r="S962" s="7"/>
    </row>
    <row r="963" spans="1:19" ht="14.1" customHeight="1" x14ac:dyDescent="0.2">
      <c r="A963" s="116">
        <f ca="1">IF($H963="UNIDADE CONSTRUTIVA",OFFSET(A963,-1,0)+1,LARGE(A$3:A962,1))</f>
        <v>0</v>
      </c>
      <c r="B963" s="116">
        <f t="shared" ca="1" si="140"/>
        <v>22</v>
      </c>
      <c r="C963" s="116">
        <f t="shared" ca="1" si="141"/>
        <v>1</v>
      </c>
      <c r="D963" s="117">
        <f t="shared" ca="1" si="142"/>
        <v>1</v>
      </c>
      <c r="E963" s="117">
        <f t="shared" ca="1" si="143"/>
        <v>1</v>
      </c>
      <c r="F963" s="438"/>
      <c r="G963" s="7"/>
      <c r="H963" s="7"/>
      <c r="I963" s="7"/>
      <c r="K963" s="7"/>
      <c r="L963" s="7"/>
      <c r="M963" s="7"/>
      <c r="N963" s="7"/>
      <c r="O963" s="7"/>
      <c r="P963" s="7"/>
      <c r="R963" s="7"/>
      <c r="S963" s="7"/>
    </row>
    <row r="964" spans="1:19" ht="14.1" customHeight="1" x14ac:dyDescent="0.2">
      <c r="A964" s="116">
        <f ca="1">IF($H964="UNIDADE CONSTRUTIVA",OFFSET(A964,-1,0)+1,LARGE(A$3:A963,1))</f>
        <v>0</v>
      </c>
      <c r="B964" s="116">
        <f t="shared" ca="1" si="140"/>
        <v>22</v>
      </c>
      <c r="C964" s="116">
        <f t="shared" ca="1" si="141"/>
        <v>1</v>
      </c>
      <c r="D964" s="117">
        <f t="shared" ca="1" si="142"/>
        <v>1</v>
      </c>
      <c r="E964" s="117">
        <f t="shared" ca="1" si="143"/>
        <v>1</v>
      </c>
      <c r="F964" s="438"/>
      <c r="G964" s="7"/>
      <c r="H964" s="7"/>
      <c r="I964" s="7"/>
      <c r="K964" s="7"/>
      <c r="L964" s="7"/>
      <c r="M964" s="7"/>
      <c r="N964" s="7"/>
      <c r="O964" s="7"/>
      <c r="P964" s="7"/>
      <c r="R964" s="7"/>
      <c r="S964" s="7"/>
    </row>
    <row r="965" spans="1:19" ht="14.1" customHeight="1" x14ac:dyDescent="0.2">
      <c r="A965" s="116">
        <f ca="1">IF($H965="UNIDADE CONSTRUTIVA",OFFSET(A965,-1,0)+1,LARGE(A$3:A964,1))</f>
        <v>0</v>
      </c>
      <c r="B965" s="116">
        <f t="shared" ca="1" si="140"/>
        <v>22</v>
      </c>
      <c r="C965" s="116">
        <f t="shared" ca="1" si="141"/>
        <v>1</v>
      </c>
      <c r="D965" s="117">
        <f t="shared" ca="1" si="142"/>
        <v>1</v>
      </c>
      <c r="E965" s="117">
        <f t="shared" ca="1" si="143"/>
        <v>1</v>
      </c>
      <c r="F965" s="438"/>
      <c r="G965" s="7"/>
      <c r="H965" s="7"/>
      <c r="I965" s="7"/>
      <c r="K965" s="7"/>
      <c r="L965" s="7"/>
      <c r="M965" s="7"/>
      <c r="N965" s="7"/>
      <c r="O965" s="7"/>
      <c r="P965" s="7"/>
      <c r="R965" s="7"/>
      <c r="S965" s="7"/>
    </row>
    <row r="966" spans="1:19" ht="14.1" customHeight="1" x14ac:dyDescent="0.2">
      <c r="A966" s="116">
        <f ca="1">IF($H966="UNIDADE CONSTRUTIVA",OFFSET(A966,-1,0)+1,LARGE(A$3:A965,1))</f>
        <v>0</v>
      </c>
      <c r="B966" s="116">
        <f t="shared" ca="1" si="140"/>
        <v>22</v>
      </c>
      <c r="C966" s="116">
        <f t="shared" ca="1" si="141"/>
        <v>1</v>
      </c>
      <c r="D966" s="117">
        <f t="shared" ca="1" si="142"/>
        <v>1</v>
      </c>
      <c r="E966" s="117">
        <f t="shared" ca="1" si="143"/>
        <v>1</v>
      </c>
      <c r="F966" s="438"/>
      <c r="G966" s="7"/>
      <c r="H966" s="7"/>
      <c r="I966" s="7"/>
      <c r="K966" s="7"/>
      <c r="L966" s="7"/>
      <c r="M966" s="7"/>
      <c r="N966" s="7"/>
      <c r="O966" s="7"/>
      <c r="P966" s="7"/>
      <c r="R966" s="7"/>
      <c r="S966" s="7"/>
    </row>
    <row r="967" spans="1:19" ht="14.1" customHeight="1" x14ac:dyDescent="0.2">
      <c r="A967" s="116">
        <f ca="1">IF($H967="UNIDADE CONSTRUTIVA",OFFSET(A967,-1,0)+1,LARGE(A$3:A966,1))</f>
        <v>0</v>
      </c>
      <c r="B967" s="116">
        <f t="shared" ca="1" si="140"/>
        <v>22</v>
      </c>
      <c r="C967" s="116">
        <f t="shared" ca="1" si="141"/>
        <v>1</v>
      </c>
      <c r="D967" s="117">
        <f t="shared" ca="1" si="142"/>
        <v>1</v>
      </c>
      <c r="E967" s="117">
        <f t="shared" ca="1" si="143"/>
        <v>1</v>
      </c>
      <c r="F967" s="438"/>
      <c r="G967" s="7"/>
      <c r="H967" s="7"/>
      <c r="I967" s="7"/>
      <c r="K967" s="7"/>
      <c r="L967" s="7"/>
      <c r="M967" s="7"/>
      <c r="N967" s="7"/>
      <c r="O967" s="7"/>
      <c r="P967" s="7"/>
      <c r="R967" s="7"/>
      <c r="S967" s="7"/>
    </row>
    <row r="968" spans="1:19" ht="14.1" customHeight="1" x14ac:dyDescent="0.2">
      <c r="A968" s="116">
        <f ca="1">IF($H968="UNIDADE CONSTRUTIVA",OFFSET(A968,-1,0)+1,LARGE(A$3:A967,1))</f>
        <v>0</v>
      </c>
      <c r="B968" s="116">
        <f t="shared" ca="1" si="140"/>
        <v>22</v>
      </c>
      <c r="C968" s="116">
        <f t="shared" ca="1" si="141"/>
        <v>1</v>
      </c>
      <c r="D968" s="117">
        <f t="shared" ca="1" si="142"/>
        <v>1</v>
      </c>
      <c r="E968" s="117">
        <f t="shared" ca="1" si="143"/>
        <v>1</v>
      </c>
      <c r="F968" s="438"/>
      <c r="G968" s="7"/>
      <c r="H968" s="7"/>
      <c r="I968" s="7"/>
      <c r="K968" s="7"/>
      <c r="L968" s="7"/>
      <c r="M968" s="7"/>
      <c r="N968" s="7"/>
      <c r="O968" s="7"/>
      <c r="P968" s="7"/>
      <c r="R968" s="7"/>
      <c r="S968" s="7"/>
    </row>
    <row r="969" spans="1:19" ht="14.1" customHeight="1" x14ac:dyDescent="0.2">
      <c r="A969" s="116">
        <f ca="1">IF($H969="UNIDADE CONSTRUTIVA",OFFSET(A969,-1,0)+1,LARGE(A$3:A968,1))</f>
        <v>0</v>
      </c>
      <c r="B969" s="116">
        <f t="shared" ca="1" si="140"/>
        <v>22</v>
      </c>
      <c r="C969" s="116">
        <f t="shared" ca="1" si="141"/>
        <v>1</v>
      </c>
      <c r="D969" s="117">
        <f t="shared" ca="1" si="142"/>
        <v>1</v>
      </c>
      <c r="E969" s="117">
        <f t="shared" ca="1" si="143"/>
        <v>1</v>
      </c>
      <c r="F969" s="438"/>
      <c r="G969" s="7"/>
      <c r="H969" s="7"/>
      <c r="I969" s="7"/>
      <c r="K969" s="7"/>
      <c r="L969" s="7"/>
      <c r="M969" s="7"/>
      <c r="N969" s="7"/>
      <c r="O969" s="7"/>
      <c r="P969" s="7"/>
      <c r="R969" s="7"/>
      <c r="S969" s="7"/>
    </row>
    <row r="970" spans="1:19" ht="14.1" customHeight="1" x14ac:dyDescent="0.2">
      <c r="A970" s="116">
        <f ca="1">IF($H970="UNIDADE CONSTRUTIVA",OFFSET(A970,-1,0)+1,LARGE(A$3:A969,1))</f>
        <v>0</v>
      </c>
      <c r="B970" s="116">
        <f t="shared" ca="1" si="140"/>
        <v>22</v>
      </c>
      <c r="C970" s="116">
        <f t="shared" ca="1" si="141"/>
        <v>1</v>
      </c>
      <c r="D970" s="117">
        <f t="shared" ca="1" si="142"/>
        <v>1</v>
      </c>
      <c r="E970" s="117">
        <f t="shared" ca="1" si="143"/>
        <v>1</v>
      </c>
      <c r="F970" s="438"/>
      <c r="G970" s="7"/>
      <c r="H970" s="7"/>
      <c r="I970" s="7"/>
      <c r="K970" s="7"/>
      <c r="L970" s="7"/>
      <c r="M970" s="7"/>
      <c r="N970" s="7"/>
      <c r="O970" s="7"/>
      <c r="P970" s="7"/>
      <c r="R970" s="7"/>
      <c r="S970" s="7"/>
    </row>
    <row r="971" spans="1:19" ht="14.1" customHeight="1" x14ac:dyDescent="0.2">
      <c r="A971" s="116">
        <f ca="1">IF($H971="UNIDADE CONSTRUTIVA",OFFSET(A971,-1,0)+1,LARGE(A$3:A970,1))</f>
        <v>0</v>
      </c>
      <c r="B971" s="116">
        <f t="shared" ca="1" si="140"/>
        <v>22</v>
      </c>
      <c r="C971" s="116">
        <f t="shared" ca="1" si="141"/>
        <v>1</v>
      </c>
      <c r="D971" s="117">
        <f t="shared" ca="1" si="142"/>
        <v>1</v>
      </c>
      <c r="E971" s="117">
        <f t="shared" ca="1" si="143"/>
        <v>1</v>
      </c>
      <c r="F971" s="438"/>
      <c r="G971" s="7"/>
      <c r="H971" s="7"/>
      <c r="I971" s="7"/>
      <c r="K971" s="7"/>
      <c r="L971" s="7"/>
      <c r="M971" s="7"/>
      <c r="N971" s="7"/>
      <c r="O971" s="7"/>
      <c r="P971" s="7"/>
      <c r="R971" s="7"/>
      <c r="S971" s="7"/>
    </row>
    <row r="972" spans="1:19" ht="14.1" customHeight="1" x14ac:dyDescent="0.2">
      <c r="A972" s="116">
        <f ca="1">IF($H972="UNIDADE CONSTRUTIVA",OFFSET(A972,-1,0)+1,LARGE(A$3:A971,1))</f>
        <v>0</v>
      </c>
      <c r="B972" s="116">
        <f t="shared" ca="1" si="140"/>
        <v>22</v>
      </c>
      <c r="C972" s="116">
        <f t="shared" ca="1" si="141"/>
        <v>1</v>
      </c>
      <c r="D972" s="117">
        <f t="shared" ca="1" si="142"/>
        <v>1</v>
      </c>
      <c r="E972" s="117">
        <f t="shared" ca="1" si="143"/>
        <v>1</v>
      </c>
      <c r="F972" s="438"/>
      <c r="G972" s="7"/>
      <c r="H972" s="7"/>
      <c r="I972" s="7"/>
      <c r="K972" s="7"/>
      <c r="L972" s="7"/>
      <c r="M972" s="7"/>
      <c r="N972" s="7"/>
      <c r="O972" s="7"/>
      <c r="P972" s="7"/>
      <c r="R972" s="7"/>
      <c r="S972" s="7"/>
    </row>
    <row r="973" spans="1:19" ht="14.1" customHeight="1" x14ac:dyDescent="0.2">
      <c r="A973" s="116">
        <f ca="1">IF($H973="UNIDADE CONSTRUTIVA",OFFSET(A973,-1,0)+1,LARGE(A$3:A972,1))</f>
        <v>0</v>
      </c>
      <c r="B973" s="116">
        <f t="shared" ca="1" si="140"/>
        <v>22</v>
      </c>
      <c r="C973" s="116">
        <f t="shared" ca="1" si="141"/>
        <v>1</v>
      </c>
      <c r="D973" s="117">
        <f t="shared" ca="1" si="142"/>
        <v>1</v>
      </c>
      <c r="E973" s="117">
        <f t="shared" ca="1" si="143"/>
        <v>1</v>
      </c>
      <c r="F973" s="438"/>
      <c r="G973" s="7"/>
      <c r="H973" s="7"/>
      <c r="I973" s="7"/>
      <c r="K973" s="7"/>
      <c r="L973" s="7"/>
      <c r="M973" s="7"/>
      <c r="N973" s="7"/>
      <c r="O973" s="7"/>
      <c r="P973" s="7"/>
      <c r="R973" s="7"/>
      <c r="S973" s="7"/>
    </row>
    <row r="974" spans="1:19" ht="14.1" customHeight="1" x14ac:dyDescent="0.2">
      <c r="A974" s="116">
        <f ca="1">IF($H974="UNIDADE CONSTRUTIVA",OFFSET(A974,-1,0)+1,LARGE(A$3:A973,1))</f>
        <v>0</v>
      </c>
      <c r="B974" s="116">
        <f t="shared" ca="1" si="140"/>
        <v>22</v>
      </c>
      <c r="C974" s="116">
        <f t="shared" ca="1" si="141"/>
        <v>1</v>
      </c>
      <c r="D974" s="117">
        <f t="shared" ca="1" si="142"/>
        <v>1</v>
      </c>
      <c r="E974" s="117">
        <f t="shared" ca="1" si="143"/>
        <v>1</v>
      </c>
      <c r="F974" s="438"/>
      <c r="G974" s="7"/>
      <c r="H974" s="7"/>
      <c r="I974" s="7"/>
      <c r="K974" s="7"/>
      <c r="L974" s="7"/>
      <c r="M974" s="7"/>
      <c r="N974" s="7"/>
      <c r="O974" s="7"/>
      <c r="P974" s="7"/>
      <c r="R974" s="7"/>
      <c r="S974" s="7"/>
    </row>
    <row r="975" spans="1:19" ht="14.1" customHeight="1" x14ac:dyDescent="0.2">
      <c r="A975" s="116">
        <f ca="1">IF($H975="UNIDADE CONSTRUTIVA",OFFSET(A975,-1,0)+1,LARGE(A$3:A974,1))</f>
        <v>0</v>
      </c>
      <c r="B975" s="116">
        <f t="shared" ca="1" si="140"/>
        <v>22</v>
      </c>
      <c r="C975" s="116">
        <f t="shared" ca="1" si="141"/>
        <v>1</v>
      </c>
      <c r="D975" s="117">
        <f t="shared" ca="1" si="142"/>
        <v>1</v>
      </c>
      <c r="E975" s="117">
        <f t="shared" ca="1" si="143"/>
        <v>1</v>
      </c>
      <c r="F975" s="438"/>
      <c r="G975" s="7"/>
      <c r="H975" s="7"/>
      <c r="I975" s="7"/>
      <c r="K975" s="7"/>
      <c r="L975" s="7"/>
      <c r="M975" s="7"/>
      <c r="N975" s="7"/>
      <c r="O975" s="7"/>
      <c r="P975" s="7"/>
      <c r="R975" s="7"/>
      <c r="S975" s="7"/>
    </row>
    <row r="976" spans="1:19" ht="14.1" customHeight="1" x14ac:dyDescent="0.2">
      <c r="A976" s="116">
        <f ca="1">IF($H976="UNIDADE CONSTRUTIVA",OFFSET(A976,-1,0)+1,LARGE(A$3:A975,1))</f>
        <v>0</v>
      </c>
      <c r="B976" s="116">
        <f t="shared" ca="1" si="140"/>
        <v>22</v>
      </c>
      <c r="C976" s="116">
        <f t="shared" ca="1" si="141"/>
        <v>1</v>
      </c>
      <c r="D976" s="117">
        <f t="shared" ca="1" si="142"/>
        <v>1</v>
      </c>
      <c r="E976" s="117">
        <f t="shared" ca="1" si="143"/>
        <v>1</v>
      </c>
      <c r="F976" s="438"/>
      <c r="G976" s="7"/>
      <c r="H976" s="7"/>
      <c r="I976" s="7"/>
      <c r="K976" s="7"/>
      <c r="L976" s="7"/>
      <c r="M976" s="7"/>
      <c r="N976" s="7"/>
      <c r="O976" s="7"/>
      <c r="P976" s="7"/>
      <c r="R976" s="7"/>
      <c r="S976" s="7"/>
    </row>
    <row r="977" spans="1:19" ht="14.1" customHeight="1" x14ac:dyDescent="0.2">
      <c r="A977" s="116">
        <f ca="1">IF($H977="UNIDADE CONSTRUTIVA",OFFSET(A977,-1,0)+1,LARGE(A$3:A976,1))</f>
        <v>0</v>
      </c>
      <c r="B977" s="116">
        <f t="shared" ca="1" si="140"/>
        <v>22</v>
      </c>
      <c r="C977" s="116">
        <f t="shared" ca="1" si="141"/>
        <v>1</v>
      </c>
      <c r="D977" s="117">
        <f t="shared" ca="1" si="142"/>
        <v>1</v>
      </c>
      <c r="E977" s="117">
        <f t="shared" ca="1" si="143"/>
        <v>1</v>
      </c>
      <c r="F977" s="438"/>
      <c r="G977" s="7"/>
      <c r="H977" s="7"/>
      <c r="I977" s="7"/>
      <c r="K977" s="7"/>
      <c r="L977" s="7"/>
      <c r="M977" s="7"/>
      <c r="N977" s="7"/>
      <c r="O977" s="7"/>
      <c r="P977" s="7"/>
      <c r="R977" s="7"/>
      <c r="S977" s="7"/>
    </row>
    <row r="978" spans="1:19" ht="14.1" customHeight="1" x14ac:dyDescent="0.2">
      <c r="A978" s="116">
        <f ca="1">IF($H978="UNIDADE CONSTRUTIVA",OFFSET(A978,-1,0)+1,LARGE(A$3:A977,1))</f>
        <v>0</v>
      </c>
      <c r="B978" s="116">
        <f t="shared" ca="1" si="140"/>
        <v>22</v>
      </c>
      <c r="C978" s="116">
        <f t="shared" ca="1" si="141"/>
        <v>1</v>
      </c>
      <c r="D978" s="117">
        <f t="shared" ca="1" si="142"/>
        <v>1</v>
      </c>
      <c r="E978" s="117">
        <f t="shared" ca="1" si="143"/>
        <v>1</v>
      </c>
      <c r="F978" s="438"/>
      <c r="G978" s="7"/>
      <c r="H978" s="7"/>
      <c r="I978" s="7"/>
      <c r="K978" s="7"/>
      <c r="L978" s="7"/>
      <c r="M978" s="7"/>
      <c r="N978" s="7"/>
      <c r="O978" s="7"/>
      <c r="P978" s="7"/>
      <c r="R978" s="7"/>
      <c r="S978" s="7"/>
    </row>
    <row r="979" spans="1:19" ht="14.1" customHeight="1" x14ac:dyDescent="0.2">
      <c r="A979" s="116">
        <f ca="1">IF($H979="UNIDADE CONSTRUTIVA",OFFSET(A979,-1,0)+1,LARGE(A$3:A978,1))</f>
        <v>0</v>
      </c>
      <c r="B979" s="116">
        <f t="shared" ca="1" si="140"/>
        <v>22</v>
      </c>
      <c r="C979" s="116">
        <f t="shared" ca="1" si="141"/>
        <v>1</v>
      </c>
      <c r="D979" s="117">
        <f t="shared" ca="1" si="142"/>
        <v>1</v>
      </c>
      <c r="E979" s="117">
        <f t="shared" ca="1" si="143"/>
        <v>1</v>
      </c>
      <c r="F979" s="438"/>
      <c r="G979" s="7"/>
      <c r="H979" s="7"/>
      <c r="I979" s="7"/>
      <c r="K979" s="7"/>
      <c r="L979" s="7"/>
      <c r="M979" s="7"/>
      <c r="N979" s="7"/>
      <c r="O979" s="7"/>
      <c r="P979" s="7"/>
      <c r="R979" s="7"/>
      <c r="S979" s="7"/>
    </row>
    <row r="980" spans="1:19" ht="14.1" customHeight="1" x14ac:dyDescent="0.2">
      <c r="A980" s="116">
        <f ca="1">IF($H980="UNIDADE CONSTRUTIVA",OFFSET(A980,-1,0)+1,LARGE(A$3:A979,1))</f>
        <v>0</v>
      </c>
      <c r="B980" s="116">
        <f t="shared" ca="1" si="140"/>
        <v>22</v>
      </c>
      <c r="C980" s="116">
        <f t="shared" ca="1" si="141"/>
        <v>1</v>
      </c>
      <c r="D980" s="117">
        <f t="shared" ca="1" si="142"/>
        <v>1</v>
      </c>
      <c r="E980" s="117">
        <f t="shared" ca="1" si="143"/>
        <v>1</v>
      </c>
      <c r="F980" s="438"/>
      <c r="G980" s="7"/>
      <c r="H980" s="7"/>
      <c r="I980" s="7"/>
      <c r="K980" s="7"/>
      <c r="L980" s="7"/>
      <c r="M980" s="7"/>
      <c r="N980" s="7"/>
      <c r="O980" s="7"/>
      <c r="P980" s="7"/>
      <c r="R980" s="7"/>
      <c r="S980" s="7"/>
    </row>
    <row r="981" spans="1:19" ht="14.1" customHeight="1" x14ac:dyDescent="0.2">
      <c r="A981" s="116">
        <f ca="1">IF($H981="UNIDADE CONSTRUTIVA",OFFSET(A981,-1,0)+1,LARGE(A$3:A980,1))</f>
        <v>0</v>
      </c>
      <c r="B981" s="116">
        <f t="shared" ca="1" si="140"/>
        <v>22</v>
      </c>
      <c r="C981" s="116">
        <f t="shared" ca="1" si="141"/>
        <v>1</v>
      </c>
      <c r="D981" s="117">
        <f t="shared" ca="1" si="142"/>
        <v>1</v>
      </c>
      <c r="E981" s="117">
        <f t="shared" ca="1" si="143"/>
        <v>1</v>
      </c>
      <c r="F981" s="438"/>
      <c r="G981" s="7"/>
      <c r="H981" s="7"/>
      <c r="I981" s="7"/>
      <c r="K981" s="7"/>
      <c r="L981" s="7"/>
      <c r="M981" s="7"/>
      <c r="N981" s="7"/>
      <c r="O981" s="7"/>
      <c r="P981" s="7"/>
      <c r="R981" s="7"/>
      <c r="S981" s="7"/>
    </row>
    <row r="982" spans="1:19" ht="14.1" customHeight="1" x14ac:dyDescent="0.2">
      <c r="A982" s="116">
        <f ca="1">IF($H982="UNIDADE CONSTRUTIVA",OFFSET(A982,-1,0)+1,LARGE(A$3:A981,1))</f>
        <v>0</v>
      </c>
      <c r="B982" s="116">
        <f t="shared" ca="1" si="140"/>
        <v>22</v>
      </c>
      <c r="C982" s="116">
        <f t="shared" ca="1" si="141"/>
        <v>1</v>
      </c>
      <c r="D982" s="117">
        <f t="shared" ca="1" si="142"/>
        <v>1</v>
      </c>
      <c r="E982" s="117">
        <f t="shared" ca="1" si="143"/>
        <v>1</v>
      </c>
      <c r="F982" s="438"/>
      <c r="G982" s="7"/>
      <c r="H982" s="7"/>
      <c r="I982" s="7"/>
      <c r="K982" s="7"/>
      <c r="L982" s="7"/>
      <c r="M982" s="7"/>
      <c r="N982" s="7"/>
      <c r="O982" s="7"/>
      <c r="P982" s="7"/>
      <c r="R982" s="7"/>
      <c r="S982" s="7"/>
    </row>
    <row r="983" spans="1:19" ht="14.1" customHeight="1" x14ac:dyDescent="0.2">
      <c r="A983" s="116">
        <f ca="1">IF($H983="UNIDADE CONSTRUTIVA",OFFSET(A983,-1,0)+1,LARGE(A$3:A982,1))</f>
        <v>0</v>
      </c>
      <c r="B983" s="116">
        <f t="shared" ca="1" si="140"/>
        <v>22</v>
      </c>
      <c r="C983" s="116">
        <f t="shared" ca="1" si="141"/>
        <v>1</v>
      </c>
      <c r="D983" s="117">
        <f t="shared" ca="1" si="142"/>
        <v>1</v>
      </c>
      <c r="E983" s="117">
        <f t="shared" ca="1" si="143"/>
        <v>1</v>
      </c>
      <c r="F983" s="438"/>
      <c r="G983" s="7"/>
      <c r="H983" s="7"/>
      <c r="I983" s="7"/>
      <c r="K983" s="7"/>
      <c r="L983" s="7"/>
      <c r="M983" s="7"/>
      <c r="N983" s="7"/>
      <c r="O983" s="7"/>
      <c r="P983" s="7"/>
      <c r="R983" s="7"/>
      <c r="S983" s="7"/>
    </row>
    <row r="984" spans="1:19" ht="14.1" customHeight="1" x14ac:dyDescent="0.2">
      <c r="A984" s="116">
        <f ca="1">IF($H984="UNIDADE CONSTRUTIVA",OFFSET(A984,-1,0)+1,LARGE(A$3:A983,1))</f>
        <v>0</v>
      </c>
      <c r="B984" s="116">
        <f t="shared" ca="1" si="140"/>
        <v>22</v>
      </c>
      <c r="C984" s="116">
        <f t="shared" ca="1" si="141"/>
        <v>1</v>
      </c>
      <c r="D984" s="117">
        <f t="shared" ca="1" si="142"/>
        <v>1</v>
      </c>
      <c r="E984" s="117">
        <f t="shared" ca="1" si="143"/>
        <v>1</v>
      </c>
      <c r="F984" s="438"/>
      <c r="G984" s="7"/>
      <c r="H984" s="7"/>
      <c r="I984" s="7"/>
      <c r="K984" s="7"/>
      <c r="L984" s="7"/>
      <c r="M984" s="7"/>
      <c r="N984" s="7"/>
      <c r="O984" s="7"/>
      <c r="P984" s="7"/>
      <c r="R984" s="7"/>
      <c r="S984" s="7"/>
    </row>
    <row r="985" spans="1:19" ht="14.1" customHeight="1" x14ac:dyDescent="0.2">
      <c r="A985" s="116">
        <f ca="1">IF($H985="UNIDADE CONSTRUTIVA",OFFSET(A985,-1,0)+1,LARGE(A$3:A984,1))</f>
        <v>0</v>
      </c>
      <c r="B985" s="116">
        <f t="shared" ca="1" si="140"/>
        <v>22</v>
      </c>
      <c r="C985" s="116">
        <f t="shared" ca="1" si="141"/>
        <v>1</v>
      </c>
      <c r="D985" s="117">
        <f t="shared" ca="1" si="142"/>
        <v>1</v>
      </c>
      <c r="E985" s="117">
        <f t="shared" ca="1" si="143"/>
        <v>1</v>
      </c>
      <c r="F985" s="438"/>
      <c r="G985" s="7"/>
      <c r="H985" s="7"/>
      <c r="I985" s="7"/>
      <c r="K985" s="7"/>
      <c r="L985" s="7"/>
      <c r="M985" s="7"/>
      <c r="N985" s="7"/>
      <c r="O985" s="7"/>
      <c r="P985" s="7"/>
      <c r="R985" s="7"/>
      <c r="S985" s="7"/>
    </row>
    <row r="986" spans="1:19" ht="14.1" customHeight="1" x14ac:dyDescent="0.2">
      <c r="A986" s="116">
        <f ca="1">IF($H986="UNIDADE CONSTRUTIVA",OFFSET(A986,-1,0)+1,LARGE(A$3:A985,1))</f>
        <v>0</v>
      </c>
      <c r="B986" s="116">
        <f t="shared" ca="1" si="140"/>
        <v>22</v>
      </c>
      <c r="C986" s="116">
        <f t="shared" ca="1" si="141"/>
        <v>1</v>
      </c>
      <c r="D986" s="117">
        <f t="shared" ca="1" si="142"/>
        <v>1</v>
      </c>
      <c r="E986" s="117">
        <f t="shared" ca="1" si="143"/>
        <v>1</v>
      </c>
      <c r="F986" s="438"/>
      <c r="G986" s="7"/>
      <c r="H986" s="7"/>
      <c r="I986" s="7"/>
      <c r="K986" s="7"/>
      <c r="L986" s="7"/>
      <c r="M986" s="7"/>
      <c r="N986" s="7"/>
      <c r="O986" s="7"/>
      <c r="P986" s="7"/>
      <c r="R986" s="7"/>
      <c r="S986" s="7"/>
    </row>
    <row r="987" spans="1:19" ht="14.1" customHeight="1" x14ac:dyDescent="0.2">
      <c r="A987" s="116">
        <f ca="1">IF($H987="UNIDADE CONSTRUTIVA",OFFSET(A987,-1,0)+1,LARGE(A$3:A986,1))</f>
        <v>0</v>
      </c>
      <c r="B987" s="116">
        <f t="shared" ca="1" si="140"/>
        <v>22</v>
      </c>
      <c r="C987" s="116">
        <f t="shared" ca="1" si="141"/>
        <v>1</v>
      </c>
      <c r="D987" s="117">
        <f t="shared" ca="1" si="142"/>
        <v>1</v>
      </c>
      <c r="E987" s="117">
        <f t="shared" ca="1" si="143"/>
        <v>1</v>
      </c>
      <c r="F987" s="438"/>
      <c r="G987" s="7"/>
      <c r="H987" s="7"/>
      <c r="I987" s="7"/>
      <c r="K987" s="7"/>
      <c r="L987" s="7"/>
      <c r="M987" s="7"/>
      <c r="N987" s="7"/>
      <c r="O987" s="7"/>
      <c r="P987" s="7"/>
      <c r="R987" s="7"/>
      <c r="S987" s="7"/>
    </row>
    <row r="988" spans="1:19" ht="14.1" customHeight="1" x14ac:dyDescent="0.2">
      <c r="A988" s="116">
        <f ca="1">IF($H988="UNIDADE CONSTRUTIVA",OFFSET(A988,-1,0)+1,LARGE(A$3:A987,1))</f>
        <v>0</v>
      </c>
      <c r="B988" s="116">
        <f t="shared" ca="1" si="140"/>
        <v>22</v>
      </c>
      <c r="C988" s="116">
        <f t="shared" ca="1" si="141"/>
        <v>1</v>
      </c>
      <c r="D988" s="117">
        <f t="shared" ca="1" si="142"/>
        <v>1</v>
      </c>
      <c r="E988" s="117">
        <f t="shared" ca="1" si="143"/>
        <v>1</v>
      </c>
      <c r="F988" s="438"/>
      <c r="G988" s="7"/>
      <c r="H988" s="7"/>
      <c r="I988" s="7"/>
      <c r="K988" s="7"/>
      <c r="L988" s="7"/>
      <c r="M988" s="7"/>
      <c r="N988" s="7"/>
      <c r="O988" s="7"/>
      <c r="P988" s="7"/>
      <c r="R988" s="7"/>
      <c r="S988" s="7"/>
    </row>
    <row r="989" spans="1:19" ht="14.1" customHeight="1" x14ac:dyDescent="0.2">
      <c r="A989" s="116">
        <f ca="1">IF($H989="UNIDADE CONSTRUTIVA",OFFSET(A989,-1,0)+1,LARGE(A$3:A988,1))</f>
        <v>0</v>
      </c>
      <c r="B989" s="116">
        <f t="shared" ca="1" si="140"/>
        <v>22</v>
      </c>
      <c r="C989" s="116">
        <f t="shared" ca="1" si="141"/>
        <v>1</v>
      </c>
      <c r="D989" s="117">
        <f t="shared" ca="1" si="142"/>
        <v>1</v>
      </c>
      <c r="E989" s="117">
        <f t="shared" ca="1" si="143"/>
        <v>1</v>
      </c>
      <c r="F989" s="438"/>
      <c r="G989" s="7"/>
      <c r="H989" s="7"/>
      <c r="I989" s="7"/>
      <c r="K989" s="7"/>
      <c r="L989" s="7"/>
      <c r="M989" s="7"/>
      <c r="N989" s="7"/>
      <c r="O989" s="7"/>
      <c r="P989" s="7"/>
      <c r="R989" s="7"/>
      <c r="S989" s="7"/>
    </row>
    <row r="990" spans="1:19" ht="14.1" customHeight="1" x14ac:dyDescent="0.2">
      <c r="A990" s="116">
        <f ca="1">IF($H990="UNIDADE CONSTRUTIVA",OFFSET(A990,-1,0)+1,LARGE(A$3:A989,1))</f>
        <v>0</v>
      </c>
      <c r="B990" s="116">
        <f t="shared" ca="1" si="140"/>
        <v>22</v>
      </c>
      <c r="C990" s="116">
        <f t="shared" ca="1" si="141"/>
        <v>1</v>
      </c>
      <c r="D990" s="117">
        <f t="shared" ca="1" si="142"/>
        <v>1</v>
      </c>
      <c r="E990" s="117">
        <f t="shared" ca="1" si="143"/>
        <v>1</v>
      </c>
      <c r="F990" s="438"/>
      <c r="G990" s="7"/>
      <c r="H990" s="7"/>
      <c r="I990" s="7"/>
      <c r="K990" s="7"/>
      <c r="L990" s="7"/>
      <c r="M990" s="7"/>
      <c r="N990" s="7"/>
      <c r="O990" s="7"/>
      <c r="P990" s="7"/>
      <c r="R990" s="7"/>
      <c r="S990" s="7"/>
    </row>
    <row r="991" spans="1:19" ht="14.1" customHeight="1" x14ac:dyDescent="0.2">
      <c r="A991" s="116">
        <f ca="1">IF($H991="UNIDADE CONSTRUTIVA",OFFSET(A991,-1,0)+1,LARGE(A$3:A990,1))</f>
        <v>0</v>
      </c>
      <c r="B991" s="116">
        <f t="shared" ca="1" si="140"/>
        <v>22</v>
      </c>
      <c r="C991" s="116">
        <f t="shared" ca="1" si="141"/>
        <v>1</v>
      </c>
      <c r="D991" s="117">
        <f t="shared" ca="1" si="142"/>
        <v>1</v>
      </c>
      <c r="E991" s="117">
        <f t="shared" ca="1" si="143"/>
        <v>1</v>
      </c>
      <c r="F991" s="438"/>
      <c r="G991" s="7"/>
      <c r="H991" s="7"/>
      <c r="I991" s="7"/>
      <c r="K991" s="7"/>
      <c r="L991" s="7"/>
      <c r="M991" s="7"/>
      <c r="N991" s="7"/>
      <c r="O991" s="7"/>
      <c r="P991" s="7"/>
      <c r="R991" s="7"/>
      <c r="S991" s="7"/>
    </row>
    <row r="992" spans="1:19" ht="14.1" customHeight="1" x14ac:dyDescent="0.2">
      <c r="A992" s="116">
        <f ca="1">IF($H992="UNIDADE CONSTRUTIVA",OFFSET(A992,-1,0)+1,LARGE(A$3:A991,1))</f>
        <v>0</v>
      </c>
      <c r="B992" s="116">
        <f t="shared" ca="1" si="140"/>
        <v>22</v>
      </c>
      <c r="C992" s="116">
        <f t="shared" ca="1" si="141"/>
        <v>1</v>
      </c>
      <c r="D992" s="117">
        <f t="shared" ca="1" si="142"/>
        <v>1</v>
      </c>
      <c r="E992" s="117">
        <f t="shared" ca="1" si="143"/>
        <v>1</v>
      </c>
      <c r="F992" s="438"/>
      <c r="G992" s="7"/>
      <c r="H992" s="7"/>
      <c r="I992" s="7"/>
      <c r="K992" s="7"/>
      <c r="L992" s="7"/>
      <c r="M992" s="7"/>
      <c r="N992" s="7"/>
      <c r="O992" s="7"/>
      <c r="P992" s="7"/>
      <c r="R992" s="7"/>
      <c r="S992" s="7"/>
    </row>
    <row r="993" spans="1:19" ht="14.1" customHeight="1" x14ac:dyDescent="0.2">
      <c r="A993" s="116">
        <f ca="1">IF($H993="UNIDADE CONSTRUTIVA",OFFSET(A993,-1,0)+1,LARGE(A$3:A992,1))</f>
        <v>0</v>
      </c>
      <c r="B993" s="116">
        <f t="shared" ca="1" si="140"/>
        <v>22</v>
      </c>
      <c r="C993" s="116">
        <f t="shared" ca="1" si="141"/>
        <v>1</v>
      </c>
      <c r="D993" s="117">
        <f t="shared" ca="1" si="142"/>
        <v>1</v>
      </c>
      <c r="E993" s="117">
        <f t="shared" ca="1" si="143"/>
        <v>1</v>
      </c>
      <c r="F993" s="438"/>
      <c r="G993" s="7"/>
      <c r="H993" s="7"/>
      <c r="I993" s="7"/>
      <c r="K993" s="7"/>
      <c r="L993" s="7"/>
      <c r="M993" s="7"/>
      <c r="N993" s="7"/>
      <c r="O993" s="7"/>
      <c r="P993" s="7"/>
      <c r="R993" s="7"/>
      <c r="S993" s="7"/>
    </row>
    <row r="994" spans="1:19" ht="14.1" customHeight="1" x14ac:dyDescent="0.2">
      <c r="A994" s="116">
        <f ca="1">IF($H994="UNIDADE CONSTRUTIVA",OFFSET(A994,-1,0)+1,LARGE(A$3:A993,1))</f>
        <v>0</v>
      </c>
      <c r="B994" s="116">
        <f t="shared" ca="1" si="140"/>
        <v>22</v>
      </c>
      <c r="C994" s="116">
        <f t="shared" ca="1" si="141"/>
        <v>1</v>
      </c>
      <c r="D994" s="117">
        <f t="shared" ca="1" si="142"/>
        <v>1</v>
      </c>
      <c r="E994" s="117">
        <f t="shared" ca="1" si="143"/>
        <v>1</v>
      </c>
      <c r="F994" s="438"/>
      <c r="G994" s="7"/>
      <c r="H994" s="7"/>
      <c r="I994" s="7"/>
      <c r="K994" s="7"/>
      <c r="L994" s="7"/>
      <c r="M994" s="7"/>
      <c r="N994" s="7"/>
      <c r="O994" s="7"/>
      <c r="P994" s="7"/>
      <c r="R994" s="7"/>
      <c r="S994" s="7"/>
    </row>
    <row r="995" spans="1:19" ht="14.1" customHeight="1" x14ac:dyDescent="0.2">
      <c r="A995" s="116">
        <f ca="1">IF($H995="UNIDADE CONSTRUTIVA",OFFSET(A995,-1,0)+1,LARGE(A$3:A994,1))</f>
        <v>0</v>
      </c>
      <c r="B995" s="116">
        <f t="shared" ca="1" si="140"/>
        <v>22</v>
      </c>
      <c r="C995" s="116">
        <f t="shared" ca="1" si="141"/>
        <v>1</v>
      </c>
      <c r="D995" s="117">
        <f t="shared" ca="1" si="142"/>
        <v>1</v>
      </c>
      <c r="E995" s="117">
        <f t="shared" ca="1" si="143"/>
        <v>1</v>
      </c>
      <c r="F995" s="438"/>
      <c r="G995" s="7"/>
      <c r="H995" s="7"/>
      <c r="I995" s="7"/>
      <c r="K995" s="7"/>
      <c r="L995" s="7"/>
      <c r="M995" s="7"/>
      <c r="N995" s="7"/>
      <c r="O995" s="7"/>
      <c r="P995" s="7"/>
      <c r="R995" s="7"/>
      <c r="S995" s="7"/>
    </row>
    <row r="996" spans="1:19" ht="14.1" customHeight="1" x14ac:dyDescent="0.2">
      <c r="A996" s="116">
        <f ca="1">IF($H996="UNIDADE CONSTRUTIVA",OFFSET(A996,-1,0)+1,LARGE(A$3:A995,1))</f>
        <v>0</v>
      </c>
      <c r="B996" s="116">
        <f t="shared" ca="1" si="140"/>
        <v>22</v>
      </c>
      <c r="C996" s="116">
        <f t="shared" ca="1" si="141"/>
        <v>1</v>
      </c>
      <c r="D996" s="117">
        <f t="shared" ca="1" si="142"/>
        <v>1</v>
      </c>
      <c r="E996" s="117">
        <f t="shared" ca="1" si="143"/>
        <v>1</v>
      </c>
      <c r="F996" s="438"/>
      <c r="G996" s="7"/>
      <c r="H996" s="7"/>
      <c r="I996" s="7"/>
      <c r="K996" s="7"/>
      <c r="L996" s="7"/>
      <c r="M996" s="7"/>
      <c r="N996" s="7"/>
      <c r="O996" s="7"/>
      <c r="P996" s="7"/>
      <c r="R996" s="7"/>
      <c r="S996" s="7"/>
    </row>
    <row r="997" spans="1:19" ht="14.1" customHeight="1" x14ac:dyDescent="0.2">
      <c r="A997" s="116">
        <f ca="1">IF($H997="UNIDADE CONSTRUTIVA",OFFSET(A997,-1,0)+1,LARGE(A$3:A996,1))</f>
        <v>0</v>
      </c>
      <c r="B997" s="116">
        <f t="shared" ca="1" si="140"/>
        <v>22</v>
      </c>
      <c r="C997" s="116">
        <f t="shared" ca="1" si="141"/>
        <v>1</v>
      </c>
      <c r="D997" s="117">
        <f t="shared" ca="1" si="142"/>
        <v>1</v>
      </c>
      <c r="E997" s="117">
        <f t="shared" ca="1" si="143"/>
        <v>1</v>
      </c>
      <c r="F997" s="438"/>
      <c r="G997" s="7"/>
      <c r="H997" s="7"/>
      <c r="I997" s="7"/>
      <c r="K997" s="7"/>
      <c r="L997" s="7"/>
      <c r="M997" s="7"/>
      <c r="N997" s="7"/>
      <c r="O997" s="7"/>
      <c r="P997" s="7"/>
      <c r="R997" s="7"/>
      <c r="S997" s="7"/>
    </row>
    <row r="998" spans="1:19" ht="14.1" customHeight="1" x14ac:dyDescent="0.2">
      <c r="A998" s="116">
        <f ca="1">IF($H998="UNIDADE CONSTRUTIVA",OFFSET(A998,-1,0)+1,LARGE(A$3:A997,1))</f>
        <v>0</v>
      </c>
      <c r="B998" s="116">
        <f t="shared" ca="1" si="140"/>
        <v>22</v>
      </c>
      <c r="C998" s="116">
        <f t="shared" ca="1" si="141"/>
        <v>1</v>
      </c>
      <c r="D998" s="117">
        <f t="shared" ca="1" si="142"/>
        <v>1</v>
      </c>
      <c r="E998" s="117">
        <f t="shared" ca="1" si="143"/>
        <v>1</v>
      </c>
      <c r="F998" s="438"/>
      <c r="G998" s="7"/>
      <c r="H998" s="7"/>
      <c r="I998" s="7"/>
      <c r="K998" s="7"/>
      <c r="L998" s="7"/>
      <c r="M998" s="7"/>
      <c r="N998" s="7"/>
      <c r="O998" s="7"/>
      <c r="P998" s="7"/>
      <c r="R998" s="7"/>
      <c r="S998" s="7"/>
    </row>
    <row r="999" spans="1:19" ht="14.1" customHeight="1" x14ac:dyDescent="0.2">
      <c r="A999" s="116">
        <f ca="1">IF($H999="UNIDADE CONSTRUTIVA",OFFSET(A999,-1,0)+1,LARGE(A$3:A998,1))</f>
        <v>0</v>
      </c>
      <c r="B999" s="116">
        <f t="shared" ca="1" si="140"/>
        <v>22</v>
      </c>
      <c r="C999" s="116">
        <f t="shared" ca="1" si="141"/>
        <v>1</v>
      </c>
      <c r="D999" s="117">
        <f t="shared" ca="1" si="142"/>
        <v>1</v>
      </c>
      <c r="E999" s="117">
        <f t="shared" ca="1" si="143"/>
        <v>1</v>
      </c>
      <c r="F999" s="438"/>
      <c r="G999" s="7"/>
      <c r="H999" s="7"/>
      <c r="I999" s="7"/>
      <c r="K999" s="7"/>
      <c r="L999" s="7"/>
      <c r="M999" s="7"/>
      <c r="N999" s="7"/>
      <c r="O999" s="7"/>
      <c r="P999" s="7"/>
      <c r="R999" s="7"/>
      <c r="S999" s="7"/>
    </row>
    <row r="1000" spans="1:19" ht="14.1" customHeight="1" x14ac:dyDescent="0.2">
      <c r="A1000" s="116">
        <f ca="1">IF($H1000="UNIDADE CONSTRUTIVA",OFFSET(A1000,-1,0)+1,LARGE(A$3:A999,1))</f>
        <v>0</v>
      </c>
      <c r="B1000" s="116">
        <f t="shared" ca="1" si="140"/>
        <v>22</v>
      </c>
      <c r="C1000" s="116">
        <f t="shared" ca="1" si="141"/>
        <v>1</v>
      </c>
      <c r="D1000" s="117">
        <f t="shared" ca="1" si="142"/>
        <v>1</v>
      </c>
      <c r="E1000" s="117">
        <f t="shared" ca="1" si="143"/>
        <v>1</v>
      </c>
      <c r="F1000" s="438"/>
      <c r="G1000" s="7"/>
      <c r="H1000" s="7"/>
      <c r="I1000" s="7"/>
      <c r="K1000" s="7"/>
      <c r="L1000" s="7"/>
      <c r="M1000" s="7"/>
      <c r="N1000" s="7"/>
      <c r="O1000" s="7"/>
      <c r="P1000" s="7"/>
      <c r="R1000" s="7"/>
      <c r="S1000" s="7"/>
    </row>
    <row r="1001" spans="1:19" ht="14.1" customHeight="1" x14ac:dyDescent="0.2">
      <c r="A1001" s="116">
        <f ca="1">IF($H1001="UNIDADE CONSTRUTIVA",OFFSET(A1001,-1,0)+1,LARGE(A$3:A1000,1))</f>
        <v>0</v>
      </c>
      <c r="B1001" s="116">
        <f t="shared" ca="1" si="140"/>
        <v>22</v>
      </c>
      <c r="C1001" s="116">
        <f t="shared" ca="1" si="141"/>
        <v>1</v>
      </c>
      <c r="D1001" s="117">
        <f t="shared" ca="1" si="142"/>
        <v>1</v>
      </c>
      <c r="E1001" s="117">
        <f t="shared" ca="1" si="143"/>
        <v>1</v>
      </c>
      <c r="F1001" s="438"/>
      <c r="G1001" s="7"/>
      <c r="H1001" s="7"/>
      <c r="I1001" s="7"/>
      <c r="K1001" s="7"/>
      <c r="L1001" s="7"/>
      <c r="M1001" s="7"/>
      <c r="N1001" s="7"/>
      <c r="O1001" s="7"/>
      <c r="P1001" s="7"/>
      <c r="R1001" s="7"/>
      <c r="S1001" s="7"/>
    </row>
    <row r="1002" spans="1:19" ht="14.1" customHeight="1" x14ac:dyDescent="0.2">
      <c r="A1002" s="116">
        <f ca="1">IF($H1002="UNIDADE CONSTRUTIVA",OFFSET(A1002,-1,0)+1,LARGE(A$3:A1001,1))</f>
        <v>0</v>
      </c>
      <c r="B1002" s="116">
        <f t="shared" ca="1" si="140"/>
        <v>22</v>
      </c>
      <c r="C1002" s="116">
        <f t="shared" ca="1" si="141"/>
        <v>1</v>
      </c>
      <c r="D1002" s="117">
        <f t="shared" ca="1" si="142"/>
        <v>1</v>
      </c>
      <c r="E1002" s="117">
        <f t="shared" ca="1" si="143"/>
        <v>1</v>
      </c>
      <c r="F1002" s="438"/>
      <c r="G1002" s="7"/>
      <c r="H1002" s="7"/>
      <c r="I1002" s="7"/>
      <c r="K1002" s="7"/>
      <c r="L1002" s="7"/>
      <c r="M1002" s="7"/>
      <c r="N1002" s="7"/>
      <c r="O1002" s="7"/>
      <c r="P1002" s="7"/>
      <c r="R1002" s="7"/>
      <c r="S1002" s="7"/>
    </row>
    <row r="1003" spans="1:19" ht="14.1" customHeight="1" x14ac:dyDescent="0.2">
      <c r="A1003" s="116">
        <f ca="1">IF($H1003="UNIDADE CONSTRUTIVA",OFFSET(A1003,-1,0)+1,LARGE(A$3:A1002,1))</f>
        <v>0</v>
      </c>
      <c r="B1003" s="116">
        <f t="shared" ca="1" si="140"/>
        <v>22</v>
      </c>
      <c r="C1003" s="116">
        <f t="shared" ca="1" si="141"/>
        <v>1</v>
      </c>
      <c r="D1003" s="117">
        <f t="shared" ca="1" si="142"/>
        <v>1</v>
      </c>
      <c r="E1003" s="117">
        <f t="shared" ca="1" si="143"/>
        <v>1</v>
      </c>
      <c r="F1003" s="438"/>
      <c r="G1003" s="7"/>
      <c r="H1003" s="7"/>
      <c r="I1003" s="7"/>
      <c r="K1003" s="7"/>
      <c r="L1003" s="7"/>
      <c r="M1003" s="7"/>
      <c r="N1003" s="7"/>
      <c r="O1003" s="7"/>
      <c r="P1003" s="7"/>
      <c r="R1003" s="7"/>
      <c r="S1003" s="7"/>
    </row>
    <row r="1004" spans="1:19" ht="14.1" customHeight="1" x14ac:dyDescent="0.2">
      <c r="A1004" s="116">
        <f ca="1">IF($H1004="UNIDADE CONSTRUTIVA",OFFSET(A1004,-1,0)+1,LARGE(A$3:A1003,1))</f>
        <v>0</v>
      </c>
      <c r="B1004" s="116">
        <f t="shared" ca="1" si="140"/>
        <v>22</v>
      </c>
      <c r="C1004" s="116">
        <f t="shared" ca="1" si="141"/>
        <v>1</v>
      </c>
      <c r="D1004" s="117">
        <f t="shared" ca="1" si="142"/>
        <v>1</v>
      </c>
      <c r="E1004" s="117">
        <f t="shared" ca="1" si="143"/>
        <v>1</v>
      </c>
      <c r="F1004" s="438"/>
      <c r="G1004" s="7"/>
      <c r="H1004" s="7"/>
      <c r="I1004" s="7"/>
      <c r="K1004" s="7"/>
      <c r="L1004" s="7"/>
      <c r="M1004" s="7"/>
      <c r="N1004" s="7"/>
      <c r="O1004" s="7"/>
      <c r="P1004" s="7"/>
      <c r="R1004" s="7"/>
      <c r="S1004" s="7"/>
    </row>
    <row r="1005" spans="1:19" ht="14.1" customHeight="1" x14ac:dyDescent="0.2">
      <c r="A1005" s="116">
        <f ca="1">IF($H1005="UNIDADE CONSTRUTIVA",OFFSET(A1005,-1,0)+1,LARGE(A$3:A1004,1))</f>
        <v>0</v>
      </c>
      <c r="B1005" s="116">
        <f t="shared" ca="1" si="140"/>
        <v>22</v>
      </c>
      <c r="C1005" s="116">
        <f t="shared" ca="1" si="141"/>
        <v>1</v>
      </c>
      <c r="D1005" s="117">
        <f t="shared" ca="1" si="142"/>
        <v>1</v>
      </c>
      <c r="E1005" s="117">
        <f t="shared" ca="1" si="143"/>
        <v>1</v>
      </c>
      <c r="F1005" s="438"/>
      <c r="G1005" s="7"/>
      <c r="H1005" s="7"/>
      <c r="I1005" s="7"/>
      <c r="K1005" s="7"/>
      <c r="L1005" s="7"/>
      <c r="M1005" s="7"/>
      <c r="N1005" s="7"/>
      <c r="O1005" s="7"/>
      <c r="P1005" s="7"/>
      <c r="R1005" s="7"/>
      <c r="S1005" s="7"/>
    </row>
    <row r="1006" spans="1:19" ht="14.1" customHeight="1" x14ac:dyDescent="0.2">
      <c r="A1006" s="116">
        <f ca="1">IF($H1006="UNIDADE CONSTRUTIVA",OFFSET(A1006,-1,0)+1,LARGE(A$3:A1005,1))</f>
        <v>0</v>
      </c>
      <c r="B1006" s="116">
        <f t="shared" ref="B1006:B1069" ca="1" si="144">IF(H1006="UNIDADE CONSTRUTIVA",0,IF(H1006="CÉLULA CONSTRUTIVA",OFFSET(B1006,-1,0)+1,OFFSET(B1006,-1,0)))</f>
        <v>22</v>
      </c>
      <c r="C1006" s="116">
        <f t="shared" ref="C1006:C1069" ca="1" si="145">IF(H1006="CÉLULA CONSTRUTIVA",0,IF(H1006="ETAPA",OFFSET(C1006,-1,0)+1,OFFSET(C1006,-1,0)))</f>
        <v>1</v>
      </c>
      <c r="D1006" s="117">
        <f t="shared" ref="D1006:D1069" ca="1" si="146">IF(H1006="ETAPA",0,IF(H1006="SUBETAPA",OFFSET(D1006,-1,0)+1,OFFSET(D1006,-1,0)))</f>
        <v>1</v>
      </c>
      <c r="E1006" s="117">
        <f t="shared" ref="E1006:E1069" ca="1" si="147">IF(H1006="Subetapa",0,IF(H1006="serviço",OFFSET(E1006,-1,0)+1,OFFSET(E1006,-1,0)))</f>
        <v>1</v>
      </c>
      <c r="F1006" s="438"/>
      <c r="G1006" s="7"/>
      <c r="H1006" s="7"/>
      <c r="I1006" s="7"/>
      <c r="K1006" s="7"/>
      <c r="L1006" s="7"/>
      <c r="M1006" s="7"/>
      <c r="N1006" s="7"/>
      <c r="O1006" s="7"/>
      <c r="P1006" s="7"/>
      <c r="R1006" s="7"/>
      <c r="S1006" s="7"/>
    </row>
    <row r="1007" spans="1:19" ht="14.1" customHeight="1" x14ac:dyDescent="0.2">
      <c r="A1007" s="116">
        <f ca="1">IF($H1007="UNIDADE CONSTRUTIVA",OFFSET(A1007,-1,0)+1,LARGE(A$3:A1006,1))</f>
        <v>0</v>
      </c>
      <c r="B1007" s="116">
        <f t="shared" ca="1" si="144"/>
        <v>22</v>
      </c>
      <c r="C1007" s="116">
        <f t="shared" ca="1" si="145"/>
        <v>1</v>
      </c>
      <c r="D1007" s="117">
        <f t="shared" ca="1" si="146"/>
        <v>1</v>
      </c>
      <c r="E1007" s="117">
        <f t="shared" ca="1" si="147"/>
        <v>1</v>
      </c>
      <c r="F1007" s="438"/>
      <c r="G1007" s="7"/>
      <c r="H1007" s="7"/>
      <c r="I1007" s="7"/>
      <c r="K1007" s="7"/>
      <c r="L1007" s="7"/>
      <c r="M1007" s="7"/>
      <c r="N1007" s="7"/>
      <c r="O1007" s="7"/>
      <c r="P1007" s="7"/>
      <c r="R1007" s="7"/>
      <c r="S1007" s="7"/>
    </row>
    <row r="1008" spans="1:19" ht="14.1" customHeight="1" x14ac:dyDescent="0.2">
      <c r="A1008" s="116">
        <f ca="1">IF($H1008="UNIDADE CONSTRUTIVA",OFFSET(A1008,-1,0)+1,LARGE(A$3:A1007,1))</f>
        <v>0</v>
      </c>
      <c r="B1008" s="116">
        <f t="shared" ca="1" si="144"/>
        <v>22</v>
      </c>
      <c r="C1008" s="116">
        <f t="shared" ca="1" si="145"/>
        <v>1</v>
      </c>
      <c r="D1008" s="117">
        <f t="shared" ca="1" si="146"/>
        <v>1</v>
      </c>
      <c r="E1008" s="117">
        <f t="shared" ca="1" si="147"/>
        <v>1</v>
      </c>
      <c r="F1008" s="438"/>
      <c r="G1008" s="7"/>
      <c r="H1008" s="7"/>
      <c r="I1008" s="7"/>
      <c r="K1008" s="7"/>
      <c r="L1008" s="7"/>
      <c r="M1008" s="7"/>
      <c r="N1008" s="7"/>
      <c r="O1008" s="7"/>
      <c r="P1008" s="7"/>
      <c r="R1008" s="7"/>
      <c r="S1008" s="7"/>
    </row>
    <row r="1009" spans="1:19" ht="14.1" customHeight="1" x14ac:dyDescent="0.2">
      <c r="A1009" s="116">
        <f ca="1">IF($H1009="UNIDADE CONSTRUTIVA",OFFSET(A1009,-1,0)+1,LARGE(A$3:A1008,1))</f>
        <v>0</v>
      </c>
      <c r="B1009" s="116">
        <f t="shared" ca="1" si="144"/>
        <v>22</v>
      </c>
      <c r="C1009" s="116">
        <f t="shared" ca="1" si="145"/>
        <v>1</v>
      </c>
      <c r="D1009" s="117">
        <f t="shared" ca="1" si="146"/>
        <v>1</v>
      </c>
      <c r="E1009" s="117">
        <f t="shared" ca="1" si="147"/>
        <v>1</v>
      </c>
      <c r="F1009" s="438"/>
      <c r="G1009" s="7"/>
      <c r="H1009" s="7"/>
      <c r="I1009" s="7"/>
      <c r="K1009" s="7"/>
      <c r="L1009" s="7"/>
      <c r="M1009" s="7"/>
      <c r="N1009" s="7"/>
      <c r="O1009" s="7"/>
      <c r="P1009" s="7"/>
      <c r="R1009" s="7"/>
      <c r="S1009" s="7"/>
    </row>
    <row r="1010" spans="1:19" ht="14.1" customHeight="1" x14ac:dyDescent="0.2">
      <c r="A1010" s="116">
        <f ca="1">IF($H1010="UNIDADE CONSTRUTIVA",OFFSET(A1010,-1,0)+1,LARGE(A$3:A1009,1))</f>
        <v>0</v>
      </c>
      <c r="B1010" s="116">
        <f t="shared" ca="1" si="144"/>
        <v>22</v>
      </c>
      <c r="C1010" s="116">
        <f t="shared" ca="1" si="145"/>
        <v>1</v>
      </c>
      <c r="D1010" s="117">
        <f t="shared" ca="1" si="146"/>
        <v>1</v>
      </c>
      <c r="E1010" s="117">
        <f t="shared" ca="1" si="147"/>
        <v>1</v>
      </c>
      <c r="F1010" s="438"/>
      <c r="G1010" s="7"/>
      <c r="H1010" s="7"/>
      <c r="I1010" s="7"/>
      <c r="K1010" s="7"/>
      <c r="L1010" s="7"/>
      <c r="M1010" s="7"/>
      <c r="N1010" s="7"/>
      <c r="O1010" s="7"/>
      <c r="P1010" s="7"/>
      <c r="R1010" s="7"/>
      <c r="S1010" s="7"/>
    </row>
    <row r="1011" spans="1:19" ht="14.1" customHeight="1" x14ac:dyDescent="0.2">
      <c r="A1011" s="116">
        <f ca="1">IF($H1011="UNIDADE CONSTRUTIVA",OFFSET(A1011,-1,0)+1,LARGE(A$3:A1010,1))</f>
        <v>0</v>
      </c>
      <c r="B1011" s="116">
        <f t="shared" ca="1" si="144"/>
        <v>22</v>
      </c>
      <c r="C1011" s="116">
        <f t="shared" ca="1" si="145"/>
        <v>1</v>
      </c>
      <c r="D1011" s="117">
        <f t="shared" ca="1" si="146"/>
        <v>1</v>
      </c>
      <c r="E1011" s="117">
        <f t="shared" ca="1" si="147"/>
        <v>1</v>
      </c>
      <c r="F1011" s="438"/>
      <c r="G1011" s="7"/>
      <c r="H1011" s="7"/>
      <c r="I1011" s="7"/>
      <c r="K1011" s="7"/>
      <c r="L1011" s="7"/>
      <c r="M1011" s="7"/>
      <c r="N1011" s="7"/>
      <c r="O1011" s="7"/>
      <c r="P1011" s="7"/>
      <c r="R1011" s="7"/>
      <c r="S1011" s="7"/>
    </row>
    <row r="1012" spans="1:19" ht="14.1" customHeight="1" x14ac:dyDescent="0.2">
      <c r="A1012" s="116">
        <f ca="1">IF($H1012="UNIDADE CONSTRUTIVA",OFFSET(A1012,-1,0)+1,LARGE(A$3:A1011,1))</f>
        <v>0</v>
      </c>
      <c r="B1012" s="116">
        <f t="shared" ca="1" si="144"/>
        <v>22</v>
      </c>
      <c r="C1012" s="116">
        <f t="shared" ca="1" si="145"/>
        <v>1</v>
      </c>
      <c r="D1012" s="117">
        <f t="shared" ca="1" si="146"/>
        <v>1</v>
      </c>
      <c r="E1012" s="117">
        <f t="shared" ca="1" si="147"/>
        <v>1</v>
      </c>
      <c r="F1012" s="438"/>
      <c r="G1012" s="7"/>
      <c r="H1012" s="7"/>
      <c r="I1012" s="7"/>
      <c r="K1012" s="7"/>
      <c r="L1012" s="7"/>
      <c r="M1012" s="7"/>
      <c r="N1012" s="7"/>
      <c r="O1012" s="7"/>
      <c r="P1012" s="7"/>
      <c r="R1012" s="7"/>
      <c r="S1012" s="7"/>
    </row>
    <row r="1013" spans="1:19" ht="14.1" customHeight="1" x14ac:dyDescent="0.2">
      <c r="A1013" s="116">
        <f ca="1">IF($H1013="UNIDADE CONSTRUTIVA",OFFSET(A1013,-1,0)+1,LARGE(A$3:A1012,1))</f>
        <v>0</v>
      </c>
      <c r="B1013" s="116">
        <f t="shared" ca="1" si="144"/>
        <v>22</v>
      </c>
      <c r="C1013" s="116">
        <f t="shared" ca="1" si="145"/>
        <v>1</v>
      </c>
      <c r="D1013" s="117">
        <f t="shared" ca="1" si="146"/>
        <v>1</v>
      </c>
      <c r="E1013" s="117">
        <f t="shared" ca="1" si="147"/>
        <v>1</v>
      </c>
      <c r="F1013" s="438"/>
      <c r="G1013" s="7"/>
      <c r="H1013" s="7"/>
      <c r="I1013" s="7"/>
      <c r="K1013" s="7"/>
      <c r="L1013" s="7"/>
      <c r="M1013" s="7"/>
      <c r="N1013" s="7"/>
      <c r="O1013" s="7"/>
      <c r="P1013" s="7"/>
      <c r="R1013" s="7"/>
      <c r="S1013" s="7"/>
    </row>
    <row r="1014" spans="1:19" ht="14.1" customHeight="1" x14ac:dyDescent="0.2">
      <c r="A1014" s="116">
        <f ca="1">IF($H1014="UNIDADE CONSTRUTIVA",OFFSET(A1014,-1,0)+1,LARGE(A$3:A1013,1))</f>
        <v>0</v>
      </c>
      <c r="B1014" s="116">
        <f t="shared" ca="1" si="144"/>
        <v>22</v>
      </c>
      <c r="C1014" s="116">
        <f t="shared" ca="1" si="145"/>
        <v>1</v>
      </c>
      <c r="D1014" s="117">
        <f t="shared" ca="1" si="146"/>
        <v>1</v>
      </c>
      <c r="E1014" s="117">
        <f t="shared" ca="1" si="147"/>
        <v>1</v>
      </c>
      <c r="F1014" s="438"/>
      <c r="G1014" s="7"/>
      <c r="H1014" s="7"/>
      <c r="I1014" s="7"/>
      <c r="K1014" s="7"/>
      <c r="L1014" s="7"/>
      <c r="M1014" s="7"/>
      <c r="N1014" s="7"/>
      <c r="O1014" s="7"/>
      <c r="P1014" s="7"/>
      <c r="R1014" s="7"/>
      <c r="S1014" s="7"/>
    </row>
    <row r="1015" spans="1:19" ht="14.1" customHeight="1" x14ac:dyDescent="0.2">
      <c r="A1015" s="116">
        <f ca="1">IF($H1015="UNIDADE CONSTRUTIVA",OFFSET(A1015,-1,0)+1,LARGE(A$3:A1014,1))</f>
        <v>0</v>
      </c>
      <c r="B1015" s="116">
        <f t="shared" ca="1" si="144"/>
        <v>22</v>
      </c>
      <c r="C1015" s="116">
        <f t="shared" ca="1" si="145"/>
        <v>1</v>
      </c>
      <c r="D1015" s="117">
        <f t="shared" ca="1" si="146"/>
        <v>1</v>
      </c>
      <c r="E1015" s="117">
        <f t="shared" ca="1" si="147"/>
        <v>1</v>
      </c>
      <c r="F1015" s="438"/>
      <c r="G1015" s="7"/>
      <c r="H1015" s="7"/>
      <c r="I1015" s="7"/>
      <c r="K1015" s="7"/>
      <c r="L1015" s="7"/>
      <c r="M1015" s="7"/>
      <c r="N1015" s="7"/>
      <c r="O1015" s="7"/>
      <c r="P1015" s="7"/>
      <c r="R1015" s="7"/>
      <c r="S1015" s="7"/>
    </row>
    <row r="1016" spans="1:19" ht="14.1" customHeight="1" x14ac:dyDescent="0.2">
      <c r="A1016" s="116">
        <f ca="1">IF($H1016="UNIDADE CONSTRUTIVA",OFFSET(A1016,-1,0)+1,LARGE(A$3:A1015,1))</f>
        <v>0</v>
      </c>
      <c r="B1016" s="116">
        <f t="shared" ca="1" si="144"/>
        <v>22</v>
      </c>
      <c r="C1016" s="116">
        <f t="shared" ca="1" si="145"/>
        <v>1</v>
      </c>
      <c r="D1016" s="117">
        <f t="shared" ca="1" si="146"/>
        <v>1</v>
      </c>
      <c r="E1016" s="117">
        <f t="shared" ca="1" si="147"/>
        <v>1</v>
      </c>
      <c r="F1016" s="438"/>
      <c r="G1016" s="7"/>
      <c r="H1016" s="7"/>
      <c r="I1016" s="7"/>
      <c r="K1016" s="7"/>
      <c r="L1016" s="7"/>
      <c r="M1016" s="7"/>
      <c r="N1016" s="7"/>
      <c r="O1016" s="7"/>
      <c r="P1016" s="7"/>
      <c r="R1016" s="7"/>
      <c r="S1016" s="7"/>
    </row>
    <row r="1017" spans="1:19" ht="14.1" customHeight="1" x14ac:dyDescent="0.2">
      <c r="A1017" s="116">
        <f ca="1">IF($H1017="UNIDADE CONSTRUTIVA",OFFSET(A1017,-1,0)+1,LARGE(A$3:A1016,1))</f>
        <v>0</v>
      </c>
      <c r="B1017" s="116">
        <f t="shared" ca="1" si="144"/>
        <v>22</v>
      </c>
      <c r="C1017" s="116">
        <f t="shared" ca="1" si="145"/>
        <v>1</v>
      </c>
      <c r="D1017" s="117">
        <f t="shared" ca="1" si="146"/>
        <v>1</v>
      </c>
      <c r="E1017" s="117">
        <f t="shared" ca="1" si="147"/>
        <v>1</v>
      </c>
      <c r="F1017" s="438"/>
      <c r="G1017" s="7"/>
      <c r="H1017" s="7"/>
      <c r="I1017" s="7"/>
      <c r="K1017" s="7"/>
      <c r="L1017" s="7"/>
      <c r="M1017" s="7"/>
      <c r="N1017" s="7"/>
      <c r="O1017" s="7"/>
      <c r="P1017" s="7"/>
      <c r="R1017" s="7"/>
      <c r="S1017" s="7"/>
    </row>
    <row r="1018" spans="1:19" ht="14.1" customHeight="1" x14ac:dyDescent="0.2">
      <c r="A1018" s="116">
        <f ca="1">IF($H1018="UNIDADE CONSTRUTIVA",OFFSET(A1018,-1,0)+1,LARGE(A$3:A1017,1))</f>
        <v>0</v>
      </c>
      <c r="B1018" s="116">
        <f t="shared" ca="1" si="144"/>
        <v>22</v>
      </c>
      <c r="C1018" s="116">
        <f t="shared" ca="1" si="145"/>
        <v>1</v>
      </c>
      <c r="D1018" s="117">
        <f t="shared" ca="1" si="146"/>
        <v>1</v>
      </c>
      <c r="E1018" s="117">
        <f t="shared" ca="1" si="147"/>
        <v>1</v>
      </c>
      <c r="F1018" s="438"/>
      <c r="G1018" s="7"/>
      <c r="H1018" s="7"/>
      <c r="I1018" s="7"/>
      <c r="K1018" s="7"/>
      <c r="L1018" s="7"/>
      <c r="M1018" s="7"/>
      <c r="N1018" s="7"/>
      <c r="O1018" s="7"/>
      <c r="P1018" s="7"/>
      <c r="R1018" s="7"/>
      <c r="S1018" s="7"/>
    </row>
    <row r="1019" spans="1:19" ht="14.1" customHeight="1" x14ac:dyDescent="0.2">
      <c r="A1019" s="116">
        <f ca="1">IF($H1019="UNIDADE CONSTRUTIVA",OFFSET(A1019,-1,0)+1,LARGE(A$3:A1018,1))</f>
        <v>0</v>
      </c>
      <c r="B1019" s="116">
        <f t="shared" ca="1" si="144"/>
        <v>22</v>
      </c>
      <c r="C1019" s="116">
        <f t="shared" ca="1" si="145"/>
        <v>1</v>
      </c>
      <c r="D1019" s="117">
        <f t="shared" ca="1" si="146"/>
        <v>1</v>
      </c>
      <c r="E1019" s="117">
        <f t="shared" ca="1" si="147"/>
        <v>1</v>
      </c>
      <c r="F1019" s="438"/>
      <c r="G1019" s="7"/>
      <c r="H1019" s="7"/>
      <c r="I1019" s="7"/>
      <c r="K1019" s="7"/>
      <c r="L1019" s="7"/>
      <c r="M1019" s="7"/>
      <c r="N1019" s="7"/>
      <c r="O1019" s="7"/>
      <c r="P1019" s="7"/>
      <c r="R1019" s="7"/>
      <c r="S1019" s="7"/>
    </row>
    <row r="1020" spans="1:19" ht="14.1" customHeight="1" x14ac:dyDescent="0.2">
      <c r="A1020" s="116">
        <f ca="1">IF($H1020="UNIDADE CONSTRUTIVA",OFFSET(A1020,-1,0)+1,LARGE(A$3:A1019,1))</f>
        <v>0</v>
      </c>
      <c r="B1020" s="116">
        <f t="shared" ca="1" si="144"/>
        <v>22</v>
      </c>
      <c r="C1020" s="116">
        <f t="shared" ca="1" si="145"/>
        <v>1</v>
      </c>
      <c r="D1020" s="117">
        <f t="shared" ca="1" si="146"/>
        <v>1</v>
      </c>
      <c r="E1020" s="117">
        <f t="shared" ca="1" si="147"/>
        <v>1</v>
      </c>
      <c r="F1020" s="438"/>
      <c r="G1020" s="7"/>
      <c r="H1020" s="7"/>
      <c r="I1020" s="7"/>
      <c r="K1020" s="7"/>
      <c r="L1020" s="7"/>
      <c r="M1020" s="7"/>
      <c r="N1020" s="7"/>
      <c r="O1020" s="7"/>
      <c r="P1020" s="7"/>
      <c r="R1020" s="7"/>
      <c r="S1020" s="7"/>
    </row>
    <row r="1021" spans="1:19" ht="14.1" customHeight="1" x14ac:dyDescent="0.2">
      <c r="A1021" s="116">
        <f ca="1">IF($H1021="UNIDADE CONSTRUTIVA",OFFSET(A1021,-1,0)+1,LARGE(A$3:A1020,1))</f>
        <v>0</v>
      </c>
      <c r="B1021" s="116">
        <f t="shared" ca="1" si="144"/>
        <v>22</v>
      </c>
      <c r="C1021" s="116">
        <f t="shared" ca="1" si="145"/>
        <v>1</v>
      </c>
      <c r="D1021" s="117">
        <f t="shared" ca="1" si="146"/>
        <v>1</v>
      </c>
      <c r="E1021" s="117">
        <f t="shared" ca="1" si="147"/>
        <v>1</v>
      </c>
      <c r="F1021" s="438"/>
      <c r="G1021" s="7"/>
      <c r="H1021" s="7"/>
      <c r="I1021" s="7"/>
      <c r="K1021" s="7"/>
      <c r="L1021" s="7"/>
      <c r="M1021" s="7"/>
      <c r="N1021" s="7"/>
      <c r="O1021" s="7"/>
      <c r="P1021" s="7"/>
      <c r="R1021" s="7"/>
      <c r="S1021" s="7"/>
    </row>
    <row r="1022" spans="1:19" ht="14.1" customHeight="1" x14ac:dyDescent="0.2">
      <c r="A1022" s="116">
        <f ca="1">IF($H1022="UNIDADE CONSTRUTIVA",OFFSET(A1022,-1,0)+1,LARGE(A$3:A1021,1))</f>
        <v>0</v>
      </c>
      <c r="B1022" s="116">
        <f t="shared" ca="1" si="144"/>
        <v>22</v>
      </c>
      <c r="C1022" s="116">
        <f t="shared" ca="1" si="145"/>
        <v>1</v>
      </c>
      <c r="D1022" s="117">
        <f t="shared" ca="1" si="146"/>
        <v>1</v>
      </c>
      <c r="E1022" s="117">
        <f t="shared" ca="1" si="147"/>
        <v>1</v>
      </c>
      <c r="F1022" s="438"/>
      <c r="G1022" s="7"/>
      <c r="H1022" s="7"/>
      <c r="I1022" s="7"/>
      <c r="K1022" s="7"/>
      <c r="L1022" s="7"/>
      <c r="M1022" s="7"/>
      <c r="N1022" s="7"/>
      <c r="O1022" s="7"/>
      <c r="P1022" s="7"/>
      <c r="R1022" s="7"/>
      <c r="S1022" s="7"/>
    </row>
    <row r="1023" spans="1:19" ht="14.1" customHeight="1" x14ac:dyDescent="0.2">
      <c r="A1023" s="116">
        <f ca="1">IF($H1023="UNIDADE CONSTRUTIVA",OFFSET(A1023,-1,0)+1,LARGE(A$3:A1022,1))</f>
        <v>0</v>
      </c>
      <c r="B1023" s="116">
        <f t="shared" ca="1" si="144"/>
        <v>22</v>
      </c>
      <c r="C1023" s="116">
        <f t="shared" ca="1" si="145"/>
        <v>1</v>
      </c>
      <c r="D1023" s="117">
        <f t="shared" ca="1" si="146"/>
        <v>1</v>
      </c>
      <c r="E1023" s="117">
        <f t="shared" ca="1" si="147"/>
        <v>1</v>
      </c>
      <c r="F1023" s="438"/>
      <c r="G1023" s="7"/>
      <c r="H1023" s="7"/>
      <c r="I1023" s="7"/>
      <c r="K1023" s="7"/>
      <c r="L1023" s="7"/>
      <c r="M1023" s="7"/>
      <c r="N1023" s="7"/>
      <c r="O1023" s="7"/>
      <c r="P1023" s="7"/>
      <c r="R1023" s="7"/>
      <c r="S1023" s="7"/>
    </row>
    <row r="1024" spans="1:19" ht="14.1" customHeight="1" x14ac:dyDescent="0.2">
      <c r="A1024" s="116">
        <f ca="1">IF($H1024="UNIDADE CONSTRUTIVA",OFFSET(A1024,-1,0)+1,LARGE(A$3:A1023,1))</f>
        <v>0</v>
      </c>
      <c r="B1024" s="116">
        <f t="shared" ca="1" si="144"/>
        <v>22</v>
      </c>
      <c r="C1024" s="116">
        <f t="shared" ca="1" si="145"/>
        <v>1</v>
      </c>
      <c r="D1024" s="117">
        <f t="shared" ca="1" si="146"/>
        <v>1</v>
      </c>
      <c r="E1024" s="117">
        <f t="shared" ca="1" si="147"/>
        <v>1</v>
      </c>
      <c r="F1024" s="438"/>
      <c r="G1024" s="7"/>
      <c r="H1024" s="7"/>
      <c r="I1024" s="7"/>
      <c r="K1024" s="7"/>
      <c r="L1024" s="7"/>
      <c r="M1024" s="7"/>
      <c r="N1024" s="7"/>
      <c r="O1024" s="7"/>
      <c r="P1024" s="7"/>
      <c r="R1024" s="7"/>
      <c r="S1024" s="7"/>
    </row>
    <row r="1025" spans="1:19" ht="14.1" customHeight="1" x14ac:dyDescent="0.2">
      <c r="A1025" s="116">
        <f ca="1">IF($H1025="UNIDADE CONSTRUTIVA",OFFSET(A1025,-1,0)+1,LARGE(A$3:A1024,1))</f>
        <v>0</v>
      </c>
      <c r="B1025" s="116">
        <f t="shared" ca="1" si="144"/>
        <v>22</v>
      </c>
      <c r="C1025" s="116">
        <f t="shared" ca="1" si="145"/>
        <v>1</v>
      </c>
      <c r="D1025" s="117">
        <f t="shared" ca="1" si="146"/>
        <v>1</v>
      </c>
      <c r="E1025" s="117">
        <f t="shared" ca="1" si="147"/>
        <v>1</v>
      </c>
      <c r="F1025" s="438"/>
      <c r="G1025" s="7"/>
      <c r="H1025" s="7"/>
      <c r="I1025" s="7"/>
      <c r="K1025" s="7"/>
      <c r="L1025" s="7"/>
      <c r="M1025" s="7"/>
      <c r="N1025" s="7"/>
      <c r="O1025" s="7"/>
      <c r="P1025" s="7"/>
      <c r="R1025" s="7"/>
      <c r="S1025" s="7"/>
    </row>
    <row r="1026" spans="1:19" ht="14.1" customHeight="1" x14ac:dyDescent="0.2">
      <c r="A1026" s="116">
        <f ca="1">IF($H1026="UNIDADE CONSTRUTIVA",OFFSET(A1026,-1,0)+1,LARGE(A$3:A1025,1))</f>
        <v>0</v>
      </c>
      <c r="B1026" s="116">
        <f t="shared" ca="1" si="144"/>
        <v>22</v>
      </c>
      <c r="C1026" s="116">
        <f t="shared" ca="1" si="145"/>
        <v>1</v>
      </c>
      <c r="D1026" s="117">
        <f t="shared" ca="1" si="146"/>
        <v>1</v>
      </c>
      <c r="E1026" s="117">
        <f t="shared" ca="1" si="147"/>
        <v>1</v>
      </c>
      <c r="F1026" s="438"/>
      <c r="G1026" s="7"/>
      <c r="H1026" s="7"/>
      <c r="I1026" s="7"/>
      <c r="K1026" s="7"/>
      <c r="L1026" s="7"/>
      <c r="M1026" s="7"/>
      <c r="N1026" s="7"/>
      <c r="O1026" s="7"/>
      <c r="P1026" s="7"/>
      <c r="R1026" s="7"/>
      <c r="S1026" s="7"/>
    </row>
    <row r="1027" spans="1:19" ht="14.1" customHeight="1" x14ac:dyDescent="0.2">
      <c r="A1027" s="116">
        <f ca="1">IF($H1027="UNIDADE CONSTRUTIVA",OFFSET(A1027,-1,0)+1,LARGE(A$3:A1026,1))</f>
        <v>0</v>
      </c>
      <c r="B1027" s="116">
        <f t="shared" ca="1" si="144"/>
        <v>22</v>
      </c>
      <c r="C1027" s="116">
        <f t="shared" ca="1" si="145"/>
        <v>1</v>
      </c>
      <c r="D1027" s="117">
        <f t="shared" ca="1" si="146"/>
        <v>1</v>
      </c>
      <c r="E1027" s="117">
        <f t="shared" ca="1" si="147"/>
        <v>1</v>
      </c>
      <c r="F1027" s="438"/>
      <c r="G1027" s="7"/>
      <c r="H1027" s="7"/>
      <c r="I1027" s="7"/>
      <c r="K1027" s="7"/>
      <c r="L1027" s="7"/>
      <c r="M1027" s="7"/>
      <c r="N1027" s="7"/>
      <c r="O1027" s="7"/>
      <c r="P1027" s="7"/>
      <c r="R1027" s="7"/>
      <c r="S1027" s="7"/>
    </row>
    <row r="1028" spans="1:19" ht="14.1" customHeight="1" x14ac:dyDescent="0.2">
      <c r="A1028" s="116">
        <f ca="1">IF($H1028="UNIDADE CONSTRUTIVA",OFFSET(A1028,-1,0)+1,LARGE(A$3:A1027,1))</f>
        <v>0</v>
      </c>
      <c r="B1028" s="116">
        <f t="shared" ca="1" si="144"/>
        <v>22</v>
      </c>
      <c r="C1028" s="116">
        <f t="shared" ca="1" si="145"/>
        <v>1</v>
      </c>
      <c r="D1028" s="117">
        <f t="shared" ca="1" si="146"/>
        <v>1</v>
      </c>
      <c r="E1028" s="117">
        <f t="shared" ca="1" si="147"/>
        <v>1</v>
      </c>
      <c r="G1028" s="7"/>
      <c r="H1028" s="7"/>
      <c r="I1028" s="7"/>
      <c r="K1028" s="7"/>
      <c r="L1028" s="7"/>
      <c r="M1028" s="7"/>
      <c r="N1028" s="7"/>
      <c r="O1028" s="7"/>
      <c r="P1028" s="7"/>
      <c r="R1028" s="7"/>
      <c r="S1028" s="7"/>
    </row>
    <row r="1029" spans="1:19" ht="14.1" customHeight="1" x14ac:dyDescent="0.2">
      <c r="A1029" s="116">
        <f ca="1">IF($H1029="UNIDADE CONSTRUTIVA",OFFSET(A1029,-1,0)+1,LARGE(A$3:A1028,1))</f>
        <v>0</v>
      </c>
      <c r="B1029" s="116">
        <f t="shared" ca="1" si="144"/>
        <v>22</v>
      </c>
      <c r="C1029" s="116">
        <f t="shared" ca="1" si="145"/>
        <v>1</v>
      </c>
      <c r="D1029" s="117">
        <f t="shared" ca="1" si="146"/>
        <v>1</v>
      </c>
      <c r="E1029" s="117">
        <f t="shared" ca="1" si="147"/>
        <v>1</v>
      </c>
      <c r="G1029" s="7"/>
      <c r="H1029" s="7"/>
      <c r="I1029" s="7"/>
      <c r="K1029" s="7"/>
      <c r="L1029" s="7"/>
      <c r="M1029" s="7"/>
      <c r="N1029" s="7"/>
      <c r="O1029" s="7"/>
      <c r="P1029" s="7"/>
      <c r="R1029" s="7"/>
      <c r="S1029" s="7"/>
    </row>
    <row r="1030" spans="1:19" ht="14.1" customHeight="1" x14ac:dyDescent="0.2">
      <c r="A1030" s="116">
        <f ca="1">IF($H1030="UNIDADE CONSTRUTIVA",OFFSET(A1030,-1,0)+1,LARGE(A$3:A1029,1))</f>
        <v>0</v>
      </c>
      <c r="B1030" s="116">
        <f t="shared" ca="1" si="144"/>
        <v>22</v>
      </c>
      <c r="C1030" s="116">
        <f t="shared" ca="1" si="145"/>
        <v>1</v>
      </c>
      <c r="D1030" s="117">
        <f t="shared" ca="1" si="146"/>
        <v>1</v>
      </c>
      <c r="E1030" s="117">
        <f t="shared" ca="1" si="147"/>
        <v>1</v>
      </c>
      <c r="G1030" s="7"/>
      <c r="H1030" s="7"/>
      <c r="I1030" s="7"/>
      <c r="K1030" s="7"/>
      <c r="L1030" s="7"/>
      <c r="M1030" s="7"/>
      <c r="N1030" s="7"/>
      <c r="O1030" s="7"/>
      <c r="P1030" s="7"/>
      <c r="R1030" s="7"/>
      <c r="S1030" s="7"/>
    </row>
    <row r="1031" spans="1:19" ht="14.1" customHeight="1" x14ac:dyDescent="0.2">
      <c r="A1031" s="116">
        <f ca="1">IF($H1031="UNIDADE CONSTRUTIVA",OFFSET(A1031,-1,0)+1,LARGE(A$3:A1030,1))</f>
        <v>0</v>
      </c>
      <c r="B1031" s="116">
        <f t="shared" ca="1" si="144"/>
        <v>22</v>
      </c>
      <c r="C1031" s="116">
        <f t="shared" ca="1" si="145"/>
        <v>1</v>
      </c>
      <c r="D1031" s="117">
        <f t="shared" ca="1" si="146"/>
        <v>1</v>
      </c>
      <c r="E1031" s="117">
        <f t="shared" ca="1" si="147"/>
        <v>1</v>
      </c>
      <c r="G1031" s="7"/>
      <c r="H1031" s="7"/>
      <c r="I1031" s="7"/>
      <c r="K1031" s="7"/>
      <c r="L1031" s="7"/>
      <c r="M1031" s="7"/>
      <c r="N1031" s="7"/>
      <c r="O1031" s="7"/>
      <c r="P1031" s="7"/>
      <c r="R1031" s="7"/>
      <c r="S1031" s="7"/>
    </row>
    <row r="1032" spans="1:19" ht="14.1" customHeight="1" x14ac:dyDescent="0.2">
      <c r="A1032" s="116">
        <f ca="1">IF($H1032="UNIDADE CONSTRUTIVA",OFFSET(A1032,-1,0)+1,LARGE(A$3:A1031,1))</f>
        <v>0</v>
      </c>
      <c r="B1032" s="116">
        <f t="shared" ca="1" si="144"/>
        <v>22</v>
      </c>
      <c r="C1032" s="116">
        <f t="shared" ca="1" si="145"/>
        <v>1</v>
      </c>
      <c r="D1032" s="117">
        <f t="shared" ca="1" si="146"/>
        <v>1</v>
      </c>
      <c r="E1032" s="117">
        <f t="shared" ca="1" si="147"/>
        <v>1</v>
      </c>
      <c r="G1032" s="7"/>
      <c r="H1032" s="7"/>
      <c r="I1032" s="7"/>
      <c r="K1032" s="7"/>
      <c r="L1032" s="7"/>
      <c r="M1032" s="7"/>
      <c r="N1032" s="7"/>
      <c r="O1032" s="7"/>
      <c r="P1032" s="7"/>
      <c r="R1032" s="7"/>
      <c r="S1032" s="7"/>
    </row>
    <row r="1033" spans="1:19" ht="14.1" customHeight="1" x14ac:dyDescent="0.2">
      <c r="A1033" s="116">
        <f ca="1">IF($H1033="UNIDADE CONSTRUTIVA",OFFSET(A1033,-1,0)+1,LARGE(A$3:A1032,1))</f>
        <v>0</v>
      </c>
      <c r="B1033" s="116">
        <f t="shared" ca="1" si="144"/>
        <v>22</v>
      </c>
      <c r="C1033" s="116">
        <f t="shared" ca="1" si="145"/>
        <v>1</v>
      </c>
      <c r="D1033" s="117">
        <f t="shared" ca="1" si="146"/>
        <v>1</v>
      </c>
      <c r="E1033" s="117">
        <f t="shared" ca="1" si="147"/>
        <v>1</v>
      </c>
      <c r="G1033" s="7"/>
      <c r="H1033" s="7"/>
      <c r="I1033" s="7"/>
      <c r="K1033" s="7"/>
      <c r="L1033" s="7"/>
      <c r="M1033" s="7"/>
      <c r="N1033" s="7"/>
      <c r="O1033" s="7"/>
      <c r="P1033" s="7"/>
      <c r="R1033" s="7"/>
      <c r="S1033" s="7"/>
    </row>
    <row r="1034" spans="1:19" ht="14.1" customHeight="1" x14ac:dyDescent="0.2">
      <c r="A1034" s="116">
        <f ca="1">IF($H1034="UNIDADE CONSTRUTIVA",OFFSET(A1034,-1,0)+1,LARGE(A$3:A1033,1))</f>
        <v>0</v>
      </c>
      <c r="B1034" s="116">
        <f t="shared" ca="1" si="144"/>
        <v>22</v>
      </c>
      <c r="C1034" s="116">
        <f t="shared" ca="1" si="145"/>
        <v>1</v>
      </c>
      <c r="D1034" s="117">
        <f t="shared" ca="1" si="146"/>
        <v>1</v>
      </c>
      <c r="E1034" s="117">
        <f t="shared" ca="1" si="147"/>
        <v>1</v>
      </c>
      <c r="G1034" s="7"/>
      <c r="H1034" s="7"/>
      <c r="I1034" s="7"/>
      <c r="K1034" s="7"/>
      <c r="L1034" s="7"/>
      <c r="M1034" s="7"/>
      <c r="N1034" s="7"/>
      <c r="O1034" s="7"/>
      <c r="P1034" s="7"/>
      <c r="R1034" s="7"/>
      <c r="S1034" s="7"/>
    </row>
    <row r="1035" spans="1:19" ht="14.1" customHeight="1" x14ac:dyDescent="0.2">
      <c r="A1035" s="116">
        <f ca="1">IF($H1035="UNIDADE CONSTRUTIVA",OFFSET(A1035,-1,0)+1,LARGE(A$3:A1034,1))</f>
        <v>0</v>
      </c>
      <c r="B1035" s="116">
        <f t="shared" ca="1" si="144"/>
        <v>22</v>
      </c>
      <c r="C1035" s="116">
        <f t="shared" ca="1" si="145"/>
        <v>1</v>
      </c>
      <c r="D1035" s="117">
        <f t="shared" ca="1" si="146"/>
        <v>1</v>
      </c>
      <c r="E1035" s="117">
        <f t="shared" ca="1" si="147"/>
        <v>1</v>
      </c>
      <c r="G1035" s="7"/>
      <c r="H1035" s="7"/>
      <c r="I1035" s="7"/>
      <c r="K1035" s="7"/>
      <c r="L1035" s="7"/>
      <c r="M1035" s="7"/>
      <c r="N1035" s="7"/>
      <c r="O1035" s="7"/>
      <c r="P1035" s="7"/>
      <c r="R1035" s="7"/>
      <c r="S1035" s="7"/>
    </row>
    <row r="1036" spans="1:19" ht="14.1" customHeight="1" x14ac:dyDescent="0.2">
      <c r="A1036" s="116">
        <f ca="1">IF($H1036="UNIDADE CONSTRUTIVA",OFFSET(A1036,-1,0)+1,LARGE(A$3:A1035,1))</f>
        <v>0</v>
      </c>
      <c r="B1036" s="116">
        <f t="shared" ca="1" si="144"/>
        <v>22</v>
      </c>
      <c r="C1036" s="116">
        <f t="shared" ca="1" si="145"/>
        <v>1</v>
      </c>
      <c r="D1036" s="117">
        <f t="shared" ca="1" si="146"/>
        <v>1</v>
      </c>
      <c r="E1036" s="117">
        <f t="shared" ca="1" si="147"/>
        <v>1</v>
      </c>
      <c r="G1036" s="7"/>
      <c r="H1036" s="7"/>
      <c r="I1036" s="7"/>
      <c r="K1036" s="7"/>
      <c r="L1036" s="7"/>
      <c r="M1036" s="7"/>
      <c r="N1036" s="7"/>
      <c r="O1036" s="7"/>
      <c r="P1036" s="7"/>
      <c r="R1036" s="7"/>
      <c r="S1036" s="7"/>
    </row>
    <row r="1037" spans="1:19" ht="14.1" customHeight="1" x14ac:dyDescent="0.2">
      <c r="A1037" s="116">
        <f ca="1">IF($H1037="UNIDADE CONSTRUTIVA",OFFSET(A1037,-1,0)+1,LARGE(A$3:A1036,1))</f>
        <v>0</v>
      </c>
      <c r="B1037" s="116">
        <f t="shared" ca="1" si="144"/>
        <v>22</v>
      </c>
      <c r="C1037" s="116">
        <f t="shared" ca="1" si="145"/>
        <v>1</v>
      </c>
      <c r="D1037" s="117">
        <f t="shared" ca="1" si="146"/>
        <v>1</v>
      </c>
      <c r="E1037" s="117">
        <f t="shared" ca="1" si="147"/>
        <v>1</v>
      </c>
      <c r="G1037" s="7"/>
      <c r="H1037" s="7"/>
      <c r="I1037" s="7"/>
      <c r="K1037" s="7"/>
      <c r="L1037" s="7"/>
      <c r="M1037" s="7"/>
      <c r="N1037" s="7"/>
      <c r="O1037" s="7"/>
      <c r="P1037" s="7"/>
      <c r="R1037" s="7"/>
      <c r="S1037" s="7"/>
    </row>
    <row r="1038" spans="1:19" ht="14.1" customHeight="1" x14ac:dyDescent="0.2">
      <c r="A1038" s="116">
        <f ca="1">IF($H1038="UNIDADE CONSTRUTIVA",OFFSET(A1038,-1,0)+1,LARGE(A$3:A1037,1))</f>
        <v>0</v>
      </c>
      <c r="B1038" s="116">
        <f t="shared" ca="1" si="144"/>
        <v>22</v>
      </c>
      <c r="C1038" s="116">
        <f t="shared" ca="1" si="145"/>
        <v>1</v>
      </c>
      <c r="D1038" s="117">
        <f t="shared" ca="1" si="146"/>
        <v>1</v>
      </c>
      <c r="E1038" s="117">
        <f t="shared" ca="1" si="147"/>
        <v>1</v>
      </c>
      <c r="G1038" s="7"/>
      <c r="H1038" s="7"/>
      <c r="I1038" s="7"/>
      <c r="K1038" s="7"/>
      <c r="L1038" s="7"/>
      <c r="M1038" s="7"/>
      <c r="N1038" s="7"/>
      <c r="O1038" s="7"/>
      <c r="P1038" s="7"/>
      <c r="R1038" s="7"/>
      <c r="S1038" s="7"/>
    </row>
    <row r="1039" spans="1:19" ht="14.1" customHeight="1" x14ac:dyDescent="0.2">
      <c r="A1039" s="116">
        <f ca="1">IF($H1039="UNIDADE CONSTRUTIVA",OFFSET(A1039,-1,0)+1,LARGE(A$3:A1038,1))</f>
        <v>0</v>
      </c>
      <c r="B1039" s="116">
        <f t="shared" ca="1" si="144"/>
        <v>22</v>
      </c>
      <c r="C1039" s="116">
        <f t="shared" ca="1" si="145"/>
        <v>1</v>
      </c>
      <c r="D1039" s="117">
        <f t="shared" ca="1" si="146"/>
        <v>1</v>
      </c>
      <c r="E1039" s="117">
        <f t="shared" ca="1" si="147"/>
        <v>1</v>
      </c>
      <c r="G1039" s="7"/>
      <c r="H1039" s="7"/>
      <c r="I1039" s="7"/>
      <c r="K1039" s="7"/>
      <c r="L1039" s="7"/>
      <c r="M1039" s="7"/>
      <c r="N1039" s="7"/>
      <c r="O1039" s="7"/>
      <c r="P1039" s="7"/>
      <c r="R1039" s="7"/>
      <c r="S1039" s="7"/>
    </row>
    <row r="1040" spans="1:19" ht="14.1" customHeight="1" x14ac:dyDescent="0.2">
      <c r="A1040" s="116">
        <f ca="1">IF($H1040="UNIDADE CONSTRUTIVA",OFFSET(A1040,-1,0)+1,LARGE(A$3:A1039,1))</f>
        <v>0</v>
      </c>
      <c r="B1040" s="116">
        <f t="shared" ca="1" si="144"/>
        <v>22</v>
      </c>
      <c r="C1040" s="116">
        <f t="shared" ca="1" si="145"/>
        <v>1</v>
      </c>
      <c r="D1040" s="117">
        <f t="shared" ca="1" si="146"/>
        <v>1</v>
      </c>
      <c r="E1040" s="117">
        <f t="shared" ca="1" si="147"/>
        <v>1</v>
      </c>
      <c r="G1040" s="7"/>
      <c r="H1040" s="7"/>
      <c r="I1040" s="7"/>
      <c r="K1040" s="7"/>
      <c r="L1040" s="7"/>
      <c r="M1040" s="7"/>
      <c r="N1040" s="7"/>
      <c r="O1040" s="7"/>
      <c r="P1040" s="7"/>
      <c r="R1040" s="7"/>
      <c r="S1040" s="7"/>
    </row>
    <row r="1041" spans="1:19" ht="14.1" customHeight="1" x14ac:dyDescent="0.2">
      <c r="A1041" s="116">
        <f ca="1">IF($H1041="UNIDADE CONSTRUTIVA",OFFSET(A1041,-1,0)+1,LARGE(A$3:A1040,1))</f>
        <v>0</v>
      </c>
      <c r="B1041" s="116">
        <f t="shared" ca="1" si="144"/>
        <v>22</v>
      </c>
      <c r="C1041" s="116">
        <f t="shared" ca="1" si="145"/>
        <v>1</v>
      </c>
      <c r="D1041" s="117">
        <f t="shared" ca="1" si="146"/>
        <v>1</v>
      </c>
      <c r="E1041" s="117">
        <f t="shared" ca="1" si="147"/>
        <v>1</v>
      </c>
      <c r="G1041" s="7"/>
      <c r="H1041" s="7"/>
      <c r="I1041" s="7"/>
      <c r="K1041" s="7"/>
      <c r="L1041" s="7"/>
      <c r="M1041" s="7"/>
      <c r="N1041" s="7"/>
      <c r="O1041" s="7"/>
      <c r="P1041" s="7"/>
      <c r="R1041" s="7"/>
      <c r="S1041" s="7"/>
    </row>
    <row r="1042" spans="1:19" ht="14.1" customHeight="1" x14ac:dyDescent="0.2">
      <c r="A1042" s="116">
        <f ca="1">IF($H1042="UNIDADE CONSTRUTIVA",OFFSET(A1042,-1,0)+1,LARGE(A$3:A1041,1))</f>
        <v>0</v>
      </c>
      <c r="B1042" s="116">
        <f t="shared" ca="1" si="144"/>
        <v>22</v>
      </c>
      <c r="C1042" s="116">
        <f t="shared" ca="1" si="145"/>
        <v>1</v>
      </c>
      <c r="D1042" s="117">
        <f t="shared" ca="1" si="146"/>
        <v>1</v>
      </c>
      <c r="E1042" s="117">
        <f t="shared" ca="1" si="147"/>
        <v>1</v>
      </c>
      <c r="G1042" s="7"/>
      <c r="H1042" s="7"/>
      <c r="I1042" s="7"/>
      <c r="K1042" s="7"/>
      <c r="L1042" s="7"/>
      <c r="M1042" s="7"/>
      <c r="N1042" s="7"/>
      <c r="O1042" s="7"/>
      <c r="P1042" s="7"/>
      <c r="R1042" s="7"/>
      <c r="S1042" s="7"/>
    </row>
    <row r="1043" spans="1:19" ht="14.1" customHeight="1" x14ac:dyDescent="0.2">
      <c r="A1043" s="116">
        <f ca="1">IF($H1043="UNIDADE CONSTRUTIVA",OFFSET(A1043,-1,0)+1,LARGE(A$3:A1042,1))</f>
        <v>0</v>
      </c>
      <c r="B1043" s="116">
        <f t="shared" ca="1" si="144"/>
        <v>22</v>
      </c>
      <c r="C1043" s="116">
        <f t="shared" ca="1" si="145"/>
        <v>1</v>
      </c>
      <c r="D1043" s="117">
        <f t="shared" ca="1" si="146"/>
        <v>1</v>
      </c>
      <c r="E1043" s="117">
        <f t="shared" ca="1" si="147"/>
        <v>1</v>
      </c>
      <c r="G1043" s="7"/>
      <c r="H1043" s="7"/>
      <c r="I1043" s="7"/>
      <c r="K1043" s="7"/>
      <c r="L1043" s="7"/>
      <c r="M1043" s="7"/>
      <c r="N1043" s="7"/>
      <c r="O1043" s="7"/>
      <c r="P1043" s="7"/>
      <c r="R1043" s="7"/>
      <c r="S1043" s="7"/>
    </row>
    <row r="1044" spans="1:19" ht="14.1" customHeight="1" x14ac:dyDescent="0.2">
      <c r="A1044" s="116">
        <f ca="1">IF($H1044="UNIDADE CONSTRUTIVA",OFFSET(A1044,-1,0)+1,LARGE(A$3:A1043,1))</f>
        <v>0</v>
      </c>
      <c r="B1044" s="116">
        <f t="shared" ca="1" si="144"/>
        <v>22</v>
      </c>
      <c r="C1044" s="116">
        <f t="shared" ca="1" si="145"/>
        <v>1</v>
      </c>
      <c r="D1044" s="117">
        <f t="shared" ca="1" si="146"/>
        <v>1</v>
      </c>
      <c r="E1044" s="117">
        <f t="shared" ca="1" si="147"/>
        <v>1</v>
      </c>
      <c r="G1044" s="7"/>
      <c r="H1044" s="7"/>
      <c r="I1044" s="7"/>
      <c r="K1044" s="7"/>
      <c r="L1044" s="7"/>
      <c r="M1044" s="7"/>
      <c r="N1044" s="7"/>
      <c r="O1044" s="7"/>
      <c r="P1044" s="7"/>
      <c r="R1044" s="7"/>
      <c r="S1044" s="7"/>
    </row>
    <row r="1045" spans="1:19" ht="14.1" customHeight="1" x14ac:dyDescent="0.2">
      <c r="A1045" s="116">
        <f ca="1">IF($H1045="UNIDADE CONSTRUTIVA",OFFSET(A1045,-1,0)+1,LARGE(A$3:A1044,1))</f>
        <v>0</v>
      </c>
      <c r="B1045" s="116">
        <f t="shared" ca="1" si="144"/>
        <v>22</v>
      </c>
      <c r="C1045" s="116">
        <f t="shared" ca="1" si="145"/>
        <v>1</v>
      </c>
      <c r="D1045" s="117">
        <f t="shared" ca="1" si="146"/>
        <v>1</v>
      </c>
      <c r="E1045" s="117">
        <f t="shared" ca="1" si="147"/>
        <v>1</v>
      </c>
      <c r="G1045" s="7"/>
      <c r="H1045" s="7"/>
      <c r="I1045" s="7"/>
      <c r="K1045" s="7"/>
      <c r="L1045" s="7"/>
      <c r="M1045" s="7"/>
      <c r="N1045" s="7"/>
      <c r="O1045" s="7"/>
      <c r="P1045" s="7"/>
      <c r="R1045" s="7"/>
      <c r="S1045" s="7"/>
    </row>
    <row r="1046" spans="1:19" ht="14.1" customHeight="1" x14ac:dyDescent="0.2">
      <c r="A1046" s="116">
        <f ca="1">IF($H1046="UNIDADE CONSTRUTIVA",OFFSET(A1046,-1,0)+1,LARGE(A$3:A1045,1))</f>
        <v>0</v>
      </c>
      <c r="B1046" s="116">
        <f t="shared" ca="1" si="144"/>
        <v>22</v>
      </c>
      <c r="C1046" s="116">
        <f t="shared" ca="1" si="145"/>
        <v>1</v>
      </c>
      <c r="D1046" s="117">
        <f t="shared" ca="1" si="146"/>
        <v>1</v>
      </c>
      <c r="E1046" s="117">
        <f t="shared" ca="1" si="147"/>
        <v>1</v>
      </c>
      <c r="G1046" s="7"/>
      <c r="H1046" s="7"/>
      <c r="I1046" s="7"/>
      <c r="K1046" s="7"/>
      <c r="L1046" s="7"/>
      <c r="M1046" s="7"/>
      <c r="N1046" s="7"/>
      <c r="O1046" s="7"/>
      <c r="P1046" s="7"/>
      <c r="R1046" s="7"/>
      <c r="S1046" s="7"/>
    </row>
    <row r="1047" spans="1:19" ht="14.1" customHeight="1" x14ac:dyDescent="0.2">
      <c r="A1047" s="116">
        <f ca="1">IF($H1047="UNIDADE CONSTRUTIVA",OFFSET(A1047,-1,0)+1,LARGE(A$3:A1046,1))</f>
        <v>0</v>
      </c>
      <c r="B1047" s="116">
        <f t="shared" ca="1" si="144"/>
        <v>22</v>
      </c>
      <c r="C1047" s="116">
        <f t="shared" ca="1" si="145"/>
        <v>1</v>
      </c>
      <c r="D1047" s="117">
        <f t="shared" ca="1" si="146"/>
        <v>1</v>
      </c>
      <c r="E1047" s="117">
        <f t="shared" ca="1" si="147"/>
        <v>1</v>
      </c>
      <c r="G1047" s="7"/>
      <c r="H1047" s="7"/>
      <c r="I1047" s="7"/>
      <c r="K1047" s="7"/>
      <c r="L1047" s="7"/>
      <c r="M1047" s="7"/>
      <c r="N1047" s="7"/>
      <c r="O1047" s="7"/>
      <c r="P1047" s="7"/>
      <c r="R1047" s="7"/>
      <c r="S1047" s="7"/>
    </row>
    <row r="1048" spans="1:19" ht="14.1" customHeight="1" x14ac:dyDescent="0.2">
      <c r="A1048" s="116">
        <f ca="1">IF($H1048="UNIDADE CONSTRUTIVA",OFFSET(A1048,-1,0)+1,LARGE(A$3:A1047,1))</f>
        <v>0</v>
      </c>
      <c r="B1048" s="116">
        <f t="shared" ca="1" si="144"/>
        <v>22</v>
      </c>
      <c r="C1048" s="116">
        <f t="shared" ca="1" si="145"/>
        <v>1</v>
      </c>
      <c r="D1048" s="117">
        <f t="shared" ca="1" si="146"/>
        <v>1</v>
      </c>
      <c r="E1048" s="117">
        <f t="shared" ca="1" si="147"/>
        <v>1</v>
      </c>
      <c r="G1048" s="7"/>
      <c r="H1048" s="7"/>
      <c r="I1048" s="7"/>
      <c r="K1048" s="7"/>
      <c r="L1048" s="7"/>
      <c r="M1048" s="7"/>
      <c r="N1048" s="7"/>
      <c r="O1048" s="7"/>
      <c r="P1048" s="7"/>
      <c r="R1048" s="7"/>
      <c r="S1048" s="7"/>
    </row>
    <row r="1049" spans="1:19" ht="14.1" customHeight="1" x14ac:dyDescent="0.2">
      <c r="A1049" s="116">
        <f ca="1">IF($H1049="UNIDADE CONSTRUTIVA",OFFSET(A1049,-1,0)+1,LARGE(A$3:A1048,1))</f>
        <v>0</v>
      </c>
      <c r="B1049" s="116">
        <f t="shared" ca="1" si="144"/>
        <v>22</v>
      </c>
      <c r="C1049" s="116">
        <f t="shared" ca="1" si="145"/>
        <v>1</v>
      </c>
      <c r="D1049" s="117">
        <f t="shared" ca="1" si="146"/>
        <v>1</v>
      </c>
      <c r="E1049" s="117">
        <f t="shared" ca="1" si="147"/>
        <v>1</v>
      </c>
      <c r="G1049" s="7"/>
      <c r="H1049" s="7"/>
      <c r="I1049" s="7"/>
      <c r="K1049" s="7"/>
      <c r="L1049" s="7"/>
      <c r="M1049" s="7"/>
      <c r="N1049" s="7"/>
      <c r="O1049" s="7"/>
      <c r="P1049" s="7"/>
      <c r="R1049" s="7"/>
      <c r="S1049" s="7"/>
    </row>
    <row r="1050" spans="1:19" ht="14.1" customHeight="1" x14ac:dyDescent="0.2">
      <c r="A1050" s="116">
        <f ca="1">IF($H1050="UNIDADE CONSTRUTIVA",OFFSET(A1050,-1,0)+1,LARGE(A$3:A1049,1))</f>
        <v>0</v>
      </c>
      <c r="B1050" s="116">
        <f t="shared" ca="1" si="144"/>
        <v>22</v>
      </c>
      <c r="C1050" s="116">
        <f t="shared" ca="1" si="145"/>
        <v>1</v>
      </c>
      <c r="D1050" s="117">
        <f t="shared" ca="1" si="146"/>
        <v>1</v>
      </c>
      <c r="E1050" s="117">
        <f t="shared" ca="1" si="147"/>
        <v>1</v>
      </c>
      <c r="G1050" s="7"/>
      <c r="H1050" s="7"/>
      <c r="I1050" s="7"/>
      <c r="K1050" s="7"/>
      <c r="L1050" s="7"/>
      <c r="M1050" s="7"/>
      <c r="N1050" s="7"/>
      <c r="O1050" s="7"/>
      <c r="P1050" s="7"/>
      <c r="R1050" s="7"/>
      <c r="S1050" s="7"/>
    </row>
    <row r="1051" spans="1:19" ht="14.1" customHeight="1" x14ac:dyDescent="0.2">
      <c r="A1051" s="116">
        <f ca="1">IF($H1051="UNIDADE CONSTRUTIVA",OFFSET(A1051,-1,0)+1,LARGE(A$3:A1050,1))</f>
        <v>0</v>
      </c>
      <c r="B1051" s="116">
        <f t="shared" ca="1" si="144"/>
        <v>22</v>
      </c>
      <c r="C1051" s="116">
        <f t="shared" ca="1" si="145"/>
        <v>1</v>
      </c>
      <c r="D1051" s="117">
        <f t="shared" ca="1" si="146"/>
        <v>1</v>
      </c>
      <c r="E1051" s="117">
        <f t="shared" ca="1" si="147"/>
        <v>1</v>
      </c>
      <c r="G1051" s="7"/>
      <c r="H1051" s="7"/>
      <c r="I1051" s="7"/>
      <c r="K1051" s="7"/>
      <c r="L1051" s="7"/>
      <c r="M1051" s="7"/>
      <c r="N1051" s="7"/>
      <c r="O1051" s="7"/>
      <c r="P1051" s="7"/>
      <c r="R1051" s="7"/>
      <c r="S1051" s="7"/>
    </row>
    <row r="1052" spans="1:19" ht="14.1" customHeight="1" x14ac:dyDescent="0.2">
      <c r="A1052" s="116">
        <f ca="1">IF($H1052="UNIDADE CONSTRUTIVA",OFFSET(A1052,-1,0)+1,LARGE(A$3:A1051,1))</f>
        <v>0</v>
      </c>
      <c r="B1052" s="116">
        <f t="shared" ca="1" si="144"/>
        <v>22</v>
      </c>
      <c r="C1052" s="116">
        <f t="shared" ca="1" si="145"/>
        <v>1</v>
      </c>
      <c r="D1052" s="117">
        <f t="shared" ca="1" si="146"/>
        <v>1</v>
      </c>
      <c r="E1052" s="117">
        <f t="shared" ca="1" si="147"/>
        <v>1</v>
      </c>
      <c r="G1052" s="7"/>
      <c r="H1052" s="7"/>
      <c r="I1052" s="7"/>
      <c r="K1052" s="7"/>
      <c r="L1052" s="7"/>
      <c r="M1052" s="7"/>
      <c r="N1052" s="7"/>
      <c r="O1052" s="7"/>
      <c r="P1052" s="7"/>
      <c r="R1052" s="7"/>
      <c r="S1052" s="7"/>
    </row>
    <row r="1053" spans="1:19" ht="14.1" customHeight="1" x14ac:dyDescent="0.2">
      <c r="A1053" s="116">
        <f ca="1">IF($H1053="UNIDADE CONSTRUTIVA",OFFSET(A1053,-1,0)+1,LARGE(A$3:A1052,1))</f>
        <v>0</v>
      </c>
      <c r="B1053" s="116">
        <f t="shared" ca="1" si="144"/>
        <v>22</v>
      </c>
      <c r="C1053" s="116">
        <f t="shared" ca="1" si="145"/>
        <v>1</v>
      </c>
      <c r="D1053" s="117">
        <f t="shared" ca="1" si="146"/>
        <v>1</v>
      </c>
      <c r="E1053" s="117">
        <f t="shared" ca="1" si="147"/>
        <v>1</v>
      </c>
      <c r="G1053" s="7"/>
      <c r="H1053" s="7"/>
      <c r="I1053" s="7"/>
      <c r="K1053" s="7"/>
      <c r="L1053" s="7"/>
      <c r="M1053" s="7"/>
      <c r="N1053" s="7"/>
      <c r="O1053" s="7"/>
      <c r="P1053" s="7"/>
      <c r="R1053" s="7"/>
      <c r="S1053" s="7"/>
    </row>
    <row r="1054" spans="1:19" ht="14.1" customHeight="1" x14ac:dyDescent="0.2">
      <c r="A1054" s="116">
        <f ca="1">IF($H1054="UNIDADE CONSTRUTIVA",OFFSET(A1054,-1,0)+1,LARGE(A$3:A1053,1))</f>
        <v>0</v>
      </c>
      <c r="B1054" s="116">
        <f t="shared" ca="1" si="144"/>
        <v>22</v>
      </c>
      <c r="C1054" s="116">
        <f t="shared" ca="1" si="145"/>
        <v>1</v>
      </c>
      <c r="D1054" s="117">
        <f t="shared" ca="1" si="146"/>
        <v>1</v>
      </c>
      <c r="E1054" s="117">
        <f t="shared" ca="1" si="147"/>
        <v>1</v>
      </c>
      <c r="G1054" s="7"/>
      <c r="H1054" s="7"/>
      <c r="I1054" s="7"/>
      <c r="K1054" s="7"/>
      <c r="L1054" s="7"/>
      <c r="M1054" s="7"/>
      <c r="N1054" s="7"/>
      <c r="O1054" s="7"/>
      <c r="P1054" s="7"/>
      <c r="R1054" s="7"/>
      <c r="S1054" s="7"/>
    </row>
    <row r="1055" spans="1:19" ht="14.1" customHeight="1" x14ac:dyDescent="0.2">
      <c r="A1055" s="116">
        <f ca="1">IF($H1055="UNIDADE CONSTRUTIVA",OFFSET(A1055,-1,0)+1,LARGE(A$3:A1054,1))</f>
        <v>0</v>
      </c>
      <c r="B1055" s="116">
        <f t="shared" ca="1" si="144"/>
        <v>22</v>
      </c>
      <c r="C1055" s="116">
        <f t="shared" ca="1" si="145"/>
        <v>1</v>
      </c>
      <c r="D1055" s="117">
        <f t="shared" ca="1" si="146"/>
        <v>1</v>
      </c>
      <c r="E1055" s="117">
        <f t="shared" ca="1" si="147"/>
        <v>1</v>
      </c>
      <c r="G1055" s="7"/>
      <c r="H1055" s="7"/>
      <c r="I1055" s="7"/>
      <c r="K1055" s="7"/>
      <c r="L1055" s="7"/>
      <c r="M1055" s="7"/>
      <c r="N1055" s="7"/>
      <c r="O1055" s="7"/>
      <c r="P1055" s="7"/>
      <c r="R1055" s="7"/>
      <c r="S1055" s="7"/>
    </row>
    <row r="1056" spans="1:19" ht="14.1" customHeight="1" x14ac:dyDescent="0.2">
      <c r="A1056" s="116">
        <f ca="1">IF($H1056="UNIDADE CONSTRUTIVA",OFFSET(A1056,-1,0)+1,LARGE(A$3:A1055,1))</f>
        <v>0</v>
      </c>
      <c r="B1056" s="116">
        <f t="shared" ca="1" si="144"/>
        <v>22</v>
      </c>
      <c r="C1056" s="116">
        <f t="shared" ca="1" si="145"/>
        <v>1</v>
      </c>
      <c r="D1056" s="117">
        <f t="shared" ca="1" si="146"/>
        <v>1</v>
      </c>
      <c r="E1056" s="117">
        <f t="shared" ca="1" si="147"/>
        <v>1</v>
      </c>
      <c r="G1056" s="7"/>
      <c r="H1056" s="7"/>
      <c r="I1056" s="7"/>
      <c r="K1056" s="7"/>
      <c r="L1056" s="7"/>
      <c r="M1056" s="7"/>
      <c r="N1056" s="7"/>
      <c r="O1056" s="7"/>
      <c r="P1056" s="7"/>
      <c r="R1056" s="7"/>
      <c r="S1056" s="7"/>
    </row>
    <row r="1057" spans="1:19" ht="14.1" customHeight="1" x14ac:dyDescent="0.2">
      <c r="A1057" s="116">
        <f ca="1">IF($H1057="UNIDADE CONSTRUTIVA",OFFSET(A1057,-1,0)+1,LARGE(A$3:A1056,1))</f>
        <v>0</v>
      </c>
      <c r="B1057" s="116">
        <f t="shared" ca="1" si="144"/>
        <v>22</v>
      </c>
      <c r="C1057" s="116">
        <f t="shared" ca="1" si="145"/>
        <v>1</v>
      </c>
      <c r="D1057" s="117">
        <f t="shared" ca="1" si="146"/>
        <v>1</v>
      </c>
      <c r="E1057" s="117">
        <f t="shared" ca="1" si="147"/>
        <v>1</v>
      </c>
      <c r="G1057" s="7"/>
      <c r="H1057" s="7"/>
      <c r="I1057" s="7"/>
      <c r="K1057" s="7"/>
      <c r="L1057" s="7"/>
      <c r="M1057" s="7"/>
      <c r="N1057" s="7"/>
      <c r="O1057" s="7"/>
      <c r="P1057" s="7"/>
      <c r="R1057" s="7"/>
      <c r="S1057" s="7"/>
    </row>
    <row r="1058" spans="1:19" ht="14.1" customHeight="1" x14ac:dyDescent="0.2">
      <c r="A1058" s="116">
        <f ca="1">IF($H1058="UNIDADE CONSTRUTIVA",OFFSET(A1058,-1,0)+1,LARGE(A$3:A1057,1))</f>
        <v>0</v>
      </c>
      <c r="B1058" s="116">
        <f t="shared" ca="1" si="144"/>
        <v>22</v>
      </c>
      <c r="C1058" s="116">
        <f t="shared" ca="1" si="145"/>
        <v>1</v>
      </c>
      <c r="D1058" s="117">
        <f t="shared" ca="1" si="146"/>
        <v>1</v>
      </c>
      <c r="E1058" s="117">
        <f t="shared" ca="1" si="147"/>
        <v>1</v>
      </c>
      <c r="G1058" s="7"/>
      <c r="H1058" s="7"/>
      <c r="I1058" s="7"/>
      <c r="K1058" s="7"/>
      <c r="L1058" s="7"/>
      <c r="M1058" s="7"/>
      <c r="N1058" s="7"/>
      <c r="O1058" s="7"/>
      <c r="P1058" s="7"/>
      <c r="R1058" s="7"/>
      <c r="S1058" s="7"/>
    </row>
    <row r="1059" spans="1:19" ht="14.1" customHeight="1" x14ac:dyDescent="0.2">
      <c r="A1059" s="116">
        <f ca="1">IF($H1059="UNIDADE CONSTRUTIVA",OFFSET(A1059,-1,0)+1,LARGE(A$3:A1058,1))</f>
        <v>0</v>
      </c>
      <c r="B1059" s="116">
        <f t="shared" ca="1" si="144"/>
        <v>22</v>
      </c>
      <c r="C1059" s="116">
        <f t="shared" ca="1" si="145"/>
        <v>1</v>
      </c>
      <c r="D1059" s="117">
        <f t="shared" ca="1" si="146"/>
        <v>1</v>
      </c>
      <c r="E1059" s="117">
        <f t="shared" ca="1" si="147"/>
        <v>1</v>
      </c>
      <c r="G1059" s="7"/>
      <c r="H1059" s="7"/>
      <c r="I1059" s="7"/>
      <c r="K1059" s="7"/>
      <c r="L1059" s="7"/>
      <c r="M1059" s="7"/>
      <c r="N1059" s="7"/>
      <c r="O1059" s="7"/>
      <c r="P1059" s="7"/>
      <c r="R1059" s="7"/>
      <c r="S1059" s="7"/>
    </row>
    <row r="1060" spans="1:19" ht="14.1" customHeight="1" x14ac:dyDescent="0.2">
      <c r="A1060" s="116">
        <f ca="1">IF($H1060="UNIDADE CONSTRUTIVA",OFFSET(A1060,-1,0)+1,LARGE(A$3:A1059,1))</f>
        <v>0</v>
      </c>
      <c r="B1060" s="116">
        <f t="shared" ca="1" si="144"/>
        <v>22</v>
      </c>
      <c r="C1060" s="116">
        <f t="shared" ca="1" si="145"/>
        <v>1</v>
      </c>
      <c r="D1060" s="117">
        <f t="shared" ca="1" si="146"/>
        <v>1</v>
      </c>
      <c r="E1060" s="117">
        <f t="shared" ca="1" si="147"/>
        <v>1</v>
      </c>
      <c r="G1060" s="7"/>
      <c r="H1060" s="7"/>
      <c r="I1060" s="7"/>
      <c r="K1060" s="7"/>
      <c r="L1060" s="7"/>
      <c r="M1060" s="7"/>
      <c r="N1060" s="7"/>
      <c r="O1060" s="7"/>
      <c r="P1060" s="7"/>
      <c r="R1060" s="7"/>
      <c r="S1060" s="7"/>
    </row>
    <row r="1061" spans="1:19" ht="14.1" customHeight="1" x14ac:dyDescent="0.2">
      <c r="A1061" s="116">
        <f ca="1">IF($H1061="UNIDADE CONSTRUTIVA",OFFSET(A1061,-1,0)+1,LARGE(A$3:A1060,1))</f>
        <v>0</v>
      </c>
      <c r="B1061" s="116">
        <f t="shared" ca="1" si="144"/>
        <v>22</v>
      </c>
      <c r="C1061" s="116">
        <f t="shared" ca="1" si="145"/>
        <v>1</v>
      </c>
      <c r="D1061" s="117">
        <f t="shared" ca="1" si="146"/>
        <v>1</v>
      </c>
      <c r="E1061" s="117">
        <f t="shared" ca="1" si="147"/>
        <v>1</v>
      </c>
      <c r="G1061" s="7"/>
      <c r="H1061" s="7"/>
      <c r="I1061" s="7"/>
      <c r="K1061" s="7"/>
      <c r="L1061" s="7"/>
      <c r="M1061" s="7"/>
      <c r="N1061" s="7"/>
      <c r="O1061" s="7"/>
      <c r="P1061" s="7"/>
      <c r="R1061" s="7"/>
      <c r="S1061" s="7"/>
    </row>
    <row r="1062" spans="1:19" ht="14.1" customHeight="1" x14ac:dyDescent="0.2">
      <c r="A1062" s="116">
        <f ca="1">IF($H1062="UNIDADE CONSTRUTIVA",OFFSET(A1062,-1,0)+1,LARGE(A$3:A1061,1))</f>
        <v>0</v>
      </c>
      <c r="B1062" s="116">
        <f t="shared" ca="1" si="144"/>
        <v>22</v>
      </c>
      <c r="C1062" s="116">
        <f t="shared" ca="1" si="145"/>
        <v>1</v>
      </c>
      <c r="D1062" s="117">
        <f t="shared" ca="1" si="146"/>
        <v>1</v>
      </c>
      <c r="E1062" s="117">
        <f t="shared" ca="1" si="147"/>
        <v>1</v>
      </c>
      <c r="G1062" s="7"/>
      <c r="H1062" s="7"/>
      <c r="I1062" s="7"/>
      <c r="K1062" s="7"/>
      <c r="L1062" s="7"/>
      <c r="M1062" s="7"/>
      <c r="N1062" s="7"/>
      <c r="O1062" s="7"/>
      <c r="P1062" s="7"/>
      <c r="R1062" s="7"/>
      <c r="S1062" s="7"/>
    </row>
    <row r="1063" spans="1:19" ht="14.1" customHeight="1" x14ac:dyDescent="0.2">
      <c r="A1063" s="116">
        <f ca="1">IF($H1063="UNIDADE CONSTRUTIVA",OFFSET(A1063,-1,0)+1,LARGE(A$3:A1062,1))</f>
        <v>0</v>
      </c>
      <c r="B1063" s="116">
        <f t="shared" ca="1" si="144"/>
        <v>22</v>
      </c>
      <c r="C1063" s="116">
        <f t="shared" ca="1" si="145"/>
        <v>1</v>
      </c>
      <c r="D1063" s="117">
        <f t="shared" ca="1" si="146"/>
        <v>1</v>
      </c>
      <c r="E1063" s="117">
        <f t="shared" ca="1" si="147"/>
        <v>1</v>
      </c>
      <c r="G1063" s="7"/>
      <c r="H1063" s="7"/>
      <c r="I1063" s="7"/>
      <c r="K1063" s="7"/>
      <c r="L1063" s="7"/>
      <c r="M1063" s="7"/>
      <c r="N1063" s="7"/>
      <c r="O1063" s="7"/>
      <c r="P1063" s="7"/>
      <c r="R1063" s="7"/>
      <c r="S1063" s="7"/>
    </row>
    <row r="1064" spans="1:19" ht="14.1" customHeight="1" x14ac:dyDescent="0.2">
      <c r="A1064" s="116">
        <f ca="1">IF($H1064="UNIDADE CONSTRUTIVA",OFFSET(A1064,-1,0)+1,LARGE(A$3:A1063,1))</f>
        <v>0</v>
      </c>
      <c r="B1064" s="116">
        <f t="shared" ca="1" si="144"/>
        <v>22</v>
      </c>
      <c r="C1064" s="116">
        <f t="shared" ca="1" si="145"/>
        <v>1</v>
      </c>
      <c r="D1064" s="117">
        <f t="shared" ca="1" si="146"/>
        <v>1</v>
      </c>
      <c r="E1064" s="117">
        <f t="shared" ca="1" si="147"/>
        <v>1</v>
      </c>
      <c r="G1064" s="7"/>
      <c r="H1064" s="7"/>
      <c r="I1064" s="7"/>
      <c r="K1064" s="7"/>
      <c r="L1064" s="7"/>
      <c r="M1064" s="7"/>
      <c r="N1064" s="7"/>
      <c r="O1064" s="7"/>
      <c r="P1064" s="7"/>
      <c r="R1064" s="7"/>
      <c r="S1064" s="7"/>
    </row>
    <row r="1065" spans="1:19" ht="14.1" customHeight="1" x14ac:dyDescent="0.2">
      <c r="A1065" s="116">
        <f ca="1">IF($H1065="UNIDADE CONSTRUTIVA",OFFSET(A1065,-1,0)+1,LARGE(A$3:A1064,1))</f>
        <v>0</v>
      </c>
      <c r="B1065" s="116">
        <f t="shared" ca="1" si="144"/>
        <v>22</v>
      </c>
      <c r="C1065" s="116">
        <f t="shared" ca="1" si="145"/>
        <v>1</v>
      </c>
      <c r="D1065" s="117">
        <f t="shared" ca="1" si="146"/>
        <v>1</v>
      </c>
      <c r="E1065" s="117">
        <f t="shared" ca="1" si="147"/>
        <v>1</v>
      </c>
      <c r="G1065" s="7"/>
      <c r="H1065" s="7"/>
      <c r="I1065" s="7"/>
      <c r="K1065" s="7"/>
      <c r="L1065" s="7"/>
      <c r="M1065" s="7"/>
      <c r="N1065" s="7"/>
      <c r="O1065" s="7"/>
      <c r="P1065" s="7"/>
      <c r="R1065" s="7"/>
      <c r="S1065" s="7"/>
    </row>
    <row r="1066" spans="1:19" ht="14.1" customHeight="1" x14ac:dyDescent="0.2">
      <c r="A1066" s="116">
        <f ca="1">IF($H1066="UNIDADE CONSTRUTIVA",OFFSET(A1066,-1,0)+1,LARGE(A$3:A1065,1))</f>
        <v>0</v>
      </c>
      <c r="B1066" s="116">
        <f t="shared" ca="1" si="144"/>
        <v>22</v>
      </c>
      <c r="C1066" s="116">
        <f t="shared" ca="1" si="145"/>
        <v>1</v>
      </c>
      <c r="D1066" s="117">
        <f t="shared" ca="1" si="146"/>
        <v>1</v>
      </c>
      <c r="E1066" s="117">
        <f t="shared" ca="1" si="147"/>
        <v>1</v>
      </c>
      <c r="G1066" s="7"/>
      <c r="H1066" s="7"/>
      <c r="I1066" s="7"/>
      <c r="K1066" s="7"/>
      <c r="L1066" s="7"/>
      <c r="M1066" s="7"/>
      <c r="N1066" s="7"/>
      <c r="O1066" s="7"/>
      <c r="P1066" s="7"/>
      <c r="R1066" s="7"/>
      <c r="S1066" s="7"/>
    </row>
    <row r="1067" spans="1:19" ht="14.1" customHeight="1" x14ac:dyDescent="0.2">
      <c r="A1067" s="116">
        <f ca="1">IF($H1067="UNIDADE CONSTRUTIVA",OFFSET(A1067,-1,0)+1,LARGE(A$3:A1066,1))</f>
        <v>0</v>
      </c>
      <c r="B1067" s="116">
        <f t="shared" ca="1" si="144"/>
        <v>22</v>
      </c>
      <c r="C1067" s="116">
        <f t="shared" ca="1" si="145"/>
        <v>1</v>
      </c>
      <c r="D1067" s="117">
        <f t="shared" ca="1" si="146"/>
        <v>1</v>
      </c>
      <c r="E1067" s="117">
        <f t="shared" ca="1" si="147"/>
        <v>1</v>
      </c>
      <c r="G1067" s="7"/>
      <c r="H1067" s="7"/>
      <c r="I1067" s="7"/>
      <c r="K1067" s="7"/>
      <c r="L1067" s="7"/>
      <c r="M1067" s="7"/>
      <c r="N1067" s="7"/>
      <c r="O1067" s="7"/>
      <c r="P1067" s="7"/>
      <c r="R1067" s="7"/>
      <c r="S1067" s="7"/>
    </row>
    <row r="1068" spans="1:19" ht="14.1" customHeight="1" x14ac:dyDescent="0.2">
      <c r="A1068" s="116">
        <f ca="1">IF($H1068="UNIDADE CONSTRUTIVA",OFFSET(A1068,-1,0)+1,LARGE(A$3:A1067,1))</f>
        <v>0</v>
      </c>
      <c r="B1068" s="116">
        <f t="shared" ca="1" si="144"/>
        <v>22</v>
      </c>
      <c r="C1068" s="116">
        <f t="shared" ca="1" si="145"/>
        <v>1</v>
      </c>
      <c r="D1068" s="117">
        <f t="shared" ca="1" si="146"/>
        <v>1</v>
      </c>
      <c r="E1068" s="117">
        <f t="shared" ca="1" si="147"/>
        <v>1</v>
      </c>
      <c r="G1068" s="7"/>
      <c r="H1068" s="7"/>
      <c r="I1068" s="7"/>
      <c r="K1068" s="7"/>
      <c r="L1068" s="7"/>
      <c r="M1068" s="7"/>
      <c r="N1068" s="7"/>
      <c r="O1068" s="7"/>
      <c r="P1068" s="7"/>
      <c r="R1068" s="7"/>
      <c r="S1068" s="7"/>
    </row>
    <row r="1069" spans="1:19" ht="14.1" customHeight="1" x14ac:dyDescent="0.2">
      <c r="A1069" s="116">
        <f ca="1">IF($H1069="UNIDADE CONSTRUTIVA",OFFSET(A1069,-1,0)+1,LARGE(A$3:A1068,1))</f>
        <v>0</v>
      </c>
      <c r="B1069" s="116">
        <f t="shared" ca="1" si="144"/>
        <v>22</v>
      </c>
      <c r="C1069" s="116">
        <f t="shared" ca="1" si="145"/>
        <v>1</v>
      </c>
      <c r="D1069" s="117">
        <f t="shared" ca="1" si="146"/>
        <v>1</v>
      </c>
      <c r="E1069" s="117">
        <f t="shared" ca="1" si="147"/>
        <v>1</v>
      </c>
      <c r="G1069" s="7"/>
      <c r="H1069" s="7"/>
      <c r="I1069" s="7"/>
      <c r="K1069" s="7"/>
      <c r="L1069" s="7"/>
      <c r="M1069" s="7"/>
      <c r="N1069" s="7"/>
      <c r="O1069" s="7"/>
      <c r="P1069" s="7"/>
      <c r="R1069" s="7"/>
      <c r="S1069" s="7"/>
    </row>
    <row r="1070" spans="1:19" ht="14.1" customHeight="1" x14ac:dyDescent="0.2">
      <c r="A1070" s="116">
        <f ca="1">IF($H1070="UNIDADE CONSTRUTIVA",OFFSET(A1070,-1,0)+1,LARGE(A$3:A1069,1))</f>
        <v>0</v>
      </c>
      <c r="B1070" s="116">
        <f t="shared" ref="B1070:B1085" ca="1" si="148">IF(H1070="UNIDADE CONSTRUTIVA",0,IF(H1070="CÉLULA CONSTRUTIVA",OFFSET(B1070,-1,0)+1,OFFSET(B1070,-1,0)))</f>
        <v>22</v>
      </c>
      <c r="C1070" s="116">
        <f t="shared" ref="C1070:C1085" ca="1" si="149">IF(H1070="CÉLULA CONSTRUTIVA",0,IF(H1070="ETAPA",OFFSET(C1070,-1,0)+1,OFFSET(C1070,-1,0)))</f>
        <v>1</v>
      </c>
      <c r="D1070" s="117">
        <f t="shared" ref="D1070:D1085" ca="1" si="150">IF(H1070="ETAPA",0,IF(H1070="SUBETAPA",OFFSET(D1070,-1,0)+1,OFFSET(D1070,-1,0)))</f>
        <v>1</v>
      </c>
      <c r="E1070" s="117">
        <f t="shared" ref="E1070:E1085" ca="1" si="151">IF(H1070="Subetapa",0,IF(H1070="serviço",OFFSET(E1070,-1,0)+1,OFFSET(E1070,-1,0)))</f>
        <v>1</v>
      </c>
      <c r="G1070" s="7"/>
      <c r="H1070" s="7"/>
      <c r="I1070" s="7"/>
      <c r="K1070" s="7"/>
      <c r="L1070" s="7"/>
      <c r="M1070" s="7"/>
      <c r="N1070" s="7"/>
      <c r="O1070" s="7"/>
      <c r="P1070" s="7"/>
      <c r="R1070" s="7"/>
      <c r="S1070" s="7"/>
    </row>
    <row r="1071" spans="1:19" ht="14.1" customHeight="1" x14ac:dyDescent="0.2">
      <c r="A1071" s="116">
        <f ca="1">IF($H1071="UNIDADE CONSTRUTIVA",OFFSET(A1071,-1,0)+1,LARGE(A$3:A1070,1))</f>
        <v>0</v>
      </c>
      <c r="B1071" s="116">
        <f t="shared" ca="1" si="148"/>
        <v>22</v>
      </c>
      <c r="C1071" s="116">
        <f t="shared" ca="1" si="149"/>
        <v>1</v>
      </c>
      <c r="D1071" s="117">
        <f t="shared" ca="1" si="150"/>
        <v>1</v>
      </c>
      <c r="E1071" s="117">
        <f t="shared" ca="1" si="151"/>
        <v>1</v>
      </c>
      <c r="G1071" s="7"/>
      <c r="H1071" s="7"/>
      <c r="I1071" s="7"/>
      <c r="K1071" s="7"/>
      <c r="L1071" s="7"/>
      <c r="M1071" s="7"/>
      <c r="N1071" s="7"/>
      <c r="O1071" s="7"/>
      <c r="P1071" s="7"/>
      <c r="R1071" s="7"/>
      <c r="S1071" s="7"/>
    </row>
    <row r="1072" spans="1:19" ht="14.1" customHeight="1" x14ac:dyDescent="0.2">
      <c r="A1072" s="116">
        <f ca="1">IF($H1072="UNIDADE CONSTRUTIVA",OFFSET(A1072,-1,0)+1,LARGE(A$3:A1071,1))</f>
        <v>0</v>
      </c>
      <c r="B1072" s="116">
        <f t="shared" ca="1" si="148"/>
        <v>22</v>
      </c>
      <c r="C1072" s="116">
        <f t="shared" ca="1" si="149"/>
        <v>1</v>
      </c>
      <c r="D1072" s="117">
        <f t="shared" ca="1" si="150"/>
        <v>1</v>
      </c>
      <c r="E1072" s="117">
        <f t="shared" ca="1" si="151"/>
        <v>1</v>
      </c>
      <c r="G1072" s="7"/>
      <c r="H1072" s="7"/>
      <c r="I1072" s="7"/>
      <c r="K1072" s="7"/>
      <c r="L1072" s="7"/>
      <c r="M1072" s="7"/>
      <c r="N1072" s="7"/>
      <c r="O1072" s="7"/>
      <c r="P1072" s="7"/>
      <c r="R1072" s="7"/>
      <c r="S1072" s="7"/>
    </row>
    <row r="1073" spans="1:19" ht="14.1" customHeight="1" x14ac:dyDescent="0.2">
      <c r="A1073" s="116">
        <f ca="1">IF($H1073="UNIDADE CONSTRUTIVA",OFFSET(A1073,-1,0)+1,LARGE(A$3:A1072,1))</f>
        <v>0</v>
      </c>
      <c r="B1073" s="116">
        <f t="shared" ca="1" si="148"/>
        <v>22</v>
      </c>
      <c r="C1073" s="116">
        <f t="shared" ca="1" si="149"/>
        <v>1</v>
      </c>
      <c r="D1073" s="117">
        <f t="shared" ca="1" si="150"/>
        <v>1</v>
      </c>
      <c r="E1073" s="117">
        <f t="shared" ca="1" si="151"/>
        <v>1</v>
      </c>
      <c r="G1073" s="7"/>
      <c r="H1073" s="7"/>
      <c r="I1073" s="7"/>
      <c r="K1073" s="7"/>
      <c r="L1073" s="7"/>
      <c r="M1073" s="7"/>
      <c r="N1073" s="7"/>
      <c r="O1073" s="7"/>
      <c r="P1073" s="7"/>
      <c r="R1073" s="7"/>
      <c r="S1073" s="7"/>
    </row>
    <row r="1074" spans="1:19" ht="14.1" customHeight="1" x14ac:dyDescent="0.2">
      <c r="A1074" s="116">
        <f ca="1">IF($H1074="UNIDADE CONSTRUTIVA",OFFSET(A1074,-1,0)+1,LARGE(A$3:A1073,1))</f>
        <v>0</v>
      </c>
      <c r="B1074" s="116">
        <f t="shared" ca="1" si="148"/>
        <v>22</v>
      </c>
      <c r="C1074" s="116">
        <f t="shared" ca="1" si="149"/>
        <v>1</v>
      </c>
      <c r="D1074" s="117">
        <f t="shared" ca="1" si="150"/>
        <v>1</v>
      </c>
      <c r="E1074" s="117">
        <f t="shared" ca="1" si="151"/>
        <v>1</v>
      </c>
      <c r="G1074" s="7"/>
      <c r="H1074" s="7"/>
      <c r="I1074" s="7"/>
      <c r="K1074" s="7"/>
      <c r="L1074" s="7"/>
      <c r="M1074" s="7"/>
      <c r="N1074" s="7"/>
      <c r="O1074" s="7"/>
      <c r="P1074" s="7"/>
      <c r="R1074" s="7"/>
      <c r="S1074" s="7"/>
    </row>
    <row r="1075" spans="1:19" ht="14.1" customHeight="1" x14ac:dyDescent="0.2">
      <c r="A1075" s="116">
        <f ca="1">IF($H1075="UNIDADE CONSTRUTIVA",OFFSET(A1075,-1,0)+1,LARGE(A$3:A1074,1))</f>
        <v>0</v>
      </c>
      <c r="B1075" s="116">
        <f t="shared" ca="1" si="148"/>
        <v>22</v>
      </c>
      <c r="C1075" s="116">
        <f t="shared" ca="1" si="149"/>
        <v>1</v>
      </c>
      <c r="D1075" s="117">
        <f t="shared" ca="1" si="150"/>
        <v>1</v>
      </c>
      <c r="E1075" s="117">
        <f t="shared" ca="1" si="151"/>
        <v>1</v>
      </c>
      <c r="G1075" s="7"/>
      <c r="H1075" s="7"/>
      <c r="I1075" s="7"/>
      <c r="K1075" s="7"/>
      <c r="L1075" s="7"/>
      <c r="M1075" s="7"/>
      <c r="N1075" s="7"/>
      <c r="O1075" s="7"/>
      <c r="P1075" s="7"/>
      <c r="R1075" s="7"/>
      <c r="S1075" s="7"/>
    </row>
    <row r="1076" spans="1:19" ht="14.1" customHeight="1" x14ac:dyDescent="0.2">
      <c r="A1076" s="116">
        <f ca="1">IF($H1076="UNIDADE CONSTRUTIVA",OFFSET(A1076,-1,0)+1,LARGE(A$3:A1075,1))</f>
        <v>0</v>
      </c>
      <c r="B1076" s="116">
        <f t="shared" ca="1" si="148"/>
        <v>22</v>
      </c>
      <c r="C1076" s="116">
        <f t="shared" ca="1" si="149"/>
        <v>1</v>
      </c>
      <c r="D1076" s="117">
        <f t="shared" ca="1" si="150"/>
        <v>1</v>
      </c>
      <c r="E1076" s="117">
        <f t="shared" ca="1" si="151"/>
        <v>1</v>
      </c>
      <c r="G1076" s="7"/>
      <c r="H1076" s="7"/>
      <c r="I1076" s="7"/>
      <c r="K1076" s="7"/>
      <c r="L1076" s="7"/>
      <c r="M1076" s="7"/>
      <c r="N1076" s="7"/>
      <c r="O1076" s="7"/>
      <c r="P1076" s="7"/>
      <c r="R1076" s="7"/>
      <c r="S1076" s="7"/>
    </row>
    <row r="1077" spans="1:19" ht="14.1" customHeight="1" x14ac:dyDescent="0.2">
      <c r="A1077" s="116">
        <f ca="1">IF($H1077="UNIDADE CONSTRUTIVA",OFFSET(A1077,-1,0)+1,LARGE(A$3:A1076,1))</f>
        <v>0</v>
      </c>
      <c r="B1077" s="116">
        <f t="shared" ca="1" si="148"/>
        <v>22</v>
      </c>
      <c r="C1077" s="116">
        <f t="shared" ca="1" si="149"/>
        <v>1</v>
      </c>
      <c r="D1077" s="117">
        <f t="shared" ca="1" si="150"/>
        <v>1</v>
      </c>
      <c r="E1077" s="117">
        <f t="shared" ca="1" si="151"/>
        <v>1</v>
      </c>
      <c r="G1077" s="7"/>
      <c r="H1077" s="7"/>
      <c r="I1077" s="7"/>
      <c r="K1077" s="7"/>
      <c r="L1077" s="7"/>
      <c r="M1077" s="7"/>
      <c r="N1077" s="7"/>
      <c r="O1077" s="7"/>
      <c r="P1077" s="7"/>
      <c r="R1077" s="7"/>
      <c r="S1077" s="7"/>
    </row>
    <row r="1078" spans="1:19" ht="14.1" customHeight="1" x14ac:dyDescent="0.2">
      <c r="A1078" s="116">
        <f ca="1">IF($H1078="UNIDADE CONSTRUTIVA",OFFSET(A1078,-1,0)+1,LARGE(A$3:A1077,1))</f>
        <v>0</v>
      </c>
      <c r="B1078" s="116">
        <f t="shared" ca="1" si="148"/>
        <v>22</v>
      </c>
      <c r="C1078" s="116">
        <f t="shared" ca="1" si="149"/>
        <v>1</v>
      </c>
      <c r="D1078" s="117">
        <f t="shared" ca="1" si="150"/>
        <v>1</v>
      </c>
      <c r="E1078" s="117">
        <f t="shared" ca="1" si="151"/>
        <v>1</v>
      </c>
      <c r="G1078" s="7"/>
      <c r="H1078" s="7"/>
      <c r="I1078" s="7"/>
      <c r="K1078" s="7"/>
      <c r="L1078" s="7"/>
      <c r="M1078" s="7"/>
      <c r="N1078" s="7"/>
      <c r="O1078" s="7"/>
      <c r="P1078" s="7"/>
      <c r="R1078" s="7"/>
      <c r="S1078" s="7"/>
    </row>
    <row r="1079" spans="1:19" ht="14.1" customHeight="1" x14ac:dyDescent="0.2">
      <c r="A1079" s="116">
        <f ca="1">IF($H1079="UNIDADE CONSTRUTIVA",OFFSET(A1079,-1,0)+1,LARGE(A$3:A1078,1))</f>
        <v>0</v>
      </c>
      <c r="B1079" s="116">
        <f t="shared" ca="1" si="148"/>
        <v>22</v>
      </c>
      <c r="C1079" s="116">
        <f t="shared" ca="1" si="149"/>
        <v>1</v>
      </c>
      <c r="D1079" s="117">
        <f t="shared" ca="1" si="150"/>
        <v>1</v>
      </c>
      <c r="E1079" s="117">
        <f t="shared" ca="1" si="151"/>
        <v>1</v>
      </c>
      <c r="G1079" s="7"/>
      <c r="H1079" s="7"/>
      <c r="I1079" s="7"/>
      <c r="K1079" s="7"/>
      <c r="L1079" s="7"/>
      <c r="M1079" s="7"/>
      <c r="N1079" s="7"/>
      <c r="O1079" s="7"/>
      <c r="P1079" s="7"/>
      <c r="R1079" s="7"/>
      <c r="S1079" s="7"/>
    </row>
    <row r="1080" spans="1:19" ht="14.1" customHeight="1" x14ac:dyDescent="0.2">
      <c r="A1080" s="116">
        <f ca="1">IF($H1080="UNIDADE CONSTRUTIVA",OFFSET(A1080,-1,0)+1,LARGE(A$3:A1079,1))</f>
        <v>0</v>
      </c>
      <c r="B1080" s="116">
        <f t="shared" ca="1" si="148"/>
        <v>22</v>
      </c>
      <c r="C1080" s="116">
        <f t="shared" ca="1" si="149"/>
        <v>1</v>
      </c>
      <c r="D1080" s="117">
        <f t="shared" ca="1" si="150"/>
        <v>1</v>
      </c>
      <c r="E1080" s="117">
        <f t="shared" ca="1" si="151"/>
        <v>1</v>
      </c>
      <c r="G1080" s="7"/>
      <c r="H1080" s="7"/>
      <c r="I1080" s="7"/>
      <c r="K1080" s="7"/>
      <c r="L1080" s="7"/>
      <c r="M1080" s="7"/>
      <c r="N1080" s="7"/>
      <c r="O1080" s="7"/>
      <c r="P1080" s="7"/>
      <c r="R1080" s="7"/>
      <c r="S1080" s="7"/>
    </row>
    <row r="1081" spans="1:19" ht="14.1" customHeight="1" x14ac:dyDescent="0.2">
      <c r="A1081" s="116">
        <f ca="1">IF($H1081="UNIDADE CONSTRUTIVA",OFFSET(A1081,-1,0)+1,LARGE(A$3:A1080,1))</f>
        <v>0</v>
      </c>
      <c r="B1081" s="116">
        <f t="shared" ca="1" si="148"/>
        <v>22</v>
      </c>
      <c r="C1081" s="116">
        <f t="shared" ca="1" si="149"/>
        <v>1</v>
      </c>
      <c r="D1081" s="117">
        <f t="shared" ca="1" si="150"/>
        <v>1</v>
      </c>
      <c r="E1081" s="117">
        <f t="shared" ca="1" si="151"/>
        <v>1</v>
      </c>
      <c r="G1081" s="7"/>
      <c r="H1081" s="7"/>
      <c r="I1081" s="7"/>
      <c r="K1081" s="7"/>
      <c r="L1081" s="7"/>
      <c r="M1081" s="7"/>
      <c r="N1081" s="7"/>
      <c r="O1081" s="7"/>
      <c r="P1081" s="7"/>
      <c r="R1081" s="7"/>
      <c r="S1081" s="7"/>
    </row>
    <row r="1082" spans="1:19" ht="14.1" customHeight="1" x14ac:dyDescent="0.2">
      <c r="A1082" s="116">
        <f ca="1">IF($H1082="UNIDADE CONSTRUTIVA",OFFSET(A1082,-1,0)+1,LARGE(A$3:A1081,1))</f>
        <v>0</v>
      </c>
      <c r="B1082" s="116">
        <f t="shared" ca="1" si="148"/>
        <v>22</v>
      </c>
      <c r="C1082" s="116">
        <f t="shared" ca="1" si="149"/>
        <v>1</v>
      </c>
      <c r="D1082" s="117">
        <f t="shared" ca="1" si="150"/>
        <v>1</v>
      </c>
      <c r="E1082" s="117">
        <f t="shared" ca="1" si="151"/>
        <v>1</v>
      </c>
      <c r="G1082" s="7"/>
      <c r="H1082" s="7"/>
      <c r="I1082" s="7"/>
      <c r="K1082" s="7"/>
      <c r="L1082" s="7"/>
      <c r="M1082" s="7"/>
      <c r="N1082" s="7"/>
      <c r="O1082" s="7"/>
      <c r="P1082" s="7"/>
      <c r="R1082" s="7"/>
      <c r="S1082" s="7"/>
    </row>
    <row r="1083" spans="1:19" ht="14.1" customHeight="1" x14ac:dyDescent="0.2">
      <c r="A1083" s="116">
        <f ca="1">IF($H1083="UNIDADE CONSTRUTIVA",OFFSET(A1083,-1,0)+1,LARGE(A$3:A1082,1))</f>
        <v>0</v>
      </c>
      <c r="B1083" s="116">
        <f t="shared" ca="1" si="148"/>
        <v>22</v>
      </c>
      <c r="C1083" s="116">
        <f t="shared" ca="1" si="149"/>
        <v>1</v>
      </c>
      <c r="D1083" s="117">
        <f t="shared" ca="1" si="150"/>
        <v>1</v>
      </c>
      <c r="E1083" s="117">
        <f t="shared" ca="1" si="151"/>
        <v>1</v>
      </c>
      <c r="G1083" s="7"/>
      <c r="H1083" s="7"/>
      <c r="I1083" s="7"/>
      <c r="K1083" s="7"/>
      <c r="L1083" s="7"/>
      <c r="M1083" s="7"/>
      <c r="N1083" s="7"/>
      <c r="O1083" s="7"/>
      <c r="P1083" s="7"/>
      <c r="R1083" s="7"/>
      <c r="S1083" s="7"/>
    </row>
    <row r="1084" spans="1:19" ht="14.1" customHeight="1" x14ac:dyDescent="0.2">
      <c r="A1084" s="116">
        <f ca="1">IF($H1084="UNIDADE CONSTRUTIVA",OFFSET(A1084,-1,0)+1,LARGE(A$3:A1083,1))</f>
        <v>0</v>
      </c>
      <c r="B1084" s="116">
        <f t="shared" ca="1" si="148"/>
        <v>22</v>
      </c>
      <c r="C1084" s="116">
        <f t="shared" ca="1" si="149"/>
        <v>1</v>
      </c>
      <c r="D1084" s="117">
        <f t="shared" ca="1" si="150"/>
        <v>1</v>
      </c>
      <c r="E1084" s="117">
        <f t="shared" ca="1" si="151"/>
        <v>1</v>
      </c>
      <c r="G1084" s="7"/>
      <c r="H1084" s="7"/>
      <c r="I1084" s="7"/>
      <c r="K1084" s="7"/>
      <c r="L1084" s="7"/>
      <c r="M1084" s="7"/>
      <c r="N1084" s="7"/>
      <c r="O1084" s="7"/>
      <c r="P1084" s="7"/>
      <c r="R1084" s="7"/>
      <c r="S1084" s="7"/>
    </row>
    <row r="1085" spans="1:19" ht="14.1" customHeight="1" x14ac:dyDescent="0.2">
      <c r="A1085" s="116">
        <f ca="1">IF($H1085="UNIDADE CONSTRUTIVA",OFFSET(A1085,-1,0)+1,LARGE(A$3:A1084,1))</f>
        <v>0</v>
      </c>
      <c r="B1085" s="116">
        <f t="shared" ca="1" si="148"/>
        <v>22</v>
      </c>
      <c r="C1085" s="116">
        <f t="shared" ca="1" si="149"/>
        <v>1</v>
      </c>
      <c r="D1085" s="117">
        <f t="shared" ca="1" si="150"/>
        <v>1</v>
      </c>
      <c r="E1085" s="117">
        <f t="shared" ca="1" si="151"/>
        <v>1</v>
      </c>
      <c r="G1085" s="7"/>
      <c r="H1085" s="7"/>
      <c r="I1085" s="7"/>
      <c r="K1085" s="7"/>
      <c r="L1085" s="7"/>
      <c r="M1085" s="7"/>
      <c r="N1085" s="7"/>
      <c r="O1085" s="7"/>
      <c r="P1085" s="7"/>
      <c r="R1085" s="7"/>
      <c r="S1085" s="7"/>
    </row>
  </sheetData>
  <autoFilter ref="G7:P451" xr:uid="{00000000-0009-0000-0000-000001000000}">
    <filterColumn colId="3" showButton="0"/>
  </autoFilter>
  <mergeCells count="1">
    <mergeCell ref="G6:P6"/>
  </mergeCells>
  <conditionalFormatting sqref="G63:G64 N102:N104 G108:P111 N120:P121 G271:P271 P271:P272 M273:P273 G305:P305 N324:P330 G337:O337 P358:P360 G362:P363 M438 O438:P438 G440:M440 P440 G126:M144 G341:L352 L33:L51 H40:H51 G43:K51 G54:L57 M55:P55 G102:M107 N105:O107 L112:L113 M112:M117 O114 N114:N115 G114:L117 N117:P117 G118:P118 G119:M122 O122 N122:N124 P122:P126 M123:M125 N157:O163 P163:P164 J273 G285:M286 N286:P286 N288:O289 P288:P291 G288:M293 N293:P293 G297:P303 G323:M330 P337:P341 M347:O348 M358:M360 G360:L360 G430:L438">
    <cfRule type="expression" dxfId="2733" priority="560">
      <formula>$H33="ETAPA"</formula>
    </cfRule>
  </conditionalFormatting>
  <conditionalFormatting sqref="G63:G64 O51 N102:N104 P113:P115 P304:P305 K275 P275:P276 P317:P320 P324:P330 P362:P363 P335 P347:P353 P120:P121 O337 G440:L440 P440 M438 O438 P358:P360 N108:P111 P271:P273">
    <cfRule type="expression" dxfId="2732" priority="558">
      <formula>$H51="SUBETAPA"</formula>
    </cfRule>
  </conditionalFormatting>
  <conditionalFormatting sqref="G220:I220 K220:P220 G240:P241 P280:P283 P425:P426">
    <cfRule type="expression" dxfId="2731" priority="1256">
      <formula>$H220="ETAPA"</formula>
    </cfRule>
  </conditionalFormatting>
  <conditionalFormatting sqref="G220:I220 K220:P220 P34:P35 P102:P104 P157:P163 M96:M98 G52:P53 G343:L351 G270:L272 M270:M277 G59:L61 H40:H51 G43:K51 H54:H55 G55:P55 G102:M116 N105:P107 O114 N114:N115 G117:P121 N122:O124 M125:M129 N126:P126 G126:L129 G130:P138 L133:L139 G139:K139 L139:M141 G142:P142 L143:M144 P270:P271 M271:O271 G273:O273 G283:M286 N286:P286 N288:O289 P288:P291 G288:M296 P293 G297:P303 G304:M305 P305 G321:M330 N324:P325 N326:O330 M337 O337:P337 P337:P345 G339:O341 M347:M351 G352:M352 G358:M360 G362:P363 G428:L438 P438 G145:P147 G277:L277 L388:M390 G85:P95 G156:P156 M157:M163 G157:L179 G365:M365 G404:M404 M148:M155 G338:N338 G32:K39 G98:P101 N116:P116 N139:P139 G239:L248 M240:P240 G262:M266 N266 G267:P269 N277:P277 G278:P279 N280:N282 P280:P282 G307:P311 G315:P315 G316:M316 N322:P322 G353:K357 M403 M405:M416 P407:P412 G410:L413 N414:P416 G417:M418 N418:O418 G419:O419 G420:P421 P424:P426">
    <cfRule type="expression" dxfId="2730" priority="1255">
      <formula>$H32="CÉLULA CONSTRUTIVA"</formula>
    </cfRule>
  </conditionalFormatting>
  <conditionalFormatting sqref="G386:I386 K386:N386 G439:M439 P273:P274 O439:P439">
    <cfRule type="expression" dxfId="2729" priority="61">
      <formula>$H273="SUBETAPA"</formula>
    </cfRule>
  </conditionalFormatting>
  <conditionalFormatting sqref="G403:I406">
    <cfRule type="expression" dxfId="2728" priority="49">
      <formula>$H403="ETAPA"</formula>
    </cfRule>
  </conditionalFormatting>
  <conditionalFormatting sqref="G445:I445 K445:N445">
    <cfRule type="expression" dxfId="2727" priority="778">
      <formula>$H445="SUBETAPA"</formula>
    </cfRule>
    <cfRule type="expression" dxfId="2726" priority="779">
      <formula>$H445="CÉLULA CONSTRUTIVA"</formula>
    </cfRule>
  </conditionalFormatting>
  <conditionalFormatting sqref="G385:J385 O102:O104 G387:J387">
    <cfRule type="expression" dxfId="2725" priority="247">
      <formula>$H102="SUBETAPA"</formula>
    </cfRule>
  </conditionalFormatting>
  <conditionalFormatting sqref="G32:K39 P34:P35 G59:L61 N139:P139 G145:P145 M262 J262:J266 M263:O266 G266:I266 K266:L266 G267:P269 M270 N277:P277 G278:P279 G307:P311 G315:P315 G322:P322 M341:O341 M349:N352 G356:L356 G365:J365 L365:M365 K403:M403 M404:O404 J404:J408 M405:M408 G409:M418 N417:O418 G419:O419 G420:P421 M59:M62 P266">
    <cfRule type="expression" dxfId="2724" priority="1783">
      <formula>$H32="ETAPA"</formula>
    </cfRule>
  </conditionalFormatting>
  <conditionalFormatting sqref="G112:K113">
    <cfRule type="expression" dxfId="2723" priority="6795">
      <formula>$H112="ETAPA"</formula>
    </cfRule>
  </conditionalFormatting>
  <conditionalFormatting sqref="G142:K142">
    <cfRule type="expression" dxfId="2722" priority="196">
      <formula>$H142="SUBETAPA"</formula>
    </cfRule>
  </conditionalFormatting>
  <conditionalFormatting sqref="G145:K145">
    <cfRule type="expression" dxfId="2721" priority="335">
      <formula>$H145="SUBETAPA"</formula>
    </cfRule>
  </conditionalFormatting>
  <conditionalFormatting sqref="G146:K146">
    <cfRule type="expression" dxfId="2720" priority="175">
      <formula>$H146="SUBETAPA"</formula>
    </cfRule>
  </conditionalFormatting>
  <conditionalFormatting sqref="G147:K147">
    <cfRule type="expression" dxfId="2719" priority="156">
      <formula>$H147="SUBETAPA"</formula>
    </cfRule>
  </conditionalFormatting>
  <conditionalFormatting sqref="G156:K156">
    <cfRule type="expression" dxfId="2718" priority="134">
      <formula>$H156="SUBETAPA"</formula>
    </cfRule>
  </conditionalFormatting>
  <conditionalFormatting sqref="G210:K213">
    <cfRule type="expression" dxfId="2717" priority="10292">
      <formula>$H210="SUBETAPA"</formula>
    </cfRule>
  </conditionalFormatting>
  <conditionalFormatting sqref="G342:K342">
    <cfRule type="expression" dxfId="2716" priority="5667">
      <formula>$H342="CÉLULA CONSTRUTIVA"</formula>
    </cfRule>
  </conditionalFormatting>
  <conditionalFormatting sqref="G365:K365">
    <cfRule type="expression" dxfId="2715" priority="1845">
      <formula>$H365="SUBETAPA"</formula>
    </cfRule>
  </conditionalFormatting>
  <conditionalFormatting sqref="G427:K429">
    <cfRule type="expression" dxfId="2714" priority="8801">
      <formula>$H427="ETAPA"</formula>
    </cfRule>
  </conditionalFormatting>
  <conditionalFormatting sqref="G445:K445">
    <cfRule type="expression" dxfId="2713" priority="771">
      <formula>$H445="ETAPA"</formula>
    </cfRule>
  </conditionalFormatting>
  <conditionalFormatting sqref="G8:L9 G13:L22 P19 G40:G42 G122:M122 O140:P140 O143:P143 P148 G150:K151 P152 O157:P157 N158:P162 P164 M164:M166 O165:P166 M167:N167 M168 O168:P168 M169:N169 M170 O170:P170 P172 M176 O176:P176 M178 P178 M193:N193 G228:M228 P228 G229:O231 G234:M235 P234:P235 O235:P236 M236 P245 P283 O284:P285 O295:P295 O388:P388 G388:K390 G414:I416 K414:K416 N426:O426 N436:P436 O246:P247 P427 P430:P431 G23:M23 G24:L31 L33:L35 O75:P76 O423:P423 M431:P432 P433 N434:P434 P445:P446 N20:P22 G224:M224 M24:M25 N14:P16 P122:P125 N18:P18 G148:I149 G152:I153 G154:K155 G123:I125 J125:L125 N125:O125 O126 G58:M58 L65:L69 G56:L57 O174:P174 M174">
    <cfRule type="expression" dxfId="2712" priority="14043">
      <formula>$H8="CÉLULA CONSTRUTIVA"</formula>
    </cfRule>
  </conditionalFormatting>
  <conditionalFormatting sqref="G18:L18 N18:O18 G40:G42 O75:P76 O246:P247 O423:P423 M431:P432 P433 N434:P434 P446 P331 P353:P354 O378:P378 P422 P424 G378:L380 M380 J381 G382:K382 G331:K331 M331 O332:P332 G332:M333 P346 P333 P336 O119:P119 G422:K422 G423:M424">
    <cfRule type="expression" dxfId="2711" priority="14044">
      <formula>$H18="ETAPA"</formula>
    </cfRule>
  </conditionalFormatting>
  <conditionalFormatting sqref="G70:L73">
    <cfRule type="expression" dxfId="2710" priority="695">
      <formula>$H70="SUBETAPA"</formula>
    </cfRule>
  </conditionalFormatting>
  <conditionalFormatting sqref="G74:L78 P74:P78 M77:P78 G79:P84 P84:P93 G96:K96 G215:I215 K215:N215 G217:I217 K217:N217 G219:N219 G221:I221 K221:N221 G222:N222">
    <cfRule type="expression" dxfId="2709" priority="4669">
      <formula>$H74="CÉLULA CONSTRUTIVA"</formula>
    </cfRule>
  </conditionalFormatting>
  <conditionalFormatting sqref="G169:L179 G191:L199">
    <cfRule type="expression" dxfId="2708" priority="8538">
      <formula>$H169="ETAPA"</formula>
    </cfRule>
  </conditionalFormatting>
  <conditionalFormatting sqref="G180:L184 J185 G190:L190 J191">
    <cfRule type="expression" dxfId="2707" priority="13202">
      <formula>$H180="ETAPA"</formula>
    </cfRule>
  </conditionalFormatting>
  <conditionalFormatting sqref="G180:L197">
    <cfRule type="expression" dxfId="2706" priority="13200">
      <formula>$H180="SUBETAPA"</formula>
    </cfRule>
  </conditionalFormatting>
  <conditionalFormatting sqref="G180:L199">
    <cfRule type="expression" dxfId="2705" priority="13201">
      <formula>$H180="CÉLULA CONSTRUTIVA"</formula>
    </cfRule>
  </conditionalFormatting>
  <conditionalFormatting sqref="G185:L189">
    <cfRule type="expression" dxfId="2704" priority="1042">
      <formula>$H185="ETAPA"</formula>
    </cfRule>
  </conditionalFormatting>
  <conditionalFormatting sqref="G198:L206 J207 G169:L179">
    <cfRule type="expression" dxfId="2703" priority="8536">
      <formula>$H169="SUBETAPA"</formula>
    </cfRule>
  </conditionalFormatting>
  <conditionalFormatting sqref="G200:L206 J207">
    <cfRule type="expression" dxfId="2702" priority="10073">
      <formula>$H200="CÉLULA CONSTRUTIVA"</formula>
    </cfRule>
  </conditionalFormatting>
  <conditionalFormatting sqref="G207:L207 N207 P207">
    <cfRule type="expression" dxfId="2701" priority="1188">
      <formula>$H207="CÉLULA CONSTRUTIVA"</formula>
    </cfRule>
  </conditionalFormatting>
  <conditionalFormatting sqref="G236:L237 M237:O237 P237:P238 M242:P242 M244:P244 G208:L209 G232:L233 N233:P233 G54:N54">
    <cfRule type="expression" dxfId="2700" priority="3597">
      <formula>$H54="CÉLULA CONSTRUTIVA"</formula>
    </cfRule>
  </conditionalFormatting>
  <conditionalFormatting sqref="G236:L237 N113:O113 O115:P115 M237:O237 P237:P238 M244:P244 G280:M282">
    <cfRule type="expression" dxfId="2699" priority="1788">
      <formula>$H113="SUBETAPA"</formula>
    </cfRule>
  </conditionalFormatting>
  <conditionalFormatting sqref="G250:L250 N250 P250 M273 M288:M291 N356:P356 M440 O440:P440">
    <cfRule type="expression" dxfId="2698" priority="10806">
      <formula>$H250="ETAPA"</formula>
    </cfRule>
  </conditionalFormatting>
  <conditionalFormatting sqref="G250:L250 N250 P250 M273 M288:M291 N356:P356 O440:P440 M440">
    <cfRule type="expression" dxfId="2697" priority="10805">
      <formula>$H250="CÉLULA CONSTRUTIVA"</formula>
    </cfRule>
  </conditionalFormatting>
  <conditionalFormatting sqref="G252:L252 G254:L254 G256:L256 M61:O61">
    <cfRule type="expression" dxfId="2696" priority="13999">
      <formula>$H61="CÉLULA CONSTRUTIVA"</formula>
    </cfRule>
  </conditionalFormatting>
  <conditionalFormatting sqref="G257:L260 O257:P258 M257:M258">
    <cfRule type="expression" dxfId="2695" priority="4526">
      <formula>$H257="CÉLULA CONSTRUTIVA"</formula>
    </cfRule>
  </conditionalFormatting>
  <conditionalFormatting sqref="G257:L260">
    <cfRule type="expression" dxfId="2694" priority="4525">
      <formula>$H257="SUBETAPA"</formula>
    </cfRule>
  </conditionalFormatting>
  <conditionalFormatting sqref="G334:L334 N334:O334">
    <cfRule type="expression" dxfId="2693" priority="98">
      <formula>$H334="SUBETAPA"</formula>
    </cfRule>
  </conditionalFormatting>
  <conditionalFormatting sqref="G343:L343">
    <cfRule type="expression" dxfId="2692" priority="51">
      <formula>$H343="SUBETAPA"</formula>
    </cfRule>
  </conditionalFormatting>
  <conditionalFormatting sqref="G344:L344">
    <cfRule type="expression" dxfId="2691" priority="55">
      <formula>$H344="SUBETAPA"</formula>
    </cfRule>
  </conditionalFormatting>
  <conditionalFormatting sqref="G345:L345">
    <cfRule type="expression" dxfId="2690" priority="811">
      <formula>$H345="SUBETAPA"</formula>
    </cfRule>
  </conditionalFormatting>
  <conditionalFormatting sqref="G358:L358">
    <cfRule type="expression" dxfId="2689" priority="4">
      <formula>$H358="ETAPA"</formula>
    </cfRule>
  </conditionalFormatting>
  <conditionalFormatting sqref="G359:L359">
    <cfRule type="expression" dxfId="2688" priority="13119">
      <formula>$H359="ETAPA"</formula>
    </cfRule>
  </conditionalFormatting>
  <conditionalFormatting sqref="G401:L401 J402">
    <cfRule type="expression" dxfId="2687" priority="4008">
      <formula>$H401="CÉLULA CONSTRUTIVA"</formula>
    </cfRule>
  </conditionalFormatting>
  <conditionalFormatting sqref="G403:L403 G405:L408">
    <cfRule type="expression" dxfId="2686" priority="4119">
      <formula>$H403="CÉLULA CONSTRUTIVA"</formula>
    </cfRule>
  </conditionalFormatting>
  <conditionalFormatting sqref="G409:L409">
    <cfRule type="expression" dxfId="2685" priority="3107">
      <formula>$H409="CÉLULA CONSTRUTIVA"</formula>
    </cfRule>
  </conditionalFormatting>
  <conditionalFormatting sqref="G10:M12">
    <cfRule type="expression" dxfId="2684" priority="487">
      <formula>$H10="SUBETAPA"</formula>
    </cfRule>
    <cfRule type="expression" dxfId="2683" priority="482">
      <formula>$H10="ETAPA"</formula>
    </cfRule>
    <cfRule type="expression" dxfId="2682" priority="481">
      <formula>$H10="CÉLULA CONSTRUTIVA"</formula>
    </cfRule>
  </conditionalFormatting>
  <conditionalFormatting sqref="G18:M18 M313 G368:M375 M382:M383 G425:M426">
    <cfRule type="expression" dxfId="2681" priority="8585">
      <formula>$H18="SUBETAPA"</formula>
    </cfRule>
  </conditionalFormatting>
  <conditionalFormatting sqref="G58:M58 J59">
    <cfRule type="expression" dxfId="2680" priority="638">
      <formula>$H58="ETAPA"</formula>
    </cfRule>
  </conditionalFormatting>
  <conditionalFormatting sqref="G146:M147">
    <cfRule type="expression" dxfId="2679" priority="157">
      <formula>$H146="ETAPA"</formula>
    </cfRule>
  </conditionalFormatting>
  <conditionalFormatting sqref="G156:M165">
    <cfRule type="expression" dxfId="2678" priority="118">
      <formula>$H156="ETAPA"</formula>
    </cfRule>
  </conditionalFormatting>
  <conditionalFormatting sqref="G226:M226">
    <cfRule type="expression" dxfId="2677" priority="1143">
      <formula>$H226="SUBETAPA"</formula>
    </cfRule>
  </conditionalFormatting>
  <conditionalFormatting sqref="G249:M249 J250 O249:P249">
    <cfRule type="expression" dxfId="2676" priority="4570">
      <formula>$H249="CÉLULA CONSTRUTIVA"</formula>
    </cfRule>
  </conditionalFormatting>
  <conditionalFormatting sqref="G249:M249 O249:P249 J250">
    <cfRule type="expression" dxfId="2675" priority="4571">
      <formula>$H249="ETAPA"</formula>
    </cfRule>
  </conditionalFormatting>
  <conditionalFormatting sqref="G261:M261">
    <cfRule type="expression" dxfId="2674" priority="4269">
      <formula>$H261="CÉLULA CONSTRUTIVA"</formula>
    </cfRule>
  </conditionalFormatting>
  <conditionalFormatting sqref="G261:M266">
    <cfRule type="expression" dxfId="2673" priority="4268">
      <formula>$H261="SUBETAPA"</formula>
    </cfRule>
  </conditionalFormatting>
  <conditionalFormatting sqref="G275:M277">
    <cfRule type="expression" dxfId="2672" priority="308">
      <formula>$H275="ETAPA"</formula>
    </cfRule>
  </conditionalFormatting>
  <conditionalFormatting sqref="G321:M321 O321:P321">
    <cfRule type="expression" dxfId="2671" priority="306">
      <formula>$H321="SUBETAPA"</formula>
    </cfRule>
  </conditionalFormatting>
  <conditionalFormatting sqref="G333:M333 P333">
    <cfRule type="expression" dxfId="2670" priority="3677">
      <formula>$H333="SUBETAPA"</formula>
    </cfRule>
  </conditionalFormatting>
  <conditionalFormatting sqref="G377:M377">
    <cfRule type="expression" dxfId="2669" priority="4851">
      <formula>$H377="ETAPA"</formula>
    </cfRule>
    <cfRule type="expression" dxfId="2668" priority="4850">
      <formula>$H377="CÉLULA CONSTRUTIVA"</formula>
    </cfRule>
    <cfRule type="expression" dxfId="2667" priority="4849">
      <formula>$H377="SUBETAPA"</formula>
    </cfRule>
  </conditionalFormatting>
  <conditionalFormatting sqref="G379:M379">
    <cfRule type="expression" dxfId="2666" priority="4822">
      <formula>$H379="CÉLULA CONSTRUTIVA"</formula>
    </cfRule>
    <cfRule type="expression" dxfId="2665" priority="4821">
      <formula>$H379="SUBETAPA"</formula>
    </cfRule>
  </conditionalFormatting>
  <conditionalFormatting sqref="G380:M381 O380:P381 G382:L382 O378:P378 P422">
    <cfRule type="expression" dxfId="2664" priority="13803">
      <formula>$H378="SUBETAPA"</formula>
    </cfRule>
  </conditionalFormatting>
  <conditionalFormatting sqref="G394:M394">
    <cfRule type="expression" dxfId="2663" priority="3286">
      <formula>$H394="SUBETAPA"</formula>
    </cfRule>
    <cfRule type="expression" dxfId="2662" priority="3287">
      <formula>$H394="CÉLULA CONSTRUTIVA"</formula>
    </cfRule>
    <cfRule type="expression" dxfId="2661" priority="3288">
      <formula>$H394="ETAPA"</formula>
    </cfRule>
  </conditionalFormatting>
  <conditionalFormatting sqref="G396:M396">
    <cfRule type="expression" dxfId="2660" priority="3280">
      <formula>$H396="CÉLULA CONSTRUTIVA"</formula>
    </cfRule>
    <cfRule type="expression" dxfId="2659" priority="3281">
      <formula>$H396="ETAPA"</formula>
    </cfRule>
    <cfRule type="expression" dxfId="2658" priority="3279">
      <formula>$H396="SUBETAPA"</formula>
    </cfRule>
  </conditionalFormatting>
  <conditionalFormatting sqref="G398:M398">
    <cfRule type="expression" dxfId="2657" priority="3273">
      <formula>$H398="CÉLULA CONSTRUTIVA"</formula>
    </cfRule>
    <cfRule type="expression" dxfId="2656" priority="3272">
      <formula>$H398="SUBETAPA"</formula>
    </cfRule>
    <cfRule type="expression" dxfId="2655" priority="3274">
      <formula>$H398="ETAPA"</formula>
    </cfRule>
  </conditionalFormatting>
  <conditionalFormatting sqref="G400:M400">
    <cfRule type="expression" dxfId="2654" priority="3265">
      <formula>$H400="SUBETAPA"</formula>
    </cfRule>
    <cfRule type="expression" dxfId="2653" priority="3267">
      <formula>$H400="ETAPA"</formula>
    </cfRule>
    <cfRule type="expression" dxfId="2652" priority="3266">
      <formula>$H400="CÉLULA CONSTRUTIVA"</formula>
    </cfRule>
  </conditionalFormatting>
  <conditionalFormatting sqref="G402:M402">
    <cfRule type="expression" dxfId="2651" priority="3969">
      <formula>$H402="CÉLULA CONSTRUTIVA"</formula>
    </cfRule>
  </conditionalFormatting>
  <conditionalFormatting sqref="G402:M404">
    <cfRule type="expression" dxfId="2650" priority="3968">
      <formula>$H402="SUBETAPA"</formula>
    </cfRule>
  </conditionalFormatting>
  <conditionalFormatting sqref="G405:M418">
    <cfRule type="expression" dxfId="2649" priority="3106">
      <formula>$H405="SUBETAPA"</formula>
    </cfRule>
  </conditionalFormatting>
  <conditionalFormatting sqref="G251:N251 J252">
    <cfRule type="expression" dxfId="2648" priority="4539">
      <formula>$H251="ETAPA"</formula>
    </cfRule>
    <cfRule type="expression" dxfId="2647" priority="4537">
      <formula>$H251="SUBETAPA"</formula>
    </cfRule>
    <cfRule type="expression" dxfId="2646" priority="4538">
      <formula>$H251="CÉLULA CONSTRUTIVA"</formula>
    </cfRule>
  </conditionalFormatting>
  <conditionalFormatting sqref="G342:N342">
    <cfRule type="expression" dxfId="2645" priority="5666">
      <formula>$H342="SUBETAPA"</formula>
    </cfRule>
  </conditionalFormatting>
  <conditionalFormatting sqref="G361:N361 P361">
    <cfRule type="expression" dxfId="2644" priority="3645">
      <formula>$H361="SUBETAPA"</formula>
    </cfRule>
    <cfRule type="expression" dxfId="2643" priority="3646">
      <formula>$H361="CÉLULA CONSTRUTIVA"</formula>
    </cfRule>
    <cfRule type="expression" dxfId="2642" priority="3647">
      <formula>$H361="ETAPA"</formula>
    </cfRule>
  </conditionalFormatting>
  <conditionalFormatting sqref="G376:N376">
    <cfRule type="expression" dxfId="2641" priority="3187">
      <formula>$H376="SUBETAPA"</formula>
    </cfRule>
    <cfRule type="expression" dxfId="2640" priority="3188">
      <formula>$H376="CÉLULA CONSTRUTIVA"</formula>
    </cfRule>
    <cfRule type="expression" dxfId="2639" priority="3189">
      <formula>$H376="ETAPA"</formula>
    </cfRule>
  </conditionalFormatting>
  <conditionalFormatting sqref="G384:N384">
    <cfRule type="expression" dxfId="2638" priority="233">
      <formula>$H384="ETAPA"</formula>
    </cfRule>
    <cfRule type="expression" dxfId="2637" priority="232">
      <formula>$H384="CÉLULA CONSTRUTIVA"</formula>
    </cfRule>
    <cfRule type="expression" dxfId="2636" priority="231">
      <formula>$H384="SUBETAPA"</formula>
    </cfRule>
  </conditionalFormatting>
  <conditionalFormatting sqref="G391:N393 G395:P395 G397:P397 G399:P399">
    <cfRule type="expression" dxfId="2635" priority="3291">
      <formula>$H391="ETAPA"</formula>
    </cfRule>
    <cfRule type="expression" dxfId="2634" priority="3290">
      <formula>$H391="CÉLULA CONSTRUTIVA"</formula>
    </cfRule>
    <cfRule type="expression" dxfId="2633" priority="3289">
      <formula>$H391="SUBETAPA"</formula>
    </cfRule>
  </conditionalFormatting>
  <conditionalFormatting sqref="G427:N427">
    <cfRule type="expression" dxfId="2632" priority="10063">
      <formula>$H427="SUBETAPA"</formula>
    </cfRule>
  </conditionalFormatting>
  <conditionalFormatting sqref="G444:N444">
    <cfRule type="expression" dxfId="2631" priority="497">
      <formula>$H444="SUBETAPA"</formula>
    </cfRule>
    <cfRule type="expression" dxfId="2630" priority="498">
      <formula>$H444="CÉLULA CONSTRUTIVA"</formula>
    </cfRule>
  </conditionalFormatting>
  <conditionalFormatting sqref="G62:O62 G65:L73 P66:P69">
    <cfRule type="expression" dxfId="2629" priority="591">
      <formula>$H62="ETAPA"</formula>
    </cfRule>
  </conditionalFormatting>
  <conditionalFormatting sqref="G223:O223 N224:P225 O226:P226 O232:P232 N234:O234 N164:O164">
    <cfRule type="expression" dxfId="2628" priority="13488">
      <formula>$H164="ETAPA"</formula>
    </cfRule>
  </conditionalFormatting>
  <conditionalFormatting sqref="G223:O223 N224:P225 O226:P226 O232:P232 N234:O234">
    <cfRule type="expression" dxfId="2627" priority="13487">
      <formula>$H223="CÉLULA CONSTRUTIVA"</formula>
    </cfRule>
  </conditionalFormatting>
  <conditionalFormatting sqref="G238:O238 N165:N166 N168 N170 N172 N176 N228 N232 N235:N236 G441:N441 G442:M443 L446:L447 G446:K448">
    <cfRule type="expression" dxfId="2626" priority="8868">
      <formula>$H165="SUBETAPA"</formula>
    </cfRule>
  </conditionalFormatting>
  <conditionalFormatting sqref="G272:O272 O274">
    <cfRule type="expression" dxfId="2625" priority="796">
      <formula>$H272="ETAPA"</formula>
    </cfRule>
  </conditionalFormatting>
  <conditionalFormatting sqref="G304:O304">
    <cfRule type="expression" dxfId="2624" priority="3759">
      <formula>$H304="ETAPA"</formula>
    </cfRule>
  </conditionalFormatting>
  <conditionalFormatting sqref="G334:O335">
    <cfRule type="expression" dxfId="2623" priority="97">
      <formula>$H334="ETAPA"</formula>
    </cfRule>
  </conditionalFormatting>
  <conditionalFormatting sqref="G337:O337">
    <cfRule type="expression" dxfId="2622" priority="3666">
      <formula>$H337="SUBETAPA"</formula>
    </cfRule>
  </conditionalFormatting>
  <conditionalFormatting sqref="G338:O340">
    <cfRule type="expression" dxfId="2621" priority="10">
      <formula>$H338="ETAPA"</formula>
    </cfRule>
  </conditionalFormatting>
  <conditionalFormatting sqref="G8:P9 N13:P13">
    <cfRule type="expression" dxfId="2620" priority="4661">
      <formula>$H8="ETAPA"</formula>
    </cfRule>
  </conditionalFormatting>
  <conditionalFormatting sqref="G94:P94">
    <cfRule type="expression" dxfId="2619" priority="227">
      <formula>$H94="ETAPA"</formula>
    </cfRule>
  </conditionalFormatting>
  <conditionalFormatting sqref="G95:P101">
    <cfRule type="expression" dxfId="2618" priority="1324">
      <formula>$H95="ETAPA"</formula>
    </cfRule>
  </conditionalFormatting>
  <conditionalFormatting sqref="G97:P97">
    <cfRule type="expression" dxfId="2617" priority="847">
      <formula>$H97="SUBETAPA"</formula>
    </cfRule>
  </conditionalFormatting>
  <conditionalFormatting sqref="G214:P218 J219">
    <cfRule type="expression" dxfId="2616" priority="1264">
      <formula>$H214="SUBETAPA"</formula>
    </cfRule>
  </conditionalFormatting>
  <conditionalFormatting sqref="G216:P216 J217">
    <cfRule type="expression" dxfId="2615" priority="1276">
      <formula>$H216="ETAPA"</formula>
    </cfRule>
    <cfRule type="expression" dxfId="2614" priority="1275">
      <formula>$H216="CÉLULA CONSTRUTIVA"</formula>
    </cfRule>
  </conditionalFormatting>
  <conditionalFormatting sqref="G218:P218 J219">
    <cfRule type="expression" dxfId="2613" priority="1265">
      <formula>$H218="CÉLULA CONSTRUTIVA"</formula>
    </cfRule>
    <cfRule type="expression" dxfId="2612" priority="1266">
      <formula>$H218="ETAPA"</formula>
    </cfRule>
  </conditionalFormatting>
  <conditionalFormatting sqref="G219:P219">
    <cfRule type="expression" dxfId="2611" priority="4662">
      <formula>$H219="SUBETAPA"</formula>
    </cfRule>
  </conditionalFormatting>
  <conditionalFormatting sqref="G220:P222">
    <cfRule type="expression" dxfId="2610" priority="1239">
      <formula>$H220="SUBETAPA"</formula>
    </cfRule>
  </conditionalFormatting>
  <conditionalFormatting sqref="G224:P225 O226:P226 O232:P232 G223:O223 N234:O234">
    <cfRule type="expression" dxfId="2609" priority="13486">
      <formula>$H223="SUBETAPA"</formula>
    </cfRule>
  </conditionalFormatting>
  <conditionalFormatting sqref="G227:P227">
    <cfRule type="expression" dxfId="2608" priority="1127">
      <formula>$H227="SUBETAPA"</formula>
    </cfRule>
  </conditionalFormatting>
  <conditionalFormatting sqref="G260:P260">
    <cfRule type="expression" dxfId="2607" priority="4259">
      <formula>$H260="ETAPA"</formula>
    </cfRule>
  </conditionalFormatting>
  <conditionalFormatting sqref="G261:P261">
    <cfRule type="expression" dxfId="2606" priority="4262">
      <formula>$H261="ETAPA"</formula>
    </cfRule>
  </conditionalFormatting>
  <conditionalFormatting sqref="G312:P312">
    <cfRule type="expression" dxfId="2605" priority="3722">
      <formula>$H312="ETAPA"</formula>
    </cfRule>
  </conditionalFormatting>
  <conditionalFormatting sqref="G314:P314">
    <cfRule type="expression" dxfId="2604" priority="3738">
      <formula>$H314="ETAPA"</formula>
    </cfRule>
  </conditionalFormatting>
  <conditionalFormatting sqref="G316:P316">
    <cfRule type="expression" dxfId="2603" priority="3730">
      <formula>$H316="ETAPA"</formula>
    </cfRule>
  </conditionalFormatting>
  <conditionalFormatting sqref="G317:P317">
    <cfRule type="expression" dxfId="2602" priority="105">
      <formula>$H317="SUBETAPA"</formula>
    </cfRule>
  </conditionalFormatting>
  <conditionalFormatting sqref="G317:P320">
    <cfRule type="expression" dxfId="2601" priority="104">
      <formula>$H317="ETAPA"</formula>
    </cfRule>
  </conditionalFormatting>
  <conditionalFormatting sqref="G318:P319">
    <cfRule type="expression" dxfId="2600" priority="107">
      <formula>$H318="SUBETAPA"</formula>
    </cfRule>
  </conditionalFormatting>
  <conditionalFormatting sqref="G320:P320">
    <cfRule type="expression" dxfId="2599" priority="109">
      <formula>$H320="SUBETAPA"</formula>
    </cfRule>
  </conditionalFormatting>
  <conditionalFormatting sqref="G321:P321">
    <cfRule type="expression" dxfId="2598" priority="305">
      <formula>$H321="ETAPA"</formula>
    </cfRule>
  </conditionalFormatting>
  <conditionalFormatting sqref="G364:P364 O44:O51">
    <cfRule type="expression" dxfId="2597" priority="3589">
      <formula>$H44="ETAPA"</formula>
    </cfRule>
  </conditionalFormatting>
  <conditionalFormatting sqref="G401:P401">
    <cfRule type="expression" dxfId="2596" priority="3959">
      <formula>$H401="ETAPA"</formula>
    </cfRule>
  </conditionalFormatting>
  <conditionalFormatting sqref="G402:P402">
    <cfRule type="expression" dxfId="2595" priority="3962">
      <formula>$H402="ETAPA"</formula>
    </cfRule>
  </conditionalFormatting>
  <conditionalFormatting sqref="H63:H64">
    <cfRule type="expression" dxfId="2594" priority="552">
      <formula>$H63="SUBETAPA"</formula>
    </cfRule>
    <cfRule type="expression" dxfId="2593" priority="553">
      <formula>$H63="CÉLULA CONSTRUTIVA"</formula>
    </cfRule>
    <cfRule type="expression" dxfId="2592" priority="554">
      <formula>$H63="ETAPA"</formula>
    </cfRule>
  </conditionalFormatting>
  <conditionalFormatting sqref="I40:K42">
    <cfRule type="expression" dxfId="2591" priority="13914">
      <formula>$H40="ETAPA"</formula>
    </cfRule>
    <cfRule type="expression" dxfId="2590" priority="13913">
      <formula>$H40="CÉLULA CONSTRUTIVA"</formula>
    </cfRule>
    <cfRule type="expression" dxfId="2589" priority="13912">
      <formula>$H40="SUBETAPA"</formula>
    </cfRule>
  </conditionalFormatting>
  <conditionalFormatting sqref="I63:K64">
    <cfRule type="expression" dxfId="2588" priority="555">
      <formula>$H63="SUBETAPA"</formula>
    </cfRule>
    <cfRule type="expression" dxfId="2587" priority="557">
      <formula>$H63="ETAPA"</formula>
    </cfRule>
    <cfRule type="expression" dxfId="2586" priority="556">
      <formula>$H63="CÉLULA CONSTRUTIVA"</formula>
    </cfRule>
  </conditionalFormatting>
  <conditionalFormatting sqref="J133">
    <cfRule type="expression" dxfId="2585" priority="24">
      <formula>$H133="CÉLULA CONSTRUTIVA"</formula>
    </cfRule>
    <cfRule type="expression" dxfId="2584" priority="23">
      <formula>$H133="SUBETAPA"</formula>
    </cfRule>
    <cfRule type="expression" dxfId="2583" priority="22">
      <formula>$H133="SUBETAPA"</formula>
    </cfRule>
    <cfRule type="expression" dxfId="2582" priority="21">
      <formula>$H133="CÉLULA CONSTRUTIVA"</formula>
    </cfRule>
  </conditionalFormatting>
  <conditionalFormatting sqref="J141">
    <cfRule type="expression" dxfId="2581" priority="198">
      <formula>$H141="SUBETAPA"</formula>
    </cfRule>
    <cfRule type="expression" dxfId="2580" priority="197">
      <formula>$H141="CÉLULA CONSTRUTIVA"</formula>
    </cfRule>
  </conditionalFormatting>
  <conditionalFormatting sqref="J142">
    <cfRule type="expression" dxfId="2579" priority="179">
      <formula>$H142="SUBETAPA"</formula>
    </cfRule>
  </conditionalFormatting>
  <conditionalFormatting sqref="J144">
    <cfRule type="expression" dxfId="2578" priority="177">
      <formula>$H144="CÉLULA CONSTRUTIVA"</formula>
    </cfRule>
  </conditionalFormatting>
  <conditionalFormatting sqref="J144:J145">
    <cfRule type="expression" dxfId="2577" priority="178">
      <formula>$H144="SUBETAPA"</formula>
    </cfRule>
  </conditionalFormatting>
  <conditionalFormatting sqref="J145">
    <cfRule type="expression" dxfId="2576" priority="176">
      <formula>$H145="ETAPA"</formula>
    </cfRule>
  </conditionalFormatting>
  <conditionalFormatting sqref="J147">
    <cfRule type="expression" dxfId="2575" priority="139">
      <formula>$H147="SUBETAPA"</formula>
    </cfRule>
  </conditionalFormatting>
  <conditionalFormatting sqref="J149">
    <cfRule type="expression" dxfId="2574" priority="135">
      <formula>$H149="CÉLULA CONSTRUTIVA"</formula>
    </cfRule>
    <cfRule type="expression" dxfId="2573" priority="137">
      <formula>$H149="ETAPA"</formula>
    </cfRule>
    <cfRule type="expression" dxfId="2572" priority="138">
      <formula>$H149="SUBETAPA"</formula>
    </cfRule>
    <cfRule type="expression" dxfId="2571" priority="136">
      <formula>$H149="SUBETAPA"</formula>
    </cfRule>
  </conditionalFormatting>
  <conditionalFormatting sqref="J216:J221">
    <cfRule type="expression" dxfId="2570" priority="1253">
      <formula>$H216="ETAPA"</formula>
    </cfRule>
    <cfRule type="expression" dxfId="2569" priority="1251">
      <formula>$H216="SUBETAPA"</formula>
    </cfRule>
    <cfRule type="expression" dxfId="2568" priority="1252">
      <formula>$H216="CÉLULA CONSTRUTIVA"</formula>
    </cfRule>
  </conditionalFormatting>
  <conditionalFormatting sqref="J218:J219">
    <cfRule type="expression" dxfId="2567" priority="1249">
      <formula>$H218="CÉLULA CONSTRUTIVA"</formula>
    </cfRule>
    <cfRule type="expression" dxfId="2566" priority="1245">
      <formula>$H218="SUBETAPA"</formula>
    </cfRule>
    <cfRule type="expression" dxfId="2565" priority="1246">
      <formula>$H218="CÉLULA CONSTRUTIVA"</formula>
    </cfRule>
    <cfRule type="expression" dxfId="2564" priority="1247">
      <formula>$H218="ETAPA"</formula>
    </cfRule>
    <cfRule type="expression" dxfId="2563" priority="1248">
      <formula>$H218="SUBETAPA"</formula>
    </cfRule>
    <cfRule type="expression" dxfId="2562" priority="1250">
      <formula>$H218="ETAPA"</formula>
    </cfRule>
  </conditionalFormatting>
  <conditionalFormatting sqref="J219:J221">
    <cfRule type="expression" dxfId="2561" priority="1243">
      <formula>$H219="CÉLULA CONSTRUTIVA"</formula>
    </cfRule>
    <cfRule type="expression" dxfId="2560" priority="1244">
      <formula>$H219="ETAPA"</formula>
    </cfRule>
    <cfRule type="expression" dxfId="2559" priority="1242">
      <formula>$H219="SUBETAPA"</formula>
    </cfRule>
  </conditionalFormatting>
  <conditionalFormatting sqref="J220:J221">
    <cfRule type="expression" dxfId="2558" priority="1240">
      <formula>$H220="CÉLULA CONSTRUTIVA"</formula>
    </cfRule>
    <cfRule type="expression" dxfId="2557" priority="1241">
      <formula>$H220="ETAPA"</formula>
    </cfRule>
  </conditionalFormatting>
  <conditionalFormatting sqref="J248:J252 G239:L249">
    <cfRule type="expression" dxfId="2556" priority="4569">
      <formula>$H239="SUBETAPA"</formula>
    </cfRule>
  </conditionalFormatting>
  <conditionalFormatting sqref="J249:J252">
    <cfRule type="expression" dxfId="2555" priority="917">
      <formula>$H249="CÉLULA CONSTRUTIVA"</formula>
    </cfRule>
  </conditionalFormatting>
  <conditionalFormatting sqref="J249:J256">
    <cfRule type="expression" dxfId="2554" priority="922">
      <formula>$H249="ETAPA"</formula>
    </cfRule>
  </conditionalFormatting>
  <conditionalFormatting sqref="J250:J252">
    <cfRule type="expression" dxfId="2553" priority="919">
      <formula>$H250="ETAPA"</formula>
    </cfRule>
  </conditionalFormatting>
  <conditionalFormatting sqref="J251:J252">
    <cfRule type="expression" dxfId="2552" priority="914">
      <formula>$H251="SUBETAPA"</formula>
    </cfRule>
    <cfRule type="expression" dxfId="2551" priority="915">
      <formula>$H251="CÉLULA CONSTRUTIVA"</formula>
    </cfRule>
    <cfRule type="expression" dxfId="2550" priority="916">
      <formula>$H251="ETAPA"</formula>
    </cfRule>
  </conditionalFormatting>
  <conditionalFormatting sqref="J251:J256">
    <cfRule type="expression" dxfId="2549" priority="920">
      <formula>$H251="SUBETAPA"</formula>
    </cfRule>
    <cfRule type="expression" dxfId="2548" priority="921">
      <formula>$H251="CÉLULA CONSTRUTIVA"</formula>
    </cfRule>
  </conditionalFormatting>
  <conditionalFormatting sqref="J252:J256">
    <cfRule type="expression" dxfId="2547" priority="913">
      <formula>$H252="ETAPA"</formula>
    </cfRule>
    <cfRule type="expression" dxfId="2546" priority="13484">
      <formula>$H252="CÉLULA CONSTRUTIVA"</formula>
    </cfRule>
    <cfRule type="expression" dxfId="2545" priority="13485">
      <formula>$H252="ETAPA"</formula>
    </cfRule>
    <cfRule type="expression" dxfId="2544" priority="912">
      <formula>$H252="CÉLULA CONSTRUTIVA"</formula>
    </cfRule>
    <cfRule type="expression" dxfId="2543" priority="911">
      <formula>$H252="SUBETAPA"</formula>
    </cfRule>
  </conditionalFormatting>
  <conditionalFormatting sqref="J254 J256">
    <cfRule type="expression" dxfId="2542" priority="13482">
      <formula>$H254="CÉLULA CONSTRUTIVA"</formula>
    </cfRule>
    <cfRule type="expression" dxfId="2541" priority="13483">
      <formula>$H254="ETAPA"</formula>
    </cfRule>
  </conditionalFormatting>
  <conditionalFormatting sqref="J317">
    <cfRule type="expression" dxfId="2540" priority="103">
      <formula>$H317="SUBETAPA"</formula>
    </cfRule>
  </conditionalFormatting>
  <conditionalFormatting sqref="J317:J319">
    <cfRule type="expression" dxfId="2539" priority="100">
      <formula>$H317="ETAPA"</formula>
    </cfRule>
  </conditionalFormatting>
  <conditionalFormatting sqref="J318:J319">
    <cfRule type="expression" dxfId="2538" priority="101">
      <formula>$H318="SUBETAPA"</formula>
    </cfRule>
  </conditionalFormatting>
  <conditionalFormatting sqref="J386">
    <cfRule type="expression" dxfId="2537" priority="60">
      <formula>$H386="ETAPA"</formula>
    </cfRule>
    <cfRule type="expression" dxfId="2536" priority="59">
      <formula>$H386="CÉLULA CONSTRUTIVA"</formula>
    </cfRule>
    <cfRule type="expression" dxfId="2535" priority="58">
      <formula>$H386="SUBETAPA"</formula>
    </cfRule>
  </conditionalFormatting>
  <conditionalFormatting sqref="J402 G401:L401">
    <cfRule type="expression" dxfId="2534" priority="4007">
      <formula>$H401="SUBETAPA"</formula>
    </cfRule>
  </conditionalFormatting>
  <conditionalFormatting sqref="J403 J405:J407 G407:I407 K407:L407 G408:L408">
    <cfRule type="expression" dxfId="2533" priority="4120">
      <formula>$H403="ETAPA"</formula>
    </cfRule>
  </conditionalFormatting>
  <conditionalFormatting sqref="J414:J416 L414:L416">
    <cfRule type="expression" dxfId="2532" priority="3113">
      <formula>$H414="CÉLULA CONSTRUTIVA"</formula>
    </cfRule>
  </conditionalFormatting>
  <conditionalFormatting sqref="J445">
    <cfRule type="expression" dxfId="2531" priority="770">
      <formula>$H445="CÉLULA CONSTRUTIVA"</formula>
    </cfRule>
    <cfRule type="expression" dxfId="2530" priority="769">
      <formula>$H445="SUBETAPA"</formula>
    </cfRule>
  </conditionalFormatting>
  <conditionalFormatting sqref="J123:M124">
    <cfRule type="expression" dxfId="2529" priority="12707">
      <formula>$H123="CÉLULA CONSTRUTIVA"</formula>
    </cfRule>
  </conditionalFormatting>
  <conditionalFormatting sqref="K53">
    <cfRule type="expression" dxfId="2528" priority="821">
      <formula>$H53="CÉLULA CONSTRUTIVA"</formula>
    </cfRule>
    <cfRule type="expression" dxfId="2527" priority="822">
      <formula>$H53="SUBETAPA"</formula>
    </cfRule>
  </conditionalFormatting>
  <conditionalFormatting sqref="K237">
    <cfRule type="expression" dxfId="2526" priority="1320">
      <formula>$H237="ETAPA"</formula>
    </cfRule>
  </conditionalFormatting>
  <conditionalFormatting sqref="K237:K238">
    <cfRule type="expression" dxfId="2525" priority="1297">
      <formula>$H237="CÉLULA CONSTRUTIVA"</formula>
    </cfRule>
  </conditionalFormatting>
  <conditionalFormatting sqref="K238">
    <cfRule type="expression" dxfId="2524" priority="1296">
      <formula>$H238="SUBETAPA"</formula>
    </cfRule>
  </conditionalFormatting>
  <conditionalFormatting sqref="K365">
    <cfRule type="expression" dxfId="2523" priority="1846">
      <formula>$H365="ETAPA"</formula>
    </cfRule>
  </conditionalFormatting>
  <conditionalFormatting sqref="K262:L265">
    <cfRule type="expression" dxfId="2522" priority="7898">
      <formula>$H262="ETAPA"</formula>
    </cfRule>
  </conditionalFormatting>
  <conditionalFormatting sqref="K404:L406">
    <cfRule type="expression" dxfId="2521" priority="48">
      <formula>$H404="ETAPA"</formula>
    </cfRule>
  </conditionalFormatting>
  <conditionalFormatting sqref="K385:M385 K387:M387">
    <cfRule type="expression" dxfId="2520" priority="254">
      <formula>$H385="SUBETAPA"</formula>
    </cfRule>
    <cfRule type="expression" dxfId="2519" priority="255">
      <formula>$H385="CÉLULA CONSTRUTIVA"</formula>
    </cfRule>
    <cfRule type="expression" dxfId="2518" priority="256">
      <formula>$H385="ETAPA"</formula>
    </cfRule>
  </conditionalFormatting>
  <conditionalFormatting sqref="L63:L64">
    <cfRule type="expression" dxfId="2517" priority="523">
      <formula>$H63="CÉLULA CONSTRUTIVA"</formula>
    </cfRule>
    <cfRule type="expression" dxfId="2516" priority="524">
      <formula>$H63="ETAPA"</formula>
    </cfRule>
  </conditionalFormatting>
  <conditionalFormatting sqref="L96 N144:O144">
    <cfRule type="expression" dxfId="2515" priority="4145">
      <formula>$H96="CÉLULA CONSTRUTIVA"</formula>
    </cfRule>
  </conditionalFormatting>
  <conditionalFormatting sqref="L123:L124">
    <cfRule type="expression" dxfId="2514" priority="12708">
      <formula>$H123="ETAPA"</formula>
    </cfRule>
  </conditionalFormatting>
  <conditionalFormatting sqref="L145:L147">
    <cfRule type="expression" dxfId="2513" priority="114">
      <formula>$H145="ETAPA"</formula>
    </cfRule>
  </conditionalFormatting>
  <conditionalFormatting sqref="L153:L155">
    <cfRule type="expression" dxfId="2512" priority="113">
      <formula>$H153="SUBETAPA"</formula>
    </cfRule>
    <cfRule type="expression" dxfId="2511" priority="112">
      <formula>$H153="CÉLULA CONSTRUTIVA"</formula>
    </cfRule>
  </conditionalFormatting>
  <conditionalFormatting sqref="L153:L156">
    <cfRule type="expression" dxfId="2510" priority="110">
      <formula>$H153="ETAPA"</formula>
    </cfRule>
  </conditionalFormatting>
  <conditionalFormatting sqref="L211 P211">
    <cfRule type="expression" dxfId="2509" priority="10763">
      <formula>$H211="CÉLULA CONSTRUTIVA"</formula>
    </cfRule>
    <cfRule type="expression" dxfId="2508" priority="10764">
      <formula>$H211="ETAPA"</formula>
    </cfRule>
  </conditionalFormatting>
  <conditionalFormatting sqref="L381:L382">
    <cfRule type="expression" dxfId="2507" priority="13192">
      <formula>$H381="ETAPA"</formula>
    </cfRule>
  </conditionalFormatting>
  <conditionalFormatting sqref="L428:L429">
    <cfRule type="expression" dxfId="2506" priority="8798">
      <formula>$H428="ETAPA"</formula>
    </cfRule>
  </conditionalFormatting>
  <conditionalFormatting sqref="L32:M32 G24:L31">
    <cfRule type="expression" dxfId="2505" priority="13286">
      <formula>$H24="ETAPA"</formula>
    </cfRule>
  </conditionalFormatting>
  <conditionalFormatting sqref="L32:M32">
    <cfRule type="expression" dxfId="2504" priority="13285">
      <formula>$H32="CÉLULA CONSTRUTIVA"</formula>
    </cfRule>
  </conditionalFormatting>
  <conditionalFormatting sqref="L36:M51 N163:P164 N360:P360 P102:P103 N44:N51 P44:P51 J253:J256">
    <cfRule type="expression" dxfId="2503" priority="909">
      <formula>$H36="CÉLULA CONSTRUTIVA"</formula>
    </cfRule>
  </conditionalFormatting>
  <conditionalFormatting sqref="L212:M213">
    <cfRule type="expression" dxfId="2502" priority="10272">
      <formula>$H212="CÉLULA CONSTRUTIVA"</formula>
    </cfRule>
    <cfRule type="expression" dxfId="2501" priority="10273">
      <formula>$H212="ETAPA"</formula>
    </cfRule>
  </conditionalFormatting>
  <conditionalFormatting sqref="L444:M444">
    <cfRule type="expression" dxfId="2500" priority="496">
      <formula>$H444="ETAPA"</formula>
    </cfRule>
  </conditionalFormatting>
  <conditionalFormatting sqref="L365:N365 P365:P367">
    <cfRule type="expression" dxfId="2499" priority="3612">
      <formula>$H365="SUBETAPA"</formula>
    </cfRule>
  </conditionalFormatting>
  <conditionalFormatting sqref="L445:N445">
    <cfRule type="expression" dxfId="2498" priority="780">
      <formula>$H445="ETAPA"</formula>
    </cfRule>
  </conditionalFormatting>
  <conditionalFormatting sqref="L211:O213">
    <cfRule type="expression" dxfId="2497" priority="1195">
      <formula>$H211="SUBETAPA"</formula>
    </cfRule>
  </conditionalFormatting>
  <conditionalFormatting sqref="M11:M12">
    <cfRule type="expression" dxfId="2496" priority="456">
      <formula>$H11="CÉLULA CONSTRUTIVA"</formula>
    </cfRule>
    <cfRule type="expression" dxfId="2495" priority="458">
      <formula>$H11="CÉLULA CONSTRUTIVA"</formula>
    </cfRule>
    <cfRule type="expression" dxfId="2494" priority="459">
      <formula>$H11="ETAPA"</formula>
    </cfRule>
    <cfRule type="expression" dxfId="2493" priority="460">
      <formula>$H11="CÉLULA CONSTRUTIVA"</formula>
    </cfRule>
    <cfRule type="expression" dxfId="2492" priority="457">
      <formula>$H11="ETAPA"</formula>
    </cfRule>
  </conditionalFormatting>
  <conditionalFormatting sqref="M13:M22 M313 G368:M375 M382:M383 G425:M426">
    <cfRule type="expression" dxfId="2491" priority="8586">
      <formula>$H13="CÉLULA CONSTRUTIVA"</formula>
    </cfRule>
  </conditionalFormatting>
  <conditionalFormatting sqref="M14:M16 M20:M22">
    <cfRule type="expression" dxfId="2490" priority="8578">
      <formula>$H14="ETAPA"</formula>
    </cfRule>
    <cfRule type="expression" dxfId="2489" priority="8579">
      <formula>$H14="CÉLULA CONSTRUTIVA"</formula>
    </cfRule>
    <cfRule type="expression" dxfId="2488" priority="8577">
      <formula>$H14="CÉLULA CONSTRUTIVA"</formula>
    </cfRule>
    <cfRule type="expression" dxfId="2487" priority="8576">
      <formula>$H14="ETAPA"</formula>
    </cfRule>
    <cfRule type="expression" dxfId="2486" priority="8575">
      <formula>$H14="CÉLULA CONSTRUTIVA"</formula>
    </cfRule>
  </conditionalFormatting>
  <conditionalFormatting sqref="M18 M313 G368:M375 M382:M383 M425:M426">
    <cfRule type="expression" dxfId="2485" priority="8587">
      <formula>$H18="ETAPA"</formula>
    </cfRule>
  </conditionalFormatting>
  <conditionalFormatting sqref="M18 M313 M368:M375 M382:M383 M425:M426">
    <cfRule type="expression" dxfId="2484" priority="8584">
      <formula>$H18="ETAPA"</formula>
    </cfRule>
    <cfRule type="expression" dxfId="2483" priority="8583">
      <formula>$H18="CÉLULA CONSTRUTIVA"</formula>
    </cfRule>
  </conditionalFormatting>
  <conditionalFormatting sqref="M18 M368:M375 M382:M383 M425:M426 M313">
    <cfRule type="expression" dxfId="2482" priority="8582">
      <formula>$H18="ETAPA"</formula>
    </cfRule>
  </conditionalFormatting>
  <conditionalFormatting sqref="M18 M368:M375 M382:M383 M425:M426">
    <cfRule type="expression" dxfId="2481" priority="8581">
      <formula>$H18="CÉLULA CONSTRUTIVA"</formula>
    </cfRule>
  </conditionalFormatting>
  <conditionalFormatting sqref="M24:M32">
    <cfRule type="expression" dxfId="2480" priority="8693">
      <formula>$H24="ETAPA"</formula>
    </cfRule>
  </conditionalFormatting>
  <conditionalFormatting sqref="M26:M32 M59:M62">
    <cfRule type="expression" dxfId="2479" priority="8692">
      <formula>$H26="CÉLULA CONSTRUTIVA"</formula>
    </cfRule>
  </conditionalFormatting>
  <conditionalFormatting sqref="M26:M32 M61:M62">
    <cfRule type="expression" dxfId="2478" priority="8691">
      <formula>$H26="ETAPA"</formula>
    </cfRule>
  </conditionalFormatting>
  <conditionalFormatting sqref="M33:M35">
    <cfRule type="expression" dxfId="2477" priority="13569">
      <formula>$H33="ETAPA"</formula>
    </cfRule>
    <cfRule type="expression" dxfId="2476" priority="13568">
      <formula>$H33="CÉLULA CONSTRUTIVA"</formula>
    </cfRule>
  </conditionalFormatting>
  <conditionalFormatting sqref="M34">
    <cfRule type="expression" dxfId="2475" priority="1004">
      <formula>$H34="ETAPA"</formula>
    </cfRule>
    <cfRule type="expression" dxfId="2474" priority="1003">
      <formula>$H34="CÉLULA CONSTRUTIVA"</formula>
    </cfRule>
  </conditionalFormatting>
  <conditionalFormatting sqref="M36:M51 J232 G233:L233 N233:P233">
    <cfRule type="expression" dxfId="2473" priority="1254">
      <formula>$H36="SUBETAPA"</formula>
    </cfRule>
  </conditionalFormatting>
  <conditionalFormatting sqref="M36:M51 N44:N51 P44:P51 P102:P103 P163:P164 J253:J256 P360">
    <cfRule type="expression" dxfId="2472" priority="910">
      <formula>$H36="ETAPA"</formula>
    </cfRule>
  </conditionalFormatting>
  <conditionalFormatting sqref="M37">
    <cfRule type="expression" dxfId="2471" priority="8701">
      <formula>$H37="ETAPA"</formula>
    </cfRule>
    <cfRule type="expression" dxfId="2470" priority="8700">
      <formula>$H37="CÉLULA CONSTRUTIVA"</formula>
    </cfRule>
  </conditionalFormatting>
  <conditionalFormatting sqref="M57">
    <cfRule type="expression" dxfId="2469" priority="8656">
      <formula>$H57="ETAPA"</formula>
    </cfRule>
    <cfRule type="expression" dxfId="2468" priority="8655">
      <formula>$H57="CÉLULA CONSTRUTIVA"</formula>
    </cfRule>
  </conditionalFormatting>
  <conditionalFormatting sqref="M61:M62 M26:M32">
    <cfRule type="expression" dxfId="2467" priority="8690">
      <formula>$H26="CÉLULA CONSTRUTIVA"</formula>
    </cfRule>
  </conditionalFormatting>
  <conditionalFormatting sqref="M63:M64">
    <cfRule type="expression" dxfId="2466" priority="525">
      <formula>$H63="SUBETAPA"</formula>
    </cfRule>
    <cfRule type="expression" dxfId="2465" priority="526">
      <formula>$H63="CÉLULA CONSTRUTIVA"</formula>
    </cfRule>
    <cfRule type="expression" dxfId="2464" priority="527">
      <formula>$H63="ETAPA"</formula>
    </cfRule>
  </conditionalFormatting>
  <conditionalFormatting sqref="M65:M73">
    <cfRule type="expression" dxfId="2463" priority="609">
      <formula>$H65="CÉLULA CONSTRUTIVA"</formula>
    </cfRule>
    <cfRule type="expression" dxfId="2462" priority="610">
      <formula>$H65="ETAPA"</formula>
    </cfRule>
  </conditionalFormatting>
  <conditionalFormatting sqref="M66">
    <cfRule type="expression" dxfId="2461" priority="561">
      <formula>$H66="CÉLULA CONSTRUTIVA"</formula>
    </cfRule>
    <cfRule type="expression" dxfId="2460" priority="562">
      <formula>$H66="ETAPA"</formula>
    </cfRule>
  </conditionalFormatting>
  <conditionalFormatting sqref="M68">
    <cfRule type="expression" dxfId="2459" priority="577">
      <formula>$H68="CÉLULA CONSTRUTIVA"</formula>
    </cfRule>
    <cfRule type="expression" dxfId="2458" priority="578">
      <formula>$H68="ETAPA"</formula>
    </cfRule>
  </conditionalFormatting>
  <conditionalFormatting sqref="M70:M72 N70">
    <cfRule type="expression" dxfId="2457" priority="589">
      <formula>$H70="SUBETAPA"</formula>
    </cfRule>
  </conditionalFormatting>
  <conditionalFormatting sqref="M71">
    <cfRule type="expression" dxfId="2456" priority="607">
      <formula>$H71="ETAPA"</formula>
    </cfRule>
    <cfRule type="expression" dxfId="2455" priority="606">
      <formula>$H71="CÉLULA CONSTRUTIVA"</formula>
    </cfRule>
  </conditionalFormatting>
  <conditionalFormatting sqref="M73">
    <cfRule type="expression" dxfId="2454" priority="608">
      <formula>$H73="SUBETAPA"</formula>
    </cfRule>
  </conditionalFormatting>
  <conditionalFormatting sqref="M203">
    <cfRule type="expression" dxfId="2453" priority="363">
      <formula>$H203="SUBETAPA"</formula>
    </cfRule>
    <cfRule type="expression" dxfId="2452" priority="364">
      <formula>$H203="CÉLULA CONSTRUTIVA"</formula>
    </cfRule>
    <cfRule type="expression" dxfId="2451" priority="365">
      <formula>$H203="ETAPA"</formula>
    </cfRule>
  </conditionalFormatting>
  <conditionalFormatting sqref="M207">
    <cfRule type="expression" dxfId="2450" priority="360">
      <formula>$H207="SUBETAPA"</formula>
    </cfRule>
    <cfRule type="expression" dxfId="2449" priority="361">
      <formula>$H207="CÉLULA CONSTRUTIVA"</formula>
    </cfRule>
    <cfRule type="expression" dxfId="2448" priority="362">
      <formula>$H207="ETAPA"</formula>
    </cfRule>
  </conditionalFormatting>
  <conditionalFormatting sqref="M209">
    <cfRule type="expression" dxfId="2447" priority="357">
      <formula>$H209="SUBETAPA"</formula>
    </cfRule>
    <cfRule type="expression" dxfId="2446" priority="358">
      <formula>$H209="CÉLULA CONSTRUTIVA"</formula>
    </cfRule>
    <cfRule type="expression" dxfId="2445" priority="359">
      <formula>$H209="ETAPA"</formula>
    </cfRule>
  </conditionalFormatting>
  <conditionalFormatting sqref="M233 M343:M345">
    <cfRule type="expression" dxfId="2444" priority="936">
      <formula>$H233="ETAPA"</formula>
    </cfRule>
    <cfRule type="expression" dxfId="2443" priority="935">
      <formula>$H233="CÉLULA CONSTRUTIVA"</formula>
    </cfRule>
    <cfRule type="expression" dxfId="2442" priority="932">
      <formula>$H233="CÉLULA CONSTRUTIVA"</formula>
    </cfRule>
    <cfRule type="expression" dxfId="2441" priority="931">
      <formula>$H233="ETAPA"</formula>
    </cfRule>
    <cfRule type="expression" dxfId="2440" priority="933">
      <formula>$H233="ETAPA"</formula>
    </cfRule>
    <cfRule type="expression" dxfId="2439" priority="934">
      <formula>$H233="SUBETAPA"</formula>
    </cfRule>
  </conditionalFormatting>
  <conditionalFormatting sqref="M233">
    <cfRule type="expression" dxfId="2438" priority="930">
      <formula>$H233="CÉLULA CONSTRUTIVA"</formula>
    </cfRule>
  </conditionalFormatting>
  <conditionalFormatting sqref="M239 O239:P239">
    <cfRule type="expression" dxfId="2437" priority="1289">
      <formula>$H239="CÉLULA CONSTRUTIVA"</formula>
    </cfRule>
  </conditionalFormatting>
  <conditionalFormatting sqref="M241 O241:P241">
    <cfRule type="expression" dxfId="2436" priority="1295">
      <formula>$H241="CÉLULA CONSTRUTIVA"</formula>
    </cfRule>
  </conditionalFormatting>
  <conditionalFormatting sqref="M243 O243:P243">
    <cfRule type="expression" dxfId="2435" priority="1238">
      <formula>$H243="CÉLULA CONSTRUTIVA"</formula>
    </cfRule>
  </conditionalFormatting>
  <conditionalFormatting sqref="M250">
    <cfRule type="expression" dxfId="2434" priority="908">
      <formula>$H250="ETAPA"</formula>
    </cfRule>
    <cfRule type="expression" dxfId="2433" priority="907">
      <formula>$H250="CÉLULA CONSTRUTIVA"</formula>
    </cfRule>
    <cfRule type="expression" dxfId="2432" priority="906">
      <formula>$H250="SUBETAPA"</formula>
    </cfRule>
  </conditionalFormatting>
  <conditionalFormatting sqref="M252">
    <cfRule type="expression" dxfId="2431" priority="903">
      <formula>$H252="SUBETAPA"</formula>
    </cfRule>
    <cfRule type="expression" dxfId="2430" priority="905">
      <formula>$H252="ETAPA"</formula>
    </cfRule>
    <cfRule type="expression" dxfId="2429" priority="904">
      <formula>$H252="CÉLULA CONSTRUTIVA"</formula>
    </cfRule>
  </conditionalFormatting>
  <conditionalFormatting sqref="M254 M256">
    <cfRule type="expression" dxfId="2428" priority="902">
      <formula>$H254="ETAPA"</formula>
    </cfRule>
    <cfRule type="expression" dxfId="2427" priority="901">
      <formula>$H254="CÉLULA CONSTRUTIVA"</formula>
    </cfRule>
    <cfRule type="expression" dxfId="2426" priority="900">
      <formula>$H254="SUBETAPA"</formula>
    </cfRule>
  </conditionalFormatting>
  <conditionalFormatting sqref="M257:M258 O257:P258 G257:L259">
    <cfRule type="expression" dxfId="2425" priority="4527">
      <formula>$H257="ETAPA"</formula>
    </cfRule>
  </conditionalFormatting>
  <conditionalFormatting sqref="M259">
    <cfRule type="expression" dxfId="2424" priority="899">
      <formula>$H259="ETAPA"</formula>
    </cfRule>
    <cfRule type="expression" dxfId="2423" priority="897">
      <formula>$H259="SUBETAPA"</formula>
    </cfRule>
    <cfRule type="expression" dxfId="2422" priority="898">
      <formula>$H259="CÉLULA CONSTRUTIVA"</formula>
    </cfRule>
  </conditionalFormatting>
  <conditionalFormatting sqref="M274">
    <cfRule type="expression" dxfId="2421" priority="3770">
      <formula>$H274="SUBETAPA"</formula>
    </cfRule>
  </conditionalFormatting>
  <conditionalFormatting sqref="M356">
    <cfRule type="expression" dxfId="2420" priority="96">
      <formula>$H356="ETAPA"</formula>
    </cfRule>
    <cfRule type="expression" dxfId="2419" priority="92">
      <formula>$H356="CÉLULA CONSTRUTIVA"</formula>
    </cfRule>
    <cfRule type="expression" dxfId="2418" priority="95">
      <formula>$H356="CÉLULA CONSTRUTIVA"</formula>
    </cfRule>
    <cfRule type="expression" dxfId="2417" priority="93">
      <formula>$H356="ETAPA"</formula>
    </cfRule>
    <cfRule type="expression" dxfId="2416" priority="90">
      <formula>$H356="CÉLULA CONSTRUTIVA"</formula>
    </cfRule>
    <cfRule type="expression" dxfId="2415" priority="91">
      <formula>$H356="ETAPA"</formula>
    </cfRule>
    <cfRule type="expression" dxfId="2414" priority="94">
      <formula>$H356="SUBETAPA"</formula>
    </cfRule>
  </conditionalFormatting>
  <conditionalFormatting sqref="M365">
    <cfRule type="expression" dxfId="2413" priority="3592">
      <formula>$H365="CÉLULA CONSTRUTIVA"</formula>
    </cfRule>
    <cfRule type="expression" dxfId="2412" priority="3593">
      <formula>$H365="ETAPA"</formula>
    </cfRule>
    <cfRule type="expression" dxfId="2411" priority="3594">
      <formula>$H365="CÉLULA CONSTRUTIVA"</formula>
    </cfRule>
    <cfRule type="expression" dxfId="2410" priority="3595">
      <formula>$H365="ETAPA"</formula>
    </cfRule>
    <cfRule type="expression" dxfId="2409" priority="89">
      <formula>$H365="ETAPA"</formula>
    </cfRule>
  </conditionalFormatting>
  <conditionalFormatting sqref="M377">
    <cfRule type="expression" dxfId="2408" priority="4848">
      <formula>$H377="ETAPA"</formula>
    </cfRule>
    <cfRule type="expression" dxfId="2407" priority="4846">
      <formula>$H377="ETAPA"</formula>
    </cfRule>
    <cfRule type="expression" dxfId="2406" priority="4847">
      <formula>$H377="CÉLULA CONSTRUTIVA"</formula>
    </cfRule>
    <cfRule type="expression" dxfId="2405" priority="4845">
      <formula>$H377="CÉLULA CONSTRUTIVA"</formula>
    </cfRule>
  </conditionalFormatting>
  <conditionalFormatting sqref="M379">
    <cfRule type="expression" dxfId="2404" priority="4817">
      <formula>$H379="CÉLULA CONSTRUTIVA"</formula>
    </cfRule>
    <cfRule type="expression" dxfId="2403" priority="4823">
      <formula>$H379="ETAPA"</formula>
    </cfRule>
    <cfRule type="expression" dxfId="2402" priority="4819">
      <formula>$H379="CÉLULA CONSTRUTIVA"</formula>
    </cfRule>
    <cfRule type="expression" dxfId="2401" priority="4820">
      <formula>$H379="ETAPA"</formula>
    </cfRule>
    <cfRule type="expression" dxfId="2400" priority="4818">
      <formula>$H379="ETAPA"</formula>
    </cfRule>
  </conditionalFormatting>
  <conditionalFormatting sqref="M385 M387">
    <cfRule type="expression" dxfId="2399" priority="250">
      <formula>$H385="CÉLULA CONSTRUTIVA"</formula>
    </cfRule>
    <cfRule type="expression" dxfId="2398" priority="252">
      <formula>$H385="CÉLULA CONSTRUTIVA"</formula>
    </cfRule>
    <cfRule type="expression" dxfId="2397" priority="251">
      <formula>$H385="ETAPA"</formula>
    </cfRule>
  </conditionalFormatting>
  <conditionalFormatting sqref="M385 M387:M390">
    <cfRule type="expression" dxfId="2396" priority="253">
      <formula>$H385="ETAPA"</formula>
    </cfRule>
  </conditionalFormatting>
  <conditionalFormatting sqref="M394">
    <cfRule type="expression" dxfId="2395" priority="3283">
      <formula>$H394="ETAPA"</formula>
    </cfRule>
    <cfRule type="expression" dxfId="2394" priority="3282">
      <formula>$H394="CÉLULA CONSTRUTIVA"</formula>
    </cfRule>
    <cfRule type="expression" dxfId="2393" priority="3285">
      <formula>$H394="ETAPA"</formula>
    </cfRule>
    <cfRule type="expression" dxfId="2392" priority="3284">
      <formula>$H394="CÉLULA CONSTRUTIVA"</formula>
    </cfRule>
  </conditionalFormatting>
  <conditionalFormatting sqref="M396">
    <cfRule type="expression" dxfId="2391" priority="3278">
      <formula>$H396="ETAPA"</formula>
    </cfRule>
    <cfRule type="expression" dxfId="2390" priority="3277">
      <formula>$H396="CÉLULA CONSTRUTIVA"</formula>
    </cfRule>
    <cfRule type="expression" dxfId="2389" priority="3276">
      <formula>$H396="ETAPA"</formula>
    </cfRule>
    <cfRule type="expression" dxfId="2388" priority="3275">
      <formula>$H396="CÉLULA CONSTRUTIVA"</formula>
    </cfRule>
  </conditionalFormatting>
  <conditionalFormatting sqref="M398">
    <cfRule type="expression" dxfId="2387" priority="3270">
      <formula>$H398="CÉLULA CONSTRUTIVA"</formula>
    </cfRule>
    <cfRule type="expression" dxfId="2386" priority="3271">
      <formula>$H398="ETAPA"</formula>
    </cfRule>
    <cfRule type="expression" dxfId="2385" priority="3269">
      <formula>$H398="ETAPA"</formula>
    </cfRule>
    <cfRule type="expression" dxfId="2384" priority="3268">
      <formula>$H398="CÉLULA CONSTRUTIVA"</formula>
    </cfRule>
  </conditionalFormatting>
  <conditionalFormatting sqref="M400">
    <cfRule type="expression" dxfId="2383" priority="3264">
      <formula>$H400="ETAPA"</formula>
    </cfRule>
    <cfRule type="expression" dxfId="2382" priority="3263">
      <formula>$H400="CÉLULA CONSTRUTIVA"</formula>
    </cfRule>
    <cfRule type="expression" dxfId="2381" priority="3261">
      <formula>$H400="CÉLULA CONSTRUTIVA"</formula>
    </cfRule>
    <cfRule type="expression" dxfId="2380" priority="3262">
      <formula>$H400="ETAPA"</formula>
    </cfRule>
  </conditionalFormatting>
  <conditionalFormatting sqref="M434">
    <cfRule type="expression" dxfId="2379" priority="4383">
      <formula>$H434="SUBETAPA"</formula>
    </cfRule>
    <cfRule type="expression" dxfId="2378" priority="4384">
      <formula>$H434="CÉLULA CONSTRUTIVA"</formula>
    </cfRule>
    <cfRule type="expression" dxfId="2377" priority="4385">
      <formula>$H434="ETAPA"</formula>
    </cfRule>
  </conditionalFormatting>
  <conditionalFormatting sqref="M436">
    <cfRule type="expression" dxfId="2376" priority="896">
      <formula>$H436="ETAPA"</formula>
    </cfRule>
    <cfRule type="expression" dxfId="2375" priority="894">
      <formula>$H436="SUBETAPA"</formula>
    </cfRule>
    <cfRule type="expression" dxfId="2374" priority="895">
      <formula>$H436="CÉLULA CONSTRUTIVA"</formula>
    </cfRule>
  </conditionalFormatting>
  <conditionalFormatting sqref="M437">
    <cfRule type="expression" dxfId="2373" priority="892">
      <formula>$H437="CÉLULA CONSTRUTIVA"</formula>
    </cfRule>
    <cfRule type="expression" dxfId="2372" priority="893">
      <formula>$H437="ETAPA"</formula>
    </cfRule>
    <cfRule type="expression" dxfId="2371" priority="891">
      <formula>$H437="SUBETAPA"</formula>
    </cfRule>
  </conditionalFormatting>
  <conditionalFormatting sqref="M440">
    <cfRule type="expression" dxfId="2370" priority="3237">
      <formula>$H440="SUBETAPA"</formula>
    </cfRule>
    <cfRule type="expression" dxfId="2369" priority="3236">
      <formula>$H440="ETAPA"</formula>
    </cfRule>
    <cfRule type="expression" dxfId="2368" priority="3235">
      <formula>$H440="CÉLULA CONSTRUTIVA"</formula>
    </cfRule>
  </conditionalFormatting>
  <conditionalFormatting sqref="M452">
    <cfRule type="expression" dxfId="2367" priority="14055">
      <formula>$H449="ETAPA"</formula>
    </cfRule>
    <cfRule type="expression" dxfId="2366" priority="14054">
      <formula>$H449="CÉLULA CONSTRUTIVA"</formula>
    </cfRule>
    <cfRule type="expression" dxfId="2365" priority="14053">
      <formula>$H449="SUBETAPA"</formula>
    </cfRule>
  </conditionalFormatting>
  <conditionalFormatting sqref="M12:N12">
    <cfRule type="expression" dxfId="2364" priority="461">
      <formula>$H12="ETAPA"</formula>
    </cfRule>
  </conditionalFormatting>
  <conditionalFormatting sqref="M35:N35">
    <cfRule type="expression" dxfId="2363" priority="1005">
      <formula>$H35="CÉLULA CONSTRUTIVA"</formula>
    </cfRule>
    <cfRule type="expression" dxfId="2362" priority="1006">
      <formula>$H35="ETAPA"</formula>
    </cfRule>
  </conditionalFormatting>
  <conditionalFormatting sqref="M67:N67">
    <cfRule type="expression" dxfId="2361" priority="564">
      <formula>$H67="ETAPA"</formula>
    </cfRule>
    <cfRule type="expression" dxfId="2360" priority="563">
      <formula>$H67="CÉLULA CONSTRUTIVA"</formula>
    </cfRule>
  </conditionalFormatting>
  <conditionalFormatting sqref="M69:N69">
    <cfRule type="expression" dxfId="2359" priority="579">
      <formula>$H69="CÉLULA CONSTRUTIVA"</formula>
    </cfRule>
    <cfRule type="expression" dxfId="2358" priority="580">
      <formula>$H69="ETAPA"</formula>
    </cfRule>
  </conditionalFormatting>
  <conditionalFormatting sqref="M185:N185 M189:N189">
    <cfRule type="expression" dxfId="2357" priority="1064">
      <formula>$H185="ETAPA"</formula>
    </cfRule>
    <cfRule type="expression" dxfId="2356" priority="1063">
      <formula>$H185="CÉLULA CONSTRUTIVA"</formula>
    </cfRule>
  </conditionalFormatting>
  <conditionalFormatting sqref="M187:N187 P187">
    <cfRule type="expression" dxfId="2355" priority="1065">
      <formula>$H187="SUBETAPA"</formula>
    </cfRule>
  </conditionalFormatting>
  <conditionalFormatting sqref="M187:N187">
    <cfRule type="expression" dxfId="2354" priority="1066">
      <formula>$H187="CÉLULA CONSTRUTIVA"</formula>
    </cfRule>
  </conditionalFormatting>
  <conditionalFormatting sqref="M191:N191 M195:N195 O196:P196">
    <cfRule type="expression" dxfId="2353" priority="14005">
      <formula>$H191="ETAPA"</formula>
    </cfRule>
    <cfRule type="expression" dxfId="2352" priority="14004">
      <formula>$H191="CÉLULA CONSTRUTIVA"</formula>
    </cfRule>
  </conditionalFormatting>
  <conditionalFormatting sqref="M202:N202">
    <cfRule type="expression" dxfId="2351" priority="1222">
      <formula>$H202="ETAPA"</formula>
    </cfRule>
    <cfRule type="expression" dxfId="2350" priority="1221">
      <formula>$H202="CÉLULA CONSTRUTIVA"</formula>
    </cfRule>
  </conditionalFormatting>
  <conditionalFormatting sqref="M204:N204">
    <cfRule type="expression" dxfId="2349" priority="1160">
      <formula>$H204="ETAPA"</formula>
    </cfRule>
    <cfRule type="expression" dxfId="2348" priority="1159">
      <formula>$H204="CÉLULA CONSTRUTIVA"</formula>
    </cfRule>
  </conditionalFormatting>
  <conditionalFormatting sqref="M206:N206">
    <cfRule type="expression" dxfId="2347" priority="1149">
      <formula>$H206="ETAPA"</formula>
    </cfRule>
    <cfRule type="expression" dxfId="2346" priority="1148">
      <formula>$H206="CÉLULA CONSTRUTIVA"</formula>
    </cfRule>
  </conditionalFormatting>
  <conditionalFormatting sqref="M208:N208">
    <cfRule type="expression" dxfId="2345" priority="1210">
      <formula>$H208="CÉLULA CONSTRUTIVA"</formula>
    </cfRule>
    <cfRule type="expression" dxfId="2344" priority="1211">
      <formula>$H208="ETAPA"</formula>
    </cfRule>
  </conditionalFormatting>
  <conditionalFormatting sqref="M226:N226">
    <cfRule type="expression" dxfId="2343" priority="1137">
      <formula>$H226="ETAPA"</formula>
    </cfRule>
    <cfRule type="expression" dxfId="2342" priority="1136">
      <formula>$H226="CÉLULA CONSTRUTIVA"</formula>
    </cfRule>
  </conditionalFormatting>
  <conditionalFormatting sqref="M245:N249">
    <cfRule type="expression" dxfId="2341" priority="4559">
      <formula>$H245="SUBETAPA"</formula>
    </cfRule>
  </conditionalFormatting>
  <conditionalFormatting sqref="M255:N255">
    <cfRule type="expression" dxfId="2340" priority="369">
      <formula>$H255="SUBETAPA"</formula>
    </cfRule>
  </conditionalFormatting>
  <conditionalFormatting sqref="M270:N270">
    <cfRule type="expression" dxfId="2339" priority="3865">
      <formula>$H270="SUBETAPA"</formula>
    </cfRule>
  </conditionalFormatting>
  <conditionalFormatting sqref="M428:N428 P428:P429">
    <cfRule type="expression" dxfId="2338" priority="8776">
      <formula>$H428="CÉLULA CONSTRUTIVA"</formula>
    </cfRule>
  </conditionalFormatting>
  <conditionalFormatting sqref="M428:N428">
    <cfRule type="expression" dxfId="2337" priority="8775">
      <formula>$H428="SUBETAPA"</formula>
    </cfRule>
  </conditionalFormatting>
  <conditionalFormatting sqref="M11:O11">
    <cfRule type="expression" dxfId="2336" priority="449">
      <formula>$H11="ETAPA"</formula>
    </cfRule>
  </conditionalFormatting>
  <conditionalFormatting sqref="M14:O14">
    <cfRule type="expression" dxfId="2335" priority="977">
      <formula>$H14="ETAPA"</formula>
    </cfRule>
  </conditionalFormatting>
  <conditionalFormatting sqref="M15:O16 M21:O22">
    <cfRule type="expression" dxfId="2334" priority="8580">
      <formula>$H15="ETAPA"</formula>
    </cfRule>
  </conditionalFormatting>
  <conditionalFormatting sqref="M20:O20">
    <cfRule type="expression" dxfId="2333" priority="452">
      <formula>$H20="ETAPA"</formula>
    </cfRule>
  </conditionalFormatting>
  <conditionalFormatting sqref="M26:O31 O36:P36">
    <cfRule type="expression" dxfId="2332" priority="13902">
      <formula>$H26="ETAPA"</formula>
    </cfRule>
  </conditionalFormatting>
  <conditionalFormatting sqref="M26:O32 M31:M35 M23:M26 O25:P25">
    <cfRule type="expression" dxfId="2331" priority="13305">
      <formula>$H23="SUBETAPA"</formula>
    </cfRule>
  </conditionalFormatting>
  <conditionalFormatting sqref="M61:O61 G252:L252 G254:L254 G256:L256">
    <cfRule type="expression" dxfId="2330" priority="14000">
      <formula>$H61="ETAPA"</formula>
    </cfRule>
  </conditionalFormatting>
  <conditionalFormatting sqref="M149:O149">
    <cfRule type="expression" dxfId="2329" priority="20">
      <formula>$H149="ETAPA"</formula>
    </cfRule>
  </conditionalFormatting>
  <conditionalFormatting sqref="M167:O167">
    <cfRule type="expression" dxfId="2328" priority="386">
      <formula>$H167="ETAPA"</formula>
    </cfRule>
  </conditionalFormatting>
  <conditionalFormatting sqref="M169:O169">
    <cfRule type="expression" dxfId="2327" priority="1110">
      <formula>$H169="ETAPA"</formula>
    </cfRule>
  </conditionalFormatting>
  <conditionalFormatting sqref="M171:O171">
    <cfRule type="expression" dxfId="2326" priority="1106">
      <formula>$H171="CÉLULA CONSTRUTIVA"</formula>
    </cfRule>
    <cfRule type="expression" dxfId="2325" priority="1107">
      <formula>$H171="ETAPA"</formula>
    </cfRule>
  </conditionalFormatting>
  <conditionalFormatting sqref="M173:O173">
    <cfRule type="expression" dxfId="2324" priority="1104">
      <formula>$H173="ETAPA"</formula>
    </cfRule>
  </conditionalFormatting>
  <conditionalFormatting sqref="M175:O175">
    <cfRule type="expression" dxfId="2323" priority="1072">
      <formula>$H175="ETAPA"</formula>
    </cfRule>
  </conditionalFormatting>
  <conditionalFormatting sqref="M177:O177">
    <cfRule type="expression" dxfId="2322" priority="389">
      <formula>$H177="ETAPA"</formula>
    </cfRule>
  </conditionalFormatting>
  <conditionalFormatting sqref="M178:O178">
    <cfRule type="expression" dxfId="2321" priority="4353">
      <formula>$H178="ETAPA"</formula>
    </cfRule>
  </conditionalFormatting>
  <conditionalFormatting sqref="M179:O179">
    <cfRule type="expression" dxfId="2320" priority="1069">
      <formula>$H179="ETAPA"</formula>
    </cfRule>
  </conditionalFormatting>
  <conditionalFormatting sqref="M187:O187">
    <cfRule type="expression" dxfId="2319" priority="341">
      <formula>$H187="ETAPA"</formula>
    </cfRule>
  </conditionalFormatting>
  <conditionalFormatting sqref="M191:O191">
    <cfRule type="expression" dxfId="2318" priority="1024">
      <formula>$H191="SUBETAPA"</formula>
    </cfRule>
  </conditionalFormatting>
  <conditionalFormatting sqref="M195:O195">
    <cfRule type="expression" dxfId="2317" priority="1018">
      <formula>$H195="SUBETAPA"</formula>
    </cfRule>
  </conditionalFormatting>
  <conditionalFormatting sqref="M211:O211">
    <cfRule type="expression" dxfId="2316" priority="1197">
      <formula>$H211="ETAPA"</formula>
    </cfRule>
    <cfRule type="expression" dxfId="2315" priority="1196">
      <formula>$H211="CÉLULA CONSTRUTIVA"</formula>
    </cfRule>
  </conditionalFormatting>
  <conditionalFormatting sqref="M260:O260">
    <cfRule type="expression" dxfId="2314" priority="4257">
      <formula>$H260="SUBETAPA"</formula>
    </cfRule>
  </conditionalFormatting>
  <conditionalFormatting sqref="M343:O343">
    <cfRule type="expression" dxfId="2313" priority="53">
      <formula>$H343="CÉLULA CONSTRUTIVA"</formula>
    </cfRule>
  </conditionalFormatting>
  <conditionalFormatting sqref="M344:O344">
    <cfRule type="expression" dxfId="2312" priority="57">
      <formula>$H344="CÉLULA CONSTRUTIVA"</formula>
    </cfRule>
  </conditionalFormatting>
  <conditionalFormatting sqref="M345:O345">
    <cfRule type="expression" dxfId="2311" priority="814">
      <formula>$H345="CÉLULA CONSTRUTIVA"</formula>
    </cfRule>
  </conditionalFormatting>
  <conditionalFormatting sqref="M401:O401">
    <cfRule type="expression" dxfId="2310" priority="3957">
      <formula>$H401="SUBETAPA"</formula>
    </cfRule>
  </conditionalFormatting>
  <conditionalFormatting sqref="M8:P9 N13:P13">
    <cfRule type="expression" dxfId="2309" priority="4660">
      <formula>$H8="CÉLULA CONSTRUTIVA"</formula>
    </cfRule>
  </conditionalFormatting>
  <conditionalFormatting sqref="M174:P174">
    <cfRule type="expression" dxfId="2308" priority="1075">
      <formula>$H174="ETAPA"</formula>
    </cfRule>
  </conditionalFormatting>
  <conditionalFormatting sqref="M184:P184 M186:P186 M188:P188">
    <cfRule type="expression" dxfId="2307" priority="1044">
      <formula>$H184="CÉLULA CONSTRUTIVA"</formula>
    </cfRule>
    <cfRule type="expression" dxfId="2306" priority="1043">
      <formula>$H184="SUBETAPA"</formula>
    </cfRule>
    <cfRule type="expression" dxfId="2305" priority="1045">
      <formula>$H184="ETAPA"</formula>
    </cfRule>
  </conditionalFormatting>
  <conditionalFormatting sqref="M193:P193">
    <cfRule type="expression" dxfId="2304" priority="1023">
      <formula>$H193="ETAPA"</formula>
    </cfRule>
  </conditionalFormatting>
  <conditionalFormatting sqref="M201:P201">
    <cfRule type="expression" dxfId="2303" priority="10162">
      <formula>$H201="ETAPA"</formula>
    </cfRule>
    <cfRule type="expression" dxfId="2302" priority="10161">
      <formula>$H201="CÉLULA CONSTRUTIVA"</formula>
    </cfRule>
  </conditionalFormatting>
  <conditionalFormatting sqref="M201:P202">
    <cfRule type="expression" dxfId="2301" priority="1220">
      <formula>$H201="SUBETAPA"</formula>
    </cfRule>
  </conditionalFormatting>
  <conditionalFormatting sqref="M204:P204">
    <cfRule type="expression" dxfId="2300" priority="1158">
      <formula>$H204="SUBETAPA"</formula>
    </cfRule>
  </conditionalFormatting>
  <conditionalFormatting sqref="M205:P205">
    <cfRule type="expression" dxfId="2299" priority="10128">
      <formula>$H205="CÉLULA CONSTRUTIVA"</formula>
    </cfRule>
    <cfRule type="expression" dxfId="2298" priority="10129">
      <formula>$H205="ETAPA"</formula>
    </cfRule>
    <cfRule type="expression" dxfId="2297" priority="10127">
      <formula>$H205="SUBETAPA"</formula>
    </cfRule>
  </conditionalFormatting>
  <conditionalFormatting sqref="M206:P206">
    <cfRule type="expression" dxfId="2296" priority="1147">
      <formula>$H206="SUBETAPA"</formula>
    </cfRule>
  </conditionalFormatting>
  <conditionalFormatting sqref="M208:P208">
    <cfRule type="expression" dxfId="2295" priority="1209">
      <formula>$H208="SUBETAPA"</formula>
    </cfRule>
  </conditionalFormatting>
  <conditionalFormatting sqref="M229:P230">
    <cfRule type="expression" dxfId="2294" priority="25">
      <formula>$H229="ETAPA"</formula>
    </cfRule>
  </conditionalFormatting>
  <conditionalFormatting sqref="M239:P239">
    <cfRule type="expression" dxfId="2293" priority="1284">
      <formula>$H239="ETAPA"</formula>
    </cfRule>
    <cfRule type="expression" dxfId="2292" priority="1288">
      <formula>$H239="SUBETAPA"</formula>
    </cfRule>
  </conditionalFormatting>
  <conditionalFormatting sqref="M240:P242">
    <cfRule type="expression" dxfId="2291" priority="1294">
      <formula>$H240="SUBETAPA"</formula>
    </cfRule>
  </conditionalFormatting>
  <conditionalFormatting sqref="M243:P243">
    <cfRule type="expression" dxfId="2290" priority="1233">
      <formula>$H243="ETAPA"</formula>
    </cfRule>
  </conditionalFormatting>
  <conditionalFormatting sqref="M260:P260">
    <cfRule type="expression" dxfId="2289" priority="4258">
      <formula>$H260="CÉLULA CONSTRUTIVA"</formula>
    </cfRule>
  </conditionalFormatting>
  <conditionalFormatting sqref="M401:P401">
    <cfRule type="expression" dxfId="2288" priority="3958">
      <formula>$H401="CÉLULA CONSTRUTIVA"</formula>
    </cfRule>
  </conditionalFormatting>
  <conditionalFormatting sqref="M429:P429 P441:P443">
    <cfRule type="expression" dxfId="2287" priority="8782">
      <formula>$H429="CÉLULA CONSTRUTIVA"</formula>
    </cfRule>
    <cfRule type="expression" dxfId="2286" priority="8793">
      <formula>$H429="ETAPA"</formula>
    </cfRule>
  </conditionalFormatting>
  <conditionalFormatting sqref="N10">
    <cfRule type="expression" dxfId="2285" priority="230">
      <formula>$H10="ETAPA"</formula>
    </cfRule>
    <cfRule type="expression" dxfId="2284" priority="229">
      <formula>$H10="CÉLULA CONSTRUTIVA"</formula>
    </cfRule>
    <cfRule type="expression" dxfId="2283" priority="228">
      <formula>$H10="SUBETAPA"</formula>
    </cfRule>
  </conditionalFormatting>
  <conditionalFormatting sqref="N11 P11">
    <cfRule type="expression" dxfId="2282" priority="455">
      <formula>$H11="SUBETAPA"</formula>
    </cfRule>
  </conditionalFormatting>
  <conditionalFormatting sqref="N12 P12">
    <cfRule type="expression" dxfId="2281" priority="474">
      <formula>$H12="SUBETAPA"</formula>
    </cfRule>
  </conditionalFormatting>
  <conditionalFormatting sqref="N17 P17:P18 N23:N25 N33:P33 N43:P43 M56:P56 M74:N76 M179:N183 M190:P190 M192:P192 M194:P194 M196:N200 L210:P210 G214:N214 J215 M245:N248 G253:N253 L353:N355 L357:N357 P357 G366:N367 P366:P367 G378:N378 N380:N381 M430:N430 P434:P435 M435:N435 M446:N446 N36 J254 G255:N255 J256">
    <cfRule type="expression" dxfId="2280" priority="10061">
      <formula>$H17="CÉLULA CONSTRUTIVA"</formula>
    </cfRule>
  </conditionalFormatting>
  <conditionalFormatting sqref="N19 N165:N166 N168 N170 M172:P172 N176 N228 M232:N232 N235:N236 G238:O238 N239 N241 G441:N441 G442:M443 L446:L447 G446:K448">
    <cfRule type="expression" dxfId="2279" priority="8869">
      <formula>$H19="CÉLULA CONSTRUTIVA"</formula>
    </cfRule>
  </conditionalFormatting>
  <conditionalFormatting sqref="N42 P42">
    <cfRule type="expression" dxfId="2278" priority="11220">
      <formula>$H42="CÉLULA CONSTRUTIVA"</formula>
    </cfRule>
    <cfRule type="expression" dxfId="2277" priority="11221">
      <formula>$H42="ETAPA"</formula>
    </cfRule>
  </conditionalFormatting>
  <conditionalFormatting sqref="N57 P57 P74">
    <cfRule type="expression" dxfId="2276" priority="11157">
      <formula>$H57="CÉLULA CONSTRUTIVA"</formula>
    </cfRule>
    <cfRule type="expression" dxfId="2275" priority="11158">
      <formula>$H57="ETAPA"</formula>
    </cfRule>
  </conditionalFormatting>
  <conditionalFormatting sqref="N58:N59 N60:P60 N65:P65 N70 P58:P59">
    <cfRule type="expression" dxfId="2274" priority="637">
      <formula>$H58="ETAPA"</formula>
    </cfRule>
  </conditionalFormatting>
  <conditionalFormatting sqref="N58:N60 N65:P65 N70">
    <cfRule type="expression" dxfId="2273" priority="636">
      <formula>$H58="CÉLULA CONSTRUTIVA"</formula>
    </cfRule>
  </conditionalFormatting>
  <conditionalFormatting sqref="N58:N60 N65:P65">
    <cfRule type="expression" dxfId="2272" priority="635">
      <formula>$H58="SUBETAPA"</formula>
    </cfRule>
  </conditionalFormatting>
  <conditionalFormatting sqref="N64 P64">
    <cfRule type="expression" dxfId="2271" priority="545">
      <formula>$H64="CÉLULA CONSTRUTIVA"</formula>
    </cfRule>
    <cfRule type="expression" dxfId="2270" priority="546">
      <formula>$H64="ETAPA"</formula>
    </cfRule>
    <cfRule type="expression" dxfId="2269" priority="544">
      <formula>$H64="SUBETAPA"</formula>
    </cfRule>
  </conditionalFormatting>
  <conditionalFormatting sqref="N69 P66:P69 N67 G66:L69">
    <cfRule type="expression" dxfId="2268" priority="593">
      <formula>$H66="SUBETAPA"</formula>
    </cfRule>
  </conditionalFormatting>
  <conditionalFormatting sqref="N85:N87 M179:N183 P14:P18 N23:N25 M56:P56 N74:N76 M190:P190 M192:P192 M194:P194 M196:P196 M197:N200 L210:P210 M253:N253 L353:N355 L357:N357 P357 G366:N367 G378:N378 N380:N381 M430:N430 P434:P435 M435:N435 M446:N446">
    <cfRule type="expression" dxfId="2267" priority="10060">
      <formula>$H14="SUBETAPA"</formula>
    </cfRule>
  </conditionalFormatting>
  <conditionalFormatting sqref="N127 N129 N150 N284:N285 O290:O291 N292 N294:P294 N295:N296 N283:O283 N306 N323 N360:O360">
    <cfRule type="expression" dxfId="2266" priority="12735">
      <formula>$H127="ETAPA"</formula>
    </cfRule>
  </conditionalFormatting>
  <conditionalFormatting sqref="N174">
    <cfRule type="expression" dxfId="2265" priority="1074">
      <formula>$H174="CÉLULA CONSTRUTIVA"</formula>
    </cfRule>
    <cfRule type="expression" dxfId="2264" priority="1073">
      <formula>$H174="SUBETAPA"</formula>
    </cfRule>
  </conditionalFormatting>
  <conditionalFormatting sqref="N203 P203 N209 P209">
    <cfRule type="expression" dxfId="2263" priority="10195">
      <formula>$H203="CÉLULA CONSTRUTIVA"</formula>
    </cfRule>
    <cfRule type="expression" dxfId="2262" priority="10196">
      <formula>$H203="ETAPA"</formula>
    </cfRule>
  </conditionalFormatting>
  <conditionalFormatting sqref="N207 P207">
    <cfRule type="expression" dxfId="2261" priority="1189">
      <formula>$H207="ETAPA"</formula>
    </cfRule>
  </conditionalFormatting>
  <conditionalFormatting sqref="N213 G427:N427">
    <cfRule type="expression" dxfId="2260" priority="10064">
      <formula>$H213="CÉLULA CONSTRUTIVA"</formula>
    </cfRule>
  </conditionalFormatting>
  <conditionalFormatting sqref="N213 L427:N427 N380">
    <cfRule type="expression" dxfId="2259" priority="10065">
      <formula>$H213="ETAPA"</formula>
    </cfRule>
  </conditionalFormatting>
  <conditionalFormatting sqref="N226">
    <cfRule type="expression" dxfId="2258" priority="1135">
      <formula>$H226="SUBETAPA"</formula>
    </cfRule>
  </conditionalFormatting>
  <conditionalFormatting sqref="N243">
    <cfRule type="expression" dxfId="2257" priority="1232">
      <formula>$H243="CÉLULA CONSTRUTIVA"</formula>
    </cfRule>
    <cfRule type="expression" dxfId="2256" priority="1231">
      <formula>$H243="SUBETAPA"</formula>
    </cfRule>
  </conditionalFormatting>
  <conditionalFormatting sqref="N249">
    <cfRule type="expression" dxfId="2255" priority="4561">
      <formula>$H249="ETAPA"</formula>
    </cfRule>
    <cfRule type="expression" dxfId="2254" priority="4560">
      <formula>$H249="CÉLULA CONSTRUTIVA"</formula>
    </cfRule>
  </conditionalFormatting>
  <conditionalFormatting sqref="N252 P252">
    <cfRule type="expression" dxfId="2253" priority="10826">
      <formula>$H252="CÉLULA CONSTRUTIVA"</formula>
    </cfRule>
    <cfRule type="expression" dxfId="2252" priority="10827">
      <formula>$H252="ETAPA"</formula>
    </cfRule>
  </conditionalFormatting>
  <conditionalFormatting sqref="N254 P254 N256 P256">
    <cfRule type="expression" dxfId="2251" priority="10835">
      <formula>$H254="ETAPA"</formula>
    </cfRule>
    <cfRule type="expression" dxfId="2250" priority="10834">
      <formula>$H254="CÉLULA CONSTRUTIVA"</formula>
    </cfRule>
  </conditionalFormatting>
  <conditionalFormatting sqref="N254 P254 P256">
    <cfRule type="expression" dxfId="2249" priority="10833">
      <formula>$H254="SUBETAPA"</formula>
    </cfRule>
  </conditionalFormatting>
  <conditionalFormatting sqref="N256:N259">
    <cfRule type="expression" dxfId="2248" priority="4488">
      <formula>$H256="SUBETAPA"</formula>
    </cfRule>
  </conditionalFormatting>
  <conditionalFormatting sqref="N257:N258">
    <cfRule type="expression" dxfId="2247" priority="4489">
      <formula>$H257="CÉLULA CONSTRUTIVA"</formula>
    </cfRule>
    <cfRule type="expression" dxfId="2246" priority="4490">
      <formula>$H257="ETAPA"</formula>
    </cfRule>
  </conditionalFormatting>
  <conditionalFormatting sqref="N259 P259">
    <cfRule type="expression" dxfId="2245" priority="4496">
      <formula>$H259="ETAPA"</formula>
    </cfRule>
    <cfRule type="expression" dxfId="2244" priority="4495">
      <formula>$H259="CÉLULA CONSTRUTIVA"</formula>
    </cfRule>
  </conditionalFormatting>
  <conditionalFormatting sqref="N261:N262">
    <cfRule type="expression" dxfId="2243" priority="4261">
      <formula>$H261="CÉLULA CONSTRUTIVA"</formula>
    </cfRule>
    <cfRule type="expression" dxfId="2242" priority="4260">
      <formula>$H261="SUBETAPA"</formula>
    </cfRule>
  </conditionalFormatting>
  <conditionalFormatting sqref="N262">
    <cfRule type="expression" dxfId="2241" priority="7804">
      <formula>$H262="ETAPA"</formula>
    </cfRule>
  </conditionalFormatting>
  <conditionalFormatting sqref="N270">
    <cfRule type="expression" dxfId="2240" priority="3867">
      <formula>$H270="ETAPA"</formula>
    </cfRule>
    <cfRule type="expression" dxfId="2239" priority="3866">
      <formula>$H270="CÉLULA CONSTRUTIVA"</formula>
    </cfRule>
  </conditionalFormatting>
  <conditionalFormatting sqref="N304">
    <cfRule type="expression" dxfId="2238" priority="3758">
      <formula>$H304="CÉLULA CONSTRUTIVA"</formula>
    </cfRule>
    <cfRule type="expression" dxfId="2237" priority="3757">
      <formula>$H304="SUBETAPA"</formula>
    </cfRule>
  </conditionalFormatting>
  <conditionalFormatting sqref="N312">
    <cfRule type="expression" dxfId="2236" priority="3721">
      <formula>$H312="CÉLULA CONSTRUTIVA"</formula>
    </cfRule>
    <cfRule type="expression" dxfId="2235" priority="3720">
      <formula>$H312="SUBETAPA"</formula>
    </cfRule>
  </conditionalFormatting>
  <conditionalFormatting sqref="N314">
    <cfRule type="expression" dxfId="2234" priority="3737">
      <formula>$H314="CÉLULA CONSTRUTIVA"</formula>
    </cfRule>
    <cfRule type="expression" dxfId="2233" priority="3736">
      <formula>$H314="SUBETAPA"</formula>
    </cfRule>
  </conditionalFormatting>
  <conditionalFormatting sqref="N316">
    <cfRule type="expression" dxfId="2232" priority="3729">
      <formula>$H316="CÉLULA CONSTRUTIVA"</formula>
    </cfRule>
    <cfRule type="expression" dxfId="2231" priority="3728">
      <formula>$H316="SUBETAPA"</formula>
    </cfRule>
  </conditionalFormatting>
  <conditionalFormatting sqref="N321">
    <cfRule type="expression" dxfId="2230" priority="303">
      <formula>$H321="SUBETAPA"</formula>
    </cfRule>
    <cfRule type="expression" dxfId="2229" priority="304">
      <formula>$H321="CÉLULA CONSTRUTIVA"</formula>
    </cfRule>
  </conditionalFormatting>
  <conditionalFormatting sqref="N365 P365">
    <cfRule type="expression" dxfId="2228" priority="3614">
      <formula>$H365="ETAPA"</formula>
    </cfRule>
    <cfRule type="expression" dxfId="2227" priority="3613">
      <formula>$H365="CÉLULA CONSTRUTIVA"</formula>
    </cfRule>
  </conditionalFormatting>
  <conditionalFormatting sqref="N402:N403">
    <cfRule type="expression" dxfId="2226" priority="3961">
      <formula>$H402="CÉLULA CONSTRUTIVA"</formula>
    </cfRule>
    <cfRule type="expression" dxfId="2225" priority="3960">
      <formula>$H402="SUBETAPA"</formula>
    </cfRule>
  </conditionalFormatting>
  <conditionalFormatting sqref="N403">
    <cfRule type="expression" dxfId="2224" priority="4025">
      <formula>$H403="ETAPA"</formula>
    </cfRule>
  </conditionalFormatting>
  <conditionalFormatting sqref="N407:N408">
    <cfRule type="expression" dxfId="2223" priority="4142">
      <formula>$H407="CÉLULA CONSTRUTIVA"</formula>
    </cfRule>
    <cfRule type="expression" dxfId="2222" priority="4141">
      <formula>$H407="SUBETAPA"</formula>
    </cfRule>
  </conditionalFormatting>
  <conditionalFormatting sqref="N409">
    <cfRule type="expression" dxfId="2221" priority="3111">
      <formula>$H409="ETAPA"</formula>
    </cfRule>
    <cfRule type="expression" dxfId="2220" priority="3110">
      <formula>$H409="CÉLULA CONSTRUTIVA"</formula>
    </cfRule>
    <cfRule type="expression" dxfId="2219" priority="3109">
      <formula>$H409="SUBETAPA"</formula>
    </cfRule>
  </conditionalFormatting>
  <conditionalFormatting sqref="N413">
    <cfRule type="expression" dxfId="2218" priority="4006">
      <formula>$H413="ETAPA"</formula>
    </cfRule>
    <cfRule type="expression" dxfId="2217" priority="4005">
      <formula>$H413="CÉLULA CONSTRUTIVA"</formula>
    </cfRule>
  </conditionalFormatting>
  <conditionalFormatting sqref="N444">
    <cfRule type="expression" dxfId="2216" priority="499">
      <formula>$H444="ETAPA"</formula>
    </cfRule>
  </conditionalFormatting>
  <conditionalFormatting sqref="N17:O17">
    <cfRule type="expression" dxfId="2215" priority="974">
      <formula>$H17="SUBETAPA"</formula>
    </cfRule>
  </conditionalFormatting>
  <conditionalFormatting sqref="N19:O19">
    <cfRule type="expression" dxfId="2214" priority="971">
      <formula>$H19="SUBETAPA"</formula>
    </cfRule>
  </conditionalFormatting>
  <conditionalFormatting sqref="N32:O32">
    <cfRule type="expression" dxfId="2213" priority="13615">
      <formula>$H32="ETAPA"</formula>
    </cfRule>
    <cfRule type="expression" dxfId="2212" priority="13614">
      <formula>$H32="CÉLULA CONSTRUTIVA"</formula>
    </cfRule>
  </conditionalFormatting>
  <conditionalFormatting sqref="N34:O34">
    <cfRule type="expression" dxfId="2211" priority="1016">
      <formula>$H34="CÉLULA CONSTRUTIVA"</formula>
    </cfRule>
    <cfRule type="expression" dxfId="2210" priority="1017">
      <formula>$H34="ETAPA"</formula>
    </cfRule>
  </conditionalFormatting>
  <conditionalFormatting sqref="N66:O66">
    <cfRule type="expression" dxfId="2209" priority="567">
      <formula>$H66="ETAPA"</formula>
    </cfRule>
    <cfRule type="expression" dxfId="2208" priority="565">
      <formula>$H66="SUBETAPA"</formula>
    </cfRule>
    <cfRule type="expression" dxfId="2207" priority="566">
      <formula>$H66="CÉLULA CONSTRUTIVA"</formula>
    </cfRule>
  </conditionalFormatting>
  <conditionalFormatting sqref="N68:O68">
    <cfRule type="expression" dxfId="2206" priority="587">
      <formula>$H68="CÉLULA CONSTRUTIVA"</formula>
    </cfRule>
    <cfRule type="expression" dxfId="2205" priority="588">
      <formula>$H68="ETAPA"</formula>
    </cfRule>
    <cfRule type="expression" dxfId="2204" priority="586">
      <formula>$H68="SUBETAPA"</formula>
    </cfRule>
  </conditionalFormatting>
  <conditionalFormatting sqref="N113:O113 O115:P115 G280:M282">
    <cfRule type="expression" dxfId="2203" priority="1789">
      <formula>$H113="CÉLULA CONSTRUTIVA"</formula>
    </cfRule>
  </conditionalFormatting>
  <conditionalFormatting sqref="N113:O113 O115:P115 G280:N282 G236:L239 M237:P238 G242:P242 G244:P244 G52:P53 G243:L243 P245">
    <cfRule type="expression" dxfId="2202" priority="2900">
      <formula>$H52="ETAPA"</formula>
    </cfRule>
  </conditionalFormatting>
  <conditionalFormatting sqref="N128:O128 N140 N141:P141 N143 P143:P144 J148:L148 N148:P148 J149:K149 N149:O149 L149:L151 N151:P152 J152:L152 J153:K153 N153:O155 N157 J261 N272 P272 N274 P274 N283:O283 G287:P287 O292:P292 O296 O304 G306:P306 G312:M312 O312:P312 G313:O313 G314:M314 O314:P314 O316:P316 N323:P323 N349:N352 G383:L383 N383:O383 N388 G422:N424 G274:L274 N293:P293 G140:K141 G143:K144">
    <cfRule type="expression" dxfId="2201" priority="7787">
      <formula>$H128="CÉLULA CONSTRUTIVA"</formula>
    </cfRule>
  </conditionalFormatting>
  <conditionalFormatting sqref="N128:O128 N140 N141:P141 N143 P143:P144 N148:P148 N151:P152 N153:O155 N274 G283:M284 G287:P287 N292:P292 G294:M296 O296 G306:P306 G313:L313 N313:O313 N323:P323 G383:L383 N383:O383 G422:N424 P272 J261 O304 G314:M314 O314:P314 G316:M316 O316:P316 G312:M312 O312:P312 N349:N352 J148:L148 J149:K149 N149:O149 L149:L151 G152:L152 G153:K155 N157 N283:O283 N388">
    <cfRule type="expression" dxfId="2200" priority="7786">
      <formula>$H128="SUBETAPA"</formula>
    </cfRule>
  </conditionalFormatting>
  <conditionalFormatting sqref="N144:O144 O85:P93 N88:N93 G130:K141 G143:M144 G56:L57 M57:N57 G74:M78 L78:L80 G148:I149">
    <cfRule type="expression" dxfId="2199" priority="4181">
      <formula>$H56="SUBETAPA"</formula>
    </cfRule>
  </conditionalFormatting>
  <conditionalFormatting sqref="N178:O178">
    <cfRule type="expression" dxfId="2198" priority="4352">
      <formula>$H178="CÉLULA CONSTRUTIVA"</formula>
    </cfRule>
    <cfRule type="expression" dxfId="2197" priority="4351">
      <formula>$H178="SUBETAPA"</formula>
    </cfRule>
  </conditionalFormatting>
  <conditionalFormatting sqref="N212:O212">
    <cfRule type="expression" dxfId="2196" priority="10068">
      <formula>$H212="ETAPA"</formula>
    </cfRule>
    <cfRule type="expression" dxfId="2195" priority="10067">
      <formula>$H212="CÉLULA CONSTRUTIVA"</formula>
    </cfRule>
  </conditionalFormatting>
  <conditionalFormatting sqref="N275:O275">
    <cfRule type="expression" dxfId="2194" priority="311">
      <formula>$H275="CÉLULA CONSTRUTIVA"</formula>
    </cfRule>
    <cfRule type="expression" dxfId="2193" priority="310">
      <formula>$H275="SUBETAPA"</formula>
    </cfRule>
  </conditionalFormatting>
  <conditionalFormatting sqref="N276:O276">
    <cfRule type="expression" dxfId="2192" priority="793">
      <formula>$H276="ETAPA"</formula>
    </cfRule>
  </conditionalFormatting>
  <conditionalFormatting sqref="N305:O305">
    <cfRule type="expression" dxfId="2191" priority="3740">
      <formula>$H305="CÉLULA CONSTRUTIVA"</formula>
    </cfRule>
    <cfRule type="expression" dxfId="2190" priority="3739">
      <formula>$H305="SUBETAPA"</formula>
    </cfRule>
  </conditionalFormatting>
  <conditionalFormatting sqref="N334:O334 G334:M335">
    <cfRule type="expression" dxfId="2189" priority="99">
      <formula>$H334="CÉLULA CONSTRUTIVA"</formula>
    </cfRule>
  </conditionalFormatting>
  <conditionalFormatting sqref="N337:O337">
    <cfRule type="expression" dxfId="2188" priority="3667">
      <formula>$H337="CÉLULA CONSTRUTIVA"</formula>
    </cfRule>
  </conditionalFormatting>
  <conditionalFormatting sqref="N343:O343">
    <cfRule type="expression" dxfId="2187" priority="52">
      <formula>$H343="SUBETAPA"</formula>
    </cfRule>
  </conditionalFormatting>
  <conditionalFormatting sqref="N344:O344">
    <cfRule type="expression" dxfId="2186" priority="56">
      <formula>$H344="SUBETAPA"</formula>
    </cfRule>
  </conditionalFormatting>
  <conditionalFormatting sqref="N345:O345">
    <cfRule type="expression" dxfId="2185" priority="813">
      <formula>$H345="SUBETAPA"</formula>
    </cfRule>
  </conditionalFormatting>
  <conditionalFormatting sqref="N405:O408">
    <cfRule type="expression" dxfId="2184" priority="4100">
      <formula>$H405="ETAPA"</formula>
    </cfRule>
  </conditionalFormatting>
  <conditionalFormatting sqref="N8:P9">
    <cfRule type="expression" dxfId="2183" priority="4659">
      <formula>$H8="SUBETAPA"</formula>
    </cfRule>
  </conditionalFormatting>
  <conditionalFormatting sqref="N13:P14">
    <cfRule type="expression" dxfId="2182" priority="978">
      <formula>$H13="SUBETAPA"</formula>
    </cfRule>
  </conditionalFormatting>
  <conditionalFormatting sqref="N15:P16 N18:P18 N21:P22 P26:P32">
    <cfRule type="expression" dxfId="2181" priority="11114">
      <formula>$H15="SUBETAPA"</formula>
    </cfRule>
  </conditionalFormatting>
  <conditionalFormatting sqref="N20:P20">
    <cfRule type="expression" dxfId="2180" priority="453">
      <formula>$H20="SUBETAPA"</formula>
    </cfRule>
  </conditionalFormatting>
  <conditionalFormatting sqref="N33:P36">
    <cfRule type="expression" dxfId="2179" priority="1012">
      <formula>$H33="SUBETAPA"</formula>
    </cfRule>
  </conditionalFormatting>
  <conditionalFormatting sqref="N37:P37 P128 P149 P313 P113:P114">
    <cfRule type="expression" dxfId="2178" priority="11242">
      <formula>$H37="ETAPA"</formula>
    </cfRule>
  </conditionalFormatting>
  <conditionalFormatting sqref="N37:P37 P128 P149 P313">
    <cfRule type="expression" dxfId="2177" priority="11241">
      <formula>$H37="CÉLULA CONSTRUTIVA"</formula>
    </cfRule>
    <cfRule type="expression" dxfId="2176" priority="11240">
      <formula>$H37="SUBETAPA"</formula>
    </cfRule>
  </conditionalFormatting>
  <conditionalFormatting sqref="N38:P38">
    <cfRule type="expression" dxfId="2175" priority="10050">
      <formula>$H38="SUBETAPA"</formula>
    </cfRule>
    <cfRule type="expression" dxfId="2174" priority="10052">
      <formula>$H38="ETAPA"</formula>
    </cfRule>
    <cfRule type="expression" dxfId="2173" priority="10051">
      <formula>$H38="CÉLULA CONSTRUTIVA"</formula>
    </cfRule>
  </conditionalFormatting>
  <conditionalFormatting sqref="N39:P39 N40 N41:P41">
    <cfRule type="expression" dxfId="2172" priority="10010">
      <formula>$H39="ETAPA"</formula>
    </cfRule>
    <cfRule type="expression" dxfId="2171" priority="10009">
      <formula>$H39="CÉLULA CONSTRUTIVA"</formula>
    </cfRule>
  </conditionalFormatting>
  <conditionalFormatting sqref="N39:P39 N40">
    <cfRule type="expression" dxfId="2170" priority="10008">
      <formula>$H39="SUBETAPA"</formula>
    </cfRule>
  </conditionalFormatting>
  <conditionalFormatting sqref="N41:P42">
    <cfRule type="expression" dxfId="2169" priority="969">
      <formula>$H41="SUBETAPA"</formula>
    </cfRule>
  </conditionalFormatting>
  <conditionalFormatting sqref="N43:P51 G362:P364">
    <cfRule type="expression" dxfId="2168" priority="3590">
      <formula>$H43="SUBETAPA"</formula>
    </cfRule>
  </conditionalFormatting>
  <conditionalFormatting sqref="N63:P63">
    <cfRule type="expression" dxfId="2167" priority="530">
      <formula>$H63="ETAPA"</formula>
    </cfRule>
    <cfRule type="expression" dxfId="2166" priority="529">
      <formula>$H63="CÉLULA CONSTRUTIVA"</formula>
    </cfRule>
    <cfRule type="expression" dxfId="2165" priority="528">
      <formula>$H63="SUBETAPA"</formula>
    </cfRule>
  </conditionalFormatting>
  <conditionalFormatting sqref="N71:P71">
    <cfRule type="expression" dxfId="2164" priority="674">
      <formula>$H71="CÉLULA CONSTRUTIVA"</formula>
    </cfRule>
    <cfRule type="expression" dxfId="2163" priority="673">
      <formula>$H71="SUBETAPA"</formula>
    </cfRule>
    <cfRule type="expression" dxfId="2162" priority="675">
      <formula>$H71="ETAPA"</formula>
    </cfRule>
  </conditionalFormatting>
  <conditionalFormatting sqref="N72:P72">
    <cfRule type="expression" dxfId="2161" priority="632">
      <formula>$H72="SUBETAPA"</formula>
    </cfRule>
    <cfRule type="expression" dxfId="2160" priority="634">
      <formula>$H72="ETAPA"</formula>
    </cfRule>
    <cfRule type="expression" dxfId="2159" priority="633">
      <formula>$H72="CÉLULA CONSTRUTIVA"</formula>
    </cfRule>
  </conditionalFormatting>
  <conditionalFormatting sqref="N73:P73">
    <cfRule type="expression" dxfId="2158" priority="626">
      <formula>$H73="ETAPA"</formula>
    </cfRule>
    <cfRule type="expression" dxfId="2157" priority="625">
      <formula>$H73="CÉLULA CONSTRUTIVA"</formula>
    </cfRule>
    <cfRule type="expression" dxfId="2156" priority="624">
      <formula>$H73="SUBETAPA"</formula>
    </cfRule>
  </conditionalFormatting>
  <conditionalFormatting sqref="N96:P97 G97:L97">
    <cfRule type="expression" dxfId="2155" priority="848">
      <formula>$H96="CÉLULA CONSTRUTIVA"</formula>
    </cfRule>
  </conditionalFormatting>
  <conditionalFormatting sqref="N112:P112 N119">
    <cfRule type="expression" dxfId="2154" priority="8194">
      <formula>$H112="ETAPA"</formula>
    </cfRule>
  </conditionalFormatting>
  <conditionalFormatting sqref="N112:P112">
    <cfRule type="expression" dxfId="2153" priority="8193">
      <formula>$H112="CÉLULA CONSTRUTIVA"</formula>
    </cfRule>
    <cfRule type="expression" dxfId="2152" priority="8192">
      <formula>$H112="SUBETAPA"</formula>
    </cfRule>
  </conditionalFormatting>
  <conditionalFormatting sqref="N116:P116 N140:P140 N143:P143 N148:P148 O129:P129 P157:P162 O150:P150 O127:P127 O306:P306 J123:K124 G123:I125 J125:L125 M153:O155 G270:L270 G273:I273 K273:L273 G274:N274 G388:L390 N152:P152 O123:O124 G283:M284 G294:M296 N128:O128 N141:O141 N151:O151 O284:P284 O285 G287:P287 N290:N291 O292 O295:P295 O296 G306:M306 G313:L313 N313:O313 O323 G383:L383 N383:O383 N389:O390 L422:M422 G426:L426">
    <cfRule type="expression" dxfId="2151" priority="6930">
      <formula>$H116="ETAPA"</formula>
    </cfRule>
  </conditionalFormatting>
  <conditionalFormatting sqref="N125:P126">
    <cfRule type="expression" dxfId="2150" priority="6033">
      <formula>$H125="ETAPA"</formula>
    </cfRule>
    <cfRule type="expression" dxfId="2149" priority="6044">
      <formula>$H125="SUBETAPA"</formula>
    </cfRule>
  </conditionalFormatting>
  <conditionalFormatting sqref="N127:P127 N129:P129 N150:P150 N284:N285 N290:O291 N292 N294:P294 N295:N296">
    <cfRule type="expression" dxfId="2148" priority="12729">
      <formula>$H127="CÉLULA CONSTRUTIVA"</formula>
    </cfRule>
  </conditionalFormatting>
  <conditionalFormatting sqref="N130:P138">
    <cfRule type="expression" dxfId="2147" priority="199">
      <formula>$H130="ETAPA"</formula>
    </cfRule>
  </conditionalFormatting>
  <conditionalFormatting sqref="N142:P142">
    <cfRule type="expression" dxfId="2146" priority="180">
      <formula>$H142="ETAPA"</formula>
    </cfRule>
  </conditionalFormatting>
  <conditionalFormatting sqref="N144:P144 G148:M152 G153:K155">
    <cfRule type="expression" dxfId="2145" priority="8306">
      <formula>$H144="ETAPA"</formula>
    </cfRule>
  </conditionalFormatting>
  <conditionalFormatting sqref="N146:P147">
    <cfRule type="expression" dxfId="2144" priority="140">
      <formula>$H146="ETAPA"</formula>
    </cfRule>
  </conditionalFormatting>
  <conditionalFormatting sqref="N156:P156">
    <cfRule type="expression" dxfId="2143" priority="117">
      <formula>$H156="ETAPA"</formula>
    </cfRule>
  </conditionalFormatting>
  <conditionalFormatting sqref="N263:P263">
    <cfRule type="expression" dxfId="2142" priority="210">
      <formula>$H263="CÉLULA CONSTRUTIVA"</formula>
    </cfRule>
    <cfRule type="expression" dxfId="2141" priority="209">
      <formula>$H263="SUBETAPA"</formula>
    </cfRule>
  </conditionalFormatting>
  <conditionalFormatting sqref="N264:P265">
    <cfRule type="expression" dxfId="2140" priority="7845">
      <formula>$H264="CÉLULA CONSTRUTIVA"</formula>
    </cfRule>
  </conditionalFormatting>
  <conditionalFormatting sqref="N264:P266">
    <cfRule type="expression" dxfId="2139" priority="2046">
      <formula>$H264="SUBETAPA"</formula>
    </cfRule>
  </conditionalFormatting>
  <conditionalFormatting sqref="N275:P275">
    <cfRule type="expression" dxfId="2138" priority="309">
      <formula>$H275="ETAPA"</formula>
    </cfRule>
  </conditionalFormatting>
  <conditionalFormatting sqref="N343:P345">
    <cfRule type="expression" dxfId="2137" priority="50">
      <formula>$H343="ETAPA"</formula>
    </cfRule>
  </conditionalFormatting>
  <conditionalFormatting sqref="N358:P358">
    <cfRule type="expression" dxfId="2136" priority="2">
      <formula>$H358="CÉLULA CONSTRUTIVA"</formula>
    </cfRule>
    <cfRule type="expression" dxfId="2135" priority="3">
      <formula>$H358="ETAPA"</formula>
    </cfRule>
    <cfRule type="expression" dxfId="2134" priority="1">
      <formula>$H358="SUBETAPA"</formula>
    </cfRule>
  </conditionalFormatting>
  <conditionalFormatting sqref="N359:P359">
    <cfRule type="expression" dxfId="2133" priority="12083">
      <formula>$H359="SUBETAPA"</formula>
    </cfRule>
    <cfRule type="expression" dxfId="2132" priority="12084">
      <formula>$H359="CÉLULA CONSTRUTIVA"</formula>
    </cfRule>
    <cfRule type="expression" dxfId="2131" priority="12085">
      <formula>$H359="ETAPA"</formula>
    </cfRule>
  </conditionalFormatting>
  <conditionalFormatting sqref="N368:P375">
    <cfRule type="expression" dxfId="2130" priority="12146">
      <formula>$H368="SUBETAPA"</formula>
    </cfRule>
    <cfRule type="expression" dxfId="2129" priority="12147">
      <formula>$H368="CÉLULA CONSTRUTIVA"</formula>
    </cfRule>
    <cfRule type="expression" dxfId="2128" priority="12148">
      <formula>$H368="ETAPA"</formula>
    </cfRule>
  </conditionalFormatting>
  <conditionalFormatting sqref="N377:P377">
    <cfRule type="expression" dxfId="2127" priority="12209">
      <formula>$H377="SUBETAPA"</formula>
    </cfRule>
    <cfRule type="expression" dxfId="2126" priority="12210">
      <formula>$H377="CÉLULA CONSTRUTIVA"</formula>
    </cfRule>
    <cfRule type="expression" dxfId="2125" priority="12211">
      <formula>$H377="ETAPA"</formula>
    </cfRule>
  </conditionalFormatting>
  <conditionalFormatting sqref="N379:P379 N389:P390">
    <cfRule type="expression" dxfId="2124" priority="12230">
      <formula>$H379="SUBETAPA"</formula>
    </cfRule>
    <cfRule type="expression" dxfId="2123" priority="12231">
      <formula>$H379="CÉLULA CONSTRUTIVA"</formula>
    </cfRule>
  </conditionalFormatting>
  <conditionalFormatting sqref="N379:P379 P389:P390">
    <cfRule type="expression" dxfId="2122" priority="12232">
      <formula>$H379="ETAPA"</formula>
    </cfRule>
  </conditionalFormatting>
  <conditionalFormatting sqref="N382:P382">
    <cfRule type="expression" dxfId="2121" priority="12239">
      <formula>$H382="CÉLULA CONSTRUTIVA"</formula>
    </cfRule>
    <cfRule type="expression" dxfId="2120" priority="12240">
      <formula>$H382="ETAPA"</formula>
    </cfRule>
    <cfRule type="expression" dxfId="2119" priority="12238">
      <formula>$H382="SUBETAPA"</formula>
    </cfRule>
  </conditionalFormatting>
  <conditionalFormatting sqref="N385:P385 N387:P387">
    <cfRule type="expression" dxfId="2118" priority="271">
      <formula>$H385="CÉLULA CONSTRUTIVA"</formula>
    </cfRule>
    <cfRule type="expression" dxfId="2117" priority="270">
      <formula>$H385="SUBETAPA"</formula>
    </cfRule>
  </conditionalFormatting>
  <conditionalFormatting sqref="N385:P385 N387:P388">
    <cfRule type="expression" dxfId="2116" priority="272">
      <formula>$H385="ETAPA"</formula>
    </cfRule>
  </conditionalFormatting>
  <conditionalFormatting sqref="N394:P394">
    <cfRule type="expression" dxfId="2115" priority="3338">
      <formula>$H394="CÉLULA CONSTRUTIVA"</formula>
    </cfRule>
    <cfRule type="expression" dxfId="2114" priority="3337">
      <formula>$H394="SUBETAPA"</formula>
    </cfRule>
    <cfRule type="expression" dxfId="2113" priority="3339">
      <formula>$H394="ETAPA"</formula>
    </cfRule>
  </conditionalFormatting>
  <conditionalFormatting sqref="N396:P396">
    <cfRule type="expression" dxfId="2112" priority="3358">
      <formula>$H396="SUBETAPA"</formula>
    </cfRule>
    <cfRule type="expression" dxfId="2111" priority="3360">
      <formula>$H396="ETAPA"</formula>
    </cfRule>
    <cfRule type="expression" dxfId="2110" priority="3359">
      <formula>$H396="CÉLULA CONSTRUTIVA"</formula>
    </cfRule>
  </conditionalFormatting>
  <conditionalFormatting sqref="N398:P398">
    <cfRule type="expression" dxfId="2109" priority="3380">
      <formula>$H398="CÉLULA CONSTRUTIVA"</formula>
    </cfRule>
    <cfRule type="expression" dxfId="2108" priority="3381">
      <formula>$H398="ETAPA"</formula>
    </cfRule>
    <cfRule type="expression" dxfId="2107" priority="3379">
      <formula>$H398="SUBETAPA"</formula>
    </cfRule>
  </conditionalFormatting>
  <conditionalFormatting sqref="N400:P400">
    <cfRule type="expression" dxfId="2106" priority="3401">
      <formula>$H400="CÉLULA CONSTRUTIVA"</formula>
    </cfRule>
    <cfRule type="expression" dxfId="2105" priority="3402">
      <formula>$H400="ETAPA"</formula>
    </cfRule>
    <cfRule type="expression" dxfId="2104" priority="3400">
      <formula>$H400="SUBETAPA"</formula>
    </cfRule>
  </conditionalFormatting>
  <conditionalFormatting sqref="N404:P404">
    <cfRule type="expression" dxfId="2103" priority="27">
      <formula>$H404="SUBETAPA"</formula>
    </cfRule>
    <cfRule type="expression" dxfId="2102" priority="28">
      <formula>$H404="CÉLULA CONSTRUTIVA"</formula>
    </cfRule>
  </conditionalFormatting>
  <conditionalFormatting sqref="N405:P406">
    <cfRule type="expression" dxfId="2101" priority="4048">
      <formula>$H405="CÉLULA CONSTRUTIVA"</formula>
    </cfRule>
    <cfRule type="expression" dxfId="2100" priority="4047">
      <formula>$H405="SUBETAPA"</formula>
    </cfRule>
  </conditionalFormatting>
  <conditionalFormatting sqref="N410:P412">
    <cfRule type="expression" dxfId="2099" priority="3157">
      <formula>$H410="CÉLULA CONSTRUTIVA"</formula>
    </cfRule>
    <cfRule type="expression" dxfId="2098" priority="3142">
      <formula>$H410="ETAPA"</formula>
    </cfRule>
  </conditionalFormatting>
  <conditionalFormatting sqref="N410:P417">
    <cfRule type="expression" dxfId="2097" priority="3156">
      <formula>$H410="SUBETAPA"</formula>
    </cfRule>
  </conditionalFormatting>
  <conditionalFormatting sqref="N414:P416">
    <cfRule type="expression" dxfId="2096" priority="7895">
      <formula>$H414="ETAPA"</formula>
    </cfRule>
  </conditionalFormatting>
  <conditionalFormatting sqref="N417:P417">
    <cfRule type="expression" dxfId="2095" priority="3914">
      <formula>$H417="CÉLULA CONSTRUTIVA"</formula>
    </cfRule>
  </conditionalFormatting>
  <conditionalFormatting sqref="N425:P425 P354 O355:P355 M447:P448 G449:P452">
    <cfRule type="expression" dxfId="2094" priority="13786">
      <formula>$H354="SUBETAPA"</formula>
    </cfRule>
  </conditionalFormatting>
  <conditionalFormatting sqref="N436:P437 N438:N440">
    <cfRule type="expression" dxfId="2093" priority="4359">
      <formula>$H436="ETAPA"</formula>
    </cfRule>
  </conditionalFormatting>
  <conditionalFormatting sqref="N437:P437 N438:N440">
    <cfRule type="expression" dxfId="2092" priority="4373">
      <formula>$H437="CÉLULA CONSTRUTIVA"</formula>
    </cfRule>
    <cfRule type="expression" dxfId="2091" priority="4372">
      <formula>$H437="SUBETAPA"</formula>
    </cfRule>
  </conditionalFormatting>
  <conditionalFormatting sqref="N442:P442">
    <cfRule type="expression" dxfId="2090" priority="8779">
      <formula>$H442="CÉLULA CONSTRUTIVA"</formula>
    </cfRule>
    <cfRule type="expression" dxfId="2089" priority="8778">
      <formula>$H442="SUBETAPA"</formula>
    </cfRule>
    <cfRule type="expression" dxfId="2088" priority="8780">
      <formula>$H442="ETAPA"</formula>
    </cfRule>
  </conditionalFormatting>
  <conditionalFormatting sqref="N443:P443">
    <cfRule type="expression" dxfId="2087" priority="11021">
      <formula>$H443="ETAPA"</formula>
    </cfRule>
    <cfRule type="expression" dxfId="2086" priority="11020">
      <formula>$H443="CÉLULA CONSTRUTIVA"</formula>
    </cfRule>
    <cfRule type="expression" dxfId="2085" priority="11019">
      <formula>$H443="SUBETAPA"</formula>
    </cfRule>
  </conditionalFormatting>
  <conditionalFormatting sqref="O11">
    <cfRule type="expression" dxfId="2084" priority="451">
      <formula>$H11="CÉLULA CONSTRUTIVA"</formula>
    </cfRule>
    <cfRule type="expression" dxfId="2083" priority="450">
      <formula>$H11="SUBETAPA"</formula>
    </cfRule>
  </conditionalFormatting>
  <conditionalFormatting sqref="O12">
    <cfRule type="expression" dxfId="2082" priority="448">
      <formula>$H12="CÉLULA CONSTRUTIVA"</formula>
    </cfRule>
    <cfRule type="expression" dxfId="2081" priority="447">
      <formula>$H12="SUBETAPA"</formula>
    </cfRule>
    <cfRule type="expression" dxfId="2080" priority="446">
      <formula>$H12="ETAPA"</formula>
    </cfRule>
  </conditionalFormatting>
  <conditionalFormatting sqref="O17">
    <cfRule type="expression" dxfId="2079" priority="975">
      <formula>$H17="CÉLULA CONSTRUTIVA"</formula>
    </cfRule>
    <cfRule type="expression" dxfId="2078" priority="976">
      <formula>$H17="ETAPA"</formula>
    </cfRule>
  </conditionalFormatting>
  <conditionalFormatting sqref="O19">
    <cfRule type="expression" dxfId="2077" priority="972">
      <formula>$H19="CÉLULA CONSTRUTIVA"</formula>
    </cfRule>
    <cfRule type="expression" dxfId="2076" priority="973">
      <formula>$H19="ETAPA"</formula>
    </cfRule>
  </conditionalFormatting>
  <conditionalFormatting sqref="O22">
    <cfRule type="expression" dxfId="2075" priority="518">
      <formula>$H22="ETAPA"</formula>
    </cfRule>
    <cfRule type="expression" dxfId="2074" priority="519">
      <formula>$H22="SUBETAPA"</formula>
    </cfRule>
  </conditionalFormatting>
  <conditionalFormatting sqref="O23:O24">
    <cfRule type="expression" dxfId="2073" priority="888">
      <formula>$H23="SUBETAPA"</formula>
    </cfRule>
  </conditionalFormatting>
  <conditionalFormatting sqref="O35">
    <cfRule type="expression" dxfId="2072" priority="4789">
      <formula>$H35="CÉLULA CONSTRUTIVA"</formula>
    </cfRule>
    <cfRule type="expression" dxfId="2071" priority="4790">
      <formula>$H35="ETAPA"</formula>
    </cfRule>
  </conditionalFormatting>
  <conditionalFormatting sqref="O40">
    <cfRule type="expression" dxfId="2070" priority="513">
      <formula>$H40="CÉLULA CONSTRUTIVA"</formula>
    </cfRule>
    <cfRule type="expression" dxfId="2069" priority="514">
      <formula>$H40="ETAPA"</formula>
    </cfRule>
    <cfRule type="expression" dxfId="2068" priority="512">
      <formula>$H40="SUBETAPA"</formula>
    </cfRule>
  </conditionalFormatting>
  <conditionalFormatting sqref="O42">
    <cfRule type="expression" dxfId="2067" priority="968">
      <formula>$H42="ETAPA"</formula>
    </cfRule>
    <cfRule type="expression" dxfId="2066" priority="970">
      <formula>$H42="CÉLULA CONSTRUTIVA"</formula>
    </cfRule>
  </conditionalFormatting>
  <conditionalFormatting sqref="O44:O51 G364:P364">
    <cfRule type="expression" dxfId="2065" priority="3591">
      <formula>$H44="CÉLULA CONSTRUTIVA"</formula>
    </cfRule>
  </conditionalFormatting>
  <conditionalFormatting sqref="O45">
    <cfRule type="expression" dxfId="2064" priority="964">
      <formula>$H45="CÉLULA CONSTRUTIVA"</formula>
    </cfRule>
  </conditionalFormatting>
  <conditionalFormatting sqref="O45:O50">
    <cfRule type="expression" dxfId="2063" priority="948">
      <formula>$H45="SUBETAPA"</formula>
    </cfRule>
  </conditionalFormatting>
  <conditionalFormatting sqref="O46">
    <cfRule type="expression" dxfId="2062" priority="961">
      <formula>$H46="CÉLULA CONSTRUTIVA"</formula>
    </cfRule>
  </conditionalFormatting>
  <conditionalFormatting sqref="O47">
    <cfRule type="expression" dxfId="2061" priority="958">
      <formula>$H47="CÉLULA CONSTRUTIVA"</formula>
    </cfRule>
  </conditionalFormatting>
  <conditionalFormatting sqref="O48">
    <cfRule type="expression" dxfId="2060" priority="955">
      <formula>$H48="CÉLULA CONSTRUTIVA"</formula>
    </cfRule>
  </conditionalFormatting>
  <conditionalFormatting sqref="O49">
    <cfRule type="expression" dxfId="2059" priority="952">
      <formula>$H49="CÉLULA CONSTRUTIVA"</formula>
    </cfRule>
  </conditionalFormatting>
  <conditionalFormatting sqref="O50">
    <cfRule type="expression" dxfId="2058" priority="949">
      <formula>$H50="CÉLULA CONSTRUTIVA"</formula>
    </cfRule>
  </conditionalFormatting>
  <conditionalFormatting sqref="O51 G63:G64 N102:N104 N108:P111 P113:P115 P120:P121 P271:P273 G275:L275 P275:P276 P304:P305 G317:P320 P324:P330 N335:P335 O337 P347:P353 P358:P360 P362:P363 M438 O438 G440:M440 P440">
    <cfRule type="expression" dxfId="2057" priority="559">
      <formula>$H51="CÉLULA CONSTRUTIVA"</formula>
    </cfRule>
  </conditionalFormatting>
  <conditionalFormatting sqref="O54">
    <cfRule type="expression" dxfId="2056" priority="516">
      <formula>$H54="SUBETAPA"</formula>
    </cfRule>
    <cfRule type="expression" dxfId="2055" priority="515">
      <formula>$H54="ETAPA"</formula>
    </cfRule>
  </conditionalFormatting>
  <conditionalFormatting sqref="O57">
    <cfRule type="expression" dxfId="2054" priority="939">
      <formula>$H57="SUBETAPA"</formula>
    </cfRule>
    <cfRule type="expression" dxfId="2053" priority="940">
      <formula>$H57="CÉLULA CONSTRUTIVA"</formula>
    </cfRule>
  </conditionalFormatting>
  <conditionalFormatting sqref="O57:O59">
    <cfRule type="expression" dxfId="2052" priority="573">
      <formula>$H57="ETAPA"</formula>
    </cfRule>
  </conditionalFormatting>
  <conditionalFormatting sqref="O58:O59">
    <cfRule type="expression" dxfId="2051" priority="571">
      <formula>$H58="SUBETAPA"</formula>
    </cfRule>
  </conditionalFormatting>
  <conditionalFormatting sqref="O64">
    <cfRule type="expression" dxfId="2050" priority="522">
      <formula>$H64="CÉLULA CONSTRUTIVA"</formula>
    </cfRule>
    <cfRule type="expression" dxfId="2049" priority="520">
      <formula>$H64="ETAPA"</formula>
    </cfRule>
    <cfRule type="expression" dxfId="2048" priority="521">
      <formula>$H64="SUBETAPA"</formula>
    </cfRule>
  </conditionalFormatting>
  <conditionalFormatting sqref="O67">
    <cfRule type="expression" dxfId="2047" priority="568">
      <formula>$H67="SUBETAPA"</formula>
    </cfRule>
    <cfRule type="expression" dxfId="2046" priority="569">
      <formula>$H67="CÉLULA CONSTRUTIVA"</formula>
    </cfRule>
    <cfRule type="expression" dxfId="2045" priority="570">
      <formula>$H67="ETAPA"</formula>
    </cfRule>
  </conditionalFormatting>
  <conditionalFormatting sqref="O69">
    <cfRule type="expression" dxfId="2044" priority="595">
      <formula>$H69="CÉLULA CONSTRUTIVA"</formula>
    </cfRule>
    <cfRule type="expression" dxfId="2043" priority="594">
      <formula>$H69="SUBETAPA"</formula>
    </cfRule>
    <cfRule type="expression" dxfId="2042" priority="596">
      <formula>$H69="ETAPA"</formula>
    </cfRule>
  </conditionalFormatting>
  <conditionalFormatting sqref="O74">
    <cfRule type="expression" dxfId="2041" priority="885">
      <formula>$H74="SUBETAPA"</formula>
    </cfRule>
    <cfRule type="expression" dxfId="2040" priority="887">
      <formula>$H74="ETAPA"</formula>
    </cfRule>
    <cfRule type="expression" dxfId="2039" priority="886">
      <formula>$H74="CÉLULA CONSTRUTIVA"</formula>
    </cfRule>
  </conditionalFormatting>
  <conditionalFormatting sqref="O102:O104 G385:J385 G387:J387">
    <cfRule type="expression" dxfId="2038" priority="248">
      <formula>$H102="CÉLULA CONSTRUTIVA"</formula>
    </cfRule>
  </conditionalFormatting>
  <conditionalFormatting sqref="O167">
    <cfRule type="expression" dxfId="2037" priority="385">
      <formula>$H167="CÉLULA CONSTRUTIVA"</formula>
    </cfRule>
    <cfRule type="expression" dxfId="2036" priority="384">
      <formula>$H167="SUBETAPA"</formula>
    </cfRule>
  </conditionalFormatting>
  <conditionalFormatting sqref="O169">
    <cfRule type="expression" dxfId="2035" priority="1109">
      <formula>$H169="CÉLULA CONSTRUTIVA"</formula>
    </cfRule>
  </conditionalFormatting>
  <conditionalFormatting sqref="O173">
    <cfRule type="expression" dxfId="2034" priority="1103">
      <formula>$H173="CÉLULA CONSTRUTIVA"</formula>
    </cfRule>
  </conditionalFormatting>
  <conditionalFormatting sqref="O175">
    <cfRule type="expression" dxfId="2033" priority="1071">
      <formula>$H175="CÉLULA CONSTRUTIVA"</formula>
    </cfRule>
  </conditionalFormatting>
  <conditionalFormatting sqref="O177">
    <cfRule type="expression" dxfId="2032" priority="388">
      <formula>$H177="CÉLULA CONSTRUTIVA"</formula>
    </cfRule>
    <cfRule type="expression" dxfId="2031" priority="387">
      <formula>$H177="SUBETAPA"</formula>
    </cfRule>
  </conditionalFormatting>
  <conditionalFormatting sqref="O179">
    <cfRule type="expression" dxfId="2030" priority="1068">
      <formula>$H179="CÉLULA CONSTRUTIVA"</formula>
    </cfRule>
  </conditionalFormatting>
  <conditionalFormatting sqref="O179:O180">
    <cfRule type="expression" dxfId="2029" priority="1067">
      <formula>$H179="SUBETAPA"</formula>
    </cfRule>
  </conditionalFormatting>
  <conditionalFormatting sqref="O180">
    <cfRule type="expression" dxfId="2028" priority="4652">
      <formula>$H180="ETAPA"</formula>
    </cfRule>
    <cfRule type="expression" dxfId="2027" priority="4651">
      <formula>$H180="CÉLULA CONSTRUTIVA"</formula>
    </cfRule>
  </conditionalFormatting>
  <conditionalFormatting sqref="O183">
    <cfRule type="expression" dxfId="2026" priority="345">
      <formula>$H183="SUBETAPA"</formula>
    </cfRule>
  </conditionalFormatting>
  <conditionalFormatting sqref="O185">
    <cfRule type="expression" dxfId="2025" priority="342">
      <formula>$H185="SUBETAPA"</formula>
    </cfRule>
  </conditionalFormatting>
  <conditionalFormatting sqref="O187">
    <cfRule type="expression" dxfId="2024" priority="340">
      <formula>$H187="CÉLULA CONSTRUTIVA"</formula>
    </cfRule>
    <cfRule type="expression" dxfId="2023" priority="339">
      <formula>$H187="SUBETAPA"</formula>
    </cfRule>
  </conditionalFormatting>
  <conditionalFormatting sqref="O189">
    <cfRule type="expression" dxfId="2022" priority="336">
      <formula>$H189="SUBETAPA"</formula>
    </cfRule>
  </conditionalFormatting>
  <conditionalFormatting sqref="O193">
    <cfRule type="expression" dxfId="2021" priority="1021">
      <formula>$H193="SUBETAPA"</formula>
    </cfRule>
  </conditionalFormatting>
  <conditionalFormatting sqref="O195">
    <cfRule type="expression" dxfId="2020" priority="1019">
      <formula>$H195="CÉLULA CONSTRUTIVA"</formula>
    </cfRule>
    <cfRule type="expression" dxfId="2019" priority="1020">
      <formula>$H195="ETAPA"</formula>
    </cfRule>
  </conditionalFormatting>
  <conditionalFormatting sqref="O197">
    <cfRule type="expression" dxfId="2018" priority="1040">
      <formula>$H197="CÉLULA CONSTRUTIVA"</formula>
    </cfRule>
    <cfRule type="expression" dxfId="2017" priority="1041">
      <formula>$H197="ETAPA"</formula>
    </cfRule>
  </conditionalFormatting>
  <conditionalFormatting sqref="O197:O199">
    <cfRule type="expression" dxfId="2016" priority="1039">
      <formula>$H197="SUBETAPA"</formula>
    </cfRule>
  </conditionalFormatting>
  <conditionalFormatting sqref="O198">
    <cfRule type="expression" dxfId="2015" priority="4666">
      <formula>$H198="CÉLULA CONSTRUTIVA"</formula>
    </cfRule>
    <cfRule type="expression" dxfId="2014" priority="4667">
      <formula>$H198="ETAPA"</formula>
    </cfRule>
  </conditionalFormatting>
  <conditionalFormatting sqref="O203">
    <cfRule type="expression" dxfId="2013" priority="354">
      <formula>$H203="SUBETAPA"</formula>
    </cfRule>
    <cfRule type="expression" dxfId="2012" priority="355">
      <formula>$H203="CÉLULA CONSTRUTIVA"</formula>
    </cfRule>
    <cfRule type="expression" dxfId="2011" priority="356">
      <formula>$H203="ETAPA"</formula>
    </cfRule>
  </conditionalFormatting>
  <conditionalFormatting sqref="O207">
    <cfRule type="expression" dxfId="2010" priority="351">
      <formula>$H207="SUBETAPA"</formula>
    </cfRule>
    <cfRule type="expression" dxfId="2009" priority="353">
      <formula>$H207="ETAPA"</formula>
    </cfRule>
    <cfRule type="expression" dxfId="2008" priority="352">
      <formula>$H207="CÉLULA CONSTRUTIVA"</formula>
    </cfRule>
  </conditionalFormatting>
  <conditionalFormatting sqref="O209">
    <cfRule type="expression" dxfId="2007" priority="348">
      <formula>$H209="SUBETAPA"</formula>
    </cfRule>
    <cfRule type="expression" dxfId="2006" priority="350">
      <formula>$H209="ETAPA"</formula>
    </cfRule>
    <cfRule type="expression" dxfId="2005" priority="349">
      <formula>$H209="CÉLULA CONSTRUTIVA"</formula>
    </cfRule>
  </conditionalFormatting>
  <conditionalFormatting sqref="O215 O217 O219 O221">
    <cfRule type="expression" dxfId="2004" priority="4663">
      <formula>$H215="CÉLULA CONSTRUTIVA"</formula>
    </cfRule>
    <cfRule type="expression" dxfId="2003" priority="4664">
      <formula>$H215="ETAPA"</formula>
    </cfRule>
  </conditionalFormatting>
  <conditionalFormatting sqref="O228">
    <cfRule type="expression" dxfId="2002" priority="223">
      <formula>$H228="SUBETAPA"</formula>
    </cfRule>
    <cfRule type="expression" dxfId="2001" priority="224">
      <formula>$H228="CÉLULA CONSTRUTIVA"</formula>
    </cfRule>
    <cfRule type="expression" dxfId="2000" priority="225">
      <formula>$H228="ETAPA"</formula>
    </cfRule>
  </conditionalFormatting>
  <conditionalFormatting sqref="O245">
    <cfRule type="expression" dxfId="1999" priority="4646">
      <formula>$H245="ETAPA"</formula>
    </cfRule>
    <cfRule type="expression" dxfId="1998" priority="4645">
      <formula>$H245="CÉLULA CONSTRUTIVA"</formula>
    </cfRule>
  </conditionalFormatting>
  <conditionalFormatting sqref="O248">
    <cfRule type="expression" dxfId="1997" priority="381">
      <formula>$H248="SUBETAPA"</formula>
    </cfRule>
    <cfRule type="expression" dxfId="1996" priority="382">
      <formula>$H248="CÉLULA CONSTRUTIVA"</formula>
    </cfRule>
    <cfRule type="expression" dxfId="1995" priority="383">
      <formula>$H248="ETAPA"</formula>
    </cfRule>
  </conditionalFormatting>
  <conditionalFormatting sqref="O250">
    <cfRule type="expression" dxfId="1994" priority="399">
      <formula>$H250="SUBETAPA"</formula>
    </cfRule>
    <cfRule type="expression" dxfId="1993" priority="400">
      <formula>$H250="CÉLULA CONSTRUTIVA"</formula>
    </cfRule>
    <cfRule type="expression" dxfId="1992" priority="401">
      <formula>$H250="ETAPA"</formula>
    </cfRule>
  </conditionalFormatting>
  <conditionalFormatting sqref="O252">
    <cfRule type="expression" dxfId="1991" priority="396">
      <formula>$H252="SUBETAPA"</formula>
    </cfRule>
    <cfRule type="expression" dxfId="1990" priority="397">
      <formula>$H252="CÉLULA CONSTRUTIVA"</formula>
    </cfRule>
    <cfRule type="expression" dxfId="1989" priority="398">
      <formula>$H252="ETAPA"</formula>
    </cfRule>
  </conditionalFormatting>
  <conditionalFormatting sqref="O254">
    <cfRule type="expression" dxfId="1988" priority="393">
      <formula>$H254="SUBETAPA"</formula>
    </cfRule>
    <cfRule type="expression" dxfId="1987" priority="394">
      <formula>$H254="CÉLULA CONSTRUTIVA"</formula>
    </cfRule>
    <cfRule type="expression" dxfId="1986" priority="395">
      <formula>$H254="ETAPA"</formula>
    </cfRule>
  </conditionalFormatting>
  <conditionalFormatting sqref="O256">
    <cfRule type="expression" dxfId="1985" priority="368">
      <formula>$H256="ETAPA"</formula>
    </cfRule>
    <cfRule type="expression" dxfId="1984" priority="367">
      <formula>$H256="CÉLULA CONSTRUTIVA"</formula>
    </cfRule>
    <cfRule type="expression" dxfId="1983" priority="366">
      <formula>$H256="SUBETAPA"</formula>
    </cfRule>
  </conditionalFormatting>
  <conditionalFormatting sqref="O259">
    <cfRule type="expression" dxfId="1982" priority="391">
      <formula>$H259="CÉLULA CONSTRUTIVA"</formula>
    </cfRule>
    <cfRule type="expression" dxfId="1981" priority="390">
      <formula>$H259="SUBETAPA"</formula>
    </cfRule>
    <cfRule type="expression" dxfId="1980" priority="392">
      <formula>$H259="ETAPA"</formula>
    </cfRule>
  </conditionalFormatting>
  <conditionalFormatting sqref="O262">
    <cfRule type="expression" dxfId="1979" priority="803">
      <formula>$H262="SUBETAPA"</formula>
    </cfRule>
    <cfRule type="expression" dxfId="1978" priority="804">
      <formula>$H262="CÉLULA CONSTRUTIVA"</formula>
    </cfRule>
    <cfRule type="expression" dxfId="1977" priority="805">
      <formula>$H262="ETAPA"</formula>
    </cfRule>
  </conditionalFormatting>
  <conditionalFormatting sqref="O270">
    <cfRule type="expression" dxfId="1976" priority="800">
      <formula>$H270="SUBETAPA"</formula>
    </cfRule>
    <cfRule type="expression" dxfId="1975" priority="801">
      <formula>$H270="CÉLULA CONSTRUTIVA"</formula>
    </cfRule>
    <cfRule type="expression" dxfId="1974" priority="802">
      <formula>$H270="ETAPA"</formula>
    </cfRule>
  </conditionalFormatting>
  <conditionalFormatting sqref="O272 O274">
    <cfRule type="expression" dxfId="1973" priority="795">
      <formula>$H272="CÉLULA CONSTRUTIVA"</formula>
    </cfRule>
  </conditionalFormatting>
  <conditionalFormatting sqref="O274 O272">
    <cfRule type="expression" dxfId="1972" priority="794">
      <formula>$H272="SUBETAPA"</formula>
    </cfRule>
  </conditionalFormatting>
  <conditionalFormatting sqref="O276">
    <cfRule type="expression" dxfId="1971" priority="791">
      <formula>$H276="SUBETAPA"</formula>
    </cfRule>
    <cfRule type="expression" dxfId="1970" priority="792">
      <formula>$H276="CÉLULA CONSTRUTIVA"</formula>
    </cfRule>
  </conditionalFormatting>
  <conditionalFormatting sqref="O280">
    <cfRule type="expression" dxfId="1969" priority="18">
      <formula>$H280="CÉLULA CONSTRUTIVA"</formula>
    </cfRule>
    <cfRule type="expression" dxfId="1968" priority="17">
      <formula>$H280="SUBETAPA"</formula>
    </cfRule>
    <cfRule type="expression" dxfId="1967" priority="19">
      <formula>$H280="ETAPA"</formula>
    </cfRule>
  </conditionalFormatting>
  <conditionalFormatting sqref="O281">
    <cfRule type="expression" dxfId="1966" priority="14">
      <formula>$H281="SUBETAPA"</formula>
    </cfRule>
    <cfRule type="expression" dxfId="1965" priority="15">
      <formula>$H281="CÉLULA CONSTRUTIVA"</formula>
    </cfRule>
    <cfRule type="expression" dxfId="1964" priority="16">
      <formula>$H281="ETAPA"</formula>
    </cfRule>
  </conditionalFormatting>
  <conditionalFormatting sqref="O282">
    <cfRule type="expression" dxfId="1963" priority="11">
      <formula>$H282="SUBETAPA"</formula>
    </cfRule>
    <cfRule type="expression" dxfId="1962" priority="12">
      <formula>$H282="CÉLULA CONSTRUTIVA"</formula>
    </cfRule>
    <cfRule type="expression" dxfId="1961" priority="13">
      <formula>$H282="ETAPA"</formula>
    </cfRule>
  </conditionalFormatting>
  <conditionalFormatting sqref="O331">
    <cfRule type="expression" dxfId="1960" priority="4627">
      <formula>$H331="CÉLULA CONSTRUTIVA"</formula>
    </cfRule>
    <cfRule type="expression" dxfId="1959" priority="4626">
      <formula>$H331="SUBETAPA"</formula>
    </cfRule>
    <cfRule type="expression" dxfId="1958" priority="4628">
      <formula>$H331="ETAPA"</formula>
    </cfRule>
  </conditionalFormatting>
  <conditionalFormatting sqref="O333">
    <cfRule type="expression" dxfId="1957" priority="717">
      <formula>$H333="SUBETAPA"</formula>
    </cfRule>
    <cfRule type="expression" dxfId="1956" priority="719">
      <formula>$H333="ETAPA"</formula>
    </cfRule>
    <cfRule type="expression" dxfId="1955" priority="718">
      <formula>$H333="CÉLULA CONSTRUTIVA"</formula>
    </cfRule>
  </conditionalFormatting>
  <conditionalFormatting sqref="O334:O335">
    <cfRule type="expression" dxfId="1954" priority="3669">
      <formula>$H334="CÉLULA CONSTRUTIVA"</formula>
    </cfRule>
    <cfRule type="expression" dxfId="1953" priority="3668">
      <formula>$H334="SUBETAPA"</formula>
    </cfRule>
  </conditionalFormatting>
  <conditionalFormatting sqref="O336">
    <cfRule type="expression" dxfId="1952" priority="722">
      <formula>$H336="ETAPA"</formula>
    </cfRule>
    <cfRule type="expression" dxfId="1951" priority="721">
      <formula>$H336="CÉLULA CONSTRUTIVA"</formula>
    </cfRule>
    <cfRule type="expression" dxfId="1950" priority="720">
      <formula>$H336="SUBETAPA"</formula>
    </cfRule>
  </conditionalFormatting>
  <conditionalFormatting sqref="O338">
    <cfRule type="expression" dxfId="1949" priority="8">
      <formula>$H338="SUBETAPA"</formula>
    </cfRule>
    <cfRule type="expression" dxfId="1948" priority="9">
      <formula>$H338="CÉLULA CONSTRUTIVA"</formula>
    </cfRule>
  </conditionalFormatting>
  <conditionalFormatting sqref="O342">
    <cfRule type="expression" dxfId="1947" priority="723">
      <formula>$H342="SUBETAPA"</formula>
    </cfRule>
    <cfRule type="expression" dxfId="1946" priority="724">
      <formula>$H342="CÉLULA CONSTRUTIVA"</formula>
    </cfRule>
    <cfRule type="expression" dxfId="1945" priority="725">
      <formula>$H342="ETAPA"</formula>
    </cfRule>
  </conditionalFormatting>
  <conditionalFormatting sqref="O346">
    <cfRule type="expression" dxfId="1944" priority="728">
      <formula>$H346="ETAPA"</formula>
    </cfRule>
    <cfRule type="expression" dxfId="1943" priority="726">
      <formula>$H346="SUBETAPA"</formula>
    </cfRule>
    <cfRule type="expression" dxfId="1942" priority="727">
      <formula>$H346="CÉLULA CONSTRUTIVA"</formula>
    </cfRule>
  </conditionalFormatting>
  <conditionalFormatting sqref="O349">
    <cfRule type="expression" dxfId="1941" priority="714">
      <formula>$H349="SUBETAPA"</formula>
    </cfRule>
    <cfRule type="expression" dxfId="1940" priority="715">
      <formula>$H349="CÉLULA CONSTRUTIVA"</formula>
    </cfRule>
    <cfRule type="expression" dxfId="1939" priority="716">
      <formula>$H349="ETAPA"</formula>
    </cfRule>
  </conditionalFormatting>
  <conditionalFormatting sqref="O350">
    <cfRule type="expression" dxfId="1938" priority="708">
      <formula>$H350="SUBETAPA"</formula>
    </cfRule>
    <cfRule type="expression" dxfId="1937" priority="709">
      <formula>$H350="CÉLULA CONSTRUTIVA"</formula>
    </cfRule>
    <cfRule type="expression" dxfId="1936" priority="710">
      <formula>$H350="ETAPA"</formula>
    </cfRule>
  </conditionalFormatting>
  <conditionalFormatting sqref="O351:O352">
    <cfRule type="expression" dxfId="1935" priority="712">
      <formula>$H351="CÉLULA CONSTRUTIVA"</formula>
    </cfRule>
    <cfRule type="expression" dxfId="1934" priority="713">
      <formula>$H351="ETAPA"</formula>
    </cfRule>
    <cfRule type="expression" dxfId="1933" priority="711">
      <formula>$H351="SUBETAPA"</formula>
    </cfRule>
  </conditionalFormatting>
  <conditionalFormatting sqref="O353:O354">
    <cfRule type="expression" dxfId="1932" priority="4620">
      <formula>$H353="SUBETAPA"</formula>
    </cfRule>
    <cfRule type="expression" dxfId="1931" priority="4622">
      <formula>$H353="ETAPA"</formula>
    </cfRule>
    <cfRule type="expression" dxfId="1930" priority="4621">
      <formula>$H353="CÉLULA CONSTRUTIVA"</formula>
    </cfRule>
  </conditionalFormatting>
  <conditionalFormatting sqref="O357">
    <cfRule type="expression" dxfId="1929" priority="80">
      <formula>$H357="SUBETAPA"</formula>
    </cfRule>
    <cfRule type="expression" dxfId="1928" priority="81">
      <formula>$H357="CÉLULA CONSTRUTIVA"</formula>
    </cfRule>
    <cfRule type="expression" dxfId="1927" priority="82">
      <formula>$H357="ETAPA"</formula>
    </cfRule>
  </conditionalFormatting>
  <conditionalFormatting sqref="O361">
    <cfRule type="expression" dxfId="1926" priority="79">
      <formula>$H361="ETAPA"</formula>
    </cfRule>
    <cfRule type="expression" dxfId="1925" priority="77">
      <formula>$H361="SUBETAPA"</formula>
    </cfRule>
    <cfRule type="expression" dxfId="1924" priority="78">
      <formula>$H361="CÉLULA CONSTRUTIVA"</formula>
    </cfRule>
  </conditionalFormatting>
  <conditionalFormatting sqref="O365">
    <cfRule type="expression" dxfId="1923" priority="292">
      <formula>$H365="ETAPA"</formula>
    </cfRule>
    <cfRule type="expression" dxfId="1922" priority="291">
      <formula>$H365="CÉLULA CONSTRUTIVA"</formula>
    </cfRule>
    <cfRule type="expression" dxfId="1921" priority="290">
      <formula>$H365="SUBETAPA"</formula>
    </cfRule>
  </conditionalFormatting>
  <conditionalFormatting sqref="O366">
    <cfRule type="expression" dxfId="1920" priority="86">
      <formula>$H366="SUBETAPA"</formula>
    </cfRule>
    <cfRule type="expression" dxfId="1919" priority="87">
      <formula>$H366="CÉLULA CONSTRUTIVA"</formula>
    </cfRule>
    <cfRule type="expression" dxfId="1918" priority="88">
      <formula>$H366="ETAPA"</formula>
    </cfRule>
  </conditionalFormatting>
  <conditionalFormatting sqref="O367">
    <cfRule type="expression" dxfId="1917" priority="83">
      <formula>$H367="SUBETAPA"</formula>
    </cfRule>
    <cfRule type="expression" dxfId="1916" priority="84">
      <formula>$H367="CÉLULA CONSTRUTIVA"</formula>
    </cfRule>
    <cfRule type="expression" dxfId="1915" priority="85">
      <formula>$H367="ETAPA"</formula>
    </cfRule>
  </conditionalFormatting>
  <conditionalFormatting sqref="O391">
    <cfRule type="expression" dxfId="1914" priority="882">
      <formula>$H391="SUBETAPA"</formula>
    </cfRule>
    <cfRule type="expression" dxfId="1913" priority="884">
      <formula>$H391="ETAPA"</formula>
    </cfRule>
    <cfRule type="expression" dxfId="1912" priority="883">
      <formula>$H391="CÉLULA CONSTRUTIVA"</formula>
    </cfRule>
  </conditionalFormatting>
  <conditionalFormatting sqref="O403">
    <cfRule type="expression" dxfId="1911" priority="6">
      <formula>$H403="CÉLULA CONSTRUTIVA"</formula>
    </cfRule>
    <cfRule type="expression" dxfId="1910" priority="7">
      <formula>$H403="ETAPA"</formula>
    </cfRule>
    <cfRule type="expression" dxfId="1909" priority="5">
      <formula>$H403="SUBETAPA"</formula>
    </cfRule>
  </conditionalFormatting>
  <conditionalFormatting sqref="O422">
    <cfRule type="expression" dxfId="1908" priority="4619">
      <formula>$H422="ETAPA"</formula>
    </cfRule>
    <cfRule type="expression" dxfId="1907" priority="4618">
      <formula>$H422="CÉLULA CONSTRUTIVA"</formula>
    </cfRule>
    <cfRule type="expression" dxfId="1906" priority="4617">
      <formula>$H422="SUBETAPA"</formula>
    </cfRule>
  </conditionalFormatting>
  <conditionalFormatting sqref="O424">
    <cfRule type="expression" dxfId="1905" priority="877">
      <formula>$H424="CÉLULA CONSTRUTIVA"</formula>
    </cfRule>
    <cfRule type="expression" dxfId="1904" priority="876">
      <formula>$H424="SUBETAPA"</formula>
    </cfRule>
    <cfRule type="expression" dxfId="1903" priority="878">
      <formula>$H424="ETAPA"</formula>
    </cfRule>
  </conditionalFormatting>
  <conditionalFormatting sqref="O427:O428">
    <cfRule type="expression" dxfId="1902" priority="869">
      <formula>$H427="ETAPA"</formula>
    </cfRule>
    <cfRule type="expression" dxfId="1901" priority="867">
      <formula>$H427="SUBETAPA"</formula>
    </cfRule>
    <cfRule type="expression" dxfId="1900" priority="868">
      <formula>$H427="CÉLULA CONSTRUTIVA"</formula>
    </cfRule>
  </conditionalFormatting>
  <conditionalFormatting sqref="O430">
    <cfRule type="expression" dxfId="1899" priority="865">
      <formula>$H430="CÉLULA CONSTRUTIVA"</formula>
    </cfRule>
    <cfRule type="expression" dxfId="1898" priority="866">
      <formula>$H430="ETAPA"</formula>
    </cfRule>
    <cfRule type="expression" dxfId="1897" priority="864">
      <formula>$H430="SUBETAPA"</formula>
    </cfRule>
  </conditionalFormatting>
  <conditionalFormatting sqref="O433">
    <cfRule type="expression" dxfId="1896" priority="861">
      <formula>$H433="SUBETAPA"</formula>
    </cfRule>
    <cfRule type="expression" dxfId="1895" priority="862">
      <formula>$H433="CÉLULA CONSTRUTIVA"</formula>
    </cfRule>
    <cfRule type="expression" dxfId="1894" priority="863">
      <formula>$H433="ETAPA"</formula>
    </cfRule>
  </conditionalFormatting>
  <conditionalFormatting sqref="O435">
    <cfRule type="expression" dxfId="1893" priority="858">
      <formula>$H435="SUBETAPA"</formula>
    </cfRule>
    <cfRule type="expression" dxfId="1892" priority="859">
      <formula>$H435="CÉLULA CONSTRUTIVA"</formula>
    </cfRule>
    <cfRule type="expression" dxfId="1891" priority="860">
      <formula>$H435="ETAPA"</formula>
    </cfRule>
  </conditionalFormatting>
  <conditionalFormatting sqref="O441">
    <cfRule type="expression" dxfId="1890" priority="853">
      <formula>$H441="CÉLULA CONSTRUTIVA"</formula>
    </cfRule>
    <cfRule type="expression" dxfId="1889" priority="852">
      <formula>$H441="SUBETAPA"</formula>
    </cfRule>
    <cfRule type="expression" dxfId="1888" priority="854">
      <formula>$H441="ETAPA"</formula>
    </cfRule>
  </conditionalFormatting>
  <conditionalFormatting sqref="O444">
    <cfRule type="expression" dxfId="1887" priority="493">
      <formula>$H444="SUBETAPA"</formula>
    </cfRule>
    <cfRule type="expression" dxfId="1886" priority="495">
      <formula>$H444="ETAPA"</formula>
    </cfRule>
    <cfRule type="expression" dxfId="1885" priority="494">
      <formula>$H444="CÉLULA CONSTRUTIVA"</formula>
    </cfRule>
  </conditionalFormatting>
  <conditionalFormatting sqref="O445">
    <cfRule type="expression" dxfId="1884" priority="773">
      <formula>$H445="CÉLULA CONSTRUTIVA"</formula>
    </cfRule>
    <cfRule type="expression" dxfId="1883" priority="772">
      <formula>$H445="SUBETAPA"</formula>
    </cfRule>
    <cfRule type="expression" dxfId="1882" priority="774">
      <formula>$H445="ETAPA"</formula>
    </cfRule>
  </conditionalFormatting>
  <conditionalFormatting sqref="O446">
    <cfRule type="expression" dxfId="1881" priority="850">
      <formula>$H446="CÉLULA CONSTRUTIVA"</formula>
    </cfRule>
    <cfRule type="expression" dxfId="1880" priority="851">
      <formula>$H446="ETAPA"</formula>
    </cfRule>
    <cfRule type="expression" dxfId="1879" priority="849">
      <formula>$H446="SUBETAPA"</formula>
    </cfRule>
  </conditionalFormatting>
  <conditionalFormatting sqref="O10:P10">
    <cfRule type="expression" dxfId="1878" priority="479">
      <formula>$H10="CÉLULA CONSTRUTIVA"</formula>
    </cfRule>
    <cfRule type="expression" dxfId="1877" priority="480">
      <formula>$H10="ETAPA"</formula>
    </cfRule>
    <cfRule type="expression" dxfId="1876" priority="478">
      <formula>$H10="SUBETAPA"</formula>
    </cfRule>
  </conditionalFormatting>
  <conditionalFormatting sqref="O23:P24">
    <cfRule type="expression" dxfId="1875" priority="890">
      <formula>$H23="ETAPA"</formula>
    </cfRule>
  </conditionalFormatting>
  <conditionalFormatting sqref="O23:P25">
    <cfRule type="expression" dxfId="1874" priority="889">
      <formula>$H23="CÉLULA CONSTRUTIVA"</formula>
    </cfRule>
  </conditionalFormatting>
  <conditionalFormatting sqref="O36:P36 M26:O31">
    <cfRule type="expression" dxfId="1873" priority="13901">
      <formula>$H26="CÉLULA CONSTRUTIVA"</formula>
    </cfRule>
  </conditionalFormatting>
  <conditionalFormatting sqref="O54:P54">
    <cfRule type="expression" dxfId="1872" priority="517">
      <formula>$H54="CÉLULA CONSTRUTIVA"</formula>
    </cfRule>
  </conditionalFormatting>
  <conditionalFormatting sqref="O58:P60">
    <cfRule type="expression" dxfId="1871" priority="572">
      <formula>$H58="CÉLULA CONSTRUTIVA"</formula>
    </cfRule>
  </conditionalFormatting>
  <conditionalFormatting sqref="O60:P60 P58:P59">
    <cfRule type="expression" dxfId="1870" priority="685">
      <formula>$H58="SUBETAPA"</formula>
    </cfRule>
  </conditionalFormatting>
  <conditionalFormatting sqref="O70:P70">
    <cfRule type="expression" dxfId="1869" priority="692">
      <formula>$H70="ETAPA"</formula>
    </cfRule>
    <cfRule type="expression" dxfId="1868" priority="691">
      <formula>$H70="CÉLULA CONSTRUTIVA"</formula>
    </cfRule>
    <cfRule type="expression" dxfId="1867" priority="690">
      <formula>$H70="SUBETAPA"</formula>
    </cfRule>
  </conditionalFormatting>
  <conditionalFormatting sqref="O102:P104 G385:J385 G387:J387">
    <cfRule type="expression" dxfId="1866" priority="249">
      <formula>$H102="ETAPA"</formula>
    </cfRule>
  </conditionalFormatting>
  <conditionalFormatting sqref="O122:P124 N127:P127 N129:P129 N150:P150 N290:O291 N284:N285 N294:O294 N295:N296">
    <cfRule type="expression" dxfId="1865" priority="12728">
      <formula>$H122="SUBETAPA"</formula>
    </cfRule>
  </conditionalFormatting>
  <conditionalFormatting sqref="O169:P169">
    <cfRule type="expression" dxfId="1864" priority="1108">
      <formula>$H169="SUBETAPA"</formula>
    </cfRule>
  </conditionalFormatting>
  <conditionalFormatting sqref="O171:P171">
    <cfRule type="expression" dxfId="1863" priority="1105">
      <formula>$H171="SUBETAPA"</formula>
    </cfRule>
  </conditionalFormatting>
  <conditionalFormatting sqref="O173:P174 M174">
    <cfRule type="expression" dxfId="1862" priority="1081">
      <formula>$H173="SUBETAPA"</formula>
    </cfRule>
  </conditionalFormatting>
  <conditionalFormatting sqref="O175:P175">
    <cfRule type="expression" dxfId="1861" priority="1070">
      <formula>$H175="SUBETAPA"</formula>
    </cfRule>
  </conditionalFormatting>
  <conditionalFormatting sqref="O181:P182">
    <cfRule type="expression" dxfId="1860" priority="13687">
      <formula>$H181="ETAPA"</formula>
    </cfRule>
    <cfRule type="expression" dxfId="1859" priority="13686">
      <formula>$H181="CÉLULA CONSTRUTIVA"</formula>
    </cfRule>
    <cfRule type="expression" dxfId="1858" priority="13685">
      <formula>$H181="SUBETAPA"</formula>
    </cfRule>
  </conditionalFormatting>
  <conditionalFormatting sqref="O183:P183">
    <cfRule type="expression" dxfId="1857" priority="347">
      <formula>$H183="ETAPA"</formula>
    </cfRule>
    <cfRule type="expression" dxfId="1856" priority="346">
      <formula>$H183="CÉLULA CONSTRUTIVA"</formula>
    </cfRule>
  </conditionalFormatting>
  <conditionalFormatting sqref="O185:P185">
    <cfRule type="expression" dxfId="1855" priority="343">
      <formula>$H185="CÉLULA CONSTRUTIVA"</formula>
    </cfRule>
    <cfRule type="expression" dxfId="1854" priority="344">
      <formula>$H185="ETAPA"</formula>
    </cfRule>
  </conditionalFormatting>
  <conditionalFormatting sqref="O189:P189">
    <cfRule type="expression" dxfId="1853" priority="337">
      <formula>$H189="CÉLULA CONSTRUTIVA"</formula>
    </cfRule>
    <cfRule type="expression" dxfId="1852" priority="338">
      <formula>$H189="ETAPA"</formula>
    </cfRule>
  </conditionalFormatting>
  <conditionalFormatting sqref="O191:P191">
    <cfRule type="expression" dxfId="1851" priority="1026">
      <formula>$H191="ETAPA"</formula>
    </cfRule>
    <cfRule type="expression" dxfId="1850" priority="1025">
      <formula>$H191="CÉLULA CONSTRUTIVA"</formula>
    </cfRule>
  </conditionalFormatting>
  <conditionalFormatting sqref="O193:P193">
    <cfRule type="expression" dxfId="1849" priority="1022">
      <formula>$H193="CÉLULA CONSTRUTIVA"</formula>
    </cfRule>
  </conditionalFormatting>
  <conditionalFormatting sqref="O199:P199">
    <cfRule type="expression" dxfId="1848" priority="14011">
      <formula>$H199="ETAPA"</formula>
    </cfRule>
  </conditionalFormatting>
  <conditionalFormatting sqref="O199:P200 N331:N333 L342:N342 M346:N346 M433:N433">
    <cfRule type="expression" dxfId="1847" priority="10076">
      <formula>$H199="CÉLULA CONSTRUTIVA"</formula>
    </cfRule>
  </conditionalFormatting>
  <conditionalFormatting sqref="O200:P200 N331:N333 M342:N342 M346:N346 M433:N433 G336:N336">
    <cfRule type="expression" dxfId="1846" priority="10077">
      <formula>$H200="ETAPA"</formula>
    </cfRule>
  </conditionalFormatting>
  <conditionalFormatting sqref="O200:P200 N331:N333 M346:N346 M433:N433">
    <cfRule type="expression" dxfId="1845" priority="10075">
      <formula>$H200="SUBETAPA"</formula>
    </cfRule>
  </conditionalFormatting>
  <conditionalFormatting sqref="O202:P202">
    <cfRule type="expression" dxfId="1844" priority="1224">
      <formula>$H202="CÉLULA CONSTRUTIVA"</formula>
    </cfRule>
    <cfRule type="expression" dxfId="1843" priority="1225">
      <formula>$H202="ETAPA"</formula>
    </cfRule>
  </conditionalFormatting>
  <conditionalFormatting sqref="O204:P204">
    <cfRule type="expression" dxfId="1842" priority="1163">
      <formula>$H204="ETAPA"</formula>
    </cfRule>
    <cfRule type="expression" dxfId="1841" priority="1162">
      <formula>$H204="CÉLULA CONSTRUTIVA"</formula>
    </cfRule>
  </conditionalFormatting>
  <conditionalFormatting sqref="O206:P206">
    <cfRule type="expression" dxfId="1840" priority="1152">
      <formula>$H206="ETAPA"</formula>
    </cfRule>
    <cfRule type="expression" dxfId="1839" priority="1151">
      <formula>$H206="CÉLULA CONSTRUTIVA"</formula>
    </cfRule>
  </conditionalFormatting>
  <conditionalFormatting sqref="O208:P208">
    <cfRule type="expression" dxfId="1838" priority="1213">
      <formula>$H208="CÉLULA CONSTRUTIVA"</formula>
    </cfRule>
    <cfRule type="expression" dxfId="1837" priority="1214">
      <formula>$H208="ETAPA"</formula>
    </cfRule>
  </conditionalFormatting>
  <conditionalFormatting sqref="O213:P213 G210:K213">
    <cfRule type="expression" dxfId="1836" priority="10313">
      <formula>$H210="ETAPA"</formula>
    </cfRule>
  </conditionalFormatting>
  <conditionalFormatting sqref="O213:P214">
    <cfRule type="expression" dxfId="1835" priority="10087">
      <formula>$H213="CÉLULA CONSTRUTIVA"</formula>
    </cfRule>
  </conditionalFormatting>
  <conditionalFormatting sqref="O214:P214 G19:N19 N165:P165 M166:P166 G168:P168 M170:P170 M172:P172 M176:P176 M228:N228 M232:N232 N235:P235 M236:P236 G441:M443 L446:L447 G446:K448 G13:M17 G20:M23 J169 G166:L167 P223 G224:M224 G234:M235 P234:P235 L331 N426:O426">
    <cfRule type="expression" dxfId="1834" priority="10088">
      <formula>$H13="ETAPA"</formula>
    </cfRule>
  </conditionalFormatting>
  <conditionalFormatting sqref="O222:P222">
    <cfRule type="expression" dxfId="1833" priority="10283">
      <formula>$H222="ETAPA"</formula>
    </cfRule>
    <cfRule type="expression" dxfId="1832" priority="10282">
      <formula>$H222="CÉLULA CONSTRUTIVA"</formula>
    </cfRule>
  </conditionalFormatting>
  <conditionalFormatting sqref="O243:P243 M243">
    <cfRule type="expression" dxfId="1831" priority="1237">
      <formula>$H243="SUBETAPA"</formula>
    </cfRule>
  </conditionalFormatting>
  <conditionalFormatting sqref="O245:P245">
    <cfRule type="expression" dxfId="1830" priority="4644">
      <formula>$H245="SUBETAPA"</formula>
    </cfRule>
  </conditionalFormatting>
  <conditionalFormatting sqref="O249:P249">
    <cfRule type="expression" dxfId="1829" priority="4565">
      <formula>$H249="SUBETAPA"</formula>
    </cfRule>
  </conditionalFormatting>
  <conditionalFormatting sqref="O251:P251">
    <cfRule type="expression" dxfId="1828" priority="4549">
      <formula>$H251="ETAPA"</formula>
    </cfRule>
    <cfRule type="expression" dxfId="1827" priority="4548">
      <formula>$H251="CÉLULA CONSTRUTIVA"</formula>
    </cfRule>
    <cfRule type="expression" dxfId="1826" priority="4543">
      <formula>$H251="SUBETAPA"</formula>
    </cfRule>
  </conditionalFormatting>
  <conditionalFormatting sqref="O253:P253">
    <cfRule type="expression" dxfId="1825" priority="13991">
      <formula>$H253="SUBETAPA"</formula>
    </cfRule>
    <cfRule type="expression" dxfId="1824" priority="13993">
      <formula>$H253="ETAPA"</formula>
    </cfRule>
    <cfRule type="expression" dxfId="1823" priority="13992">
      <formula>$H253="CÉLULA CONSTRUTIVA"</formula>
    </cfRule>
  </conditionalFormatting>
  <conditionalFormatting sqref="O255:P255">
    <cfRule type="expression" dxfId="1822" priority="375">
      <formula>$H255="ETAPA"</formula>
    </cfRule>
    <cfRule type="expression" dxfId="1821" priority="374">
      <formula>$H255="CÉLULA CONSTRUTIVA"</formula>
    </cfRule>
    <cfRule type="expression" dxfId="1820" priority="373">
      <formula>$H255="SUBETAPA"</formula>
    </cfRule>
  </conditionalFormatting>
  <conditionalFormatting sqref="O257:P258 M257:M258">
    <cfRule type="expression" dxfId="1819" priority="4521">
      <formula>$H257="SUBETAPA"</formula>
    </cfRule>
  </conditionalFormatting>
  <conditionalFormatting sqref="O261:P261 P262 O423:P423 P433 N434:P434 P446 P198:P199 P430:P431 M431:P432 G23:L33 O246:P247 O75:P76">
    <cfRule type="expression" dxfId="1818" priority="13920">
      <formula>$H23="SUBETAPA"</formula>
    </cfRule>
  </conditionalFormatting>
  <conditionalFormatting sqref="O266:P266">
    <cfRule type="expression" dxfId="1817" priority="2047">
      <formula>$H266="CÉLULA CONSTRUTIVA"</formula>
    </cfRule>
  </conditionalFormatting>
  <conditionalFormatting sqref="O321:P321">
    <cfRule type="expression" dxfId="1816" priority="307">
      <formula>$H321="CÉLULA CONSTRUTIVA"</formula>
    </cfRule>
  </conditionalFormatting>
  <conditionalFormatting sqref="O334:P334 O335 P130:P139 P315 P322 L356 G276:M277 P338:P341 N276 N347:O348">
    <cfRule type="expression" dxfId="1815" priority="4213">
      <formula>$H130="SUBETAPA"</formula>
    </cfRule>
  </conditionalFormatting>
  <conditionalFormatting sqref="O355:P355 N425:P425 M447:P448 G449:P452 G425:L425">
    <cfRule type="expression" dxfId="1814" priority="13788">
      <formula>$H355="ETAPA"</formula>
    </cfRule>
  </conditionalFormatting>
  <conditionalFormatting sqref="O376:P376">
    <cfRule type="expression" dxfId="1813" priority="3202">
      <formula>$H376="ETAPA"</formula>
    </cfRule>
    <cfRule type="expression" dxfId="1812" priority="3196">
      <formula>$H376="CÉLULA CONSTRUTIVA"</formula>
    </cfRule>
    <cfRule type="expression" dxfId="1811" priority="3195">
      <formula>$H376="SUBETAPA"</formula>
    </cfRule>
  </conditionalFormatting>
  <conditionalFormatting sqref="O378:P378 G380:M381 O380:P381 G382:L382 P422">
    <cfRule type="expression" dxfId="1810" priority="13804">
      <formula>$H378="CÉLULA CONSTRUTIVA"</formula>
    </cfRule>
  </conditionalFormatting>
  <conditionalFormatting sqref="O380:P380">
    <cfRule type="expression" dxfId="1809" priority="13839">
      <formula>$H380="ETAPA"</formula>
    </cfRule>
  </conditionalFormatting>
  <conditionalFormatting sqref="O381:P381 G381:K381">
    <cfRule type="expression" dxfId="1808" priority="13669">
      <formula>$H381="ETAPA"</formula>
    </cfRule>
  </conditionalFormatting>
  <conditionalFormatting sqref="O384:P384">
    <cfRule type="expression" dxfId="1807" priority="239">
      <formula>$H384="SUBETAPA"</formula>
    </cfRule>
    <cfRule type="expression" dxfId="1806" priority="240">
      <formula>$H384="CÉLULA CONSTRUTIVA"</formula>
    </cfRule>
    <cfRule type="expression" dxfId="1805" priority="246">
      <formula>$H384="ETAPA"</formula>
    </cfRule>
  </conditionalFormatting>
  <conditionalFormatting sqref="O386:P386">
    <cfRule type="expression" dxfId="1804" priority="70">
      <formula>$H386="CÉLULA CONSTRUTIVA"</formula>
    </cfRule>
    <cfRule type="expression" dxfId="1803" priority="76">
      <formula>$H386="ETAPA"</formula>
    </cfRule>
    <cfRule type="expression" dxfId="1802" priority="69">
      <formula>$H386="SUBETAPA"</formula>
    </cfRule>
  </conditionalFormatting>
  <conditionalFormatting sqref="O392:P393">
    <cfRule type="expression" dxfId="1801" priority="3550">
      <formula>$H392="ETAPA"</formula>
    </cfRule>
  </conditionalFormatting>
  <conditionalFormatting sqref="O402:P402 P403 P401">
    <cfRule type="expression" dxfId="1800" priority="4140">
      <formula>$H401="SUBETAPA"</formula>
    </cfRule>
  </conditionalFormatting>
  <conditionalFormatting sqref="O407:P408">
    <cfRule type="expression" dxfId="1799" priority="3999">
      <formula>$H407="CÉLULA CONSTRUTIVA"</formula>
    </cfRule>
    <cfRule type="expression" dxfId="1798" priority="3998">
      <formula>$H407="SUBETAPA"</formula>
    </cfRule>
  </conditionalFormatting>
  <conditionalFormatting sqref="O409:P409">
    <cfRule type="expression" dxfId="1797" priority="3115">
      <formula>$H409="SUBETAPA"</formula>
    </cfRule>
    <cfRule type="expression" dxfId="1796" priority="3122">
      <formula>$H409="CÉLULA CONSTRUTIVA"</formula>
    </cfRule>
    <cfRule type="expression" dxfId="1795" priority="3123">
      <formula>$H409="ETAPA"</formula>
    </cfRule>
  </conditionalFormatting>
  <conditionalFormatting sqref="O413:P413">
    <cfRule type="expression" dxfId="1794" priority="4018">
      <formula>$H413="CÉLULA CONSTRUTIVA"</formula>
    </cfRule>
    <cfRule type="expression" dxfId="1793" priority="4019">
      <formula>$H413="ETAPA"</formula>
    </cfRule>
  </conditionalFormatting>
  <conditionalFormatting sqref="P1:P5 P19:P25 P36 P53 P74:P85 P96:P111 P164:P166 P168 P170 P172 P176 P178 P196 P198:P199 P245:P247 P267:P269 P275 P278:P279 P283:P287 P334:P335 P337:P341 P347:P352 P414:P416 P420:P424 P435:P436 P441 P446:P452">
    <cfRule type="containsText" dxfId="1792" priority="14051" operator="containsText" text="Finalizado">
      <formula>NOT(ISERROR(SEARCH("Finalizado",P1)))</formula>
    </cfRule>
  </conditionalFormatting>
  <conditionalFormatting sqref="P1:P5 P19:P25 P36 P53 P74:P85 P96:P111 P164:P166 P168 P170 P172 P176 P178 P196 P198:P199 P245:P247 P267:P269 P278:P279 P414:P416 P420:P424 P435:P436 P441 P446:P452">
    <cfRule type="containsText" dxfId="1791" priority="14052" operator="containsText" text="em andamento">
      <formula>NOT(ISERROR(SEARCH("em andamento",P1)))</formula>
    </cfRule>
  </conditionalFormatting>
  <conditionalFormatting sqref="P1:P5 P36 P74:P111 P120:P166 P168 P170 P172 P176 P178 P196 P198:P199 P222:P247 P380 P278:P352 P418:P424 P433:P434 P446:P452 P436 P260:P262 P23:P25 P44:P60 P267:P269 P271:P273 P275 P410:P416 P115 P441 P117:P118">
    <cfRule type="containsText" dxfId="1790" priority="14050" operator="containsText" text="Pendente">
      <formula>NOT(ISERROR(SEARCH("Pendente",P1)))</formula>
    </cfRule>
  </conditionalFormatting>
  <conditionalFormatting sqref="P7:P9 P13:P18 P20:P22 P26:P35">
    <cfRule type="containsText" dxfId="1789" priority="11119" operator="containsText" text="Pendente">
      <formula>NOT(ISERROR(SEARCH("Pendente",P7)))</formula>
    </cfRule>
  </conditionalFormatting>
  <conditionalFormatting sqref="P7:P9 P414:P416 P26:P32 P97 P99 P13:P18 P20:P22 P275 P362:P363 P44:P55 P267:P269 P223:P244 P120:P163 P358:P360 P295:P352 P117:P118 P288:P291 P271:P273">
    <cfRule type="containsText" dxfId="1788" priority="11121" operator="containsText" text="em andamento">
      <formula>NOT(ISERROR(SEARCH("em andamento",P7)))</formula>
    </cfRule>
    <cfRule type="containsText" dxfId="1787" priority="11120" operator="containsText" text="Finalizado">
      <formula>NOT(ISERROR(SEARCH("Finalizado",P7)))</formula>
    </cfRule>
  </conditionalFormatting>
  <conditionalFormatting sqref="P10:P12">
    <cfRule type="containsText" dxfId="1786" priority="488" operator="containsText" text="Lançado">
      <formula>NOT(ISERROR(SEARCH("Lançado",P10)))</formula>
    </cfRule>
    <cfRule type="containsText" dxfId="1785" priority="492" operator="containsText" text="Pendente">
      <formula>NOT(ISERROR(SEARCH("Pendente",P10)))</formula>
    </cfRule>
    <cfRule type="containsText" dxfId="1784" priority="491" operator="containsText" text="em andamento">
      <formula>NOT(ISERROR(SEARCH("em andamento",P10)))</formula>
    </cfRule>
    <cfRule type="containsText" dxfId="1783" priority="490" operator="containsText" text="Finalizado">
      <formula>NOT(ISERROR(SEARCH("Finalizado",P10)))</formula>
    </cfRule>
    <cfRule type="containsText" dxfId="1782" priority="489" operator="containsText" text="N/A">
      <formula>NOT(ISERROR(SEARCH("N/A",P10)))</formula>
    </cfRule>
  </conditionalFormatting>
  <conditionalFormatting sqref="P11:P12 N11:N12">
    <cfRule type="expression" dxfId="1781" priority="477">
      <formula>$H11="CÉLULA CONSTRUTIVA"</formula>
    </cfRule>
  </conditionalFormatting>
  <conditionalFormatting sqref="P11:P12">
    <cfRule type="containsText" dxfId="1780" priority="468" operator="containsText" text="em andamento">
      <formula>NOT(ISERROR(SEARCH("em andamento",P11)))</formula>
    </cfRule>
    <cfRule type="containsText" dxfId="1779" priority="467" operator="containsText" text="Finalizado">
      <formula>NOT(ISERROR(SEARCH("Finalizado",P11)))</formula>
    </cfRule>
    <cfRule type="expression" dxfId="1778" priority="476">
      <formula>$H11="ETAPA"</formula>
    </cfRule>
    <cfRule type="containsText" dxfId="1777" priority="465" operator="containsText" text="N/A">
      <formula>NOT(ISERROR(SEARCH("N/A",P11)))</formula>
    </cfRule>
    <cfRule type="containsText" dxfId="1776" priority="466" operator="containsText" text="Pendente">
      <formula>NOT(ISERROR(SEARCH("Pendente",P11)))</formula>
    </cfRule>
    <cfRule type="containsText" dxfId="1775" priority="464" operator="containsText" text="Lançado">
      <formula>NOT(ISERROR(SEARCH("Lançado",P11)))</formula>
    </cfRule>
    <cfRule type="expression" dxfId="1774" priority="463">
      <formula>$H11="ETAPA"</formula>
    </cfRule>
    <cfRule type="expression" dxfId="1773" priority="462">
      <formula>$H11="SUBETAPA"</formula>
    </cfRule>
    <cfRule type="containsText" dxfId="1772" priority="469" operator="containsText" text="Lançado">
      <formula>NOT(ISERROR(SEARCH("Lançado",P11)))</formula>
    </cfRule>
    <cfRule type="containsText" dxfId="1771" priority="472" operator="containsText" text="Finalizado">
      <formula>NOT(ISERROR(SEARCH("Finalizado",P11)))</formula>
    </cfRule>
    <cfRule type="containsText" dxfId="1770" priority="470" operator="containsText" text="N/A">
      <formula>NOT(ISERROR(SEARCH("N/A",P11)))</formula>
    </cfRule>
    <cfRule type="containsText" dxfId="1769" priority="471" operator="containsText" text="Pendente">
      <formula>NOT(ISERROR(SEARCH("Pendente",P11)))</formula>
    </cfRule>
    <cfRule type="expression" dxfId="1768" priority="475">
      <formula>$H11="CÉLULA CONSTRUTIVA"</formula>
    </cfRule>
    <cfRule type="containsText" dxfId="1767" priority="473" operator="containsText" text="em andamento">
      <formula>NOT(ISERROR(SEARCH("em andamento",P11)))</formula>
    </cfRule>
  </conditionalFormatting>
  <conditionalFormatting sqref="P13:P18 P26:P35 P20:P22 P44:P55 P120:P163 P278:P352 P358:P360 P362:P365 P101:P111 P223:P244 P418:P421 P77:P84 P99 P7:P9 P97">
    <cfRule type="containsText" dxfId="1766" priority="11117" operator="containsText" text="Lançado">
      <formula>NOT(ISERROR(SEARCH("Lançado",P7)))</formula>
    </cfRule>
    <cfRule type="containsText" dxfId="1765" priority="11118" operator="containsText" text="N/A">
      <formula>NOT(ISERROR(SEARCH("N/A",P7)))</formula>
    </cfRule>
  </conditionalFormatting>
  <conditionalFormatting sqref="P14:P16 P18 P20:P22 P26:P32 P54:P55 P105:P111 P117:P119">
    <cfRule type="containsText" dxfId="1764" priority="11111" operator="containsText" text="Pendente">
      <formula>NOT(ISERROR(SEARCH("Pendente",P14)))</formula>
    </cfRule>
  </conditionalFormatting>
  <conditionalFormatting sqref="P14:P16 P18 P20:P22 P26:P32 P54:P55 P117:P119 P105:P111">
    <cfRule type="containsText" dxfId="1763" priority="11110" operator="containsText" text="N/A">
      <formula>NOT(ISERROR(SEARCH("N/A",P14)))</formula>
    </cfRule>
    <cfRule type="containsText" dxfId="1762" priority="11109" operator="containsText" text="Lançado">
      <formula>NOT(ISERROR(SEARCH("Lançado",P14)))</formula>
    </cfRule>
  </conditionalFormatting>
  <conditionalFormatting sqref="P14:P16 P18 P20:P22 P26:P32 P54:P55">
    <cfRule type="containsText" dxfId="1761" priority="11106" operator="containsText" text="Pendente">
      <formula>NOT(ISERROR(SEARCH("Pendente",P14)))</formula>
    </cfRule>
  </conditionalFormatting>
  <conditionalFormatting sqref="P14:P16 P20:P22 G226:L227 M227:O227 G225:M225">
    <cfRule type="expression" dxfId="1760" priority="13009">
      <formula>$H14="CÉLULA CONSTRUTIVA"</formula>
    </cfRule>
  </conditionalFormatting>
  <conditionalFormatting sqref="P14:P16 P20:P22 G225:M225 G226:L227 M227:O227">
    <cfRule type="expression" dxfId="1759" priority="13010">
      <formula>$H14="ETAPA"</formula>
    </cfRule>
  </conditionalFormatting>
  <conditionalFormatting sqref="P14:P19 N17 N23:N24 N25:P25 N33:P33 N36 N43:P43 M56:P56 G74:N76 M180:N183 M190:P190 M192:P192 M194:P194 M196:N200 L210:P210 G214:N214 J215 G245:N248 G253:N253 J254 G255:N255 J256 G353:N355 G357:N357 P357 G366:N367 M378:N378 M381:N381 M430:N430 M435:N435 P435 M446:N446 N85:P85 N441 N422:N424">
    <cfRule type="expression" dxfId="1758" priority="10062">
      <formula>$H14="ETAPA"</formula>
    </cfRule>
  </conditionalFormatting>
  <conditionalFormatting sqref="P18 P14:P16 P26:P32 P54:P55 P20:P22 P362:P363 P120:P121 P360 P117:P118 P283:P330">
    <cfRule type="containsText" dxfId="1757" priority="11108" operator="containsText" text="em andamento">
      <formula>NOT(ISERROR(SEARCH("em andamento",P14)))</formula>
    </cfRule>
    <cfRule type="containsText" dxfId="1756" priority="11107" operator="containsText" text="Finalizado">
      <formula>NOT(ISERROR(SEARCH("Finalizado",P14)))</formula>
    </cfRule>
    <cfRule type="containsText" dxfId="1755" priority="11113" operator="containsText" text="em andamento">
      <formula>NOT(ISERROR(SEARCH("em andamento",P14)))</formula>
    </cfRule>
    <cfRule type="containsText" dxfId="1754" priority="11112" operator="containsText" text="Finalizado">
      <formula>NOT(ISERROR(SEARCH("Finalizado",P14)))</formula>
    </cfRule>
  </conditionalFormatting>
  <conditionalFormatting sqref="P19:P22">
    <cfRule type="containsText" dxfId="1753" priority="4349" operator="containsText" text="Pendente">
      <formula>NOT(ISERROR(SEARCH("Pendente",P19)))</formula>
    </cfRule>
  </conditionalFormatting>
  <conditionalFormatting sqref="P20:P22 P26:P32 P14:P16 P18">
    <cfRule type="containsText" dxfId="1752" priority="11105" operator="containsText" text="N/A">
      <formula>NOT(ISERROR(SEARCH("N/A",P14)))</formula>
    </cfRule>
    <cfRule type="containsText" dxfId="1751" priority="11104" operator="containsText" text="Lançado">
      <formula>NOT(ISERROR(SEARCH("Lançado",P14)))</formula>
    </cfRule>
  </conditionalFormatting>
  <conditionalFormatting sqref="P20:P24 P26:P32">
    <cfRule type="expression" dxfId="1750" priority="11101">
      <formula>$H20="SUBETAPA"</formula>
    </cfRule>
  </conditionalFormatting>
  <conditionalFormatting sqref="P26:P32 P18">
    <cfRule type="expression" dxfId="1749" priority="11116">
      <formula>$H18="ETAPA"</formula>
    </cfRule>
  </conditionalFormatting>
  <conditionalFormatting sqref="P26:P32 P20:P22">
    <cfRule type="expression" dxfId="1748" priority="11103">
      <formula>$H20="ETAPA"</formula>
    </cfRule>
  </conditionalFormatting>
  <conditionalFormatting sqref="P26:P32">
    <cfRule type="expression" dxfId="1747" priority="11115">
      <formula>$H26="CÉLULA CONSTRUTIVA"</formula>
    </cfRule>
    <cfRule type="expression" dxfId="1746" priority="11102">
      <formula>$H26="CÉLULA CONSTRUTIVA"</formula>
    </cfRule>
  </conditionalFormatting>
  <conditionalFormatting sqref="P33:P35 P86:P95 P108:P111">
    <cfRule type="containsText" dxfId="1745" priority="11268" operator="containsText" text="em andamento">
      <formula>NOT(ISERROR(SEARCH("em andamento",P33)))</formula>
    </cfRule>
    <cfRule type="containsText" dxfId="1744" priority="11267" operator="containsText" text="Finalizado">
      <formula>NOT(ISERROR(SEARCH("Finalizado",P33)))</formula>
    </cfRule>
  </conditionalFormatting>
  <conditionalFormatting sqref="P34:P35 P77:P84 P65:P70 P61:P62">
    <cfRule type="containsText" dxfId="1743" priority="993" operator="containsText" text="Pendente">
      <formula>NOT(ISERROR(SEARCH("Pendente",P34)))</formula>
    </cfRule>
  </conditionalFormatting>
  <conditionalFormatting sqref="P34:P35 P77:P84">
    <cfRule type="containsText" dxfId="1742" priority="991" operator="containsText" text="Lançado">
      <formula>NOT(ISERROR(SEARCH("Lançado",P34)))</formula>
    </cfRule>
    <cfRule type="containsText" dxfId="1741" priority="992" operator="containsText" text="N/A">
      <formula>NOT(ISERROR(SEARCH("N/A",P34)))</formula>
    </cfRule>
  </conditionalFormatting>
  <conditionalFormatting sqref="P34:P35 P167 P169 P171 P173 P175 P177:P179 P141 P144 P151 P229:P231">
    <cfRule type="containsText" dxfId="1740" priority="8641" operator="containsText" text="Pendente">
      <formula>NOT(ISERROR(SEARCH("Pendente",P34)))</formula>
    </cfRule>
  </conditionalFormatting>
  <conditionalFormatting sqref="P34:P35">
    <cfRule type="expression" dxfId="1739" priority="1013">
      <formula>$H34="CÉLULA CONSTRUTIVA"</formula>
    </cfRule>
    <cfRule type="containsText" dxfId="1738" priority="1010" operator="containsText" text="Finalizado">
      <formula>NOT(ISERROR(SEARCH("Finalizado",P34)))</formula>
    </cfRule>
    <cfRule type="containsText" dxfId="1737" priority="1011" operator="containsText" text="em andamento">
      <formula>NOT(ISERROR(SEARCH("em andamento",P34)))</formula>
    </cfRule>
    <cfRule type="expression" dxfId="1736" priority="1014">
      <formula>$H34="ETAPA"</formula>
    </cfRule>
  </conditionalFormatting>
  <conditionalFormatting sqref="P37 P113:P114 P128 P130:P139 P149 P313 P315">
    <cfRule type="containsText" dxfId="1735" priority="11245" operator="containsText" text="Pendente">
      <formula>NOT(ISERROR(SEARCH("Pendente",P37)))</formula>
    </cfRule>
    <cfRule type="containsText" dxfId="1734" priority="11236" operator="containsText" text="N/A">
      <formula>NOT(ISERROR(SEARCH("N/A",P37)))</formula>
    </cfRule>
    <cfRule type="containsText" dxfId="1733" priority="11235" operator="containsText" text="Lançado">
      <formula>NOT(ISERROR(SEARCH("Lançado",P37)))</formula>
    </cfRule>
  </conditionalFormatting>
  <conditionalFormatting sqref="P37 P113:P114 P128 P149 P313 P130:P139 P315">
    <cfRule type="containsText" dxfId="1732" priority="11243" operator="containsText" text="Lançado">
      <formula>NOT(ISERROR(SEARCH("Lançado",P37)))</formula>
    </cfRule>
    <cfRule type="containsText" dxfId="1731" priority="11244" operator="containsText" text="N/A">
      <formula>NOT(ISERROR(SEARCH("N/A",P37)))</formula>
    </cfRule>
  </conditionalFormatting>
  <conditionalFormatting sqref="P37 P113:P114 P128 P149 P313 P439:P441 P130:P139 P315">
    <cfRule type="containsText" dxfId="1730" priority="11230" operator="containsText" text="Lançado">
      <formula>NOT(ISERROR(SEARCH("Lançado",P37)))</formula>
    </cfRule>
    <cfRule type="containsText" dxfId="1729" priority="11231" operator="containsText" text="N/A">
      <formula>NOT(ISERROR(SEARCH("N/A",P37)))</formula>
    </cfRule>
  </conditionalFormatting>
  <conditionalFormatting sqref="P37 P113:P114 P128 P149 P313">
    <cfRule type="expression" dxfId="1728" priority="11228">
      <formula>$H37="CÉLULA CONSTRUTIVA"</formula>
    </cfRule>
    <cfRule type="expression" dxfId="1727" priority="11229">
      <formula>$H37="ETAPA"</formula>
    </cfRule>
  </conditionalFormatting>
  <conditionalFormatting sqref="P37 P113:P115 P128 P130:P139 P149 P313 P315 P317:P320 P322 P334:P335">
    <cfRule type="containsText" dxfId="1726" priority="11232" operator="containsText" text="Pendente">
      <formula>NOT(ISERROR(SEARCH("Pendente",P37)))</formula>
    </cfRule>
  </conditionalFormatting>
  <conditionalFormatting sqref="P37 P113:P115 P128 P130:P139 P149 P313 P315">
    <cfRule type="containsText" dxfId="1725" priority="11237" operator="containsText" text="Pendente">
      <formula>NOT(ISERROR(SEARCH("Pendente",P37)))</formula>
    </cfRule>
  </conditionalFormatting>
  <conditionalFormatting sqref="P37 P113:P115">
    <cfRule type="containsText" dxfId="1724" priority="11247" operator="containsText" text="em andamento">
      <formula>NOT(ISERROR(SEARCH("em andamento",P37)))</formula>
    </cfRule>
    <cfRule type="containsText" dxfId="1723" priority="11246" operator="containsText" text="Finalizado">
      <formula>NOT(ISERROR(SEARCH("Finalizado",P37)))</formula>
    </cfRule>
  </conditionalFormatting>
  <conditionalFormatting sqref="P37 P128 P149 P313 P315 P113:P115 P130:P139">
    <cfRule type="containsText" dxfId="1722" priority="11238" operator="containsText" text="Finalizado">
      <formula>NOT(ISERROR(SEARCH("Finalizado",P37)))</formula>
    </cfRule>
    <cfRule type="containsText" dxfId="1721" priority="11233" operator="containsText" text="Finalizado">
      <formula>NOT(ISERROR(SEARCH("Finalizado",P37)))</formula>
    </cfRule>
    <cfRule type="containsText" dxfId="1720" priority="11234" operator="containsText" text="em andamento">
      <formula>NOT(ISERROR(SEARCH("em andamento",P37)))</formula>
    </cfRule>
    <cfRule type="containsText" dxfId="1719" priority="11239" operator="containsText" text="em andamento">
      <formula>NOT(ISERROR(SEARCH("em andamento",P37)))</formula>
    </cfRule>
  </conditionalFormatting>
  <conditionalFormatting sqref="P38:P39 P122:P163 P283:P352">
    <cfRule type="containsText" dxfId="1718" priority="10014" operator="containsText" text="Finalizado">
      <formula>NOT(ISERROR(SEARCH("Finalizado",P38)))</formula>
    </cfRule>
    <cfRule type="containsText" dxfId="1717" priority="10013" operator="containsText" text="Pendente">
      <formula>NOT(ISERROR(SEARCH("Pendente",P38)))</formula>
    </cfRule>
    <cfRule type="containsText" dxfId="1716" priority="10015" operator="containsText" text="em andamento">
      <formula>NOT(ISERROR(SEARCH("em andamento",P38)))</formula>
    </cfRule>
  </conditionalFormatting>
  <conditionalFormatting sqref="P38:P39 P283:P286">
    <cfRule type="containsText" dxfId="1715" priority="10011" operator="containsText" text="Lançado">
      <formula>NOT(ISERROR(SEARCH("Lançado",P38)))</formula>
    </cfRule>
    <cfRule type="containsText" dxfId="1714" priority="10012" operator="containsText" text="N/A">
      <formula>NOT(ISERROR(SEARCH("N/A",P38)))</formula>
    </cfRule>
  </conditionalFormatting>
  <conditionalFormatting sqref="P39">
    <cfRule type="containsText" dxfId="1713" priority="10003" operator="containsText" text="Lançado">
      <formula>NOT(ISERROR(SEARCH("Lançado",P39)))</formula>
    </cfRule>
    <cfRule type="containsText" dxfId="1712" priority="10007" operator="containsText" text="em andamento">
      <formula>NOT(ISERROR(SEARCH("em andamento",P39)))</formula>
    </cfRule>
    <cfRule type="containsText" dxfId="1711" priority="9998" operator="containsText" text="Lançado">
      <formula>NOT(ISERROR(SEARCH("Lançado",P39)))</formula>
    </cfRule>
    <cfRule type="containsText" dxfId="1710" priority="9999" operator="containsText" text="N/A">
      <formula>NOT(ISERROR(SEARCH("N/A",P39)))</formula>
    </cfRule>
    <cfRule type="containsText" dxfId="1709" priority="10000" operator="containsText" text="Pendente">
      <formula>NOT(ISERROR(SEARCH("Pendente",P39)))</formula>
    </cfRule>
    <cfRule type="containsText" dxfId="1708" priority="10001" operator="containsText" text="Finalizado">
      <formula>NOT(ISERROR(SEARCH("Finalizado",P39)))</formula>
    </cfRule>
    <cfRule type="containsText" dxfId="1707" priority="10002" operator="containsText" text="em andamento">
      <formula>NOT(ISERROR(SEARCH("em andamento",P39)))</formula>
    </cfRule>
    <cfRule type="containsText" dxfId="1706" priority="10006" operator="containsText" text="Finalizado">
      <formula>NOT(ISERROR(SEARCH("Finalizado",P39)))</formula>
    </cfRule>
    <cfRule type="containsText" dxfId="1705" priority="10004" operator="containsText" text="N/A">
      <formula>NOT(ISERROR(SEARCH("N/A",P39)))</formula>
    </cfRule>
    <cfRule type="containsText" dxfId="1704" priority="10005" operator="containsText" text="Pendente">
      <formula>NOT(ISERROR(SEARCH("Pendente",P39)))</formula>
    </cfRule>
  </conditionalFormatting>
  <conditionalFormatting sqref="P39:P40">
    <cfRule type="expression" dxfId="1703" priority="9997">
      <formula>$H39="ETAPA"</formula>
    </cfRule>
    <cfRule type="expression" dxfId="1702" priority="9995">
      <formula>$H39="SUBETAPA"</formula>
    </cfRule>
    <cfRule type="expression" dxfId="1701" priority="9996">
      <formula>$H39="CÉLULA CONSTRUTIVA"</formula>
    </cfRule>
  </conditionalFormatting>
  <conditionalFormatting sqref="P40:P43 P280:P282">
    <cfRule type="containsText" dxfId="1700" priority="11225" operator="containsText" text="Finalizado">
      <formula>NOT(ISERROR(SEARCH("Finalizado",P40)))</formula>
    </cfRule>
    <cfRule type="containsText" dxfId="1699" priority="11224" operator="containsText" text="Pendente">
      <formula>NOT(ISERROR(SEARCH("Pendente",P40)))</formula>
    </cfRule>
    <cfRule type="containsText" dxfId="1698" priority="11226" operator="containsText" text="em andamento">
      <formula>NOT(ISERROR(SEARCH("em andamento",P40)))</formula>
    </cfRule>
  </conditionalFormatting>
  <conditionalFormatting sqref="P40:P43">
    <cfRule type="containsText" dxfId="1697" priority="11223" operator="containsText" text="N/A">
      <formula>NOT(ISERROR(SEARCH("N/A",P40)))</formula>
    </cfRule>
    <cfRule type="containsText" dxfId="1696" priority="11222" operator="containsText" text="Lançado">
      <formula>NOT(ISERROR(SEARCH("Lançado",P40)))</formula>
    </cfRule>
  </conditionalFormatting>
  <conditionalFormatting sqref="P42 P44:P51">
    <cfRule type="containsText" dxfId="1695" priority="11217" operator="containsText" text="Finalizado">
      <formula>NOT(ISERROR(SEARCH("Finalizado",P42)))</formula>
    </cfRule>
    <cfRule type="containsText" dxfId="1694" priority="11214" operator="containsText" text="Lançado">
      <formula>NOT(ISERROR(SEARCH("Lançado",P42)))</formula>
    </cfRule>
    <cfRule type="containsText" dxfId="1693" priority="11216" operator="containsText" text="Pendente">
      <formula>NOT(ISERROR(SEARCH("Pendente",P42)))</formula>
    </cfRule>
    <cfRule type="containsText" dxfId="1692" priority="11215" operator="containsText" text="N/A">
      <formula>NOT(ISERROR(SEARCH("N/A",P42)))</formula>
    </cfRule>
    <cfRule type="containsText" dxfId="1691" priority="11213" operator="containsText" text="em andamento">
      <formula>NOT(ISERROR(SEARCH("em andamento",P42)))</formula>
    </cfRule>
    <cfRule type="expression" dxfId="1690" priority="11207">
      <formula>$H42="CÉLULA CONSTRUTIVA"</formula>
    </cfRule>
    <cfRule type="expression" dxfId="1689" priority="11208">
      <formula>$H42="ETAPA"</formula>
    </cfRule>
    <cfRule type="containsText" dxfId="1688" priority="11210" operator="containsText" text="N/A">
      <formula>NOT(ISERROR(SEARCH("N/A",P42)))</formula>
    </cfRule>
    <cfRule type="containsText" dxfId="1687" priority="11218" operator="containsText" text="em andamento">
      <formula>NOT(ISERROR(SEARCH("em andamento",P42)))</formula>
    </cfRule>
    <cfRule type="containsText" dxfId="1686" priority="11209" operator="containsText" text="Lançado">
      <formula>NOT(ISERROR(SEARCH("Lançado",P42)))</formula>
    </cfRule>
    <cfRule type="containsText" dxfId="1685" priority="11211" operator="containsText" text="Pendente">
      <formula>NOT(ISERROR(SEARCH("Pendente",P42)))</formula>
    </cfRule>
    <cfRule type="containsText" dxfId="1684" priority="11212" operator="containsText" text="Finalizado">
      <formula>NOT(ISERROR(SEARCH("Finalizado",P42)))</formula>
    </cfRule>
  </conditionalFormatting>
  <conditionalFormatting sqref="P42">
    <cfRule type="expression" dxfId="1683" priority="11219">
      <formula>$H42="SUBETAPA"</formula>
    </cfRule>
  </conditionalFormatting>
  <conditionalFormatting sqref="P44:P51">
    <cfRule type="expression" dxfId="1682" priority="11206">
      <formula>$H44="SUBETAPA"</formula>
    </cfRule>
  </conditionalFormatting>
  <conditionalFormatting sqref="P56:P57">
    <cfRule type="containsText" dxfId="1681" priority="11162" operator="containsText" text="Finalizado">
      <formula>NOT(ISERROR(SEARCH("Finalizado",P56)))</formula>
    </cfRule>
    <cfRule type="containsText" dxfId="1680" priority="11159" operator="containsText" text="Lançado">
      <formula>NOT(ISERROR(SEARCH("Lançado",P56)))</formula>
    </cfRule>
    <cfRule type="containsText" dxfId="1679" priority="11160" operator="containsText" text="N/A">
      <formula>NOT(ISERROR(SEARCH("N/A",P56)))</formula>
    </cfRule>
    <cfRule type="containsText" dxfId="1678" priority="11163" operator="containsText" text="em andamento">
      <formula>NOT(ISERROR(SEARCH("em andamento",P56)))</formula>
    </cfRule>
  </conditionalFormatting>
  <conditionalFormatting sqref="P57">
    <cfRule type="containsText" dxfId="1677" priority="11154" operator="containsText" text="Finalizado">
      <formula>NOT(ISERROR(SEARCH("Finalizado",P57)))</formula>
    </cfRule>
    <cfRule type="containsText" dxfId="1676" priority="11155" operator="containsText" text="em andamento">
      <formula>NOT(ISERROR(SEARCH("em andamento",P57)))</formula>
    </cfRule>
    <cfRule type="expression" dxfId="1675" priority="11156">
      <formula>$H57="SUBETAPA"</formula>
    </cfRule>
    <cfRule type="containsText" dxfId="1674" priority="11153" operator="containsText" text="Pendente">
      <formula>NOT(ISERROR(SEARCH("Pendente",P57)))</formula>
    </cfRule>
    <cfRule type="containsText" dxfId="1673" priority="11150" operator="containsText" text="em andamento">
      <formula>NOT(ISERROR(SEARCH("em andamento",P57)))</formula>
    </cfRule>
    <cfRule type="expression" dxfId="1672" priority="11144">
      <formula>$H57="CÉLULA CONSTRUTIVA"</formula>
    </cfRule>
    <cfRule type="expression" dxfId="1671" priority="11145">
      <formula>$H57="ETAPA"</formula>
    </cfRule>
    <cfRule type="expression" dxfId="1670" priority="11143">
      <formula>$H57="SUBETAPA"</formula>
    </cfRule>
    <cfRule type="containsText" dxfId="1669" priority="11146" operator="containsText" text="Lançado">
      <formula>NOT(ISERROR(SEARCH("Lançado",P57)))</formula>
    </cfRule>
    <cfRule type="containsText" dxfId="1668" priority="11147" operator="containsText" text="N/A">
      <formula>NOT(ISERROR(SEARCH("N/A",P57)))</formula>
    </cfRule>
    <cfRule type="containsText" dxfId="1667" priority="11148" operator="containsText" text="Pendente">
      <formula>NOT(ISERROR(SEARCH("Pendente",P57)))</formula>
    </cfRule>
    <cfRule type="containsText" dxfId="1666" priority="11149" operator="containsText" text="Finalizado">
      <formula>NOT(ISERROR(SEARCH("Finalizado",P57)))</formula>
    </cfRule>
    <cfRule type="containsText" dxfId="1665" priority="11151" operator="containsText" text="Lançado">
      <formula>NOT(ISERROR(SEARCH("Lançado",P57)))</formula>
    </cfRule>
    <cfRule type="containsText" dxfId="1664" priority="11152" operator="containsText" text="N/A">
      <formula>NOT(ISERROR(SEARCH("N/A",P57)))</formula>
    </cfRule>
  </conditionalFormatting>
  <conditionalFormatting sqref="P58:P60 P70">
    <cfRule type="containsText" dxfId="1663" priority="699" operator="containsText" text="em andamento">
      <formula>NOT(ISERROR(SEARCH("em andamento",P58)))</formula>
    </cfRule>
    <cfRule type="containsText" dxfId="1662" priority="698" operator="containsText" text="Finalizado">
      <formula>NOT(ISERROR(SEARCH("Finalizado",P58)))</formula>
    </cfRule>
  </conditionalFormatting>
  <conditionalFormatting sqref="P58:P62">
    <cfRule type="containsText" dxfId="1661" priority="693" operator="containsText" text="Lançado">
      <formula>NOT(ISERROR(SEARCH("Lançado",P58)))</formula>
    </cfRule>
    <cfRule type="containsText" dxfId="1660" priority="694" operator="containsText" text="N/A">
      <formula>NOT(ISERROR(SEARCH("N/A",P58)))</formula>
    </cfRule>
  </conditionalFormatting>
  <conditionalFormatting sqref="P61:P62">
    <cfRule type="containsText" dxfId="1659" priority="644" operator="containsText" text="Pendente">
      <formula>NOT(ISERROR(SEARCH("Pendente",P61)))</formula>
    </cfRule>
    <cfRule type="containsText" dxfId="1658" priority="649" operator="containsText" text="Pendente">
      <formula>NOT(ISERROR(SEARCH("Pendente",P61)))</formula>
    </cfRule>
    <cfRule type="containsText" dxfId="1657" priority="650" operator="containsText" text="Finalizado">
      <formula>NOT(ISERROR(SEARCH("Finalizado",P61)))</formula>
    </cfRule>
    <cfRule type="containsText" dxfId="1656" priority="651" operator="containsText" text="em andamento">
      <formula>NOT(ISERROR(SEARCH("em andamento",P61)))</formula>
    </cfRule>
    <cfRule type="expression" dxfId="1655" priority="652">
      <formula>$H61="SUBETAPA"</formula>
    </cfRule>
    <cfRule type="expression" dxfId="1654" priority="653">
      <formula>$H61="CÉLULA CONSTRUTIVA"</formula>
    </cfRule>
    <cfRule type="expression" dxfId="1653" priority="654">
      <formula>$H61="ETAPA"</formula>
    </cfRule>
    <cfRule type="expression" dxfId="1652" priority="639">
      <formula>$H61="SUBETAPA"</formula>
    </cfRule>
    <cfRule type="expression" dxfId="1651" priority="640">
      <formula>$H61="CÉLULA CONSTRUTIVA"</formula>
    </cfRule>
    <cfRule type="containsText" dxfId="1650" priority="648" operator="containsText" text="N/A">
      <formula>NOT(ISERROR(SEARCH("N/A",P61)))</formula>
    </cfRule>
    <cfRule type="expression" dxfId="1649" priority="641">
      <formula>$H61="ETAPA"</formula>
    </cfRule>
    <cfRule type="containsText" dxfId="1648" priority="642" operator="containsText" text="Lançado">
      <formula>NOT(ISERROR(SEARCH("Lançado",P61)))</formula>
    </cfRule>
    <cfRule type="containsText" dxfId="1647" priority="643" operator="containsText" text="N/A">
      <formula>NOT(ISERROR(SEARCH("N/A",P61)))</formula>
    </cfRule>
    <cfRule type="containsText" dxfId="1646" priority="658" operator="containsText" text="Finalizado">
      <formula>NOT(ISERROR(SEARCH("Finalizado",P61)))</formula>
    </cfRule>
    <cfRule type="containsText" dxfId="1645" priority="645" operator="containsText" text="Finalizado">
      <formula>NOT(ISERROR(SEARCH("Finalizado",P61)))</formula>
    </cfRule>
    <cfRule type="containsText" dxfId="1644" priority="646" operator="containsText" text="em andamento">
      <formula>NOT(ISERROR(SEARCH("em andamento",P61)))</formula>
    </cfRule>
    <cfRule type="containsText" dxfId="1643" priority="647" operator="containsText" text="Lançado">
      <formula>NOT(ISERROR(SEARCH("Lançado",P61)))</formula>
    </cfRule>
    <cfRule type="containsText" dxfId="1642" priority="659" operator="containsText" text="em andamento">
      <formula>NOT(ISERROR(SEARCH("em andamento",P61)))</formula>
    </cfRule>
  </conditionalFormatting>
  <conditionalFormatting sqref="P63:P64">
    <cfRule type="containsText" dxfId="1641" priority="548" operator="containsText" text="N/A">
      <formula>NOT(ISERROR(SEARCH("N/A",P63)))</formula>
    </cfRule>
    <cfRule type="containsText" dxfId="1640" priority="550" operator="containsText" text="Finalizado">
      <formula>NOT(ISERROR(SEARCH("Finalizado",P63)))</formula>
    </cfRule>
    <cfRule type="containsText" dxfId="1639" priority="551" operator="containsText" text="em andamento">
      <formula>NOT(ISERROR(SEARCH("em andamento",P63)))</formula>
    </cfRule>
    <cfRule type="containsText" dxfId="1638" priority="549" operator="containsText" text="Pendente">
      <formula>NOT(ISERROR(SEARCH("Pendente",P63)))</formula>
    </cfRule>
    <cfRule type="containsText" dxfId="1637" priority="547" operator="containsText" text="Lançado">
      <formula>NOT(ISERROR(SEARCH("Lançado",P63)))</formula>
    </cfRule>
  </conditionalFormatting>
  <conditionalFormatting sqref="P64">
    <cfRule type="expression" dxfId="1636" priority="533">
      <formula>$H64="ETAPA"</formula>
    </cfRule>
    <cfRule type="containsText" dxfId="1635" priority="535" operator="containsText" text="N/A">
      <formula>NOT(ISERROR(SEARCH("N/A",P64)))</formula>
    </cfRule>
    <cfRule type="containsText" dxfId="1634" priority="534" operator="containsText" text="Lançado">
      <formula>NOT(ISERROR(SEARCH("Lançado",P64)))</formula>
    </cfRule>
    <cfRule type="containsText" dxfId="1633" priority="540" operator="containsText" text="N/A">
      <formula>NOT(ISERROR(SEARCH("N/A",P64)))</formula>
    </cfRule>
    <cfRule type="containsText" dxfId="1632" priority="543" operator="containsText" text="em andamento">
      <formula>NOT(ISERROR(SEARCH("em andamento",P64)))</formula>
    </cfRule>
    <cfRule type="expression" dxfId="1631" priority="531">
      <formula>$H64="SUBETAPA"</formula>
    </cfRule>
    <cfRule type="expression" dxfId="1630" priority="532">
      <formula>$H64="CÉLULA CONSTRUTIVA"</formula>
    </cfRule>
    <cfRule type="containsText" dxfId="1629" priority="542" operator="containsText" text="Finalizado">
      <formula>NOT(ISERROR(SEARCH("Finalizado",P64)))</formula>
    </cfRule>
    <cfRule type="containsText" dxfId="1628" priority="541" operator="containsText" text="Pendente">
      <formula>NOT(ISERROR(SEARCH("Pendente",P64)))</formula>
    </cfRule>
    <cfRule type="containsText" dxfId="1627" priority="539" operator="containsText" text="Lançado">
      <formula>NOT(ISERROR(SEARCH("Lançado",P64)))</formula>
    </cfRule>
    <cfRule type="containsText" dxfId="1626" priority="538" operator="containsText" text="em andamento">
      <formula>NOT(ISERROR(SEARCH("em andamento",P64)))</formula>
    </cfRule>
    <cfRule type="containsText" dxfId="1625" priority="537" operator="containsText" text="Finalizado">
      <formula>NOT(ISERROR(SEARCH("Finalizado",P64)))</formula>
    </cfRule>
    <cfRule type="containsText" dxfId="1624" priority="536" operator="containsText" text="Pendente">
      <formula>NOT(ISERROR(SEARCH("Pendente",P64)))</formula>
    </cfRule>
  </conditionalFormatting>
  <conditionalFormatting sqref="P65:P69">
    <cfRule type="containsText" dxfId="1623" priority="682" operator="containsText" text="em andamento">
      <formula>NOT(ISERROR(SEARCH("em andamento",P65)))</formula>
    </cfRule>
    <cfRule type="containsText" dxfId="1622" priority="681" operator="containsText" text="Finalizado">
      <formula>NOT(ISERROR(SEARCH("Finalizado",P65)))</formula>
    </cfRule>
  </conditionalFormatting>
  <conditionalFormatting sqref="P65:P70">
    <cfRule type="containsText" dxfId="1621" priority="696" operator="containsText" text="Lançado">
      <formula>NOT(ISERROR(SEARCH("Lançado",P65)))</formula>
    </cfRule>
    <cfRule type="containsText" dxfId="1620" priority="697" operator="containsText" text="N/A">
      <formula>NOT(ISERROR(SEARCH("N/A",P65)))</formula>
    </cfRule>
  </conditionalFormatting>
  <conditionalFormatting sqref="P66:P69 G62:O62 G65:K73 L70:L73">
    <cfRule type="expression" dxfId="1619" priority="590">
      <formula>$H62="CÉLULA CONSTRUTIVA"</formula>
    </cfRule>
  </conditionalFormatting>
  <conditionalFormatting sqref="P66:P69">
    <cfRule type="expression" dxfId="1618" priority="585">
      <formula>$H66="ETAPA"</formula>
    </cfRule>
    <cfRule type="containsText" dxfId="1617" priority="600" operator="containsText" text="Finalizado">
      <formula>NOT(ISERROR(SEARCH("Finalizado",P66)))</formula>
    </cfRule>
    <cfRule type="containsText" dxfId="1616" priority="597" operator="containsText" text="Lançado">
      <formula>NOT(ISERROR(SEARCH("Lançado",P66)))</formula>
    </cfRule>
    <cfRule type="containsText" dxfId="1615" priority="598" operator="containsText" text="N/A">
      <formula>NOT(ISERROR(SEARCH("N/A",P66)))</formula>
    </cfRule>
    <cfRule type="containsText" dxfId="1614" priority="581" operator="containsText" text="Finalizado">
      <formula>NOT(ISERROR(SEARCH("Finalizado",P66)))</formula>
    </cfRule>
    <cfRule type="containsText" dxfId="1613" priority="582" operator="containsText" text="em andamento">
      <formula>NOT(ISERROR(SEARCH("em andamento",P66)))</formula>
    </cfRule>
    <cfRule type="expression" dxfId="1612" priority="583">
      <formula>$H66="SUBETAPA"</formula>
    </cfRule>
    <cfRule type="expression" dxfId="1611" priority="584">
      <formula>$H66="CÉLULA CONSTRUTIVA"</formula>
    </cfRule>
    <cfRule type="containsText" dxfId="1610" priority="574" operator="containsText" text="Lançado">
      <formula>NOT(ISERROR(SEARCH("Lançado",P66)))</formula>
    </cfRule>
    <cfRule type="containsText" dxfId="1609" priority="575" operator="containsText" text="N/A">
      <formula>NOT(ISERROR(SEARCH("N/A",P66)))</formula>
    </cfRule>
    <cfRule type="containsText" dxfId="1608" priority="576" operator="containsText" text="Pendente">
      <formula>NOT(ISERROR(SEARCH("Pendente",P66)))</formula>
    </cfRule>
    <cfRule type="containsText" dxfId="1607" priority="601" operator="containsText" text="em andamento">
      <formula>NOT(ISERROR(SEARCH("em andamento",P66)))</formula>
    </cfRule>
    <cfRule type="containsText" dxfId="1606" priority="599" operator="containsText" text="Pendente">
      <formula>NOT(ISERROR(SEARCH("Pendente",P66)))</formula>
    </cfRule>
  </conditionalFormatting>
  <conditionalFormatting sqref="P71 P356 P365">
    <cfRule type="containsText" dxfId="1605" priority="676" operator="containsText" text="Lançado">
      <formula>NOT(ISERROR(SEARCH("Lançado",P71)))</formula>
    </cfRule>
    <cfRule type="containsText" dxfId="1604" priority="672" operator="containsText" text="em andamento">
      <formula>NOT(ISERROR(SEARCH("em andamento",P71)))</formula>
    </cfRule>
    <cfRule type="containsText" dxfId="1603" priority="671" operator="containsText" text="Finalizado">
      <formula>NOT(ISERROR(SEARCH("Finalizado",P71)))</formula>
    </cfRule>
    <cfRule type="containsText" dxfId="1602" priority="670" operator="containsText" text="Pendente">
      <formula>NOT(ISERROR(SEARCH("Pendente",P71)))</formula>
    </cfRule>
    <cfRule type="containsText" dxfId="1601" priority="669" operator="containsText" text="N/A">
      <formula>NOT(ISERROR(SEARCH("N/A",P71)))</formula>
    </cfRule>
    <cfRule type="containsText" dxfId="1600" priority="668" operator="containsText" text="Lançado">
      <formula>NOT(ISERROR(SEARCH("Lançado",P71)))</formula>
    </cfRule>
    <cfRule type="containsText" dxfId="1599" priority="667" operator="containsText" text="em andamento">
      <formula>NOT(ISERROR(SEARCH("em andamento",P71)))</formula>
    </cfRule>
    <cfRule type="containsText" dxfId="1598" priority="666" operator="containsText" text="Finalizado">
      <formula>NOT(ISERROR(SEARCH("Finalizado",P71)))</formula>
    </cfRule>
    <cfRule type="containsText" dxfId="1597" priority="665" operator="containsText" text="Pendente">
      <formula>NOT(ISERROR(SEARCH("Pendente",P71)))</formula>
    </cfRule>
    <cfRule type="containsText" dxfId="1596" priority="664" operator="containsText" text="N/A">
      <formula>NOT(ISERROR(SEARCH("N/A",P71)))</formula>
    </cfRule>
    <cfRule type="containsText" dxfId="1595" priority="663" operator="containsText" text="Lançado">
      <formula>NOT(ISERROR(SEARCH("Lançado",P71)))</formula>
    </cfRule>
    <cfRule type="expression" dxfId="1594" priority="662">
      <formula>$H71="ETAPA"</formula>
    </cfRule>
    <cfRule type="expression" dxfId="1593" priority="661">
      <formula>$H71="CÉLULA CONSTRUTIVA"</formula>
    </cfRule>
    <cfRule type="expression" dxfId="1592" priority="660">
      <formula>$H71="SUBETAPA"</formula>
    </cfRule>
    <cfRule type="containsText" dxfId="1591" priority="679" operator="containsText" text="Finalizado">
      <formula>NOT(ISERROR(SEARCH("Finalizado",P71)))</formula>
    </cfRule>
    <cfRule type="containsText" dxfId="1590" priority="678" operator="containsText" text="Pendente">
      <formula>NOT(ISERROR(SEARCH("Pendente",P71)))</formula>
    </cfRule>
    <cfRule type="containsText" dxfId="1589" priority="677" operator="containsText" text="N/A">
      <formula>NOT(ISERROR(SEARCH("N/A",P71)))</formula>
    </cfRule>
    <cfRule type="containsText" dxfId="1588" priority="680" operator="containsText" text="em andamento">
      <formula>NOT(ISERROR(SEARCH("em andamento",P71)))</formula>
    </cfRule>
  </conditionalFormatting>
  <conditionalFormatting sqref="P72:P73">
    <cfRule type="containsText" dxfId="1587" priority="628" operator="containsText" text="N/A">
      <formula>NOT(ISERROR(SEARCH("N/A",P72)))</formula>
    </cfRule>
    <cfRule type="containsText" dxfId="1586" priority="627" operator="containsText" text="Lançado">
      <formula>NOT(ISERROR(SEARCH("Lançado",P72)))</formula>
    </cfRule>
    <cfRule type="containsText" dxfId="1585" priority="629" operator="containsText" text="Pendente">
      <formula>NOT(ISERROR(SEARCH("Pendente",P72)))</formula>
    </cfRule>
    <cfRule type="containsText" dxfId="1584" priority="631" operator="containsText" text="em andamento">
      <formula>NOT(ISERROR(SEARCH("em andamento",P72)))</formula>
    </cfRule>
    <cfRule type="containsText" dxfId="1583" priority="630" operator="containsText" text="Finalizado">
      <formula>NOT(ISERROR(SEARCH("Finalizado",P72)))</formula>
    </cfRule>
  </conditionalFormatting>
  <conditionalFormatting sqref="P73">
    <cfRule type="expression" dxfId="1582" priority="611">
      <formula>$H73="SUBETAPA"</formula>
    </cfRule>
    <cfRule type="expression" dxfId="1581" priority="612">
      <formula>$H73="CÉLULA CONSTRUTIVA"</formula>
    </cfRule>
    <cfRule type="expression" dxfId="1580" priority="613">
      <formula>$H73="ETAPA"</formula>
    </cfRule>
    <cfRule type="containsText" dxfId="1579" priority="614" operator="containsText" text="Lançado">
      <formula>NOT(ISERROR(SEARCH("Lançado",P73)))</formula>
    </cfRule>
    <cfRule type="containsText" dxfId="1578" priority="617" operator="containsText" text="Finalizado">
      <formula>NOT(ISERROR(SEARCH("Finalizado",P73)))</formula>
    </cfRule>
    <cfRule type="containsText" dxfId="1577" priority="618" operator="containsText" text="em andamento">
      <formula>NOT(ISERROR(SEARCH("em andamento",P73)))</formula>
    </cfRule>
    <cfRule type="containsText" dxfId="1576" priority="619" operator="containsText" text="Lançado">
      <formula>NOT(ISERROR(SEARCH("Lançado",P73)))</formula>
    </cfRule>
    <cfRule type="containsText" dxfId="1575" priority="620" operator="containsText" text="N/A">
      <formula>NOT(ISERROR(SEARCH("N/A",P73)))</formula>
    </cfRule>
    <cfRule type="containsText" dxfId="1574" priority="621" operator="containsText" text="Pendente">
      <formula>NOT(ISERROR(SEARCH("Pendente",P73)))</formula>
    </cfRule>
    <cfRule type="containsText" dxfId="1573" priority="622" operator="containsText" text="Finalizado">
      <formula>NOT(ISERROR(SEARCH("Finalizado",P73)))</formula>
    </cfRule>
    <cfRule type="containsText" dxfId="1572" priority="623" operator="containsText" text="em andamento">
      <formula>NOT(ISERROR(SEARCH("em andamento",P73)))</formula>
    </cfRule>
    <cfRule type="containsText" dxfId="1571" priority="615" operator="containsText" text="N/A">
      <formula>NOT(ISERROR(SEARCH("N/A",P73)))</formula>
    </cfRule>
    <cfRule type="containsText" dxfId="1570" priority="616" operator="containsText" text="Pendente">
      <formula>NOT(ISERROR(SEARCH("Pendente",P73)))</formula>
    </cfRule>
  </conditionalFormatting>
  <conditionalFormatting sqref="P74:P76 P245:P247 P164:P166 P168 P170 P172 P176 P178 P198:P199 P196 P380 P36 P1:P5">
    <cfRule type="containsText" dxfId="1569" priority="14049" operator="containsText" text="N/A">
      <formula>NOT(ISERROR(SEARCH("N/A",P1)))</formula>
    </cfRule>
    <cfRule type="containsText" dxfId="1568" priority="14048" operator="containsText" text="Lançado">
      <formula>NOT(ISERROR(SEARCH("Lançado",P1)))</formula>
    </cfRule>
  </conditionalFormatting>
  <conditionalFormatting sqref="P74:P78 G77:P84 P84:P93 N86:P93 G215:I215 K215:N215 G217:I217 K217:N217 G219:N219 G221:I221 K221:N221 G222:N222 M54:N54 P54 G85:M93 G200:L209 G228:L233 N233:P233">
    <cfRule type="expression" dxfId="1567" priority="4670">
      <formula>$H54="ETAPA"</formula>
    </cfRule>
  </conditionalFormatting>
  <conditionalFormatting sqref="P77:P84 P420:P421 P86:P95 P105:P111">
    <cfRule type="containsText" dxfId="1566" priority="11259" operator="containsText" text="Finalizado">
      <formula>NOT(ISERROR(SEARCH("Finalizado",P77)))</formula>
    </cfRule>
    <cfRule type="containsText" dxfId="1565" priority="11255" operator="containsText" text="em andamento">
      <formula>NOT(ISERROR(SEARCH("em andamento",P77)))</formula>
    </cfRule>
    <cfRule type="containsText" dxfId="1564" priority="11254" operator="containsText" text="Finalizado">
      <formula>NOT(ISERROR(SEARCH("Finalizado",P77)))</formula>
    </cfRule>
  </conditionalFormatting>
  <conditionalFormatting sqref="P86:P95 P108:P111 P420:P421">
    <cfRule type="containsText" dxfId="1563" priority="11256" operator="containsText" text="Lançado">
      <formula>NOT(ISERROR(SEARCH("Lançado",P86)))</formula>
    </cfRule>
    <cfRule type="containsText" dxfId="1562" priority="11258" operator="containsText" text="Pendente">
      <formula>NOT(ISERROR(SEARCH("Pendente",P86)))</formula>
    </cfRule>
    <cfRule type="containsText" dxfId="1561" priority="11257" operator="containsText" text="N/A">
      <formula>NOT(ISERROR(SEARCH("N/A",P86)))</formula>
    </cfRule>
  </conditionalFormatting>
  <conditionalFormatting sqref="P86:P95 P108:P111">
    <cfRule type="containsText" dxfId="1560" priority="11260" operator="containsText" text="em andamento">
      <formula>NOT(ISERROR(SEARCH("em andamento",P86)))</formula>
    </cfRule>
  </conditionalFormatting>
  <conditionalFormatting sqref="P86:P95">
    <cfRule type="containsText" dxfId="1559" priority="11252" operator="containsText" text="N/A">
      <formula>NOT(ISERROR(SEARCH("N/A",P86)))</formula>
    </cfRule>
    <cfRule type="containsText" dxfId="1558" priority="11251" operator="containsText" text="Lançado">
      <formula>NOT(ISERROR(SEARCH("Lançado",P86)))</formula>
    </cfRule>
    <cfRule type="containsText" dxfId="1557" priority="11253" operator="containsText" text="Pendente">
      <formula>NOT(ISERROR(SEARCH("Pendente",P86)))</formula>
    </cfRule>
  </conditionalFormatting>
  <conditionalFormatting sqref="P105:P107">
    <cfRule type="expression" dxfId="1556" priority="11263">
      <formula>$H105="ETAPA"</formula>
    </cfRule>
    <cfRule type="expression" dxfId="1555" priority="11249">
      <formula>$H105="CÉLULA CONSTRUTIVA"</formula>
    </cfRule>
    <cfRule type="expression" dxfId="1554" priority="11250">
      <formula>$H105="ETAPA"</formula>
    </cfRule>
    <cfRule type="expression" dxfId="1553" priority="11248">
      <formula>$H105="SUBETAPA"</formula>
    </cfRule>
  </conditionalFormatting>
  <conditionalFormatting sqref="P105:P112 P77:P101 P410:P424 P122:P164 P266:P352 P53">
    <cfRule type="containsText" dxfId="1552" priority="11264" operator="containsText" text="Lançado">
      <formula>NOT(ISERROR(SEARCH("Lançado",P53)))</formula>
    </cfRule>
  </conditionalFormatting>
  <conditionalFormatting sqref="P105:P112 P77:P101 P420:P422 P122:P164 P277:P352 P53 P266:P275 P407:P416">
    <cfRule type="containsText" dxfId="1551" priority="11265" operator="containsText" text="N/A">
      <formula>NOT(ISERROR(SEARCH("N/A",P53)))</formula>
    </cfRule>
  </conditionalFormatting>
  <conditionalFormatting sqref="P108:P111">
    <cfRule type="containsText" dxfId="1550" priority="11266" operator="containsText" text="Pendente">
      <formula>NOT(ISERROR(SEARCH("Pendente",P108)))</formula>
    </cfRule>
  </conditionalFormatting>
  <conditionalFormatting sqref="P112">
    <cfRule type="containsText" dxfId="1549" priority="8302" operator="containsText" text="em andamento">
      <formula>NOT(ISERROR(SEARCH("em andamento",P112)))</formula>
    </cfRule>
    <cfRule type="containsText" dxfId="1548" priority="8301" operator="containsText" text="Finalizado">
      <formula>NOT(ISERROR(SEARCH("Finalizado",P112)))</formula>
    </cfRule>
    <cfRule type="containsText" dxfId="1547" priority="8300" operator="containsText" text="Pendente">
      <formula>NOT(ISERROR(SEARCH("Pendente",P112)))</formula>
    </cfRule>
  </conditionalFormatting>
  <conditionalFormatting sqref="P115:P116">
    <cfRule type="containsText" dxfId="1546" priority="6931" operator="containsText" text="Lançado">
      <formula>NOT(ISERROR(SEARCH("Lançado",P115)))</formula>
    </cfRule>
    <cfRule type="containsText" dxfId="1545" priority="6932" operator="containsText" text="N/A">
      <formula>NOT(ISERROR(SEARCH("N/A",P115)))</formula>
    </cfRule>
  </conditionalFormatting>
  <conditionalFormatting sqref="P116">
    <cfRule type="containsText" dxfId="1544" priority="6929" operator="containsText" text="em andamento">
      <formula>NOT(ISERROR(SEARCH("em andamento",P116)))</formula>
    </cfRule>
    <cfRule type="containsText" dxfId="1543" priority="6928" operator="containsText" text="Finalizado">
      <formula>NOT(ISERROR(SEARCH("Finalizado",P116)))</formula>
    </cfRule>
    <cfRule type="containsText" dxfId="1542" priority="6927" operator="containsText" text="Pendente">
      <formula>NOT(ISERROR(SEARCH("Pendente",P116)))</formula>
    </cfRule>
  </conditionalFormatting>
  <conditionalFormatting sqref="P119">
    <cfRule type="containsText" dxfId="1541" priority="8297" operator="containsText" text="Finalizado">
      <formula>NOT(ISERROR(SEARCH("Finalizado",P119)))</formula>
    </cfRule>
    <cfRule type="containsText" dxfId="1540" priority="8298" operator="containsText" text="em andamento">
      <formula>NOT(ISERROR(SEARCH("em andamento",P119)))</formula>
    </cfRule>
  </conditionalFormatting>
  <conditionalFormatting sqref="P125:P126">
    <cfRule type="containsText" dxfId="1539" priority="6039" operator="containsText" text="Lançado">
      <formula>NOT(ISERROR(SEARCH("Lançado",P125)))</formula>
    </cfRule>
    <cfRule type="expression" dxfId="1538" priority="6031">
      <formula>$H125="SUBETAPA"</formula>
    </cfRule>
    <cfRule type="expression" dxfId="1537" priority="6032">
      <formula>$H125="CÉLULA CONSTRUTIVA"</formula>
    </cfRule>
    <cfRule type="containsText" dxfId="1536" priority="6034" operator="containsText" text="Lançado">
      <formula>NOT(ISERROR(SEARCH("Lançado",P125)))</formula>
    </cfRule>
    <cfRule type="containsText" dxfId="1535" priority="6035" operator="containsText" text="N/A">
      <formula>NOT(ISERROR(SEARCH("N/A",P125)))</formula>
    </cfRule>
    <cfRule type="containsText" dxfId="1534" priority="6048" operator="containsText" text="Pendente">
      <formula>NOT(ISERROR(SEARCH("Pendente",P125)))</formula>
    </cfRule>
    <cfRule type="containsText" dxfId="1533" priority="6037" operator="containsText" text="Finalizado">
      <formula>NOT(ISERROR(SEARCH("Finalizado",P125)))</formula>
    </cfRule>
    <cfRule type="containsText" dxfId="1532" priority="6036" operator="containsText" text="Pendente">
      <formula>NOT(ISERROR(SEARCH("Pendente",P125)))</formula>
    </cfRule>
    <cfRule type="containsText" dxfId="1531" priority="6043" operator="containsText" text="em andamento">
      <formula>NOT(ISERROR(SEARCH("em andamento",P125)))</formula>
    </cfRule>
    <cfRule type="containsText" dxfId="1530" priority="6042" operator="containsText" text="Finalizado">
      <formula>NOT(ISERROR(SEARCH("Finalizado",P125)))</formula>
    </cfRule>
    <cfRule type="containsText" dxfId="1529" priority="6041" operator="containsText" text="Pendente">
      <formula>NOT(ISERROR(SEARCH("Pendente",P125)))</formula>
    </cfRule>
    <cfRule type="containsText" dxfId="1528" priority="6040" operator="containsText" text="N/A">
      <formula>NOT(ISERROR(SEARCH("N/A",P125)))</formula>
    </cfRule>
    <cfRule type="containsText" dxfId="1527" priority="6038" operator="containsText" text="em andamento">
      <formula>NOT(ISERROR(SEARCH("em andamento",P125)))</formula>
    </cfRule>
  </conditionalFormatting>
  <conditionalFormatting sqref="P127">
    <cfRule type="containsText" dxfId="1526" priority="5939" operator="containsText" text="em andamento">
      <formula>NOT(ISERROR(SEARCH("em andamento",P127)))</formula>
    </cfRule>
    <cfRule type="containsText" dxfId="1525" priority="5938" operator="containsText" text="Finalizado">
      <formula>NOT(ISERROR(SEARCH("Finalizado",P127)))</formula>
    </cfRule>
    <cfRule type="containsText" dxfId="1524" priority="5937" operator="containsText" text="Pendente">
      <formula>NOT(ISERROR(SEARCH("Pendente",P127)))</formula>
    </cfRule>
  </conditionalFormatting>
  <conditionalFormatting sqref="P128 P149 P313 P37 P113:P114">
    <cfRule type="expression" dxfId="1523" priority="11227">
      <formula>$H37="SUBETAPA"</formula>
    </cfRule>
  </conditionalFormatting>
  <conditionalFormatting sqref="P129 P140">
    <cfRule type="containsText" dxfId="1522" priority="6046" operator="containsText" text="Lançado">
      <formula>NOT(ISERROR(SEARCH("Lançado",P129)))</formula>
    </cfRule>
  </conditionalFormatting>
  <conditionalFormatting sqref="P129">
    <cfRule type="containsText" dxfId="1521" priority="6047" operator="containsText" text="N/A">
      <formula>NOT(ISERROR(SEARCH("N/A",P129)))</formula>
    </cfRule>
    <cfRule type="containsText" dxfId="1520" priority="5964" operator="containsText" text="Pendente">
      <formula>NOT(ISERROR(SEARCH("Pendente",P129)))</formula>
    </cfRule>
    <cfRule type="containsText" dxfId="1519" priority="5965" operator="containsText" text="Finalizado">
      <formula>NOT(ISERROR(SEARCH("Finalizado",P129)))</formula>
    </cfRule>
    <cfRule type="containsText" dxfId="1518" priority="5966" operator="containsText" text="em andamento">
      <formula>NOT(ISERROR(SEARCH("em andamento",P129)))</formula>
    </cfRule>
  </conditionalFormatting>
  <conditionalFormatting sqref="P130:P139 G276:L276 N276 P315 P322 O334:P334 O335 G337:L337 P339:P341 N347:O348 L356">
    <cfRule type="expression" dxfId="1517" priority="4214">
      <formula>$H130="CÉLULA CONSTRUTIVA"</formula>
    </cfRule>
  </conditionalFormatting>
  <conditionalFormatting sqref="P140">
    <cfRule type="containsText" dxfId="1516" priority="6064" operator="containsText" text="em andamento">
      <formula>NOT(ISERROR(SEARCH("em andamento",P140)))</formula>
    </cfRule>
    <cfRule type="containsText" dxfId="1515" priority="6062" operator="containsText" text="Pendente">
      <formula>NOT(ISERROR(SEARCH("Pendente",P140)))</formula>
    </cfRule>
    <cfRule type="containsText" dxfId="1514" priority="6063" operator="containsText" text="Finalizado">
      <formula>NOT(ISERROR(SEARCH("Finalizado",P140)))</formula>
    </cfRule>
  </conditionalFormatting>
  <conditionalFormatting sqref="P140:P142">
    <cfRule type="containsText" dxfId="1513" priority="194" operator="containsText" text="N/A">
      <formula>NOT(ISERROR(SEARCH("N/A",P140)))</formula>
    </cfRule>
  </conditionalFormatting>
  <conditionalFormatting sqref="P141 P144 P151 P167 P169 P171 M173:N173 P173 M175:N175 P175 M177:N177 P177 P179:P180 P229:P231">
    <cfRule type="expression" dxfId="1512" priority="8637">
      <formula>$H141="CÉLULA CONSTRUTIVA"</formula>
    </cfRule>
  </conditionalFormatting>
  <conditionalFormatting sqref="P141 P144 P151 P167 P169 P171 P173 P175 P177 P179 P229:P231 P237:P238 P240 P242 P244">
    <cfRule type="containsText" dxfId="1511" priority="8631" operator="containsText" text="Lançado">
      <formula>NOT(ISERROR(SEARCH("Lançado",P141)))</formula>
    </cfRule>
  </conditionalFormatting>
  <conditionalFormatting sqref="P141 P144 P151 P167 P169 P171 P173 P175 P177 P179:P180 P229:P231 M173:N173 M175:N175 M177:N177">
    <cfRule type="expression" dxfId="1510" priority="8636">
      <formula>$H141="SUBETAPA"</formula>
    </cfRule>
  </conditionalFormatting>
  <conditionalFormatting sqref="P141 P144 P151 P167 P169 P171 P173 P175 P177:P179 P229:P231 P237:P238 P240 P242 P244 P34:P35">
    <cfRule type="containsText" dxfId="1509" priority="8639" operator="containsText" text="Lançado">
      <formula>NOT(ISERROR(SEARCH("Lançado",P34)))</formula>
    </cfRule>
  </conditionalFormatting>
  <conditionalFormatting sqref="P141 P144 P151 P167 P169 P171 P173 P177 P179 P237:P238 P242 P240 P244 P175 P229:P231">
    <cfRule type="containsText" dxfId="1508" priority="8634" operator="containsText" text="Finalizado">
      <formula>NOT(ISERROR(SEARCH("Finalizado",P141)))</formula>
    </cfRule>
    <cfRule type="containsText" dxfId="1507" priority="8635" operator="containsText" text="em andamento">
      <formula>NOT(ISERROR(SEARCH("em andamento",P141)))</formula>
    </cfRule>
    <cfRule type="containsText" dxfId="1506" priority="8629" operator="containsText" text="Finalizado">
      <formula>NOT(ISERROR(SEARCH("Finalizado",P141)))</formula>
    </cfRule>
    <cfRule type="containsText" dxfId="1505" priority="8630" operator="containsText" text="em andamento">
      <formula>NOT(ISERROR(SEARCH("em andamento",P141)))</formula>
    </cfRule>
  </conditionalFormatting>
  <conditionalFormatting sqref="P141 P144 P151 P167 P169 P171 P173 P177:P179 P175 P34:P35">
    <cfRule type="containsText" dxfId="1504" priority="8643" operator="containsText" text="em andamento">
      <formula>NOT(ISERROR(SEARCH("em andamento",P34)))</formula>
    </cfRule>
    <cfRule type="containsText" dxfId="1503" priority="8642" operator="containsText" text="Finalizado">
      <formula>NOT(ISERROR(SEARCH("Finalizado",P34)))</formula>
    </cfRule>
  </conditionalFormatting>
  <conditionalFormatting sqref="P141 P144 P151 P167 P169 P171:P173 P175 P177:P180 M231:P231">
    <cfRule type="expression" dxfId="1502" priority="8638">
      <formula>$H141="ETAPA"</formula>
    </cfRule>
  </conditionalFormatting>
  <conditionalFormatting sqref="P141 P151 P167 P169 P171 P173 P175 P177 P179 P229:P231 P144">
    <cfRule type="containsText" dxfId="1501" priority="8626" operator="containsText" text="Lançado">
      <formula>NOT(ISERROR(SEARCH("Lançado",P141)))</formula>
    </cfRule>
  </conditionalFormatting>
  <conditionalFormatting sqref="P142">
    <cfRule type="containsText" dxfId="1500" priority="190" operator="containsText" text="Pendente">
      <formula>NOT(ISERROR(SEARCH("Pendente",P142)))</formula>
    </cfRule>
    <cfRule type="expression" dxfId="1499" priority="181">
      <formula>$H142="SUBETAPA"</formula>
    </cfRule>
    <cfRule type="expression" dxfId="1498" priority="182">
      <formula>$H142="CÉLULA CONSTRUTIVA"</formula>
    </cfRule>
    <cfRule type="containsText" dxfId="1497" priority="183" operator="containsText" text="Lançado">
      <formula>NOT(ISERROR(SEARCH("Lançado",P142)))</formula>
    </cfRule>
    <cfRule type="containsText" dxfId="1496" priority="191" operator="containsText" text="Finalizado">
      <formula>NOT(ISERROR(SEARCH("Finalizado",P142)))</formula>
    </cfRule>
    <cfRule type="containsText" dxfId="1495" priority="192" operator="containsText" text="em andamento">
      <formula>NOT(ISERROR(SEARCH("em andamento",P142)))</formula>
    </cfRule>
    <cfRule type="containsText" dxfId="1494" priority="185" operator="containsText" text="Pendente">
      <formula>NOT(ISERROR(SEARCH("Pendente",P142)))</formula>
    </cfRule>
    <cfRule type="containsText" dxfId="1493" priority="186" operator="containsText" text="Finalizado">
      <formula>NOT(ISERROR(SEARCH("Finalizado",P142)))</formula>
    </cfRule>
    <cfRule type="containsText" dxfId="1492" priority="187" operator="containsText" text="em andamento">
      <formula>NOT(ISERROR(SEARCH("em andamento",P142)))</formula>
    </cfRule>
    <cfRule type="containsText" dxfId="1491" priority="189" operator="containsText" text="N/A">
      <formula>NOT(ISERROR(SEARCH("N/A",P142)))</formula>
    </cfRule>
    <cfRule type="containsText" dxfId="1490" priority="188" operator="containsText" text="Lançado">
      <formula>NOT(ISERROR(SEARCH("Lançado",P142)))</formula>
    </cfRule>
    <cfRule type="containsText" dxfId="1489" priority="195" operator="containsText" text="Pendente">
      <formula>NOT(ISERROR(SEARCH("Pendente",P142)))</formula>
    </cfRule>
    <cfRule type="containsText" dxfId="1488" priority="184" operator="containsText" text="N/A">
      <formula>NOT(ISERROR(SEARCH("N/A",P142)))</formula>
    </cfRule>
    <cfRule type="containsText" dxfId="1487" priority="193" operator="containsText" text="Lançado">
      <formula>NOT(ISERROR(SEARCH("Lançado",P142)))</formula>
    </cfRule>
  </conditionalFormatting>
  <conditionalFormatting sqref="P143 P148">
    <cfRule type="expression" dxfId="1486" priority="6053">
      <formula>$H143="ETAPA"</formula>
    </cfRule>
    <cfRule type="containsText" dxfId="1485" priority="6057" operator="containsText" text="Finalizado">
      <formula>NOT(ISERROR(SEARCH("Finalizado",P143)))</formula>
    </cfRule>
    <cfRule type="containsText" dxfId="1484" priority="6055" operator="containsText" text="N/A">
      <formula>NOT(ISERROR(SEARCH("N/A",P143)))</formula>
    </cfRule>
    <cfRule type="containsText" dxfId="1483" priority="6058" operator="containsText" text="em andamento">
      <formula>NOT(ISERROR(SEARCH("em andamento",P143)))</formula>
    </cfRule>
    <cfRule type="containsText" dxfId="1482" priority="6056" operator="containsText" text="Pendente">
      <formula>NOT(ISERROR(SEARCH("Pendente",P143)))</formula>
    </cfRule>
    <cfRule type="containsText" dxfId="1481" priority="6054" operator="containsText" text="Lançado">
      <formula>NOT(ISERROR(SEARCH("Lançado",P143)))</formula>
    </cfRule>
  </conditionalFormatting>
  <conditionalFormatting sqref="P144:P145">
    <cfRule type="containsText" dxfId="1480" priority="333" operator="containsText" text="N/A">
      <formula>NOT(ISERROR(SEARCH("N/A",P144)))</formula>
    </cfRule>
  </conditionalFormatting>
  <conditionalFormatting sqref="P145">
    <cfRule type="containsText" dxfId="1479" priority="323" operator="containsText" text="N/A">
      <formula>NOT(ISERROR(SEARCH("N/A",P145)))</formula>
    </cfRule>
    <cfRule type="containsText" dxfId="1478" priority="325" operator="containsText" text="Finalizado">
      <formula>NOT(ISERROR(SEARCH("Finalizado",P145)))</formula>
    </cfRule>
    <cfRule type="containsText" dxfId="1477" priority="326" operator="containsText" text="em andamento">
      <formula>NOT(ISERROR(SEARCH("em andamento",P145)))</formula>
    </cfRule>
    <cfRule type="containsText" dxfId="1476" priority="327" operator="containsText" text="Lançado">
      <formula>NOT(ISERROR(SEARCH("Lançado",P145)))</formula>
    </cfRule>
    <cfRule type="containsText" dxfId="1475" priority="328" operator="containsText" text="N/A">
      <formula>NOT(ISERROR(SEARCH("N/A",P145)))</formula>
    </cfRule>
    <cfRule type="containsText" dxfId="1474" priority="329" operator="containsText" text="Pendente">
      <formula>NOT(ISERROR(SEARCH("Pendente",P145)))</formula>
    </cfRule>
    <cfRule type="containsText" dxfId="1473" priority="330" operator="containsText" text="Finalizado">
      <formula>NOT(ISERROR(SEARCH("Finalizado",P145)))</formula>
    </cfRule>
    <cfRule type="containsText" dxfId="1472" priority="331" operator="containsText" text="em andamento">
      <formula>NOT(ISERROR(SEARCH("em andamento",P145)))</formula>
    </cfRule>
    <cfRule type="containsText" dxfId="1471" priority="332" operator="containsText" text="Lançado">
      <formula>NOT(ISERROR(SEARCH("Lançado",P145)))</formula>
    </cfRule>
    <cfRule type="containsText" dxfId="1470" priority="334" operator="containsText" text="Pendente">
      <formula>NOT(ISERROR(SEARCH("Pendente",P145)))</formula>
    </cfRule>
    <cfRule type="containsText" dxfId="1469" priority="324" operator="containsText" text="Pendente">
      <formula>NOT(ISERROR(SEARCH("Pendente",P145)))</formula>
    </cfRule>
    <cfRule type="expression" dxfId="1468" priority="320">
      <formula>$H145="SUBETAPA"</formula>
    </cfRule>
    <cfRule type="expression" dxfId="1467" priority="321">
      <formula>$H145="CÉLULA CONSTRUTIVA"</formula>
    </cfRule>
    <cfRule type="containsText" dxfId="1466" priority="322" operator="containsText" text="Lançado">
      <formula>NOT(ISERROR(SEARCH("Lançado",P145)))</formula>
    </cfRule>
  </conditionalFormatting>
  <conditionalFormatting sqref="P146">
    <cfRule type="containsText" dxfId="1465" priority="174" operator="containsText" text="Pendente">
      <formula>NOT(ISERROR(SEARCH("Pendente",P146)))</formula>
    </cfRule>
    <cfRule type="containsText" dxfId="1464" priority="173" operator="containsText" text="N/A">
      <formula>NOT(ISERROR(SEARCH("N/A",P146)))</formula>
    </cfRule>
    <cfRule type="containsText" dxfId="1463" priority="164" operator="containsText" text="Pendente">
      <formula>NOT(ISERROR(SEARCH("Pendente",P146)))</formula>
    </cfRule>
    <cfRule type="containsText" dxfId="1462" priority="169" operator="containsText" text="Pendente">
      <formula>NOT(ISERROR(SEARCH("Pendente",P146)))</formula>
    </cfRule>
    <cfRule type="expression" dxfId="1461" priority="160">
      <formula>$H146="SUBETAPA"</formula>
    </cfRule>
    <cfRule type="containsText" dxfId="1460" priority="172" operator="containsText" text="Lançado">
      <formula>NOT(ISERROR(SEARCH("Lançado",P146)))</formula>
    </cfRule>
    <cfRule type="containsText" dxfId="1459" priority="168" operator="containsText" text="N/A">
      <formula>NOT(ISERROR(SEARCH("N/A",P146)))</formula>
    </cfRule>
    <cfRule type="containsText" dxfId="1458" priority="171" operator="containsText" text="em andamento">
      <formula>NOT(ISERROR(SEARCH("em andamento",P146)))</formula>
    </cfRule>
    <cfRule type="containsText" dxfId="1457" priority="170" operator="containsText" text="Finalizado">
      <formula>NOT(ISERROR(SEARCH("Finalizado",P146)))</formula>
    </cfRule>
    <cfRule type="containsText" dxfId="1456" priority="167" operator="containsText" text="Lançado">
      <formula>NOT(ISERROR(SEARCH("Lançado",P146)))</formula>
    </cfRule>
    <cfRule type="containsText" dxfId="1455" priority="166" operator="containsText" text="em andamento">
      <formula>NOT(ISERROR(SEARCH("em andamento",P146)))</formula>
    </cfRule>
    <cfRule type="containsText" dxfId="1454" priority="165" operator="containsText" text="Finalizado">
      <formula>NOT(ISERROR(SEARCH("Finalizado",P146)))</formula>
    </cfRule>
    <cfRule type="containsText" dxfId="1453" priority="163" operator="containsText" text="N/A">
      <formula>NOT(ISERROR(SEARCH("N/A",P146)))</formula>
    </cfRule>
    <cfRule type="expression" dxfId="1452" priority="161">
      <formula>$H146="CÉLULA CONSTRUTIVA"</formula>
    </cfRule>
    <cfRule type="containsText" dxfId="1451" priority="162" operator="containsText" text="Lançado">
      <formula>NOT(ISERROR(SEARCH("Lançado",P146)))</formula>
    </cfRule>
  </conditionalFormatting>
  <conditionalFormatting sqref="P147">
    <cfRule type="expression" dxfId="1450" priority="142">
      <formula>$H147="CÉLULA CONSTRUTIVA"</formula>
    </cfRule>
    <cfRule type="containsText" dxfId="1449" priority="146" operator="containsText" text="Finalizado">
      <formula>NOT(ISERROR(SEARCH("Finalizado",P147)))</formula>
    </cfRule>
    <cfRule type="containsText" dxfId="1448" priority="145" operator="containsText" text="Pendente">
      <formula>NOT(ISERROR(SEARCH("Pendente",P147)))</formula>
    </cfRule>
    <cfRule type="containsText" dxfId="1447" priority="144" operator="containsText" text="N/A">
      <formula>NOT(ISERROR(SEARCH("N/A",P147)))</formula>
    </cfRule>
    <cfRule type="containsText" dxfId="1446" priority="155" operator="containsText" text="Pendente">
      <formula>NOT(ISERROR(SEARCH("Pendente",P147)))</formula>
    </cfRule>
    <cfRule type="containsText" dxfId="1445" priority="143" operator="containsText" text="Lançado">
      <formula>NOT(ISERROR(SEARCH("Lançado",P147)))</formula>
    </cfRule>
    <cfRule type="expression" dxfId="1444" priority="141">
      <formula>$H147="SUBETAPA"</formula>
    </cfRule>
    <cfRule type="containsText" dxfId="1443" priority="147" operator="containsText" text="em andamento">
      <formula>NOT(ISERROR(SEARCH("em andamento",P147)))</formula>
    </cfRule>
    <cfRule type="containsText" dxfId="1442" priority="152" operator="containsText" text="em andamento">
      <formula>NOT(ISERROR(SEARCH("em andamento",P147)))</formula>
    </cfRule>
    <cfRule type="containsText" dxfId="1441" priority="151" operator="containsText" text="Finalizado">
      <formula>NOT(ISERROR(SEARCH("Finalizado",P147)))</formula>
    </cfRule>
    <cfRule type="containsText" dxfId="1440" priority="150" operator="containsText" text="Pendente">
      <formula>NOT(ISERROR(SEARCH("Pendente",P147)))</formula>
    </cfRule>
    <cfRule type="containsText" dxfId="1439" priority="149" operator="containsText" text="N/A">
      <formula>NOT(ISERROR(SEARCH("N/A",P147)))</formula>
    </cfRule>
    <cfRule type="containsText" dxfId="1438" priority="148" operator="containsText" text="Lançado">
      <formula>NOT(ISERROR(SEARCH("Lançado",P147)))</formula>
    </cfRule>
    <cfRule type="containsText" dxfId="1437" priority="154" operator="containsText" text="N/A">
      <formula>NOT(ISERROR(SEARCH("N/A",P147)))</formula>
    </cfRule>
    <cfRule type="containsText" dxfId="1436" priority="153" operator="containsText" text="Lançado">
      <formula>NOT(ISERROR(SEARCH("Lançado",P147)))</formula>
    </cfRule>
  </conditionalFormatting>
  <conditionalFormatting sqref="P150">
    <cfRule type="containsText" dxfId="1435" priority="5974" operator="containsText" text="em andamento">
      <formula>NOT(ISERROR(SEARCH("em andamento",P150)))</formula>
    </cfRule>
    <cfRule type="containsText" dxfId="1434" priority="5972" operator="containsText" text="Pendente">
      <formula>NOT(ISERROR(SEARCH("Pendente",P150)))</formula>
    </cfRule>
    <cfRule type="containsText" dxfId="1433" priority="5970" operator="containsText" text="Lançado">
      <formula>NOT(ISERROR(SEARCH("Lançado",P150)))</formula>
    </cfRule>
    <cfRule type="containsText" dxfId="1432" priority="5973" operator="containsText" text="Finalizado">
      <formula>NOT(ISERROR(SEARCH("Finalizado",P150)))</formula>
    </cfRule>
  </conditionalFormatting>
  <conditionalFormatting sqref="P151:P155">
    <cfRule type="containsText" dxfId="1431" priority="4297" operator="containsText" text="N/A">
      <formula>NOT(ISERROR(SEARCH("N/A",P151)))</formula>
    </cfRule>
  </conditionalFormatting>
  <conditionalFormatting sqref="P152:P155 P157">
    <cfRule type="expression" dxfId="1430" priority="4295">
      <formula>$H152="ETAPA"</formula>
    </cfRule>
  </conditionalFormatting>
  <conditionalFormatting sqref="P152:P155">
    <cfRule type="containsText" dxfId="1429" priority="4299" operator="containsText" text="Finalizado">
      <formula>NOT(ISERROR(SEARCH("Finalizado",P152)))</formula>
    </cfRule>
    <cfRule type="containsText" dxfId="1428" priority="4298" operator="containsText" text="Pendente">
      <formula>NOT(ISERROR(SEARCH("Pendente",P152)))</formula>
    </cfRule>
    <cfRule type="containsText" dxfId="1427" priority="4296" operator="containsText" text="Lançado">
      <formula>NOT(ISERROR(SEARCH("Lançado",P152)))</formula>
    </cfRule>
    <cfRule type="containsText" dxfId="1426" priority="4300" operator="containsText" text="em andamento">
      <formula>NOT(ISERROR(SEARCH("em andamento",P152)))</formula>
    </cfRule>
  </conditionalFormatting>
  <conditionalFormatting sqref="P153">
    <cfRule type="containsText" dxfId="1425" priority="4324" operator="containsText" text="N/A">
      <formula>NOT(ISERROR(SEARCH("N/A",P153)))</formula>
    </cfRule>
    <cfRule type="containsText" dxfId="1424" priority="4323" operator="containsText" text="Lançado">
      <formula>NOT(ISERROR(SEARCH("Lançado",P153)))</formula>
    </cfRule>
    <cfRule type="expression" dxfId="1423" priority="4320">
      <formula>$H153="SUBETAPA"</formula>
    </cfRule>
    <cfRule type="containsText" dxfId="1422" priority="4319" operator="containsText" text="em andamento">
      <formula>NOT(ISERROR(SEARCH("em andamento",P153)))</formula>
    </cfRule>
    <cfRule type="containsText" dxfId="1421" priority="4318" operator="containsText" text="Finalizado">
      <formula>NOT(ISERROR(SEARCH("Finalizado",P153)))</formula>
    </cfRule>
    <cfRule type="containsText" dxfId="1420" priority="4317" operator="containsText" text="Pendente">
      <formula>NOT(ISERROR(SEARCH("Pendente",P153)))</formula>
    </cfRule>
    <cfRule type="containsText" dxfId="1419" priority="4325" operator="containsText" text="Pendente">
      <formula>NOT(ISERROR(SEARCH("Pendente",P153)))</formula>
    </cfRule>
    <cfRule type="containsText" dxfId="1418" priority="4327" operator="containsText" text="em andamento">
      <formula>NOT(ISERROR(SEARCH("em andamento",P153)))</formula>
    </cfRule>
    <cfRule type="expression" dxfId="1417" priority="4322">
      <formula>$H153="ETAPA"</formula>
    </cfRule>
    <cfRule type="containsText" dxfId="1416" priority="4316" operator="containsText" text="N/A">
      <formula>NOT(ISERROR(SEARCH("N/A",P153)))</formula>
    </cfRule>
    <cfRule type="expression" dxfId="1415" priority="4321">
      <formula>$H153="CÉLULA CONSTRUTIVA"</formula>
    </cfRule>
    <cfRule type="containsText" dxfId="1414" priority="4315" operator="containsText" text="Lançado">
      <formula>NOT(ISERROR(SEARCH("Lançado",P153)))</formula>
    </cfRule>
    <cfRule type="containsText" dxfId="1413" priority="4326" operator="containsText" text="Finalizado">
      <formula>NOT(ISERROR(SEARCH("Finalizado",P153)))</formula>
    </cfRule>
  </conditionalFormatting>
  <conditionalFormatting sqref="P153:P155">
    <cfRule type="expression" dxfId="1412" priority="4293">
      <formula>$H153="SUBETAPA"</formula>
    </cfRule>
    <cfRule type="expression" dxfId="1411" priority="4294">
      <formula>$H153="CÉLULA CONSTRUTIVA"</formula>
    </cfRule>
  </conditionalFormatting>
  <conditionalFormatting sqref="P154:P155">
    <cfRule type="containsText" dxfId="1410" priority="4291" operator="containsText" text="Finalizado">
      <formula>NOT(ISERROR(SEARCH("Finalizado",P154)))</formula>
    </cfRule>
    <cfRule type="containsText" dxfId="1409" priority="4289" operator="containsText" text="N/A">
      <formula>NOT(ISERROR(SEARCH("N/A",P154)))</formula>
    </cfRule>
    <cfRule type="containsText" dxfId="1408" priority="4288" operator="containsText" text="Lançado">
      <formula>NOT(ISERROR(SEARCH("Lançado",P154)))</formula>
    </cfRule>
    <cfRule type="containsText" dxfId="1407" priority="4287" operator="containsText" text="em andamento">
      <formula>NOT(ISERROR(SEARCH("em andamento",P154)))</formula>
    </cfRule>
    <cfRule type="containsText" dxfId="1406" priority="4286" operator="containsText" text="Finalizado">
      <formula>NOT(ISERROR(SEARCH("Finalizado",P154)))</formula>
    </cfRule>
    <cfRule type="containsText" dxfId="1405" priority="4285" operator="containsText" text="Pendente">
      <formula>NOT(ISERROR(SEARCH("Pendente",P154)))</formula>
    </cfRule>
    <cfRule type="containsText" dxfId="1404" priority="4283" operator="containsText" text="Lançado">
      <formula>NOT(ISERROR(SEARCH("Lançado",P154)))</formula>
    </cfRule>
    <cfRule type="expression" dxfId="1403" priority="4282">
      <formula>$H154="ETAPA"</formula>
    </cfRule>
    <cfRule type="expression" dxfId="1402" priority="4281">
      <formula>$H154="CÉLULA CONSTRUTIVA"</formula>
    </cfRule>
    <cfRule type="expression" dxfId="1401" priority="4280">
      <formula>$H154="SUBETAPA"</formula>
    </cfRule>
    <cfRule type="containsText" dxfId="1400" priority="4284" operator="containsText" text="N/A">
      <formula>NOT(ISERROR(SEARCH("N/A",P154)))</formula>
    </cfRule>
    <cfRule type="containsText" dxfId="1399" priority="4292" operator="containsText" text="em andamento">
      <formula>NOT(ISERROR(SEARCH("em andamento",P154)))</formula>
    </cfRule>
    <cfRule type="containsText" dxfId="1398" priority="4290" operator="containsText" text="Pendente">
      <formula>NOT(ISERROR(SEARCH("Pendente",P154)))</formula>
    </cfRule>
  </conditionalFormatting>
  <conditionalFormatting sqref="P156">
    <cfRule type="expression" dxfId="1397" priority="119">
      <formula>$H156="SUBETAPA"</formula>
    </cfRule>
    <cfRule type="expression" dxfId="1396" priority="120">
      <formula>$H156="CÉLULA CONSTRUTIVA"</formula>
    </cfRule>
    <cfRule type="containsText" dxfId="1395" priority="132" operator="containsText" text="N/A">
      <formula>NOT(ISERROR(SEARCH("N/A",P156)))</formula>
    </cfRule>
    <cfRule type="containsText" dxfId="1394" priority="121" operator="containsText" text="Lançado">
      <formula>NOT(ISERROR(SEARCH("Lançado",P156)))</formula>
    </cfRule>
    <cfRule type="containsText" dxfId="1393" priority="131" operator="containsText" text="Lançado">
      <formula>NOT(ISERROR(SEARCH("Lançado",P156)))</formula>
    </cfRule>
    <cfRule type="containsText" dxfId="1392" priority="122" operator="containsText" text="N/A">
      <formula>NOT(ISERROR(SEARCH("N/A",P156)))</formula>
    </cfRule>
    <cfRule type="containsText" dxfId="1391" priority="123" operator="containsText" text="Pendente">
      <formula>NOT(ISERROR(SEARCH("Pendente",P156)))</formula>
    </cfRule>
    <cfRule type="containsText" dxfId="1390" priority="124" operator="containsText" text="Finalizado">
      <formula>NOT(ISERROR(SEARCH("Finalizado",P156)))</formula>
    </cfRule>
    <cfRule type="containsText" dxfId="1389" priority="125" operator="containsText" text="em andamento">
      <formula>NOT(ISERROR(SEARCH("em andamento",P156)))</formula>
    </cfRule>
    <cfRule type="containsText" dxfId="1388" priority="133" operator="containsText" text="Pendente">
      <formula>NOT(ISERROR(SEARCH("Pendente",P156)))</formula>
    </cfRule>
    <cfRule type="containsText" dxfId="1387" priority="126" operator="containsText" text="Lançado">
      <formula>NOT(ISERROR(SEARCH("Lançado",P156)))</formula>
    </cfRule>
    <cfRule type="containsText" dxfId="1386" priority="127" operator="containsText" text="N/A">
      <formula>NOT(ISERROR(SEARCH("N/A",P156)))</formula>
    </cfRule>
    <cfRule type="containsText" dxfId="1385" priority="128" operator="containsText" text="Pendente">
      <formula>NOT(ISERROR(SEARCH("Pendente",P156)))</formula>
    </cfRule>
    <cfRule type="containsText" dxfId="1384" priority="129" operator="containsText" text="Finalizado">
      <formula>NOT(ISERROR(SEARCH("Finalizado",P156)))</formula>
    </cfRule>
    <cfRule type="containsText" dxfId="1383" priority="130" operator="containsText" text="em andamento">
      <formula>NOT(ISERROR(SEARCH("em andamento",P156)))</formula>
    </cfRule>
  </conditionalFormatting>
  <conditionalFormatting sqref="P157:P162">
    <cfRule type="containsText" dxfId="1382" priority="6029" operator="containsText" text="Finalizado">
      <formula>NOT(ISERROR(SEARCH("Finalizado",P157)))</formula>
    </cfRule>
    <cfRule type="containsText" dxfId="1381" priority="6028" operator="containsText" text="Pendente">
      <formula>NOT(ISERROR(SEARCH("Pendente",P157)))</formula>
    </cfRule>
    <cfRule type="containsText" dxfId="1380" priority="6030" operator="containsText" text="em andamento">
      <formula>NOT(ISERROR(SEARCH("em andamento",P157)))</formula>
    </cfRule>
  </conditionalFormatting>
  <conditionalFormatting sqref="P158:P162">
    <cfRule type="containsText" dxfId="1379" priority="6027" operator="containsText" text="N/A">
      <formula>NOT(ISERROR(SEARCH("N/A",P158)))</formula>
    </cfRule>
    <cfRule type="containsText" dxfId="1378" priority="6026" operator="containsText" text="Lançado">
      <formula>NOT(ISERROR(SEARCH("Lançado",P158)))</formula>
    </cfRule>
    <cfRule type="containsText" dxfId="1377" priority="6024" operator="containsText" text="Finalizado">
      <formula>NOT(ISERROR(SEARCH("Finalizado",P158)))</formula>
    </cfRule>
    <cfRule type="containsText" dxfId="1376" priority="6018" operator="containsText" text="Pendente">
      <formula>NOT(ISERROR(SEARCH("Pendente",P158)))</formula>
    </cfRule>
    <cfRule type="containsText" dxfId="1375" priority="6019" operator="containsText" text="Finalizado">
      <formula>NOT(ISERROR(SEARCH("Finalizado",P158)))</formula>
    </cfRule>
    <cfRule type="containsText" dxfId="1374" priority="6020" operator="containsText" text="em andamento">
      <formula>NOT(ISERROR(SEARCH("em andamento",P158)))</formula>
    </cfRule>
    <cfRule type="containsText" dxfId="1373" priority="6021" operator="containsText" text="Lançado">
      <formula>NOT(ISERROR(SEARCH("Lançado",P158)))</formula>
    </cfRule>
    <cfRule type="containsText" dxfId="1372" priority="6022" operator="containsText" text="N/A">
      <formula>NOT(ISERROR(SEARCH("N/A",P158)))</formula>
    </cfRule>
    <cfRule type="containsText" dxfId="1371" priority="6023" operator="containsText" text="Pendente">
      <formula>NOT(ISERROR(SEARCH("Pendente",P158)))</formula>
    </cfRule>
    <cfRule type="containsText" dxfId="1370" priority="6025" operator="containsText" text="em andamento">
      <formula>NOT(ISERROR(SEARCH("em andamento",P158)))</formula>
    </cfRule>
  </conditionalFormatting>
  <conditionalFormatting sqref="P163 P223:P244 P280:P330">
    <cfRule type="containsText" dxfId="1369" priority="10441" operator="containsText" text="Finalizado">
      <formula>NOT(ISERROR(SEARCH("Finalizado",P163)))</formula>
    </cfRule>
    <cfRule type="containsText" dxfId="1368" priority="10442" operator="containsText" text="em andamento">
      <formula>NOT(ISERROR(SEARCH("em andamento",P163)))</formula>
    </cfRule>
    <cfRule type="containsText" dxfId="1367" priority="10445" operator="containsText" text="Pendente">
      <formula>NOT(ISERROR(SEARCH("Pendente",P163)))</formula>
    </cfRule>
    <cfRule type="containsText" dxfId="1366" priority="10446" operator="containsText" text="Finalizado">
      <formula>NOT(ISERROR(SEARCH("Finalizado",P163)))</formula>
    </cfRule>
    <cfRule type="containsText" dxfId="1365" priority="10447" operator="containsText" text="em andamento">
      <formula>NOT(ISERROR(SEARCH("em andamento",P163)))</formula>
    </cfRule>
  </conditionalFormatting>
  <conditionalFormatting sqref="P163 P223:P244">
    <cfRule type="containsText" dxfId="1364" priority="10444" operator="containsText" text="N/A">
      <formula>NOT(ISERROR(SEARCH("N/A",P163)))</formula>
    </cfRule>
    <cfRule type="containsText" dxfId="1363" priority="10443" operator="containsText" text="Lançado">
      <formula>NOT(ISERROR(SEARCH("Lançado",P163)))</formula>
    </cfRule>
  </conditionalFormatting>
  <conditionalFormatting sqref="P163">
    <cfRule type="containsText" dxfId="1362" priority="10438" operator="containsText" text="Lançado">
      <formula>NOT(ISERROR(SEARCH("Lançado",P163)))</formula>
    </cfRule>
    <cfRule type="containsText" dxfId="1361" priority="10439" operator="containsText" text="N/A">
      <formula>NOT(ISERROR(SEARCH("N/A",P163)))</formula>
    </cfRule>
    <cfRule type="containsText" dxfId="1360" priority="10440" operator="containsText" text="Pendente">
      <formula>NOT(ISERROR(SEARCH("Pendente",P163)))</formula>
    </cfRule>
    <cfRule type="expression" dxfId="1359" priority="10448">
      <formula>$H163="SUBETAPA"</formula>
    </cfRule>
    <cfRule type="containsText" dxfId="1358" priority="10453" operator="containsText" text="Pendente">
      <formula>NOT(ISERROR(SEARCH("Pendente",P163)))</formula>
    </cfRule>
    <cfRule type="containsText" dxfId="1357" priority="10454" operator="containsText" text="Finalizado">
      <formula>NOT(ISERROR(SEARCH("Finalizado",P163)))</formula>
    </cfRule>
    <cfRule type="containsText" dxfId="1356" priority="10455" operator="containsText" text="em andamento">
      <formula>NOT(ISERROR(SEARCH("em andamento",P163)))</formula>
    </cfRule>
  </conditionalFormatting>
  <conditionalFormatting sqref="P164 O165:P166 O170:P170 O172:P172 O176:P176 G252:L256 O284:P285 O388:P388 N436:P436 P228 P234:P235 O235:P236 P19 P193 O140:P140 O143:P143 P148 P152 O157:P157 N158:P162 P283 O295:P295 G13:M17 G19:M22 M164:M166 G164:L167 G168:M168 O168:P168 J169 M170 M172 M176 G228:M228 G232:M232 G234:M235 M236 N426:O426 P178 G229:O231 G150:K151 G388:K390 G8:M9 M178 M169:N169 M171:N171 M193:N193 G40:G42 M167:N167">
    <cfRule type="expression" dxfId="1355" priority="14042">
      <formula>$H8="SUBETAPA"</formula>
    </cfRule>
  </conditionalFormatting>
  <conditionalFormatting sqref="P164 P166 P170 P172 P176 P196">
    <cfRule type="containsText" dxfId="1354" priority="14008" operator="containsText" text="Pendente">
      <formula>NOT(ISERROR(SEARCH("Pendente",P164)))</formula>
    </cfRule>
    <cfRule type="containsText" dxfId="1353" priority="14009" operator="containsText" text="Finalizado">
      <formula>NOT(ISERROR(SEARCH("Finalizado",P164)))</formula>
    </cfRule>
    <cfRule type="containsText" dxfId="1352" priority="14010" operator="containsText" text="em andamento">
      <formula>NOT(ISERROR(SEARCH("em andamento",P164)))</formula>
    </cfRule>
  </conditionalFormatting>
  <conditionalFormatting sqref="P164">
    <cfRule type="containsText" dxfId="1351" priority="13970" operator="containsText" text="Pendente">
      <formula>NOT(ISERROR(SEARCH("Pendente",P164)))</formula>
    </cfRule>
    <cfRule type="containsText" dxfId="1350" priority="13971" operator="containsText" text="Finalizado">
      <formula>NOT(ISERROR(SEARCH("Finalizado",P164)))</formula>
    </cfRule>
    <cfRule type="containsText" dxfId="1349" priority="13972" operator="containsText" text="em andamento">
      <formula>NOT(ISERROR(SEARCH("em andamento",P164)))</formula>
    </cfRule>
  </conditionalFormatting>
  <conditionalFormatting sqref="P167 P169 P171 P173 P175 P177 P179 P228:P231 P141 P151">
    <cfRule type="expression" dxfId="1348" priority="8625">
      <formula>$H141="ETAPA"</formula>
    </cfRule>
  </conditionalFormatting>
  <conditionalFormatting sqref="P167 P169 P171 P173 P175 P177 P179 P229:P231 P237:P238 P240 P242 P244">
    <cfRule type="containsText" dxfId="1347" priority="8632" operator="containsText" text="N/A">
      <formula>NOT(ISERROR(SEARCH("N/A",P167)))</formula>
    </cfRule>
  </conditionalFormatting>
  <conditionalFormatting sqref="P167 P169 P171 P173 P175 P177 P179 P229:P231 P240 P237:P238 P242 P244">
    <cfRule type="containsText" dxfId="1346" priority="8627" operator="containsText" text="N/A">
      <formula>NOT(ISERROR(SEARCH("N/A",P167)))</formula>
    </cfRule>
  </conditionalFormatting>
  <conditionalFormatting sqref="P167 P169 P171 P173 P175 P177 P179 P229:P231">
    <cfRule type="expression" dxfId="1345" priority="8624">
      <formula>$H167="CÉLULA CONSTRUTIVA"</formula>
    </cfRule>
  </conditionalFormatting>
  <conditionalFormatting sqref="P167 P169 P171 P173 P175 P177 P179 P237:P238 P240 P242 P244 P141 P144 P151 P229:P231 P288:P291">
    <cfRule type="containsText" dxfId="1344" priority="8633" operator="containsText" text="Pendente">
      <formula>NOT(ISERROR(SEARCH("Pendente",P141)))</formula>
    </cfRule>
    <cfRule type="containsText" dxfId="1343" priority="8628" operator="containsText" text="Pendente">
      <formula>NOT(ISERROR(SEARCH("Pendente",P141)))</formula>
    </cfRule>
  </conditionalFormatting>
  <conditionalFormatting sqref="P167 P169 P171 P173 P175 P177:P179 P229:P231 P34:P35">
    <cfRule type="containsText" dxfId="1342" priority="8640" operator="containsText" text="N/A">
      <formula>NOT(ISERROR(SEARCH("N/A",P34)))</formula>
    </cfRule>
  </conditionalFormatting>
  <conditionalFormatting sqref="P167 P177 P179 P229:P231">
    <cfRule type="expression" dxfId="1341" priority="8623">
      <formula>$H167="SUBETAPA"</formula>
    </cfRule>
  </conditionalFormatting>
  <conditionalFormatting sqref="P174">
    <cfRule type="containsText" dxfId="1340" priority="1080" operator="containsText" text="em andamento">
      <formula>NOT(ISERROR(SEARCH("em andamento",P174)))</formula>
    </cfRule>
    <cfRule type="containsText" dxfId="1339" priority="1085" operator="containsText" text="Finalizado">
      <formula>NOT(ISERROR(SEARCH("Finalizado",P174)))</formula>
    </cfRule>
    <cfRule type="containsText" dxfId="1338" priority="1084" operator="containsText" text="Pendente">
      <formula>NOT(ISERROR(SEARCH("Pendente",P174)))</formula>
    </cfRule>
    <cfRule type="containsText" dxfId="1337" priority="1076" operator="containsText" text="Lançado">
      <formula>NOT(ISERROR(SEARCH("Lançado",P174)))</formula>
    </cfRule>
    <cfRule type="containsText" dxfId="1336" priority="1082" operator="containsText" text="Lançado">
      <formula>NOT(ISERROR(SEARCH("Lançado",P174)))</formula>
    </cfRule>
    <cfRule type="containsText" dxfId="1335" priority="1077" operator="containsText" text="N/A">
      <formula>NOT(ISERROR(SEARCH("N/A",P174)))</formula>
    </cfRule>
    <cfRule type="containsText" dxfId="1334" priority="1078" operator="containsText" text="Pendente">
      <formula>NOT(ISERROR(SEARCH("Pendente",P174)))</formula>
    </cfRule>
    <cfRule type="containsText" dxfId="1333" priority="1086" operator="containsText" text="em andamento">
      <formula>NOT(ISERROR(SEARCH("em andamento",P174)))</formula>
    </cfRule>
    <cfRule type="containsText" dxfId="1332" priority="1083" operator="containsText" text="N/A">
      <formula>NOT(ISERROR(SEARCH("N/A",P174)))</formula>
    </cfRule>
    <cfRule type="containsText" dxfId="1331" priority="1079" operator="containsText" text="Finalizado">
      <formula>NOT(ISERROR(SEARCH("Finalizado",P174)))</formula>
    </cfRule>
  </conditionalFormatting>
  <conditionalFormatting sqref="P180:P182">
    <cfRule type="containsText" dxfId="1330" priority="13692" operator="containsText" text="em andamento">
      <formula>NOT(ISERROR(SEARCH("em andamento",P180)))</formula>
    </cfRule>
    <cfRule type="containsText" dxfId="1329" priority="13689" operator="containsText" text="N/A">
      <formula>NOT(ISERROR(SEARCH("N/A",P180)))</formula>
    </cfRule>
    <cfRule type="containsText" dxfId="1328" priority="13690" operator="containsText" text="Pendente">
      <formula>NOT(ISERROR(SEARCH("Pendente",P180)))</formula>
    </cfRule>
    <cfRule type="containsText" dxfId="1327" priority="13691" operator="containsText" text="Finalizado">
      <formula>NOT(ISERROR(SEARCH("Finalizado",P180)))</formula>
    </cfRule>
    <cfRule type="containsText" dxfId="1326" priority="13688" operator="containsText" text="Lançado">
      <formula>NOT(ISERROR(SEARCH("Lançado",P180)))</formula>
    </cfRule>
  </conditionalFormatting>
  <conditionalFormatting sqref="P183">
    <cfRule type="expression" dxfId="1325" priority="13545">
      <formula>$H183="SUBETAPA"</formula>
    </cfRule>
  </conditionalFormatting>
  <conditionalFormatting sqref="P183:P185">
    <cfRule type="containsText" dxfId="1324" priority="1059" operator="containsText" text="Pendente">
      <formula>NOT(ISERROR(SEARCH("Pendente",P183)))</formula>
    </cfRule>
    <cfRule type="containsText" dxfId="1323" priority="1058" operator="containsText" text="N/A">
      <formula>NOT(ISERROR(SEARCH("N/A",P183)))</formula>
    </cfRule>
    <cfRule type="containsText" dxfId="1322" priority="1057" operator="containsText" text="Lançado">
      <formula>NOT(ISERROR(SEARCH("Lançado",P183)))</formula>
    </cfRule>
  </conditionalFormatting>
  <conditionalFormatting sqref="P185 M185:N185">
    <cfRule type="expression" dxfId="1321" priority="1062">
      <formula>$H185="SUBETAPA"</formula>
    </cfRule>
  </conditionalFormatting>
  <conditionalFormatting sqref="P185">
    <cfRule type="containsText" dxfId="1320" priority="1061" operator="containsText" text="em andamento">
      <formula>NOT(ISERROR(SEARCH("em andamento",P185)))</formula>
    </cfRule>
    <cfRule type="containsText" dxfId="1319" priority="1060" operator="containsText" text="Finalizado">
      <formula>NOT(ISERROR(SEARCH("Finalizado",P185)))</formula>
    </cfRule>
  </conditionalFormatting>
  <conditionalFormatting sqref="P186:P188">
    <cfRule type="containsText" dxfId="1318" priority="13540" operator="containsText" text="Lançado">
      <formula>NOT(ISERROR(SEARCH("Lançado",P186)))</formula>
    </cfRule>
    <cfRule type="containsText" dxfId="1317" priority="13541" operator="containsText" text="N/A">
      <formula>NOT(ISERROR(SEARCH("N/A",P186)))</formula>
    </cfRule>
    <cfRule type="containsText" dxfId="1316" priority="13542" operator="containsText" text="Pendente">
      <formula>NOT(ISERROR(SEARCH("Pendente",P186)))</formula>
    </cfRule>
  </conditionalFormatting>
  <conditionalFormatting sqref="P187">
    <cfRule type="expression" dxfId="1315" priority="13539">
      <formula>$H187="ETAPA"</formula>
    </cfRule>
    <cfRule type="expression" dxfId="1314" priority="13538">
      <formula>$H187="CÉLULA CONSTRUTIVA"</formula>
    </cfRule>
  </conditionalFormatting>
  <conditionalFormatting sqref="P189 M189:N189">
    <cfRule type="expression" dxfId="1313" priority="1054">
      <formula>$H189="SUBETAPA"</formula>
    </cfRule>
  </conditionalFormatting>
  <conditionalFormatting sqref="P189">
    <cfRule type="containsText" dxfId="1312" priority="1052" operator="containsText" text="Finalizado">
      <formula>NOT(ISERROR(SEARCH("Finalizado",P189)))</formula>
    </cfRule>
    <cfRule type="containsText" dxfId="1311" priority="1053" operator="containsText" text="em andamento">
      <formula>NOT(ISERROR(SEARCH("em andamento",P189)))</formula>
    </cfRule>
    <cfRule type="containsText" dxfId="1310" priority="1051" operator="containsText" text="Pendente">
      <formula>NOT(ISERROR(SEARCH("Pendente",P189)))</formula>
    </cfRule>
    <cfRule type="containsText" dxfId="1309" priority="1049" operator="containsText" text="Lançado">
      <formula>NOT(ISERROR(SEARCH("Lançado",P189)))</formula>
    </cfRule>
    <cfRule type="containsText" dxfId="1308" priority="1050" operator="containsText" text="N/A">
      <formula>NOT(ISERROR(SEARCH("N/A",P189)))</formula>
    </cfRule>
  </conditionalFormatting>
  <conditionalFormatting sqref="P190:P195">
    <cfRule type="containsText" dxfId="1307" priority="13516" operator="containsText" text="Lançado">
      <formula>NOT(ISERROR(SEARCH("Lançado",P190)))</formula>
    </cfRule>
    <cfRule type="containsText" dxfId="1306" priority="13517" operator="containsText" text="N/A">
      <formula>NOT(ISERROR(SEARCH("N/A",P190)))</formula>
    </cfRule>
    <cfRule type="containsText" dxfId="1305" priority="13518" operator="containsText" text="Pendente">
      <formula>NOT(ISERROR(SEARCH("Pendente",P190)))</formula>
    </cfRule>
  </conditionalFormatting>
  <conditionalFormatting sqref="P191">
    <cfRule type="containsText" dxfId="1304" priority="13536" operator="containsText" text="em andamento">
      <formula>NOT(ISERROR(SEARCH("em andamento",P191)))</formula>
    </cfRule>
    <cfRule type="expression" dxfId="1303" priority="13537">
      <formula>$H191="SUBETAPA"</formula>
    </cfRule>
    <cfRule type="containsText" dxfId="1302" priority="13535" operator="containsText" text="Finalizado">
      <formula>NOT(ISERROR(SEARCH("Finalizado",P191)))</formula>
    </cfRule>
  </conditionalFormatting>
  <conditionalFormatting sqref="P192:P194 P190 P183:P184 P186:P188">
    <cfRule type="containsText" dxfId="1301" priority="13543" operator="containsText" text="Finalizado">
      <formula>NOT(ISERROR(SEARCH("Finalizado",P183)))</formula>
    </cfRule>
    <cfRule type="containsText" dxfId="1300" priority="13544" operator="containsText" text="em andamento">
      <formula>NOT(ISERROR(SEARCH("em andamento",P183)))</formula>
    </cfRule>
  </conditionalFormatting>
  <conditionalFormatting sqref="P195">
    <cfRule type="containsText" dxfId="1299" priority="13519" operator="containsText" text="Finalizado">
      <formula>NOT(ISERROR(SEARCH("Finalizado",P195)))</formula>
    </cfRule>
    <cfRule type="containsText" dxfId="1298" priority="13520" operator="containsText" text="em andamento">
      <formula>NOT(ISERROR(SEARCH("em andamento",P195)))</formula>
    </cfRule>
    <cfRule type="expression" dxfId="1297" priority="13521">
      <formula>$H195="SUBETAPA"</formula>
    </cfRule>
  </conditionalFormatting>
  <conditionalFormatting sqref="P195:P197">
    <cfRule type="expression" dxfId="1296" priority="13507">
      <formula>$H195="ETAPA"</formula>
    </cfRule>
    <cfRule type="expression" dxfId="1295" priority="13506">
      <formula>$H195="CÉLULA CONSTRUTIVA"</formula>
    </cfRule>
  </conditionalFormatting>
  <conditionalFormatting sqref="P196 P164 P166 P170 P172 P176">
    <cfRule type="containsText" dxfId="1294" priority="14006" operator="containsText" text="Lançado">
      <formula>NOT(ISERROR(SEARCH("Lançado",P164)))</formula>
    </cfRule>
    <cfRule type="containsText" dxfId="1293" priority="14007" operator="containsText" text="N/A">
      <formula>NOT(ISERROR(SEARCH("N/A",P164)))</formula>
    </cfRule>
  </conditionalFormatting>
  <conditionalFormatting sqref="P197">
    <cfRule type="containsText" dxfId="1292" priority="13509" operator="containsText" text="N/A">
      <formula>NOT(ISERROR(SEARCH("N/A",P197)))</formula>
    </cfRule>
    <cfRule type="containsText" dxfId="1291" priority="13508" operator="containsText" text="Lançado">
      <formula>NOT(ISERROR(SEARCH("Lançado",P197)))</formula>
    </cfRule>
    <cfRule type="containsText" dxfId="1290" priority="13511" operator="containsText" text="Finalizado">
      <formula>NOT(ISERROR(SEARCH("Finalizado",P197)))</formula>
    </cfRule>
    <cfRule type="containsText" dxfId="1289" priority="13512" operator="containsText" text="em andamento">
      <formula>NOT(ISERROR(SEARCH("em andamento",P197)))</formula>
    </cfRule>
    <cfRule type="containsText" dxfId="1288" priority="13510" operator="containsText" text="Pendente">
      <formula>NOT(ISERROR(SEARCH("Pendente",P197)))</formula>
    </cfRule>
  </conditionalFormatting>
  <conditionalFormatting sqref="P197:P198">
    <cfRule type="expression" dxfId="1287" priority="13513">
      <formula>$H197="SUBETAPA"</formula>
    </cfRule>
  </conditionalFormatting>
  <conditionalFormatting sqref="P198">
    <cfRule type="containsText" dxfId="1286" priority="13760" operator="containsText" text="Lançado">
      <formula>NOT(ISERROR(SEARCH("Lançado",P198)))</formula>
    </cfRule>
    <cfRule type="expression" dxfId="1285" priority="13747">
      <formula>$H198="CÉLULA CONSTRUTIVA"</formula>
    </cfRule>
    <cfRule type="expression" dxfId="1284" priority="13748">
      <formula>$H198="ETAPA"</formula>
    </cfRule>
    <cfRule type="expression" dxfId="1283" priority="13749">
      <formula>$H198="CÉLULA CONSTRUTIVA"</formula>
    </cfRule>
    <cfRule type="expression" dxfId="1282" priority="13750">
      <formula>$H198="ETAPA"</formula>
    </cfRule>
    <cfRule type="containsText" dxfId="1281" priority="13751" operator="containsText" text="Lançado">
      <formula>NOT(ISERROR(SEARCH("Lançado",P198)))</formula>
    </cfRule>
    <cfRule type="containsText" dxfId="1280" priority="13752" operator="containsText" text="N/A">
      <formula>NOT(ISERROR(SEARCH("N/A",P198)))</formula>
    </cfRule>
    <cfRule type="containsText" dxfId="1279" priority="13761" operator="containsText" text="N/A">
      <formula>NOT(ISERROR(SEARCH("N/A",P198)))</formula>
    </cfRule>
    <cfRule type="containsText" dxfId="1278" priority="13763" operator="containsText" text="Finalizado">
      <formula>NOT(ISERROR(SEARCH("Finalizado",P198)))</formula>
    </cfRule>
    <cfRule type="expression" dxfId="1277" priority="13759">
      <formula>$H198="ETAPA"</formula>
    </cfRule>
    <cfRule type="containsText" dxfId="1276" priority="13764" operator="containsText" text="em andamento">
      <formula>NOT(ISERROR(SEARCH("em andamento",P198)))</formula>
    </cfRule>
    <cfRule type="containsText" dxfId="1275" priority="13753" operator="containsText" text="Pendente">
      <formula>NOT(ISERROR(SEARCH("Pendente",P198)))</formula>
    </cfRule>
    <cfRule type="containsText" dxfId="1274" priority="13754" operator="containsText" text="Finalizado">
      <formula>NOT(ISERROR(SEARCH("Finalizado",P198)))</formula>
    </cfRule>
    <cfRule type="expression" dxfId="1273" priority="13758">
      <formula>$H198="CÉLULA CONSTRUTIVA"</formula>
    </cfRule>
    <cfRule type="containsText" dxfId="1272" priority="13755" operator="containsText" text="em andamento">
      <formula>NOT(ISERROR(SEARCH("em andamento",P198)))</formula>
    </cfRule>
    <cfRule type="expression" dxfId="1271" priority="13756">
      <formula>$H198="CÉLULA CONSTRUTIVA"</formula>
    </cfRule>
    <cfRule type="expression" dxfId="1270" priority="13757">
      <formula>$H198="ETAPA"</formula>
    </cfRule>
    <cfRule type="containsText" dxfId="1269" priority="13762" operator="containsText" text="Pendente">
      <formula>NOT(ISERROR(SEARCH("Pendente",P198)))</formula>
    </cfRule>
  </conditionalFormatting>
  <conditionalFormatting sqref="P200">
    <cfRule type="containsText" dxfId="1268" priority="10078" operator="containsText" text="Lançado">
      <formula>NOT(ISERROR(SEARCH("Lançado",P200)))</formula>
    </cfRule>
    <cfRule type="containsText" dxfId="1267" priority="10079" operator="containsText" text="N/A">
      <formula>NOT(ISERROR(SEARCH("N/A",P200)))</formula>
    </cfRule>
    <cfRule type="containsText" dxfId="1266" priority="10080" operator="containsText" text="Pendente">
      <formula>NOT(ISERROR(SEARCH("Pendente",P200)))</formula>
    </cfRule>
    <cfRule type="containsText" dxfId="1265" priority="10081" operator="containsText" text="Finalizado">
      <formula>NOT(ISERROR(SEARCH("Finalizado",P200)))</formula>
    </cfRule>
    <cfRule type="containsText" dxfId="1264" priority="10082" operator="containsText" text="em andamento">
      <formula>NOT(ISERROR(SEARCH("em andamento",P200)))</formula>
    </cfRule>
  </conditionalFormatting>
  <conditionalFormatting sqref="P201 P203">
    <cfRule type="containsText" dxfId="1263" priority="10180" operator="containsText" text="em andamento">
      <formula>NOT(ISERROR(SEARCH("em andamento",P201)))</formula>
    </cfRule>
    <cfRule type="containsText" dxfId="1262" priority="10179" operator="containsText" text="Finalizado">
      <formula>NOT(ISERROR(SEARCH("Finalizado",P201)))</formula>
    </cfRule>
    <cfRule type="containsText" dxfId="1261" priority="10178" operator="containsText" text="Pendente">
      <formula>NOT(ISERROR(SEARCH("Pendente",P201)))</formula>
    </cfRule>
    <cfRule type="containsText" dxfId="1260" priority="10177" operator="containsText" text="N/A">
      <formula>NOT(ISERROR(SEARCH("N/A",P201)))</formula>
    </cfRule>
    <cfRule type="containsText" dxfId="1259" priority="10176" operator="containsText" text="Lançado">
      <formula>NOT(ISERROR(SEARCH("Lançado",P201)))</formula>
    </cfRule>
    <cfRule type="expression" dxfId="1258" priority="10175">
      <formula>$H201="ETAPA"</formula>
    </cfRule>
    <cfRule type="expression" dxfId="1257" priority="10174">
      <formula>$H201="CÉLULA CONSTRUTIVA"</formula>
    </cfRule>
    <cfRule type="expression" dxfId="1256" priority="10173">
      <formula>$H201="SUBETAPA"</formula>
    </cfRule>
  </conditionalFormatting>
  <conditionalFormatting sqref="P201">
    <cfRule type="containsText" dxfId="1255" priority="10172" operator="containsText" text="em andamento">
      <formula>NOT(ISERROR(SEARCH("em andamento",P201)))</formula>
    </cfRule>
    <cfRule type="containsText" dxfId="1254" priority="10171" operator="containsText" text="Finalizado">
      <formula>NOT(ISERROR(SEARCH("Finalizado",P201)))</formula>
    </cfRule>
    <cfRule type="containsText" dxfId="1253" priority="10170" operator="containsText" text="Pendente">
      <formula>NOT(ISERROR(SEARCH("Pendente",P201)))</formula>
    </cfRule>
    <cfRule type="containsText" dxfId="1252" priority="10169" operator="containsText" text="N/A">
      <formula>NOT(ISERROR(SEARCH("N/A",P201)))</formula>
    </cfRule>
    <cfRule type="containsText" dxfId="1251" priority="10168" operator="containsText" text="Lançado">
      <formula>NOT(ISERROR(SEARCH("Lançado",P201)))</formula>
    </cfRule>
    <cfRule type="containsText" dxfId="1250" priority="10167" operator="containsText" text="em andamento">
      <formula>NOT(ISERROR(SEARCH("em andamento",P201)))</formula>
    </cfRule>
    <cfRule type="containsText" dxfId="1249" priority="10165" operator="containsText" text="Pendente">
      <formula>NOT(ISERROR(SEARCH("Pendente",P201)))</formula>
    </cfRule>
    <cfRule type="containsText" dxfId="1248" priority="10164" operator="containsText" text="N/A">
      <formula>NOT(ISERROR(SEARCH("N/A",P201)))</formula>
    </cfRule>
    <cfRule type="containsText" dxfId="1247" priority="10163" operator="containsText" text="Lançado">
      <formula>NOT(ISERROR(SEARCH("Lançado",P201)))</formula>
    </cfRule>
    <cfRule type="containsText" dxfId="1246" priority="10166" operator="containsText" text="Finalizado">
      <formula>NOT(ISERROR(SEARCH("Finalizado",P201)))</formula>
    </cfRule>
  </conditionalFormatting>
  <conditionalFormatting sqref="P202">
    <cfRule type="containsText" dxfId="1245" priority="1228" operator="containsText" text="Pendente">
      <formula>NOT(ISERROR(SEARCH("Pendente",P202)))</formula>
    </cfRule>
    <cfRule type="containsText" dxfId="1244" priority="1226" operator="containsText" text="Lançado">
      <formula>NOT(ISERROR(SEARCH("Lançado",P202)))</formula>
    </cfRule>
    <cfRule type="containsText" dxfId="1243" priority="1227" operator="containsText" text="N/A">
      <formula>NOT(ISERROR(SEARCH("N/A",P202)))</formula>
    </cfRule>
    <cfRule type="containsText" dxfId="1242" priority="1229" operator="containsText" text="Finalizado">
      <formula>NOT(ISERROR(SEARCH("Finalizado",P202)))</formula>
    </cfRule>
    <cfRule type="containsText" dxfId="1241" priority="1230" operator="containsText" text="em andamento">
      <formula>NOT(ISERROR(SEARCH("em andamento",P202)))</formula>
    </cfRule>
  </conditionalFormatting>
  <conditionalFormatting sqref="P203 N203 N209 P209">
    <cfRule type="expression" dxfId="1240" priority="10194">
      <formula>$H203="SUBETAPA"</formula>
    </cfRule>
  </conditionalFormatting>
  <conditionalFormatting sqref="P203 P205 P209">
    <cfRule type="containsText" dxfId="1239" priority="10199" operator="containsText" text="Pendente">
      <formula>NOT(ISERROR(SEARCH("Pendente",P203)))</formula>
    </cfRule>
  </conditionalFormatting>
  <conditionalFormatting sqref="P203 P209 P205">
    <cfRule type="containsText" dxfId="1238" priority="10201" operator="containsText" text="em andamento">
      <formula>NOT(ISERROR(SEARCH("em andamento",P203)))</formula>
    </cfRule>
    <cfRule type="containsText" dxfId="1237" priority="10200" operator="containsText" text="Finalizado">
      <formula>NOT(ISERROR(SEARCH("Finalizado",P203)))</formula>
    </cfRule>
    <cfRule type="containsText" dxfId="1236" priority="10198" operator="containsText" text="N/A">
      <formula>NOT(ISERROR(SEARCH("N/A",P203)))</formula>
    </cfRule>
    <cfRule type="containsText" dxfId="1235" priority="10197" operator="containsText" text="Lançado">
      <formula>NOT(ISERROR(SEARCH("Lançado",P203)))</formula>
    </cfRule>
  </conditionalFormatting>
  <conditionalFormatting sqref="P203">
    <cfRule type="containsText" dxfId="1234" priority="10189" operator="containsText" text="Lançado">
      <formula>NOT(ISERROR(SEARCH("Lançado",P203)))</formula>
    </cfRule>
    <cfRule type="containsText" dxfId="1233" priority="10193" operator="containsText" text="em andamento">
      <formula>NOT(ISERROR(SEARCH("em andamento",P203)))</formula>
    </cfRule>
    <cfRule type="containsText" dxfId="1232" priority="10192" operator="containsText" text="Finalizado">
      <formula>NOT(ISERROR(SEARCH("Finalizado",P203)))</formula>
    </cfRule>
    <cfRule type="containsText" dxfId="1231" priority="10191" operator="containsText" text="Pendente">
      <formula>NOT(ISERROR(SEARCH("Pendente",P203)))</formula>
    </cfRule>
    <cfRule type="containsText" dxfId="1230" priority="10190" operator="containsText" text="N/A">
      <formula>NOT(ISERROR(SEARCH("N/A",P203)))</formula>
    </cfRule>
  </conditionalFormatting>
  <conditionalFormatting sqref="P204">
    <cfRule type="containsText" dxfId="1229" priority="1167" operator="containsText" text="Finalizado">
      <formula>NOT(ISERROR(SEARCH("Finalizado",P204)))</formula>
    </cfRule>
    <cfRule type="containsText" dxfId="1228" priority="1168" operator="containsText" text="em andamento">
      <formula>NOT(ISERROR(SEARCH("em andamento",P204)))</formula>
    </cfRule>
  </conditionalFormatting>
  <conditionalFormatting sqref="P204:P205">
    <cfRule type="containsText" dxfId="1227" priority="1166" operator="containsText" text="Pendente">
      <formula>NOT(ISERROR(SEARCH("Pendente",P204)))</formula>
    </cfRule>
    <cfRule type="containsText" dxfId="1226" priority="1164" operator="containsText" text="Lançado">
      <formula>NOT(ISERROR(SEARCH("Lançado",P204)))</formula>
    </cfRule>
    <cfRule type="containsText" dxfId="1225" priority="1165" operator="containsText" text="N/A">
      <formula>NOT(ISERROR(SEARCH("N/A",P204)))</formula>
    </cfRule>
  </conditionalFormatting>
  <conditionalFormatting sqref="P205 P207">
    <cfRule type="containsText" dxfId="1224" priority="1181" operator="containsText" text="em andamento">
      <formula>NOT(ISERROR(SEARCH("em andamento",P205)))</formula>
    </cfRule>
    <cfRule type="containsText" dxfId="1223" priority="1180" operator="containsText" text="Finalizado">
      <formula>NOT(ISERROR(SEARCH("Finalizado",P205)))</formula>
    </cfRule>
    <cfRule type="containsText" dxfId="1222" priority="1179" operator="containsText" text="Pendente">
      <formula>NOT(ISERROR(SEARCH("Pendente",P205)))</formula>
    </cfRule>
    <cfRule type="containsText" dxfId="1221" priority="1178" operator="containsText" text="N/A">
      <formula>NOT(ISERROR(SEARCH("N/A",P205)))</formula>
    </cfRule>
    <cfRule type="containsText" dxfId="1220" priority="1177" operator="containsText" text="Lançado">
      <formula>NOT(ISERROR(SEARCH("Lançado",P205)))</formula>
    </cfRule>
    <cfRule type="expression" dxfId="1219" priority="1176">
      <formula>$H205="ETAPA"</formula>
    </cfRule>
    <cfRule type="expression" dxfId="1218" priority="1175">
      <formula>$H205="CÉLULA CONSTRUTIVA"</formula>
    </cfRule>
    <cfRule type="expression" dxfId="1217" priority="1174">
      <formula>$H205="SUBETAPA"</formula>
    </cfRule>
  </conditionalFormatting>
  <conditionalFormatting sqref="P205">
    <cfRule type="containsText" dxfId="1216" priority="1173" operator="containsText" text="em andamento">
      <formula>NOT(ISERROR(SEARCH("em andamento",P205)))</formula>
    </cfRule>
    <cfRule type="containsText" dxfId="1215" priority="1172" operator="containsText" text="Finalizado">
      <formula>NOT(ISERROR(SEARCH("Finalizado",P205)))</formula>
    </cfRule>
  </conditionalFormatting>
  <conditionalFormatting sqref="P206">
    <cfRule type="containsText" dxfId="1214" priority="1157" operator="containsText" text="em andamento">
      <formula>NOT(ISERROR(SEARCH("em andamento",P206)))</formula>
    </cfRule>
    <cfRule type="containsText" dxfId="1213" priority="1156" operator="containsText" text="Finalizado">
      <formula>NOT(ISERROR(SEARCH("Finalizado",P206)))</formula>
    </cfRule>
    <cfRule type="containsText" dxfId="1212" priority="1155" operator="containsText" text="Pendente">
      <formula>NOT(ISERROR(SEARCH("Pendente",P206)))</formula>
    </cfRule>
    <cfRule type="containsText" dxfId="1211" priority="1154" operator="containsText" text="N/A">
      <formula>NOT(ISERROR(SEARCH("N/A",P206)))</formula>
    </cfRule>
    <cfRule type="containsText" dxfId="1210" priority="1153" operator="containsText" text="Lançado">
      <formula>NOT(ISERROR(SEARCH("Lançado",P206)))</formula>
    </cfRule>
  </conditionalFormatting>
  <conditionalFormatting sqref="P207 N207 G207:L209">
    <cfRule type="expression" dxfId="1209" priority="1187">
      <formula>$H207="SUBETAPA"</formula>
    </cfRule>
  </conditionalFormatting>
  <conditionalFormatting sqref="P207">
    <cfRule type="containsText" dxfId="1208" priority="1193" operator="containsText" text="Finalizado">
      <formula>NOT(ISERROR(SEARCH("Finalizado",P207)))</formula>
    </cfRule>
    <cfRule type="containsText" dxfId="1207" priority="1182" operator="containsText" text="Lançado">
      <formula>NOT(ISERROR(SEARCH("Lançado",P207)))</formula>
    </cfRule>
    <cfRule type="containsText" dxfId="1206" priority="1183" operator="containsText" text="N/A">
      <formula>NOT(ISERROR(SEARCH("N/A",P207)))</formula>
    </cfRule>
    <cfRule type="containsText" dxfId="1205" priority="1184" operator="containsText" text="Pendente">
      <formula>NOT(ISERROR(SEARCH("Pendente",P207)))</formula>
    </cfRule>
    <cfRule type="containsText" dxfId="1204" priority="1185" operator="containsText" text="Finalizado">
      <formula>NOT(ISERROR(SEARCH("Finalizado",P207)))</formula>
    </cfRule>
    <cfRule type="containsText" dxfId="1203" priority="1186" operator="containsText" text="em andamento">
      <formula>NOT(ISERROR(SEARCH("em andamento",P207)))</formula>
    </cfRule>
    <cfRule type="containsText" dxfId="1202" priority="1191" operator="containsText" text="N/A">
      <formula>NOT(ISERROR(SEARCH("N/A",P207)))</formula>
    </cfRule>
    <cfRule type="containsText" dxfId="1201" priority="1194" operator="containsText" text="em andamento">
      <formula>NOT(ISERROR(SEARCH("em andamento",P207)))</formula>
    </cfRule>
    <cfRule type="containsText" dxfId="1200" priority="1192" operator="containsText" text="Pendente">
      <formula>NOT(ISERROR(SEARCH("Pendente",P207)))</formula>
    </cfRule>
    <cfRule type="containsText" dxfId="1199" priority="1190" operator="containsText" text="Lançado">
      <formula>NOT(ISERROR(SEARCH("Lançado",P207)))</formula>
    </cfRule>
  </conditionalFormatting>
  <conditionalFormatting sqref="P208">
    <cfRule type="containsText" dxfId="1198" priority="1219" operator="containsText" text="em andamento">
      <formula>NOT(ISERROR(SEARCH("em andamento",P208)))</formula>
    </cfRule>
    <cfRule type="containsText" dxfId="1197" priority="1218" operator="containsText" text="Finalizado">
      <formula>NOT(ISERROR(SEARCH("Finalizado",P208)))</formula>
    </cfRule>
    <cfRule type="containsText" dxfId="1196" priority="1217" operator="containsText" text="Pendente">
      <formula>NOT(ISERROR(SEARCH("Pendente",P208)))</formula>
    </cfRule>
    <cfRule type="containsText" dxfId="1195" priority="1216" operator="containsText" text="N/A">
      <formula>NOT(ISERROR(SEARCH("N/A",P208)))</formula>
    </cfRule>
    <cfRule type="containsText" dxfId="1194" priority="1215" operator="containsText" text="Lançado">
      <formula>NOT(ISERROR(SEARCH("Lançado",P208)))</formula>
    </cfRule>
  </conditionalFormatting>
  <conditionalFormatting sqref="P209">
    <cfRule type="containsText" dxfId="1193" priority="10212" operator="containsText" text="Pendente">
      <formula>NOT(ISERROR(SEARCH("Pendente",P209)))</formula>
    </cfRule>
    <cfRule type="containsText" dxfId="1192" priority="10211" operator="containsText" text="N/A">
      <formula>NOT(ISERROR(SEARCH("N/A",P209)))</formula>
    </cfRule>
    <cfRule type="containsText" dxfId="1191" priority="10214" operator="containsText" text="em andamento">
      <formula>NOT(ISERROR(SEARCH("em andamento",P209)))</formula>
    </cfRule>
    <cfRule type="containsText" dxfId="1190" priority="10210" operator="containsText" text="Lançado">
      <formula>NOT(ISERROR(SEARCH("Lançado",P209)))</formula>
    </cfRule>
    <cfRule type="containsText" dxfId="1189" priority="10213" operator="containsText" text="Finalizado">
      <formula>NOT(ISERROR(SEARCH("Finalizado",P209)))</formula>
    </cfRule>
    <cfRule type="expression" dxfId="1188" priority="10215">
      <formula>$H209="SUBETAPA"</formula>
    </cfRule>
    <cfRule type="expression" dxfId="1187" priority="10216">
      <formula>$H209="CÉLULA CONSTRUTIVA"</formula>
    </cfRule>
    <cfRule type="containsText" dxfId="1186" priority="10218" operator="containsText" text="Lançado">
      <formula>NOT(ISERROR(SEARCH("Lançado",P209)))</formula>
    </cfRule>
    <cfRule type="containsText" dxfId="1185" priority="10219" operator="containsText" text="N/A">
      <formula>NOT(ISERROR(SEARCH("N/A",P209)))</formula>
    </cfRule>
    <cfRule type="expression" dxfId="1184" priority="10217">
      <formula>$H209="ETAPA"</formula>
    </cfRule>
    <cfRule type="containsText" dxfId="1183" priority="10221" operator="containsText" text="Finalizado">
      <formula>NOT(ISERROR(SEARCH("Finalizado",P209)))</formula>
    </cfRule>
    <cfRule type="containsText" dxfId="1182" priority="10222" operator="containsText" text="em andamento">
      <formula>NOT(ISERROR(SEARCH("em andamento",P209)))</formula>
    </cfRule>
    <cfRule type="containsText" dxfId="1181" priority="10220" operator="containsText" text="Pendente">
      <formula>NOT(ISERROR(SEARCH("Pendente",P209)))</formula>
    </cfRule>
  </conditionalFormatting>
  <conditionalFormatting sqref="P210:P211">
    <cfRule type="containsText" dxfId="1180" priority="10765" operator="containsText" text="Lançado">
      <formula>NOT(ISERROR(SEARCH("Lançado",P210)))</formula>
    </cfRule>
    <cfRule type="containsText" dxfId="1179" priority="10766" operator="containsText" text="N/A">
      <formula>NOT(ISERROR(SEARCH("N/A",P210)))</formula>
    </cfRule>
    <cfRule type="containsText" dxfId="1178" priority="10769" operator="containsText" text="em andamento">
      <formula>NOT(ISERROR(SEARCH("em andamento",P210)))</formula>
    </cfRule>
    <cfRule type="containsText" dxfId="1177" priority="10768" operator="containsText" text="Finalizado">
      <formula>NOT(ISERROR(SEARCH("Finalizado",P210)))</formula>
    </cfRule>
    <cfRule type="containsText" dxfId="1176" priority="10767" operator="containsText" text="Pendente">
      <formula>NOT(ISERROR(SEARCH("Pendente",P210)))</formula>
    </cfRule>
  </conditionalFormatting>
  <conditionalFormatting sqref="P211">
    <cfRule type="containsText" dxfId="1175" priority="10752" operator="containsText" text="Lançado">
      <formula>NOT(ISERROR(SEARCH("Lançado",P211)))</formula>
    </cfRule>
    <cfRule type="containsText" dxfId="1174" priority="10753" operator="containsText" text="N/A">
      <formula>NOT(ISERROR(SEARCH("N/A",P211)))</formula>
    </cfRule>
    <cfRule type="containsText" dxfId="1173" priority="10759" operator="containsText" text="Pendente">
      <formula>NOT(ISERROR(SEARCH("Pendente",P211)))</formula>
    </cfRule>
    <cfRule type="containsText" dxfId="1172" priority="10760" operator="containsText" text="Finalizado">
      <formula>NOT(ISERROR(SEARCH("Finalizado",P211)))</formula>
    </cfRule>
    <cfRule type="containsText" dxfId="1171" priority="10761" operator="containsText" text="em andamento">
      <formula>NOT(ISERROR(SEARCH("em andamento",P211)))</formula>
    </cfRule>
    <cfRule type="expression" dxfId="1170" priority="10762">
      <formula>$H211="SUBETAPA"</formula>
    </cfRule>
    <cfRule type="containsText" dxfId="1169" priority="10758" operator="containsText" text="N/A">
      <formula>NOT(ISERROR(SEARCH("N/A",P211)))</formula>
    </cfRule>
    <cfRule type="expression" dxfId="1168" priority="10750">
      <formula>$H211="CÉLULA CONSTRUTIVA"</formula>
    </cfRule>
    <cfRule type="containsText" dxfId="1167" priority="10756" operator="containsText" text="em andamento">
      <formula>NOT(ISERROR(SEARCH("em andamento",P211)))</formula>
    </cfRule>
    <cfRule type="containsText" dxfId="1166" priority="10755" operator="containsText" text="Finalizado">
      <formula>NOT(ISERROR(SEARCH("Finalizado",P211)))</formula>
    </cfRule>
    <cfRule type="containsText" dxfId="1165" priority="10754" operator="containsText" text="Pendente">
      <formula>NOT(ISERROR(SEARCH("Pendente",P211)))</formula>
    </cfRule>
    <cfRule type="expression" dxfId="1164" priority="10751">
      <formula>$H211="ETAPA"</formula>
    </cfRule>
    <cfRule type="containsText" dxfId="1163" priority="10757" operator="containsText" text="Lançado">
      <formula>NOT(ISERROR(SEARCH("Lançado",P211)))</formula>
    </cfRule>
  </conditionalFormatting>
  <conditionalFormatting sqref="P211:P213">
    <cfRule type="expression" dxfId="1162" priority="10312">
      <formula>$H211="SUBETAPA"</formula>
    </cfRule>
  </conditionalFormatting>
  <conditionalFormatting sqref="P212 G210:K213">
    <cfRule type="expression" dxfId="1161" priority="10305">
      <formula>$H210="CÉLULA CONSTRUTIVA"</formula>
    </cfRule>
  </conditionalFormatting>
  <conditionalFormatting sqref="P212">
    <cfRule type="containsText" dxfId="1160" priority="10307" operator="containsText" text="Lançado">
      <formula>NOT(ISERROR(SEARCH("Lançado",P212)))</formula>
    </cfRule>
    <cfRule type="expression" dxfId="1159" priority="10306">
      <formula>$H212="ETAPA"</formula>
    </cfRule>
    <cfRule type="containsText" dxfId="1158" priority="10300" operator="containsText" text="Pendente">
      <formula>NOT(ISERROR(SEARCH("Pendente",P212)))</formula>
    </cfRule>
    <cfRule type="expression" dxfId="1157" priority="10304">
      <formula>$H212="ETAPA"</formula>
    </cfRule>
    <cfRule type="expression" dxfId="1156" priority="10303">
      <formula>$H212="CÉLULA CONSTRUTIVA"</formula>
    </cfRule>
    <cfRule type="containsText" dxfId="1155" priority="10302" operator="containsText" text="em andamento">
      <formula>NOT(ISERROR(SEARCH("em andamento",P212)))</formula>
    </cfRule>
    <cfRule type="containsText" dxfId="1154" priority="10301" operator="containsText" text="Finalizado">
      <formula>NOT(ISERROR(SEARCH("Finalizado",P212)))</formula>
    </cfRule>
    <cfRule type="containsText" dxfId="1153" priority="10299" operator="containsText" text="N/A">
      <formula>NOT(ISERROR(SEARCH("N/A",P212)))</formula>
    </cfRule>
    <cfRule type="containsText" dxfId="1152" priority="10298" operator="containsText" text="Lançado">
      <formula>NOT(ISERROR(SEARCH("Lançado",P212)))</formula>
    </cfRule>
    <cfRule type="expression" dxfId="1151" priority="10297">
      <formula>$H212="ETAPA"</formula>
    </cfRule>
    <cfRule type="expression" dxfId="1150" priority="10296">
      <formula>$H212="CÉLULA CONSTRUTIVA"</formula>
    </cfRule>
    <cfRule type="expression" dxfId="1149" priority="10295">
      <formula>$H212="ETAPA"</formula>
    </cfRule>
    <cfRule type="expression" dxfId="1148" priority="10294">
      <formula>$H212="CÉLULA CONSTRUTIVA"</formula>
    </cfRule>
    <cfRule type="expression" dxfId="1147" priority="10293">
      <formula>$H212="SUBETAPA"</formula>
    </cfRule>
    <cfRule type="containsText" dxfId="1146" priority="10311" operator="containsText" text="em andamento">
      <formula>NOT(ISERROR(SEARCH("em andamento",P212)))</formula>
    </cfRule>
    <cfRule type="containsText" dxfId="1145" priority="10310" operator="containsText" text="Finalizado">
      <formula>NOT(ISERROR(SEARCH("Finalizado",P212)))</formula>
    </cfRule>
    <cfRule type="containsText" dxfId="1144" priority="10309" operator="containsText" text="Pendente">
      <formula>NOT(ISERROR(SEARCH("Pendente",P212)))</formula>
    </cfRule>
    <cfRule type="containsText" dxfId="1143" priority="10308" operator="containsText" text="N/A">
      <formula>NOT(ISERROR(SEARCH("N/A",P212)))</formula>
    </cfRule>
  </conditionalFormatting>
  <conditionalFormatting sqref="P212:P213">
    <cfRule type="containsText" dxfId="1142" priority="10315" operator="containsText" text="Lançado">
      <formula>NOT(ISERROR(SEARCH("Lançado",P212)))</formula>
    </cfRule>
    <cfRule type="containsText" dxfId="1141" priority="10316" operator="containsText" text="N/A">
      <formula>NOT(ISERROR(SEARCH("N/A",P212)))</formula>
    </cfRule>
    <cfRule type="containsText" dxfId="1140" priority="10319" operator="containsText" text="em andamento">
      <formula>NOT(ISERROR(SEARCH("em andamento",P212)))</formula>
    </cfRule>
    <cfRule type="containsText" dxfId="1139" priority="10318" operator="containsText" text="Finalizado">
      <formula>NOT(ISERROR(SEARCH("Finalizado",P212)))</formula>
    </cfRule>
    <cfRule type="containsText" dxfId="1138" priority="10317" operator="containsText" text="Pendente">
      <formula>NOT(ISERROR(SEARCH("Pendente",P212)))</formula>
    </cfRule>
  </conditionalFormatting>
  <conditionalFormatting sqref="P214">
    <cfRule type="containsText" dxfId="1137" priority="10089" operator="containsText" text="Lançado">
      <formula>NOT(ISERROR(SEARCH("Lançado",P214)))</formula>
    </cfRule>
    <cfRule type="containsText" dxfId="1136" priority="10090" operator="containsText" text="N/A">
      <formula>NOT(ISERROR(SEARCH("N/A",P214)))</formula>
    </cfRule>
    <cfRule type="containsText" dxfId="1135" priority="10091" operator="containsText" text="Pendente">
      <formula>NOT(ISERROR(SEARCH("Pendente",P214)))</formula>
    </cfRule>
    <cfRule type="containsText" dxfId="1134" priority="10092" operator="containsText" text="Finalizado">
      <formula>NOT(ISERROR(SEARCH("Finalizado",P214)))</formula>
    </cfRule>
    <cfRule type="containsText" dxfId="1133" priority="10093" operator="containsText" text="em andamento">
      <formula>NOT(ISERROR(SEARCH("em andamento",P214)))</formula>
    </cfRule>
  </conditionalFormatting>
  <conditionalFormatting sqref="P215 P217 P219 P221">
    <cfRule type="containsText" dxfId="1132" priority="10110" operator="containsText" text="Lançado">
      <formula>NOT(ISERROR(SEARCH("Lançado",P215)))</formula>
    </cfRule>
    <cfRule type="containsText" dxfId="1131" priority="10111" operator="containsText" text="N/A">
      <formula>NOT(ISERROR(SEARCH("N/A",P215)))</formula>
    </cfRule>
    <cfRule type="containsText" dxfId="1130" priority="10112" operator="containsText" text="Pendente">
      <formula>NOT(ISERROR(SEARCH("Pendente",P215)))</formula>
    </cfRule>
    <cfRule type="containsText" dxfId="1129" priority="10113" operator="containsText" text="Finalizado">
      <formula>NOT(ISERROR(SEARCH("Finalizado",P215)))</formula>
    </cfRule>
    <cfRule type="containsText" dxfId="1128" priority="10114" operator="containsText" text="em andamento">
      <formula>NOT(ISERROR(SEARCH("em andamento",P215)))</formula>
    </cfRule>
    <cfRule type="expression" dxfId="1127" priority="10108">
      <formula>$H215="CÉLULA CONSTRUTIVA"</formula>
    </cfRule>
    <cfRule type="expression" dxfId="1126" priority="10109">
      <formula>$H215="ETAPA"</formula>
    </cfRule>
  </conditionalFormatting>
  <conditionalFormatting sqref="P215">
    <cfRule type="containsText" dxfId="1125" priority="10240" operator="containsText" text="Finalizado">
      <formula>NOT(ISERROR(SEARCH("Finalizado",P215)))</formula>
    </cfRule>
    <cfRule type="containsText" dxfId="1124" priority="10239" operator="containsText" text="Pendente">
      <formula>NOT(ISERROR(SEARCH("Pendente",P215)))</formula>
    </cfRule>
    <cfRule type="containsText" dxfId="1123" priority="10237" operator="containsText" text="Lançado">
      <formula>NOT(ISERROR(SEARCH("Lançado",P215)))</formula>
    </cfRule>
    <cfRule type="containsText" dxfId="1122" priority="10238" operator="containsText" text="N/A">
      <formula>NOT(ISERROR(SEARCH("N/A",P215)))</formula>
    </cfRule>
    <cfRule type="containsText" dxfId="1121" priority="10249" operator="containsText" text="em andamento">
      <formula>NOT(ISERROR(SEARCH("em andamento",P215)))</formula>
    </cfRule>
    <cfRule type="containsText" dxfId="1120" priority="10247" operator="containsText" text="Pendente">
      <formula>NOT(ISERROR(SEARCH("Pendente",P215)))</formula>
    </cfRule>
    <cfRule type="containsText" dxfId="1119" priority="10248" operator="containsText" text="Finalizado">
      <formula>NOT(ISERROR(SEARCH("Finalizado",P215)))</formula>
    </cfRule>
    <cfRule type="containsText" dxfId="1118" priority="10245" operator="containsText" text="Lançado">
      <formula>NOT(ISERROR(SEARCH("Lançado",P215)))</formula>
    </cfRule>
    <cfRule type="containsText" dxfId="1117" priority="10246" operator="containsText" text="N/A">
      <formula>NOT(ISERROR(SEARCH("N/A",P215)))</formula>
    </cfRule>
    <cfRule type="expression" dxfId="1116" priority="10244">
      <formula>$H215="ETAPA"</formula>
    </cfRule>
    <cfRule type="expression" dxfId="1115" priority="10243">
      <formula>$H215="CÉLULA CONSTRUTIVA"</formula>
    </cfRule>
    <cfRule type="containsText" dxfId="1114" priority="10241" operator="containsText" text="em andamento">
      <formula>NOT(ISERROR(SEARCH("em andamento",P215)))</formula>
    </cfRule>
    <cfRule type="expression" dxfId="1113" priority="10242">
      <formula>$H215="SUBETAPA"</formula>
    </cfRule>
  </conditionalFormatting>
  <conditionalFormatting sqref="P216">
    <cfRule type="containsText" dxfId="1112" priority="1280" operator="containsText" text="N/A">
      <formula>NOT(ISERROR(SEARCH("N/A",P216)))</formula>
    </cfRule>
    <cfRule type="containsText" dxfId="1111" priority="1279" operator="containsText" text="Lançado">
      <formula>NOT(ISERROR(SEARCH("Lançado",P216)))</formula>
    </cfRule>
    <cfRule type="containsText" dxfId="1110" priority="1283" operator="containsText" text="em andamento">
      <formula>NOT(ISERROR(SEARCH("em andamento",P216)))</formula>
    </cfRule>
    <cfRule type="containsText" dxfId="1109" priority="1282" operator="containsText" text="Finalizado">
      <formula>NOT(ISERROR(SEARCH("Finalizado",P216)))</formula>
    </cfRule>
    <cfRule type="containsText" dxfId="1108" priority="1281" operator="containsText" text="Pendente">
      <formula>NOT(ISERROR(SEARCH("Pendente",P216)))</formula>
    </cfRule>
  </conditionalFormatting>
  <conditionalFormatting sqref="P217 P219 P221">
    <cfRule type="expression" dxfId="1107" priority="10107">
      <formula>$H217="SUBETAPA"</formula>
    </cfRule>
    <cfRule type="expression" dxfId="1106" priority="10096">
      <formula>$H217="ETAPA"</formula>
    </cfRule>
    <cfRule type="containsText" dxfId="1105" priority="10097" operator="containsText" text="Lançado">
      <formula>NOT(ISERROR(SEARCH("Lançado",P217)))</formula>
    </cfRule>
    <cfRule type="containsText" dxfId="1104" priority="10098" operator="containsText" text="N/A">
      <formula>NOT(ISERROR(SEARCH("N/A",P217)))</formula>
    </cfRule>
    <cfRule type="containsText" dxfId="1103" priority="10099" operator="containsText" text="Pendente">
      <formula>NOT(ISERROR(SEARCH("Pendente",P217)))</formula>
    </cfRule>
    <cfRule type="containsText" dxfId="1102" priority="10106" operator="containsText" text="em andamento">
      <formula>NOT(ISERROR(SEARCH("em andamento",P217)))</formula>
    </cfRule>
    <cfRule type="containsText" dxfId="1101" priority="10105" operator="containsText" text="Finalizado">
      <formula>NOT(ISERROR(SEARCH("Finalizado",P217)))</formula>
    </cfRule>
    <cfRule type="expression" dxfId="1100" priority="10095">
      <formula>$H217="CÉLULA CONSTRUTIVA"</formula>
    </cfRule>
    <cfRule type="containsText" dxfId="1099" priority="10101" operator="containsText" text="em andamento">
      <formula>NOT(ISERROR(SEARCH("em andamento",P217)))</formula>
    </cfRule>
    <cfRule type="containsText" dxfId="1098" priority="10104" operator="containsText" text="Pendente">
      <formula>NOT(ISERROR(SEARCH("Pendente",P217)))</formula>
    </cfRule>
    <cfRule type="containsText" dxfId="1097" priority="10103" operator="containsText" text="N/A">
      <formula>NOT(ISERROR(SEARCH("N/A",P217)))</formula>
    </cfRule>
    <cfRule type="containsText" dxfId="1096" priority="10100" operator="containsText" text="Finalizado">
      <formula>NOT(ISERROR(SEARCH("Finalizado",P217)))</formula>
    </cfRule>
    <cfRule type="containsText" dxfId="1095" priority="10102" operator="containsText" text="Lançado">
      <formula>NOT(ISERROR(SEARCH("Lançado",P217)))</formula>
    </cfRule>
  </conditionalFormatting>
  <conditionalFormatting sqref="P218">
    <cfRule type="containsText" dxfId="1094" priority="1269" operator="containsText" text="Lançado">
      <formula>NOT(ISERROR(SEARCH("Lançado",P218)))</formula>
    </cfRule>
    <cfRule type="containsText" dxfId="1093" priority="1271" operator="containsText" text="Pendente">
      <formula>NOT(ISERROR(SEARCH("Pendente",P218)))</formula>
    </cfRule>
    <cfRule type="containsText" dxfId="1092" priority="1273" operator="containsText" text="em andamento">
      <formula>NOT(ISERROR(SEARCH("em andamento",P218)))</formula>
    </cfRule>
    <cfRule type="containsText" dxfId="1091" priority="1272" operator="containsText" text="Finalizado">
      <formula>NOT(ISERROR(SEARCH("Finalizado",P218)))</formula>
    </cfRule>
    <cfRule type="containsText" dxfId="1090" priority="1270" operator="containsText" text="N/A">
      <formula>NOT(ISERROR(SEARCH("N/A",P218)))</formula>
    </cfRule>
  </conditionalFormatting>
  <conditionalFormatting sqref="P220">
    <cfRule type="containsText" dxfId="1089" priority="1262" operator="containsText" text="Finalizado">
      <formula>NOT(ISERROR(SEARCH("Finalizado",P220)))</formula>
    </cfRule>
    <cfRule type="containsText" dxfId="1088" priority="1263" operator="containsText" text="em andamento">
      <formula>NOT(ISERROR(SEARCH("em andamento",P220)))</formula>
    </cfRule>
    <cfRule type="containsText" dxfId="1087" priority="1261" operator="containsText" text="Pendente">
      <formula>NOT(ISERROR(SEARCH("Pendente",P220)))</formula>
    </cfRule>
    <cfRule type="containsText" dxfId="1086" priority="1260" operator="containsText" text="N/A">
      <formula>NOT(ISERROR(SEARCH("N/A",P220)))</formula>
    </cfRule>
    <cfRule type="containsText" dxfId="1085" priority="1259" operator="containsText" text="Lançado">
      <formula>NOT(ISERROR(SEARCH("Lançado",P220)))</formula>
    </cfRule>
  </conditionalFormatting>
  <conditionalFormatting sqref="P222">
    <cfRule type="containsText" dxfId="1084" priority="10288" operator="containsText" text="em andamento">
      <formula>NOT(ISERROR(SEARCH("em andamento",P222)))</formula>
    </cfRule>
    <cfRule type="containsText" dxfId="1083" priority="10287" operator="containsText" text="Finalizado">
      <formula>NOT(ISERROR(SEARCH("Finalizado",P222)))</formula>
    </cfRule>
    <cfRule type="containsText" dxfId="1082" priority="10285" operator="containsText" text="N/A">
      <formula>NOT(ISERROR(SEARCH("N/A",P222)))</formula>
    </cfRule>
    <cfRule type="containsText" dxfId="1081" priority="10284" operator="containsText" text="Lançado">
      <formula>NOT(ISERROR(SEARCH("Lançado",P222)))</formula>
    </cfRule>
  </conditionalFormatting>
  <conditionalFormatting sqref="P223:P225">
    <cfRule type="expression" dxfId="1080" priority="13974">
      <formula>$H223="SUBETAPA"</formula>
    </cfRule>
    <cfRule type="expression" dxfId="1079" priority="13975">
      <formula>$H223="CÉLULA CONSTRUTIVA"</formula>
    </cfRule>
  </conditionalFormatting>
  <conditionalFormatting sqref="P224:P225">
    <cfRule type="expression" dxfId="1078" priority="13976">
      <formula>$H224="ETAPA"</formula>
    </cfRule>
    <cfRule type="containsText" dxfId="1077" priority="13980" operator="containsText" text="Lançado">
      <formula>NOT(ISERROR(SEARCH("Lançado",P224)))</formula>
    </cfRule>
    <cfRule type="containsText" dxfId="1076" priority="13981" operator="containsText" text="N/A">
      <formula>NOT(ISERROR(SEARCH("N/A",P224)))</formula>
    </cfRule>
    <cfRule type="containsText" dxfId="1075" priority="13983" operator="containsText" text="Finalizado">
      <formula>NOT(ISERROR(SEARCH("Finalizado",P224)))</formula>
    </cfRule>
    <cfRule type="containsText" dxfId="1074" priority="13984" operator="containsText" text="em andamento">
      <formula>NOT(ISERROR(SEARCH("em andamento",P224)))</formula>
    </cfRule>
    <cfRule type="containsText" dxfId="1073" priority="13982" operator="containsText" text="Pendente">
      <formula>NOT(ISERROR(SEARCH("Pendente",P224)))</formula>
    </cfRule>
  </conditionalFormatting>
  <conditionalFormatting sqref="P226">
    <cfRule type="containsText" dxfId="1072" priority="1141" operator="containsText" text="Finalizado">
      <formula>NOT(ISERROR(SEARCH("Finalizado",P226)))</formula>
    </cfRule>
    <cfRule type="containsText" dxfId="1071" priority="1142" operator="containsText" text="em andamento">
      <formula>NOT(ISERROR(SEARCH("em andamento",P226)))</formula>
    </cfRule>
  </conditionalFormatting>
  <conditionalFormatting sqref="P226:P227">
    <cfRule type="containsText" dxfId="1070" priority="1130" operator="containsText" text="Lançado">
      <formula>NOT(ISERROR(SEARCH("Lançado",P226)))</formula>
    </cfRule>
    <cfRule type="containsText" dxfId="1069" priority="1131" operator="containsText" text="N/A">
      <formula>NOT(ISERROR(SEARCH("N/A",P226)))</formula>
    </cfRule>
    <cfRule type="containsText" dxfId="1068" priority="1132" operator="containsText" text="Pendente">
      <formula>NOT(ISERROR(SEARCH("Pendente",P226)))</formula>
    </cfRule>
  </conditionalFormatting>
  <conditionalFormatting sqref="P227">
    <cfRule type="containsText" dxfId="1067" priority="1120" operator="containsText" text="Finalizado">
      <formula>NOT(ISERROR(SEARCH("Finalizado",P227)))</formula>
    </cfRule>
    <cfRule type="containsText" dxfId="1066" priority="1117" operator="containsText" text="Lançado">
      <formula>NOT(ISERROR(SEARCH("Lançado",P227)))</formula>
    </cfRule>
    <cfRule type="containsText" dxfId="1065" priority="1122" operator="containsText" text="Lançado">
      <formula>NOT(ISERROR(SEARCH("Lançado",P227)))</formula>
    </cfRule>
    <cfRule type="containsText" dxfId="1064" priority="1121" operator="containsText" text="em andamento">
      <formula>NOT(ISERROR(SEARCH("em andamento",P227)))</formula>
    </cfRule>
    <cfRule type="containsText" dxfId="1063" priority="1123" operator="containsText" text="N/A">
      <formula>NOT(ISERROR(SEARCH("N/A",P227)))</formula>
    </cfRule>
    <cfRule type="containsText" dxfId="1062" priority="1124" operator="containsText" text="Pendente">
      <formula>NOT(ISERROR(SEARCH("Pendente",P227)))</formula>
    </cfRule>
    <cfRule type="containsText" dxfId="1061" priority="1125" operator="containsText" text="Finalizado">
      <formula>NOT(ISERROR(SEARCH("Finalizado",P227)))</formula>
    </cfRule>
    <cfRule type="containsText" dxfId="1060" priority="1126" operator="containsText" text="em andamento">
      <formula>NOT(ISERROR(SEARCH("em andamento",P227)))</formula>
    </cfRule>
    <cfRule type="expression" dxfId="1059" priority="1128">
      <formula>$H227="CÉLULA CONSTRUTIVA"</formula>
    </cfRule>
    <cfRule type="expression" dxfId="1058" priority="1129">
      <formula>$H227="ETAPA"</formula>
    </cfRule>
    <cfRule type="expression" dxfId="1057" priority="1116">
      <formula>$H227="ETAPA"</formula>
    </cfRule>
    <cfRule type="expression" dxfId="1056" priority="1115">
      <formula>$H227="CÉLULA CONSTRUTIVA"</formula>
    </cfRule>
    <cfRule type="containsText" dxfId="1055" priority="1133" operator="containsText" text="Finalizado">
      <formula>NOT(ISERROR(SEARCH("Finalizado",P227)))</formula>
    </cfRule>
    <cfRule type="containsText" dxfId="1054" priority="1119" operator="containsText" text="Pendente">
      <formula>NOT(ISERROR(SEARCH("Pendente",P227)))</formula>
    </cfRule>
    <cfRule type="containsText" dxfId="1053" priority="1118" operator="containsText" text="N/A">
      <formula>NOT(ISERROR(SEARCH("N/A",P227)))</formula>
    </cfRule>
    <cfRule type="containsText" dxfId="1052" priority="1134" operator="containsText" text="em andamento">
      <formula>NOT(ISERROR(SEARCH("em andamento",P227)))</formula>
    </cfRule>
    <cfRule type="expression" dxfId="1051" priority="1114">
      <formula>$H227="SUBETAPA"</formula>
    </cfRule>
  </conditionalFormatting>
  <conditionalFormatting sqref="P228">
    <cfRule type="containsText" dxfId="1050" priority="13931" operator="containsText" text="Pendente">
      <formula>NOT(ISERROR(SEARCH("Pendente",P228)))</formula>
    </cfRule>
    <cfRule type="containsText" dxfId="1049" priority="13933" operator="containsText" text="em andamento">
      <formula>NOT(ISERROR(SEARCH("em andamento",P228)))</formula>
    </cfRule>
    <cfRule type="containsText" dxfId="1048" priority="13932" operator="containsText" text="Finalizado">
      <formula>NOT(ISERROR(SEARCH("Finalizado",P228)))</formula>
    </cfRule>
  </conditionalFormatting>
  <conditionalFormatting sqref="P232">
    <cfRule type="containsText" dxfId="1047" priority="13736" operator="containsText" text="Lançado">
      <formula>NOT(ISERROR(SEARCH("Lançado",P232)))</formula>
    </cfRule>
    <cfRule type="containsText" dxfId="1046" priority="13737" operator="containsText" text="N/A">
      <formula>NOT(ISERROR(SEARCH("N/A",P232)))</formula>
    </cfRule>
    <cfRule type="containsText" dxfId="1045" priority="13738" operator="containsText" text="Pendente">
      <formula>NOT(ISERROR(SEARCH("Pendente",P232)))</formula>
    </cfRule>
    <cfRule type="containsText" dxfId="1044" priority="13739" operator="containsText" text="Finalizado">
      <formula>NOT(ISERROR(SEARCH("Finalizado",P232)))</formula>
    </cfRule>
    <cfRule type="containsText" dxfId="1043" priority="13740" operator="containsText" text="em andamento">
      <formula>NOT(ISERROR(SEARCH("em andamento",P232)))</formula>
    </cfRule>
  </conditionalFormatting>
  <conditionalFormatting sqref="P233:P244 P420:P421 P425:P426">
    <cfRule type="containsText" dxfId="1042" priority="10505" operator="containsText" text="N/A">
      <formula>NOT(ISERROR(SEARCH("N/A",P233)))</formula>
    </cfRule>
    <cfRule type="containsText" dxfId="1041" priority="10500" operator="containsText" text="N/A">
      <formula>NOT(ISERROR(SEARCH("N/A",P233)))</formula>
    </cfRule>
    <cfRule type="containsText" dxfId="1040" priority="10501" operator="containsText" text="Pendente">
      <formula>NOT(ISERROR(SEARCH("Pendente",P233)))</formula>
    </cfRule>
    <cfRule type="containsText" dxfId="1039" priority="10504" operator="containsText" text="Lançado">
      <formula>NOT(ISERROR(SEARCH("Lançado",P233)))</formula>
    </cfRule>
    <cfRule type="containsText" dxfId="1038" priority="10506" operator="containsText" text="Pendente">
      <formula>NOT(ISERROR(SEARCH("Pendente",P233)))</formula>
    </cfRule>
    <cfRule type="containsText" dxfId="1037" priority="10499" operator="containsText" text="Lançado">
      <formula>NOT(ISERROR(SEARCH("Lançado",P233)))</formula>
    </cfRule>
  </conditionalFormatting>
  <conditionalFormatting sqref="P234:P236">
    <cfRule type="containsText" dxfId="1036" priority="13927" operator="containsText" text="Finalizado">
      <formula>NOT(ISERROR(SEARCH("Finalizado",P234)))</formula>
    </cfRule>
    <cfRule type="containsText" dxfId="1035" priority="13928" operator="containsText" text="em andamento">
      <formula>NOT(ISERROR(SEARCH("em andamento",P234)))</formula>
    </cfRule>
  </conditionalFormatting>
  <conditionalFormatting sqref="P234:P238 P242">
    <cfRule type="containsText" dxfId="1034" priority="13926" operator="containsText" text="Pendente">
      <formula>NOT(ISERROR(SEARCH("Pendente",P234)))</formula>
    </cfRule>
  </conditionalFormatting>
  <conditionalFormatting sqref="P239">
    <cfRule type="containsText" dxfId="1033" priority="1285" operator="containsText" text="Pendente">
      <formula>NOT(ISERROR(SEARCH("Pendente",P239)))</formula>
    </cfRule>
    <cfRule type="containsText" dxfId="1032" priority="1286" operator="containsText" text="Finalizado">
      <formula>NOT(ISERROR(SEARCH("Finalizado",P239)))</formula>
    </cfRule>
    <cfRule type="containsText" dxfId="1031" priority="1287" operator="containsText" text="em andamento">
      <formula>NOT(ISERROR(SEARCH("em andamento",P239)))</formula>
    </cfRule>
  </conditionalFormatting>
  <conditionalFormatting sqref="P241">
    <cfRule type="containsText" dxfId="1030" priority="1291" operator="containsText" text="Pendente">
      <formula>NOT(ISERROR(SEARCH("Pendente",P241)))</formula>
    </cfRule>
    <cfRule type="containsText" dxfId="1029" priority="1292" operator="containsText" text="Finalizado">
      <formula>NOT(ISERROR(SEARCH("Finalizado",P241)))</formula>
    </cfRule>
    <cfRule type="containsText" dxfId="1028" priority="1293" operator="containsText" text="em andamento">
      <formula>NOT(ISERROR(SEARCH("em andamento",P241)))</formula>
    </cfRule>
  </conditionalFormatting>
  <conditionalFormatting sqref="P243">
    <cfRule type="containsText" dxfId="1027" priority="1236" operator="containsText" text="em andamento">
      <formula>NOT(ISERROR(SEARCH("em andamento",P243)))</formula>
    </cfRule>
    <cfRule type="containsText" dxfId="1026" priority="1235" operator="containsText" text="Finalizado">
      <formula>NOT(ISERROR(SEARCH("Finalizado",P243)))</formula>
    </cfRule>
    <cfRule type="containsText" dxfId="1025" priority="1234" operator="containsText" text="Pendente">
      <formula>NOT(ISERROR(SEARCH("Pendente",P243)))</formula>
    </cfRule>
  </conditionalFormatting>
  <conditionalFormatting sqref="P247">
    <cfRule type="expression" dxfId="1024" priority="14039">
      <formula>$H247="SUBETAPA"</formula>
    </cfRule>
    <cfRule type="expression" dxfId="1023" priority="14040">
      <formula>$H247="CÉLULA CONSTRUTIVA"</formula>
    </cfRule>
    <cfRule type="expression" dxfId="1022" priority="14041">
      <formula>$H247="ETAPA"</formula>
    </cfRule>
  </conditionalFormatting>
  <conditionalFormatting sqref="P247:P248">
    <cfRule type="expression" dxfId="1021" priority="10784">
      <formula>$H247="CÉLULA CONSTRUTIVA"</formula>
    </cfRule>
    <cfRule type="expression" dxfId="1020" priority="10785">
      <formula>$H247="ETAPA"</formula>
    </cfRule>
    <cfRule type="expression" dxfId="1019" priority="10783">
      <formula>$H247="SUBETAPA"</formula>
    </cfRule>
  </conditionalFormatting>
  <conditionalFormatting sqref="P248">
    <cfRule type="containsText" dxfId="1018" priority="10774" operator="containsText" text="N/A">
      <formula>NOT(ISERROR(SEARCH("N/A",P248)))</formula>
    </cfRule>
    <cfRule type="expression" dxfId="1017" priority="10771">
      <formula>$H248="CÉLULA CONSTRUTIVA"</formula>
    </cfRule>
    <cfRule type="expression" dxfId="1016" priority="10772">
      <formula>$H248="ETAPA"</formula>
    </cfRule>
    <cfRule type="containsText" dxfId="1015" priority="10773" operator="containsText" text="Lançado">
      <formula>NOT(ISERROR(SEARCH("Lançado",P248)))</formula>
    </cfRule>
    <cfRule type="containsText" dxfId="1014" priority="10775" operator="containsText" text="Pendente">
      <formula>NOT(ISERROR(SEARCH("Pendente",P248)))</formula>
    </cfRule>
    <cfRule type="containsText" dxfId="1013" priority="10776" operator="containsText" text="Finalizado">
      <formula>NOT(ISERROR(SEARCH("Finalizado",P248)))</formula>
    </cfRule>
    <cfRule type="containsText" dxfId="1012" priority="10777" operator="containsText" text="em andamento">
      <formula>NOT(ISERROR(SEARCH("em andamento",P248)))</formula>
    </cfRule>
    <cfRule type="containsText" dxfId="1011" priority="10778" operator="containsText" text="Lançado">
      <formula>NOT(ISERROR(SEARCH("Lançado",P248)))</formula>
    </cfRule>
    <cfRule type="containsText" dxfId="1010" priority="10779" operator="containsText" text="N/A">
      <formula>NOT(ISERROR(SEARCH("N/A",P248)))</formula>
    </cfRule>
    <cfRule type="containsText" dxfId="1009" priority="10780" operator="containsText" text="Pendente">
      <formula>NOT(ISERROR(SEARCH("Pendente",P248)))</formula>
    </cfRule>
    <cfRule type="containsText" dxfId="1008" priority="10781" operator="containsText" text="Finalizado">
      <formula>NOT(ISERROR(SEARCH("Finalizado",P248)))</formula>
    </cfRule>
    <cfRule type="containsText" dxfId="1007" priority="10782" operator="containsText" text="em andamento">
      <formula>NOT(ISERROR(SEARCH("em andamento",P248)))</formula>
    </cfRule>
    <cfRule type="containsText" dxfId="1006" priority="10786" operator="containsText" text="Lançado">
      <formula>NOT(ISERROR(SEARCH("Lançado",P248)))</formula>
    </cfRule>
    <cfRule type="containsText" dxfId="1005" priority="10787" operator="containsText" text="N/A">
      <formula>NOT(ISERROR(SEARCH("N/A",P248)))</formula>
    </cfRule>
    <cfRule type="containsText" dxfId="1004" priority="10788" operator="containsText" text="Pendente">
      <formula>NOT(ISERROR(SEARCH("Pendente",P248)))</formula>
    </cfRule>
    <cfRule type="containsText" dxfId="1003" priority="10789" operator="containsText" text="Finalizado">
      <formula>NOT(ISERROR(SEARCH("Finalizado",P248)))</formula>
    </cfRule>
    <cfRule type="containsText" dxfId="1002" priority="10790" operator="containsText" text="em andamento">
      <formula>NOT(ISERROR(SEARCH("em andamento",P248)))</formula>
    </cfRule>
  </conditionalFormatting>
  <conditionalFormatting sqref="P248:P250">
    <cfRule type="expression" dxfId="1001" priority="4566">
      <formula>$H248="SUBETAPA"</formula>
    </cfRule>
  </conditionalFormatting>
  <conditionalFormatting sqref="P249">
    <cfRule type="expression" dxfId="1000" priority="4562">
      <formula>$H249="SUBETAPA"</formula>
    </cfRule>
    <cfRule type="expression" dxfId="999" priority="4563">
      <formula>$H249="CÉLULA CONSTRUTIVA"</formula>
    </cfRule>
    <cfRule type="expression" dxfId="998" priority="4564">
      <formula>$H249="ETAPA"</formula>
    </cfRule>
  </conditionalFormatting>
  <conditionalFormatting sqref="P249:P250">
    <cfRule type="expression" dxfId="997" priority="4568">
      <formula>$H249="ETAPA"</formula>
    </cfRule>
    <cfRule type="containsText" dxfId="996" priority="4576" operator="containsText" text="em andamento">
      <formula>NOT(ISERROR(SEARCH("em andamento",P249)))</formula>
    </cfRule>
    <cfRule type="containsText" dxfId="995" priority="4575" operator="containsText" text="Finalizado">
      <formula>NOT(ISERROR(SEARCH("Finalizado",P249)))</formula>
    </cfRule>
    <cfRule type="containsText" dxfId="994" priority="4572" operator="containsText" text="Lançado">
      <formula>NOT(ISERROR(SEARCH("Lançado",P249)))</formula>
    </cfRule>
    <cfRule type="containsText" dxfId="993" priority="4574" operator="containsText" text="Pendente">
      <formula>NOT(ISERROR(SEARCH("Pendente",P249)))</formula>
    </cfRule>
    <cfRule type="containsText" dxfId="992" priority="4573" operator="containsText" text="N/A">
      <formula>NOT(ISERROR(SEARCH("N/A",P249)))</formula>
    </cfRule>
    <cfRule type="expression" dxfId="991" priority="4567">
      <formula>$H249="CÉLULA CONSTRUTIVA"</formula>
    </cfRule>
  </conditionalFormatting>
  <conditionalFormatting sqref="P250 G250:L250 N250">
    <cfRule type="expression" dxfId="990" priority="10804">
      <formula>$H250="SUBETAPA"</formula>
    </cfRule>
  </conditionalFormatting>
  <conditionalFormatting sqref="P250">
    <cfRule type="containsText" dxfId="989" priority="10811" operator="containsText" text="em andamento">
      <formula>NOT(ISERROR(SEARCH("em andamento",P250)))</formula>
    </cfRule>
    <cfRule type="containsText" dxfId="988" priority="10807" operator="containsText" text="Lançado">
      <formula>NOT(ISERROR(SEARCH("Lançado",P250)))</formula>
    </cfRule>
    <cfRule type="containsText" dxfId="987" priority="10803" operator="containsText" text="em andamento">
      <formula>NOT(ISERROR(SEARCH("em andamento",P250)))</formula>
    </cfRule>
    <cfRule type="containsText" dxfId="986" priority="10800" operator="containsText" text="N/A">
      <formula>NOT(ISERROR(SEARCH("N/A",P250)))</formula>
    </cfRule>
    <cfRule type="containsText" dxfId="985" priority="10801" operator="containsText" text="Pendente">
      <formula>NOT(ISERROR(SEARCH("Pendente",P250)))</formula>
    </cfRule>
    <cfRule type="containsText" dxfId="984" priority="10810" operator="containsText" text="Finalizado">
      <formula>NOT(ISERROR(SEARCH("Finalizado",P250)))</formula>
    </cfRule>
    <cfRule type="containsText" dxfId="983" priority="10809" operator="containsText" text="Pendente">
      <formula>NOT(ISERROR(SEARCH("Pendente",P250)))</formula>
    </cfRule>
    <cfRule type="containsText" dxfId="982" priority="10802" operator="containsText" text="Finalizado">
      <formula>NOT(ISERROR(SEARCH("Finalizado",P250)))</formula>
    </cfRule>
    <cfRule type="containsText" dxfId="981" priority="10808" operator="containsText" text="N/A">
      <formula>NOT(ISERROR(SEARCH("N/A",P250)))</formula>
    </cfRule>
    <cfRule type="containsText" dxfId="980" priority="10799" operator="containsText" text="Lançado">
      <formula>NOT(ISERROR(SEARCH("Lançado",P250)))</formula>
    </cfRule>
  </conditionalFormatting>
  <conditionalFormatting sqref="P251">
    <cfRule type="expression" dxfId="979" priority="4541">
      <formula>$H251="CÉLULA CONSTRUTIVA"</formula>
    </cfRule>
    <cfRule type="expression" dxfId="978" priority="4540">
      <formula>$H251="SUBETAPA"</formula>
    </cfRule>
    <cfRule type="expression" dxfId="977" priority="4542">
      <formula>$H251="ETAPA"</formula>
    </cfRule>
  </conditionalFormatting>
  <conditionalFormatting sqref="P251:P252">
    <cfRule type="containsText" dxfId="976" priority="4554" operator="containsText" text="em andamento">
      <formula>NOT(ISERROR(SEARCH("em andamento",P251)))</formula>
    </cfRule>
    <cfRule type="containsText" dxfId="975" priority="4553" operator="containsText" text="Finalizado">
      <formula>NOT(ISERROR(SEARCH("Finalizado",P251)))</formula>
    </cfRule>
    <cfRule type="containsText" dxfId="974" priority="4552" operator="containsText" text="Pendente">
      <formula>NOT(ISERROR(SEARCH("Pendente",P251)))</formula>
    </cfRule>
    <cfRule type="containsText" dxfId="973" priority="4551" operator="containsText" text="N/A">
      <formula>NOT(ISERROR(SEARCH("N/A",P251)))</formula>
    </cfRule>
    <cfRule type="containsText" dxfId="972" priority="4550" operator="containsText" text="Lançado">
      <formula>NOT(ISERROR(SEARCH("Lançado",P251)))</formula>
    </cfRule>
    <cfRule type="expression" dxfId="971" priority="4546">
      <formula>$H251="ETAPA"</formula>
    </cfRule>
    <cfRule type="expression" dxfId="970" priority="4545">
      <formula>$H251="CÉLULA CONSTRUTIVA"</formula>
    </cfRule>
    <cfRule type="expression" dxfId="969" priority="4544">
      <formula>$H251="SUBETAPA"</formula>
    </cfRule>
  </conditionalFormatting>
  <conditionalFormatting sqref="P252 N252">
    <cfRule type="expression" dxfId="968" priority="10825">
      <formula>$H252="SUBETAPA"</formula>
    </cfRule>
  </conditionalFormatting>
  <conditionalFormatting sqref="P252">
    <cfRule type="containsText" dxfId="967" priority="10824" operator="containsText" text="em andamento">
      <formula>NOT(ISERROR(SEARCH("em andamento",P252)))</formula>
    </cfRule>
    <cfRule type="containsText" dxfId="966" priority="10822" operator="containsText" text="Pendente">
      <formula>NOT(ISERROR(SEARCH("Pendente",P252)))</formula>
    </cfRule>
    <cfRule type="containsText" dxfId="965" priority="10821" operator="containsText" text="N/A">
      <formula>NOT(ISERROR(SEARCH("N/A",P252)))</formula>
    </cfRule>
    <cfRule type="containsText" dxfId="964" priority="10831" operator="containsText" text="Finalizado">
      <formula>NOT(ISERROR(SEARCH("Finalizado",P252)))</formula>
    </cfRule>
    <cfRule type="containsText" dxfId="963" priority="10832" operator="containsText" text="em andamento">
      <formula>NOT(ISERROR(SEARCH("em andamento",P252)))</formula>
    </cfRule>
    <cfRule type="containsText" dxfId="962" priority="10823" operator="containsText" text="Finalizado">
      <formula>NOT(ISERROR(SEARCH("Finalizado",P252)))</formula>
    </cfRule>
    <cfRule type="containsText" dxfId="961" priority="10820" operator="containsText" text="Lançado">
      <formula>NOT(ISERROR(SEARCH("Lançado",P252)))</formula>
    </cfRule>
    <cfRule type="containsText" dxfId="960" priority="10828" operator="containsText" text="Lançado">
      <formula>NOT(ISERROR(SEARCH("Lançado",P252)))</formula>
    </cfRule>
    <cfRule type="containsText" dxfId="959" priority="10830" operator="containsText" text="Pendente">
      <formula>NOT(ISERROR(SEARCH("Pendente",P252)))</formula>
    </cfRule>
    <cfRule type="containsText" dxfId="958" priority="10829" operator="containsText" text="N/A">
      <formula>NOT(ISERROR(SEARCH("N/A",P252)))</formula>
    </cfRule>
  </conditionalFormatting>
  <conditionalFormatting sqref="P253 P331">
    <cfRule type="expression" dxfId="957" priority="13989">
      <formula>$H253="CÉLULA CONSTRUTIVA"</formula>
    </cfRule>
    <cfRule type="containsText" dxfId="956" priority="13998" operator="containsText" text="em andamento">
      <formula>NOT(ISERROR(SEARCH("em andamento",P253)))</formula>
    </cfRule>
    <cfRule type="containsText" dxfId="955" priority="13997" operator="containsText" text="Finalizado">
      <formula>NOT(ISERROR(SEARCH("Finalizado",P253)))</formula>
    </cfRule>
    <cfRule type="containsText" dxfId="954" priority="13996" operator="containsText" text="Pendente">
      <formula>NOT(ISERROR(SEARCH("Pendente",P253)))</formula>
    </cfRule>
    <cfRule type="containsText" dxfId="953" priority="13995" operator="containsText" text="N/A">
      <formula>NOT(ISERROR(SEARCH("N/A",P253)))</formula>
    </cfRule>
    <cfRule type="containsText" dxfId="952" priority="13994" operator="containsText" text="Lançado">
      <formula>NOT(ISERROR(SEARCH("Lançado",P253)))</formula>
    </cfRule>
    <cfRule type="expression" dxfId="951" priority="13990">
      <formula>$H253="ETAPA"</formula>
    </cfRule>
  </conditionalFormatting>
  <conditionalFormatting sqref="P253:P256">
    <cfRule type="expression" dxfId="950" priority="10848">
      <formula>$H253="ETAPA"</formula>
    </cfRule>
    <cfRule type="expression" dxfId="949" priority="10846">
      <formula>$H253="SUBETAPA"</formula>
    </cfRule>
    <cfRule type="expression" dxfId="948" priority="10847">
      <formula>$H253="CÉLULA CONSTRUTIVA"</formula>
    </cfRule>
  </conditionalFormatting>
  <conditionalFormatting sqref="P254 P256">
    <cfRule type="containsText" dxfId="947" priority="10843" operator="containsText" text="Pendente">
      <formula>NOT(ISERROR(SEARCH("Pendente",P254)))</formula>
    </cfRule>
    <cfRule type="containsText" dxfId="946" priority="10844" operator="containsText" text="Finalizado">
      <formula>NOT(ISERROR(SEARCH("Finalizado",P254)))</formula>
    </cfRule>
    <cfRule type="containsText" dxfId="945" priority="10845" operator="containsText" text="em andamento">
      <formula>NOT(ISERROR(SEARCH("em andamento",P254)))</formula>
    </cfRule>
    <cfRule type="containsText" dxfId="944" priority="10841" operator="containsText" text="Lançado">
      <formula>NOT(ISERROR(SEARCH("Lançado",P254)))</formula>
    </cfRule>
    <cfRule type="containsText" dxfId="943" priority="10849" operator="containsText" text="Lançado">
      <formula>NOT(ISERROR(SEARCH("Lançado",P254)))</formula>
    </cfRule>
    <cfRule type="containsText" dxfId="942" priority="10850" operator="containsText" text="N/A">
      <formula>NOT(ISERROR(SEARCH("N/A",P254)))</formula>
    </cfRule>
    <cfRule type="containsText" dxfId="941" priority="10851" operator="containsText" text="Pendente">
      <formula>NOT(ISERROR(SEARCH("Pendente",P254)))</formula>
    </cfRule>
    <cfRule type="containsText" dxfId="940" priority="10852" operator="containsText" text="Finalizado">
      <formula>NOT(ISERROR(SEARCH("Finalizado",P254)))</formula>
    </cfRule>
    <cfRule type="containsText" dxfId="939" priority="10853" operator="containsText" text="em andamento">
      <formula>NOT(ISERROR(SEARCH("em andamento",P254)))</formula>
    </cfRule>
    <cfRule type="containsText" dxfId="938" priority="10842" operator="containsText" text="N/A">
      <formula>NOT(ISERROR(SEARCH("N/A",P254)))</formula>
    </cfRule>
    <cfRule type="containsText" dxfId="937" priority="10836" operator="containsText" text="Lançado">
      <formula>NOT(ISERROR(SEARCH("Lançado",P254)))</formula>
    </cfRule>
    <cfRule type="containsText" dxfId="936" priority="10837" operator="containsText" text="N/A">
      <formula>NOT(ISERROR(SEARCH("N/A",P254)))</formula>
    </cfRule>
    <cfRule type="containsText" dxfId="935" priority="10838" operator="containsText" text="Pendente">
      <formula>NOT(ISERROR(SEARCH("Pendente",P254)))</formula>
    </cfRule>
    <cfRule type="containsText" dxfId="934" priority="10839" operator="containsText" text="Finalizado">
      <formula>NOT(ISERROR(SEARCH("Finalizado",P254)))</formula>
    </cfRule>
    <cfRule type="containsText" dxfId="933" priority="10840" operator="containsText" text="em andamento">
      <formula>NOT(ISERROR(SEARCH("em andamento",P254)))</formula>
    </cfRule>
  </conditionalFormatting>
  <conditionalFormatting sqref="P255">
    <cfRule type="expression" dxfId="932" priority="372">
      <formula>$H255="ETAPA"</formula>
    </cfRule>
    <cfRule type="containsText" dxfId="931" priority="376" operator="containsText" text="Lançado">
      <formula>NOT(ISERROR(SEARCH("Lançado",P255)))</formula>
    </cfRule>
    <cfRule type="expression" dxfId="930" priority="370">
      <formula>$H255="SUBETAPA"</formula>
    </cfRule>
    <cfRule type="expression" dxfId="929" priority="371">
      <formula>$H255="CÉLULA CONSTRUTIVA"</formula>
    </cfRule>
    <cfRule type="containsText" dxfId="928" priority="379" operator="containsText" text="Finalizado">
      <formula>NOT(ISERROR(SEARCH("Finalizado",P255)))</formula>
    </cfRule>
    <cfRule type="containsText" dxfId="927" priority="380" operator="containsText" text="em andamento">
      <formula>NOT(ISERROR(SEARCH("em andamento",P255)))</formula>
    </cfRule>
    <cfRule type="containsText" dxfId="926" priority="378" operator="containsText" text="Pendente">
      <formula>NOT(ISERROR(SEARCH("Pendente",P255)))</formula>
    </cfRule>
    <cfRule type="containsText" dxfId="925" priority="377" operator="containsText" text="N/A">
      <formula>NOT(ISERROR(SEARCH("N/A",P255)))</formula>
    </cfRule>
  </conditionalFormatting>
  <conditionalFormatting sqref="P257:P258">
    <cfRule type="containsText" dxfId="924" priority="4529" operator="containsText" text="N/A">
      <formula>NOT(ISERROR(SEARCH("N/A",P257)))</formula>
    </cfRule>
    <cfRule type="containsText" dxfId="923" priority="4530" operator="containsText" text="Pendente">
      <formula>NOT(ISERROR(SEARCH("Pendente",P257)))</formula>
    </cfRule>
    <cfRule type="containsText" dxfId="922" priority="4531" operator="containsText" text="Finalizado">
      <formula>NOT(ISERROR(SEARCH("Finalizado",P257)))</formula>
    </cfRule>
    <cfRule type="containsText" dxfId="921" priority="4528" operator="containsText" text="Lançado">
      <formula>NOT(ISERROR(SEARCH("Lançado",P257)))</formula>
    </cfRule>
    <cfRule type="containsText" dxfId="920" priority="4532" operator="containsText" text="em andamento">
      <formula>NOT(ISERROR(SEARCH("em andamento",P257)))</formula>
    </cfRule>
  </conditionalFormatting>
  <conditionalFormatting sqref="P258">
    <cfRule type="expression" dxfId="919" priority="4522">
      <formula>$H258="SUBETAPA"</formula>
    </cfRule>
    <cfRule type="expression" dxfId="918" priority="4523">
      <formula>$H258="CÉLULA CONSTRUTIVA"</formula>
    </cfRule>
    <cfRule type="expression" dxfId="917" priority="4524">
      <formula>$H258="ETAPA"</formula>
    </cfRule>
  </conditionalFormatting>
  <conditionalFormatting sqref="P258:P259">
    <cfRule type="expression" dxfId="916" priority="4509">
      <formula>$H258="ETAPA"</formula>
    </cfRule>
    <cfRule type="expression" dxfId="915" priority="4508">
      <formula>$H258="CÉLULA CONSTRUTIVA"</formula>
    </cfRule>
  </conditionalFormatting>
  <conditionalFormatting sqref="P258:P260">
    <cfRule type="expression" dxfId="914" priority="4507">
      <formula>$H258="SUBETAPA"</formula>
    </cfRule>
  </conditionalFormatting>
  <conditionalFormatting sqref="P259">
    <cfRule type="containsText" dxfId="913" priority="4504" operator="containsText" text="Pendente">
      <formula>NOT(ISERROR(SEARCH("Pendente",P259)))</formula>
    </cfRule>
    <cfRule type="containsText" dxfId="912" priority="4505" operator="containsText" text="Finalizado">
      <formula>NOT(ISERROR(SEARCH("Finalizado",P259)))</formula>
    </cfRule>
    <cfRule type="containsText" dxfId="911" priority="4506" operator="containsText" text="em andamento">
      <formula>NOT(ISERROR(SEARCH("em andamento",P259)))</formula>
    </cfRule>
    <cfRule type="containsText" dxfId="910" priority="4510" operator="containsText" text="Lançado">
      <formula>NOT(ISERROR(SEARCH("Lançado",P259)))</formula>
    </cfRule>
    <cfRule type="containsText" dxfId="909" priority="4514" operator="containsText" text="em andamento">
      <formula>NOT(ISERROR(SEARCH("em andamento",P259)))</formula>
    </cfRule>
    <cfRule type="containsText" dxfId="908" priority="4503" operator="containsText" text="N/A">
      <formula>NOT(ISERROR(SEARCH("N/A",P259)))</formula>
    </cfRule>
    <cfRule type="containsText" dxfId="907" priority="4512" operator="containsText" text="Pendente">
      <formula>NOT(ISERROR(SEARCH("Pendente",P259)))</formula>
    </cfRule>
    <cfRule type="containsText" dxfId="906" priority="4497" operator="containsText" text="Lançado">
      <formula>NOT(ISERROR(SEARCH("Lançado",P259)))</formula>
    </cfRule>
    <cfRule type="containsText" dxfId="905" priority="4498" operator="containsText" text="N/A">
      <formula>NOT(ISERROR(SEARCH("N/A",P259)))</formula>
    </cfRule>
    <cfRule type="containsText" dxfId="904" priority="4513" operator="containsText" text="Finalizado">
      <formula>NOT(ISERROR(SEARCH("Finalizado",P259)))</formula>
    </cfRule>
    <cfRule type="containsText" dxfId="903" priority="4511" operator="containsText" text="N/A">
      <formula>NOT(ISERROR(SEARCH("N/A",P259)))</formula>
    </cfRule>
    <cfRule type="containsText" dxfId="902" priority="4499" operator="containsText" text="Pendente">
      <formula>NOT(ISERROR(SEARCH("Pendente",P259)))</formula>
    </cfRule>
    <cfRule type="containsText" dxfId="901" priority="4500" operator="containsText" text="Finalizado">
      <formula>NOT(ISERROR(SEARCH("Finalizado",P259)))</formula>
    </cfRule>
    <cfRule type="containsText" dxfId="900" priority="4501" operator="containsText" text="em andamento">
      <formula>NOT(ISERROR(SEARCH("em andamento",P259)))</formula>
    </cfRule>
    <cfRule type="containsText" dxfId="899" priority="4502" operator="containsText" text="Lançado">
      <formula>NOT(ISERROR(SEARCH("Lançado",P259)))</formula>
    </cfRule>
  </conditionalFormatting>
  <conditionalFormatting sqref="P259:P260">
    <cfRule type="expression" dxfId="898" priority="4273">
      <formula>$H259="SUBETAPA"</formula>
    </cfRule>
  </conditionalFormatting>
  <conditionalFormatting sqref="P260">
    <cfRule type="containsText" dxfId="897" priority="4277" operator="containsText" text="N/A">
      <formula>NOT(ISERROR(SEARCH("N/A",P260)))</formula>
    </cfRule>
    <cfRule type="expression" dxfId="896" priority="4275">
      <formula>$H260="ETAPA"</formula>
    </cfRule>
    <cfRule type="expression" dxfId="895" priority="4274">
      <formula>$H260="CÉLULA CONSTRUTIVA"</formula>
    </cfRule>
    <cfRule type="containsText" dxfId="894" priority="4279" operator="containsText" text="em andamento">
      <formula>NOT(ISERROR(SEARCH("em andamento",P260)))</formula>
    </cfRule>
    <cfRule type="containsText" dxfId="893" priority="4278" operator="containsText" text="Finalizado">
      <formula>NOT(ISERROR(SEARCH("Finalizado",P260)))</formula>
    </cfRule>
    <cfRule type="containsText" dxfId="892" priority="4276" operator="containsText" text="Lançado">
      <formula>NOT(ISERROR(SEARCH("Lançado",P260)))</formula>
    </cfRule>
  </conditionalFormatting>
  <conditionalFormatting sqref="P261:P262">
    <cfRule type="containsText" dxfId="891" priority="7954" operator="containsText" text="em andamento">
      <formula>NOT(ISERROR(SEARCH("em andamento",P261)))</formula>
    </cfRule>
    <cfRule type="containsText" dxfId="890" priority="7953" operator="containsText" text="Finalizado">
      <formula>NOT(ISERROR(SEARCH("Finalizado",P261)))</formula>
    </cfRule>
  </conditionalFormatting>
  <conditionalFormatting sqref="P262 G262:I265">
    <cfRule type="expression" dxfId="889" priority="7952">
      <formula>$H262="ETAPA"</formula>
    </cfRule>
  </conditionalFormatting>
  <conditionalFormatting sqref="P262 O261:P261">
    <cfRule type="expression" dxfId="888" priority="7951">
      <formula>$H261="CÉLULA CONSTRUTIVA"</formula>
    </cfRule>
  </conditionalFormatting>
  <conditionalFormatting sqref="P262">
    <cfRule type="expression" dxfId="887" priority="7950">
      <formula>$H262="ETAPA"</formula>
    </cfRule>
    <cfRule type="expression" dxfId="886" priority="7949">
      <formula>$H262="CÉLULA CONSTRUTIVA"</formula>
    </cfRule>
    <cfRule type="expression" dxfId="885" priority="7948">
      <formula>$H262="SUBETAPA"</formula>
    </cfRule>
  </conditionalFormatting>
  <conditionalFormatting sqref="P262:P265">
    <cfRule type="expression" dxfId="884" priority="7859">
      <formula>$H262="ETAPA"</formula>
    </cfRule>
    <cfRule type="expression" dxfId="883" priority="7858">
      <formula>$H262="CÉLULA CONSTRUTIVA"</formula>
    </cfRule>
    <cfRule type="expression" dxfId="882" priority="7857">
      <formula>$H262="SUBETAPA"</formula>
    </cfRule>
  </conditionalFormatting>
  <conditionalFormatting sqref="P263:P265">
    <cfRule type="containsText" dxfId="881" priority="7852" operator="containsText" text="Lançado">
      <formula>NOT(ISERROR(SEARCH("Lançado",P263)))</formula>
    </cfRule>
    <cfRule type="containsText" dxfId="880" priority="7851" operator="containsText" text="em andamento">
      <formula>NOT(ISERROR(SEARCH("em andamento",P263)))</formula>
    </cfRule>
    <cfRule type="containsText" dxfId="879" priority="7850" operator="containsText" text="Finalizado">
      <formula>NOT(ISERROR(SEARCH("Finalizado",P263)))</formula>
    </cfRule>
    <cfRule type="containsText" dxfId="878" priority="7849" operator="containsText" text="Pendente">
      <formula>NOT(ISERROR(SEARCH("Pendente",P263)))</formula>
    </cfRule>
    <cfRule type="containsText" dxfId="877" priority="7847" operator="containsText" text="Lançado">
      <formula>NOT(ISERROR(SEARCH("Lançado",P263)))</formula>
    </cfRule>
    <cfRule type="expression" dxfId="876" priority="7846">
      <formula>$H263="ETAPA"</formula>
    </cfRule>
    <cfRule type="containsText" dxfId="875" priority="7856" operator="containsText" text="em andamento">
      <formula>NOT(ISERROR(SEARCH("em andamento",P263)))</formula>
    </cfRule>
    <cfRule type="containsText" dxfId="874" priority="7860" operator="containsText" text="Lançado">
      <formula>NOT(ISERROR(SEARCH("Lançado",P263)))</formula>
    </cfRule>
    <cfRule type="containsText" dxfId="873" priority="7861" operator="containsText" text="N/A">
      <formula>NOT(ISERROR(SEARCH("N/A",P263)))</formula>
    </cfRule>
    <cfRule type="containsText" dxfId="872" priority="7862" operator="containsText" text="Pendente">
      <formula>NOT(ISERROR(SEARCH("Pendente",P263)))</formula>
    </cfRule>
    <cfRule type="containsText" dxfId="871" priority="7863" operator="containsText" text="Finalizado">
      <formula>NOT(ISERROR(SEARCH("Finalizado",P263)))</formula>
    </cfRule>
    <cfRule type="containsText" dxfId="870" priority="7864" operator="containsText" text="em andamento">
      <formula>NOT(ISERROR(SEARCH("em andamento",P263)))</formula>
    </cfRule>
    <cfRule type="containsText" dxfId="869" priority="7855" operator="containsText" text="Finalizado">
      <formula>NOT(ISERROR(SEARCH("Finalizado",P263)))</formula>
    </cfRule>
    <cfRule type="containsText" dxfId="868" priority="7848" operator="containsText" text="N/A">
      <formula>NOT(ISERROR(SEARCH("N/A",P263)))</formula>
    </cfRule>
    <cfRule type="containsText" dxfId="867" priority="7854" operator="containsText" text="Pendente">
      <formula>NOT(ISERROR(SEARCH("Pendente",P263)))</formula>
    </cfRule>
    <cfRule type="containsText" dxfId="866" priority="7853" operator="containsText" text="N/A">
      <formula>NOT(ISERROR(SEARCH("N/A",P263)))</formula>
    </cfRule>
  </conditionalFormatting>
  <conditionalFormatting sqref="P266 P334:P335 P337:P341 P347:P352">
    <cfRule type="expression" dxfId="865" priority="6985">
      <formula>$H266="ETAPA"</formula>
    </cfRule>
  </conditionalFormatting>
  <conditionalFormatting sqref="P266 P334:P335 P347:P352 P337:P341">
    <cfRule type="containsText" dxfId="864" priority="6982" operator="containsText" text="em andamento">
      <formula>NOT(ISERROR(SEARCH("em andamento",P266)))</formula>
    </cfRule>
    <cfRule type="containsText" dxfId="863" priority="6981" operator="containsText" text="Finalizado">
      <formula>NOT(ISERROR(SEARCH("Finalizado",P266)))</formula>
    </cfRule>
    <cfRule type="containsText" dxfId="862" priority="6977" operator="containsText" text="em andamento">
      <formula>NOT(ISERROR(SEARCH("em andamento",P266)))</formula>
    </cfRule>
    <cfRule type="containsText" dxfId="861" priority="6989" operator="containsText" text="Finalizado">
      <formula>NOT(ISERROR(SEARCH("Finalizado",P266)))</formula>
    </cfRule>
    <cfRule type="containsText" dxfId="860" priority="6990" operator="containsText" text="em andamento">
      <formula>NOT(ISERROR(SEARCH("em andamento",P266)))</formula>
    </cfRule>
  </conditionalFormatting>
  <conditionalFormatting sqref="P266">
    <cfRule type="containsText" dxfId="859" priority="6980" operator="containsText" text="Pendente">
      <formula>NOT(ISERROR(SEARCH("Pendente",P266)))</formula>
    </cfRule>
    <cfRule type="containsText" dxfId="858" priority="6988" operator="containsText" text="Pendente">
      <formula>NOT(ISERROR(SEARCH("Pendente",P266)))</formula>
    </cfRule>
  </conditionalFormatting>
  <conditionalFormatting sqref="P266:P269">
    <cfRule type="containsText" dxfId="857" priority="6976" operator="containsText" text="Finalizado">
      <formula>NOT(ISERROR(SEARCH("Finalizado",P266)))</formula>
    </cfRule>
    <cfRule type="containsText" dxfId="856" priority="4182" operator="containsText" text="Pendente">
      <formula>NOT(ISERROR(SEARCH("Pendente",P266)))</formula>
    </cfRule>
    <cfRule type="expression" dxfId="855" priority="4161">
      <formula>$H266="CÉLULA CONSTRUTIVA"</formula>
    </cfRule>
  </conditionalFormatting>
  <conditionalFormatting sqref="P267:P269">
    <cfRule type="containsText" dxfId="854" priority="4159" operator="containsText" text="em andamento">
      <formula>NOT(ISERROR(SEARCH("em andamento",P267)))</formula>
    </cfRule>
    <cfRule type="containsText" dxfId="853" priority="4158" operator="containsText" text="Finalizado">
      <formula>NOT(ISERROR(SEARCH("Finalizado",P267)))</formula>
    </cfRule>
    <cfRule type="containsText" dxfId="852" priority="4157" operator="containsText" text="Pendente">
      <formula>NOT(ISERROR(SEARCH("Pendente",P267)))</formula>
    </cfRule>
    <cfRule type="containsText" dxfId="851" priority="4156" operator="containsText" text="N/A">
      <formula>NOT(ISERROR(SEARCH("N/A",P267)))</formula>
    </cfRule>
    <cfRule type="containsText" dxfId="850" priority="4155" operator="containsText" text="Lançado">
      <formula>NOT(ISERROR(SEARCH("Lançado",P267)))</formula>
    </cfRule>
    <cfRule type="containsText" dxfId="849" priority="4154" operator="containsText" text="em andamento">
      <formula>NOT(ISERROR(SEARCH("em andamento",P267)))</formula>
    </cfRule>
    <cfRule type="containsText" dxfId="848" priority="4153" operator="containsText" text="Finalizado">
      <formula>NOT(ISERROR(SEARCH("Finalizado",P267)))</formula>
    </cfRule>
    <cfRule type="containsText" dxfId="847" priority="4152" operator="containsText" text="Pendente">
      <formula>NOT(ISERROR(SEARCH("Pendente",P267)))</formula>
    </cfRule>
    <cfRule type="containsText" dxfId="846" priority="4151" operator="containsText" text="N/A">
      <formula>NOT(ISERROR(SEARCH("N/A",P267)))</formula>
    </cfRule>
    <cfRule type="containsText" dxfId="845" priority="4150" operator="containsText" text="Lançado">
      <formula>NOT(ISERROR(SEARCH("Lançado",P267)))</formula>
    </cfRule>
    <cfRule type="containsText" dxfId="844" priority="4171" operator="containsText" text="Finalizado">
      <formula>NOT(ISERROR(SEARCH("Finalizado",P267)))</formula>
    </cfRule>
    <cfRule type="containsText" dxfId="843" priority="4170" operator="containsText" text="Pendente">
      <formula>NOT(ISERROR(SEARCH("Pendente",P267)))</formula>
    </cfRule>
    <cfRule type="containsText" dxfId="842" priority="4169" operator="containsText" text="N/A">
      <formula>NOT(ISERROR(SEARCH("N/A",P267)))</formula>
    </cfRule>
    <cfRule type="containsText" dxfId="841" priority="4168" operator="containsText" text="Lançado">
      <formula>NOT(ISERROR(SEARCH("Lançado",P267)))</formula>
    </cfRule>
    <cfRule type="containsText" dxfId="840" priority="4167" operator="containsText" text="Pendente">
      <formula>NOT(ISERROR(SEARCH("Pendente",P267)))</formula>
    </cfRule>
    <cfRule type="containsText" dxfId="839" priority="4166" operator="containsText" text="N/A">
      <formula>NOT(ISERROR(SEARCH("N/A",P267)))</formula>
    </cfRule>
    <cfRule type="containsText" dxfId="838" priority="4165" operator="containsText" text="Lançado">
      <formula>NOT(ISERROR(SEARCH("Lançado",P267)))</formula>
    </cfRule>
    <cfRule type="containsText" dxfId="837" priority="4164" operator="containsText" text="em andamento">
      <formula>NOT(ISERROR(SEARCH("em andamento",P267)))</formula>
    </cfRule>
    <cfRule type="containsText" dxfId="836" priority="4163" operator="containsText" text="Finalizado">
      <formula>NOT(ISERROR(SEARCH("Finalizado",P267)))</formula>
    </cfRule>
    <cfRule type="containsText" dxfId="835" priority="4180" operator="containsText" text="N/A">
      <formula>NOT(ISERROR(SEARCH("N/A",P267)))</formula>
    </cfRule>
    <cfRule type="containsText" dxfId="834" priority="4179" operator="containsText" text="Lançado">
      <formula>NOT(ISERROR(SEARCH("Lançado",P267)))</formula>
    </cfRule>
    <cfRule type="containsText" dxfId="833" priority="4174" operator="containsText" text="em andamento">
      <formula>NOT(ISERROR(SEARCH("em andamento",P267)))</formula>
    </cfRule>
    <cfRule type="containsText" dxfId="832" priority="4173" operator="containsText" text="Finalizado">
      <formula>NOT(ISERROR(SEARCH("Finalizado",P267)))</formula>
    </cfRule>
    <cfRule type="containsText" dxfId="831" priority="4172" operator="containsText" text="em andamento">
      <formula>NOT(ISERROR(SEARCH("em andamento",P267)))</formula>
    </cfRule>
  </conditionalFormatting>
  <conditionalFormatting sqref="P270">
    <cfRule type="expression" dxfId="830" priority="3817">
      <formula>$H270="SUBETAPA"</formula>
    </cfRule>
    <cfRule type="expression" dxfId="829" priority="3838">
      <formula>$H270="SUBETAPA"</formula>
    </cfRule>
    <cfRule type="expression" dxfId="828" priority="3847">
      <formula>$H270="ETAPA"</formula>
    </cfRule>
    <cfRule type="containsText" dxfId="827" priority="3844" operator="containsText" text="em andamento">
      <formula>NOT(ISERROR(SEARCH("em andamento",P270)))</formula>
    </cfRule>
    <cfRule type="expression" dxfId="826" priority="3839">
      <formula>$H270="CÉLULA CONSTRUTIVA"</formula>
    </cfRule>
    <cfRule type="expression" dxfId="825" priority="3840">
      <formula>$H270="ETAPA"</formula>
    </cfRule>
    <cfRule type="expression" dxfId="824" priority="3818">
      <formula>$H270="CÉLULA CONSTRUTIVA"</formula>
    </cfRule>
    <cfRule type="containsText" dxfId="823" priority="3842" operator="containsText" text="Pendente">
      <formula>NOT(ISERROR(SEARCH("Pendente",P270)))</formula>
    </cfRule>
    <cfRule type="containsText" dxfId="822" priority="3843" operator="containsText" text="Finalizado">
      <formula>NOT(ISERROR(SEARCH("Finalizado",P270)))</formula>
    </cfRule>
  </conditionalFormatting>
  <conditionalFormatting sqref="P272">
    <cfRule type="expression" dxfId="821" priority="5121">
      <formula>$H272="ETAPA"</formula>
    </cfRule>
    <cfRule type="expression" dxfId="820" priority="5120">
      <formula>$H272="CÉLULA CONSTRUTIVA"</formula>
    </cfRule>
  </conditionalFormatting>
  <conditionalFormatting sqref="P273:P274 G386:I386 K386:N386 G439:M439 O439:P439">
    <cfRule type="expression" dxfId="819" priority="62">
      <formula>$H273="CÉLULA CONSTRUTIVA"</formula>
    </cfRule>
    <cfRule type="expression" dxfId="818" priority="63">
      <formula>$H273="ETAPA"</formula>
    </cfRule>
  </conditionalFormatting>
  <conditionalFormatting sqref="P274">
    <cfRule type="expression" dxfId="817" priority="3760">
      <formula>$H274="SUBETAPA"</formula>
    </cfRule>
    <cfRule type="expression" dxfId="816" priority="3762">
      <formula>$H274="ETAPA"</formula>
    </cfRule>
    <cfRule type="expression" dxfId="815" priority="3761">
      <formula>$H274="CÉLULA CONSTRUTIVA"</formula>
    </cfRule>
    <cfRule type="containsText" dxfId="814" priority="3764" operator="containsText" text="Pendente">
      <formula>NOT(ISERROR(SEARCH("Pendente",P274)))</formula>
    </cfRule>
    <cfRule type="containsText" dxfId="813" priority="3765" operator="containsText" text="Finalizado">
      <formula>NOT(ISERROR(SEARCH("Finalizado",P274)))</formula>
    </cfRule>
    <cfRule type="containsText" dxfId="812" priority="3766" operator="containsText" text="em andamento">
      <formula>NOT(ISERROR(SEARCH("em andamento",P274)))</formula>
    </cfRule>
  </conditionalFormatting>
  <conditionalFormatting sqref="P274:P276">
    <cfRule type="expression" dxfId="811" priority="4238">
      <formula>$H274="SUBETAPA"</formula>
    </cfRule>
  </conditionalFormatting>
  <conditionalFormatting sqref="P275:P276">
    <cfRule type="containsText" dxfId="810" priority="4256" operator="containsText" text="Pendente">
      <formula>NOT(ISERROR(SEARCH("Pendente",P275)))</formula>
    </cfRule>
    <cfRule type="expression" dxfId="809" priority="4239">
      <formula>$H275="CÉLULA CONSTRUTIVA"</formula>
    </cfRule>
    <cfRule type="expression" dxfId="808" priority="4240">
      <formula>$H275="ETAPA"</formula>
    </cfRule>
  </conditionalFormatting>
  <conditionalFormatting sqref="P276">
    <cfRule type="containsText" dxfId="807" priority="4215" operator="containsText" text="Lançado">
      <formula>NOT(ISERROR(SEARCH("Lançado",P276)))</formula>
    </cfRule>
    <cfRule type="containsText" dxfId="806" priority="4226" operator="containsText" text="N/A">
      <formula>NOT(ISERROR(SEARCH("N/A",P276)))</formula>
    </cfRule>
    <cfRule type="containsText" dxfId="805" priority="4216" operator="containsText" text="N/A">
      <formula>NOT(ISERROR(SEARCH("N/A",P276)))</formula>
    </cfRule>
    <cfRule type="containsText" dxfId="804" priority="4217" operator="containsText" text="Pendente">
      <formula>NOT(ISERROR(SEARCH("Pendente",P276)))</formula>
    </cfRule>
    <cfRule type="containsText" dxfId="803" priority="4218" operator="containsText" text="Finalizado">
      <formula>NOT(ISERROR(SEARCH("Finalizado",P276)))</formula>
    </cfRule>
    <cfRule type="containsText" dxfId="802" priority="4219" operator="containsText" text="em andamento">
      <formula>NOT(ISERROR(SEARCH("em andamento",P276)))</formula>
    </cfRule>
    <cfRule type="containsText" dxfId="801" priority="4220" operator="containsText" text="Lançado">
      <formula>NOT(ISERROR(SEARCH("Lançado",P276)))</formula>
    </cfRule>
    <cfRule type="containsText" dxfId="800" priority="4221" operator="containsText" text="N/A">
      <formula>NOT(ISERROR(SEARCH("N/A",P276)))</formula>
    </cfRule>
    <cfRule type="containsText" dxfId="799" priority="4222" operator="containsText" text="Pendente">
      <formula>NOT(ISERROR(SEARCH("Pendente",P276)))</formula>
    </cfRule>
    <cfRule type="containsText" dxfId="798" priority="4223" operator="containsText" text="Finalizado">
      <formula>NOT(ISERROR(SEARCH("Finalizado",P276)))</formula>
    </cfRule>
    <cfRule type="containsText" dxfId="797" priority="4224" operator="containsText" text="em andamento">
      <formula>NOT(ISERROR(SEARCH("em andamento",P276)))</formula>
    </cfRule>
    <cfRule type="containsText" dxfId="796" priority="4225" operator="containsText" text="Lançado">
      <formula>NOT(ISERROR(SEARCH("Lançado",P276)))</formula>
    </cfRule>
    <cfRule type="containsText" dxfId="795" priority="4227" operator="containsText" text="Pendente">
      <formula>NOT(ISERROR(SEARCH("Pendente",P276)))</formula>
    </cfRule>
    <cfRule type="containsText" dxfId="794" priority="4228" operator="containsText" text="Finalizado">
      <formula>NOT(ISERROR(SEARCH("Finalizado",P276)))</formula>
    </cfRule>
    <cfRule type="containsText" dxfId="793" priority="4229" operator="containsText" text="em andamento">
      <formula>NOT(ISERROR(SEARCH("em andamento",P276)))</formula>
    </cfRule>
    <cfRule type="containsText" dxfId="792" priority="4230" operator="containsText" text="Lançado">
      <formula>NOT(ISERROR(SEARCH("Lançado",P276)))</formula>
    </cfRule>
    <cfRule type="containsText" dxfId="791" priority="4231" operator="containsText" text="N/A">
      <formula>NOT(ISERROR(SEARCH("N/A",P276)))</formula>
    </cfRule>
    <cfRule type="containsText" dxfId="790" priority="4232" operator="containsText" text="Pendente">
      <formula>NOT(ISERROR(SEARCH("Pendente",P276)))</formula>
    </cfRule>
    <cfRule type="containsText" dxfId="789" priority="4233" operator="containsText" text="Finalizado">
      <formula>NOT(ISERROR(SEARCH("Finalizado",P276)))</formula>
    </cfRule>
    <cfRule type="containsText" dxfId="788" priority="4234" operator="containsText" text="em andamento">
      <formula>NOT(ISERROR(SEARCH("em andamento",P276)))</formula>
    </cfRule>
    <cfRule type="expression" dxfId="787" priority="4235">
      <formula>$H276="SUBETAPA"</formula>
    </cfRule>
    <cfRule type="expression" dxfId="786" priority="4236">
      <formula>$H276="CÉLULA CONSTRUTIVA"</formula>
    </cfRule>
    <cfRule type="expression" dxfId="785" priority="4237">
      <formula>$H276="ETAPA"</formula>
    </cfRule>
    <cfRule type="containsText" dxfId="784" priority="4242" operator="containsText" text="Lançado">
      <formula>NOT(ISERROR(SEARCH("Lançado",P276)))</formula>
    </cfRule>
    <cfRule type="containsText" dxfId="783" priority="4243" operator="containsText" text="N/A">
      <formula>NOT(ISERROR(SEARCH("N/A",P276)))</formula>
    </cfRule>
    <cfRule type="containsText" dxfId="782" priority="4244" operator="containsText" text="Pendente">
      <formula>NOT(ISERROR(SEARCH("Pendente",P276)))</formula>
    </cfRule>
    <cfRule type="containsText" dxfId="781" priority="4245" operator="containsText" text="Finalizado">
      <formula>NOT(ISERROR(SEARCH("Finalizado",P276)))</formula>
    </cfRule>
    <cfRule type="containsText" dxfId="780" priority="4246" operator="containsText" text="em andamento">
      <formula>NOT(ISERROR(SEARCH("em andamento",P276)))</formula>
    </cfRule>
    <cfRule type="containsText" dxfId="779" priority="4250" operator="containsText" text="em andamento">
      <formula>NOT(ISERROR(SEARCH("em andamento",P276)))</formula>
    </cfRule>
    <cfRule type="containsText" dxfId="778" priority="4247" operator="containsText" text="Finalizado">
      <formula>NOT(ISERROR(SEARCH("Finalizado",P276)))</formula>
    </cfRule>
    <cfRule type="containsText" dxfId="777" priority="4248" operator="containsText" text="em andamento">
      <formula>NOT(ISERROR(SEARCH("em andamento",P276)))</formula>
    </cfRule>
    <cfRule type="containsText" dxfId="776" priority="4249" operator="containsText" text="Finalizado">
      <formula>NOT(ISERROR(SEARCH("Finalizado",P276)))</formula>
    </cfRule>
    <cfRule type="containsText" dxfId="775" priority="4254" operator="containsText" text="Lançado">
      <formula>NOT(ISERROR(SEARCH("Lançado",P276)))</formula>
    </cfRule>
    <cfRule type="containsText" dxfId="774" priority="4255" operator="containsText" text="N/A">
      <formula>NOT(ISERROR(SEARCH("N/A",P276)))</formula>
    </cfRule>
  </conditionalFormatting>
  <conditionalFormatting sqref="P277:P279 P305 P324:P325 P418:P419">
    <cfRule type="containsText" dxfId="773" priority="7832" operator="containsText" text="N/A">
      <formula>NOT(ISERROR(SEARCH("N/A",P277)))</formula>
    </cfRule>
  </conditionalFormatting>
  <conditionalFormatting sqref="P277:P279 P414:P421 P305 P324:P325">
    <cfRule type="containsText" dxfId="772" priority="7840" operator="containsText" text="N/A">
      <formula>NOT(ISERROR(SEARCH("N/A",P277)))</formula>
    </cfRule>
  </conditionalFormatting>
  <conditionalFormatting sqref="P277:P279 P418:P419">
    <cfRule type="expression" dxfId="771" priority="7836">
      <formula>$H277="SUBETAPA"</formula>
    </cfRule>
  </conditionalFormatting>
  <conditionalFormatting sqref="P277:P282">
    <cfRule type="containsText" dxfId="770" priority="4925" operator="containsText" text="Pendente">
      <formula>NOT(ISERROR(SEARCH("Pendente",P277)))</formula>
    </cfRule>
  </conditionalFormatting>
  <conditionalFormatting sqref="P280:P282 P271 P275 P326:P330">
    <cfRule type="containsText" dxfId="769" priority="5136" operator="containsText" text="Lançado">
      <formula>NOT(ISERROR(SEARCH("Lançado",P271)))</formula>
    </cfRule>
  </conditionalFormatting>
  <conditionalFormatting sqref="P280:P282 P271">
    <cfRule type="containsText" dxfId="768" priority="4916" operator="containsText" text="Pendente">
      <formula>NOT(ISERROR(SEARCH("Pendente",P271)))</formula>
    </cfRule>
  </conditionalFormatting>
  <conditionalFormatting sqref="P280:P282 P275 P326:P330 P271 P273">
    <cfRule type="containsText" dxfId="767" priority="4920" operator="containsText" text="Finalizado">
      <formula>NOT(ISERROR(SEARCH("Finalizado",P271)))</formula>
    </cfRule>
    <cfRule type="containsText" dxfId="766" priority="4921" operator="containsText" text="em andamento">
      <formula>NOT(ISERROR(SEARCH("em andamento",P271)))</formula>
    </cfRule>
    <cfRule type="containsText" dxfId="765" priority="4918" operator="containsText" text="em andamento">
      <formula>NOT(ISERROR(SEARCH("em andamento",P271)))</formula>
    </cfRule>
  </conditionalFormatting>
  <conditionalFormatting sqref="P280:P282 P326:P330 P271 P273">
    <cfRule type="containsText" dxfId="764" priority="4917" operator="containsText" text="Finalizado">
      <formula>NOT(ISERROR(SEARCH("Finalizado",P271)))</formula>
    </cfRule>
    <cfRule type="containsText" dxfId="763" priority="4919" operator="containsText" text="Pendente">
      <formula>NOT(ISERROR(SEARCH("Pendente",P271)))</formula>
    </cfRule>
  </conditionalFormatting>
  <conditionalFormatting sqref="P280:P282 P410:P412">
    <cfRule type="containsText" dxfId="762" priority="7907" operator="containsText" text="em andamento">
      <formula>NOT(ISERROR(SEARCH("em andamento",P280)))</formula>
    </cfRule>
    <cfRule type="containsText" dxfId="761" priority="7906" operator="containsText" text="Finalizado">
      <formula>NOT(ISERROR(SEARCH("Finalizado",P280)))</formula>
    </cfRule>
    <cfRule type="containsText" dxfId="760" priority="7941" operator="containsText" text="em andamento">
      <formula>NOT(ISERROR(SEARCH("em andamento",P280)))</formula>
    </cfRule>
    <cfRule type="containsText" dxfId="759" priority="7940" operator="containsText" text="Finalizado">
      <formula>NOT(ISERROR(SEARCH("Finalizado",P280)))</formula>
    </cfRule>
  </conditionalFormatting>
  <conditionalFormatting sqref="P280:P282">
    <cfRule type="expression" dxfId="758" priority="4914">
      <formula>$H280="CÉLULA CONSTRUTIVA"</formula>
    </cfRule>
    <cfRule type="containsText" dxfId="757" priority="4927" operator="containsText" text="em andamento">
      <formula>NOT(ISERROR(SEARCH("em andamento",P280)))</formula>
    </cfRule>
    <cfRule type="containsText" dxfId="756" priority="4926" operator="containsText" text="Finalizado">
      <formula>NOT(ISERROR(SEARCH("Finalizado",P280)))</formula>
    </cfRule>
    <cfRule type="expression" dxfId="755" priority="4915">
      <formula>$H280="ETAPA"</formula>
    </cfRule>
  </conditionalFormatting>
  <conditionalFormatting sqref="P285">
    <cfRule type="expression" dxfId="754" priority="7939">
      <formula>$H285="ETAPA"</formula>
    </cfRule>
    <cfRule type="containsText" dxfId="753" priority="7938" operator="containsText" text="em andamento">
      <formula>NOT(ISERROR(SEARCH("em andamento",P285)))</formula>
    </cfRule>
    <cfRule type="containsText" dxfId="752" priority="7937" operator="containsText" text="Finalizado">
      <formula>NOT(ISERROR(SEARCH("Finalizado",P285)))</formula>
    </cfRule>
  </conditionalFormatting>
  <conditionalFormatting sqref="P285:P286">
    <cfRule type="containsText" dxfId="751" priority="7877" operator="containsText" text="Pendente">
      <formula>NOT(ISERROR(SEARCH("Pendente",P285)))</formula>
    </cfRule>
    <cfRule type="containsText" dxfId="750" priority="7876" operator="containsText" text="N/A">
      <formula>NOT(ISERROR(SEARCH("N/A",P285)))</formula>
    </cfRule>
    <cfRule type="containsText" dxfId="749" priority="7875" operator="containsText" text="Lançado">
      <formula>NOT(ISERROR(SEARCH("Lançado",P285)))</formula>
    </cfRule>
  </conditionalFormatting>
  <conditionalFormatting sqref="P286">
    <cfRule type="containsText" dxfId="748" priority="7866" operator="containsText" text="N/A">
      <formula>NOT(ISERROR(SEARCH("N/A",P286)))</formula>
    </cfRule>
    <cfRule type="containsText" dxfId="747" priority="7867" operator="containsText" text="Pendente">
      <formula>NOT(ISERROR(SEARCH("Pendente",P286)))</formula>
    </cfRule>
    <cfRule type="containsText" dxfId="746" priority="7868" operator="containsText" text="Finalizado">
      <formula>NOT(ISERROR(SEARCH("Finalizado",P286)))</formula>
    </cfRule>
    <cfRule type="containsText" dxfId="745" priority="7869" operator="containsText" text="em andamento">
      <formula>NOT(ISERROR(SEARCH("em andamento",P286)))</formula>
    </cfRule>
    <cfRule type="containsText" dxfId="744" priority="7871" operator="containsText" text="N/A">
      <formula>NOT(ISERROR(SEARCH("N/A",P286)))</formula>
    </cfRule>
    <cfRule type="containsText" dxfId="743" priority="7872" operator="containsText" text="Pendente">
      <formula>NOT(ISERROR(SEARCH("Pendente",P286)))</formula>
    </cfRule>
    <cfRule type="containsText" dxfId="742" priority="7873" operator="containsText" text="Finalizado">
      <formula>NOT(ISERROR(SEARCH("Finalizado",P286)))</formula>
    </cfRule>
    <cfRule type="containsText" dxfId="741" priority="7874" operator="containsText" text="em andamento">
      <formula>NOT(ISERROR(SEARCH("em andamento",P286)))</formula>
    </cfRule>
    <cfRule type="containsText" dxfId="740" priority="7878" operator="containsText" text="Finalizado">
      <formula>NOT(ISERROR(SEARCH("Finalizado",P286)))</formula>
    </cfRule>
    <cfRule type="containsText" dxfId="739" priority="7879" operator="containsText" text="em andamento">
      <formula>NOT(ISERROR(SEARCH("em andamento",P286)))</formula>
    </cfRule>
    <cfRule type="containsText" dxfId="738" priority="7870" operator="containsText" text="Lançado">
      <formula>NOT(ISERROR(SEARCH("Lançado",P286)))</formula>
    </cfRule>
  </conditionalFormatting>
  <conditionalFormatting sqref="P287">
    <cfRule type="containsText" dxfId="737" priority="13831" operator="containsText" text="em andamento">
      <formula>NOT(ISERROR(SEARCH("em andamento",P287)))</formula>
    </cfRule>
  </conditionalFormatting>
  <conditionalFormatting sqref="P288:P292 P323">
    <cfRule type="containsText" dxfId="736" priority="7917" operator="containsText" text="N/A">
      <formula>NOT(ISERROR(SEARCH("N/A",P288)))</formula>
    </cfRule>
    <cfRule type="expression" dxfId="735" priority="7914">
      <formula>$H288="ETAPA"</formula>
    </cfRule>
    <cfRule type="containsText" dxfId="734" priority="7916" operator="containsText" text="Lançado">
      <formula>NOT(ISERROR(SEARCH("Lançado",P288)))</formula>
    </cfRule>
  </conditionalFormatting>
  <conditionalFormatting sqref="P292 P323">
    <cfRule type="expression" dxfId="733" priority="7911">
      <formula>$H292="ETAPA"</formula>
    </cfRule>
    <cfRule type="containsText" dxfId="732" priority="7918" operator="containsText" text="Pendente">
      <formula>NOT(ISERROR(SEARCH("Pendente",P292)))</formula>
    </cfRule>
    <cfRule type="containsText" dxfId="731" priority="7920" operator="containsText" text="em andamento">
      <formula>NOT(ISERROR(SEARCH("em andamento",P292)))</formula>
    </cfRule>
    <cfRule type="containsText" dxfId="730" priority="7919" operator="containsText" text="Finalizado">
      <formula>NOT(ISERROR(SEARCH("Finalizado",P292)))</formula>
    </cfRule>
    <cfRule type="expression" dxfId="729" priority="7909">
      <formula>$H292="SUBETAPA"</formula>
    </cfRule>
    <cfRule type="expression" dxfId="728" priority="7910">
      <formula>$H292="CÉLULA CONSTRUTIVA"</formula>
    </cfRule>
  </conditionalFormatting>
  <conditionalFormatting sqref="P292">
    <cfRule type="containsText" dxfId="727" priority="4190" operator="containsText" text="em andamento">
      <formula>NOT(ISERROR(SEARCH("em andamento",P292)))</formula>
    </cfRule>
    <cfRule type="containsText" dxfId="726" priority="4189" operator="containsText" text="Finalizado">
      <formula>NOT(ISERROR(SEARCH("Finalizado",P292)))</formula>
    </cfRule>
    <cfRule type="containsText" dxfId="725" priority="4188" operator="containsText" text="Pendente">
      <formula>NOT(ISERROR(SEARCH("Pendente",P292)))</formula>
    </cfRule>
    <cfRule type="containsText" dxfId="724" priority="4187" operator="containsText" text="N/A">
      <formula>NOT(ISERROR(SEARCH("N/A",P292)))</formula>
    </cfRule>
    <cfRule type="containsText" dxfId="723" priority="4183" operator="containsText" text="Lançado">
      <formula>NOT(ISERROR(SEARCH("Lançado",P292)))</formula>
    </cfRule>
    <cfRule type="containsText" dxfId="722" priority="4210" operator="containsText" text="Lançado">
      <formula>NOT(ISERROR(SEARCH("Lançado",P292)))</formula>
    </cfRule>
    <cfRule type="containsText" dxfId="721" priority="4212" operator="containsText" text="Pendente">
      <formula>NOT(ISERROR(SEARCH("Pendente",P292)))</formula>
    </cfRule>
    <cfRule type="containsText" dxfId="720" priority="4211" operator="containsText" text="N/A">
      <formula>NOT(ISERROR(SEARCH("N/A",P292)))</formula>
    </cfRule>
    <cfRule type="containsText" dxfId="719" priority="4206" operator="containsText" text="em andamento">
      <formula>NOT(ISERROR(SEARCH("em andamento",P292)))</formula>
    </cfRule>
    <cfRule type="containsText" dxfId="718" priority="4205" operator="containsText" text="Finalizado">
      <formula>NOT(ISERROR(SEARCH("Finalizado",P292)))</formula>
    </cfRule>
    <cfRule type="containsText" dxfId="717" priority="4204" operator="containsText" text="em andamento">
      <formula>NOT(ISERROR(SEARCH("em andamento",P292)))</formula>
    </cfRule>
    <cfRule type="containsText" dxfId="716" priority="4203" operator="containsText" text="Finalizado">
      <formula>NOT(ISERROR(SEARCH("Finalizado",P292)))</formula>
    </cfRule>
  </conditionalFormatting>
  <conditionalFormatting sqref="P294">
    <cfRule type="containsText" dxfId="715" priority="13955" operator="containsText" text="Lançado">
      <formula>NOT(ISERROR(SEARCH("Lançado",P294)))</formula>
    </cfRule>
    <cfRule type="containsText" dxfId="714" priority="13958" operator="containsText" text="Finalizado">
      <formula>NOT(ISERROR(SEARCH("Finalizado",P294)))</formula>
    </cfRule>
    <cfRule type="containsText" dxfId="713" priority="13956" operator="containsText" text="N/A">
      <formula>NOT(ISERROR(SEARCH("N/A",P294)))</formula>
    </cfRule>
    <cfRule type="containsText" dxfId="712" priority="13959" operator="containsText" text="em andamento">
      <formula>NOT(ISERROR(SEARCH("em andamento",P294)))</formula>
    </cfRule>
    <cfRule type="expression" dxfId="711" priority="13952">
      <formula>$H294="SUBETAPA"</formula>
    </cfRule>
    <cfRule type="expression" dxfId="710" priority="13953">
      <formula>$H294="CÉLULA CONSTRUTIVA"</formula>
    </cfRule>
    <cfRule type="expression" dxfId="709" priority="13954">
      <formula>$H294="ETAPA"</formula>
    </cfRule>
  </conditionalFormatting>
  <conditionalFormatting sqref="P296">
    <cfRule type="expression" dxfId="708" priority="7930">
      <formula>$H296="CÉLULA CONSTRUTIVA"</formula>
    </cfRule>
    <cfRule type="expression" dxfId="707" priority="7929">
      <formula>$H296="SUBETAPA"</formula>
    </cfRule>
    <cfRule type="expression" dxfId="706" priority="7924">
      <formula>$H296="CÉLULA CONSTRUTIVA"</formula>
    </cfRule>
    <cfRule type="expression" dxfId="705" priority="7925">
      <formula>$H296="ETAPA"</formula>
    </cfRule>
    <cfRule type="expression" dxfId="704" priority="7923">
      <formula>$H296="SUBETAPA"</formula>
    </cfRule>
    <cfRule type="containsText" dxfId="703" priority="7922" operator="containsText" text="em andamento">
      <formula>NOT(ISERROR(SEARCH("em andamento",P296)))</formula>
    </cfRule>
    <cfRule type="expression" dxfId="702" priority="7928">
      <formula>$H296="ETAPA"</formula>
    </cfRule>
    <cfRule type="expression" dxfId="701" priority="7927">
      <formula>$H296="CÉLULA CONSTRUTIVA"</formula>
    </cfRule>
    <cfRule type="expression" dxfId="700" priority="7926">
      <formula>$H296="SUBETAPA"</formula>
    </cfRule>
    <cfRule type="containsText" dxfId="699" priority="7921" operator="containsText" text="Finalizado">
      <formula>NOT(ISERROR(SEARCH("Finalizado",P296)))</formula>
    </cfRule>
    <cfRule type="expression" dxfId="698" priority="7931">
      <formula>$H296="ETAPA"</formula>
    </cfRule>
    <cfRule type="containsText" dxfId="697" priority="7932" operator="containsText" text="Lançado">
      <formula>NOT(ISERROR(SEARCH("Lançado",P296)))</formula>
    </cfRule>
    <cfRule type="containsText" dxfId="696" priority="7933" operator="containsText" text="N/A">
      <formula>NOT(ISERROR(SEARCH("N/A",P296)))</formula>
    </cfRule>
    <cfRule type="containsText" dxfId="695" priority="7936" operator="containsText" text="em andamento">
      <formula>NOT(ISERROR(SEARCH("em andamento",P296)))</formula>
    </cfRule>
    <cfRule type="containsText" dxfId="694" priority="7935" operator="containsText" text="Finalizado">
      <formula>NOT(ISERROR(SEARCH("Finalizado",P296)))</formula>
    </cfRule>
    <cfRule type="containsText" dxfId="693" priority="7934" operator="containsText" text="Pendente">
      <formula>NOT(ISERROR(SEARCH("Pendente",P296)))</formula>
    </cfRule>
  </conditionalFormatting>
  <conditionalFormatting sqref="P297:P303 P414:P416">
    <cfRule type="containsText" dxfId="692" priority="7888" operator="containsText" text="Lançado">
      <formula>NOT(ISERROR(SEARCH("Lançado",P297)))</formula>
    </cfRule>
    <cfRule type="containsText" dxfId="691" priority="7883" operator="containsText" text="Lançado">
      <formula>NOT(ISERROR(SEARCH("Lançado",P297)))</formula>
    </cfRule>
  </conditionalFormatting>
  <conditionalFormatting sqref="P297:P303">
    <cfRule type="expression" dxfId="690" priority="7893">
      <formula>$H297="SUBETAPA"</formula>
    </cfRule>
    <cfRule type="containsText" dxfId="689" priority="7884" operator="containsText" text="N/A">
      <formula>NOT(ISERROR(SEARCH("N/A",P297)))</formula>
    </cfRule>
    <cfRule type="expression" dxfId="688" priority="7894">
      <formula>$H297="CÉLULA CONSTRUTIVA"</formula>
    </cfRule>
    <cfRule type="containsText" dxfId="687" priority="7889" operator="containsText" text="N/A">
      <formula>NOT(ISERROR(SEARCH("N/A",P297)))</formula>
    </cfRule>
  </conditionalFormatting>
  <conditionalFormatting sqref="P304">
    <cfRule type="containsText" dxfId="686" priority="3753" operator="containsText" text="N/A">
      <formula>NOT(ISERROR(SEARCH("N/A",P304)))</formula>
    </cfRule>
    <cfRule type="expression" dxfId="685" priority="3745">
      <formula>$H304="ETAPA"</formula>
    </cfRule>
    <cfRule type="expression" dxfId="684" priority="3748">
      <formula>$H304="ETAPA"</formula>
    </cfRule>
    <cfRule type="expression" dxfId="683" priority="3743">
      <formula>$H304="SUBETAPA"</formula>
    </cfRule>
    <cfRule type="containsText" dxfId="682" priority="3755" operator="containsText" text="Finalizado">
      <formula>NOT(ISERROR(SEARCH("Finalizado",P304)))</formula>
    </cfRule>
    <cfRule type="expression" dxfId="681" priority="3744">
      <formula>$H304="CÉLULA CONSTRUTIVA"</formula>
    </cfRule>
    <cfRule type="containsText" dxfId="680" priority="3741" operator="containsText" text="Finalizado">
      <formula>NOT(ISERROR(SEARCH("Finalizado",P304)))</formula>
    </cfRule>
    <cfRule type="expression" dxfId="679" priority="3747">
      <formula>$H304="CÉLULA CONSTRUTIVA"</formula>
    </cfRule>
    <cfRule type="containsText" dxfId="678" priority="3754" operator="containsText" text="Pendente">
      <formula>NOT(ISERROR(SEARCH("Pendente",P304)))</formula>
    </cfRule>
    <cfRule type="containsText" dxfId="677" priority="3756" operator="containsText" text="em andamento">
      <formula>NOT(ISERROR(SEARCH("em andamento",P304)))</formula>
    </cfRule>
    <cfRule type="containsText" dxfId="676" priority="3742" operator="containsText" text="em andamento">
      <formula>NOT(ISERROR(SEARCH("em andamento",P304)))</formula>
    </cfRule>
    <cfRule type="containsText" dxfId="675" priority="3752" operator="containsText" text="Lançado">
      <formula>NOT(ISERROR(SEARCH("Lançado",P304)))</formula>
    </cfRule>
  </conditionalFormatting>
  <conditionalFormatting sqref="P304:P305">
    <cfRule type="expression" dxfId="674" priority="3746">
      <formula>$H304="SUBETAPA"</formula>
    </cfRule>
  </conditionalFormatting>
  <conditionalFormatting sqref="P305 P324:P325 P277:P279 P414:P421">
    <cfRule type="containsText" dxfId="673" priority="7841" operator="containsText" text="Pendente">
      <formula>NOT(ISERROR(SEARCH("Pendente",P277)))</formula>
    </cfRule>
  </conditionalFormatting>
  <conditionalFormatting sqref="P305 P324:P325 P277:P279 P418:P419">
    <cfRule type="containsText" dxfId="672" priority="7833" operator="containsText" text="Pendente">
      <formula>NOT(ISERROR(SEARCH("Pendente",P277)))</formula>
    </cfRule>
    <cfRule type="containsText" dxfId="671" priority="7834" operator="containsText" text="Finalizado">
      <formula>NOT(ISERROR(SEARCH("Finalizado",P277)))</formula>
    </cfRule>
    <cfRule type="containsText" dxfId="670" priority="7835" operator="containsText" text="em andamento">
      <formula>NOT(ISERROR(SEARCH("em andamento",P277)))</formula>
    </cfRule>
    <cfRule type="containsText" dxfId="669" priority="7829" operator="containsText" text="Finalizado">
      <formula>NOT(ISERROR(SEARCH("Finalizado",P277)))</formula>
    </cfRule>
    <cfRule type="containsText" dxfId="668" priority="7842" operator="containsText" text="Finalizado">
      <formula>NOT(ISERROR(SEARCH("Finalizado",P277)))</formula>
    </cfRule>
    <cfRule type="containsText" dxfId="667" priority="7830" operator="containsText" text="em andamento">
      <formula>NOT(ISERROR(SEARCH("em andamento",P277)))</formula>
    </cfRule>
    <cfRule type="containsText" dxfId="666" priority="7843" operator="containsText" text="em andamento">
      <formula>NOT(ISERROR(SEARCH("em andamento",P277)))</formula>
    </cfRule>
  </conditionalFormatting>
  <conditionalFormatting sqref="P305 P418:P419">
    <cfRule type="containsText" dxfId="665" priority="7828" operator="containsText" text="Pendente">
      <formula>NOT(ISERROR(SEARCH("Pendente",P305)))</formula>
    </cfRule>
  </conditionalFormatting>
  <conditionalFormatting sqref="P306">
    <cfRule type="containsText" dxfId="664" priority="5125" operator="containsText" text="em andamento">
      <formula>NOT(ISERROR(SEARCH("em andamento",P306)))</formula>
    </cfRule>
    <cfRule type="containsText" dxfId="663" priority="5110" operator="containsText" text="em andamento">
      <formula>NOT(ISERROR(SEARCH("em andamento",P306)))</formula>
    </cfRule>
    <cfRule type="containsText" dxfId="662" priority="5109" operator="containsText" text="Finalizado">
      <formula>NOT(ISERROR(SEARCH("Finalizado",P306)))</formula>
    </cfRule>
    <cfRule type="containsText" dxfId="661" priority="5124" operator="containsText" text="Finalizado">
      <formula>NOT(ISERROR(SEARCH("Finalizado",P306)))</formula>
    </cfRule>
    <cfRule type="containsText" dxfId="660" priority="5114" operator="containsText" text="Pendente">
      <formula>NOT(ISERROR(SEARCH("Pendente",P306)))</formula>
    </cfRule>
  </conditionalFormatting>
  <conditionalFormatting sqref="P312">
    <cfRule type="containsText" dxfId="659" priority="3717" operator="containsText" text="Pendente">
      <formula>NOT(ISERROR(SEARCH("Pendente",P312)))</formula>
    </cfRule>
    <cfRule type="containsText" dxfId="658" priority="3718" operator="containsText" text="Finalizado">
      <formula>NOT(ISERROR(SEARCH("Finalizado",P312)))</formula>
    </cfRule>
    <cfRule type="containsText" dxfId="657" priority="3719" operator="containsText" text="em andamento">
      <formula>NOT(ISERROR(SEARCH("em andamento",P312)))</formula>
    </cfRule>
    <cfRule type="containsText" dxfId="656" priority="3716" operator="containsText" text="em andamento">
      <formula>NOT(ISERROR(SEARCH("em andamento",P312)))</formula>
    </cfRule>
    <cfRule type="containsText" dxfId="655" priority="3715" operator="containsText" text="Finalizado">
      <formula>NOT(ISERROR(SEARCH("Finalizado",P312)))</formula>
    </cfRule>
  </conditionalFormatting>
  <conditionalFormatting sqref="P314">
    <cfRule type="containsText" dxfId="654" priority="3735" operator="containsText" text="em andamento">
      <formula>NOT(ISERROR(SEARCH("em andamento",P314)))</formula>
    </cfRule>
    <cfRule type="containsText" dxfId="653" priority="3734" operator="containsText" text="Finalizado">
      <formula>NOT(ISERROR(SEARCH("Finalizado",P314)))</formula>
    </cfRule>
    <cfRule type="containsText" dxfId="652" priority="3733" operator="containsText" text="Pendente">
      <formula>NOT(ISERROR(SEARCH("Pendente",P314)))</formula>
    </cfRule>
    <cfRule type="containsText" dxfId="651" priority="3731" operator="containsText" text="Finalizado">
      <formula>NOT(ISERROR(SEARCH("Finalizado",P314)))</formula>
    </cfRule>
    <cfRule type="containsText" dxfId="650" priority="3732" operator="containsText" text="em andamento">
      <formula>NOT(ISERROR(SEARCH("em andamento",P314)))</formula>
    </cfRule>
  </conditionalFormatting>
  <conditionalFormatting sqref="P316">
    <cfRule type="containsText" dxfId="649" priority="3726" operator="containsText" text="Finalizado">
      <formula>NOT(ISERROR(SEARCH("Finalizado",P316)))</formula>
    </cfRule>
    <cfRule type="containsText" dxfId="648" priority="3725" operator="containsText" text="Pendente">
      <formula>NOT(ISERROR(SEARCH("Pendente",P316)))</formula>
    </cfRule>
    <cfRule type="containsText" dxfId="647" priority="3724" operator="containsText" text="em andamento">
      <formula>NOT(ISERROR(SEARCH("em andamento",P316)))</formula>
    </cfRule>
    <cfRule type="containsText" dxfId="646" priority="3723" operator="containsText" text="Finalizado">
      <formula>NOT(ISERROR(SEARCH("Finalizado",P316)))</formula>
    </cfRule>
    <cfRule type="containsText" dxfId="645" priority="3727" operator="containsText" text="em andamento">
      <formula>NOT(ISERROR(SEARCH("em andamento",P316)))</formula>
    </cfRule>
  </conditionalFormatting>
  <conditionalFormatting sqref="P321">
    <cfRule type="containsText" dxfId="644" priority="300" operator="containsText" text="Pendente">
      <formula>NOT(ISERROR(SEARCH("Pendente",P321)))</formula>
    </cfRule>
    <cfRule type="containsText" dxfId="643" priority="299" operator="containsText" text="em andamento">
      <formula>NOT(ISERROR(SEARCH("em andamento",P321)))</formula>
    </cfRule>
    <cfRule type="containsText" dxfId="642" priority="301" operator="containsText" text="Finalizado">
      <formula>NOT(ISERROR(SEARCH("Finalizado",P321)))</formula>
    </cfRule>
    <cfRule type="containsText" dxfId="641" priority="298" operator="containsText" text="Finalizado">
      <formula>NOT(ISERROR(SEARCH("Finalizado",P321)))</formula>
    </cfRule>
    <cfRule type="containsText" dxfId="640" priority="302" operator="containsText" text="em andamento">
      <formula>NOT(ISERROR(SEARCH("em andamento",P321)))</formula>
    </cfRule>
  </conditionalFormatting>
  <conditionalFormatting sqref="P323 P288:P292">
    <cfRule type="expression" dxfId="639" priority="7913">
      <formula>$H288="CÉLULA CONSTRUTIVA"</formula>
    </cfRule>
  </conditionalFormatting>
  <conditionalFormatting sqref="P323">
    <cfRule type="expression" dxfId="638" priority="7912">
      <formula>$H323="SUBETAPA"</formula>
    </cfRule>
  </conditionalFormatting>
  <conditionalFormatting sqref="P331 G331:M332 O332:P332 P342 P346">
    <cfRule type="expression" dxfId="637" priority="12582">
      <formula>$H331="CÉLULA CONSTRUTIVA"</formula>
    </cfRule>
  </conditionalFormatting>
  <conditionalFormatting sqref="P331 O332:P332 P342 P346 G331:M332">
    <cfRule type="expression" dxfId="636" priority="12581">
      <formula>$H331="SUBETAPA"</formula>
    </cfRule>
  </conditionalFormatting>
  <conditionalFormatting sqref="P331 P253">
    <cfRule type="expression" dxfId="635" priority="13988">
      <formula>$H253="SUBETAPA"</formula>
    </cfRule>
  </conditionalFormatting>
  <conditionalFormatting sqref="P331">
    <cfRule type="expression" dxfId="634" priority="13986">
      <formula>$H331="CÉLULA CONSTRUTIVA"</formula>
    </cfRule>
    <cfRule type="expression" dxfId="633" priority="13987">
      <formula>$H331="ETAPA"</formula>
    </cfRule>
    <cfRule type="containsText" dxfId="632" priority="13893" operator="containsText" text="Finalizado">
      <formula>NOT(ISERROR(SEARCH("Finalizado",P331)))</formula>
    </cfRule>
    <cfRule type="containsText" dxfId="631" priority="13894" operator="containsText" text="em andamento">
      <formula>NOT(ISERROR(SEARCH("em andamento",P331)))</formula>
    </cfRule>
    <cfRule type="containsText" dxfId="630" priority="13892" operator="containsText" text="Pendente">
      <formula>NOT(ISERROR(SEARCH("Pendente",P331)))</formula>
    </cfRule>
    <cfRule type="expression" dxfId="629" priority="13985">
      <formula>$H331="SUBETAPA"</formula>
    </cfRule>
  </conditionalFormatting>
  <conditionalFormatting sqref="P331:P352">
    <cfRule type="containsText" dxfId="628" priority="10259" operator="containsText" text="em andamento">
      <formula>NOT(ISERROR(SEARCH("em andamento",P331)))</formula>
    </cfRule>
    <cfRule type="containsText" dxfId="627" priority="10256" operator="containsText" text="N/A">
      <formula>NOT(ISERROR(SEARCH("N/A",P331)))</formula>
    </cfRule>
    <cfRule type="containsText" dxfId="626" priority="10258" operator="containsText" text="Finalizado">
      <formula>NOT(ISERROR(SEARCH("Finalizado",P331)))</formula>
    </cfRule>
  </conditionalFormatting>
  <conditionalFormatting sqref="P332:P333 P336">
    <cfRule type="containsText" dxfId="625" priority="5651" operator="containsText" text="em andamento">
      <formula>NOT(ISERROR(SEARCH("em andamento",P332)))</formula>
    </cfRule>
  </conditionalFormatting>
  <conditionalFormatting sqref="P333 G333:M333">
    <cfRule type="expression" dxfId="624" priority="3681">
      <formula>$H333="CÉLULA CONSTRUTIVA"</formula>
    </cfRule>
  </conditionalFormatting>
  <conditionalFormatting sqref="P333">
    <cfRule type="containsText" dxfId="623" priority="3680" operator="containsText" text="Pendente">
      <formula>NOT(ISERROR(SEARCH("Pendente",P333)))</formula>
    </cfRule>
    <cfRule type="containsText" dxfId="622" priority="3678" operator="containsText" text="Lançado">
      <formula>NOT(ISERROR(SEARCH("Lançado",P333)))</formula>
    </cfRule>
    <cfRule type="containsText" dxfId="621" priority="3679" operator="containsText" text="N/A">
      <formula>NOT(ISERROR(SEARCH("N/A",P333)))</formula>
    </cfRule>
  </conditionalFormatting>
  <conditionalFormatting sqref="P334:P335 P347:P352">
    <cfRule type="containsText" dxfId="620" priority="6975" operator="containsText" text="Pendente">
      <formula>NOT(ISERROR(SEARCH("Pendente",P334)))</formula>
    </cfRule>
  </conditionalFormatting>
  <conditionalFormatting sqref="P334:P336 G336:N336">
    <cfRule type="expression" dxfId="619" priority="5649">
      <formula>$H334="CÉLULA CONSTRUTIVA"</formula>
    </cfRule>
  </conditionalFormatting>
  <conditionalFormatting sqref="P336 P332:P333">
    <cfRule type="containsText" dxfId="618" priority="5650" operator="containsText" text="Finalizado">
      <formula>NOT(ISERROR(SEARCH("Finalizado",P332)))</formula>
    </cfRule>
  </conditionalFormatting>
  <conditionalFormatting sqref="P336">
    <cfRule type="containsText" dxfId="617" priority="5646" operator="containsText" text="Lançado">
      <formula>NOT(ISERROR(SEARCH("Lançado",P336)))</formula>
    </cfRule>
    <cfRule type="containsText" dxfId="616" priority="5647" operator="containsText" text="N/A">
      <formula>NOT(ISERROR(SEARCH("N/A",P336)))</formula>
    </cfRule>
    <cfRule type="containsText" dxfId="615" priority="5648" operator="containsText" text="Pendente">
      <formula>NOT(ISERROR(SEARCH("Pendente",P336)))</formula>
    </cfRule>
  </conditionalFormatting>
  <conditionalFormatting sqref="P338:P341">
    <cfRule type="containsText" dxfId="614" priority="5658" operator="containsText" text="em andamento">
      <formula>NOT(ISERROR(SEARCH("em andamento",P338)))</formula>
    </cfRule>
    <cfRule type="containsText" dxfId="613" priority="5657" operator="containsText" text="Finalizado">
      <formula>NOT(ISERROR(SEARCH("Finalizado",P338)))</formula>
    </cfRule>
  </conditionalFormatting>
  <conditionalFormatting sqref="P338:P342">
    <cfRule type="containsText" dxfId="612" priority="5641" operator="containsText" text="Finalizado">
      <formula>NOT(ISERROR(SEARCH("Finalizado",P338)))</formula>
    </cfRule>
    <cfRule type="containsText" dxfId="611" priority="5642" operator="containsText" text="em andamento">
      <formula>NOT(ISERROR(SEARCH("em andamento",P338)))</formula>
    </cfRule>
  </conditionalFormatting>
  <conditionalFormatting sqref="P338:P345">
    <cfRule type="containsText" dxfId="610" priority="5627" operator="containsText" text="Pendente">
      <formula>NOT(ISERROR(SEARCH("Pendente",P338)))</formula>
    </cfRule>
    <cfRule type="containsText" dxfId="609" priority="5625" operator="containsText" text="Lançado">
      <formula>NOT(ISERROR(SEARCH("Lançado",P338)))</formula>
    </cfRule>
  </conditionalFormatting>
  <conditionalFormatting sqref="P342 G336:N336">
    <cfRule type="expression" dxfId="608" priority="5645">
      <formula>$H336="SUBETAPA"</formula>
    </cfRule>
  </conditionalFormatting>
  <conditionalFormatting sqref="P342:P345">
    <cfRule type="expression" dxfId="607" priority="5611">
      <formula>$H342="ETAPA"</formula>
    </cfRule>
  </conditionalFormatting>
  <conditionalFormatting sqref="P343:P345">
    <cfRule type="containsText" dxfId="606" priority="5620" operator="containsText" text="Finalizado">
      <formula>NOT(ISERROR(SEARCH("Finalizado",P343)))</formula>
    </cfRule>
    <cfRule type="containsText" dxfId="605" priority="5621" operator="containsText" text="em andamento">
      <formula>NOT(ISERROR(SEARCH("em andamento",P343)))</formula>
    </cfRule>
    <cfRule type="expression" dxfId="604" priority="5622">
      <formula>$H343="SUBETAPA"</formula>
    </cfRule>
    <cfRule type="containsText" dxfId="603" priority="5626" operator="containsText" text="N/A">
      <formula>NOT(ISERROR(SEARCH("N/A",P343)))</formula>
    </cfRule>
    <cfRule type="expression" dxfId="602" priority="5609">
      <formula>$H343="SUBETAPA"</formula>
    </cfRule>
    <cfRule type="expression" dxfId="601" priority="5610">
      <formula>$H343="CÉLULA CONSTRUTIVA"</formula>
    </cfRule>
    <cfRule type="containsText" dxfId="600" priority="5612" operator="containsText" text="Lançado">
      <formula>NOT(ISERROR(SEARCH("Lançado",P343)))</formula>
    </cfRule>
    <cfRule type="containsText" dxfId="599" priority="5614" operator="containsText" text="Pendente">
      <formula>NOT(ISERROR(SEARCH("Pendente",P343)))</formula>
    </cfRule>
    <cfRule type="containsText" dxfId="598" priority="5615" operator="containsText" text="Finalizado">
      <formula>NOT(ISERROR(SEARCH("Finalizado",P343)))</formula>
    </cfRule>
    <cfRule type="containsText" dxfId="597" priority="5616" operator="containsText" text="em andamento">
      <formula>NOT(ISERROR(SEARCH("em andamento",P343)))</formula>
    </cfRule>
    <cfRule type="containsText" dxfId="596" priority="5617" operator="containsText" text="Lançado">
      <formula>NOT(ISERROR(SEARCH("Lançado",P343)))</formula>
    </cfRule>
    <cfRule type="containsText" dxfId="595" priority="5618" operator="containsText" text="N/A">
      <formula>NOT(ISERROR(SEARCH("N/A",P343)))</formula>
    </cfRule>
    <cfRule type="containsText" dxfId="594" priority="5613" operator="containsText" text="N/A">
      <formula>NOT(ISERROR(SEARCH("N/A",P343)))</formula>
    </cfRule>
    <cfRule type="containsText" dxfId="593" priority="5619" operator="containsText" text="Pendente">
      <formula>NOT(ISERROR(SEARCH("Pendente",P343)))</formula>
    </cfRule>
  </conditionalFormatting>
  <conditionalFormatting sqref="P347:P352 P334:P335">
    <cfRule type="expression" dxfId="592" priority="6972">
      <formula>$H334="ETAPA"</formula>
    </cfRule>
  </conditionalFormatting>
  <conditionalFormatting sqref="P347:P352">
    <cfRule type="expression" dxfId="591" priority="6971">
      <formula>$H347="CÉLULA CONSTRUTIVA"</formula>
    </cfRule>
  </conditionalFormatting>
  <conditionalFormatting sqref="P353:P355 P357 P366:P367 P378 P380:P381 P388 P422 P284:P286">
    <cfRule type="containsText" dxfId="590" priority="13964" operator="containsText" text="em andamento">
      <formula>NOT(ISERROR(SEARCH("em andamento",P284)))</formula>
    </cfRule>
  </conditionalFormatting>
  <conditionalFormatting sqref="P353:P355 P357 P366:P367 P378 P380:P381 P388 P422">
    <cfRule type="containsText" dxfId="589" priority="13963" operator="containsText" text="Finalizado">
      <formula>NOT(ISERROR(SEARCH("Finalizado",P353)))</formula>
    </cfRule>
  </conditionalFormatting>
  <conditionalFormatting sqref="P353:P355 P357:P360 P362:P367 P378 P380:P381 P388 P422 P435:P436">
    <cfRule type="containsText" dxfId="588" priority="13962" operator="containsText" text="Pendente">
      <formula>NOT(ISERROR(SEARCH("Pendente",P353)))</formula>
    </cfRule>
  </conditionalFormatting>
  <conditionalFormatting sqref="P353:P355 P380:P381 P366:P367 P378 P388 P357">
    <cfRule type="containsText" dxfId="587" priority="13960" operator="containsText" text="Lançado">
      <formula>NOT(ISERROR(SEARCH("Lançado",P353)))</formula>
    </cfRule>
    <cfRule type="containsText" dxfId="586" priority="13961" operator="containsText" text="N/A">
      <formula>NOT(ISERROR(SEARCH("N/A",P353)))</formula>
    </cfRule>
  </conditionalFormatting>
  <conditionalFormatting sqref="P354 O355:P355 N425:P425 M447:P448 G449:P452">
    <cfRule type="expression" dxfId="585" priority="13787">
      <formula>$H354="CÉLULA CONSTRUTIVA"</formula>
    </cfRule>
  </conditionalFormatting>
  <conditionalFormatting sqref="P354:P355">
    <cfRule type="containsText" dxfId="584" priority="13938" operator="containsText" text="em andamento">
      <formula>NOT(ISERROR(SEARCH("em andamento",P354)))</formula>
    </cfRule>
    <cfRule type="containsText" dxfId="583" priority="13937" operator="containsText" text="Finalizado">
      <formula>NOT(ISERROR(SEARCH("Finalizado",P354)))</formula>
    </cfRule>
    <cfRule type="containsText" dxfId="582" priority="13936" operator="containsText" text="Pendente">
      <formula>NOT(ISERROR(SEARCH("Pendente",P354)))</formula>
    </cfRule>
    <cfRule type="containsText" dxfId="581" priority="13935" operator="containsText" text="N/A">
      <formula>NOT(ISERROR(SEARCH("N/A",P354)))</formula>
    </cfRule>
    <cfRule type="containsText" dxfId="580" priority="13934" operator="containsText" text="Lançado">
      <formula>NOT(ISERROR(SEARCH("Lançado",P354)))</formula>
    </cfRule>
  </conditionalFormatting>
  <conditionalFormatting sqref="P357:P359">
    <cfRule type="containsText" dxfId="579" priority="12088" operator="containsText" text="Pendente">
      <formula>NOT(ISERROR(SEARCH("Pendente",P357)))</formula>
    </cfRule>
    <cfRule type="containsText" dxfId="578" priority="12087" operator="containsText" text="N/A">
      <formula>NOT(ISERROR(SEARCH("N/A",P357)))</formula>
    </cfRule>
    <cfRule type="containsText" dxfId="577" priority="12086" operator="containsText" text="Lançado">
      <formula>NOT(ISERROR(SEARCH("Lançado",P357)))</formula>
    </cfRule>
    <cfRule type="containsText" dxfId="576" priority="12089" operator="containsText" text="Finalizado">
      <formula>NOT(ISERROR(SEARCH("Finalizado",P357)))</formula>
    </cfRule>
    <cfRule type="containsText" dxfId="575" priority="12090" operator="containsText" text="em andamento">
      <formula>NOT(ISERROR(SEARCH("em andamento",P357)))</formula>
    </cfRule>
  </conditionalFormatting>
  <conditionalFormatting sqref="P358:P359">
    <cfRule type="containsText" dxfId="574" priority="12079" operator="containsText" text="N/A">
      <formula>NOT(ISERROR(SEARCH("N/A",P358)))</formula>
    </cfRule>
    <cfRule type="containsText" dxfId="573" priority="12080" operator="containsText" text="Pendente">
      <formula>NOT(ISERROR(SEARCH("Pendente",P358)))</formula>
    </cfRule>
    <cfRule type="containsText" dxfId="572" priority="12078" operator="containsText" text="Lançado">
      <formula>NOT(ISERROR(SEARCH("Lançado",P358)))</formula>
    </cfRule>
    <cfRule type="containsText" dxfId="571" priority="12082" operator="containsText" text="em andamento">
      <formula>NOT(ISERROR(SEARCH("em andamento",P358)))</formula>
    </cfRule>
    <cfRule type="containsText" dxfId="570" priority="12081" operator="containsText" text="Finalizado">
      <formula>NOT(ISERROR(SEARCH("Finalizado",P358)))</formula>
    </cfRule>
  </conditionalFormatting>
  <conditionalFormatting sqref="P361">
    <cfRule type="containsText" dxfId="569" priority="3657" operator="containsText" text="N/A">
      <formula>NOT(ISERROR(SEARCH("N/A",P361)))</formula>
    </cfRule>
    <cfRule type="containsText" dxfId="568" priority="3656" operator="containsText" text="Lançado">
      <formula>NOT(ISERROR(SEARCH("Lançado",P361)))</formula>
    </cfRule>
    <cfRule type="containsText" dxfId="567" priority="3665" operator="containsText" text="em andamento">
      <formula>NOT(ISERROR(SEARCH("em andamento",P361)))</formula>
    </cfRule>
    <cfRule type="containsText" dxfId="566" priority="3664" operator="containsText" text="Finalizado">
      <formula>NOT(ISERROR(SEARCH("Finalizado",P361)))</formula>
    </cfRule>
    <cfRule type="containsText" dxfId="565" priority="3660" operator="containsText" text="em andamento">
      <formula>NOT(ISERROR(SEARCH("em andamento",P361)))</formula>
    </cfRule>
    <cfRule type="containsText" dxfId="564" priority="3663" operator="containsText" text="Pendente">
      <formula>NOT(ISERROR(SEARCH("Pendente",P361)))</formula>
    </cfRule>
    <cfRule type="containsText" dxfId="563" priority="3659" operator="containsText" text="Finalizado">
      <formula>NOT(ISERROR(SEARCH("Finalizado",P361)))</formula>
    </cfRule>
    <cfRule type="containsText" dxfId="562" priority="3661" operator="containsText" text="Lançado">
      <formula>NOT(ISERROR(SEARCH("Lançado",P361)))</formula>
    </cfRule>
    <cfRule type="containsText" dxfId="561" priority="3658" operator="containsText" text="Pendente">
      <formula>NOT(ISERROR(SEARCH("Pendente",P361)))</formula>
    </cfRule>
    <cfRule type="containsText" dxfId="560" priority="3662" operator="containsText" text="N/A">
      <formula>NOT(ISERROR(SEARCH("N/A",P361)))</formula>
    </cfRule>
  </conditionalFormatting>
  <conditionalFormatting sqref="P364:P365">
    <cfRule type="containsText" dxfId="559" priority="3583" operator="containsText" text="em andamento">
      <formula>NOT(ISERROR(SEARCH("em andamento",P364)))</formula>
    </cfRule>
    <cfRule type="containsText" dxfId="558" priority="3582" operator="containsText" text="Finalizado">
      <formula>NOT(ISERROR(SEARCH("Finalizado",P364)))</formula>
    </cfRule>
    <cfRule type="containsText" dxfId="557" priority="3579" operator="containsText" text="Lançado">
      <formula>NOT(ISERROR(SEARCH("Lançado",P364)))</formula>
    </cfRule>
    <cfRule type="containsText" dxfId="556" priority="3580" operator="containsText" text="N/A">
      <formula>NOT(ISERROR(SEARCH("N/A",P364)))</formula>
    </cfRule>
    <cfRule type="containsText" dxfId="555" priority="3581" operator="containsText" text="Pendente">
      <formula>NOT(ISERROR(SEARCH("Pendente",P364)))</formula>
    </cfRule>
  </conditionalFormatting>
  <conditionalFormatting sqref="P366:P367 P380">
    <cfRule type="containsText" dxfId="554" priority="13844" operator="containsText" text="Finalizado">
      <formula>NOT(ISERROR(SEARCH("Finalizado",P366)))</formula>
    </cfRule>
    <cfRule type="containsText" dxfId="553" priority="13845" operator="containsText" text="em andamento">
      <formula>NOT(ISERROR(SEARCH("em andamento",P366)))</formula>
    </cfRule>
  </conditionalFormatting>
  <conditionalFormatting sqref="P366:P375">
    <cfRule type="expression" dxfId="552" priority="12135">
      <formula>$H366="ETAPA"</formula>
    </cfRule>
    <cfRule type="containsText" dxfId="551" priority="12151" operator="containsText" text="Pendente">
      <formula>NOT(ISERROR(SEARCH("Pendente",P366)))</formula>
    </cfRule>
    <cfRule type="expression" dxfId="550" priority="12134">
      <formula>$H366="CÉLULA CONSTRUTIVA"</formula>
    </cfRule>
    <cfRule type="containsText" dxfId="549" priority="12150" operator="containsText" text="N/A">
      <formula>NOT(ISERROR(SEARCH("N/A",P366)))</formula>
    </cfRule>
    <cfRule type="containsText" dxfId="548" priority="12149" operator="containsText" text="Lançado">
      <formula>NOT(ISERROR(SEARCH("Lançado",P366)))</formula>
    </cfRule>
    <cfRule type="expression" dxfId="547" priority="12133">
      <formula>$H366="SUBETAPA"</formula>
    </cfRule>
  </conditionalFormatting>
  <conditionalFormatting sqref="P368:P375">
    <cfRule type="containsText" dxfId="546" priority="12137" operator="containsText" text="N/A">
      <formula>NOT(ISERROR(SEARCH("N/A",P368)))</formula>
    </cfRule>
    <cfRule type="containsText" dxfId="545" priority="12145" operator="containsText" text="em andamento">
      <formula>NOT(ISERROR(SEARCH("em andamento",P368)))</formula>
    </cfRule>
    <cfRule type="containsText" dxfId="544" priority="12136" operator="containsText" text="Lançado">
      <formula>NOT(ISERROR(SEARCH("Lançado",P368)))</formula>
    </cfRule>
    <cfRule type="containsText" dxfId="543" priority="12144" operator="containsText" text="Finalizado">
      <formula>NOT(ISERROR(SEARCH("Finalizado",P368)))</formula>
    </cfRule>
    <cfRule type="containsText" dxfId="542" priority="12143" operator="containsText" text="Pendente">
      <formula>NOT(ISERROR(SEARCH("Pendente",P368)))</formula>
    </cfRule>
    <cfRule type="containsText" dxfId="541" priority="12142" operator="containsText" text="N/A">
      <formula>NOT(ISERROR(SEARCH("N/A",P368)))</formula>
    </cfRule>
    <cfRule type="containsText" dxfId="540" priority="12141" operator="containsText" text="Lançado">
      <formula>NOT(ISERROR(SEARCH("Lançado",P368)))</formula>
    </cfRule>
    <cfRule type="containsText" dxfId="539" priority="12140" operator="containsText" text="em andamento">
      <formula>NOT(ISERROR(SEARCH("em andamento",P368)))</formula>
    </cfRule>
    <cfRule type="containsText" dxfId="538" priority="12139" operator="containsText" text="Finalizado">
      <formula>NOT(ISERROR(SEARCH("Finalizado",P368)))</formula>
    </cfRule>
    <cfRule type="containsText" dxfId="537" priority="12138" operator="containsText" text="Pendente">
      <formula>NOT(ISERROR(SEARCH("Pendente",P368)))</formula>
    </cfRule>
    <cfRule type="containsText" dxfId="536" priority="12152" operator="containsText" text="Finalizado">
      <formula>NOT(ISERROR(SEARCH("Finalizado",P368)))</formula>
    </cfRule>
    <cfRule type="containsText" dxfId="535" priority="12153" operator="containsText" text="em andamento">
      <formula>NOT(ISERROR(SEARCH("em andamento",P368)))</formula>
    </cfRule>
  </conditionalFormatting>
  <conditionalFormatting sqref="P376">
    <cfRule type="containsText" dxfId="534" priority="3190" operator="containsText" text="Lançado">
      <formula>NOT(ISERROR(SEARCH("Lançado",P376)))</formula>
    </cfRule>
    <cfRule type="containsText" dxfId="533" priority="3192" operator="containsText" text="Pendente">
      <formula>NOT(ISERROR(SEARCH("Pendente",P376)))</formula>
    </cfRule>
    <cfRule type="containsText" dxfId="532" priority="3191" operator="containsText" text="N/A">
      <formula>NOT(ISERROR(SEARCH("N/A",P376)))</formula>
    </cfRule>
    <cfRule type="containsText" dxfId="531" priority="3200" operator="containsText" text="Finalizado">
      <formula>NOT(ISERROR(SEARCH("Finalizado",P376)))</formula>
    </cfRule>
    <cfRule type="containsText" dxfId="530" priority="3201" operator="containsText" text="em andamento">
      <formula>NOT(ISERROR(SEARCH("em andamento",P376)))</formula>
    </cfRule>
    <cfRule type="containsText" dxfId="529" priority="3199" operator="containsText" text="Pendente">
      <formula>NOT(ISERROR(SEARCH("Pendente",P376)))</formula>
    </cfRule>
    <cfRule type="containsText" dxfId="528" priority="3198" operator="containsText" text="N/A">
      <formula>NOT(ISERROR(SEARCH("N/A",P376)))</formula>
    </cfRule>
    <cfRule type="containsText" dxfId="527" priority="3197" operator="containsText" text="Lançado">
      <formula>NOT(ISERROR(SEARCH("Lançado",P376)))</formula>
    </cfRule>
    <cfRule type="containsText" dxfId="526" priority="3194" operator="containsText" text="em andamento">
      <formula>NOT(ISERROR(SEARCH("em andamento",P376)))</formula>
    </cfRule>
    <cfRule type="containsText" dxfId="525" priority="3193" operator="containsText" text="Finalizado">
      <formula>NOT(ISERROR(SEARCH("Finalizado",P376)))</formula>
    </cfRule>
  </conditionalFormatting>
  <conditionalFormatting sqref="P377">
    <cfRule type="containsText" dxfId="524" priority="12214" operator="containsText" text="Pendente">
      <formula>NOT(ISERROR(SEARCH("Pendente",P377)))</formula>
    </cfRule>
    <cfRule type="containsText" dxfId="523" priority="12200" operator="containsText" text="N/A">
      <formula>NOT(ISERROR(SEARCH("N/A",P377)))</formula>
    </cfRule>
    <cfRule type="containsText" dxfId="522" priority="12201" operator="containsText" text="Pendente">
      <formula>NOT(ISERROR(SEARCH("Pendente",P377)))</formula>
    </cfRule>
    <cfRule type="containsText" dxfId="521" priority="12202" operator="containsText" text="Finalizado">
      <formula>NOT(ISERROR(SEARCH("Finalizado",P377)))</formula>
    </cfRule>
    <cfRule type="containsText" dxfId="520" priority="12203" operator="containsText" text="em andamento">
      <formula>NOT(ISERROR(SEARCH("em andamento",P377)))</formula>
    </cfRule>
    <cfRule type="expression" dxfId="519" priority="12196">
      <formula>$H377="SUBETAPA"</formula>
    </cfRule>
    <cfRule type="expression" dxfId="518" priority="12197">
      <formula>$H377="CÉLULA CONSTRUTIVA"</formula>
    </cfRule>
    <cfRule type="containsText" dxfId="517" priority="12213" operator="containsText" text="N/A">
      <formula>NOT(ISERROR(SEARCH("N/A",P377)))</formula>
    </cfRule>
    <cfRule type="containsText" dxfId="516" priority="12212" operator="containsText" text="Lançado">
      <formula>NOT(ISERROR(SEARCH("Lançado",P377)))</formula>
    </cfRule>
    <cfRule type="containsText" dxfId="515" priority="12208" operator="containsText" text="em andamento">
      <formula>NOT(ISERROR(SEARCH("em andamento",P377)))</formula>
    </cfRule>
    <cfRule type="containsText" dxfId="514" priority="12207" operator="containsText" text="Finalizado">
      <formula>NOT(ISERROR(SEARCH("Finalizado",P377)))</formula>
    </cfRule>
    <cfRule type="containsText" dxfId="513" priority="12206" operator="containsText" text="Pendente">
      <formula>NOT(ISERROR(SEARCH("Pendente",P377)))</formula>
    </cfRule>
    <cfRule type="containsText" dxfId="512" priority="12205" operator="containsText" text="N/A">
      <formula>NOT(ISERROR(SEARCH("N/A",P377)))</formula>
    </cfRule>
    <cfRule type="containsText" dxfId="511" priority="12199" operator="containsText" text="Lançado">
      <formula>NOT(ISERROR(SEARCH("Lançado",P377)))</formula>
    </cfRule>
    <cfRule type="containsText" dxfId="510" priority="12216" operator="containsText" text="em andamento">
      <formula>NOT(ISERROR(SEARCH("em andamento",P377)))</formula>
    </cfRule>
    <cfRule type="containsText" dxfId="509" priority="12215" operator="containsText" text="Finalizado">
      <formula>NOT(ISERROR(SEARCH("Finalizado",P377)))</formula>
    </cfRule>
    <cfRule type="containsText" dxfId="508" priority="12204" operator="containsText" text="Lançado">
      <formula>NOT(ISERROR(SEARCH("Lançado",P377)))</formula>
    </cfRule>
    <cfRule type="expression" dxfId="507" priority="12198">
      <formula>$H377="ETAPA"</formula>
    </cfRule>
  </conditionalFormatting>
  <conditionalFormatting sqref="P378:P379 P389:P390">
    <cfRule type="containsText" dxfId="506" priority="12237" operator="containsText" text="em andamento">
      <formula>NOT(ISERROR(SEARCH("em andamento",P378)))</formula>
    </cfRule>
  </conditionalFormatting>
  <conditionalFormatting sqref="P378:P379">
    <cfRule type="containsText" dxfId="505" priority="12233" operator="containsText" text="Lançado">
      <formula>NOT(ISERROR(SEARCH("Lançado",P378)))</formula>
    </cfRule>
    <cfRule type="containsText" dxfId="504" priority="12234" operator="containsText" text="N/A">
      <formula>NOT(ISERROR(SEARCH("N/A",P378)))</formula>
    </cfRule>
    <cfRule type="containsText" dxfId="503" priority="12235" operator="containsText" text="Pendente">
      <formula>NOT(ISERROR(SEARCH("Pendente",P378)))</formula>
    </cfRule>
    <cfRule type="containsText" dxfId="502" priority="12236" operator="containsText" text="Finalizado">
      <formula>NOT(ISERROR(SEARCH("Finalizado",P378)))</formula>
    </cfRule>
  </conditionalFormatting>
  <conditionalFormatting sqref="P379 P389:P390">
    <cfRule type="containsText" dxfId="501" priority="12224" operator="containsText" text="em andamento">
      <formula>NOT(ISERROR(SEARCH("em andamento",P379)))</formula>
    </cfRule>
    <cfRule type="containsText" dxfId="500" priority="12226" operator="containsText" text="N/A">
      <formula>NOT(ISERROR(SEARCH("N/A",P379)))</formula>
    </cfRule>
    <cfRule type="expression" dxfId="499" priority="12219">
      <formula>$H379="ETAPA"</formula>
    </cfRule>
    <cfRule type="containsText" dxfId="498" priority="12225" operator="containsText" text="Lançado">
      <formula>NOT(ISERROR(SEARCH("Lançado",P379)))</formula>
    </cfRule>
    <cfRule type="containsText" dxfId="497" priority="12220" operator="containsText" text="Lançado">
      <formula>NOT(ISERROR(SEARCH("Lançado",P379)))</formula>
    </cfRule>
    <cfRule type="containsText" dxfId="496" priority="12223" operator="containsText" text="Finalizado">
      <formula>NOT(ISERROR(SEARCH("Finalizado",P379)))</formula>
    </cfRule>
    <cfRule type="containsText" dxfId="495" priority="12222" operator="containsText" text="Pendente">
      <formula>NOT(ISERROR(SEARCH("Pendente",P379)))</formula>
    </cfRule>
    <cfRule type="containsText" dxfId="494" priority="12221" operator="containsText" text="N/A">
      <formula>NOT(ISERROR(SEARCH("N/A",P379)))</formula>
    </cfRule>
    <cfRule type="containsText" dxfId="493" priority="12227" operator="containsText" text="Pendente">
      <formula>NOT(ISERROR(SEARCH("Pendente",P379)))</formula>
    </cfRule>
    <cfRule type="containsText" dxfId="492" priority="12228" operator="containsText" text="Finalizado">
      <formula>NOT(ISERROR(SEARCH("Finalizado",P379)))</formula>
    </cfRule>
    <cfRule type="containsText" dxfId="491" priority="12229" operator="containsText" text="em andamento">
      <formula>NOT(ISERROR(SEARCH("em andamento",P379)))</formula>
    </cfRule>
    <cfRule type="expression" dxfId="490" priority="12218">
      <formula>$H379="CÉLULA CONSTRUTIVA"</formula>
    </cfRule>
  </conditionalFormatting>
  <conditionalFormatting sqref="P380">
    <cfRule type="containsText" dxfId="489" priority="13843" operator="containsText" text="Pendente">
      <formula>NOT(ISERROR(SEARCH("Pendente",P380)))</formula>
    </cfRule>
    <cfRule type="expression" dxfId="488" priority="13837">
      <formula>$H380="SUBETAPA"</formula>
    </cfRule>
    <cfRule type="containsText" dxfId="487" priority="13918" operator="containsText" text="Finalizado">
      <formula>NOT(ISERROR(SEARCH("Finalizado",P380)))</formula>
    </cfRule>
    <cfRule type="expression" dxfId="486" priority="13838">
      <formula>$H380="CÉLULA CONSTRUTIVA"</formula>
    </cfRule>
    <cfRule type="containsText" dxfId="485" priority="13841" operator="containsText" text="Lançado">
      <formula>NOT(ISERROR(SEARCH("Lançado",P380)))</formula>
    </cfRule>
    <cfRule type="containsText" dxfId="484" priority="13842" operator="containsText" text="N/A">
      <formula>NOT(ISERROR(SEARCH("N/A",P380)))</formula>
    </cfRule>
    <cfRule type="containsText" dxfId="483" priority="13919" operator="containsText" text="em andamento">
      <formula>NOT(ISERROR(SEARCH("em andamento",P380)))</formula>
    </cfRule>
  </conditionalFormatting>
  <conditionalFormatting sqref="P381:P383">
    <cfRule type="containsText" dxfId="482" priority="12257" operator="containsText" text="Finalizado">
      <formula>NOT(ISERROR(SEARCH("Finalizado",P381)))</formula>
    </cfRule>
    <cfRule type="containsText" dxfId="481" priority="12258" operator="containsText" text="em andamento">
      <formula>NOT(ISERROR(SEARCH("em andamento",P381)))</formula>
    </cfRule>
    <cfRule type="containsText" dxfId="480" priority="12255" operator="containsText" text="N/A">
      <formula>NOT(ISERROR(SEARCH("N/A",P381)))</formula>
    </cfRule>
    <cfRule type="containsText" dxfId="479" priority="12254" operator="containsText" text="Lançado">
      <formula>NOT(ISERROR(SEARCH("Lançado",P381)))</formula>
    </cfRule>
    <cfRule type="containsText" dxfId="478" priority="12256" operator="containsText" text="Pendente">
      <formula>NOT(ISERROR(SEARCH("Pendente",P381)))</formula>
    </cfRule>
  </conditionalFormatting>
  <conditionalFormatting sqref="P382">
    <cfRule type="containsText" dxfId="477" priority="12242" operator="containsText" text="N/A">
      <formula>NOT(ISERROR(SEARCH("N/A",P382)))</formula>
    </cfRule>
    <cfRule type="containsText" dxfId="476" priority="12241" operator="containsText" text="Lançado">
      <formula>NOT(ISERROR(SEARCH("Lançado",P382)))</formula>
    </cfRule>
    <cfRule type="containsText" dxfId="475" priority="12248" operator="containsText" text="Pendente">
      <formula>NOT(ISERROR(SEARCH("Pendente",P382)))</formula>
    </cfRule>
    <cfRule type="containsText" dxfId="474" priority="12247" operator="containsText" text="N/A">
      <formula>NOT(ISERROR(SEARCH("N/A",P382)))</formula>
    </cfRule>
    <cfRule type="containsText" dxfId="473" priority="12246" operator="containsText" text="Lançado">
      <formula>NOT(ISERROR(SEARCH("Lançado",P382)))</formula>
    </cfRule>
    <cfRule type="containsText" dxfId="472" priority="12243" operator="containsText" text="Pendente">
      <formula>NOT(ISERROR(SEARCH("Pendente",P382)))</formula>
    </cfRule>
    <cfRule type="containsText" dxfId="471" priority="12244" operator="containsText" text="Finalizado">
      <formula>NOT(ISERROR(SEARCH("Finalizado",P382)))</formula>
    </cfRule>
    <cfRule type="containsText" dxfId="470" priority="12245" operator="containsText" text="em andamento">
      <formula>NOT(ISERROR(SEARCH("em andamento",P382)))</formula>
    </cfRule>
    <cfRule type="containsText" dxfId="469" priority="12249" operator="containsText" text="Finalizado">
      <formula>NOT(ISERROR(SEARCH("Finalizado",P382)))</formula>
    </cfRule>
    <cfRule type="containsText" dxfId="468" priority="12250" operator="containsText" text="em andamento">
      <formula>NOT(ISERROR(SEARCH("em andamento",P382)))</formula>
    </cfRule>
  </conditionalFormatting>
  <conditionalFormatting sqref="P382:P383">
    <cfRule type="expression" dxfId="467" priority="12251">
      <formula>$H382="SUBETAPA"</formula>
    </cfRule>
    <cfRule type="expression" dxfId="466" priority="12253">
      <formula>$H382="ETAPA"</formula>
    </cfRule>
    <cfRule type="expression" dxfId="465" priority="12252">
      <formula>$H382="CÉLULA CONSTRUTIVA"</formula>
    </cfRule>
  </conditionalFormatting>
  <conditionalFormatting sqref="P383">
    <cfRule type="containsText" dxfId="464" priority="12268" operator="containsText" text="N/A">
      <formula>NOT(ISERROR(SEARCH("N/A",P383)))</formula>
    </cfRule>
    <cfRule type="containsText" dxfId="463" priority="12269" operator="containsText" text="Pendente">
      <formula>NOT(ISERROR(SEARCH("Pendente",P383)))</formula>
    </cfRule>
    <cfRule type="containsText" dxfId="462" priority="12270" operator="containsText" text="Finalizado">
      <formula>NOT(ISERROR(SEARCH("Finalizado",P383)))</formula>
    </cfRule>
    <cfRule type="containsText" dxfId="461" priority="12271" operator="containsText" text="em andamento">
      <formula>NOT(ISERROR(SEARCH("em andamento",P383)))</formula>
    </cfRule>
    <cfRule type="containsText" dxfId="460" priority="13329" operator="containsText" text="Pendente">
      <formula>NOT(ISERROR(SEARCH("Pendente",P383)))</formula>
    </cfRule>
    <cfRule type="containsText" dxfId="459" priority="12267" operator="containsText" text="Lançado">
      <formula>NOT(ISERROR(SEARCH("Lançado",P383)))</formula>
    </cfRule>
    <cfRule type="expression" dxfId="458" priority="12272">
      <formula>$H383="SUBETAPA"</formula>
    </cfRule>
    <cfRule type="expression" dxfId="457" priority="12273">
      <formula>$H383="CÉLULA CONSTRUTIVA"</formula>
    </cfRule>
    <cfRule type="expression" dxfId="456" priority="12274">
      <formula>$H383="ETAPA"</formula>
    </cfRule>
    <cfRule type="containsText" dxfId="455" priority="12278" operator="containsText" text="Finalizado">
      <formula>NOT(ISERROR(SEARCH("Finalizado",P383)))</formula>
    </cfRule>
    <cfRule type="containsText" dxfId="454" priority="12297" operator="containsText" text="N/A">
      <formula>NOT(ISERROR(SEARCH("N/A",P383)))</formula>
    </cfRule>
    <cfRule type="containsText" dxfId="453" priority="12279" operator="containsText" text="em andamento">
      <formula>NOT(ISERROR(SEARCH("em andamento",P383)))</formula>
    </cfRule>
    <cfRule type="containsText" dxfId="452" priority="12296" operator="containsText" text="Lançado">
      <formula>NOT(ISERROR(SEARCH("Lançado",P383)))</formula>
    </cfRule>
  </conditionalFormatting>
  <conditionalFormatting sqref="P384">
    <cfRule type="containsText" dxfId="451" priority="245" operator="containsText" text="em andamento">
      <formula>NOT(ISERROR(SEARCH("em andamento",P384)))</formula>
    </cfRule>
    <cfRule type="containsText" dxfId="450" priority="244" operator="containsText" text="Finalizado">
      <formula>NOT(ISERROR(SEARCH("Finalizado",P384)))</formula>
    </cfRule>
    <cfRule type="containsText" dxfId="449" priority="243" operator="containsText" text="Pendente">
      <formula>NOT(ISERROR(SEARCH("Pendente",P384)))</formula>
    </cfRule>
    <cfRule type="containsText" dxfId="448" priority="242" operator="containsText" text="N/A">
      <formula>NOT(ISERROR(SEARCH("N/A",P384)))</formula>
    </cfRule>
    <cfRule type="containsText" dxfId="447" priority="241" operator="containsText" text="Lançado">
      <formula>NOT(ISERROR(SEARCH("Lançado",P384)))</formula>
    </cfRule>
    <cfRule type="containsText" dxfId="446" priority="238" operator="containsText" text="em andamento">
      <formula>NOT(ISERROR(SEARCH("em andamento",P384)))</formula>
    </cfRule>
    <cfRule type="containsText" dxfId="445" priority="237" operator="containsText" text="Finalizado">
      <formula>NOT(ISERROR(SEARCH("Finalizado",P384)))</formula>
    </cfRule>
    <cfRule type="containsText" dxfId="444" priority="236" operator="containsText" text="Pendente">
      <formula>NOT(ISERROR(SEARCH("Pendente",P384)))</formula>
    </cfRule>
    <cfRule type="containsText" dxfId="443" priority="235" operator="containsText" text="N/A">
      <formula>NOT(ISERROR(SEARCH("N/A",P384)))</formula>
    </cfRule>
    <cfRule type="containsText" dxfId="442" priority="234" operator="containsText" text="Lançado">
      <formula>NOT(ISERROR(SEARCH("Lançado",P384)))</formula>
    </cfRule>
  </conditionalFormatting>
  <conditionalFormatting sqref="P385 P387">
    <cfRule type="expression" dxfId="441" priority="258">
      <formula>$H385="CÉLULA CONSTRUTIVA"</formula>
    </cfRule>
    <cfRule type="containsText" dxfId="440" priority="274" operator="containsText" text="N/A">
      <formula>NOT(ISERROR(SEARCH("N/A",P385)))</formula>
    </cfRule>
    <cfRule type="containsText" dxfId="439" priority="260" operator="containsText" text="Lançado">
      <formula>NOT(ISERROR(SEARCH("Lançado",P385)))</formula>
    </cfRule>
    <cfRule type="containsText" dxfId="438" priority="277" operator="containsText" text="em andamento">
      <formula>NOT(ISERROR(SEARCH("em andamento",P385)))</formula>
    </cfRule>
    <cfRule type="containsText" dxfId="437" priority="273" operator="containsText" text="Lançado">
      <formula>NOT(ISERROR(SEARCH("Lançado",P385)))</formula>
    </cfRule>
    <cfRule type="containsText" dxfId="436" priority="269" operator="containsText" text="em andamento">
      <formula>NOT(ISERROR(SEARCH("em andamento",P385)))</formula>
    </cfRule>
    <cfRule type="containsText" dxfId="435" priority="268" operator="containsText" text="Finalizado">
      <formula>NOT(ISERROR(SEARCH("Finalizado",P385)))</formula>
    </cfRule>
    <cfRule type="containsText" dxfId="434" priority="267" operator="containsText" text="Pendente">
      <formula>NOT(ISERROR(SEARCH("Pendente",P385)))</formula>
    </cfRule>
    <cfRule type="containsText" dxfId="433" priority="266" operator="containsText" text="N/A">
      <formula>NOT(ISERROR(SEARCH("N/A",P385)))</formula>
    </cfRule>
    <cfRule type="containsText" dxfId="432" priority="265" operator="containsText" text="Lançado">
      <formula>NOT(ISERROR(SEARCH("Lançado",P385)))</formula>
    </cfRule>
    <cfRule type="containsText" dxfId="431" priority="264" operator="containsText" text="em andamento">
      <formula>NOT(ISERROR(SEARCH("em andamento",P385)))</formula>
    </cfRule>
    <cfRule type="containsText" dxfId="430" priority="263" operator="containsText" text="Finalizado">
      <formula>NOT(ISERROR(SEARCH("Finalizado",P385)))</formula>
    </cfRule>
    <cfRule type="containsText" dxfId="429" priority="262" operator="containsText" text="Pendente">
      <formula>NOT(ISERROR(SEARCH("Pendente",P385)))</formula>
    </cfRule>
    <cfRule type="containsText" dxfId="428" priority="276" operator="containsText" text="Finalizado">
      <formula>NOT(ISERROR(SEARCH("Finalizado",P385)))</formula>
    </cfRule>
    <cfRule type="containsText" dxfId="427" priority="275" operator="containsText" text="Pendente">
      <formula>NOT(ISERROR(SEARCH("Pendente",P385)))</formula>
    </cfRule>
    <cfRule type="containsText" dxfId="426" priority="261" operator="containsText" text="N/A">
      <formula>NOT(ISERROR(SEARCH("N/A",P385)))</formula>
    </cfRule>
    <cfRule type="expression" dxfId="425" priority="259">
      <formula>$H385="ETAPA"</formula>
    </cfRule>
    <cfRule type="expression" dxfId="424" priority="257">
      <formula>$H385="SUBETAPA"</formula>
    </cfRule>
  </conditionalFormatting>
  <conditionalFormatting sqref="P386">
    <cfRule type="containsText" dxfId="423" priority="64" operator="containsText" text="Lançado">
      <formula>NOT(ISERROR(SEARCH("Lançado",P386)))</formula>
    </cfRule>
    <cfRule type="containsText" dxfId="422" priority="66" operator="containsText" text="Pendente">
      <formula>NOT(ISERROR(SEARCH("Pendente",P386)))</formula>
    </cfRule>
    <cfRule type="containsText" dxfId="421" priority="68" operator="containsText" text="em andamento">
      <formula>NOT(ISERROR(SEARCH("em andamento",P386)))</formula>
    </cfRule>
    <cfRule type="containsText" dxfId="420" priority="71" operator="containsText" text="Lançado">
      <formula>NOT(ISERROR(SEARCH("Lançado",P386)))</formula>
    </cfRule>
    <cfRule type="containsText" dxfId="419" priority="72" operator="containsText" text="N/A">
      <formula>NOT(ISERROR(SEARCH("N/A",P386)))</formula>
    </cfRule>
    <cfRule type="containsText" dxfId="418" priority="73" operator="containsText" text="Pendente">
      <formula>NOT(ISERROR(SEARCH("Pendente",P386)))</formula>
    </cfRule>
    <cfRule type="containsText" dxfId="417" priority="74" operator="containsText" text="Finalizado">
      <formula>NOT(ISERROR(SEARCH("Finalizado",P386)))</formula>
    </cfRule>
    <cfRule type="containsText" dxfId="416" priority="75" operator="containsText" text="em andamento">
      <formula>NOT(ISERROR(SEARCH("em andamento",P386)))</formula>
    </cfRule>
    <cfRule type="containsText" dxfId="415" priority="67" operator="containsText" text="Finalizado">
      <formula>NOT(ISERROR(SEARCH("Finalizado",P386)))</formula>
    </cfRule>
    <cfRule type="containsText" dxfId="414" priority="65" operator="containsText" text="N/A">
      <formula>NOT(ISERROR(SEARCH("N/A",P386)))</formula>
    </cfRule>
  </conditionalFormatting>
  <conditionalFormatting sqref="P388">
    <cfRule type="containsText" dxfId="413" priority="13658" operator="containsText" text="em andamento">
      <formula>NOT(ISERROR(SEARCH("em andamento",P388)))</formula>
    </cfRule>
  </conditionalFormatting>
  <conditionalFormatting sqref="P388:P390">
    <cfRule type="containsText" dxfId="412" priority="12359" operator="containsText" text="Lançado">
      <formula>NOT(ISERROR(SEARCH("Lançado",P388)))</formula>
    </cfRule>
    <cfRule type="containsText" dxfId="411" priority="12360" operator="containsText" text="N/A">
      <formula>NOT(ISERROR(SEARCH("N/A",P388)))</formula>
    </cfRule>
    <cfRule type="containsText" dxfId="410" priority="12362" operator="containsText" text="Finalizado">
      <formula>NOT(ISERROR(SEARCH("Finalizado",P388)))</formula>
    </cfRule>
    <cfRule type="containsText" dxfId="409" priority="12361" operator="containsText" text="Pendente">
      <formula>NOT(ISERROR(SEARCH("Pendente",P388)))</formula>
    </cfRule>
  </conditionalFormatting>
  <conditionalFormatting sqref="P388:P393 P399 P397">
    <cfRule type="containsText" dxfId="408" priority="3574" operator="containsText" text="N/A">
      <formula>NOT(ISERROR(SEARCH("N/A",P388)))</formula>
    </cfRule>
    <cfRule type="containsText" dxfId="407" priority="3573" operator="containsText" text="Lançado">
      <formula>NOT(ISERROR(SEARCH("Lançado",P388)))</formula>
    </cfRule>
  </conditionalFormatting>
  <conditionalFormatting sqref="P389:P390 P379">
    <cfRule type="expression" dxfId="406" priority="12217">
      <formula>$H379="SUBETAPA"</formula>
    </cfRule>
  </conditionalFormatting>
  <conditionalFormatting sqref="P391 O392:P393">
    <cfRule type="expression" dxfId="405" priority="3546">
      <formula>$H391="SUBETAPA"</formula>
    </cfRule>
    <cfRule type="expression" dxfId="404" priority="3547">
      <formula>$H391="CÉLULA CONSTRUTIVA"</formula>
    </cfRule>
  </conditionalFormatting>
  <conditionalFormatting sqref="P391">
    <cfRule type="expression" dxfId="403" priority="3578">
      <formula>$H391="ETAPA"</formula>
    </cfRule>
  </conditionalFormatting>
  <conditionalFormatting sqref="P391:P393 P397 P399 P439:P440">
    <cfRule type="containsText" dxfId="402" priority="3575" operator="containsText" text="Pendente">
      <formula>NOT(ISERROR(SEARCH("Pendente",P391)))</formula>
    </cfRule>
  </conditionalFormatting>
  <conditionalFormatting sqref="P391:P393 P397 P399">
    <cfRule type="containsText" dxfId="401" priority="3577" operator="containsText" text="em andamento">
      <formula>NOT(ISERROR(SEARCH("em andamento",P391)))</formula>
    </cfRule>
    <cfRule type="containsText" dxfId="400" priority="3576" operator="containsText" text="Finalizado">
      <formula>NOT(ISERROR(SEARCH("Finalizado",P391)))</formula>
    </cfRule>
  </conditionalFormatting>
  <conditionalFormatting sqref="P391:P394">
    <cfRule type="containsText" dxfId="399" priority="3344" operator="containsText" text="em andamento">
      <formula>NOT(ISERROR(SEARCH("em andamento",P391)))</formula>
    </cfRule>
    <cfRule type="containsText" dxfId="398" priority="3343" operator="containsText" text="Finalizado">
      <formula>NOT(ISERROR(SEARCH("Finalizado",P391)))</formula>
    </cfRule>
    <cfRule type="containsText" dxfId="397" priority="3342" operator="containsText" text="Pendente">
      <formula>NOT(ISERROR(SEARCH("Pendente",P391)))</formula>
    </cfRule>
    <cfRule type="containsText" dxfId="396" priority="3341" operator="containsText" text="N/A">
      <formula>NOT(ISERROR(SEARCH("N/A",P391)))</formula>
    </cfRule>
    <cfRule type="containsText" dxfId="395" priority="3340" operator="containsText" text="Lançado">
      <formula>NOT(ISERROR(SEARCH("Lançado",P391)))</formula>
    </cfRule>
  </conditionalFormatting>
  <conditionalFormatting sqref="P393">
    <cfRule type="containsText" dxfId="394" priority="3553" operator="containsText" text="N/A">
      <formula>NOT(ISERROR(SEARCH("N/A",P393)))</formula>
    </cfRule>
    <cfRule type="containsText" dxfId="393" priority="3552" operator="containsText" text="Lançado">
      <formula>NOT(ISERROR(SEARCH("Lançado",P393)))</formula>
    </cfRule>
    <cfRule type="containsText" dxfId="392" priority="3556" operator="containsText" text="em andamento">
      <formula>NOT(ISERROR(SEARCH("em andamento",P393)))</formula>
    </cfRule>
    <cfRule type="containsText" dxfId="391" priority="3555" operator="containsText" text="Finalizado">
      <formula>NOT(ISERROR(SEARCH("Finalizado",P393)))</formula>
    </cfRule>
    <cfRule type="expression" dxfId="390" priority="3548">
      <formula>$H393="SUBETAPA"</formula>
    </cfRule>
    <cfRule type="containsText" dxfId="389" priority="3554" operator="containsText" text="Pendente">
      <formula>NOT(ISERROR(SEARCH("Pendente",P393)))</formula>
    </cfRule>
    <cfRule type="expression" dxfId="388" priority="3549">
      <formula>$H393="CÉLULA CONSTRUTIVA"</formula>
    </cfRule>
  </conditionalFormatting>
  <conditionalFormatting sqref="P394">
    <cfRule type="containsText" dxfId="387" priority="3332" operator="containsText" text="Lançado">
      <formula>NOT(ISERROR(SEARCH("Lançado",P394)))</formula>
    </cfRule>
    <cfRule type="containsText" dxfId="386" priority="3330" operator="containsText" text="Finalizado">
      <formula>NOT(ISERROR(SEARCH("Finalizado",P394)))</formula>
    </cfRule>
    <cfRule type="containsText" dxfId="385" priority="3331" operator="containsText" text="em andamento">
      <formula>NOT(ISERROR(SEARCH("em andamento",P394)))</formula>
    </cfRule>
    <cfRule type="containsText" dxfId="384" priority="3329" operator="containsText" text="Pendente">
      <formula>NOT(ISERROR(SEARCH("Pendente",P394)))</formula>
    </cfRule>
    <cfRule type="containsText" dxfId="383" priority="3328" operator="containsText" text="N/A">
      <formula>NOT(ISERROR(SEARCH("N/A",P394)))</formula>
    </cfRule>
    <cfRule type="containsText" dxfId="382" priority="3327" operator="containsText" text="Lançado">
      <formula>NOT(ISERROR(SEARCH("Lançado",P394)))</formula>
    </cfRule>
    <cfRule type="expression" dxfId="381" priority="3326">
      <formula>$H394="ETAPA"</formula>
    </cfRule>
    <cfRule type="expression" dxfId="380" priority="3325">
      <formula>$H394="CÉLULA CONSTRUTIVA"</formula>
    </cfRule>
    <cfRule type="expression" dxfId="379" priority="3324">
      <formula>$H394="SUBETAPA"</formula>
    </cfRule>
    <cfRule type="containsText" dxfId="378" priority="3336" operator="containsText" text="em andamento">
      <formula>NOT(ISERROR(SEARCH("em andamento",P394)))</formula>
    </cfRule>
    <cfRule type="containsText" dxfId="377" priority="3335" operator="containsText" text="Finalizado">
      <formula>NOT(ISERROR(SEARCH("Finalizado",P394)))</formula>
    </cfRule>
    <cfRule type="containsText" dxfId="376" priority="3334" operator="containsText" text="Pendente">
      <formula>NOT(ISERROR(SEARCH("Pendente",P394)))</formula>
    </cfRule>
    <cfRule type="containsText" dxfId="375" priority="3333" operator="containsText" text="N/A">
      <formula>NOT(ISERROR(SEARCH("N/A",P394)))</formula>
    </cfRule>
  </conditionalFormatting>
  <conditionalFormatting sqref="P395:P396">
    <cfRule type="containsText" dxfId="374" priority="3363" operator="containsText" text="Pendente">
      <formula>NOT(ISERROR(SEARCH("Pendente",P395)))</formula>
    </cfRule>
    <cfRule type="containsText" dxfId="373" priority="3361" operator="containsText" text="Lançado">
      <formula>NOT(ISERROR(SEARCH("Lançado",P395)))</formula>
    </cfRule>
    <cfRule type="containsText" dxfId="372" priority="3364" operator="containsText" text="Finalizado">
      <formula>NOT(ISERROR(SEARCH("Finalizado",P395)))</formula>
    </cfRule>
    <cfRule type="containsText" dxfId="371" priority="3362" operator="containsText" text="N/A">
      <formula>NOT(ISERROR(SEARCH("N/A",P395)))</formula>
    </cfRule>
    <cfRule type="containsText" dxfId="370" priority="3365" operator="containsText" text="em andamento">
      <formula>NOT(ISERROR(SEARCH("em andamento",P395)))</formula>
    </cfRule>
  </conditionalFormatting>
  <conditionalFormatting sqref="P396">
    <cfRule type="containsText" dxfId="369" priority="3354" operator="containsText" text="N/A">
      <formula>NOT(ISERROR(SEARCH("N/A",P396)))</formula>
    </cfRule>
    <cfRule type="containsText" dxfId="368" priority="3356" operator="containsText" text="Finalizado">
      <formula>NOT(ISERROR(SEARCH("Finalizado",P396)))</formula>
    </cfRule>
    <cfRule type="containsText" dxfId="367" priority="3355" operator="containsText" text="Pendente">
      <formula>NOT(ISERROR(SEARCH("Pendente",P396)))</formula>
    </cfRule>
    <cfRule type="expression" dxfId="366" priority="3347">
      <formula>$H396="ETAPA"</formula>
    </cfRule>
    <cfRule type="expression" dxfId="365" priority="3345">
      <formula>$H396="SUBETAPA"</formula>
    </cfRule>
    <cfRule type="containsText" dxfId="364" priority="3353" operator="containsText" text="Lançado">
      <formula>NOT(ISERROR(SEARCH("Lançado",P396)))</formula>
    </cfRule>
    <cfRule type="expression" dxfId="363" priority="3346">
      <formula>$H396="CÉLULA CONSTRUTIVA"</formula>
    </cfRule>
    <cfRule type="containsText" dxfId="362" priority="3348" operator="containsText" text="Lançado">
      <formula>NOT(ISERROR(SEARCH("Lançado",P396)))</formula>
    </cfRule>
    <cfRule type="containsText" dxfId="361" priority="3357" operator="containsText" text="em andamento">
      <formula>NOT(ISERROR(SEARCH("em andamento",P396)))</formula>
    </cfRule>
    <cfRule type="containsText" dxfId="360" priority="3349" operator="containsText" text="N/A">
      <formula>NOT(ISERROR(SEARCH("N/A",P396)))</formula>
    </cfRule>
    <cfRule type="containsText" dxfId="359" priority="3350" operator="containsText" text="Pendente">
      <formula>NOT(ISERROR(SEARCH("Pendente",P396)))</formula>
    </cfRule>
    <cfRule type="containsText" dxfId="358" priority="3351" operator="containsText" text="Finalizado">
      <formula>NOT(ISERROR(SEARCH("Finalizado",P396)))</formula>
    </cfRule>
    <cfRule type="containsText" dxfId="357" priority="3352" operator="containsText" text="em andamento">
      <formula>NOT(ISERROR(SEARCH("em andamento",P396)))</formula>
    </cfRule>
  </conditionalFormatting>
  <conditionalFormatting sqref="P397:P398">
    <cfRule type="containsText" dxfId="356" priority="3382" operator="containsText" text="Lançado">
      <formula>NOT(ISERROR(SEARCH("Lançado",P397)))</formula>
    </cfRule>
    <cfRule type="containsText" dxfId="355" priority="3383" operator="containsText" text="N/A">
      <formula>NOT(ISERROR(SEARCH("N/A",P397)))</formula>
    </cfRule>
    <cfRule type="containsText" dxfId="354" priority="3384" operator="containsText" text="Pendente">
      <formula>NOT(ISERROR(SEARCH("Pendente",P397)))</formula>
    </cfRule>
    <cfRule type="containsText" dxfId="353" priority="3385" operator="containsText" text="Finalizado">
      <formula>NOT(ISERROR(SEARCH("Finalizado",P397)))</formula>
    </cfRule>
    <cfRule type="containsText" dxfId="352" priority="3386" operator="containsText" text="em andamento">
      <formula>NOT(ISERROR(SEARCH("em andamento",P397)))</formula>
    </cfRule>
  </conditionalFormatting>
  <conditionalFormatting sqref="P398">
    <cfRule type="containsText" dxfId="351" priority="3369" operator="containsText" text="Lançado">
      <formula>NOT(ISERROR(SEARCH("Lançado",P398)))</formula>
    </cfRule>
    <cfRule type="containsText" dxfId="350" priority="3378" operator="containsText" text="em andamento">
      <formula>NOT(ISERROR(SEARCH("em andamento",P398)))</formula>
    </cfRule>
    <cfRule type="containsText" dxfId="349" priority="3377" operator="containsText" text="Finalizado">
      <formula>NOT(ISERROR(SEARCH("Finalizado",P398)))</formula>
    </cfRule>
    <cfRule type="containsText" dxfId="348" priority="3376" operator="containsText" text="Pendente">
      <formula>NOT(ISERROR(SEARCH("Pendente",P398)))</formula>
    </cfRule>
    <cfRule type="containsText" dxfId="347" priority="3375" operator="containsText" text="N/A">
      <formula>NOT(ISERROR(SEARCH("N/A",P398)))</formula>
    </cfRule>
    <cfRule type="containsText" dxfId="346" priority="3374" operator="containsText" text="Lançado">
      <formula>NOT(ISERROR(SEARCH("Lançado",P398)))</formula>
    </cfRule>
    <cfRule type="containsText" dxfId="345" priority="3373" operator="containsText" text="em andamento">
      <formula>NOT(ISERROR(SEARCH("em andamento",P398)))</formula>
    </cfRule>
    <cfRule type="containsText" dxfId="344" priority="3372" operator="containsText" text="Finalizado">
      <formula>NOT(ISERROR(SEARCH("Finalizado",P398)))</formula>
    </cfRule>
    <cfRule type="containsText" dxfId="343" priority="3371" operator="containsText" text="Pendente">
      <formula>NOT(ISERROR(SEARCH("Pendente",P398)))</formula>
    </cfRule>
    <cfRule type="containsText" dxfId="342" priority="3370" operator="containsText" text="N/A">
      <formula>NOT(ISERROR(SEARCH("N/A",P398)))</formula>
    </cfRule>
    <cfRule type="expression" dxfId="341" priority="3368">
      <formula>$H398="ETAPA"</formula>
    </cfRule>
    <cfRule type="expression" dxfId="340" priority="3367">
      <formula>$H398="CÉLULA CONSTRUTIVA"</formula>
    </cfRule>
    <cfRule type="expression" dxfId="339" priority="3366">
      <formula>$H398="SUBETAPA"</formula>
    </cfRule>
  </conditionalFormatting>
  <conditionalFormatting sqref="P399:P400">
    <cfRule type="containsText" dxfId="338" priority="3403" operator="containsText" text="Lançado">
      <formula>NOT(ISERROR(SEARCH("Lançado",P399)))</formula>
    </cfRule>
    <cfRule type="containsText" dxfId="337" priority="3407" operator="containsText" text="em andamento">
      <formula>NOT(ISERROR(SEARCH("em andamento",P399)))</formula>
    </cfRule>
    <cfRule type="containsText" dxfId="336" priority="3405" operator="containsText" text="Pendente">
      <formula>NOT(ISERROR(SEARCH("Pendente",P399)))</formula>
    </cfRule>
    <cfRule type="containsText" dxfId="335" priority="3406" operator="containsText" text="Finalizado">
      <formula>NOT(ISERROR(SEARCH("Finalizado",P399)))</formula>
    </cfRule>
    <cfRule type="containsText" dxfId="334" priority="3404" operator="containsText" text="N/A">
      <formula>NOT(ISERROR(SEARCH("N/A",P399)))</formula>
    </cfRule>
  </conditionalFormatting>
  <conditionalFormatting sqref="P400">
    <cfRule type="expression" dxfId="333" priority="3388">
      <formula>$H400="CÉLULA CONSTRUTIVA"</formula>
    </cfRule>
    <cfRule type="expression" dxfId="332" priority="3387">
      <formula>$H400="SUBETAPA"</formula>
    </cfRule>
    <cfRule type="containsText" dxfId="331" priority="3399" operator="containsText" text="em andamento">
      <formula>NOT(ISERROR(SEARCH("em andamento",P400)))</formula>
    </cfRule>
    <cfRule type="containsText" dxfId="330" priority="3390" operator="containsText" text="Lançado">
      <formula>NOT(ISERROR(SEARCH("Lançado",P400)))</formula>
    </cfRule>
    <cfRule type="containsText" dxfId="329" priority="3392" operator="containsText" text="Pendente">
      <formula>NOT(ISERROR(SEARCH("Pendente",P400)))</formula>
    </cfRule>
    <cfRule type="containsText" dxfId="328" priority="3393" operator="containsText" text="Finalizado">
      <formula>NOT(ISERROR(SEARCH("Finalizado",P400)))</formula>
    </cfRule>
    <cfRule type="containsText" dxfId="327" priority="3391" operator="containsText" text="N/A">
      <formula>NOT(ISERROR(SEARCH("N/A",P400)))</formula>
    </cfRule>
    <cfRule type="containsText" dxfId="326" priority="3398" operator="containsText" text="Finalizado">
      <formula>NOT(ISERROR(SEARCH("Finalizado",P400)))</formula>
    </cfRule>
    <cfRule type="containsText" dxfId="325" priority="3394" operator="containsText" text="em andamento">
      <formula>NOT(ISERROR(SEARCH("em andamento",P400)))</formula>
    </cfRule>
    <cfRule type="containsText" dxfId="324" priority="3395" operator="containsText" text="Lançado">
      <formula>NOT(ISERROR(SEARCH("Lançado",P400)))</formula>
    </cfRule>
    <cfRule type="containsText" dxfId="323" priority="3396" operator="containsText" text="N/A">
      <formula>NOT(ISERROR(SEARCH("N/A",P400)))</formula>
    </cfRule>
    <cfRule type="expression" dxfId="322" priority="3389">
      <formula>$H400="ETAPA"</formula>
    </cfRule>
    <cfRule type="containsText" dxfId="321" priority="3397" operator="containsText" text="Pendente">
      <formula>NOT(ISERROR(SEARCH("Pendente",P400)))</formula>
    </cfRule>
  </conditionalFormatting>
  <conditionalFormatting sqref="P401">
    <cfRule type="containsText" dxfId="320" priority="3978" operator="containsText" text="Finalizado">
      <formula>NOT(ISERROR(SEARCH("Finalizado",P401)))</formula>
    </cfRule>
    <cfRule type="containsText" dxfId="319" priority="3977" operator="containsText" text="N/A">
      <formula>NOT(ISERROR(SEARCH("N/A",P401)))</formula>
    </cfRule>
    <cfRule type="containsText" dxfId="318" priority="3979" operator="containsText" text="em andamento">
      <formula>NOT(ISERROR(SEARCH("em andamento",P401)))</formula>
    </cfRule>
    <cfRule type="expression" dxfId="317" priority="3975">
      <formula>$H401="ETAPA"</formula>
    </cfRule>
    <cfRule type="expression" dxfId="316" priority="3974">
      <formula>$H401="CÉLULA CONSTRUTIVA"</formula>
    </cfRule>
    <cfRule type="expression" dxfId="315" priority="3973">
      <formula>$H401="SUBETAPA"</formula>
    </cfRule>
    <cfRule type="containsText" dxfId="314" priority="3976" operator="containsText" text="Lançado">
      <formula>NOT(ISERROR(SEARCH("Lançado",P401)))</formula>
    </cfRule>
  </conditionalFormatting>
  <conditionalFormatting sqref="P401:P403">
    <cfRule type="containsText" dxfId="313" priority="4143" operator="containsText" text="Pendente">
      <formula>NOT(ISERROR(SEARCH("Pendente",P401)))</formula>
    </cfRule>
  </conditionalFormatting>
  <conditionalFormatting sqref="P402:P403">
    <cfRule type="containsText" dxfId="312" priority="4138" operator="containsText" text="Lançado">
      <formula>NOT(ISERROR(SEARCH("Lançado",P402)))</formula>
    </cfRule>
    <cfRule type="containsText" dxfId="311" priority="4110" operator="containsText" text="em andamento">
      <formula>NOT(ISERROR(SEARCH("em andamento",P402)))</formula>
    </cfRule>
    <cfRule type="containsText" dxfId="310" priority="4109" operator="containsText" text="Finalizado">
      <formula>NOT(ISERROR(SEARCH("Finalizado",P402)))</formula>
    </cfRule>
    <cfRule type="containsText" dxfId="309" priority="4139" operator="containsText" text="N/A">
      <formula>NOT(ISERROR(SEARCH("N/A",P402)))</formula>
    </cfRule>
  </conditionalFormatting>
  <conditionalFormatting sqref="P403 O402:P402">
    <cfRule type="expression" dxfId="308" priority="4107">
      <formula>$H402="CÉLULA CONSTRUTIVA"</formula>
    </cfRule>
  </conditionalFormatting>
  <conditionalFormatting sqref="P403 P405:P406">
    <cfRule type="expression" dxfId="307" priority="4061">
      <formula>$H403="CÉLULA CONSTRUTIVA"</formula>
    </cfRule>
    <cfRule type="expression" dxfId="306" priority="4062">
      <formula>$H403="ETAPA"</formula>
    </cfRule>
  </conditionalFormatting>
  <conditionalFormatting sqref="P403">
    <cfRule type="expression" dxfId="305" priority="4108">
      <formula>$H403="ETAPA"</formula>
    </cfRule>
    <cfRule type="expression" dxfId="304" priority="4105">
      <formula>$H403="CÉLULA CONSTRUTIVA"</formula>
    </cfRule>
    <cfRule type="expression" dxfId="303" priority="4104">
      <formula>$H403="SUBETAPA"</formula>
    </cfRule>
    <cfRule type="expression" dxfId="302" priority="4106">
      <formula>$H403="ETAPA"</formula>
    </cfRule>
  </conditionalFormatting>
  <conditionalFormatting sqref="P404">
    <cfRule type="containsText" dxfId="301" priority="32" operator="containsText" text="Pendente">
      <formula>NOT(ISERROR(SEARCH("Pendente",P404)))</formula>
    </cfRule>
    <cfRule type="containsText" dxfId="300" priority="31" operator="containsText" text="N/A">
      <formula>NOT(ISERROR(SEARCH("N/A",P404)))</formula>
    </cfRule>
    <cfRule type="expression" dxfId="299" priority="40">
      <formula>$H404="SUBETAPA"</formula>
    </cfRule>
    <cfRule type="containsText" dxfId="298" priority="39" operator="containsText" text="em andamento">
      <formula>NOT(ISERROR(SEARCH("em andamento",P404)))</formula>
    </cfRule>
    <cfRule type="containsText" dxfId="297" priority="30" operator="containsText" text="Lançado">
      <formula>NOT(ISERROR(SEARCH("Lançado",P404)))</formula>
    </cfRule>
    <cfRule type="containsText" dxfId="296" priority="38" operator="containsText" text="Finalizado">
      <formula>NOT(ISERROR(SEARCH("Finalizado",P404)))</formula>
    </cfRule>
    <cfRule type="containsText" dxfId="295" priority="37" operator="containsText" text="Pendente">
      <formula>NOT(ISERROR(SEARCH("Pendente",P404)))</formula>
    </cfRule>
    <cfRule type="containsText" dxfId="294" priority="36" operator="containsText" text="N/A">
      <formula>NOT(ISERROR(SEARCH("N/A",P404)))</formula>
    </cfRule>
    <cfRule type="containsText" dxfId="293" priority="35" operator="containsText" text="Lançado">
      <formula>NOT(ISERROR(SEARCH("Lançado",P404)))</formula>
    </cfRule>
    <cfRule type="containsText" dxfId="292" priority="34" operator="containsText" text="em andamento">
      <formula>NOT(ISERROR(SEARCH("em andamento",P404)))</formula>
    </cfRule>
    <cfRule type="containsText" dxfId="291" priority="33" operator="containsText" text="Finalizado">
      <formula>NOT(ISERROR(SEARCH("Finalizado",P404)))</formula>
    </cfRule>
    <cfRule type="expression" dxfId="290" priority="29">
      <formula>$H404="ETAPA"</formula>
    </cfRule>
    <cfRule type="containsText" dxfId="289" priority="47" operator="containsText" text="em andamento">
      <formula>NOT(ISERROR(SEARCH("em andamento",P404)))</formula>
    </cfRule>
    <cfRule type="containsText" dxfId="288" priority="46" operator="containsText" text="Finalizado">
      <formula>NOT(ISERROR(SEARCH("Finalizado",P404)))</formula>
    </cfRule>
    <cfRule type="containsText" dxfId="287" priority="45" operator="containsText" text="Pendente">
      <formula>NOT(ISERROR(SEARCH("Pendente",P404)))</formula>
    </cfRule>
    <cfRule type="containsText" dxfId="286" priority="44" operator="containsText" text="N/A">
      <formula>NOT(ISERROR(SEARCH("N/A",P404)))</formula>
    </cfRule>
    <cfRule type="containsText" dxfId="285" priority="43" operator="containsText" text="Lançado">
      <formula>NOT(ISERROR(SEARCH("Lançado",P404)))</formula>
    </cfRule>
    <cfRule type="expression" dxfId="284" priority="42">
      <formula>$H404="ETAPA"</formula>
    </cfRule>
    <cfRule type="expression" dxfId="283" priority="41">
      <formula>$H404="CÉLULA CONSTRUTIVA"</formula>
    </cfRule>
  </conditionalFormatting>
  <conditionalFormatting sqref="P405:P406">
    <cfRule type="expression" dxfId="282" priority="4049">
      <formula>$H405="ETAPA"</formula>
    </cfRule>
    <cfRule type="containsText" dxfId="281" priority="4065" operator="containsText" text="Pendente">
      <formula>NOT(ISERROR(SEARCH("Pendente",P405)))</formula>
    </cfRule>
    <cfRule type="containsText" dxfId="280" priority="4055" operator="containsText" text="Lançado">
      <formula>NOT(ISERROR(SEARCH("Lançado",P405)))</formula>
    </cfRule>
    <cfRule type="containsText" dxfId="279" priority="4056" operator="containsText" text="N/A">
      <formula>NOT(ISERROR(SEARCH("N/A",P405)))</formula>
    </cfRule>
    <cfRule type="containsText" dxfId="278" priority="4057" operator="containsText" text="Pendente">
      <formula>NOT(ISERROR(SEARCH("Pendente",P405)))</formula>
    </cfRule>
    <cfRule type="containsText" dxfId="277" priority="4058" operator="containsText" text="Finalizado">
      <formula>NOT(ISERROR(SEARCH("Finalizado",P405)))</formula>
    </cfRule>
    <cfRule type="containsText" dxfId="276" priority="4067" operator="containsText" text="em andamento">
      <formula>NOT(ISERROR(SEARCH("em andamento",P405)))</formula>
    </cfRule>
    <cfRule type="containsText" dxfId="275" priority="4059" operator="containsText" text="em andamento">
      <formula>NOT(ISERROR(SEARCH("em andamento",P405)))</formula>
    </cfRule>
    <cfRule type="containsText" dxfId="274" priority="4050" operator="containsText" text="Lançado">
      <formula>NOT(ISERROR(SEARCH("Lançado",P405)))</formula>
    </cfRule>
    <cfRule type="containsText" dxfId="273" priority="4051" operator="containsText" text="N/A">
      <formula>NOT(ISERROR(SEARCH("N/A",P405)))</formula>
    </cfRule>
    <cfRule type="containsText" dxfId="272" priority="4052" operator="containsText" text="Pendente">
      <formula>NOT(ISERROR(SEARCH("Pendente",P405)))</formula>
    </cfRule>
    <cfRule type="containsText" dxfId="271" priority="4053" operator="containsText" text="Finalizado">
      <formula>NOT(ISERROR(SEARCH("Finalizado",P405)))</formula>
    </cfRule>
    <cfRule type="containsText" dxfId="270" priority="4054" operator="containsText" text="em andamento">
      <formula>NOT(ISERROR(SEARCH("em andamento",P405)))</formula>
    </cfRule>
    <cfRule type="containsText" dxfId="269" priority="4064" operator="containsText" text="N/A">
      <formula>NOT(ISERROR(SEARCH("N/A",P405)))</formula>
    </cfRule>
    <cfRule type="containsText" dxfId="268" priority="4063" operator="containsText" text="Lançado">
      <formula>NOT(ISERROR(SEARCH("Lançado",P405)))</formula>
    </cfRule>
    <cfRule type="containsText" dxfId="267" priority="4066" operator="containsText" text="Finalizado">
      <formula>NOT(ISERROR(SEARCH("Finalizado",P405)))</formula>
    </cfRule>
  </conditionalFormatting>
  <conditionalFormatting sqref="P405:P412 P403">
    <cfRule type="expression" dxfId="266" priority="4060">
      <formula>$H403="SUBETAPA"</formula>
    </cfRule>
  </conditionalFormatting>
  <conditionalFormatting sqref="P407:P408">
    <cfRule type="containsText" dxfId="265" priority="4002" operator="containsText" text="Finalizado">
      <formula>NOT(ISERROR(SEARCH("Finalizado",P407)))</formula>
    </cfRule>
    <cfRule type="containsText" dxfId="264" priority="4001" operator="containsText" text="Pendente">
      <formula>NOT(ISERROR(SEARCH("Pendente",P407)))</formula>
    </cfRule>
    <cfRule type="containsText" dxfId="263" priority="4029" operator="containsText" text="Lançado">
      <formula>NOT(ISERROR(SEARCH("Lançado",P407)))</formula>
    </cfRule>
    <cfRule type="expression" dxfId="262" priority="4000">
      <formula>$H407="ETAPA"</formula>
    </cfRule>
    <cfRule type="containsText" dxfId="261" priority="3996" operator="containsText" text="Finalizado">
      <formula>NOT(ISERROR(SEARCH("Finalizado",P407)))</formula>
    </cfRule>
    <cfRule type="containsText" dxfId="260" priority="3995" operator="containsText" text="Pendente">
      <formula>NOT(ISERROR(SEARCH("Pendente",P407)))</formula>
    </cfRule>
    <cfRule type="containsText" dxfId="259" priority="4003" operator="containsText" text="em andamento">
      <formula>NOT(ISERROR(SEARCH("em andamento",P407)))</formula>
    </cfRule>
    <cfRule type="containsText" dxfId="258" priority="3997" operator="containsText" text="em andamento">
      <formula>NOT(ISERROR(SEARCH("em andamento",P407)))</formula>
    </cfRule>
  </conditionalFormatting>
  <conditionalFormatting sqref="P407:P409">
    <cfRule type="containsText" dxfId="257" priority="3126" operator="containsText" text="em andamento">
      <formula>NOT(ISERROR(SEARCH("em andamento",P407)))</formula>
    </cfRule>
    <cfRule type="containsText" dxfId="256" priority="3125" operator="containsText" text="Finalizado">
      <formula>NOT(ISERROR(SEARCH("Finalizado",P407)))</formula>
    </cfRule>
    <cfRule type="containsText" dxfId="255" priority="3124" operator="containsText" text="Pendente">
      <formula>NOT(ISERROR(SEARCH("Pendente",P407)))</formula>
    </cfRule>
    <cfRule type="expression" dxfId="254" priority="3118">
      <formula>$H407="ETAPA"</formula>
    </cfRule>
  </conditionalFormatting>
  <conditionalFormatting sqref="P409">
    <cfRule type="expression" dxfId="253" priority="3117">
      <formula>$H409="CÉLULA CONSTRUTIVA"</formula>
    </cfRule>
    <cfRule type="containsText" dxfId="252" priority="3114" operator="containsText" text="Lançado">
      <formula>NOT(ISERROR(SEARCH("Lançado",P409)))</formula>
    </cfRule>
  </conditionalFormatting>
  <conditionalFormatting sqref="P410:P412">
    <cfRule type="containsText" dxfId="251" priority="3152" operator="containsText" text="Lançado">
      <formula>NOT(ISERROR(SEARCH("Lançado",P410)))</formula>
    </cfRule>
    <cfRule type="containsText" dxfId="250" priority="3151" operator="containsText" text="em andamento">
      <formula>NOT(ISERROR(SEARCH("em andamento",P410)))</formula>
    </cfRule>
    <cfRule type="containsText" dxfId="249" priority="3150" operator="containsText" text="Finalizado">
      <formula>NOT(ISERROR(SEARCH("Finalizado",P410)))</formula>
    </cfRule>
    <cfRule type="containsText" dxfId="248" priority="3148" operator="containsText" text="Lançado">
      <formula>NOT(ISERROR(SEARCH("Lançado",P410)))</formula>
    </cfRule>
    <cfRule type="containsText" dxfId="247" priority="3149" operator="containsText" text="Pendente">
      <formula>NOT(ISERROR(SEARCH("Pendente",P410)))</formula>
    </cfRule>
    <cfRule type="containsText" dxfId="246" priority="3160" operator="containsText" text="em andamento">
      <formula>NOT(ISERROR(SEARCH("em andamento",P410)))</formula>
    </cfRule>
    <cfRule type="containsText" dxfId="245" priority="3159" operator="containsText" text="Finalizado">
      <formula>NOT(ISERROR(SEARCH("Finalizado",P410)))</formula>
    </cfRule>
    <cfRule type="expression" dxfId="244" priority="3158">
      <formula>$H410="ETAPA"</formula>
    </cfRule>
    <cfRule type="containsText" dxfId="243" priority="3155" operator="containsText" text="em andamento">
      <formula>NOT(ISERROR(SEARCH("em andamento",P410)))</formula>
    </cfRule>
    <cfRule type="containsText" dxfId="242" priority="3154" operator="containsText" text="Finalizado">
      <formula>NOT(ISERROR(SEARCH("Finalizado",P410)))</formula>
    </cfRule>
    <cfRule type="containsText" dxfId="241" priority="3153" operator="containsText" text="Pendente">
      <formula>NOT(ISERROR(SEARCH("Pendente",P410)))</formula>
    </cfRule>
  </conditionalFormatting>
  <conditionalFormatting sqref="P413">
    <cfRule type="expression" dxfId="240" priority="4016">
      <formula>$H413="CÉLULA CONSTRUTIVA"</formula>
    </cfRule>
    <cfRule type="expression" dxfId="239" priority="4017">
      <formula>$H413="ETAPA"</formula>
    </cfRule>
    <cfRule type="expression" dxfId="238" priority="4014">
      <formula>$H413="ETAPA"</formula>
    </cfRule>
    <cfRule type="containsText" dxfId="237" priority="4022" operator="containsText" text="em andamento">
      <formula>NOT(ISERROR(SEARCH("em andamento",P413)))</formula>
    </cfRule>
    <cfRule type="containsText" dxfId="236" priority="4021" operator="containsText" text="Finalizado">
      <formula>NOT(ISERROR(SEARCH("Finalizado",P413)))</formula>
    </cfRule>
    <cfRule type="expression" dxfId="235" priority="4013">
      <formula>$H413="CÉLULA CONSTRUTIVA"</formula>
    </cfRule>
    <cfRule type="expression" dxfId="234" priority="4015">
      <formula>$H413="SUBETAPA"</formula>
    </cfRule>
  </conditionalFormatting>
  <conditionalFormatting sqref="P414:P416 P297:P303">
    <cfRule type="containsText" dxfId="233" priority="7891" operator="containsText" text="Finalizado">
      <formula>NOT(ISERROR(SEARCH("Finalizado",P297)))</formula>
    </cfRule>
    <cfRule type="containsText" dxfId="232" priority="7892" operator="containsText" text="em andamento">
      <formula>NOT(ISERROR(SEARCH("em andamento",P297)))</formula>
    </cfRule>
    <cfRule type="containsText" dxfId="231" priority="7885" operator="containsText" text="Pendente">
      <formula>NOT(ISERROR(SEARCH("Pendente",P297)))</formula>
    </cfRule>
    <cfRule type="expression" dxfId="230" priority="7882">
      <formula>$H297="ETAPA"</formula>
    </cfRule>
    <cfRule type="containsText" dxfId="229" priority="7890" operator="containsText" text="Pendente">
      <formula>NOT(ISERROR(SEARCH("Pendente",P297)))</formula>
    </cfRule>
    <cfRule type="containsText" dxfId="228" priority="7887" operator="containsText" text="em andamento">
      <formula>NOT(ISERROR(SEARCH("em andamento",P297)))</formula>
    </cfRule>
    <cfRule type="containsText" dxfId="227" priority="7897" operator="containsText" text="em andamento">
      <formula>NOT(ISERROR(SEARCH("em andamento",P297)))</formula>
    </cfRule>
    <cfRule type="containsText" dxfId="226" priority="7896" operator="containsText" text="Finalizado">
      <formula>NOT(ISERROR(SEARCH("Finalizado",P297)))</formula>
    </cfRule>
    <cfRule type="containsText" dxfId="225" priority="7886" operator="containsText" text="Finalizado">
      <formula>NOT(ISERROR(SEARCH("Finalizado",P297)))</formula>
    </cfRule>
  </conditionalFormatting>
  <conditionalFormatting sqref="P414:P416">
    <cfRule type="expression" dxfId="224" priority="7880">
      <formula>$H414="SUBETAPA"</formula>
    </cfRule>
    <cfRule type="expression" dxfId="223" priority="7881">
      <formula>$H414="CÉLULA CONSTRUTIVA"</formula>
    </cfRule>
  </conditionalFormatting>
  <conditionalFormatting sqref="P417">
    <cfRule type="expression" dxfId="222" priority="3940">
      <formula>$H417="ETAPA"</formula>
    </cfRule>
    <cfRule type="expression" dxfId="221" priority="3937">
      <formula>$H417="ETAPA"</formula>
    </cfRule>
    <cfRule type="containsText" dxfId="220" priority="3950" operator="containsText" text="em andamento">
      <formula>NOT(ISERROR(SEARCH("em andamento",P417)))</formula>
    </cfRule>
    <cfRule type="containsText" dxfId="219" priority="3948" operator="containsText" text="em andamento">
      <formula>NOT(ISERROR(SEARCH("em andamento",P417)))</formula>
    </cfRule>
    <cfRule type="containsText" dxfId="218" priority="3945" operator="containsText" text="Finalizado">
      <formula>NOT(ISERROR(SEARCH("Finalizado",P417)))</formula>
    </cfRule>
    <cfRule type="containsText" dxfId="217" priority="3947" operator="containsText" text="Finalizado">
      <formula>NOT(ISERROR(SEARCH("Finalizado",P417)))</formula>
    </cfRule>
    <cfRule type="containsText" dxfId="216" priority="3946" operator="containsText" text="em andamento">
      <formula>NOT(ISERROR(SEARCH("em andamento",P417)))</formula>
    </cfRule>
    <cfRule type="expression" dxfId="215" priority="3938">
      <formula>$H417="SUBETAPA"</formula>
    </cfRule>
    <cfRule type="containsText" dxfId="214" priority="3929" operator="containsText" text="em andamento">
      <formula>NOT(ISERROR(SEARCH("em andamento",P417)))</formula>
    </cfRule>
    <cfRule type="containsText" dxfId="213" priority="3928" operator="containsText" text="Finalizado">
      <formula>NOT(ISERROR(SEARCH("Finalizado",P417)))</formula>
    </cfRule>
    <cfRule type="containsText" dxfId="212" priority="3926" operator="containsText" text="N/A">
      <formula>NOT(ISERROR(SEARCH("N/A",P417)))</formula>
    </cfRule>
    <cfRule type="containsText" dxfId="211" priority="3925" operator="containsText" text="Lançado">
      <formula>NOT(ISERROR(SEARCH("Lançado",P417)))</formula>
    </cfRule>
    <cfRule type="containsText" dxfId="210" priority="3924" operator="containsText" text="em andamento">
      <formula>NOT(ISERROR(SEARCH("em andamento",P417)))</formula>
    </cfRule>
    <cfRule type="containsText" dxfId="209" priority="3923" operator="containsText" text="Finalizado">
      <formula>NOT(ISERROR(SEARCH("Finalizado",P417)))</formula>
    </cfRule>
    <cfRule type="containsText" dxfId="208" priority="3922" operator="containsText" text="Pendente">
      <formula>NOT(ISERROR(SEARCH("Pendente",P417)))</formula>
    </cfRule>
    <cfRule type="containsText" dxfId="207" priority="3921" operator="containsText" text="N/A">
      <formula>NOT(ISERROR(SEARCH("N/A",P417)))</formula>
    </cfRule>
    <cfRule type="containsText" dxfId="206" priority="3920" operator="containsText" text="Lançado">
      <formula>NOT(ISERROR(SEARCH("Lançado",P417)))</formula>
    </cfRule>
    <cfRule type="containsText" dxfId="205" priority="3918" operator="containsText" text="Finalizado">
      <formula>NOT(ISERROR(SEARCH("Finalizado",P417)))</formula>
    </cfRule>
    <cfRule type="containsText" dxfId="204" priority="3930" operator="containsText" text="Lançado">
      <formula>NOT(ISERROR(SEARCH("Lançado",P417)))</formula>
    </cfRule>
    <cfRule type="containsText" dxfId="203" priority="3927" operator="containsText" text="Pendente">
      <formula>NOT(ISERROR(SEARCH("Pendente",P417)))</formula>
    </cfRule>
    <cfRule type="containsText" dxfId="202" priority="3919" operator="containsText" text="em andamento">
      <formula>NOT(ISERROR(SEARCH("em andamento",P417)))</formula>
    </cfRule>
    <cfRule type="expression" dxfId="201" priority="3939">
      <formula>$H417="CÉLULA CONSTRUTIVA"</formula>
    </cfRule>
    <cfRule type="containsText" dxfId="200" priority="3917" operator="containsText" text="Pendente">
      <formula>NOT(ISERROR(SEARCH("Pendente",P417)))</formula>
    </cfRule>
    <cfRule type="containsText" dxfId="199" priority="3916" operator="containsText" text="N/A">
      <formula>NOT(ISERROR(SEARCH("N/A",P417)))</formula>
    </cfRule>
    <cfRule type="containsText" dxfId="198" priority="3949" operator="containsText" text="Finalizado">
      <formula>NOT(ISERROR(SEARCH("Finalizado",P417)))</formula>
    </cfRule>
    <cfRule type="containsText" dxfId="197" priority="3944" operator="containsText" text="Pendente">
      <formula>NOT(ISERROR(SEARCH("Pendente",P417)))</formula>
    </cfRule>
    <cfRule type="containsText" dxfId="196" priority="3943" operator="containsText" text="N/A">
      <formula>NOT(ISERROR(SEARCH("N/A",P417)))</formula>
    </cfRule>
    <cfRule type="containsText" dxfId="195" priority="3915" operator="containsText" text="Lançado">
      <formula>NOT(ISERROR(SEARCH("Lançado",P417)))</formula>
    </cfRule>
    <cfRule type="containsText" dxfId="194" priority="3931" operator="containsText" text="N/A">
      <formula>NOT(ISERROR(SEARCH("N/A",P417)))</formula>
    </cfRule>
    <cfRule type="containsText" dxfId="193" priority="3932" operator="containsText" text="Pendente">
      <formula>NOT(ISERROR(SEARCH("Pendente",P417)))</formula>
    </cfRule>
    <cfRule type="containsText" dxfId="192" priority="3933" operator="containsText" text="Finalizado">
      <formula>NOT(ISERROR(SEARCH("Finalizado",P417)))</formula>
    </cfRule>
    <cfRule type="containsText" dxfId="191" priority="3934" operator="containsText" text="em andamento">
      <formula>NOT(ISERROR(SEARCH("em andamento",P417)))</formula>
    </cfRule>
    <cfRule type="expression" dxfId="190" priority="3935">
      <formula>$H417="SUBETAPA"</formula>
    </cfRule>
    <cfRule type="expression" dxfId="189" priority="3936">
      <formula>$H417="CÉLULA CONSTRUTIVA"</formula>
    </cfRule>
  </conditionalFormatting>
  <conditionalFormatting sqref="P417:P421">
    <cfRule type="containsText" dxfId="188" priority="7831" operator="containsText" text="Lançado">
      <formula>NOT(ISERROR(SEARCH("Lançado",P417)))</formula>
    </cfRule>
    <cfRule type="containsText" dxfId="187" priority="7839" operator="containsText" text="Lançado">
      <formula>NOT(ISERROR(SEARCH("Lançado",P417)))</formula>
    </cfRule>
  </conditionalFormatting>
  <conditionalFormatting sqref="P418:P419 P277:P279">
    <cfRule type="expression" dxfId="186" priority="7838">
      <formula>$H277="ETAPA"</formula>
    </cfRule>
  </conditionalFormatting>
  <conditionalFormatting sqref="P418:P419 P305">
    <cfRule type="containsText" dxfId="185" priority="7827" operator="containsText" text="N/A">
      <formula>NOT(ISERROR(SEARCH("N/A",P305)))</formula>
    </cfRule>
  </conditionalFormatting>
  <conditionalFormatting sqref="P418:P419">
    <cfRule type="expression" dxfId="184" priority="7825">
      <formula>$H418="ETAPA"</formula>
    </cfRule>
    <cfRule type="expression" dxfId="183" priority="7823">
      <formula>$H418="SUBETAPA"</formula>
    </cfRule>
    <cfRule type="expression" dxfId="182" priority="7824">
      <formula>$H418="CÉLULA CONSTRUTIVA"</formula>
    </cfRule>
    <cfRule type="expression" dxfId="181" priority="7837">
      <formula>$H418="CÉLULA CONSTRUTIVA"</formula>
    </cfRule>
  </conditionalFormatting>
  <conditionalFormatting sqref="P418:P421">
    <cfRule type="containsText" dxfId="180" priority="4096" operator="containsText" text="Finalizado">
      <formula>NOT(ISERROR(SEARCH("Finalizado",P418)))</formula>
    </cfRule>
    <cfRule type="containsText" dxfId="179" priority="4095" operator="containsText" text="em andamento">
      <formula>NOT(ISERROR(SEARCH("em andamento",P418)))</formula>
    </cfRule>
    <cfRule type="containsText" dxfId="178" priority="4126" operator="containsText" text="Lançado">
      <formula>NOT(ISERROR(SEARCH("Lançado",P418)))</formula>
    </cfRule>
    <cfRule type="containsText" dxfId="177" priority="4135" operator="containsText" text="em andamento">
      <formula>NOT(ISERROR(SEARCH("em andamento",P418)))</formula>
    </cfRule>
    <cfRule type="containsText" dxfId="176" priority="4134" operator="containsText" text="Finalizado">
      <formula>NOT(ISERROR(SEARCH("Finalizado",P418)))</formula>
    </cfRule>
    <cfRule type="containsText" dxfId="175" priority="4094" operator="containsText" text="Finalizado">
      <formula>NOT(ISERROR(SEARCH("Finalizado",P418)))</formula>
    </cfRule>
    <cfRule type="containsText" dxfId="174" priority="4132" operator="containsText" text="N/A">
      <formula>NOT(ISERROR(SEARCH("N/A",P418)))</formula>
    </cfRule>
    <cfRule type="containsText" dxfId="173" priority="4131" operator="containsText" text="Lançado">
      <formula>NOT(ISERROR(SEARCH("Lançado",P418)))</formula>
    </cfRule>
    <cfRule type="containsText" dxfId="172" priority="4130" operator="containsText" text="em andamento">
      <formula>NOT(ISERROR(SEARCH("em andamento",P418)))</formula>
    </cfRule>
    <cfRule type="containsText" dxfId="171" priority="4129" operator="containsText" text="Finalizado">
      <formula>NOT(ISERROR(SEARCH("Finalizado",P418)))</formula>
    </cfRule>
    <cfRule type="containsText" dxfId="170" priority="4128" operator="containsText" text="Pendente">
      <formula>NOT(ISERROR(SEARCH("Pendente",P418)))</formula>
    </cfRule>
    <cfRule type="containsText" dxfId="169" priority="4127" operator="containsText" text="N/A">
      <formula>NOT(ISERROR(SEARCH("N/A",P418)))</formula>
    </cfRule>
    <cfRule type="containsText" dxfId="168" priority="4125" operator="containsText" text="em andamento">
      <formula>NOT(ISERROR(SEARCH("em andamento",P418)))</formula>
    </cfRule>
    <cfRule type="containsText" dxfId="167" priority="4124" operator="containsText" text="Finalizado">
      <formula>NOT(ISERROR(SEARCH("Finalizado",P418)))</formula>
    </cfRule>
    <cfRule type="containsText" dxfId="166" priority="4123" operator="containsText" text="Pendente">
      <formula>NOT(ISERROR(SEARCH("Pendente",P418)))</formula>
    </cfRule>
    <cfRule type="containsText" dxfId="165" priority="4122" operator="containsText" text="N/A">
      <formula>NOT(ISERROR(SEARCH("N/A",P418)))</formula>
    </cfRule>
    <cfRule type="containsText" dxfId="164" priority="4121" operator="containsText" text="Lançado">
      <formula>NOT(ISERROR(SEARCH("Lançado",P418)))</formula>
    </cfRule>
    <cfRule type="containsText" dxfId="163" priority="4133" operator="containsText" text="Pendente">
      <formula>NOT(ISERROR(SEARCH("Pendente",P418)))</formula>
    </cfRule>
    <cfRule type="containsText" dxfId="162" priority="4097" operator="containsText" text="em andamento">
      <formula>NOT(ISERROR(SEARCH("em andamento",P418)))</formula>
    </cfRule>
  </conditionalFormatting>
  <conditionalFormatting sqref="P424:P429">
    <cfRule type="expression" dxfId="161" priority="3000">
      <formula>$H424="SUBETAPA"</formula>
    </cfRule>
  </conditionalFormatting>
  <conditionalFormatting sqref="P425:P426 P233:P244 P420:P421">
    <cfRule type="containsText" dxfId="160" priority="10498" operator="containsText" text="em andamento">
      <formula>NOT(ISERROR(SEARCH("em andamento",P233)))</formula>
    </cfRule>
    <cfRule type="containsText" dxfId="159" priority="10503" operator="containsText" text="em andamento">
      <formula>NOT(ISERROR(SEARCH("em andamento",P233)))</formula>
    </cfRule>
    <cfRule type="containsText" dxfId="158" priority="10497" operator="containsText" text="Finalizado">
      <formula>NOT(ISERROR(SEARCH("Finalizado",P233)))</formula>
    </cfRule>
    <cfRule type="containsText" dxfId="157" priority="10502" operator="containsText" text="Finalizado">
      <formula>NOT(ISERROR(SEARCH("Finalizado",P233)))</formula>
    </cfRule>
    <cfRule type="containsText" dxfId="156" priority="10508" operator="containsText" text="em andamento">
      <formula>NOT(ISERROR(SEARCH("em andamento",P233)))</formula>
    </cfRule>
    <cfRule type="containsText" dxfId="155" priority="10507" operator="containsText" text="Finalizado">
      <formula>NOT(ISERROR(SEARCH("Finalizado",P233)))</formula>
    </cfRule>
  </conditionalFormatting>
  <conditionalFormatting sqref="P425:P426 P233:P244">
    <cfRule type="containsText" dxfId="154" priority="10496" operator="containsText" text="Pendente">
      <formula>NOT(ISERROR(SEARCH("Pendente",P233)))</formula>
    </cfRule>
  </conditionalFormatting>
  <conditionalFormatting sqref="P425:P426">
    <cfRule type="containsText" dxfId="153" priority="10495" operator="containsText" text="N/A">
      <formula>NOT(ISERROR(SEARCH("N/A",P425)))</formula>
    </cfRule>
    <cfRule type="containsText" dxfId="152" priority="10494" operator="containsText" text="Lançado">
      <formula>NOT(ISERROR(SEARCH("Lançado",P425)))</formula>
    </cfRule>
  </conditionalFormatting>
  <conditionalFormatting sqref="P427 P430">
    <cfRule type="containsText" dxfId="151" priority="14022" operator="containsText" text="Finalizado">
      <formula>NOT(ISERROR(SEARCH("Finalizado",P427)))</formula>
    </cfRule>
    <cfRule type="containsText" dxfId="150" priority="14020" operator="containsText" text="N/A">
      <formula>NOT(ISERROR(SEARCH("N/A",P427)))</formula>
    </cfRule>
    <cfRule type="expression" dxfId="149" priority="14018">
      <formula>$H427="ETAPA"</formula>
    </cfRule>
    <cfRule type="expression" dxfId="148" priority="14017">
      <formula>$H427="CÉLULA CONSTRUTIVA"</formula>
    </cfRule>
    <cfRule type="containsText" dxfId="147" priority="14021" operator="containsText" text="Pendente">
      <formula>NOT(ISERROR(SEARCH("Pendente",P427)))</formula>
    </cfRule>
    <cfRule type="containsText" dxfId="146" priority="14023" operator="containsText" text="em andamento">
      <formula>NOT(ISERROR(SEARCH("em andamento",P427)))</formula>
    </cfRule>
    <cfRule type="containsText" dxfId="145" priority="14019" operator="containsText" text="Lançado">
      <formula>NOT(ISERROR(SEARCH("Lançado",P427)))</formula>
    </cfRule>
  </conditionalFormatting>
  <conditionalFormatting sqref="P427:P429 M428:N428">
    <cfRule type="expression" dxfId="144" priority="8777">
      <formula>$H427="ETAPA"</formula>
    </cfRule>
  </conditionalFormatting>
  <conditionalFormatting sqref="P428:P429 P442">
    <cfRule type="containsText" dxfId="143" priority="8789" operator="containsText" text="N/A">
      <formula>NOT(ISERROR(SEARCH("N/A",P428)))</formula>
    </cfRule>
    <cfRule type="containsText" dxfId="142" priority="8788" operator="containsText" text="Lançado">
      <formula>NOT(ISERROR(SEARCH("Lançado",P428)))</formula>
    </cfRule>
    <cfRule type="containsText" dxfId="141" priority="8790" operator="containsText" text="Pendente">
      <formula>NOT(ISERROR(SEARCH("Pendente",P428)))</formula>
    </cfRule>
    <cfRule type="containsText" dxfId="140" priority="8791" operator="containsText" text="Finalizado">
      <formula>NOT(ISERROR(SEARCH("Finalizado",P428)))</formula>
    </cfRule>
    <cfRule type="containsText" dxfId="139" priority="8792" operator="containsText" text="em andamento">
      <formula>NOT(ISERROR(SEARCH("em andamento",P428)))</formula>
    </cfRule>
  </conditionalFormatting>
  <conditionalFormatting sqref="P429 P442">
    <cfRule type="containsText" dxfId="138" priority="8787" operator="containsText" text="em andamento">
      <formula>NOT(ISERROR(SEARCH("em andamento",P429)))</formula>
    </cfRule>
    <cfRule type="containsText" dxfId="137" priority="8786" operator="containsText" text="Finalizado">
      <formula>NOT(ISERROR(SEARCH("Finalizado",P429)))</formula>
    </cfRule>
    <cfRule type="containsText" dxfId="136" priority="8783" operator="containsText" text="Lançado">
      <formula>NOT(ISERROR(SEARCH("Lançado",P429)))</formula>
    </cfRule>
    <cfRule type="containsText" dxfId="135" priority="8785" operator="containsText" text="Pendente">
      <formula>NOT(ISERROR(SEARCH("Pendente",P429)))</formula>
    </cfRule>
    <cfRule type="containsText" dxfId="134" priority="8784" operator="containsText" text="N/A">
      <formula>NOT(ISERROR(SEARCH("N/A",P429)))</formula>
    </cfRule>
  </conditionalFormatting>
  <conditionalFormatting sqref="P430 P427">
    <cfRule type="expression" dxfId="133" priority="14016">
      <formula>$H427="SUBETAPA"</formula>
    </cfRule>
  </conditionalFormatting>
  <conditionalFormatting sqref="P430">
    <cfRule type="expression" dxfId="132" priority="14015">
      <formula>$H430="ETAPA"</formula>
    </cfRule>
  </conditionalFormatting>
  <conditionalFormatting sqref="P431:P434">
    <cfRule type="containsText" dxfId="131" priority="13401" operator="containsText" text="Finalizado">
      <formula>NOT(ISERROR(SEARCH("Finalizado",P431)))</formula>
    </cfRule>
    <cfRule type="containsText" dxfId="130" priority="13400" operator="containsText" text="Pendente">
      <formula>NOT(ISERROR(SEARCH("Pendente",P431)))</formula>
    </cfRule>
    <cfRule type="containsText" dxfId="129" priority="13399" operator="containsText" text="N/A">
      <formula>NOT(ISERROR(SEARCH("N/A",P431)))</formula>
    </cfRule>
    <cfRule type="containsText" dxfId="128" priority="13406" operator="containsText" text="Finalizado">
      <formula>NOT(ISERROR(SEARCH("Finalizado",P431)))</formula>
    </cfRule>
    <cfRule type="containsText" dxfId="127" priority="13407" operator="containsText" text="em andamento">
      <formula>NOT(ISERROR(SEARCH("em andamento",P431)))</formula>
    </cfRule>
    <cfRule type="containsText" dxfId="126" priority="13405" operator="containsText" text="Pendente">
      <formula>NOT(ISERROR(SEARCH("Pendente",P431)))</formula>
    </cfRule>
    <cfRule type="containsText" dxfId="125" priority="13398" operator="containsText" text="Lançado">
      <formula>NOT(ISERROR(SEARCH("Lançado",P431)))</formula>
    </cfRule>
    <cfRule type="containsText" dxfId="124" priority="13404" operator="containsText" text="N/A">
      <formula>NOT(ISERROR(SEARCH("N/A",P431)))</formula>
    </cfRule>
    <cfRule type="containsText" dxfId="123" priority="13403" operator="containsText" text="Lançado">
      <formula>NOT(ISERROR(SEARCH("Lançado",P431)))</formula>
    </cfRule>
    <cfRule type="containsText" dxfId="122" priority="13402" operator="containsText" text="em andamento">
      <formula>NOT(ISERROR(SEARCH("em andamento",P431)))</formula>
    </cfRule>
  </conditionalFormatting>
  <conditionalFormatting sqref="P433:P434">
    <cfRule type="containsText" dxfId="121" priority="13890" operator="containsText" text="em andamento">
      <formula>NOT(ISERROR(SEARCH("em andamento",P433)))</formula>
    </cfRule>
    <cfRule type="containsText" dxfId="120" priority="13889" operator="containsText" text="Finalizado">
      <formula>NOT(ISERROR(SEARCH("Finalizado",P433)))</formula>
    </cfRule>
  </conditionalFormatting>
  <conditionalFormatting sqref="P433:P436 P422:P424 P446:P452 P19:P25 P261:P262">
    <cfRule type="containsText" dxfId="119" priority="13916" operator="containsText" text="N/A">
      <formula>NOT(ISERROR(SEARCH("N/A",P19)))</formula>
    </cfRule>
  </conditionalFormatting>
  <conditionalFormatting sqref="P433:P436 P446:P452 P19:P25 P261:P262">
    <cfRule type="containsText" dxfId="118" priority="13915" operator="containsText" text="Lançado">
      <formula>NOT(ISERROR(SEARCH("Lançado",P19)))</formula>
    </cfRule>
  </conditionalFormatting>
  <conditionalFormatting sqref="P434">
    <cfRule type="containsText" dxfId="117" priority="12577" operator="containsText" text="em andamento">
      <formula>NOT(ISERROR(SEARCH("em andamento",P434)))</formula>
    </cfRule>
    <cfRule type="expression" dxfId="116" priority="12578">
      <formula>$H434="SUBETAPA"</formula>
    </cfRule>
    <cfRule type="expression" dxfId="115" priority="12579">
      <formula>$H434="CÉLULA CONSTRUTIVA"</formula>
    </cfRule>
    <cfRule type="expression" dxfId="114" priority="12580">
      <formula>$H434="ETAPA"</formula>
    </cfRule>
    <cfRule type="expression" dxfId="113" priority="13385">
      <formula>$H434="SUBETAPA"</formula>
    </cfRule>
    <cfRule type="expression" dxfId="112" priority="13386">
      <formula>$H434="CÉLULA CONSTRUTIVA"</formula>
    </cfRule>
    <cfRule type="expression" dxfId="111" priority="13387">
      <formula>$H434="ETAPA"</formula>
    </cfRule>
    <cfRule type="containsText" dxfId="110" priority="13388" operator="containsText" text="Lançado">
      <formula>NOT(ISERROR(SEARCH("Lançado",P434)))</formula>
    </cfRule>
    <cfRule type="containsText" dxfId="109" priority="13389" operator="containsText" text="N/A">
      <formula>NOT(ISERROR(SEARCH("N/A",P434)))</formula>
    </cfRule>
    <cfRule type="containsText" dxfId="108" priority="13390" operator="containsText" text="Pendente">
      <formula>NOT(ISERROR(SEARCH("Pendente",P434)))</formula>
    </cfRule>
    <cfRule type="containsText" dxfId="107" priority="13391" operator="containsText" text="Finalizado">
      <formula>NOT(ISERROR(SEARCH("Finalizado",P434)))</formula>
    </cfRule>
    <cfRule type="containsText" dxfId="106" priority="13392" operator="containsText" text="em andamento">
      <formula>NOT(ISERROR(SEARCH("em andamento",P434)))</formula>
    </cfRule>
    <cfRule type="containsText" dxfId="105" priority="13393" operator="containsText" text="Lançado">
      <formula>NOT(ISERROR(SEARCH("Lançado",P434)))</formula>
    </cfRule>
    <cfRule type="containsText" dxfId="104" priority="13394" operator="containsText" text="N/A">
      <formula>NOT(ISERROR(SEARCH("N/A",P434)))</formula>
    </cfRule>
    <cfRule type="containsText" dxfId="103" priority="13395" operator="containsText" text="Pendente">
      <formula>NOT(ISERROR(SEARCH("Pendente",P434)))</formula>
    </cfRule>
    <cfRule type="containsText" dxfId="102" priority="13396" operator="containsText" text="Finalizado">
      <formula>NOT(ISERROR(SEARCH("Finalizado",P434)))</formula>
    </cfRule>
    <cfRule type="containsText" dxfId="101" priority="13397" operator="containsText" text="em andamento">
      <formula>NOT(ISERROR(SEARCH("em andamento",P434)))</formula>
    </cfRule>
    <cfRule type="expression" dxfId="100" priority="11052">
      <formula>$H434="ETAPA"</formula>
    </cfRule>
    <cfRule type="containsText" dxfId="99" priority="11051" operator="containsText" text="em andamento">
      <formula>NOT(ISERROR(SEARCH("em andamento",P434)))</formula>
    </cfRule>
    <cfRule type="containsText" dxfId="98" priority="11050" operator="containsText" text="Finalizado">
      <formula>NOT(ISERROR(SEARCH("Finalizado",P434)))</formula>
    </cfRule>
    <cfRule type="containsText" dxfId="97" priority="11049" operator="containsText" text="Pendente">
      <formula>NOT(ISERROR(SEARCH("Pendente",P434)))</formula>
    </cfRule>
    <cfRule type="containsText" dxfId="96" priority="11048" operator="containsText" text="N/A">
      <formula>NOT(ISERROR(SEARCH("N/A",P434)))</formula>
    </cfRule>
    <cfRule type="containsText" dxfId="95" priority="11047" operator="containsText" text="Lançado">
      <formula>NOT(ISERROR(SEARCH("Lançado",P434)))</formula>
    </cfRule>
    <cfRule type="containsText" dxfId="94" priority="11046" operator="containsText" text="em andamento">
      <formula>NOT(ISERROR(SEARCH("em andamento",P434)))</formula>
    </cfRule>
    <cfRule type="containsText" dxfId="93" priority="11045" operator="containsText" text="Finalizado">
      <formula>NOT(ISERROR(SEARCH("Finalizado",P434)))</formula>
    </cfRule>
    <cfRule type="containsText" dxfId="92" priority="12568" operator="containsText" text="Lançado">
      <formula>NOT(ISERROR(SEARCH("Lançado",P434)))</formula>
    </cfRule>
    <cfRule type="containsText" dxfId="91" priority="12569" operator="containsText" text="N/A">
      <formula>NOT(ISERROR(SEARCH("N/A",P434)))</formula>
    </cfRule>
    <cfRule type="containsText" dxfId="90" priority="12570" operator="containsText" text="Pendente">
      <formula>NOT(ISERROR(SEARCH("Pendente",P434)))</formula>
    </cfRule>
    <cfRule type="containsText" dxfId="89" priority="12571" operator="containsText" text="Finalizado">
      <formula>NOT(ISERROR(SEARCH("Finalizado",P434)))</formula>
    </cfRule>
    <cfRule type="containsText" dxfId="88" priority="12572" operator="containsText" text="em andamento">
      <formula>NOT(ISERROR(SEARCH("em andamento",P434)))</formula>
    </cfRule>
    <cfRule type="containsText" dxfId="87" priority="12573" operator="containsText" text="Lançado">
      <formula>NOT(ISERROR(SEARCH("Lançado",P434)))</formula>
    </cfRule>
    <cfRule type="containsText" dxfId="86" priority="12574" operator="containsText" text="N/A">
      <formula>NOT(ISERROR(SEARCH("N/A",P434)))</formula>
    </cfRule>
    <cfRule type="containsText" dxfId="85" priority="12575" operator="containsText" text="Pendente">
      <formula>NOT(ISERROR(SEARCH("Pendente",P434)))</formula>
    </cfRule>
    <cfRule type="containsText" dxfId="84" priority="12576" operator="containsText" text="Finalizado">
      <formula>NOT(ISERROR(SEARCH("Finalizado",P434)))</formula>
    </cfRule>
  </conditionalFormatting>
  <conditionalFormatting sqref="P436:P440">
    <cfRule type="containsText" dxfId="83" priority="4370" operator="containsText" text="N/A">
      <formula>NOT(ISERROR(SEARCH("N/A",P436)))</formula>
    </cfRule>
    <cfRule type="containsText" dxfId="82" priority="4369" operator="containsText" text="Lançado">
      <formula>NOT(ISERROR(SEARCH("Lançado",P436)))</formula>
    </cfRule>
    <cfRule type="containsText" dxfId="81" priority="4376" operator="containsText" text="em andamento">
      <formula>NOT(ISERROR(SEARCH("em andamento",P436)))</formula>
    </cfRule>
    <cfRule type="containsText" dxfId="80" priority="4375" operator="containsText" text="Finalizado">
      <formula>NOT(ISERROR(SEARCH("Finalizado",P436)))</formula>
    </cfRule>
  </conditionalFormatting>
  <conditionalFormatting sqref="P437:P440">
    <cfRule type="containsText" dxfId="79" priority="4366" operator="containsText" text="N/A">
      <formula>NOT(ISERROR(SEARCH("N/A",P437)))</formula>
    </cfRule>
    <cfRule type="containsText" dxfId="78" priority="4367" operator="containsText" text="Finalizado">
      <formula>NOT(ISERROR(SEARCH("Finalizado",P437)))</formula>
    </cfRule>
    <cfRule type="containsText" dxfId="77" priority="4368" operator="containsText" text="em andamento">
      <formula>NOT(ISERROR(SEARCH("em andamento",P437)))</formula>
    </cfRule>
    <cfRule type="containsText" dxfId="76" priority="4371" operator="containsText" text="Pendente">
      <formula>NOT(ISERROR(SEARCH("Pendente",P437)))</formula>
    </cfRule>
    <cfRule type="containsText" dxfId="75" priority="4365" operator="containsText" text="Lançado">
      <formula>NOT(ISERROR(SEARCH("Lançado",P437)))</formula>
    </cfRule>
    <cfRule type="containsText" dxfId="74" priority="4374" operator="containsText" text="Pendente">
      <formula>NOT(ISERROR(SEARCH("Pendente",P437)))</formula>
    </cfRule>
  </conditionalFormatting>
  <conditionalFormatting sqref="P438 O440:P440 P157:P163 L130:P138 N139:P139 G315:P315 G322:P322 P334:P336 N335:O335 G339:P341 P288:P294 P266 G267:P269 P269:P272 G94:P96 G420:P421 G304:M305 O337:P337 G54:N54 G52:P53 N280:N282 P34:P35 G34:L39 G58:M62 L145:P147 N277:P277 G278:P279 G307:P311 M347:M351 G352:M352 G353:K357 N418:O418 G419:O419 G98:P101 P280:P282 H40:H51 G43:K51 G55:P55 G85:M93 P102:P104 G102:M116 N105:P107 O114 N114:N115 N116:P116 G117:P121 N122:N124 G122:M129 L133:L139 L139:M141 L142:P142 M148:M155 L156:P156 G157:M163 G270:L274 M271:O271 M272:N272 M273:O273 L275:M275 G285:M286 N286:P286 N288:O289 G288:M293 N293:P293 G297:P303 G323:M330 N324:P325 N326:O330 G338:N338 G346:L351 G358:M360 L388:M390 G428:L438 P74:P78 N77:P78 G79:P84 L40:L51 P54 N61:O62 L63:L64 G65:M65 M66:M69 N163:O164 G275:J275 M334:M335 G335:L335 P347:P352 N356:P356 N360:P360">
    <cfRule type="expression" dxfId="73" priority="4668">
      <formula>$H34="SUBETAPA"</formula>
    </cfRule>
  </conditionalFormatting>
  <conditionalFormatting sqref="P439:P440 P364:P365">
    <cfRule type="containsText" dxfId="72" priority="11204" operator="containsText" text="Finalizado">
      <formula>NOT(ISERROR(SEARCH("Finalizado",P364)))</formula>
    </cfRule>
    <cfRule type="containsText" dxfId="71" priority="11205" operator="containsText" text="em andamento">
      <formula>NOT(ISERROR(SEARCH("em andamento",P364)))</formula>
    </cfRule>
  </conditionalFormatting>
  <conditionalFormatting sqref="P439:P440">
    <cfRule type="containsText" dxfId="70" priority="3459" operator="containsText" text="Pendente">
      <formula>NOT(ISERROR(SEARCH("Pendente",P439)))</formula>
    </cfRule>
    <cfRule type="containsText" dxfId="69" priority="3461" operator="containsText" text="em andamento">
      <formula>NOT(ISERROR(SEARCH("em andamento",P439)))</formula>
    </cfRule>
    <cfRule type="containsText" dxfId="68" priority="3460" operator="containsText" text="Finalizado">
      <formula>NOT(ISERROR(SEARCH("Finalizado",P439)))</formula>
    </cfRule>
  </conditionalFormatting>
  <conditionalFormatting sqref="P440">
    <cfRule type="containsText" dxfId="67" priority="3455" operator="containsText" text="Finalizado">
      <formula>NOT(ISERROR(SEARCH("Finalizado",P440)))</formula>
    </cfRule>
    <cfRule type="containsText" dxfId="66" priority="3445" operator="containsText" text="N/A">
      <formula>NOT(ISERROR(SEARCH("N/A",P440)))</formula>
    </cfRule>
    <cfRule type="containsText" dxfId="65" priority="3444" operator="containsText" text="Lançado">
      <formula>NOT(ISERROR(SEARCH("Lançado",P440)))</formula>
    </cfRule>
    <cfRule type="containsText" dxfId="64" priority="3453" operator="containsText" text="N/A">
      <formula>NOT(ISERROR(SEARCH("N/A",P440)))</formula>
    </cfRule>
    <cfRule type="containsText" dxfId="63" priority="3456" operator="containsText" text="em andamento">
      <formula>NOT(ISERROR(SEARCH("em andamento",P440)))</formula>
    </cfRule>
    <cfRule type="containsText" dxfId="62" priority="3454" operator="containsText" text="Pendente">
      <formula>NOT(ISERROR(SEARCH("Pendente",P440)))</formula>
    </cfRule>
    <cfRule type="containsText" dxfId="61" priority="3452" operator="containsText" text="Lançado">
      <formula>NOT(ISERROR(SEARCH("Lançado",P440)))</formula>
    </cfRule>
    <cfRule type="containsText" dxfId="60" priority="3448" operator="containsText" text="em andamento">
      <formula>NOT(ISERROR(SEARCH("em andamento",P440)))</formula>
    </cfRule>
    <cfRule type="containsText" dxfId="59" priority="3447" operator="containsText" text="Finalizado">
      <formula>NOT(ISERROR(SEARCH("Finalizado",P440)))</formula>
    </cfRule>
    <cfRule type="containsText" dxfId="58" priority="3446" operator="containsText" text="Pendente">
      <formula>NOT(ISERROR(SEARCH("Pendente",P440)))</formula>
    </cfRule>
  </conditionalFormatting>
  <conditionalFormatting sqref="P441:P443 M429:P429">
    <cfRule type="expression" dxfId="57" priority="8781">
      <formula>$H429="SUBETAPA"</formula>
    </cfRule>
  </conditionalFormatting>
  <conditionalFormatting sqref="P443">
    <cfRule type="containsText" dxfId="56" priority="11018" operator="containsText" text="em andamento">
      <formula>NOT(ISERROR(SEARCH("em andamento",P443)))</formula>
    </cfRule>
    <cfRule type="containsText" dxfId="55" priority="11022" operator="containsText" text="Lançado">
      <formula>NOT(ISERROR(SEARCH("Lançado",P443)))</formula>
    </cfRule>
    <cfRule type="containsText" dxfId="54" priority="11023" operator="containsText" text="N/A">
      <formula>NOT(ISERROR(SEARCH("N/A",P443)))</formula>
    </cfRule>
    <cfRule type="containsText" dxfId="53" priority="11024" operator="containsText" text="Pendente">
      <formula>NOT(ISERROR(SEARCH("Pendente",P443)))</formula>
    </cfRule>
    <cfRule type="containsText" dxfId="52" priority="11026" operator="containsText" text="em andamento">
      <formula>NOT(ISERROR(SEARCH("em andamento",P443)))</formula>
    </cfRule>
    <cfRule type="containsText" dxfId="51" priority="11009" operator="containsText" text="Lançado">
      <formula>NOT(ISERROR(SEARCH("Lançado",P443)))</formula>
    </cfRule>
    <cfRule type="containsText" dxfId="50" priority="11010" operator="containsText" text="N/A">
      <formula>NOT(ISERROR(SEARCH("N/A",P443)))</formula>
    </cfRule>
    <cfRule type="containsText" dxfId="49" priority="11011" operator="containsText" text="Pendente">
      <formula>NOT(ISERROR(SEARCH("Pendente",P443)))</formula>
    </cfRule>
    <cfRule type="containsText" dxfId="48" priority="11012" operator="containsText" text="Finalizado">
      <formula>NOT(ISERROR(SEARCH("Finalizado",P443)))</formula>
    </cfRule>
    <cfRule type="containsText" dxfId="47" priority="11013" operator="containsText" text="em andamento">
      <formula>NOT(ISERROR(SEARCH("em andamento",P443)))</formula>
    </cfRule>
    <cfRule type="containsText" dxfId="46" priority="11014" operator="containsText" text="Lançado">
      <formula>NOT(ISERROR(SEARCH("Lançado",P443)))</formula>
    </cfRule>
    <cfRule type="containsText" dxfId="45" priority="11016" operator="containsText" text="Pendente">
      <formula>NOT(ISERROR(SEARCH("Pendente",P443)))</formula>
    </cfRule>
    <cfRule type="containsText" dxfId="44" priority="11017" operator="containsText" text="Finalizado">
      <formula>NOT(ISERROR(SEARCH("Finalizado",P443)))</formula>
    </cfRule>
    <cfRule type="containsText" dxfId="43" priority="11025" operator="containsText" text="Finalizado">
      <formula>NOT(ISERROR(SEARCH("Finalizado",P443)))</formula>
    </cfRule>
    <cfRule type="containsText" dxfId="42" priority="11015" operator="containsText" text="N/A">
      <formula>NOT(ISERROR(SEARCH("N/A",P443)))</formula>
    </cfRule>
  </conditionalFormatting>
  <conditionalFormatting sqref="P444 G444:K444">
    <cfRule type="expression" dxfId="41" priority="510">
      <formula>$H444="ETAPA"</formula>
    </cfRule>
  </conditionalFormatting>
  <conditionalFormatting sqref="P444">
    <cfRule type="containsText" dxfId="40" priority="501" operator="containsText" text="N/A">
      <formula>NOT(ISERROR(SEARCH("N/A",P444)))</formula>
    </cfRule>
    <cfRule type="expression" dxfId="39" priority="504">
      <formula>$H444="SUBETAPA"</formula>
    </cfRule>
    <cfRule type="expression" dxfId="38" priority="505">
      <formula>$H444="CÉLULA CONSTRUTIVA"</formula>
    </cfRule>
    <cfRule type="containsText" dxfId="37" priority="506" operator="containsText" text="N/A">
      <formula>NOT(ISERROR(SEARCH("N/A",P444)))</formula>
    </cfRule>
    <cfRule type="containsText" dxfId="36" priority="511" operator="containsText" text="Finalizado">
      <formula>NOT(ISERROR(SEARCH("Finalizado",P444)))</formula>
    </cfRule>
    <cfRule type="containsText" dxfId="35" priority="509" operator="containsText" text="em andamento">
      <formula>NOT(ISERROR(SEARCH("em andamento",P444)))</formula>
    </cfRule>
    <cfRule type="containsText" dxfId="34" priority="503" operator="containsText" text="em andamento">
      <formula>NOT(ISERROR(SEARCH("em andamento",P444)))</formula>
    </cfRule>
    <cfRule type="containsText" dxfId="33" priority="507" operator="containsText" text="Pendente">
      <formula>NOT(ISERROR(SEARCH("Pendente",P444)))</formula>
    </cfRule>
    <cfRule type="containsText" dxfId="32" priority="502" operator="containsText" text="Pendente">
      <formula>NOT(ISERROR(SEARCH("Pendente",P444)))</formula>
    </cfRule>
    <cfRule type="containsText" dxfId="31" priority="508" operator="containsText" text="Finalizado">
      <formula>NOT(ISERROR(SEARCH("Finalizado",P444)))</formula>
    </cfRule>
    <cfRule type="containsText" dxfId="30" priority="500" operator="containsText" text="Lançado">
      <formula>NOT(ISERROR(SEARCH("Lançado",P444)))</formula>
    </cfRule>
  </conditionalFormatting>
  <conditionalFormatting sqref="P445">
    <cfRule type="expression" dxfId="29" priority="782">
      <formula>$H445="CÉLULA CONSTRUTIVA"</formula>
    </cfRule>
    <cfRule type="expression" dxfId="28" priority="783">
      <formula>$H445="ETAPA"</formula>
    </cfRule>
    <cfRule type="containsText" dxfId="27" priority="784" operator="containsText" text="Lançado">
      <formula>NOT(ISERROR(SEARCH("Lançado",P445)))</formula>
    </cfRule>
    <cfRule type="containsText" dxfId="26" priority="785" operator="containsText" text="N/A">
      <formula>NOT(ISERROR(SEARCH("N/A",P445)))</formula>
    </cfRule>
    <cfRule type="containsText" dxfId="25" priority="786" operator="containsText" text="Pendente">
      <formula>NOT(ISERROR(SEARCH("Pendente",P445)))</formula>
    </cfRule>
    <cfRule type="containsText" dxfId="24" priority="787" operator="containsText" text="Finalizado">
      <formula>NOT(ISERROR(SEARCH("Finalizado",P445)))</formula>
    </cfRule>
    <cfRule type="containsText" dxfId="23" priority="788" operator="containsText" text="em andamento">
      <formula>NOT(ISERROR(SEARCH("em andamento",P445)))</formula>
    </cfRule>
    <cfRule type="expression" dxfId="22" priority="775">
      <formula>$H445="SUBETAPA"</formula>
    </cfRule>
    <cfRule type="expression" dxfId="21" priority="776">
      <formula>$H445="ETAPA"</formula>
    </cfRule>
    <cfRule type="expression" dxfId="20" priority="781">
      <formula>$H445="SUBETAPA"</formula>
    </cfRule>
  </conditionalFormatting>
  <conditionalFormatting sqref="Q10:Q12 Q427:Q458 Q24:Q422">
    <cfRule type="cellIs" dxfId="19" priority="483" operator="equal">
      <formula>"TETO"</formula>
    </cfRule>
    <cfRule type="cellIs" dxfId="18" priority="486" operator="equal">
      <formula>"FACHADA"</formula>
    </cfRule>
    <cfRule type="cellIs" dxfId="17" priority="485" operator="equal">
      <formula>"PISO"</formula>
    </cfRule>
    <cfRule type="cellIs" dxfId="16" priority="484" operator="equal">
      <formula>"PAREDE"</formula>
    </cfRule>
  </conditionalFormatting>
  <conditionalFormatting sqref="Q423">
    <cfRule type="cellIs" dxfId="15" priority="3062" operator="equal">
      <formula>"PAREDE"</formula>
    </cfRule>
    <cfRule type="cellIs" dxfId="14" priority="3061" operator="equal">
      <formula>"TETO"</formula>
    </cfRule>
    <cfRule type="cellIs" dxfId="13" priority="3064" operator="equal">
      <formula>"FACHADA"</formula>
    </cfRule>
    <cfRule type="cellIs" dxfId="12" priority="3063" operator="equal">
      <formula>"PISO"</formula>
    </cfRule>
  </conditionalFormatting>
  <conditionalFormatting sqref="Q424">
    <cfRule type="cellIs" dxfId="11" priority="809" operator="equal">
      <formula>"FACHADA"</formula>
    </cfRule>
    <cfRule type="cellIs" dxfId="10" priority="808" operator="equal">
      <formula>"PISO"</formula>
    </cfRule>
    <cfRule type="cellIs" dxfId="9" priority="807" operator="equal">
      <formula>"PAREDE"</formula>
    </cfRule>
    <cfRule type="cellIs" dxfId="8" priority="806" operator="equal">
      <formula>"TETO"</formula>
    </cfRule>
  </conditionalFormatting>
  <conditionalFormatting sqref="Q425:Q426 Q1:Q9 Q13:Q23">
    <cfRule type="cellIs" dxfId="7" priority="2951" operator="equal">
      <formula>"TETO"</formula>
    </cfRule>
    <cfRule type="cellIs" dxfId="6" priority="2953" operator="equal">
      <formula>"PISO"</formula>
    </cfRule>
    <cfRule type="cellIs" dxfId="5" priority="2952" operator="equal">
      <formula>"PAREDE"</formula>
    </cfRule>
    <cfRule type="cellIs" dxfId="4" priority="2954" operator="equal">
      <formula>"FACHADA"</formula>
    </cfRule>
  </conditionalFormatting>
  <conditionalFormatting sqref="Q459:Q1048576">
    <cfRule type="cellIs" dxfId="3" priority="4360" operator="equal">
      <formula>"TETO"</formula>
    </cfRule>
    <cfRule type="cellIs" dxfId="2" priority="4363" operator="equal">
      <formula>"FACHADA"</formula>
    </cfRule>
    <cfRule type="cellIs" dxfId="1" priority="4362" operator="equal">
      <formula>"PISO"</formula>
    </cfRule>
    <cfRule type="cellIs" dxfId="0" priority="4361" operator="equal">
      <formula>"PAREDE"</formula>
    </cfRule>
  </conditionalFormatting>
  <dataValidations disablePrompts="1" count="3">
    <dataValidation type="list" allowBlank="1" showInputMessage="1" showErrorMessage="1" sqref="P13 P10" xr:uid="{60DAA311-F594-416F-94E4-5C20566C260D}">
      <formula1>$R$2:$R$5</formula1>
    </dataValidation>
    <dataValidation type="list" allowBlank="1" showInputMessage="1" showErrorMessage="1" sqref="P227:P231 P191:P198 P200:P212 P185:P189 P214:P225 P403:P427 P183 P11:P12 P442:P445 P233:P260 P57:P99 P14:P55 P429:P434 P436:P440 P101:P103 P105:P179 P262:P401" xr:uid="{3EFAA906-B1D8-460E-A295-20252C56A889}">
      <formula1>"Finalizado, Em Andamento, Pendente, N/A,Lançado ERP"</formula1>
    </dataValidation>
    <dataValidation type="list" allowBlank="1" showInputMessage="1" showErrorMessage="1" sqref="H8:H452" xr:uid="{ABF779B1-BD96-4930-91BF-CADF83AD3343}">
      <formula1>"UNIDADE CONSTRUTIVA,CÉLULA CONSTRUTIVA,ETAPA,SUBETAPA,SERVIÇO"</formula1>
    </dataValidation>
  </dataValidations>
  <printOptions horizontalCentered="1"/>
  <pageMargins left="0.51181102362204722" right="0.51181102362204722" top="0.78740157480314965" bottom="0.78740157480314965" header="0.31496062992125984" footer="0.31496062992125984"/>
  <pageSetup paperSize="9" scale="1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1AED-A8FD-4144-90CC-385EF4ABD2E4}">
  <sheetPr>
    <tabColor rgb="FF1851D6"/>
    <outlinePr summaryBelow="0"/>
    <pageSetUpPr fitToPage="1"/>
  </sheetPr>
  <dimension ref="A1:Q4327"/>
  <sheetViews>
    <sheetView showGridLines="0" zoomScale="85" zoomScaleNormal="85" zoomScalePageLayoutView="55" workbookViewId="0">
      <selection activeCell="G102" sqref="G102"/>
    </sheetView>
  </sheetViews>
  <sheetFormatPr defaultColWidth="11.5703125" defaultRowHeight="12.75" outlineLevelRow="1" x14ac:dyDescent="0.2"/>
  <cols>
    <col min="1" max="1" width="11.5703125" style="198"/>
    <col min="2" max="2" width="12.28515625" style="198" customWidth="1"/>
    <col min="3" max="3" width="76.42578125" style="198" customWidth="1"/>
    <col min="4" max="4" width="8.140625" style="213" customWidth="1"/>
    <col min="5" max="6" width="11.7109375" style="214" customWidth="1"/>
    <col min="7" max="7" width="75.28515625" style="198" customWidth="1"/>
    <col min="8" max="8" width="17" style="198" customWidth="1"/>
    <col min="9" max="9" width="15.5703125" style="241" customWidth="1"/>
    <col min="10" max="10" width="14.7109375" style="403" customWidth="1"/>
    <col min="11" max="16384" width="11.5703125" style="198"/>
  </cols>
  <sheetData>
    <row r="1" spans="1:12" x14ac:dyDescent="0.2">
      <c r="A1" s="198" t="s">
        <v>1278</v>
      </c>
      <c r="B1" s="629" t="s">
        <v>1280</v>
      </c>
      <c r="C1" s="630"/>
      <c r="D1" s="630"/>
      <c r="E1" s="630"/>
      <c r="F1" s="198"/>
    </row>
    <row r="2" spans="1:12" x14ac:dyDescent="0.2">
      <c r="A2" s="198" t="s">
        <v>1279</v>
      </c>
      <c r="B2" s="199" t="s">
        <v>1281</v>
      </c>
      <c r="C2" s="200" t="s">
        <v>1282</v>
      </c>
      <c r="D2" s="201"/>
      <c r="E2" s="202"/>
      <c r="F2" s="202"/>
    </row>
    <row r="3" spans="1:12" x14ac:dyDescent="0.2">
      <c r="A3" s="198" t="s">
        <v>1950</v>
      </c>
      <c r="B3" s="199" t="s">
        <v>30</v>
      </c>
      <c r="C3" s="200" t="s">
        <v>124</v>
      </c>
      <c r="D3" s="203"/>
      <c r="E3" s="204"/>
      <c r="F3" s="204"/>
    </row>
    <row r="4" spans="1:12" x14ac:dyDescent="0.2">
      <c r="B4" s="199" t="s">
        <v>1283</v>
      </c>
      <c r="C4" s="200" t="s">
        <v>124</v>
      </c>
      <c r="D4" s="205"/>
      <c r="E4" s="206"/>
      <c r="F4" s="206"/>
    </row>
    <row r="5" spans="1:12" x14ac:dyDescent="0.2">
      <c r="B5" s="199" t="s">
        <v>1284</v>
      </c>
      <c r="C5" s="200" t="s">
        <v>124</v>
      </c>
      <c r="D5" s="205"/>
      <c r="E5" s="206"/>
      <c r="F5" s="206"/>
    </row>
    <row r="6" spans="1:12" x14ac:dyDescent="0.2">
      <c r="B6" s="199" t="s">
        <v>1285</v>
      </c>
      <c r="C6" s="200" t="s">
        <v>124</v>
      </c>
      <c r="D6" s="207"/>
      <c r="E6" s="208"/>
      <c r="F6" s="208"/>
    </row>
    <row r="7" spans="1:12" x14ac:dyDescent="0.2">
      <c r="B7" s="199" t="s">
        <v>0</v>
      </c>
      <c r="C7" s="200" t="s">
        <v>124</v>
      </c>
      <c r="D7" s="209"/>
      <c r="E7" s="210"/>
      <c r="F7" s="210"/>
      <c r="H7" s="211"/>
    </row>
    <row r="8" spans="1:12" x14ac:dyDescent="0.2">
      <c r="B8" s="631"/>
      <c r="C8" s="632"/>
      <c r="D8" s="632"/>
      <c r="E8" s="633"/>
      <c r="F8" s="198"/>
    </row>
    <row r="9" spans="1:12" x14ac:dyDescent="0.2">
      <c r="B9" s="518" t="s">
        <v>1286</v>
      </c>
      <c r="C9" s="519"/>
      <c r="D9" s="519"/>
      <c r="E9" s="502"/>
      <c r="F9" s="502"/>
    </row>
    <row r="10" spans="1:12" x14ac:dyDescent="0.2">
      <c r="B10" s="628" t="s">
        <v>15</v>
      </c>
      <c r="C10" s="628" t="s">
        <v>0</v>
      </c>
      <c r="D10" s="628" t="s">
        <v>147</v>
      </c>
      <c r="E10" s="628" t="s">
        <v>20</v>
      </c>
      <c r="F10" s="628" t="s">
        <v>1716</v>
      </c>
    </row>
    <row r="11" spans="1:12" x14ac:dyDescent="0.2">
      <c r="B11" s="628"/>
      <c r="C11" s="628"/>
      <c r="D11" s="628"/>
      <c r="E11" s="628"/>
      <c r="F11" s="628"/>
    </row>
    <row r="12" spans="1:12" collapsed="1" x14ac:dyDescent="0.2">
      <c r="B12" s="515" t="s">
        <v>1287</v>
      </c>
      <c r="C12" s="516" t="s">
        <v>1878</v>
      </c>
      <c r="D12" s="516"/>
      <c r="E12" s="520">
        <f>SUM(E14:E97)</f>
        <v>4379.7</v>
      </c>
      <c r="F12" s="520"/>
      <c r="G12" s="516"/>
      <c r="H12" s="234">
        <f>SUM(H13:H18)</f>
        <v>4379.7</v>
      </c>
      <c r="I12" s="242" t="str">
        <f>IF(H12=E12,"OKAY","REVER")</f>
        <v>OKAY</v>
      </c>
      <c r="J12" s="405"/>
      <c r="L12" s="426">
        <f>SUM(L13:L14)</f>
        <v>0</v>
      </c>
    </row>
    <row r="13" spans="1:12" ht="12.75" hidden="1" customHeight="1" outlineLevel="1" x14ac:dyDescent="0.2">
      <c r="A13" s="198" t="s">
        <v>1278</v>
      </c>
      <c r="B13" s="216" t="s">
        <v>1288</v>
      </c>
      <c r="C13" s="217" t="s">
        <v>2955</v>
      </c>
      <c r="D13" s="218"/>
      <c r="E13" s="219"/>
      <c r="F13" s="219"/>
      <c r="G13" s="229" t="s">
        <v>2959</v>
      </c>
      <c r="H13" s="235">
        <f t="shared" ref="H13:H18" si="0">SUMIF($C:$C,G13,$E:$E)</f>
        <v>208.4500000000001</v>
      </c>
      <c r="K13" s="425"/>
      <c r="L13" s="426"/>
    </row>
    <row r="14" spans="1:12" ht="12.75" hidden="1" customHeight="1" outlineLevel="1" x14ac:dyDescent="0.2">
      <c r="A14" s="198" t="s">
        <v>1278</v>
      </c>
      <c r="B14" s="228" t="s">
        <v>1289</v>
      </c>
      <c r="C14" s="229" t="s">
        <v>2956</v>
      </c>
      <c r="D14" s="230" t="s">
        <v>11</v>
      </c>
      <c r="E14" s="231">
        <v>130.61000000000001</v>
      </c>
      <c r="F14" s="231"/>
      <c r="G14" s="225" t="s">
        <v>2956</v>
      </c>
      <c r="H14" s="235">
        <f t="shared" si="0"/>
        <v>1643.0000000000002</v>
      </c>
      <c r="K14" s="425"/>
    </row>
    <row r="15" spans="1:12" ht="12.75" hidden="1" customHeight="1" outlineLevel="1" x14ac:dyDescent="0.2">
      <c r="A15" s="198" t="s">
        <v>1278</v>
      </c>
      <c r="B15" s="224" t="s">
        <v>1290</v>
      </c>
      <c r="C15" s="225" t="s">
        <v>2957</v>
      </c>
      <c r="D15" s="226" t="s">
        <v>11</v>
      </c>
      <c r="E15" s="227">
        <v>143.38999999999999</v>
      </c>
      <c r="F15" s="227"/>
      <c r="G15" s="229" t="s">
        <v>2957</v>
      </c>
      <c r="H15" s="235">
        <f t="shared" si="0"/>
        <v>2528.2499999999995</v>
      </c>
      <c r="K15" s="425"/>
    </row>
    <row r="16" spans="1:12" ht="12.75" hidden="1" customHeight="1" outlineLevel="1" x14ac:dyDescent="0.2">
      <c r="A16" s="198" t="s">
        <v>1278</v>
      </c>
      <c r="B16" s="216" t="s">
        <v>1291</v>
      </c>
      <c r="C16" s="217" t="s">
        <v>2958</v>
      </c>
      <c r="D16" s="218"/>
      <c r="E16" s="219"/>
      <c r="F16" s="219"/>
      <c r="G16" s="229"/>
      <c r="H16" s="235">
        <f t="shared" si="0"/>
        <v>0</v>
      </c>
      <c r="K16" s="425"/>
    </row>
    <row r="17" spans="1:11" ht="12.75" hidden="1" customHeight="1" outlineLevel="1" x14ac:dyDescent="0.2">
      <c r="A17" s="198" t="s">
        <v>1278</v>
      </c>
      <c r="B17" s="228" t="s">
        <v>1292</v>
      </c>
      <c r="C17" s="229" t="s">
        <v>2959</v>
      </c>
      <c r="D17" s="230" t="s">
        <v>11</v>
      </c>
      <c r="E17" s="231">
        <v>1.71</v>
      </c>
      <c r="F17" s="231"/>
      <c r="G17" s="229"/>
      <c r="H17" s="235">
        <f t="shared" si="0"/>
        <v>0</v>
      </c>
      <c r="K17" s="425"/>
    </row>
    <row r="18" spans="1:11" ht="12.75" hidden="1" customHeight="1" outlineLevel="1" x14ac:dyDescent="0.2">
      <c r="A18" s="198" t="s">
        <v>1278</v>
      </c>
      <c r="B18" s="224" t="s">
        <v>1293</v>
      </c>
      <c r="C18" s="225" t="s">
        <v>2956</v>
      </c>
      <c r="D18" s="226" t="s">
        <v>11</v>
      </c>
      <c r="E18" s="227">
        <v>197.94</v>
      </c>
      <c r="F18" s="227"/>
      <c r="G18" s="229"/>
      <c r="H18" s="235">
        <f t="shared" si="0"/>
        <v>0</v>
      </c>
      <c r="K18" s="425"/>
    </row>
    <row r="19" spans="1:11" ht="12.75" hidden="1" customHeight="1" outlineLevel="1" x14ac:dyDescent="0.2">
      <c r="A19" s="198" t="s">
        <v>1278</v>
      </c>
      <c r="B19" s="228" t="s">
        <v>2074</v>
      </c>
      <c r="C19" s="229" t="s">
        <v>2957</v>
      </c>
      <c r="D19" s="230" t="s">
        <v>11</v>
      </c>
      <c r="E19" s="231">
        <v>316.99</v>
      </c>
      <c r="F19" s="231"/>
      <c r="I19" s="198"/>
      <c r="J19" s="403">
        <f>SUM(J13:J18)</f>
        <v>0</v>
      </c>
    </row>
    <row r="20" spans="1:11" ht="12.75" hidden="1" customHeight="1" outlineLevel="1" x14ac:dyDescent="0.2">
      <c r="A20" s="198" t="s">
        <v>1279</v>
      </c>
      <c r="B20" s="216" t="s">
        <v>1294</v>
      </c>
      <c r="C20" s="217" t="s">
        <v>2960</v>
      </c>
      <c r="D20" s="218"/>
      <c r="E20" s="219"/>
      <c r="F20" s="219"/>
      <c r="G20" s="520" t="s">
        <v>1732</v>
      </c>
      <c r="H20" s="234">
        <f>H22+H30</f>
        <v>4379.7</v>
      </c>
      <c r="I20" s="242" t="str">
        <f>IF(H20=H12,"OKAY","REVER")</f>
        <v>OKAY</v>
      </c>
    </row>
    <row r="21" spans="1:11" ht="12.75" hidden="1" customHeight="1" outlineLevel="1" x14ac:dyDescent="0.2">
      <c r="A21" s="198" t="s">
        <v>1279</v>
      </c>
      <c r="B21" s="224" t="s">
        <v>1295</v>
      </c>
      <c r="C21" s="225" t="s">
        <v>2959</v>
      </c>
      <c r="D21" s="226" t="s">
        <v>11</v>
      </c>
      <c r="E21" s="227">
        <v>17.059999999999999</v>
      </c>
      <c r="F21" s="227"/>
      <c r="G21" s="232"/>
      <c r="H21" s="232"/>
      <c r="I21" s="242"/>
    </row>
    <row r="22" spans="1:11" ht="12.75" hidden="1" customHeight="1" outlineLevel="1" x14ac:dyDescent="0.2">
      <c r="A22" s="198" t="s">
        <v>1279</v>
      </c>
      <c r="B22" s="228" t="s">
        <v>1296</v>
      </c>
      <c r="C22" s="229" t="s">
        <v>2956</v>
      </c>
      <c r="D22" s="230" t="s">
        <v>11</v>
      </c>
      <c r="E22" s="231">
        <v>110.58</v>
      </c>
      <c r="F22" s="231"/>
      <c r="G22" s="520" t="str">
        <f>$A$1</f>
        <v>EMBASSAMENTO</v>
      </c>
      <c r="H22" s="234">
        <f>SUM(H23:H28)</f>
        <v>790.64</v>
      </c>
      <c r="I22" s="242"/>
    </row>
    <row r="23" spans="1:11" ht="12.75" hidden="1" customHeight="1" outlineLevel="1" x14ac:dyDescent="0.2">
      <c r="A23" s="198" t="s">
        <v>1279</v>
      </c>
      <c r="B23" s="224" t="s">
        <v>2075</v>
      </c>
      <c r="C23" s="225" t="s">
        <v>2957</v>
      </c>
      <c r="D23" s="226" t="s">
        <v>11</v>
      </c>
      <c r="E23" s="227">
        <v>226.9</v>
      </c>
      <c r="F23" s="227"/>
      <c r="G23" s="229" t="s">
        <v>2959</v>
      </c>
      <c r="H23" s="235">
        <f t="shared" ref="H23:H28" si="1">SUMIFS($E:$E,$C:$C,G23,$A:$A,$G$22)</f>
        <v>1.71</v>
      </c>
      <c r="I23" s="242"/>
    </row>
    <row r="24" spans="1:11" ht="12.75" hidden="1" customHeight="1" outlineLevel="1" x14ac:dyDescent="0.2">
      <c r="A24" s="198" t="s">
        <v>1279</v>
      </c>
      <c r="B24" s="216" t="s">
        <v>1297</v>
      </c>
      <c r="C24" s="217" t="s">
        <v>2961</v>
      </c>
      <c r="D24" s="218"/>
      <c r="E24" s="219"/>
      <c r="F24" s="219"/>
      <c r="G24" s="225" t="s">
        <v>2956</v>
      </c>
      <c r="H24" s="235">
        <f t="shared" si="1"/>
        <v>328.55</v>
      </c>
    </row>
    <row r="25" spans="1:11" ht="12.75" hidden="1" customHeight="1" outlineLevel="1" x14ac:dyDescent="0.2">
      <c r="A25" s="198" t="s">
        <v>1279</v>
      </c>
      <c r="B25" s="228" t="s">
        <v>1298</v>
      </c>
      <c r="C25" s="229" t="s">
        <v>2959</v>
      </c>
      <c r="D25" s="230" t="s">
        <v>11</v>
      </c>
      <c r="E25" s="231">
        <v>22.95</v>
      </c>
      <c r="F25" s="231"/>
      <c r="G25" s="229" t="s">
        <v>2957</v>
      </c>
      <c r="H25" s="235">
        <f t="shared" si="1"/>
        <v>460.38</v>
      </c>
    </row>
    <row r="26" spans="1:11" ht="12.75" hidden="1" customHeight="1" outlineLevel="1" x14ac:dyDescent="0.2">
      <c r="A26" s="198" t="s">
        <v>1279</v>
      </c>
      <c r="B26" s="224" t="s">
        <v>1299</v>
      </c>
      <c r="C26" s="225" t="s">
        <v>2956</v>
      </c>
      <c r="D26" s="226" t="s">
        <v>11</v>
      </c>
      <c r="E26" s="227">
        <v>106.04</v>
      </c>
      <c r="F26" s="227"/>
      <c r="G26" s="229"/>
      <c r="H26" s="235">
        <f t="shared" si="1"/>
        <v>0</v>
      </c>
    </row>
    <row r="27" spans="1:11" ht="12.75" hidden="1" customHeight="1" outlineLevel="1" x14ac:dyDescent="0.2">
      <c r="A27" s="198" t="s">
        <v>1279</v>
      </c>
      <c r="B27" s="228" t="s">
        <v>2076</v>
      </c>
      <c r="C27" s="229" t="s">
        <v>2957</v>
      </c>
      <c r="D27" s="230" t="s">
        <v>11</v>
      </c>
      <c r="E27" s="231">
        <v>159.88999999999999</v>
      </c>
      <c r="F27" s="231"/>
      <c r="G27" s="229"/>
      <c r="H27" s="235">
        <f t="shared" si="1"/>
        <v>0</v>
      </c>
    </row>
    <row r="28" spans="1:11" ht="12.75" hidden="1" customHeight="1" outlineLevel="1" x14ac:dyDescent="0.2">
      <c r="A28" s="198" t="s">
        <v>1279</v>
      </c>
      <c r="B28" s="216" t="s">
        <v>1300</v>
      </c>
      <c r="C28" s="217" t="s">
        <v>2962</v>
      </c>
      <c r="D28" s="218"/>
      <c r="E28" s="219"/>
      <c r="F28" s="219"/>
      <c r="G28" s="229"/>
      <c r="H28" s="235">
        <f t="shared" si="1"/>
        <v>0</v>
      </c>
    </row>
    <row r="29" spans="1:11" ht="12.75" hidden="1" customHeight="1" outlineLevel="1" x14ac:dyDescent="0.2">
      <c r="A29" s="198" t="s">
        <v>1279</v>
      </c>
      <c r="B29" s="224" t="s">
        <v>1301</v>
      </c>
      <c r="C29" s="225" t="s">
        <v>2959</v>
      </c>
      <c r="D29" s="226" t="s">
        <v>11</v>
      </c>
      <c r="E29" s="227">
        <v>13.49</v>
      </c>
      <c r="F29" s="227"/>
    </row>
    <row r="30" spans="1:11" ht="12.75" hidden="1" customHeight="1" outlineLevel="1" x14ac:dyDescent="0.2">
      <c r="A30" s="198" t="s">
        <v>1279</v>
      </c>
      <c r="B30" s="228" t="s">
        <v>1302</v>
      </c>
      <c r="C30" s="229" t="s">
        <v>2956</v>
      </c>
      <c r="D30" s="230" t="s">
        <v>11</v>
      </c>
      <c r="E30" s="231">
        <v>79.5</v>
      </c>
      <c r="F30" s="231"/>
      <c r="G30" s="520" t="str">
        <f>$A$2</f>
        <v>TORRE</v>
      </c>
      <c r="H30" s="234">
        <f>SUM(H31:H36)</f>
        <v>3589.06</v>
      </c>
    </row>
    <row r="31" spans="1:11" ht="12.75" hidden="1" customHeight="1" outlineLevel="1" x14ac:dyDescent="0.2">
      <c r="A31" s="198" t="s">
        <v>1279</v>
      </c>
      <c r="B31" s="224" t="s">
        <v>1918</v>
      </c>
      <c r="C31" s="225" t="s">
        <v>2957</v>
      </c>
      <c r="D31" s="226" t="s">
        <v>11</v>
      </c>
      <c r="E31" s="227">
        <v>144.83000000000001</v>
      </c>
      <c r="F31" s="227"/>
      <c r="G31" s="229" t="s">
        <v>2959</v>
      </c>
      <c r="H31" s="235">
        <f t="shared" ref="H31:H36" si="2">SUMIFS($E:$E,$C:$C,G31,$A:$A,$G$30)</f>
        <v>206.74000000000007</v>
      </c>
    </row>
    <row r="32" spans="1:11" ht="12.75" hidden="1" customHeight="1" outlineLevel="1" x14ac:dyDescent="0.2">
      <c r="A32" s="198" t="s">
        <v>1279</v>
      </c>
      <c r="B32" s="216" t="s">
        <v>1303</v>
      </c>
      <c r="C32" s="217" t="s">
        <v>2963</v>
      </c>
      <c r="D32" s="218"/>
      <c r="E32" s="219"/>
      <c r="F32" s="219"/>
      <c r="G32" s="225" t="s">
        <v>2956</v>
      </c>
      <c r="H32" s="235">
        <f t="shared" si="2"/>
        <v>1314.45</v>
      </c>
    </row>
    <row r="33" spans="1:8" ht="12.75" hidden="1" customHeight="1" outlineLevel="1" x14ac:dyDescent="0.2">
      <c r="A33" s="198" t="s">
        <v>1279</v>
      </c>
      <c r="B33" s="228" t="s">
        <v>1304</v>
      </c>
      <c r="C33" s="229" t="s">
        <v>2959</v>
      </c>
      <c r="D33" s="230" t="s">
        <v>11</v>
      </c>
      <c r="E33" s="231">
        <v>5.4</v>
      </c>
      <c r="F33" s="231"/>
      <c r="G33" s="229" t="s">
        <v>2957</v>
      </c>
      <c r="H33" s="235">
        <f t="shared" si="2"/>
        <v>2067.87</v>
      </c>
    </row>
    <row r="34" spans="1:8" ht="12.75" hidden="1" customHeight="1" outlineLevel="1" x14ac:dyDescent="0.2">
      <c r="A34" s="198" t="s">
        <v>1279</v>
      </c>
      <c r="B34" s="224" t="s">
        <v>1305</v>
      </c>
      <c r="C34" s="225" t="s">
        <v>2956</v>
      </c>
      <c r="D34" s="226" t="s">
        <v>11</v>
      </c>
      <c r="E34" s="227">
        <v>84.52</v>
      </c>
      <c r="F34" s="227"/>
      <c r="G34" s="229"/>
      <c r="H34" s="235">
        <f t="shared" si="2"/>
        <v>0</v>
      </c>
    </row>
    <row r="35" spans="1:8" ht="12.75" hidden="1" customHeight="1" outlineLevel="1" x14ac:dyDescent="0.2">
      <c r="A35" s="198" t="s">
        <v>1279</v>
      </c>
      <c r="B35" s="228" t="s">
        <v>1919</v>
      </c>
      <c r="C35" s="229" t="s">
        <v>2957</v>
      </c>
      <c r="D35" s="230" t="s">
        <v>11</v>
      </c>
      <c r="E35" s="231">
        <v>88.67</v>
      </c>
      <c r="F35" s="231"/>
      <c r="G35" s="229"/>
      <c r="H35" s="235">
        <f t="shared" si="2"/>
        <v>0</v>
      </c>
    </row>
    <row r="36" spans="1:8" ht="12.75" hidden="1" customHeight="1" outlineLevel="1" x14ac:dyDescent="0.2">
      <c r="A36" s="198" t="s">
        <v>1279</v>
      </c>
      <c r="B36" s="216" t="s">
        <v>1306</v>
      </c>
      <c r="C36" s="217" t="s">
        <v>2964</v>
      </c>
      <c r="D36" s="218"/>
      <c r="E36" s="219"/>
      <c r="F36" s="219"/>
      <c r="G36" s="229"/>
      <c r="H36" s="235">
        <f t="shared" si="2"/>
        <v>0</v>
      </c>
    </row>
    <row r="37" spans="1:8" ht="12.75" hidden="1" customHeight="1" outlineLevel="1" x14ac:dyDescent="0.2">
      <c r="A37" s="198" t="s">
        <v>1279</v>
      </c>
      <c r="B37" s="224" t="s">
        <v>1307</v>
      </c>
      <c r="C37" s="225" t="s">
        <v>2959</v>
      </c>
      <c r="D37" s="226" t="s">
        <v>11</v>
      </c>
      <c r="E37" s="227">
        <v>12.06</v>
      </c>
      <c r="F37" s="227"/>
    </row>
    <row r="38" spans="1:8" ht="12.75" hidden="1" customHeight="1" outlineLevel="1" x14ac:dyDescent="0.2">
      <c r="A38" s="198" t="s">
        <v>1279</v>
      </c>
      <c r="B38" s="228" t="s">
        <v>1308</v>
      </c>
      <c r="C38" s="229" t="s">
        <v>2956</v>
      </c>
      <c r="D38" s="230" t="s">
        <v>11</v>
      </c>
      <c r="E38" s="231">
        <v>80.25</v>
      </c>
      <c r="F38" s="231"/>
    </row>
    <row r="39" spans="1:8" ht="12.75" hidden="1" customHeight="1" outlineLevel="1" x14ac:dyDescent="0.2">
      <c r="A39" s="198" t="s">
        <v>1279</v>
      </c>
      <c r="B39" s="224" t="s">
        <v>1920</v>
      </c>
      <c r="C39" s="225" t="s">
        <v>2957</v>
      </c>
      <c r="D39" s="226" t="s">
        <v>11</v>
      </c>
      <c r="E39" s="227">
        <v>91.11</v>
      </c>
      <c r="F39" s="227"/>
    </row>
    <row r="40" spans="1:8" ht="12.75" hidden="1" customHeight="1" outlineLevel="1" x14ac:dyDescent="0.2">
      <c r="A40" s="198" t="s">
        <v>1279</v>
      </c>
      <c r="B40" s="216" t="s">
        <v>1309</v>
      </c>
      <c r="C40" s="217" t="s">
        <v>2965</v>
      </c>
      <c r="D40" s="218"/>
      <c r="E40" s="219"/>
      <c r="F40" s="219"/>
    </row>
    <row r="41" spans="1:8" ht="12.75" hidden="1" customHeight="1" outlineLevel="1" x14ac:dyDescent="0.2">
      <c r="A41" s="198" t="s">
        <v>1279</v>
      </c>
      <c r="B41" s="228" t="s">
        <v>1310</v>
      </c>
      <c r="C41" s="229" t="s">
        <v>2959</v>
      </c>
      <c r="D41" s="230" t="s">
        <v>11</v>
      </c>
      <c r="E41" s="231">
        <v>5.4</v>
      </c>
      <c r="F41" s="231"/>
    </row>
    <row r="42" spans="1:8" ht="12.75" hidden="1" customHeight="1" outlineLevel="1" x14ac:dyDescent="0.2">
      <c r="A42" s="198" t="s">
        <v>1279</v>
      </c>
      <c r="B42" s="224" t="s">
        <v>1311</v>
      </c>
      <c r="C42" s="225" t="s">
        <v>2956</v>
      </c>
      <c r="D42" s="226" t="s">
        <v>11</v>
      </c>
      <c r="E42" s="227">
        <v>84.52</v>
      </c>
      <c r="F42" s="227"/>
    </row>
    <row r="43" spans="1:8" ht="12.75" hidden="1" customHeight="1" outlineLevel="1" x14ac:dyDescent="0.2">
      <c r="A43" s="198" t="s">
        <v>1279</v>
      </c>
      <c r="B43" s="228" t="s">
        <v>1921</v>
      </c>
      <c r="C43" s="229" t="s">
        <v>2957</v>
      </c>
      <c r="D43" s="230" t="s">
        <v>11</v>
      </c>
      <c r="E43" s="231">
        <v>88.67</v>
      </c>
      <c r="F43" s="231"/>
    </row>
    <row r="44" spans="1:8" ht="12.75" hidden="1" customHeight="1" outlineLevel="1" x14ac:dyDescent="0.2">
      <c r="A44" s="198" t="s">
        <v>1279</v>
      </c>
      <c r="B44" s="216" t="s">
        <v>1312</v>
      </c>
      <c r="C44" s="217" t="s">
        <v>2966</v>
      </c>
      <c r="D44" s="218"/>
      <c r="E44" s="219"/>
      <c r="F44" s="219"/>
    </row>
    <row r="45" spans="1:8" ht="12.75" hidden="1" customHeight="1" outlineLevel="1" x14ac:dyDescent="0.2">
      <c r="A45" s="198" t="s">
        <v>1279</v>
      </c>
      <c r="B45" s="224" t="s">
        <v>1313</v>
      </c>
      <c r="C45" s="225" t="s">
        <v>2959</v>
      </c>
      <c r="D45" s="226" t="s">
        <v>11</v>
      </c>
      <c r="E45" s="227">
        <v>12.06</v>
      </c>
      <c r="F45" s="227"/>
    </row>
    <row r="46" spans="1:8" ht="12.75" hidden="1" customHeight="1" outlineLevel="1" x14ac:dyDescent="0.2">
      <c r="A46" s="198" t="s">
        <v>1279</v>
      </c>
      <c r="B46" s="228" t="s">
        <v>1314</v>
      </c>
      <c r="C46" s="229" t="s">
        <v>2956</v>
      </c>
      <c r="D46" s="230" t="s">
        <v>11</v>
      </c>
      <c r="E46" s="231">
        <v>80.25</v>
      </c>
      <c r="F46" s="231"/>
    </row>
    <row r="47" spans="1:8" ht="12.75" hidden="1" customHeight="1" outlineLevel="1" x14ac:dyDescent="0.2">
      <c r="A47" s="198" t="s">
        <v>1279</v>
      </c>
      <c r="B47" s="224" t="s">
        <v>1922</v>
      </c>
      <c r="C47" s="225" t="s">
        <v>2957</v>
      </c>
      <c r="D47" s="226" t="s">
        <v>11</v>
      </c>
      <c r="E47" s="227">
        <v>91.11</v>
      </c>
      <c r="F47" s="227"/>
    </row>
    <row r="48" spans="1:8" ht="12.75" hidden="1" customHeight="1" outlineLevel="1" x14ac:dyDescent="0.2">
      <c r="A48" s="198" t="s">
        <v>1279</v>
      </c>
      <c r="B48" s="216" t="s">
        <v>1315</v>
      </c>
      <c r="C48" s="217" t="s">
        <v>2967</v>
      </c>
      <c r="D48" s="218"/>
      <c r="E48" s="219"/>
      <c r="F48" s="219"/>
    </row>
    <row r="49" spans="1:6" ht="12.75" hidden="1" customHeight="1" outlineLevel="1" x14ac:dyDescent="0.2">
      <c r="A49" s="198" t="s">
        <v>1279</v>
      </c>
      <c r="B49" s="228" t="s">
        <v>1316</v>
      </c>
      <c r="C49" s="229" t="s">
        <v>2959</v>
      </c>
      <c r="D49" s="230" t="s">
        <v>11</v>
      </c>
      <c r="E49" s="231">
        <v>5.4</v>
      </c>
      <c r="F49" s="231"/>
    </row>
    <row r="50" spans="1:6" ht="12.75" hidden="1" customHeight="1" outlineLevel="1" x14ac:dyDescent="0.2">
      <c r="A50" s="198" t="s">
        <v>1279</v>
      </c>
      <c r="B50" s="224" t="s">
        <v>1317</v>
      </c>
      <c r="C50" s="225" t="s">
        <v>2956</v>
      </c>
      <c r="D50" s="226" t="s">
        <v>11</v>
      </c>
      <c r="E50" s="227">
        <v>84.52</v>
      </c>
      <c r="F50" s="227"/>
    </row>
    <row r="51" spans="1:6" ht="12.75" hidden="1" customHeight="1" outlineLevel="1" x14ac:dyDescent="0.2">
      <c r="A51" s="198" t="s">
        <v>1279</v>
      </c>
      <c r="B51" s="228" t="s">
        <v>1923</v>
      </c>
      <c r="C51" s="229" t="s">
        <v>2957</v>
      </c>
      <c r="D51" s="230" t="s">
        <v>11</v>
      </c>
      <c r="E51" s="231">
        <v>88.67</v>
      </c>
      <c r="F51" s="231"/>
    </row>
    <row r="52" spans="1:6" ht="12.75" hidden="1" customHeight="1" outlineLevel="1" x14ac:dyDescent="0.2">
      <c r="A52" s="198" t="s">
        <v>1279</v>
      </c>
      <c r="B52" s="216" t="s">
        <v>1318</v>
      </c>
      <c r="C52" s="217" t="s">
        <v>2968</v>
      </c>
      <c r="D52" s="218"/>
      <c r="E52" s="219"/>
      <c r="F52" s="219"/>
    </row>
    <row r="53" spans="1:6" ht="12.75" hidden="1" customHeight="1" outlineLevel="1" x14ac:dyDescent="0.2">
      <c r="A53" s="198" t="s">
        <v>1279</v>
      </c>
      <c r="B53" s="224" t="s">
        <v>1319</v>
      </c>
      <c r="C53" s="225" t="s">
        <v>2959</v>
      </c>
      <c r="D53" s="226" t="s">
        <v>11</v>
      </c>
      <c r="E53" s="227">
        <v>12.06</v>
      </c>
      <c r="F53" s="227"/>
    </row>
    <row r="54" spans="1:6" ht="12.75" hidden="1" customHeight="1" outlineLevel="1" x14ac:dyDescent="0.2">
      <c r="A54" s="198" t="s">
        <v>1279</v>
      </c>
      <c r="B54" s="228" t="s">
        <v>1320</v>
      </c>
      <c r="C54" s="229" t="s">
        <v>2956</v>
      </c>
      <c r="D54" s="230" t="s">
        <v>11</v>
      </c>
      <c r="E54" s="231">
        <v>80.25</v>
      </c>
      <c r="F54" s="231"/>
    </row>
    <row r="55" spans="1:6" ht="12.75" hidden="1" customHeight="1" outlineLevel="1" x14ac:dyDescent="0.2">
      <c r="A55" s="198" t="s">
        <v>1279</v>
      </c>
      <c r="B55" s="224" t="s">
        <v>1924</v>
      </c>
      <c r="C55" s="225" t="s">
        <v>2957</v>
      </c>
      <c r="D55" s="226" t="s">
        <v>11</v>
      </c>
      <c r="E55" s="227">
        <v>91.11</v>
      </c>
      <c r="F55" s="227"/>
    </row>
    <row r="56" spans="1:6" ht="12.75" hidden="1" customHeight="1" outlineLevel="1" x14ac:dyDescent="0.2">
      <c r="A56" s="198" t="s">
        <v>1279</v>
      </c>
      <c r="B56" s="216" t="s">
        <v>1321</v>
      </c>
      <c r="C56" s="217" t="s">
        <v>2969</v>
      </c>
      <c r="D56" s="218"/>
      <c r="E56" s="219"/>
      <c r="F56" s="219"/>
    </row>
    <row r="57" spans="1:6" ht="12.75" hidden="1" customHeight="1" outlineLevel="1" x14ac:dyDescent="0.2">
      <c r="A57" s="198" t="s">
        <v>1279</v>
      </c>
      <c r="B57" s="228" t="s">
        <v>1322</v>
      </c>
      <c r="C57" s="229" t="s">
        <v>2959</v>
      </c>
      <c r="D57" s="230" t="s">
        <v>11</v>
      </c>
      <c r="E57" s="231">
        <v>5.4</v>
      </c>
      <c r="F57" s="231"/>
    </row>
    <row r="58" spans="1:6" ht="12.75" hidden="1" customHeight="1" outlineLevel="1" x14ac:dyDescent="0.2">
      <c r="A58" s="198" t="s">
        <v>1279</v>
      </c>
      <c r="B58" s="224" t="s">
        <v>1323</v>
      </c>
      <c r="C58" s="225" t="s">
        <v>2956</v>
      </c>
      <c r="D58" s="226" t="s">
        <v>11</v>
      </c>
      <c r="E58" s="227">
        <v>84.52</v>
      </c>
      <c r="F58" s="227"/>
    </row>
    <row r="59" spans="1:6" ht="12.75" hidden="1" customHeight="1" outlineLevel="1" x14ac:dyDescent="0.2">
      <c r="A59" s="198" t="s">
        <v>1279</v>
      </c>
      <c r="B59" s="228" t="s">
        <v>1925</v>
      </c>
      <c r="C59" s="229" t="s">
        <v>2957</v>
      </c>
      <c r="D59" s="230" t="s">
        <v>11</v>
      </c>
      <c r="E59" s="231">
        <v>88.67</v>
      </c>
      <c r="F59" s="231"/>
    </row>
    <row r="60" spans="1:6" ht="12.75" hidden="1" customHeight="1" outlineLevel="1" x14ac:dyDescent="0.2">
      <c r="A60" s="198" t="s">
        <v>1279</v>
      </c>
      <c r="B60" s="216" t="s">
        <v>1324</v>
      </c>
      <c r="C60" s="217" t="s">
        <v>2970</v>
      </c>
      <c r="D60" s="218"/>
      <c r="E60" s="219"/>
      <c r="F60" s="219"/>
    </row>
    <row r="61" spans="1:6" ht="12.75" hidden="1" customHeight="1" outlineLevel="1" x14ac:dyDescent="0.2">
      <c r="A61" s="198" t="s">
        <v>1279</v>
      </c>
      <c r="B61" s="224" t="s">
        <v>1325</v>
      </c>
      <c r="C61" s="225" t="s">
        <v>2959</v>
      </c>
      <c r="D61" s="226" t="s">
        <v>11</v>
      </c>
      <c r="E61" s="227">
        <v>12.06</v>
      </c>
      <c r="F61" s="227"/>
    </row>
    <row r="62" spans="1:6" ht="12.75" hidden="1" customHeight="1" outlineLevel="1" x14ac:dyDescent="0.2">
      <c r="A62" s="198" t="s">
        <v>1279</v>
      </c>
      <c r="B62" s="228" t="s">
        <v>1326</v>
      </c>
      <c r="C62" s="229" t="s">
        <v>2956</v>
      </c>
      <c r="D62" s="230" t="s">
        <v>11</v>
      </c>
      <c r="E62" s="231">
        <v>80.25</v>
      </c>
      <c r="F62" s="231"/>
    </row>
    <row r="63" spans="1:6" ht="12.75" hidden="1" customHeight="1" outlineLevel="1" x14ac:dyDescent="0.2">
      <c r="A63" s="198" t="s">
        <v>1279</v>
      </c>
      <c r="B63" s="224" t="s">
        <v>1926</v>
      </c>
      <c r="C63" s="225" t="s">
        <v>2957</v>
      </c>
      <c r="D63" s="226" t="s">
        <v>11</v>
      </c>
      <c r="E63" s="227">
        <v>91.12</v>
      </c>
      <c r="F63" s="227"/>
    </row>
    <row r="64" spans="1:6" ht="12.75" hidden="1" customHeight="1" outlineLevel="1" x14ac:dyDescent="0.2">
      <c r="A64" s="198" t="s">
        <v>1279</v>
      </c>
      <c r="B64" s="216" t="s">
        <v>1327</v>
      </c>
      <c r="C64" s="217" t="s">
        <v>2971</v>
      </c>
      <c r="D64" s="218"/>
      <c r="E64" s="219"/>
      <c r="F64" s="219"/>
    </row>
    <row r="65" spans="1:6" ht="12.75" hidden="1" customHeight="1" outlineLevel="1" x14ac:dyDescent="0.2">
      <c r="A65" s="198" t="s">
        <v>1279</v>
      </c>
      <c r="B65" s="228" t="s">
        <v>1328</v>
      </c>
      <c r="C65" s="229" t="s">
        <v>2959</v>
      </c>
      <c r="D65" s="230" t="s">
        <v>11</v>
      </c>
      <c r="E65" s="231">
        <v>6.23</v>
      </c>
      <c r="F65" s="231"/>
    </row>
    <row r="66" spans="1:6" ht="12.75" hidden="1" customHeight="1" outlineLevel="1" x14ac:dyDescent="0.2">
      <c r="A66" s="198" t="s">
        <v>1279</v>
      </c>
      <c r="B66" s="224" t="s">
        <v>1329</v>
      </c>
      <c r="C66" s="225" t="s">
        <v>2956</v>
      </c>
      <c r="D66" s="226" t="s">
        <v>11</v>
      </c>
      <c r="E66" s="227">
        <v>91.69</v>
      </c>
      <c r="F66" s="227"/>
    </row>
    <row r="67" spans="1:6" ht="12.75" hidden="1" customHeight="1" outlineLevel="1" x14ac:dyDescent="0.2">
      <c r="A67" s="198" t="s">
        <v>1279</v>
      </c>
      <c r="B67" s="228" t="s">
        <v>1927</v>
      </c>
      <c r="C67" s="229" t="s">
        <v>2957</v>
      </c>
      <c r="D67" s="230" t="s">
        <v>11</v>
      </c>
      <c r="E67" s="231">
        <v>90.78</v>
      </c>
      <c r="F67" s="231"/>
    </row>
    <row r="68" spans="1:6" ht="12.75" hidden="1" customHeight="1" outlineLevel="1" x14ac:dyDescent="0.2">
      <c r="A68" s="198" t="s">
        <v>1279</v>
      </c>
      <c r="B68" s="216" t="s">
        <v>1330</v>
      </c>
      <c r="C68" s="217" t="s">
        <v>2972</v>
      </c>
      <c r="D68" s="218"/>
      <c r="E68" s="219"/>
      <c r="F68" s="219"/>
    </row>
    <row r="69" spans="1:6" ht="12.75" hidden="1" customHeight="1" outlineLevel="1" x14ac:dyDescent="0.2">
      <c r="A69" s="198" t="s">
        <v>1279</v>
      </c>
      <c r="B69" s="224" t="s">
        <v>1331</v>
      </c>
      <c r="C69" s="225" t="s">
        <v>2959</v>
      </c>
      <c r="D69" s="226" t="s">
        <v>11</v>
      </c>
      <c r="E69" s="227">
        <v>15.8</v>
      </c>
      <c r="F69" s="227"/>
    </row>
    <row r="70" spans="1:6" ht="12.75" hidden="1" customHeight="1" outlineLevel="1" x14ac:dyDescent="0.2">
      <c r="A70" s="198" t="s">
        <v>1279</v>
      </c>
      <c r="B70" s="228" t="s">
        <v>1332</v>
      </c>
      <c r="C70" s="229" t="s">
        <v>2956</v>
      </c>
      <c r="D70" s="230" t="s">
        <v>11</v>
      </c>
      <c r="E70" s="231">
        <v>77.709999999999994</v>
      </c>
      <c r="F70" s="231"/>
    </row>
    <row r="71" spans="1:6" ht="12.75" hidden="1" customHeight="1" outlineLevel="1" x14ac:dyDescent="0.2">
      <c r="A71" s="198" t="s">
        <v>1279</v>
      </c>
      <c r="B71" s="224" t="s">
        <v>1928</v>
      </c>
      <c r="C71" s="225" t="s">
        <v>2957</v>
      </c>
      <c r="D71" s="226" t="s">
        <v>11</v>
      </c>
      <c r="E71" s="227">
        <v>165.11</v>
      </c>
      <c r="F71" s="227"/>
    </row>
    <row r="72" spans="1:6" ht="12.75" hidden="1" customHeight="1" outlineLevel="1" x14ac:dyDescent="0.2">
      <c r="A72" s="198" t="s">
        <v>1279</v>
      </c>
      <c r="B72" s="216" t="s">
        <v>1333</v>
      </c>
      <c r="C72" s="217" t="s">
        <v>2973</v>
      </c>
      <c r="D72" s="218"/>
      <c r="E72" s="219"/>
      <c r="F72" s="219"/>
    </row>
    <row r="73" spans="1:6" ht="12.75" hidden="1" customHeight="1" outlineLevel="1" x14ac:dyDescent="0.2">
      <c r="A73" s="198" t="s">
        <v>1279</v>
      </c>
      <c r="B73" s="228" t="s">
        <v>1334</v>
      </c>
      <c r="C73" s="229" t="s">
        <v>2959</v>
      </c>
      <c r="D73" s="230" t="s">
        <v>11</v>
      </c>
      <c r="E73" s="231">
        <v>18.61</v>
      </c>
      <c r="F73" s="231"/>
    </row>
    <row r="74" spans="1:6" ht="12.75" hidden="1" customHeight="1" outlineLevel="1" x14ac:dyDescent="0.2">
      <c r="A74" s="198" t="s">
        <v>1279</v>
      </c>
      <c r="B74" s="224" t="s">
        <v>1335</v>
      </c>
      <c r="C74" s="225" t="s">
        <v>2956</v>
      </c>
      <c r="D74" s="226" t="s">
        <v>11</v>
      </c>
      <c r="E74" s="227">
        <v>26.49</v>
      </c>
      <c r="F74" s="227"/>
    </row>
    <row r="75" spans="1:6" ht="12.75" hidden="1" customHeight="1" outlineLevel="1" x14ac:dyDescent="0.2">
      <c r="A75" s="198" t="s">
        <v>1279</v>
      </c>
      <c r="B75" s="228" t="s">
        <v>1929</v>
      </c>
      <c r="C75" s="229" t="s">
        <v>2957</v>
      </c>
      <c r="D75" s="230" t="s">
        <v>11</v>
      </c>
      <c r="E75" s="231">
        <v>92.16</v>
      </c>
      <c r="F75" s="231"/>
    </row>
    <row r="76" spans="1:6" ht="12.75" hidden="1" customHeight="1" outlineLevel="1" x14ac:dyDescent="0.2">
      <c r="A76" s="198" t="s">
        <v>1279</v>
      </c>
      <c r="B76" s="216" t="s">
        <v>1336</v>
      </c>
      <c r="C76" s="217" t="s">
        <v>2974</v>
      </c>
      <c r="D76" s="218"/>
      <c r="E76" s="219"/>
      <c r="F76" s="219"/>
    </row>
    <row r="77" spans="1:6" ht="12.75" hidden="1" customHeight="1" outlineLevel="1" x14ac:dyDescent="0.2">
      <c r="A77" s="198" t="s">
        <v>1279</v>
      </c>
      <c r="B77" s="224" t="s">
        <v>1337</v>
      </c>
      <c r="C77" s="225" t="s">
        <v>2956</v>
      </c>
      <c r="D77" s="226" t="s">
        <v>11</v>
      </c>
      <c r="E77" s="227">
        <v>26.43</v>
      </c>
      <c r="F77" s="227"/>
    </row>
    <row r="78" spans="1:6" ht="12.75" hidden="1" customHeight="1" outlineLevel="1" x14ac:dyDescent="0.2">
      <c r="A78" s="198" t="s">
        <v>1279</v>
      </c>
      <c r="B78" s="228" t="s">
        <v>1338</v>
      </c>
      <c r="C78" s="229" t="s">
        <v>2957</v>
      </c>
      <c r="D78" s="230" t="s">
        <v>11</v>
      </c>
      <c r="E78" s="231">
        <v>60.78</v>
      </c>
      <c r="F78" s="231"/>
    </row>
    <row r="79" spans="1:6" ht="12.75" hidden="1" customHeight="1" outlineLevel="1" x14ac:dyDescent="0.2">
      <c r="A79" s="198" t="s">
        <v>1279</v>
      </c>
      <c r="B79" s="216" t="s">
        <v>1339</v>
      </c>
      <c r="C79" s="217" t="s">
        <v>2975</v>
      </c>
      <c r="D79" s="218"/>
      <c r="E79" s="219"/>
      <c r="F79" s="219"/>
    </row>
    <row r="80" spans="1:6" ht="12.75" hidden="1" customHeight="1" outlineLevel="1" x14ac:dyDescent="0.2">
      <c r="A80" s="198" t="s">
        <v>1279</v>
      </c>
      <c r="B80" s="224" t="s">
        <v>1340</v>
      </c>
      <c r="C80" s="225" t="s">
        <v>2959</v>
      </c>
      <c r="D80" s="226" t="s">
        <v>11</v>
      </c>
      <c r="E80" s="227">
        <v>18.61</v>
      </c>
      <c r="F80" s="227"/>
    </row>
    <row r="81" spans="1:6" ht="12.75" hidden="1" customHeight="1" outlineLevel="1" x14ac:dyDescent="0.2">
      <c r="A81" s="198" t="s">
        <v>1279</v>
      </c>
      <c r="B81" s="228" t="s">
        <v>1341</v>
      </c>
      <c r="C81" s="229" t="s">
        <v>2956</v>
      </c>
      <c r="D81" s="230" t="s">
        <v>11</v>
      </c>
      <c r="E81" s="231">
        <v>26.64</v>
      </c>
      <c r="F81" s="231"/>
    </row>
    <row r="82" spans="1:6" ht="12.75" hidden="1" customHeight="1" outlineLevel="1" x14ac:dyDescent="0.2">
      <c r="A82" s="198" t="s">
        <v>1279</v>
      </c>
      <c r="B82" s="224" t="s">
        <v>2078</v>
      </c>
      <c r="C82" s="225" t="s">
        <v>2957</v>
      </c>
      <c r="D82" s="226" t="s">
        <v>11</v>
      </c>
      <c r="E82" s="227">
        <v>59.54</v>
      </c>
      <c r="F82" s="227"/>
    </row>
    <row r="83" spans="1:6" ht="12.75" hidden="1" customHeight="1" outlineLevel="1" x14ac:dyDescent="0.2">
      <c r="A83" s="198" t="s">
        <v>1279</v>
      </c>
      <c r="B83" s="216" t="s">
        <v>1342</v>
      </c>
      <c r="C83" s="217" t="s">
        <v>2976</v>
      </c>
      <c r="D83" s="218"/>
      <c r="E83" s="219"/>
      <c r="F83" s="219"/>
    </row>
    <row r="84" spans="1:6" ht="12.75" hidden="1" customHeight="1" outlineLevel="1" x14ac:dyDescent="0.2">
      <c r="A84" s="198" t="s">
        <v>1279</v>
      </c>
      <c r="B84" s="228" t="s">
        <v>1343</v>
      </c>
      <c r="C84" s="229" t="s">
        <v>2956</v>
      </c>
      <c r="D84" s="230" t="s">
        <v>11</v>
      </c>
      <c r="E84" s="231">
        <v>29.52</v>
      </c>
      <c r="F84" s="231"/>
    </row>
    <row r="85" spans="1:6" ht="12.75" hidden="1" customHeight="1" outlineLevel="1" x14ac:dyDescent="0.2">
      <c r="A85" s="198" t="s">
        <v>1279</v>
      </c>
      <c r="B85" s="224" t="s">
        <v>2977</v>
      </c>
      <c r="C85" s="225" t="s">
        <v>2957</v>
      </c>
      <c r="D85" s="226" t="s">
        <v>11</v>
      </c>
      <c r="E85" s="227">
        <v>64.16</v>
      </c>
      <c r="F85" s="227"/>
    </row>
    <row r="86" spans="1:6" ht="12.75" hidden="1" customHeight="1" outlineLevel="1" x14ac:dyDescent="0.2">
      <c r="A86" s="198" t="s">
        <v>1279</v>
      </c>
      <c r="B86" s="216" t="s">
        <v>1344</v>
      </c>
      <c r="C86" s="217" t="s">
        <v>2978</v>
      </c>
      <c r="D86" s="218"/>
      <c r="E86" s="219"/>
      <c r="F86" s="219"/>
    </row>
    <row r="87" spans="1:6" ht="12.75" hidden="1" customHeight="1" outlineLevel="1" x14ac:dyDescent="0.2">
      <c r="A87" s="198" t="s">
        <v>1279</v>
      </c>
      <c r="B87" s="228" t="s">
        <v>1345</v>
      </c>
      <c r="C87" s="229" t="s">
        <v>2959</v>
      </c>
      <c r="D87" s="230" t="s">
        <v>11</v>
      </c>
      <c r="E87" s="231">
        <v>5.43</v>
      </c>
      <c r="F87" s="231"/>
    </row>
    <row r="88" spans="1:6" ht="12.75" hidden="1" customHeight="1" outlineLevel="1" x14ac:dyDescent="0.2">
      <c r="A88" s="198" t="s">
        <v>1279</v>
      </c>
      <c r="B88" s="224" t="s">
        <v>1346</v>
      </c>
      <c r="C88" s="225" t="s">
        <v>2956</v>
      </c>
      <c r="D88" s="226" t="s">
        <v>11</v>
      </c>
      <c r="E88" s="227">
        <v>61.55</v>
      </c>
      <c r="F88" s="227"/>
    </row>
    <row r="89" spans="1:6" ht="12.75" hidden="1" customHeight="1" outlineLevel="1" x14ac:dyDescent="0.2">
      <c r="A89" s="198" t="s">
        <v>1279</v>
      </c>
      <c r="B89" s="228" t="s">
        <v>2979</v>
      </c>
      <c r="C89" s="229" t="s">
        <v>2957</v>
      </c>
      <c r="D89" s="230" t="s">
        <v>11</v>
      </c>
      <c r="E89" s="231">
        <v>136.74</v>
      </c>
      <c r="F89" s="231"/>
    </row>
    <row r="90" spans="1:6" ht="12.75" hidden="1" customHeight="1" outlineLevel="1" x14ac:dyDescent="0.2">
      <c r="A90" s="198" t="s">
        <v>1279</v>
      </c>
      <c r="B90" s="216" t="s">
        <v>2079</v>
      </c>
      <c r="C90" s="217" t="s">
        <v>2980</v>
      </c>
      <c r="D90" s="218"/>
      <c r="E90" s="219"/>
      <c r="F90" s="219"/>
    </row>
    <row r="91" spans="1:6" ht="12.75" hidden="1" customHeight="1" outlineLevel="1" x14ac:dyDescent="0.2">
      <c r="A91" s="198" t="s">
        <v>1279</v>
      </c>
      <c r="B91" s="224" t="s">
        <v>2080</v>
      </c>
      <c r="C91" s="225" t="s">
        <v>2959</v>
      </c>
      <c r="D91" s="226" t="s">
        <v>11</v>
      </c>
      <c r="E91" s="227">
        <v>9.36</v>
      </c>
      <c r="F91" s="227"/>
    </row>
    <row r="92" spans="1:6" ht="12.75" hidden="1" customHeight="1" outlineLevel="1" x14ac:dyDescent="0.2">
      <c r="A92" s="198" t="s">
        <v>1279</v>
      </c>
      <c r="B92" s="228" t="s">
        <v>2081</v>
      </c>
      <c r="C92" s="229" t="s">
        <v>2956</v>
      </c>
      <c r="D92" s="230" t="s">
        <v>11</v>
      </c>
      <c r="E92" s="231">
        <v>13.79</v>
      </c>
      <c r="F92" s="231"/>
    </row>
    <row r="93" spans="1:6" ht="12.75" hidden="1" customHeight="1" outlineLevel="1" x14ac:dyDescent="0.2">
      <c r="A93" s="198" t="s">
        <v>1279</v>
      </c>
      <c r="B93" s="224" t="s">
        <v>2981</v>
      </c>
      <c r="C93" s="225" t="s">
        <v>2957</v>
      </c>
      <c r="D93" s="226" t="s">
        <v>11</v>
      </c>
      <c r="E93" s="227">
        <v>55.45</v>
      </c>
      <c r="F93" s="227"/>
    </row>
    <row r="94" spans="1:6" ht="12.75" hidden="1" customHeight="1" outlineLevel="1" x14ac:dyDescent="0.2">
      <c r="A94" s="198" t="s">
        <v>1279</v>
      </c>
      <c r="B94" s="216" t="s">
        <v>2982</v>
      </c>
      <c r="C94" s="217" t="s">
        <v>2983</v>
      </c>
      <c r="D94" s="218"/>
      <c r="E94" s="219"/>
      <c r="F94" s="219"/>
    </row>
    <row r="95" spans="1:6" ht="12.75" hidden="1" customHeight="1" outlineLevel="1" x14ac:dyDescent="0.2">
      <c r="A95" s="198" t="s">
        <v>1279</v>
      </c>
      <c r="B95" s="228" t="s">
        <v>2984</v>
      </c>
      <c r="C95" s="229" t="s">
        <v>2959</v>
      </c>
      <c r="D95" s="230" t="s">
        <v>11</v>
      </c>
      <c r="E95" s="231">
        <v>9.36</v>
      </c>
      <c r="F95" s="231"/>
    </row>
    <row r="96" spans="1:6" ht="12.75" hidden="1" customHeight="1" outlineLevel="1" x14ac:dyDescent="0.2">
      <c r="A96" s="198" t="s">
        <v>1279</v>
      </c>
      <c r="B96" s="224" t="s">
        <v>2985</v>
      </c>
      <c r="C96" s="225" t="s">
        <v>2956</v>
      </c>
      <c r="D96" s="226" t="s">
        <v>11</v>
      </c>
      <c r="E96" s="227">
        <v>5.43</v>
      </c>
      <c r="F96" s="227"/>
    </row>
    <row r="97" spans="1:10" ht="12.75" hidden="1" customHeight="1" outlineLevel="1" x14ac:dyDescent="0.2">
      <c r="A97" s="198" t="s">
        <v>1279</v>
      </c>
      <c r="B97" s="228" t="s">
        <v>2986</v>
      </c>
      <c r="C97" s="229" t="s">
        <v>2957</v>
      </c>
      <c r="D97" s="230" t="s">
        <v>11</v>
      </c>
      <c r="E97" s="231">
        <v>92.4</v>
      </c>
      <c r="F97" s="231"/>
    </row>
    <row r="98" spans="1:10" x14ac:dyDescent="0.2">
      <c r="B98" s="515" t="s">
        <v>1347</v>
      </c>
      <c r="C98" s="516" t="s">
        <v>2989</v>
      </c>
      <c r="D98" s="516"/>
      <c r="E98" s="524">
        <f>SUM(E99:E192)</f>
        <v>3466.3100000000013</v>
      </c>
      <c r="F98" s="524"/>
      <c r="G98" s="516"/>
      <c r="H98" s="234">
        <f>SUM(H99:H104)</f>
        <v>3466.3100000000004</v>
      </c>
      <c r="I98" s="242" t="str">
        <f>IF(H98=E98,"OKAY","REVER")</f>
        <v>OKAY</v>
      </c>
      <c r="J98" s="405"/>
    </row>
    <row r="99" spans="1:10" ht="12.75" customHeight="1" outlineLevel="1" x14ac:dyDescent="0.2">
      <c r="A99" s="198" t="s">
        <v>1278</v>
      </c>
      <c r="B99" s="216" t="s">
        <v>1348</v>
      </c>
      <c r="C99" s="217" t="s">
        <v>2955</v>
      </c>
      <c r="D99" s="218"/>
      <c r="E99" s="219"/>
      <c r="F99" s="219"/>
      <c r="G99" s="229" t="s">
        <v>2993</v>
      </c>
      <c r="H99" s="235">
        <f t="shared" ref="H99:H104" si="3">SUMIF($C:$C,G99,$E:$E)</f>
        <v>87.039999999999992</v>
      </c>
    </row>
    <row r="100" spans="1:10" ht="12.75" customHeight="1" outlineLevel="1" x14ac:dyDescent="0.2">
      <c r="A100" s="198" t="s">
        <v>1278</v>
      </c>
      <c r="B100" s="224" t="s">
        <v>1349</v>
      </c>
      <c r="C100" s="225" t="s">
        <v>2990</v>
      </c>
      <c r="D100" s="226" t="s">
        <v>11</v>
      </c>
      <c r="E100" s="227">
        <v>58.37</v>
      </c>
      <c r="F100" s="227"/>
      <c r="G100" s="225" t="s">
        <v>2990</v>
      </c>
      <c r="H100" s="235">
        <f t="shared" si="3"/>
        <v>1154.0500000000002</v>
      </c>
    </row>
    <row r="101" spans="1:10" ht="12.75" customHeight="1" outlineLevel="1" x14ac:dyDescent="0.2">
      <c r="A101" s="198" t="s">
        <v>1278</v>
      </c>
      <c r="B101" s="228" t="s">
        <v>2056</v>
      </c>
      <c r="C101" s="229" t="s">
        <v>2991</v>
      </c>
      <c r="D101" s="230" t="s">
        <v>11</v>
      </c>
      <c r="E101" s="231">
        <v>25.41</v>
      </c>
      <c r="F101" s="231"/>
      <c r="G101" s="229" t="s">
        <v>2991</v>
      </c>
      <c r="H101" s="235">
        <f t="shared" si="3"/>
        <v>2134.2800000000002</v>
      </c>
    </row>
    <row r="102" spans="1:10" ht="12.75" customHeight="1" outlineLevel="1" x14ac:dyDescent="0.2">
      <c r="A102" s="198" t="s">
        <v>1278</v>
      </c>
      <c r="B102" s="216" t="s">
        <v>1350</v>
      </c>
      <c r="C102" s="217" t="s">
        <v>2958</v>
      </c>
      <c r="D102" s="218"/>
      <c r="E102" s="219"/>
      <c r="F102" s="219"/>
      <c r="G102" s="225" t="s">
        <v>2992</v>
      </c>
      <c r="H102" s="235">
        <f t="shared" si="3"/>
        <v>90.939999999999984</v>
      </c>
    </row>
    <row r="103" spans="1:10" ht="12.75" customHeight="1" outlineLevel="1" x14ac:dyDescent="0.2">
      <c r="A103" s="198" t="s">
        <v>1278</v>
      </c>
      <c r="B103" s="224" t="s">
        <v>1351</v>
      </c>
      <c r="C103" s="225" t="s">
        <v>2990</v>
      </c>
      <c r="D103" s="226" t="s">
        <v>11</v>
      </c>
      <c r="E103" s="227">
        <v>32.19</v>
      </c>
      <c r="F103" s="227"/>
      <c r="G103" s="229"/>
      <c r="H103" s="235">
        <f t="shared" si="3"/>
        <v>0</v>
      </c>
    </row>
    <row r="104" spans="1:10" ht="12.75" customHeight="1" outlineLevel="1" x14ac:dyDescent="0.2">
      <c r="A104" s="198" t="s">
        <v>1278</v>
      </c>
      <c r="B104" s="228" t="s">
        <v>2082</v>
      </c>
      <c r="C104" s="229" t="s">
        <v>2991</v>
      </c>
      <c r="D104" s="230" t="s">
        <v>11</v>
      </c>
      <c r="E104" s="231">
        <v>105.33</v>
      </c>
      <c r="F104" s="231"/>
      <c r="G104" s="229"/>
      <c r="H104" s="235">
        <f t="shared" si="3"/>
        <v>0</v>
      </c>
    </row>
    <row r="105" spans="1:10" ht="12.75" customHeight="1" outlineLevel="1" x14ac:dyDescent="0.2">
      <c r="A105" s="198" t="s">
        <v>1278</v>
      </c>
      <c r="B105" s="224" t="s">
        <v>2083</v>
      </c>
      <c r="C105" s="225" t="s">
        <v>2992</v>
      </c>
      <c r="D105" s="226" t="s">
        <v>11</v>
      </c>
      <c r="E105" s="227">
        <v>5.87</v>
      </c>
      <c r="F105" s="227"/>
      <c r="I105" s="198"/>
      <c r="J105" s="403">
        <f>SUM(J99:J104)</f>
        <v>0</v>
      </c>
    </row>
    <row r="106" spans="1:10" ht="12.75" customHeight="1" outlineLevel="1" x14ac:dyDescent="0.2">
      <c r="A106" s="198" t="s">
        <v>1279</v>
      </c>
      <c r="B106" s="216" t="s">
        <v>1352</v>
      </c>
      <c r="C106" s="217" t="s">
        <v>2960</v>
      </c>
      <c r="D106" s="218"/>
      <c r="E106" s="219"/>
      <c r="F106" s="219"/>
      <c r="G106" s="520" t="s">
        <v>1732</v>
      </c>
      <c r="H106" s="234">
        <f>H108+H116</f>
        <v>3466.31</v>
      </c>
      <c r="I106" s="242" t="str">
        <f>IF(H106=H98,"OKAY","REVER")</f>
        <v>OKAY</v>
      </c>
    </row>
    <row r="107" spans="1:10" ht="12.75" customHeight="1" outlineLevel="1" x14ac:dyDescent="0.2">
      <c r="A107" s="198" t="s">
        <v>1279</v>
      </c>
      <c r="B107" s="228" t="s">
        <v>1353</v>
      </c>
      <c r="C107" s="229" t="s">
        <v>2993</v>
      </c>
      <c r="D107" s="230" t="s">
        <v>11</v>
      </c>
      <c r="E107" s="231">
        <v>8.15</v>
      </c>
      <c r="F107" s="231"/>
      <c r="G107" s="232"/>
      <c r="H107" s="232"/>
      <c r="I107" s="242"/>
    </row>
    <row r="108" spans="1:10" ht="12.75" customHeight="1" outlineLevel="1" x14ac:dyDescent="0.2">
      <c r="A108" s="198" t="s">
        <v>1279</v>
      </c>
      <c r="B108" s="224" t="s">
        <v>2084</v>
      </c>
      <c r="C108" s="225" t="s">
        <v>2990</v>
      </c>
      <c r="D108" s="226" t="s">
        <v>11</v>
      </c>
      <c r="E108" s="227">
        <v>46.53</v>
      </c>
      <c r="F108" s="227"/>
      <c r="G108" s="520" t="str">
        <f>$A$1</f>
        <v>EMBASSAMENTO</v>
      </c>
      <c r="H108" s="234">
        <f>SUM(H109:H114)</f>
        <v>227.17000000000002</v>
      </c>
      <c r="I108" s="242"/>
    </row>
    <row r="109" spans="1:10" ht="12.75" customHeight="1" outlineLevel="1" x14ac:dyDescent="0.2">
      <c r="A109" s="198" t="s">
        <v>1279</v>
      </c>
      <c r="B109" s="228" t="s">
        <v>2085</v>
      </c>
      <c r="C109" s="229" t="s">
        <v>2991</v>
      </c>
      <c r="D109" s="230" t="s">
        <v>11</v>
      </c>
      <c r="E109" s="231">
        <v>122.64</v>
      </c>
      <c r="F109" s="231"/>
      <c r="G109" s="229" t="s">
        <v>2993</v>
      </c>
      <c r="H109" s="235">
        <f t="shared" ref="H109:H114" si="4">SUMIFS($E:$E,$C:$C,G109,$A:$A,$G$22)</f>
        <v>0</v>
      </c>
      <c r="I109" s="242"/>
    </row>
    <row r="110" spans="1:10" ht="12.75" customHeight="1" outlineLevel="1" x14ac:dyDescent="0.2">
      <c r="A110" s="198" t="s">
        <v>1279</v>
      </c>
      <c r="B110" s="224" t="s">
        <v>2086</v>
      </c>
      <c r="C110" s="225" t="s">
        <v>2992</v>
      </c>
      <c r="D110" s="226" t="s">
        <v>11</v>
      </c>
      <c r="E110" s="227">
        <v>4.87</v>
      </c>
      <c r="F110" s="227"/>
      <c r="G110" s="225" t="s">
        <v>2990</v>
      </c>
      <c r="H110" s="235">
        <f t="shared" si="4"/>
        <v>90.56</v>
      </c>
    </row>
    <row r="111" spans="1:10" ht="12.75" customHeight="1" outlineLevel="1" x14ac:dyDescent="0.2">
      <c r="A111" s="198" t="s">
        <v>1279</v>
      </c>
      <c r="B111" s="216" t="s">
        <v>1354</v>
      </c>
      <c r="C111" s="217" t="s">
        <v>2961</v>
      </c>
      <c r="D111" s="218"/>
      <c r="E111" s="219"/>
      <c r="F111" s="219"/>
      <c r="G111" s="229" t="s">
        <v>2991</v>
      </c>
      <c r="H111" s="235">
        <f t="shared" si="4"/>
        <v>130.74</v>
      </c>
    </row>
    <row r="112" spans="1:10" ht="12.75" customHeight="1" outlineLevel="1" x14ac:dyDescent="0.2">
      <c r="A112" s="198" t="s">
        <v>1279</v>
      </c>
      <c r="B112" s="228" t="s">
        <v>1355</v>
      </c>
      <c r="C112" s="229" t="s">
        <v>2993</v>
      </c>
      <c r="D112" s="230" t="s">
        <v>11</v>
      </c>
      <c r="E112" s="231">
        <v>4.0199999999999996</v>
      </c>
      <c r="F112" s="231"/>
      <c r="G112" s="225" t="s">
        <v>2992</v>
      </c>
      <c r="H112" s="235">
        <f t="shared" si="4"/>
        <v>5.87</v>
      </c>
    </row>
    <row r="113" spans="1:8" ht="12.75" customHeight="1" outlineLevel="1" x14ac:dyDescent="0.2">
      <c r="A113" s="198" t="s">
        <v>1279</v>
      </c>
      <c r="B113" s="224" t="s">
        <v>2087</v>
      </c>
      <c r="C113" s="225" t="s">
        <v>2990</v>
      </c>
      <c r="D113" s="226" t="s">
        <v>11</v>
      </c>
      <c r="E113" s="227">
        <v>70.53</v>
      </c>
      <c r="F113" s="227"/>
      <c r="G113" s="229"/>
      <c r="H113" s="235">
        <f t="shared" si="4"/>
        <v>0</v>
      </c>
    </row>
    <row r="114" spans="1:8" ht="12.75" customHeight="1" outlineLevel="1" x14ac:dyDescent="0.2">
      <c r="A114" s="198" t="s">
        <v>1279</v>
      </c>
      <c r="B114" s="228" t="s">
        <v>2088</v>
      </c>
      <c r="C114" s="229" t="s">
        <v>2991</v>
      </c>
      <c r="D114" s="230" t="s">
        <v>11</v>
      </c>
      <c r="E114" s="231">
        <v>198.98</v>
      </c>
      <c r="F114" s="231"/>
      <c r="G114" s="229"/>
      <c r="H114" s="235">
        <f t="shared" si="4"/>
        <v>0</v>
      </c>
    </row>
    <row r="115" spans="1:8" ht="12.75" customHeight="1" outlineLevel="1" x14ac:dyDescent="0.2">
      <c r="A115" s="198" t="s">
        <v>1279</v>
      </c>
      <c r="B115" s="224" t="s">
        <v>2089</v>
      </c>
      <c r="C115" s="225" t="s">
        <v>2992</v>
      </c>
      <c r="D115" s="226" t="s">
        <v>11</v>
      </c>
      <c r="E115" s="227">
        <v>4.87</v>
      </c>
      <c r="F115" s="227"/>
    </row>
    <row r="116" spans="1:8" ht="12.75" customHeight="1" outlineLevel="1" x14ac:dyDescent="0.2">
      <c r="A116" s="198" t="s">
        <v>1279</v>
      </c>
      <c r="B116" s="216" t="s">
        <v>1356</v>
      </c>
      <c r="C116" s="217" t="s">
        <v>2962</v>
      </c>
      <c r="D116" s="218"/>
      <c r="E116" s="219"/>
      <c r="F116" s="219"/>
      <c r="G116" s="520" t="str">
        <f>$A$2</f>
        <v>TORRE</v>
      </c>
      <c r="H116" s="234">
        <f>SUM(H117:H122)</f>
        <v>3239.14</v>
      </c>
    </row>
    <row r="117" spans="1:8" ht="12.75" customHeight="1" outlineLevel="1" x14ac:dyDescent="0.2">
      <c r="A117" s="198" t="s">
        <v>1279</v>
      </c>
      <c r="B117" s="228" t="s">
        <v>1357</v>
      </c>
      <c r="C117" s="229" t="s">
        <v>2993</v>
      </c>
      <c r="D117" s="230" t="s">
        <v>11</v>
      </c>
      <c r="E117" s="231">
        <v>7.58</v>
      </c>
      <c r="F117" s="231"/>
      <c r="G117" s="229" t="s">
        <v>2993</v>
      </c>
      <c r="H117" s="235">
        <f t="shared" ref="H117:H122" si="5">SUMIFS($E:$E,$C:$C,G117,$A:$A,$G$30)</f>
        <v>87.039999999999992</v>
      </c>
    </row>
    <row r="118" spans="1:8" ht="12.75" customHeight="1" outlineLevel="1" x14ac:dyDescent="0.2">
      <c r="A118" s="198" t="s">
        <v>1279</v>
      </c>
      <c r="B118" s="224" t="s">
        <v>2090</v>
      </c>
      <c r="C118" s="225" t="s">
        <v>2990</v>
      </c>
      <c r="D118" s="226" t="s">
        <v>11</v>
      </c>
      <c r="E118" s="227">
        <v>62.87</v>
      </c>
      <c r="F118" s="227"/>
      <c r="G118" s="225" t="s">
        <v>2990</v>
      </c>
      <c r="H118" s="235">
        <f t="shared" si="5"/>
        <v>1063.49</v>
      </c>
    </row>
    <row r="119" spans="1:8" ht="12.75" customHeight="1" outlineLevel="1" x14ac:dyDescent="0.2">
      <c r="A119" s="198" t="s">
        <v>1279</v>
      </c>
      <c r="B119" s="228" t="s">
        <v>2091</v>
      </c>
      <c r="C119" s="229" t="s">
        <v>2991</v>
      </c>
      <c r="D119" s="230" t="s">
        <v>11</v>
      </c>
      <c r="E119" s="231">
        <v>138.66999999999999</v>
      </c>
      <c r="F119" s="231"/>
      <c r="G119" s="229" t="s">
        <v>2991</v>
      </c>
      <c r="H119" s="235">
        <f t="shared" si="5"/>
        <v>2003.54</v>
      </c>
    </row>
    <row r="120" spans="1:8" ht="12.75" customHeight="1" outlineLevel="1" x14ac:dyDescent="0.2">
      <c r="A120" s="198" t="s">
        <v>1279</v>
      </c>
      <c r="B120" s="224" t="s">
        <v>2092</v>
      </c>
      <c r="C120" s="225" t="s">
        <v>2992</v>
      </c>
      <c r="D120" s="226" t="s">
        <v>11</v>
      </c>
      <c r="E120" s="227">
        <v>7.06</v>
      </c>
      <c r="F120" s="227"/>
      <c r="G120" s="225" t="s">
        <v>2992</v>
      </c>
      <c r="H120" s="235">
        <f t="shared" si="5"/>
        <v>85.07</v>
      </c>
    </row>
    <row r="121" spans="1:8" ht="12.75" customHeight="1" outlineLevel="1" x14ac:dyDescent="0.2">
      <c r="A121" s="198" t="s">
        <v>1279</v>
      </c>
      <c r="B121" s="216" t="s">
        <v>1358</v>
      </c>
      <c r="C121" s="217" t="s">
        <v>2963</v>
      </c>
      <c r="D121" s="218"/>
      <c r="E121" s="219"/>
      <c r="F121" s="219"/>
      <c r="G121" s="229"/>
      <c r="H121" s="235">
        <f t="shared" si="5"/>
        <v>0</v>
      </c>
    </row>
    <row r="122" spans="1:8" ht="12.75" customHeight="1" outlineLevel="1" x14ac:dyDescent="0.2">
      <c r="A122" s="198" t="s">
        <v>1279</v>
      </c>
      <c r="B122" s="228" t="s">
        <v>1359</v>
      </c>
      <c r="C122" s="229" t="s">
        <v>2993</v>
      </c>
      <c r="D122" s="230" t="s">
        <v>11</v>
      </c>
      <c r="E122" s="231">
        <v>7.21</v>
      </c>
      <c r="F122" s="231"/>
      <c r="G122" s="229"/>
      <c r="H122" s="235">
        <f t="shared" si="5"/>
        <v>0</v>
      </c>
    </row>
    <row r="123" spans="1:8" ht="12.75" customHeight="1" outlineLevel="1" x14ac:dyDescent="0.2">
      <c r="A123" s="198" t="s">
        <v>1279</v>
      </c>
      <c r="B123" s="224" t="s">
        <v>2093</v>
      </c>
      <c r="C123" s="225" t="s">
        <v>2990</v>
      </c>
      <c r="D123" s="226" t="s">
        <v>11</v>
      </c>
      <c r="E123" s="227">
        <v>67.87</v>
      </c>
      <c r="F123" s="227"/>
      <c r="G123" s="225"/>
      <c r="H123" s="235"/>
    </row>
    <row r="124" spans="1:8" ht="12.75" customHeight="1" outlineLevel="1" x14ac:dyDescent="0.2">
      <c r="A124" s="198" t="s">
        <v>1279</v>
      </c>
      <c r="B124" s="228" t="s">
        <v>2094</v>
      </c>
      <c r="C124" s="229" t="s">
        <v>2991</v>
      </c>
      <c r="D124" s="230" t="s">
        <v>11</v>
      </c>
      <c r="E124" s="231">
        <v>138.16</v>
      </c>
      <c r="F124" s="231"/>
      <c r="G124" s="225"/>
      <c r="H124" s="235"/>
    </row>
    <row r="125" spans="1:8" ht="12.75" customHeight="1" outlineLevel="1" x14ac:dyDescent="0.2">
      <c r="A125" s="198" t="s">
        <v>1279</v>
      </c>
      <c r="B125" s="224" t="s">
        <v>2095</v>
      </c>
      <c r="C125" s="225" t="s">
        <v>2992</v>
      </c>
      <c r="D125" s="226" t="s">
        <v>11</v>
      </c>
      <c r="E125" s="227">
        <v>3.96</v>
      </c>
      <c r="F125" s="227"/>
      <c r="G125" s="225"/>
      <c r="H125" s="235"/>
    </row>
    <row r="126" spans="1:8" ht="12.75" customHeight="1" outlineLevel="1" x14ac:dyDescent="0.2">
      <c r="A126" s="198" t="s">
        <v>1279</v>
      </c>
      <c r="B126" s="216" t="s">
        <v>1360</v>
      </c>
      <c r="C126" s="217" t="s">
        <v>2964</v>
      </c>
      <c r="D126" s="218"/>
      <c r="E126" s="219"/>
      <c r="F126" s="219"/>
      <c r="G126" s="225"/>
      <c r="H126" s="235"/>
    </row>
    <row r="127" spans="1:8" ht="12.75" customHeight="1" outlineLevel="1" x14ac:dyDescent="0.2">
      <c r="A127" s="198" t="s">
        <v>1279</v>
      </c>
      <c r="B127" s="228" t="s">
        <v>1361</v>
      </c>
      <c r="C127" s="229" t="s">
        <v>2993</v>
      </c>
      <c r="D127" s="230" t="s">
        <v>11</v>
      </c>
      <c r="E127" s="231">
        <v>7.58</v>
      </c>
      <c r="F127" s="231"/>
      <c r="G127" s="225"/>
      <c r="H127" s="235"/>
    </row>
    <row r="128" spans="1:8" ht="12.75" customHeight="1" outlineLevel="1" x14ac:dyDescent="0.2">
      <c r="A128" s="198" t="s">
        <v>1279</v>
      </c>
      <c r="B128" s="224" t="s">
        <v>2096</v>
      </c>
      <c r="C128" s="225" t="s">
        <v>2990</v>
      </c>
      <c r="D128" s="226" t="s">
        <v>11</v>
      </c>
      <c r="E128" s="227">
        <v>65.56</v>
      </c>
      <c r="F128" s="227"/>
      <c r="G128" s="225"/>
      <c r="H128" s="235"/>
    </row>
    <row r="129" spans="1:8" ht="12.75" customHeight="1" outlineLevel="1" x14ac:dyDescent="0.2">
      <c r="A129" s="198" t="s">
        <v>1279</v>
      </c>
      <c r="B129" s="228" t="s">
        <v>2097</v>
      </c>
      <c r="C129" s="229" t="s">
        <v>2991</v>
      </c>
      <c r="D129" s="230" t="s">
        <v>11</v>
      </c>
      <c r="E129" s="231">
        <v>139.19</v>
      </c>
      <c r="F129" s="231"/>
      <c r="G129" s="225"/>
      <c r="H129" s="235"/>
    </row>
    <row r="130" spans="1:8" ht="12.75" customHeight="1" outlineLevel="1" x14ac:dyDescent="0.2">
      <c r="A130" s="198" t="s">
        <v>1279</v>
      </c>
      <c r="B130" s="224" t="s">
        <v>2098</v>
      </c>
      <c r="C130" s="225" t="s">
        <v>2992</v>
      </c>
      <c r="D130" s="226" t="s">
        <v>11</v>
      </c>
      <c r="E130" s="227">
        <v>3.96</v>
      </c>
      <c r="F130" s="227"/>
      <c r="G130" s="225"/>
      <c r="H130" s="235"/>
    </row>
    <row r="131" spans="1:8" ht="12.75" customHeight="1" outlineLevel="1" x14ac:dyDescent="0.2">
      <c r="A131" s="198" t="s">
        <v>1279</v>
      </c>
      <c r="B131" s="216" t="s">
        <v>1362</v>
      </c>
      <c r="C131" s="217" t="s">
        <v>2965</v>
      </c>
      <c r="D131" s="218"/>
      <c r="E131" s="219"/>
      <c r="F131" s="219"/>
      <c r="G131" s="225"/>
      <c r="H131" s="235"/>
    </row>
    <row r="132" spans="1:8" ht="12.75" customHeight="1" outlineLevel="1" x14ac:dyDescent="0.2">
      <c r="A132" s="198" t="s">
        <v>1279</v>
      </c>
      <c r="B132" s="228" t="s">
        <v>1363</v>
      </c>
      <c r="C132" s="229" t="s">
        <v>2993</v>
      </c>
      <c r="D132" s="230" t="s">
        <v>11</v>
      </c>
      <c r="E132" s="231">
        <v>7.21</v>
      </c>
      <c r="F132" s="231"/>
      <c r="G132" s="225"/>
      <c r="H132" s="235"/>
    </row>
    <row r="133" spans="1:8" ht="12.75" customHeight="1" outlineLevel="1" x14ac:dyDescent="0.2">
      <c r="A133" s="198" t="s">
        <v>1279</v>
      </c>
      <c r="B133" s="224" t="s">
        <v>2099</v>
      </c>
      <c r="C133" s="225" t="s">
        <v>2990</v>
      </c>
      <c r="D133" s="226" t="s">
        <v>11</v>
      </c>
      <c r="E133" s="227">
        <v>67.87</v>
      </c>
      <c r="F133" s="227"/>
      <c r="G133" s="212"/>
      <c r="H133" s="235">
        <f>SUMIF($C:$C,G133,$E:$E)</f>
        <v>0</v>
      </c>
    </row>
    <row r="134" spans="1:8" ht="12.75" customHeight="1" outlineLevel="1" x14ac:dyDescent="0.2">
      <c r="A134" s="198" t="s">
        <v>1279</v>
      </c>
      <c r="B134" s="228" t="s">
        <v>2100</v>
      </c>
      <c r="C134" s="229" t="s">
        <v>2991</v>
      </c>
      <c r="D134" s="230" t="s">
        <v>11</v>
      </c>
      <c r="E134" s="231">
        <v>138.16</v>
      </c>
      <c r="F134" s="231"/>
      <c r="G134" s="212"/>
      <c r="H134" s="235">
        <f>SUMIF($C:$C,G134,$E:$E)</f>
        <v>0</v>
      </c>
    </row>
    <row r="135" spans="1:8" ht="12.75" customHeight="1" outlineLevel="1" x14ac:dyDescent="0.2">
      <c r="A135" s="198" t="s">
        <v>1279</v>
      </c>
      <c r="B135" s="224" t="s">
        <v>2101</v>
      </c>
      <c r="C135" s="225" t="s">
        <v>2992</v>
      </c>
      <c r="D135" s="226" t="s">
        <v>11</v>
      </c>
      <c r="E135" s="227">
        <v>3.96</v>
      </c>
      <c r="F135" s="227"/>
      <c r="G135" s="212"/>
      <c r="H135" s="235">
        <f>SUMIF($C:$C,G135,$E:$E)</f>
        <v>0</v>
      </c>
    </row>
    <row r="136" spans="1:8" ht="12.75" customHeight="1" outlineLevel="1" x14ac:dyDescent="0.2">
      <c r="A136" s="198" t="s">
        <v>1279</v>
      </c>
      <c r="B136" s="216" t="s">
        <v>1364</v>
      </c>
      <c r="C136" s="217" t="s">
        <v>2966</v>
      </c>
      <c r="D136" s="218"/>
      <c r="E136" s="219"/>
      <c r="F136" s="219"/>
      <c r="G136" s="212"/>
      <c r="H136" s="235">
        <f>SUMIF($C:$C,G136,$E:$E)</f>
        <v>0</v>
      </c>
    </row>
    <row r="137" spans="1:8" ht="12.75" customHeight="1" outlineLevel="1" x14ac:dyDescent="0.2">
      <c r="A137" s="198" t="s">
        <v>1279</v>
      </c>
      <c r="B137" s="228" t="s">
        <v>1365</v>
      </c>
      <c r="C137" s="229" t="s">
        <v>2993</v>
      </c>
      <c r="D137" s="230" t="s">
        <v>11</v>
      </c>
      <c r="E137" s="231">
        <v>7.58</v>
      </c>
      <c r="F137" s="231"/>
      <c r="G137" s="212"/>
      <c r="H137" s="235">
        <f>SUMIF($C:$C,G137,$E:$E)</f>
        <v>0</v>
      </c>
    </row>
    <row r="138" spans="1:8" ht="12.75" customHeight="1" outlineLevel="1" x14ac:dyDescent="0.2">
      <c r="A138" s="198" t="s">
        <v>1279</v>
      </c>
      <c r="B138" s="224" t="s">
        <v>2102</v>
      </c>
      <c r="C138" s="225" t="s">
        <v>2990</v>
      </c>
      <c r="D138" s="226" t="s">
        <v>11</v>
      </c>
      <c r="E138" s="227">
        <v>65.56</v>
      </c>
      <c r="F138" s="227"/>
      <c r="G138" s="225"/>
      <c r="H138" s="235"/>
    </row>
    <row r="139" spans="1:8" ht="12.75" customHeight="1" outlineLevel="1" x14ac:dyDescent="0.2">
      <c r="A139" s="198" t="s">
        <v>1279</v>
      </c>
      <c r="B139" s="228" t="s">
        <v>2103</v>
      </c>
      <c r="C139" s="229" t="s">
        <v>2991</v>
      </c>
      <c r="D139" s="230" t="s">
        <v>11</v>
      </c>
      <c r="E139" s="231">
        <v>139.19</v>
      </c>
      <c r="F139" s="231"/>
      <c r="G139" s="225"/>
      <c r="H139" s="235"/>
    </row>
    <row r="140" spans="1:8" ht="12.75" customHeight="1" outlineLevel="1" x14ac:dyDescent="0.2">
      <c r="A140" s="198" t="s">
        <v>1279</v>
      </c>
      <c r="B140" s="224" t="s">
        <v>2104</v>
      </c>
      <c r="C140" s="225" t="s">
        <v>2992</v>
      </c>
      <c r="D140" s="226" t="s">
        <v>11</v>
      </c>
      <c r="E140" s="227">
        <v>3.96</v>
      </c>
      <c r="F140" s="227"/>
      <c r="G140" s="225"/>
      <c r="H140" s="235"/>
    </row>
    <row r="141" spans="1:8" ht="12.75" customHeight="1" outlineLevel="1" x14ac:dyDescent="0.2">
      <c r="A141" s="198" t="s">
        <v>1279</v>
      </c>
      <c r="B141" s="216" t="s">
        <v>1366</v>
      </c>
      <c r="C141" s="217" t="s">
        <v>2967</v>
      </c>
      <c r="D141" s="218"/>
      <c r="E141" s="219"/>
      <c r="F141" s="219"/>
      <c r="G141" s="225"/>
      <c r="H141" s="235"/>
    </row>
    <row r="142" spans="1:8" ht="12.75" customHeight="1" outlineLevel="1" x14ac:dyDescent="0.2">
      <c r="A142" s="198" t="s">
        <v>1279</v>
      </c>
      <c r="B142" s="228" t="s">
        <v>1367</v>
      </c>
      <c r="C142" s="229" t="s">
        <v>2993</v>
      </c>
      <c r="D142" s="230" t="s">
        <v>11</v>
      </c>
      <c r="E142" s="231">
        <v>7.21</v>
      </c>
      <c r="F142" s="231"/>
      <c r="G142" s="225"/>
      <c r="H142" s="235"/>
    </row>
    <row r="143" spans="1:8" ht="12.75" customHeight="1" outlineLevel="1" x14ac:dyDescent="0.2">
      <c r="A143" s="198" t="s">
        <v>1279</v>
      </c>
      <c r="B143" s="224" t="s">
        <v>2105</v>
      </c>
      <c r="C143" s="225" t="s">
        <v>2990</v>
      </c>
      <c r="D143" s="226" t="s">
        <v>11</v>
      </c>
      <c r="E143" s="227">
        <v>67.87</v>
      </c>
      <c r="F143" s="227"/>
      <c r="G143" s="225"/>
      <c r="H143" s="235"/>
    </row>
    <row r="144" spans="1:8" ht="12.75" customHeight="1" outlineLevel="1" x14ac:dyDescent="0.2">
      <c r="A144" s="198" t="s">
        <v>1279</v>
      </c>
      <c r="B144" s="228" t="s">
        <v>2106</v>
      </c>
      <c r="C144" s="229" t="s">
        <v>2991</v>
      </c>
      <c r="D144" s="230" t="s">
        <v>11</v>
      </c>
      <c r="E144" s="231">
        <v>138.16</v>
      </c>
      <c r="F144" s="231"/>
      <c r="G144" s="225"/>
      <c r="H144" s="235"/>
    </row>
    <row r="145" spans="1:8" ht="12.75" customHeight="1" outlineLevel="1" x14ac:dyDescent="0.2">
      <c r="A145" s="198" t="s">
        <v>1279</v>
      </c>
      <c r="B145" s="224" t="s">
        <v>2107</v>
      </c>
      <c r="C145" s="225" t="s">
        <v>2992</v>
      </c>
      <c r="D145" s="226" t="s">
        <v>11</v>
      </c>
      <c r="E145" s="227">
        <v>3.96</v>
      </c>
      <c r="F145" s="227"/>
      <c r="G145" s="225"/>
      <c r="H145" s="235"/>
    </row>
    <row r="146" spans="1:8" ht="12.75" customHeight="1" outlineLevel="1" x14ac:dyDescent="0.2">
      <c r="A146" s="198" t="s">
        <v>1279</v>
      </c>
      <c r="B146" s="216" t="s">
        <v>1368</v>
      </c>
      <c r="C146" s="217" t="s">
        <v>2968</v>
      </c>
      <c r="D146" s="218"/>
      <c r="E146" s="219"/>
      <c r="F146" s="219"/>
      <c r="G146" s="225"/>
      <c r="H146" s="235"/>
    </row>
    <row r="147" spans="1:8" ht="12.75" customHeight="1" outlineLevel="1" x14ac:dyDescent="0.2">
      <c r="A147" s="198" t="s">
        <v>1279</v>
      </c>
      <c r="B147" s="228" t="s">
        <v>1369</v>
      </c>
      <c r="C147" s="229" t="s">
        <v>2993</v>
      </c>
      <c r="D147" s="230" t="s">
        <v>11</v>
      </c>
      <c r="E147" s="231">
        <v>7.58</v>
      </c>
      <c r="F147" s="231"/>
      <c r="G147" s="225"/>
      <c r="H147" s="235"/>
    </row>
    <row r="148" spans="1:8" ht="12.75" customHeight="1" outlineLevel="1" x14ac:dyDescent="0.2">
      <c r="A148" s="198" t="s">
        <v>1279</v>
      </c>
      <c r="B148" s="224" t="s">
        <v>2108</v>
      </c>
      <c r="C148" s="225" t="s">
        <v>2990</v>
      </c>
      <c r="D148" s="226" t="s">
        <v>11</v>
      </c>
      <c r="E148" s="227">
        <v>65.56</v>
      </c>
      <c r="F148" s="227"/>
      <c r="G148" s="225"/>
      <c r="H148" s="235"/>
    </row>
    <row r="149" spans="1:8" ht="12.75" customHeight="1" outlineLevel="1" x14ac:dyDescent="0.2">
      <c r="A149" s="198" t="s">
        <v>1279</v>
      </c>
      <c r="B149" s="228" t="s">
        <v>2109</v>
      </c>
      <c r="C149" s="229" t="s">
        <v>2991</v>
      </c>
      <c r="D149" s="230" t="s">
        <v>11</v>
      </c>
      <c r="E149" s="231">
        <v>139.19</v>
      </c>
      <c r="F149" s="231"/>
      <c r="G149" s="225"/>
      <c r="H149" s="235"/>
    </row>
    <row r="150" spans="1:8" ht="12.75" customHeight="1" outlineLevel="1" x14ac:dyDescent="0.2">
      <c r="A150" s="198" t="s">
        <v>1279</v>
      </c>
      <c r="B150" s="224" t="s">
        <v>2110</v>
      </c>
      <c r="C150" s="225" t="s">
        <v>2992</v>
      </c>
      <c r="D150" s="226" t="s">
        <v>11</v>
      </c>
      <c r="E150" s="227">
        <v>3.96</v>
      </c>
      <c r="F150" s="227"/>
      <c r="G150" s="225"/>
      <c r="H150" s="235"/>
    </row>
    <row r="151" spans="1:8" ht="12.75" customHeight="1" outlineLevel="1" x14ac:dyDescent="0.2">
      <c r="A151" s="198" t="s">
        <v>1279</v>
      </c>
      <c r="B151" s="216" t="s">
        <v>1370</v>
      </c>
      <c r="C151" s="217" t="s">
        <v>2969</v>
      </c>
      <c r="D151" s="218"/>
      <c r="E151" s="219"/>
      <c r="F151" s="219"/>
      <c r="G151" s="225"/>
      <c r="H151" s="235"/>
    </row>
    <row r="152" spans="1:8" ht="12.75" customHeight="1" outlineLevel="1" x14ac:dyDescent="0.2">
      <c r="A152" s="198" t="s">
        <v>1279</v>
      </c>
      <c r="B152" s="228" t="s">
        <v>1371</v>
      </c>
      <c r="C152" s="229" t="s">
        <v>2993</v>
      </c>
      <c r="D152" s="230" t="s">
        <v>11</v>
      </c>
      <c r="E152" s="231">
        <v>7.21</v>
      </c>
      <c r="F152" s="231"/>
      <c r="G152" s="212"/>
      <c r="H152" s="235">
        <f>SUMIF($C:$C,G152,$E:$E)</f>
        <v>0</v>
      </c>
    </row>
    <row r="153" spans="1:8" ht="12.75" customHeight="1" outlineLevel="1" x14ac:dyDescent="0.2">
      <c r="A153" s="198" t="s">
        <v>1279</v>
      </c>
      <c r="B153" s="224" t="s">
        <v>2111</v>
      </c>
      <c r="C153" s="225" t="s">
        <v>2990</v>
      </c>
      <c r="D153" s="226" t="s">
        <v>11</v>
      </c>
      <c r="E153" s="227">
        <v>67.87</v>
      </c>
      <c r="F153" s="227"/>
      <c r="G153" s="212"/>
      <c r="H153" s="235">
        <f>SUMIF($C:$C,G153,$E:$E)</f>
        <v>0</v>
      </c>
    </row>
    <row r="154" spans="1:8" ht="12.75" customHeight="1" outlineLevel="1" x14ac:dyDescent="0.2">
      <c r="A154" s="198" t="s">
        <v>1279</v>
      </c>
      <c r="B154" s="228" t="s">
        <v>2112</v>
      </c>
      <c r="C154" s="229" t="s">
        <v>2991</v>
      </c>
      <c r="D154" s="230" t="s">
        <v>11</v>
      </c>
      <c r="E154" s="231">
        <v>138.16</v>
      </c>
      <c r="F154" s="231"/>
      <c r="G154" s="212"/>
      <c r="H154" s="235">
        <f>SUMIF($C:$C,G154,$E:$E)</f>
        <v>0</v>
      </c>
    </row>
    <row r="155" spans="1:8" ht="12.75" customHeight="1" outlineLevel="1" x14ac:dyDescent="0.2">
      <c r="A155" s="198" t="s">
        <v>1279</v>
      </c>
      <c r="B155" s="224" t="s">
        <v>2113</v>
      </c>
      <c r="C155" s="225" t="s">
        <v>2992</v>
      </c>
      <c r="D155" s="226" t="s">
        <v>11</v>
      </c>
      <c r="E155" s="227">
        <v>3.96</v>
      </c>
      <c r="F155" s="227"/>
      <c r="G155" s="212"/>
      <c r="H155" s="235">
        <f>SUMIF($C:$C,G155,$E:$E)</f>
        <v>0</v>
      </c>
    </row>
    <row r="156" spans="1:8" ht="12.75" customHeight="1" outlineLevel="1" x14ac:dyDescent="0.2">
      <c r="A156" s="198" t="s">
        <v>1279</v>
      </c>
      <c r="B156" s="216" t="s">
        <v>1372</v>
      </c>
      <c r="C156" s="217" t="s">
        <v>2970</v>
      </c>
      <c r="D156" s="218"/>
      <c r="E156" s="219"/>
      <c r="F156" s="219"/>
      <c r="G156" s="212"/>
      <c r="H156" s="235">
        <f>SUMIF($C:$C,G156,$E:$E)</f>
        <v>0</v>
      </c>
    </row>
    <row r="157" spans="1:8" ht="12.75" customHeight="1" outlineLevel="1" x14ac:dyDescent="0.2">
      <c r="A157" s="198" t="s">
        <v>1279</v>
      </c>
      <c r="B157" s="228" t="s">
        <v>1373</v>
      </c>
      <c r="C157" s="229" t="s">
        <v>2993</v>
      </c>
      <c r="D157" s="230" t="s">
        <v>11</v>
      </c>
      <c r="E157" s="231">
        <v>7.58</v>
      </c>
      <c r="F157" s="231"/>
      <c r="G157" s="225"/>
      <c r="H157" s="235"/>
    </row>
    <row r="158" spans="1:8" ht="12.75" customHeight="1" outlineLevel="1" x14ac:dyDescent="0.2">
      <c r="A158" s="198" t="s">
        <v>1279</v>
      </c>
      <c r="B158" s="224" t="s">
        <v>2114</v>
      </c>
      <c r="C158" s="225" t="s">
        <v>2990</v>
      </c>
      <c r="D158" s="226" t="s">
        <v>11</v>
      </c>
      <c r="E158" s="227">
        <v>65.56</v>
      </c>
      <c r="F158" s="227"/>
      <c r="G158" s="225"/>
      <c r="H158" s="235"/>
    </row>
    <row r="159" spans="1:8" ht="12.75" customHeight="1" outlineLevel="1" x14ac:dyDescent="0.2">
      <c r="A159" s="198" t="s">
        <v>1279</v>
      </c>
      <c r="B159" s="228" t="s">
        <v>2115</v>
      </c>
      <c r="C159" s="229" t="s">
        <v>2991</v>
      </c>
      <c r="D159" s="230" t="s">
        <v>11</v>
      </c>
      <c r="E159" s="231">
        <v>139.19</v>
      </c>
      <c r="F159" s="231"/>
      <c r="G159" s="225"/>
      <c r="H159" s="235"/>
    </row>
    <row r="160" spans="1:8" ht="12.75" customHeight="1" outlineLevel="1" x14ac:dyDescent="0.2">
      <c r="A160" s="198" t="s">
        <v>1279</v>
      </c>
      <c r="B160" s="224" t="s">
        <v>2116</v>
      </c>
      <c r="C160" s="225" t="s">
        <v>2992</v>
      </c>
      <c r="D160" s="226" t="s">
        <v>11</v>
      </c>
      <c r="E160" s="227">
        <v>3.96</v>
      </c>
      <c r="F160" s="227"/>
      <c r="G160" s="225"/>
      <c r="H160" s="235"/>
    </row>
    <row r="161" spans="1:8" ht="12.75" customHeight="1" outlineLevel="1" x14ac:dyDescent="0.2">
      <c r="A161" s="198" t="s">
        <v>1279</v>
      </c>
      <c r="B161" s="216" t="s">
        <v>1374</v>
      </c>
      <c r="C161" s="217" t="s">
        <v>2971</v>
      </c>
      <c r="D161" s="218"/>
      <c r="E161" s="219"/>
      <c r="F161" s="219"/>
      <c r="G161" s="225"/>
      <c r="H161" s="235"/>
    </row>
    <row r="162" spans="1:8" ht="12.75" customHeight="1" outlineLevel="1" x14ac:dyDescent="0.2">
      <c r="A162" s="198" t="s">
        <v>1279</v>
      </c>
      <c r="B162" s="228" t="s">
        <v>1375</v>
      </c>
      <c r="C162" s="229" t="s">
        <v>2993</v>
      </c>
      <c r="D162" s="230" t="s">
        <v>11</v>
      </c>
      <c r="E162" s="231">
        <v>8.1300000000000008</v>
      </c>
      <c r="F162" s="231"/>
      <c r="G162" s="225"/>
      <c r="H162" s="235"/>
    </row>
    <row r="163" spans="1:8" ht="12.75" customHeight="1" outlineLevel="1" x14ac:dyDescent="0.2">
      <c r="A163" s="198" t="s">
        <v>1279</v>
      </c>
      <c r="B163" s="224" t="s">
        <v>2117</v>
      </c>
      <c r="C163" s="225" t="s">
        <v>2990</v>
      </c>
      <c r="D163" s="226" t="s">
        <v>11</v>
      </c>
      <c r="E163" s="227">
        <v>77.42</v>
      </c>
      <c r="F163" s="227"/>
      <c r="G163" s="225"/>
      <c r="H163" s="235"/>
    </row>
    <row r="164" spans="1:8" ht="12.75" customHeight="1" outlineLevel="1" x14ac:dyDescent="0.2">
      <c r="A164" s="198" t="s">
        <v>1279</v>
      </c>
      <c r="B164" s="228" t="s">
        <v>2118</v>
      </c>
      <c r="C164" s="229" t="s">
        <v>2991</v>
      </c>
      <c r="D164" s="230" t="s">
        <v>11</v>
      </c>
      <c r="E164" s="231">
        <v>156.86000000000001</v>
      </c>
      <c r="F164" s="231"/>
      <c r="G164" s="225"/>
      <c r="H164" s="235"/>
    </row>
    <row r="165" spans="1:8" ht="12.75" customHeight="1" outlineLevel="1" x14ac:dyDescent="0.2">
      <c r="A165" s="198" t="s">
        <v>1279</v>
      </c>
      <c r="B165" s="224" t="s">
        <v>2119</v>
      </c>
      <c r="C165" s="225" t="s">
        <v>2992</v>
      </c>
      <c r="D165" s="226" t="s">
        <v>11</v>
      </c>
      <c r="E165" s="227">
        <v>4.87</v>
      </c>
      <c r="F165" s="227"/>
      <c r="G165" s="225"/>
      <c r="H165" s="235"/>
    </row>
    <row r="166" spans="1:8" ht="12.75" customHeight="1" outlineLevel="1" x14ac:dyDescent="0.2">
      <c r="A166" s="198" t="s">
        <v>1279</v>
      </c>
      <c r="B166" s="216" t="s">
        <v>1376</v>
      </c>
      <c r="C166" s="217" t="s">
        <v>2972</v>
      </c>
      <c r="D166" s="218"/>
      <c r="E166" s="219"/>
      <c r="F166" s="219"/>
      <c r="G166" s="225"/>
      <c r="H166" s="235"/>
    </row>
    <row r="167" spans="1:8" ht="12.75" customHeight="1" outlineLevel="1" x14ac:dyDescent="0.2">
      <c r="A167" s="198" t="s">
        <v>1279</v>
      </c>
      <c r="B167" s="228" t="s">
        <v>1377</v>
      </c>
      <c r="C167" s="229" t="s">
        <v>2990</v>
      </c>
      <c r="D167" s="230" t="s">
        <v>11</v>
      </c>
      <c r="E167" s="231">
        <v>19.03</v>
      </c>
      <c r="F167" s="231"/>
      <c r="G167" s="225"/>
      <c r="H167" s="235"/>
    </row>
    <row r="168" spans="1:8" ht="12.75" customHeight="1" outlineLevel="1" x14ac:dyDescent="0.2">
      <c r="A168" s="198" t="s">
        <v>1279</v>
      </c>
      <c r="B168" s="224" t="s">
        <v>2120</v>
      </c>
      <c r="C168" s="225" t="s">
        <v>2991</v>
      </c>
      <c r="D168" s="226" t="s">
        <v>11</v>
      </c>
      <c r="E168" s="227">
        <v>11.9</v>
      </c>
      <c r="F168" s="227"/>
      <c r="G168" s="225"/>
      <c r="H168" s="235"/>
    </row>
    <row r="169" spans="1:8" ht="12.75" customHeight="1" outlineLevel="1" x14ac:dyDescent="0.2">
      <c r="A169" s="198" t="s">
        <v>1279</v>
      </c>
      <c r="B169" s="228" t="s">
        <v>2121</v>
      </c>
      <c r="C169" s="229" t="s">
        <v>2992</v>
      </c>
      <c r="D169" s="230" t="s">
        <v>11</v>
      </c>
      <c r="E169" s="231">
        <v>4.87</v>
      </c>
      <c r="F169" s="231"/>
      <c r="G169" s="225"/>
      <c r="H169" s="235"/>
    </row>
    <row r="170" spans="1:8" ht="12.75" customHeight="1" outlineLevel="1" x14ac:dyDescent="0.2">
      <c r="A170" s="198" t="s">
        <v>1279</v>
      </c>
      <c r="B170" s="216" t="s">
        <v>1378</v>
      </c>
      <c r="C170" s="217" t="s">
        <v>2973</v>
      </c>
      <c r="D170" s="218"/>
      <c r="E170" s="219"/>
      <c r="F170" s="219"/>
      <c r="G170" s="225"/>
      <c r="H170" s="235"/>
    </row>
    <row r="171" spans="1:8" ht="12.75" customHeight="1" outlineLevel="1" x14ac:dyDescent="0.2">
      <c r="A171" s="198" t="s">
        <v>1279</v>
      </c>
      <c r="B171" s="224" t="s">
        <v>1379</v>
      </c>
      <c r="C171" s="225" t="s">
        <v>2990</v>
      </c>
      <c r="D171" s="226" t="s">
        <v>11</v>
      </c>
      <c r="E171" s="227">
        <v>43.72</v>
      </c>
      <c r="F171" s="227"/>
      <c r="G171" s="212"/>
      <c r="H171" s="235">
        <f>SUMIF($C:$C,G171,$E:$E)</f>
        <v>0</v>
      </c>
    </row>
    <row r="172" spans="1:8" ht="12.75" customHeight="1" outlineLevel="1" x14ac:dyDescent="0.2">
      <c r="A172" s="198" t="s">
        <v>1279</v>
      </c>
      <c r="B172" s="228" t="s">
        <v>2122</v>
      </c>
      <c r="C172" s="229" t="s">
        <v>2991</v>
      </c>
      <c r="D172" s="230" t="s">
        <v>11</v>
      </c>
      <c r="E172" s="231">
        <v>58.84</v>
      </c>
      <c r="F172" s="231"/>
      <c r="G172" s="212"/>
      <c r="H172" s="235">
        <f>SUMIF($C:$C,G172,$E:$E)</f>
        <v>0</v>
      </c>
    </row>
    <row r="173" spans="1:8" ht="12.75" customHeight="1" outlineLevel="1" x14ac:dyDescent="0.2">
      <c r="A173" s="198" t="s">
        <v>1279</v>
      </c>
      <c r="B173" s="224" t="s">
        <v>2123</v>
      </c>
      <c r="C173" s="225" t="s">
        <v>2992</v>
      </c>
      <c r="D173" s="226" t="s">
        <v>11</v>
      </c>
      <c r="E173" s="227">
        <v>3.96</v>
      </c>
      <c r="F173" s="227"/>
      <c r="G173" s="212"/>
      <c r="H173" s="235">
        <f>SUMIF($C:$C,G173,$E:$E)</f>
        <v>0</v>
      </c>
    </row>
    <row r="174" spans="1:8" ht="12.75" customHeight="1" outlineLevel="1" x14ac:dyDescent="0.2">
      <c r="A174" s="198" t="s">
        <v>1279</v>
      </c>
      <c r="B174" s="216" t="s">
        <v>1380</v>
      </c>
      <c r="C174" s="217" t="s">
        <v>2974</v>
      </c>
      <c r="D174" s="218"/>
      <c r="E174" s="219"/>
      <c r="F174" s="219"/>
      <c r="G174" s="212"/>
      <c r="H174" s="235">
        <f>SUMIF($C:$C,G174,$E:$E)</f>
        <v>0</v>
      </c>
    </row>
    <row r="175" spans="1:8" ht="12.75" customHeight="1" outlineLevel="1" x14ac:dyDescent="0.2">
      <c r="A175" s="198" t="s">
        <v>1279</v>
      </c>
      <c r="B175" s="228" t="s">
        <v>1381</v>
      </c>
      <c r="C175" s="229" t="s">
        <v>2990</v>
      </c>
      <c r="D175" s="230" t="s">
        <v>11</v>
      </c>
      <c r="E175" s="231">
        <v>44.51</v>
      </c>
      <c r="F175" s="231"/>
      <c r="G175" s="212"/>
      <c r="H175" s="235">
        <f>SUMIF($C:$C,G175,$E:$E)</f>
        <v>0</v>
      </c>
    </row>
    <row r="176" spans="1:8" ht="12.75" customHeight="1" outlineLevel="1" x14ac:dyDescent="0.2">
      <c r="A176" s="198" t="s">
        <v>1279</v>
      </c>
      <c r="B176" s="224" t="s">
        <v>2124</v>
      </c>
      <c r="C176" s="225" t="s">
        <v>2991</v>
      </c>
      <c r="D176" s="226" t="s">
        <v>11</v>
      </c>
      <c r="E176" s="227">
        <v>57.72</v>
      </c>
      <c r="F176" s="227"/>
      <c r="G176" s="225"/>
      <c r="H176" s="235"/>
    </row>
    <row r="177" spans="1:8" ht="12.75" customHeight="1" outlineLevel="1" x14ac:dyDescent="0.2">
      <c r="A177" s="198" t="s">
        <v>1279</v>
      </c>
      <c r="B177" s="228" t="s">
        <v>2125</v>
      </c>
      <c r="C177" s="229" t="s">
        <v>2992</v>
      </c>
      <c r="D177" s="230" t="s">
        <v>11</v>
      </c>
      <c r="E177" s="231">
        <v>3.96</v>
      </c>
      <c r="F177" s="231"/>
      <c r="G177" s="225"/>
      <c r="H177" s="235"/>
    </row>
    <row r="178" spans="1:8" ht="12.75" customHeight="1" outlineLevel="1" x14ac:dyDescent="0.2">
      <c r="A178" s="198" t="s">
        <v>1279</v>
      </c>
      <c r="B178" s="216" t="s">
        <v>1382</v>
      </c>
      <c r="C178" s="217" t="s">
        <v>2975</v>
      </c>
      <c r="D178" s="218"/>
      <c r="E178" s="219"/>
      <c r="F178" s="219"/>
      <c r="G178" s="225"/>
      <c r="H178" s="235"/>
    </row>
    <row r="179" spans="1:8" ht="12.75" customHeight="1" outlineLevel="1" x14ac:dyDescent="0.2">
      <c r="A179" s="198" t="s">
        <v>1279</v>
      </c>
      <c r="B179" s="224" t="s">
        <v>1383</v>
      </c>
      <c r="C179" s="225" t="s">
        <v>2990</v>
      </c>
      <c r="D179" s="226" t="s">
        <v>11</v>
      </c>
      <c r="E179" s="227">
        <v>42.83</v>
      </c>
      <c r="F179" s="227"/>
      <c r="G179" s="225"/>
      <c r="H179" s="235"/>
    </row>
    <row r="180" spans="1:8" ht="12.75" customHeight="1" outlineLevel="1" x14ac:dyDescent="0.2">
      <c r="A180" s="198" t="s">
        <v>1279</v>
      </c>
      <c r="B180" s="228" t="s">
        <v>2126</v>
      </c>
      <c r="C180" s="229" t="s">
        <v>2991</v>
      </c>
      <c r="D180" s="230" t="s">
        <v>11</v>
      </c>
      <c r="E180" s="231">
        <v>55.34</v>
      </c>
      <c r="F180" s="231"/>
      <c r="G180" s="225"/>
      <c r="H180" s="235"/>
    </row>
    <row r="181" spans="1:8" ht="12.75" customHeight="1" outlineLevel="1" x14ac:dyDescent="0.2">
      <c r="A181" s="198" t="s">
        <v>1279</v>
      </c>
      <c r="B181" s="224" t="s">
        <v>2127</v>
      </c>
      <c r="C181" s="225" t="s">
        <v>2992</v>
      </c>
      <c r="D181" s="226" t="s">
        <v>11</v>
      </c>
      <c r="E181" s="227">
        <v>3.96</v>
      </c>
      <c r="F181" s="227"/>
      <c r="G181" s="225"/>
      <c r="H181" s="235"/>
    </row>
    <row r="182" spans="1:8" ht="12.75" customHeight="1" outlineLevel="1" x14ac:dyDescent="0.2">
      <c r="A182" s="198" t="s">
        <v>1279</v>
      </c>
      <c r="B182" s="216" t="s">
        <v>2128</v>
      </c>
      <c r="C182" s="217" t="s">
        <v>2976</v>
      </c>
      <c r="D182" s="218"/>
      <c r="E182" s="219"/>
      <c r="F182" s="219"/>
      <c r="G182" s="225"/>
      <c r="H182" s="235"/>
    </row>
    <row r="183" spans="1:8" ht="12.75" customHeight="1" outlineLevel="1" x14ac:dyDescent="0.2">
      <c r="A183" s="198" t="s">
        <v>1279</v>
      </c>
      <c r="B183" s="228" t="s">
        <v>2129</v>
      </c>
      <c r="C183" s="229" t="s">
        <v>2990</v>
      </c>
      <c r="D183" s="230" t="s">
        <v>11</v>
      </c>
      <c r="E183" s="231">
        <v>52.15</v>
      </c>
      <c r="F183" s="231"/>
      <c r="G183" s="225"/>
      <c r="H183" s="235"/>
    </row>
    <row r="184" spans="1:8" ht="12.75" customHeight="1" outlineLevel="1" x14ac:dyDescent="0.2">
      <c r="A184" s="198" t="s">
        <v>1279</v>
      </c>
      <c r="B184" s="224" t="s">
        <v>2994</v>
      </c>
      <c r="C184" s="225" t="s">
        <v>2991</v>
      </c>
      <c r="D184" s="226" t="s">
        <v>11</v>
      </c>
      <c r="E184" s="227">
        <v>63.74</v>
      </c>
      <c r="F184" s="227"/>
      <c r="G184" s="225"/>
      <c r="H184" s="235"/>
    </row>
    <row r="185" spans="1:8" ht="12.75" customHeight="1" outlineLevel="1" x14ac:dyDescent="0.2">
      <c r="A185" s="198" t="s">
        <v>1279</v>
      </c>
      <c r="B185" s="228" t="s">
        <v>2995</v>
      </c>
      <c r="C185" s="229" t="s">
        <v>2992</v>
      </c>
      <c r="D185" s="230" t="s">
        <v>11</v>
      </c>
      <c r="E185" s="231">
        <v>4.87</v>
      </c>
      <c r="F185" s="231"/>
      <c r="G185" s="225"/>
      <c r="H185" s="235"/>
    </row>
    <row r="186" spans="1:8" ht="12.75" customHeight="1" outlineLevel="1" x14ac:dyDescent="0.2">
      <c r="A186" s="198" t="s">
        <v>1279</v>
      </c>
      <c r="B186" s="216" t="s">
        <v>2130</v>
      </c>
      <c r="C186" s="217" t="s">
        <v>2978</v>
      </c>
      <c r="D186" s="218"/>
      <c r="E186" s="219"/>
      <c r="F186" s="219"/>
      <c r="G186" s="225"/>
      <c r="H186" s="235"/>
    </row>
    <row r="187" spans="1:8" ht="12.75" customHeight="1" outlineLevel="1" x14ac:dyDescent="0.2">
      <c r="A187" s="198" t="s">
        <v>1279</v>
      </c>
      <c r="B187" s="224" t="s">
        <v>2131</v>
      </c>
      <c r="C187" s="225" t="s">
        <v>2990</v>
      </c>
      <c r="D187" s="226" t="s">
        <v>11</v>
      </c>
      <c r="E187" s="227">
        <v>27.9</v>
      </c>
      <c r="F187" s="227"/>
      <c r="G187" s="225"/>
      <c r="H187" s="235"/>
    </row>
    <row r="188" spans="1:8" ht="12.75" customHeight="1" outlineLevel="1" x14ac:dyDescent="0.2">
      <c r="A188" s="198" t="s">
        <v>1279</v>
      </c>
      <c r="B188" s="228" t="s">
        <v>2132</v>
      </c>
      <c r="C188" s="229" t="s">
        <v>2991</v>
      </c>
      <c r="D188" s="230" t="s">
        <v>11</v>
      </c>
      <c r="E188" s="231">
        <v>16.61</v>
      </c>
      <c r="F188" s="231"/>
      <c r="G188" s="225"/>
      <c r="H188" s="235"/>
    </row>
    <row r="189" spans="1:8" ht="12.75" customHeight="1" outlineLevel="1" x14ac:dyDescent="0.2">
      <c r="A189" s="198" t="s">
        <v>1279</v>
      </c>
      <c r="B189" s="224" t="s">
        <v>2996</v>
      </c>
      <c r="C189" s="225" t="s">
        <v>2992</v>
      </c>
      <c r="D189" s="226" t="s">
        <v>11</v>
      </c>
      <c r="E189" s="227">
        <v>10.1</v>
      </c>
      <c r="F189" s="227"/>
      <c r="G189" s="225"/>
      <c r="H189" s="235"/>
    </row>
    <row r="190" spans="1:8" ht="12.75" customHeight="1" outlineLevel="1" x14ac:dyDescent="0.2">
      <c r="A190" s="198" t="s">
        <v>1279</v>
      </c>
      <c r="B190" s="216" t="s">
        <v>2133</v>
      </c>
      <c r="C190" s="217" t="s">
        <v>2980</v>
      </c>
      <c r="D190" s="218"/>
      <c r="E190" s="219"/>
      <c r="F190" s="219"/>
      <c r="G190" s="212"/>
      <c r="H190" s="235">
        <f>SUMIF($C:$C,G190,$E:$E)</f>
        <v>0</v>
      </c>
    </row>
    <row r="191" spans="1:8" ht="12.75" customHeight="1" outlineLevel="1" x14ac:dyDescent="0.2">
      <c r="A191" s="198" t="s">
        <v>1279</v>
      </c>
      <c r="B191" s="228" t="s">
        <v>2134</v>
      </c>
      <c r="C191" s="229" t="s">
        <v>2990</v>
      </c>
      <c r="D191" s="230" t="s">
        <v>11</v>
      </c>
      <c r="E191" s="231">
        <v>42.28</v>
      </c>
      <c r="F191" s="231"/>
      <c r="G191" s="212"/>
      <c r="H191" s="235">
        <f>SUMIF($C:$C,G191,$E:$E)</f>
        <v>0</v>
      </c>
    </row>
    <row r="192" spans="1:8" ht="12.75" customHeight="1" outlineLevel="1" x14ac:dyDescent="0.2">
      <c r="A192" s="198" t="s">
        <v>1279</v>
      </c>
      <c r="B192" s="224" t="s">
        <v>2135</v>
      </c>
      <c r="C192" s="225" t="s">
        <v>2991</v>
      </c>
      <c r="D192" s="226" t="s">
        <v>11</v>
      </c>
      <c r="E192" s="227">
        <v>12.84</v>
      </c>
      <c r="F192" s="227"/>
      <c r="G192" s="212"/>
      <c r="H192" s="235">
        <f>SUMIF($C:$C,G192,$E:$E)</f>
        <v>0</v>
      </c>
    </row>
    <row r="193" spans="1:10" collapsed="1" x14ac:dyDescent="0.2">
      <c r="B193" s="515" t="s">
        <v>1384</v>
      </c>
      <c r="C193" s="516" t="s">
        <v>1450</v>
      </c>
      <c r="D193" s="516"/>
      <c r="E193" s="520">
        <f>SUM(E194:E320)</f>
        <v>10736.69</v>
      </c>
      <c r="F193" s="520"/>
      <c r="G193" s="516"/>
      <c r="H193" s="234">
        <f>SUM(H194:H199)</f>
        <v>10736.69</v>
      </c>
      <c r="I193" s="242" t="str">
        <f>IF(H193=E193,"OKAY","REVER")</f>
        <v>OKAY</v>
      </c>
      <c r="J193" s="405"/>
    </row>
    <row r="194" spans="1:10" s="215" customFormat="1" ht="12.75" hidden="1" customHeight="1" outlineLevel="1" x14ac:dyDescent="0.2">
      <c r="A194" s="198" t="s">
        <v>1278</v>
      </c>
      <c r="B194" s="216" t="s">
        <v>1385</v>
      </c>
      <c r="C194" s="217" t="s">
        <v>2955</v>
      </c>
      <c r="D194" s="218"/>
      <c r="E194" s="219"/>
      <c r="F194" s="219"/>
      <c r="G194" s="225" t="s">
        <v>3007</v>
      </c>
      <c r="H194" s="235">
        <f t="shared" ref="H194:H199" si="6">SUMIF($C:$C,G194,$E:$E)</f>
        <v>608.02</v>
      </c>
      <c r="I194" s="241"/>
    </row>
    <row r="195" spans="1:10" s="215" customFormat="1" ht="12.75" hidden="1" customHeight="1" outlineLevel="1" x14ac:dyDescent="0.2">
      <c r="A195" s="198" t="s">
        <v>1278</v>
      </c>
      <c r="B195" s="228" t="s">
        <v>1386</v>
      </c>
      <c r="C195" s="229" t="s">
        <v>3005</v>
      </c>
      <c r="D195" s="230" t="s">
        <v>3</v>
      </c>
      <c r="E195" s="231">
        <v>138.36000000000001</v>
      </c>
      <c r="F195" s="231"/>
      <c r="G195" s="229" t="s">
        <v>3005</v>
      </c>
      <c r="H195" s="235">
        <f t="shared" si="6"/>
        <v>4171.2100000000009</v>
      </c>
      <c r="I195" s="241"/>
    </row>
    <row r="196" spans="1:10" s="215" customFormat="1" ht="12.75" hidden="1" customHeight="1" outlineLevel="1" x14ac:dyDescent="0.2">
      <c r="A196" s="198" t="s">
        <v>1278</v>
      </c>
      <c r="B196" s="224" t="s">
        <v>2136</v>
      </c>
      <c r="C196" s="225" t="s">
        <v>585</v>
      </c>
      <c r="D196" s="226" t="s">
        <v>2</v>
      </c>
      <c r="E196" s="227">
        <v>178.89</v>
      </c>
      <c r="F196" s="227"/>
      <c r="G196" s="225" t="s">
        <v>585</v>
      </c>
      <c r="H196" s="235">
        <f t="shared" si="6"/>
        <v>3923.0199999999995</v>
      </c>
      <c r="I196" s="241"/>
    </row>
    <row r="197" spans="1:10" s="215" customFormat="1" ht="12.75" hidden="1" customHeight="1" outlineLevel="1" x14ac:dyDescent="0.2">
      <c r="A197" s="198" t="s">
        <v>1278</v>
      </c>
      <c r="B197" s="228" t="s">
        <v>2551</v>
      </c>
      <c r="C197" s="229" t="s">
        <v>3006</v>
      </c>
      <c r="D197" s="230" t="s">
        <v>3</v>
      </c>
      <c r="E197" s="231">
        <v>14.32</v>
      </c>
      <c r="F197" s="231"/>
      <c r="G197" s="229" t="s">
        <v>3008</v>
      </c>
      <c r="H197" s="235">
        <f t="shared" si="6"/>
        <v>1196.8100000000002</v>
      </c>
      <c r="I197" s="241"/>
    </row>
    <row r="198" spans="1:10" s="215" customFormat="1" ht="12.75" hidden="1" customHeight="1" outlineLevel="1" x14ac:dyDescent="0.2">
      <c r="A198" s="198" t="s">
        <v>1278</v>
      </c>
      <c r="B198" s="216" t="s">
        <v>1387</v>
      </c>
      <c r="C198" s="217" t="s">
        <v>2958</v>
      </c>
      <c r="D198" s="218"/>
      <c r="E198" s="219"/>
      <c r="F198" s="219"/>
      <c r="G198" s="225" t="s">
        <v>3006</v>
      </c>
      <c r="H198" s="235">
        <f t="shared" si="6"/>
        <v>837.63000000000022</v>
      </c>
      <c r="I198" s="241"/>
    </row>
    <row r="199" spans="1:10" s="215" customFormat="1" ht="12.75" hidden="1" customHeight="1" outlineLevel="1" x14ac:dyDescent="0.2">
      <c r="A199" s="198" t="s">
        <v>1278</v>
      </c>
      <c r="B199" s="224" t="s">
        <v>1388</v>
      </c>
      <c r="C199" s="225" t="s">
        <v>3007</v>
      </c>
      <c r="D199" s="226" t="s">
        <v>3</v>
      </c>
      <c r="E199" s="227">
        <v>19.93</v>
      </c>
      <c r="F199" s="227"/>
      <c r="G199" s="229"/>
      <c r="H199" s="235">
        <f t="shared" si="6"/>
        <v>0</v>
      </c>
      <c r="I199" s="241"/>
    </row>
    <row r="200" spans="1:10" s="215" customFormat="1" ht="12.75" hidden="1" customHeight="1" outlineLevel="1" x14ac:dyDescent="0.2">
      <c r="A200" s="198" t="s">
        <v>1278</v>
      </c>
      <c r="B200" s="228" t="s">
        <v>2137</v>
      </c>
      <c r="C200" s="229" t="s">
        <v>3005</v>
      </c>
      <c r="D200" s="230" t="s">
        <v>3</v>
      </c>
      <c r="E200" s="231">
        <v>194.78</v>
      </c>
      <c r="F200" s="231"/>
      <c r="G200" s="198"/>
      <c r="H200" s="198"/>
      <c r="I200" s="198"/>
    </row>
    <row r="201" spans="1:10" s="215" customFormat="1" ht="12.75" hidden="1" customHeight="1" outlineLevel="1" x14ac:dyDescent="0.2">
      <c r="A201" s="198" t="s">
        <v>1278</v>
      </c>
      <c r="B201" s="224" t="s">
        <v>2138</v>
      </c>
      <c r="C201" s="225" t="s">
        <v>585</v>
      </c>
      <c r="D201" s="226" t="s">
        <v>2</v>
      </c>
      <c r="E201" s="227">
        <v>330.02</v>
      </c>
      <c r="F201" s="227"/>
      <c r="G201" s="520" t="s">
        <v>1732</v>
      </c>
      <c r="H201" s="234">
        <f>H203+H211</f>
        <v>10736.69</v>
      </c>
      <c r="I201" s="242" t="str">
        <f>IF(H201=H193,"OKAY","REVER")</f>
        <v>OKAY</v>
      </c>
    </row>
    <row r="202" spans="1:10" s="215" customFormat="1" ht="12.75" hidden="1" customHeight="1" outlineLevel="1" x14ac:dyDescent="0.2">
      <c r="A202" s="198" t="s">
        <v>1278</v>
      </c>
      <c r="B202" s="228" t="s">
        <v>2139</v>
      </c>
      <c r="C202" s="229" t="s">
        <v>3008</v>
      </c>
      <c r="D202" s="230" t="s">
        <v>3</v>
      </c>
      <c r="E202" s="231">
        <v>25.63</v>
      </c>
      <c r="F202" s="231"/>
      <c r="G202" s="232"/>
      <c r="H202" s="232"/>
      <c r="I202" s="242"/>
    </row>
    <row r="203" spans="1:10" s="215" customFormat="1" ht="12.75" hidden="1" customHeight="1" outlineLevel="1" x14ac:dyDescent="0.2">
      <c r="A203" s="198" t="s">
        <v>1278</v>
      </c>
      <c r="B203" s="224" t="s">
        <v>2140</v>
      </c>
      <c r="C203" s="225" t="s">
        <v>3006</v>
      </c>
      <c r="D203" s="226" t="s">
        <v>3</v>
      </c>
      <c r="E203" s="227">
        <v>55.29</v>
      </c>
      <c r="F203" s="227"/>
      <c r="G203" s="520" t="str">
        <f>$A$1</f>
        <v>EMBASSAMENTO</v>
      </c>
      <c r="H203" s="234">
        <f>SUM(H204:H209)</f>
        <v>957.22</v>
      </c>
      <c r="I203" s="242"/>
    </row>
    <row r="204" spans="1:10" s="215" customFormat="1" ht="12.75" hidden="1" customHeight="1" outlineLevel="1" x14ac:dyDescent="0.2">
      <c r="A204" s="198" t="s">
        <v>1279</v>
      </c>
      <c r="B204" s="216" t="s">
        <v>1389</v>
      </c>
      <c r="C204" s="217" t="s">
        <v>2960</v>
      </c>
      <c r="D204" s="218"/>
      <c r="E204" s="219"/>
      <c r="F204" s="219"/>
      <c r="G204" s="225" t="s">
        <v>3007</v>
      </c>
      <c r="H204" s="235">
        <f t="shared" ref="H204:H209" si="7">SUMIFS($E:$E,$C:$C,G204,$A:$A,$G$22)</f>
        <v>19.93</v>
      </c>
      <c r="I204" s="242"/>
    </row>
    <row r="205" spans="1:10" s="215" customFormat="1" ht="12.75" hidden="1" customHeight="1" outlineLevel="1" x14ac:dyDescent="0.2">
      <c r="A205" s="198" t="s">
        <v>1279</v>
      </c>
      <c r="B205" s="228" t="s">
        <v>1390</v>
      </c>
      <c r="C205" s="229" t="s">
        <v>3007</v>
      </c>
      <c r="D205" s="230" t="s">
        <v>3</v>
      </c>
      <c r="E205" s="231">
        <v>7.95</v>
      </c>
      <c r="F205" s="231"/>
      <c r="G205" s="229" t="s">
        <v>3005</v>
      </c>
      <c r="H205" s="235">
        <f t="shared" si="7"/>
        <v>333.14</v>
      </c>
      <c r="I205" s="241"/>
    </row>
    <row r="206" spans="1:10" s="215" customFormat="1" ht="12.75" hidden="1" customHeight="1" outlineLevel="1" x14ac:dyDescent="0.2">
      <c r="A206" s="198" t="s">
        <v>1279</v>
      </c>
      <c r="B206" s="224" t="s">
        <v>2141</v>
      </c>
      <c r="C206" s="225" t="s">
        <v>3005</v>
      </c>
      <c r="D206" s="226" t="s">
        <v>3</v>
      </c>
      <c r="E206" s="227">
        <v>227.5</v>
      </c>
      <c r="F206" s="227"/>
      <c r="G206" s="225" t="s">
        <v>585</v>
      </c>
      <c r="H206" s="235">
        <f t="shared" si="7"/>
        <v>508.90999999999997</v>
      </c>
      <c r="I206" s="241"/>
    </row>
    <row r="207" spans="1:10" s="215" customFormat="1" ht="12.75" hidden="1" customHeight="1" outlineLevel="1" x14ac:dyDescent="0.2">
      <c r="A207" s="198" t="s">
        <v>1279</v>
      </c>
      <c r="B207" s="228" t="s">
        <v>2142</v>
      </c>
      <c r="C207" s="229" t="s">
        <v>585</v>
      </c>
      <c r="D207" s="230" t="s">
        <v>2</v>
      </c>
      <c r="E207" s="231">
        <v>268.37</v>
      </c>
      <c r="F207" s="231"/>
      <c r="G207" s="229" t="s">
        <v>3008</v>
      </c>
      <c r="H207" s="235">
        <f t="shared" si="7"/>
        <v>25.63</v>
      </c>
      <c r="I207" s="241"/>
    </row>
    <row r="208" spans="1:10" s="215" customFormat="1" ht="12.75" hidden="1" customHeight="1" outlineLevel="1" x14ac:dyDescent="0.2">
      <c r="A208" s="198" t="s">
        <v>1279</v>
      </c>
      <c r="B208" s="224" t="s">
        <v>2143</v>
      </c>
      <c r="C208" s="225" t="s">
        <v>3008</v>
      </c>
      <c r="D208" s="226" t="s">
        <v>3</v>
      </c>
      <c r="E208" s="227">
        <v>15.9</v>
      </c>
      <c r="F208" s="227"/>
      <c r="G208" s="225" t="s">
        <v>3006</v>
      </c>
      <c r="H208" s="235">
        <f t="shared" si="7"/>
        <v>69.61</v>
      </c>
      <c r="I208" s="241"/>
    </row>
    <row r="209" spans="1:9" s="215" customFormat="1" ht="12.75" hidden="1" customHeight="1" outlineLevel="1" x14ac:dyDescent="0.2">
      <c r="A209" s="198" t="s">
        <v>1279</v>
      </c>
      <c r="B209" s="228" t="s">
        <v>2144</v>
      </c>
      <c r="C209" s="229" t="s">
        <v>3006</v>
      </c>
      <c r="D209" s="230" t="s">
        <v>3</v>
      </c>
      <c r="E209" s="231">
        <v>46.44</v>
      </c>
      <c r="F209" s="231"/>
      <c r="G209" s="229"/>
      <c r="H209" s="235">
        <f t="shared" si="7"/>
        <v>0</v>
      </c>
      <c r="I209" s="241"/>
    </row>
    <row r="210" spans="1:9" s="215" customFormat="1" ht="12.75" hidden="1" customHeight="1" outlineLevel="1" x14ac:dyDescent="0.2">
      <c r="A210" s="198" t="s">
        <v>1279</v>
      </c>
      <c r="B210" s="216" t="s">
        <v>1391</v>
      </c>
      <c r="C210" s="217" t="s">
        <v>2961</v>
      </c>
      <c r="D210" s="218"/>
      <c r="E210" s="219"/>
      <c r="F210" s="219"/>
      <c r="G210" s="198"/>
      <c r="H210" s="198"/>
      <c r="I210" s="241"/>
    </row>
    <row r="211" spans="1:9" s="215" customFormat="1" ht="12.75" hidden="1" customHeight="1" outlineLevel="1" x14ac:dyDescent="0.2">
      <c r="A211" s="198" t="s">
        <v>1279</v>
      </c>
      <c r="B211" s="224" t="s">
        <v>1392</v>
      </c>
      <c r="C211" s="225" t="s">
        <v>3007</v>
      </c>
      <c r="D211" s="226" t="s">
        <v>3</v>
      </c>
      <c r="E211" s="227">
        <v>36.4</v>
      </c>
      <c r="F211" s="227"/>
      <c r="G211" s="520" t="str">
        <f>$A$2</f>
        <v>TORRE</v>
      </c>
      <c r="H211" s="234">
        <f>SUM(H212:H217)</f>
        <v>9779.4700000000012</v>
      </c>
      <c r="I211" s="241"/>
    </row>
    <row r="212" spans="1:9" s="215" customFormat="1" ht="12.75" hidden="1" customHeight="1" outlineLevel="1" x14ac:dyDescent="0.2">
      <c r="A212" s="198" t="s">
        <v>1279</v>
      </c>
      <c r="B212" s="228" t="s">
        <v>2145</v>
      </c>
      <c r="C212" s="229" t="s">
        <v>3005</v>
      </c>
      <c r="D212" s="230" t="s">
        <v>3</v>
      </c>
      <c r="E212" s="231">
        <v>286.36</v>
      </c>
      <c r="F212" s="231"/>
      <c r="G212" s="225" t="s">
        <v>3007</v>
      </c>
      <c r="H212" s="235">
        <f t="shared" ref="H212:H217" si="8">SUMIFS($E:$E,$C:$C,G212,$A:$A,$G$30)</f>
        <v>588.09</v>
      </c>
      <c r="I212" s="241"/>
    </row>
    <row r="213" spans="1:9" s="215" customFormat="1" ht="12.75" hidden="1" customHeight="1" outlineLevel="1" x14ac:dyDescent="0.2">
      <c r="A213" s="198" t="s">
        <v>1279</v>
      </c>
      <c r="B213" s="224" t="s">
        <v>2146</v>
      </c>
      <c r="C213" s="225" t="s">
        <v>585</v>
      </c>
      <c r="D213" s="226" t="s">
        <v>2</v>
      </c>
      <c r="E213" s="227">
        <v>283.64</v>
      </c>
      <c r="F213" s="227"/>
      <c r="G213" s="229" t="s">
        <v>3005</v>
      </c>
      <c r="H213" s="235">
        <f t="shared" si="8"/>
        <v>3838.0700000000006</v>
      </c>
      <c r="I213" s="241"/>
    </row>
    <row r="214" spans="1:9" s="215" customFormat="1" ht="12.75" hidden="1" customHeight="1" outlineLevel="1" x14ac:dyDescent="0.2">
      <c r="A214" s="198" t="s">
        <v>1279</v>
      </c>
      <c r="B214" s="228" t="s">
        <v>2147</v>
      </c>
      <c r="C214" s="229" t="s">
        <v>3008</v>
      </c>
      <c r="D214" s="230" t="s">
        <v>3</v>
      </c>
      <c r="E214" s="231">
        <v>72.8</v>
      </c>
      <c r="F214" s="231"/>
      <c r="G214" s="225" t="s">
        <v>585</v>
      </c>
      <c r="H214" s="235">
        <f t="shared" si="8"/>
        <v>3414.1099999999997</v>
      </c>
      <c r="I214" s="241"/>
    </row>
    <row r="215" spans="1:9" s="215" customFormat="1" ht="12.75" hidden="1" customHeight="1" outlineLevel="1" x14ac:dyDescent="0.2">
      <c r="A215" s="198" t="s">
        <v>1279</v>
      </c>
      <c r="B215" s="224" t="s">
        <v>2148</v>
      </c>
      <c r="C215" s="225" t="s">
        <v>3006</v>
      </c>
      <c r="D215" s="226" t="s">
        <v>3</v>
      </c>
      <c r="E215" s="227">
        <v>67.72</v>
      </c>
      <c r="F215" s="227"/>
      <c r="G215" s="229" t="s">
        <v>3008</v>
      </c>
      <c r="H215" s="235">
        <f t="shared" si="8"/>
        <v>1171.18</v>
      </c>
      <c r="I215" s="241"/>
    </row>
    <row r="216" spans="1:9" s="215" customFormat="1" ht="12.75" hidden="1" customHeight="1" outlineLevel="1" x14ac:dyDescent="0.2">
      <c r="A216" s="198" t="s">
        <v>1279</v>
      </c>
      <c r="B216" s="216" t="s">
        <v>1393</v>
      </c>
      <c r="C216" s="217" t="s">
        <v>2962</v>
      </c>
      <c r="D216" s="218"/>
      <c r="E216" s="219"/>
      <c r="F216" s="219"/>
      <c r="G216" s="225" t="s">
        <v>3006</v>
      </c>
      <c r="H216" s="235">
        <f t="shared" si="8"/>
        <v>768.02000000000021</v>
      </c>
      <c r="I216" s="241"/>
    </row>
    <row r="217" spans="1:9" s="215" customFormat="1" ht="12.75" hidden="1" customHeight="1" outlineLevel="1" x14ac:dyDescent="0.2">
      <c r="A217" s="198" t="s">
        <v>1279</v>
      </c>
      <c r="B217" s="228" t="s">
        <v>1394</v>
      </c>
      <c r="C217" s="229" t="s">
        <v>3007</v>
      </c>
      <c r="D217" s="230" t="s">
        <v>3</v>
      </c>
      <c r="E217" s="231">
        <v>30.84</v>
      </c>
      <c r="F217" s="231"/>
      <c r="G217" s="229"/>
      <c r="H217" s="235">
        <f t="shared" si="8"/>
        <v>0</v>
      </c>
      <c r="I217" s="241"/>
    </row>
    <row r="218" spans="1:9" s="215" customFormat="1" ht="12.75" hidden="1" customHeight="1" outlineLevel="1" x14ac:dyDescent="0.2">
      <c r="A218" s="198" t="s">
        <v>1279</v>
      </c>
      <c r="B218" s="224" t="s">
        <v>2149</v>
      </c>
      <c r="C218" s="225" t="s">
        <v>3005</v>
      </c>
      <c r="D218" s="226" t="s">
        <v>3</v>
      </c>
      <c r="E218" s="227">
        <v>238.97</v>
      </c>
      <c r="F218" s="227"/>
    </row>
    <row r="219" spans="1:9" s="215" customFormat="1" ht="12.75" hidden="1" customHeight="1" outlineLevel="1" x14ac:dyDescent="0.2">
      <c r="A219" s="198" t="s">
        <v>1279</v>
      </c>
      <c r="B219" s="228" t="s">
        <v>2150</v>
      </c>
      <c r="C219" s="229" t="s">
        <v>585</v>
      </c>
      <c r="D219" s="230" t="s">
        <v>2</v>
      </c>
      <c r="E219" s="231">
        <v>227</v>
      </c>
      <c r="F219" s="231"/>
    </row>
    <row r="220" spans="1:9" s="215" customFormat="1" ht="12.75" hidden="1" customHeight="1" outlineLevel="1" x14ac:dyDescent="0.2">
      <c r="A220" s="198" t="s">
        <v>1279</v>
      </c>
      <c r="B220" s="224" t="s">
        <v>2151</v>
      </c>
      <c r="C220" s="225" t="s">
        <v>3008</v>
      </c>
      <c r="D220" s="226" t="s">
        <v>3</v>
      </c>
      <c r="E220" s="227">
        <v>61.68</v>
      </c>
      <c r="F220" s="227"/>
    </row>
    <row r="221" spans="1:9" s="215" customFormat="1" ht="12.75" hidden="1" customHeight="1" outlineLevel="1" x14ac:dyDescent="0.2">
      <c r="A221" s="198" t="s">
        <v>1279</v>
      </c>
      <c r="B221" s="228" t="s">
        <v>2152</v>
      </c>
      <c r="C221" s="229" t="s">
        <v>3006</v>
      </c>
      <c r="D221" s="230" t="s">
        <v>3</v>
      </c>
      <c r="E221" s="231">
        <v>55.48</v>
      </c>
      <c r="F221" s="231"/>
    </row>
    <row r="222" spans="1:9" s="215" customFormat="1" ht="12.75" hidden="1" customHeight="1" outlineLevel="1" x14ac:dyDescent="0.2">
      <c r="A222" s="198" t="s">
        <v>1279</v>
      </c>
      <c r="B222" s="216" t="s">
        <v>1395</v>
      </c>
      <c r="C222" s="217" t="s">
        <v>2963</v>
      </c>
      <c r="D222" s="218"/>
      <c r="E222" s="219"/>
      <c r="F222" s="219"/>
    </row>
    <row r="223" spans="1:9" s="215" customFormat="1" ht="12.75" hidden="1" customHeight="1" outlineLevel="1" x14ac:dyDescent="0.2">
      <c r="A223" s="198" t="s">
        <v>1279</v>
      </c>
      <c r="B223" s="224" t="s">
        <v>1396</v>
      </c>
      <c r="C223" s="225" t="s">
        <v>3007</v>
      </c>
      <c r="D223" s="226" t="s">
        <v>3</v>
      </c>
      <c r="E223" s="227">
        <v>40.82</v>
      </c>
      <c r="F223" s="227"/>
    </row>
    <row r="224" spans="1:9" s="215" customFormat="1" ht="12.75" hidden="1" customHeight="1" outlineLevel="1" x14ac:dyDescent="0.2">
      <c r="A224" s="198" t="s">
        <v>1279</v>
      </c>
      <c r="B224" s="228" t="s">
        <v>2153</v>
      </c>
      <c r="C224" s="229" t="s">
        <v>3005</v>
      </c>
      <c r="D224" s="230" t="s">
        <v>3</v>
      </c>
      <c r="E224" s="231">
        <v>243.03</v>
      </c>
      <c r="F224" s="231"/>
    </row>
    <row r="225" spans="1:6" s="215" customFormat="1" ht="12.75" hidden="1" customHeight="1" outlineLevel="1" x14ac:dyDescent="0.2">
      <c r="A225" s="198" t="s">
        <v>1279</v>
      </c>
      <c r="B225" s="224" t="s">
        <v>2154</v>
      </c>
      <c r="C225" s="225" t="s">
        <v>585</v>
      </c>
      <c r="D225" s="226" t="s">
        <v>2</v>
      </c>
      <c r="E225" s="227">
        <v>197.89</v>
      </c>
      <c r="F225" s="227"/>
    </row>
    <row r="226" spans="1:6" s="215" customFormat="1" ht="12.75" hidden="1" customHeight="1" outlineLevel="1" x14ac:dyDescent="0.2">
      <c r="A226" s="198" t="s">
        <v>1279</v>
      </c>
      <c r="B226" s="228" t="s">
        <v>2155</v>
      </c>
      <c r="C226" s="229" t="s">
        <v>3008</v>
      </c>
      <c r="D226" s="230" t="s">
        <v>3</v>
      </c>
      <c r="E226" s="231">
        <v>83.38</v>
      </c>
      <c r="F226" s="231"/>
    </row>
    <row r="227" spans="1:6" s="215" customFormat="1" ht="12.75" hidden="1" customHeight="1" outlineLevel="1" x14ac:dyDescent="0.2">
      <c r="A227" s="198" t="s">
        <v>1279</v>
      </c>
      <c r="B227" s="224" t="s">
        <v>2156</v>
      </c>
      <c r="C227" s="225" t="s">
        <v>3006</v>
      </c>
      <c r="D227" s="226" t="s">
        <v>3</v>
      </c>
      <c r="E227" s="227">
        <v>49.12</v>
      </c>
      <c r="F227" s="227"/>
    </row>
    <row r="228" spans="1:6" s="215" customFormat="1" ht="12.75" hidden="1" customHeight="1" outlineLevel="1" x14ac:dyDescent="0.2">
      <c r="A228" s="198" t="s">
        <v>1279</v>
      </c>
      <c r="B228" s="216" t="s">
        <v>1397</v>
      </c>
      <c r="C228" s="217" t="s">
        <v>2964</v>
      </c>
      <c r="D228" s="218"/>
      <c r="E228" s="219"/>
      <c r="F228" s="219"/>
    </row>
    <row r="229" spans="1:6" s="215" customFormat="1" ht="12.75" hidden="1" customHeight="1" outlineLevel="1" x14ac:dyDescent="0.2">
      <c r="A229" s="198" t="s">
        <v>1279</v>
      </c>
      <c r="B229" s="228" t="s">
        <v>1398</v>
      </c>
      <c r="C229" s="229" t="s">
        <v>3007</v>
      </c>
      <c r="D229" s="230" t="s">
        <v>3</v>
      </c>
      <c r="E229" s="231">
        <v>39.92</v>
      </c>
      <c r="F229" s="231"/>
    </row>
    <row r="230" spans="1:6" s="215" customFormat="1" ht="12.75" hidden="1" customHeight="1" outlineLevel="1" x14ac:dyDescent="0.2">
      <c r="A230" s="198" t="s">
        <v>1279</v>
      </c>
      <c r="B230" s="224" t="s">
        <v>2157</v>
      </c>
      <c r="C230" s="225" t="s">
        <v>3005</v>
      </c>
      <c r="D230" s="226" t="s">
        <v>3</v>
      </c>
      <c r="E230" s="227">
        <v>245.89</v>
      </c>
      <c r="F230" s="227"/>
    </row>
    <row r="231" spans="1:6" s="215" customFormat="1" ht="12.75" hidden="1" customHeight="1" outlineLevel="1" x14ac:dyDescent="0.2">
      <c r="A231" s="198" t="s">
        <v>1279</v>
      </c>
      <c r="B231" s="228" t="s">
        <v>2158</v>
      </c>
      <c r="C231" s="229" t="s">
        <v>585</v>
      </c>
      <c r="D231" s="230" t="s">
        <v>2</v>
      </c>
      <c r="E231" s="231">
        <v>199.86</v>
      </c>
      <c r="F231" s="231"/>
    </row>
    <row r="232" spans="1:6" s="215" customFormat="1" ht="12.75" hidden="1" customHeight="1" outlineLevel="1" x14ac:dyDescent="0.2">
      <c r="A232" s="198" t="s">
        <v>1279</v>
      </c>
      <c r="B232" s="224" t="s">
        <v>2159</v>
      </c>
      <c r="C232" s="225" t="s">
        <v>3008</v>
      </c>
      <c r="D232" s="226" t="s">
        <v>3</v>
      </c>
      <c r="E232" s="227">
        <v>79.84</v>
      </c>
      <c r="F232" s="227"/>
    </row>
    <row r="233" spans="1:6" s="215" customFormat="1" ht="12.75" hidden="1" customHeight="1" outlineLevel="1" x14ac:dyDescent="0.2">
      <c r="A233" s="198" t="s">
        <v>1279</v>
      </c>
      <c r="B233" s="228" t="s">
        <v>2160</v>
      </c>
      <c r="C233" s="229" t="s">
        <v>3006</v>
      </c>
      <c r="D233" s="230" t="s">
        <v>3</v>
      </c>
      <c r="E233" s="231">
        <v>54.26</v>
      </c>
      <c r="F233" s="231"/>
    </row>
    <row r="234" spans="1:6" s="215" customFormat="1" ht="12.75" hidden="1" customHeight="1" outlineLevel="1" x14ac:dyDescent="0.2">
      <c r="A234" s="198" t="s">
        <v>1279</v>
      </c>
      <c r="B234" s="216" t="s">
        <v>1399</v>
      </c>
      <c r="C234" s="217" t="s">
        <v>2965</v>
      </c>
      <c r="D234" s="218"/>
      <c r="E234" s="219"/>
      <c r="F234" s="219"/>
    </row>
    <row r="235" spans="1:6" s="215" customFormat="1" ht="12.75" hidden="1" customHeight="1" outlineLevel="1" x14ac:dyDescent="0.2">
      <c r="A235" s="198" t="s">
        <v>1279</v>
      </c>
      <c r="B235" s="224" t="s">
        <v>1400</v>
      </c>
      <c r="C235" s="225" t="s">
        <v>3007</v>
      </c>
      <c r="D235" s="226" t="s">
        <v>3</v>
      </c>
      <c r="E235" s="227">
        <v>40.82</v>
      </c>
      <c r="F235" s="227"/>
    </row>
    <row r="236" spans="1:6" s="215" customFormat="1" ht="12.75" hidden="1" customHeight="1" outlineLevel="1" x14ac:dyDescent="0.2">
      <c r="A236" s="198" t="s">
        <v>1279</v>
      </c>
      <c r="B236" s="228" t="s">
        <v>2161</v>
      </c>
      <c r="C236" s="229" t="s">
        <v>3005</v>
      </c>
      <c r="D236" s="230" t="s">
        <v>3</v>
      </c>
      <c r="E236" s="231">
        <v>243.03</v>
      </c>
      <c r="F236" s="231"/>
    </row>
    <row r="237" spans="1:6" s="215" customFormat="1" ht="12.75" hidden="1" customHeight="1" outlineLevel="1" x14ac:dyDescent="0.2">
      <c r="A237" s="198" t="s">
        <v>1279</v>
      </c>
      <c r="B237" s="224" t="s">
        <v>2162</v>
      </c>
      <c r="C237" s="225" t="s">
        <v>585</v>
      </c>
      <c r="D237" s="226" t="s">
        <v>2</v>
      </c>
      <c r="E237" s="227">
        <v>197.89</v>
      </c>
      <c r="F237" s="227"/>
    </row>
    <row r="238" spans="1:6" s="215" customFormat="1" ht="12.75" hidden="1" customHeight="1" outlineLevel="1" x14ac:dyDescent="0.2">
      <c r="A238" s="198" t="s">
        <v>1279</v>
      </c>
      <c r="B238" s="228" t="s">
        <v>2163</v>
      </c>
      <c r="C238" s="229" t="s">
        <v>3008</v>
      </c>
      <c r="D238" s="230" t="s">
        <v>3</v>
      </c>
      <c r="E238" s="231">
        <v>83.38</v>
      </c>
      <c r="F238" s="231"/>
    </row>
    <row r="239" spans="1:6" s="215" customFormat="1" ht="12.75" hidden="1" customHeight="1" outlineLevel="1" x14ac:dyDescent="0.2">
      <c r="A239" s="198" t="s">
        <v>1279</v>
      </c>
      <c r="B239" s="224" t="s">
        <v>2164</v>
      </c>
      <c r="C239" s="225" t="s">
        <v>3006</v>
      </c>
      <c r="D239" s="226" t="s">
        <v>3</v>
      </c>
      <c r="E239" s="227">
        <v>49.12</v>
      </c>
      <c r="F239" s="227"/>
    </row>
    <row r="240" spans="1:6" s="215" customFormat="1" ht="12.75" hidden="1" customHeight="1" outlineLevel="1" x14ac:dyDescent="0.2">
      <c r="A240" s="198" t="s">
        <v>1279</v>
      </c>
      <c r="B240" s="216" t="s">
        <v>1401</v>
      </c>
      <c r="C240" s="217" t="s">
        <v>2966</v>
      </c>
      <c r="D240" s="218"/>
      <c r="E240" s="219"/>
      <c r="F240" s="219"/>
    </row>
    <row r="241" spans="1:6" s="215" customFormat="1" ht="12.75" hidden="1" customHeight="1" outlineLevel="1" x14ac:dyDescent="0.2">
      <c r="A241" s="198" t="s">
        <v>1279</v>
      </c>
      <c r="B241" s="228" t="s">
        <v>1402</v>
      </c>
      <c r="C241" s="229" t="s">
        <v>3007</v>
      </c>
      <c r="D241" s="230" t="s">
        <v>3</v>
      </c>
      <c r="E241" s="231">
        <v>39.92</v>
      </c>
      <c r="F241" s="231"/>
    </row>
    <row r="242" spans="1:6" s="215" customFormat="1" ht="12.75" hidden="1" customHeight="1" outlineLevel="1" x14ac:dyDescent="0.2">
      <c r="A242" s="198" t="s">
        <v>1279</v>
      </c>
      <c r="B242" s="224" t="s">
        <v>2165</v>
      </c>
      <c r="C242" s="225" t="s">
        <v>3005</v>
      </c>
      <c r="D242" s="226" t="s">
        <v>3</v>
      </c>
      <c r="E242" s="227">
        <v>245.89</v>
      </c>
      <c r="F242" s="227"/>
    </row>
    <row r="243" spans="1:6" s="215" customFormat="1" ht="12.75" hidden="1" customHeight="1" outlineLevel="1" x14ac:dyDescent="0.2">
      <c r="A243" s="198" t="s">
        <v>1279</v>
      </c>
      <c r="B243" s="228" t="s">
        <v>2166</v>
      </c>
      <c r="C243" s="229" t="s">
        <v>585</v>
      </c>
      <c r="D243" s="230" t="s">
        <v>2</v>
      </c>
      <c r="E243" s="231">
        <v>199.86</v>
      </c>
      <c r="F243" s="231"/>
    </row>
    <row r="244" spans="1:6" s="215" customFormat="1" ht="12.75" hidden="1" customHeight="1" outlineLevel="1" x14ac:dyDescent="0.2">
      <c r="A244" s="198" t="s">
        <v>1279</v>
      </c>
      <c r="B244" s="224" t="s">
        <v>2167</v>
      </c>
      <c r="C244" s="225" t="s">
        <v>3008</v>
      </c>
      <c r="D244" s="226" t="s">
        <v>3</v>
      </c>
      <c r="E244" s="227">
        <v>79.84</v>
      </c>
      <c r="F244" s="227"/>
    </row>
    <row r="245" spans="1:6" s="215" customFormat="1" ht="12.75" hidden="1" customHeight="1" outlineLevel="1" x14ac:dyDescent="0.2">
      <c r="A245" s="198" t="s">
        <v>1279</v>
      </c>
      <c r="B245" s="228" t="s">
        <v>2168</v>
      </c>
      <c r="C245" s="229" t="s">
        <v>3006</v>
      </c>
      <c r="D245" s="230" t="s">
        <v>3</v>
      </c>
      <c r="E245" s="231">
        <v>54.26</v>
      </c>
      <c r="F245" s="231"/>
    </row>
    <row r="246" spans="1:6" s="215" customFormat="1" ht="12.75" hidden="1" customHeight="1" outlineLevel="1" x14ac:dyDescent="0.2">
      <c r="A246" s="198" t="s">
        <v>1279</v>
      </c>
      <c r="B246" s="216" t="s">
        <v>1403</v>
      </c>
      <c r="C246" s="217" t="s">
        <v>2967</v>
      </c>
      <c r="D246" s="218"/>
      <c r="E246" s="219"/>
      <c r="F246" s="219"/>
    </row>
    <row r="247" spans="1:6" s="215" customFormat="1" ht="12.75" hidden="1" customHeight="1" outlineLevel="1" x14ac:dyDescent="0.2">
      <c r="A247" s="198" t="s">
        <v>1279</v>
      </c>
      <c r="B247" s="224" t="s">
        <v>1404</v>
      </c>
      <c r="C247" s="225" t="s">
        <v>3007</v>
      </c>
      <c r="D247" s="226" t="s">
        <v>3</v>
      </c>
      <c r="E247" s="227">
        <v>40.82</v>
      </c>
      <c r="F247" s="227"/>
    </row>
    <row r="248" spans="1:6" s="215" customFormat="1" ht="12.75" hidden="1" customHeight="1" outlineLevel="1" x14ac:dyDescent="0.2">
      <c r="A248" s="198" t="s">
        <v>1279</v>
      </c>
      <c r="B248" s="228" t="s">
        <v>2169</v>
      </c>
      <c r="C248" s="229" t="s">
        <v>3005</v>
      </c>
      <c r="D248" s="230" t="s">
        <v>3</v>
      </c>
      <c r="E248" s="231">
        <v>243.03</v>
      </c>
      <c r="F248" s="231"/>
    </row>
    <row r="249" spans="1:6" s="215" customFormat="1" ht="12.75" hidden="1" customHeight="1" outlineLevel="1" x14ac:dyDescent="0.2">
      <c r="A249" s="198" t="s">
        <v>1279</v>
      </c>
      <c r="B249" s="224" t="s">
        <v>2170</v>
      </c>
      <c r="C249" s="225" t="s">
        <v>585</v>
      </c>
      <c r="D249" s="226" t="s">
        <v>2</v>
      </c>
      <c r="E249" s="227">
        <v>197.89</v>
      </c>
      <c r="F249" s="227"/>
    </row>
    <row r="250" spans="1:6" s="215" customFormat="1" ht="12.75" hidden="1" customHeight="1" outlineLevel="1" x14ac:dyDescent="0.2">
      <c r="A250" s="198" t="s">
        <v>1279</v>
      </c>
      <c r="B250" s="228" t="s">
        <v>2171</v>
      </c>
      <c r="C250" s="229" t="s">
        <v>3008</v>
      </c>
      <c r="D250" s="230" t="s">
        <v>3</v>
      </c>
      <c r="E250" s="231">
        <v>83.38</v>
      </c>
      <c r="F250" s="231"/>
    </row>
    <row r="251" spans="1:6" s="215" customFormat="1" ht="12.75" hidden="1" customHeight="1" outlineLevel="1" x14ac:dyDescent="0.2">
      <c r="A251" s="198" t="s">
        <v>1279</v>
      </c>
      <c r="B251" s="224" t="s">
        <v>2172</v>
      </c>
      <c r="C251" s="225" t="s">
        <v>3006</v>
      </c>
      <c r="D251" s="226" t="s">
        <v>3</v>
      </c>
      <c r="E251" s="227">
        <v>49.12</v>
      </c>
      <c r="F251" s="227"/>
    </row>
    <row r="252" spans="1:6" s="215" customFormat="1" ht="12.75" hidden="1" customHeight="1" outlineLevel="1" x14ac:dyDescent="0.2">
      <c r="A252" s="198" t="s">
        <v>1279</v>
      </c>
      <c r="B252" s="216" t="s">
        <v>1405</v>
      </c>
      <c r="C252" s="217" t="s">
        <v>2968</v>
      </c>
      <c r="D252" s="218"/>
      <c r="E252" s="219"/>
      <c r="F252" s="219"/>
    </row>
    <row r="253" spans="1:6" s="215" customFormat="1" ht="12.75" hidden="1" customHeight="1" outlineLevel="1" x14ac:dyDescent="0.2">
      <c r="A253" s="198" t="s">
        <v>1279</v>
      </c>
      <c r="B253" s="228" t="s">
        <v>1406</v>
      </c>
      <c r="C253" s="229" t="s">
        <v>3007</v>
      </c>
      <c r="D253" s="230" t="s">
        <v>3</v>
      </c>
      <c r="E253" s="231">
        <v>39.92</v>
      </c>
      <c r="F253" s="231"/>
    </row>
    <row r="254" spans="1:6" s="215" customFormat="1" ht="12.75" hidden="1" customHeight="1" outlineLevel="1" x14ac:dyDescent="0.2">
      <c r="A254" s="198" t="s">
        <v>1279</v>
      </c>
      <c r="B254" s="224" t="s">
        <v>2173</v>
      </c>
      <c r="C254" s="225" t="s">
        <v>3005</v>
      </c>
      <c r="D254" s="226" t="s">
        <v>3</v>
      </c>
      <c r="E254" s="227">
        <v>245.89</v>
      </c>
      <c r="F254" s="227"/>
    </row>
    <row r="255" spans="1:6" s="215" customFormat="1" ht="12.75" hidden="1" customHeight="1" outlineLevel="1" x14ac:dyDescent="0.2">
      <c r="A255" s="198" t="s">
        <v>1279</v>
      </c>
      <c r="B255" s="228" t="s">
        <v>2174</v>
      </c>
      <c r="C255" s="229" t="s">
        <v>585</v>
      </c>
      <c r="D255" s="230" t="s">
        <v>2</v>
      </c>
      <c r="E255" s="231">
        <v>199.86</v>
      </c>
      <c r="F255" s="231"/>
    </row>
    <row r="256" spans="1:6" s="215" customFormat="1" ht="12.75" hidden="1" customHeight="1" outlineLevel="1" x14ac:dyDescent="0.2">
      <c r="A256" s="198" t="s">
        <v>1279</v>
      </c>
      <c r="B256" s="224" t="s">
        <v>2175</v>
      </c>
      <c r="C256" s="225" t="s">
        <v>3008</v>
      </c>
      <c r="D256" s="226" t="s">
        <v>3</v>
      </c>
      <c r="E256" s="227">
        <v>79.84</v>
      </c>
      <c r="F256" s="227"/>
    </row>
    <row r="257" spans="1:6" s="215" customFormat="1" ht="12.75" hidden="1" customHeight="1" outlineLevel="1" x14ac:dyDescent="0.2">
      <c r="A257" s="198" t="s">
        <v>1279</v>
      </c>
      <c r="B257" s="228" t="s">
        <v>2176</v>
      </c>
      <c r="C257" s="229" t="s">
        <v>3006</v>
      </c>
      <c r="D257" s="230" t="s">
        <v>3</v>
      </c>
      <c r="E257" s="231">
        <v>54.26</v>
      </c>
      <c r="F257" s="231"/>
    </row>
    <row r="258" spans="1:6" s="215" customFormat="1" ht="12.75" hidden="1" customHeight="1" outlineLevel="1" x14ac:dyDescent="0.2">
      <c r="A258" s="198" t="s">
        <v>1279</v>
      </c>
      <c r="B258" s="216" t="s">
        <v>1407</v>
      </c>
      <c r="C258" s="217" t="s">
        <v>2969</v>
      </c>
      <c r="D258" s="218"/>
      <c r="E258" s="219"/>
      <c r="F258" s="219"/>
    </row>
    <row r="259" spans="1:6" s="215" customFormat="1" ht="12.75" hidden="1" customHeight="1" outlineLevel="1" x14ac:dyDescent="0.2">
      <c r="A259" s="198" t="s">
        <v>1279</v>
      </c>
      <c r="B259" s="224" t="s">
        <v>1408</v>
      </c>
      <c r="C259" s="225" t="s">
        <v>3007</v>
      </c>
      <c r="D259" s="226" t="s">
        <v>3</v>
      </c>
      <c r="E259" s="227">
        <v>40.82</v>
      </c>
      <c r="F259" s="227"/>
    </row>
    <row r="260" spans="1:6" s="215" customFormat="1" ht="12.75" hidden="1" customHeight="1" outlineLevel="1" x14ac:dyDescent="0.2">
      <c r="A260" s="198" t="s">
        <v>1279</v>
      </c>
      <c r="B260" s="228" t="s">
        <v>2177</v>
      </c>
      <c r="C260" s="229" t="s">
        <v>3005</v>
      </c>
      <c r="D260" s="230" t="s">
        <v>3</v>
      </c>
      <c r="E260" s="231">
        <v>243.03</v>
      </c>
      <c r="F260" s="231"/>
    </row>
    <row r="261" spans="1:6" s="215" customFormat="1" ht="12.75" hidden="1" customHeight="1" outlineLevel="1" x14ac:dyDescent="0.2">
      <c r="A261" s="198" t="s">
        <v>1279</v>
      </c>
      <c r="B261" s="224" t="s">
        <v>2178</v>
      </c>
      <c r="C261" s="225" t="s">
        <v>585</v>
      </c>
      <c r="D261" s="226" t="s">
        <v>2</v>
      </c>
      <c r="E261" s="227">
        <v>197.89</v>
      </c>
      <c r="F261" s="227"/>
    </row>
    <row r="262" spans="1:6" s="215" customFormat="1" ht="12.75" hidden="1" customHeight="1" outlineLevel="1" x14ac:dyDescent="0.2">
      <c r="A262" s="198" t="s">
        <v>1279</v>
      </c>
      <c r="B262" s="228" t="s">
        <v>2179</v>
      </c>
      <c r="C262" s="229" t="s">
        <v>3008</v>
      </c>
      <c r="D262" s="230" t="s">
        <v>3</v>
      </c>
      <c r="E262" s="231">
        <v>83.38</v>
      </c>
      <c r="F262" s="231"/>
    </row>
    <row r="263" spans="1:6" s="215" customFormat="1" ht="12.75" hidden="1" customHeight="1" outlineLevel="1" x14ac:dyDescent="0.2">
      <c r="A263" s="198" t="s">
        <v>1279</v>
      </c>
      <c r="B263" s="224" t="s">
        <v>2180</v>
      </c>
      <c r="C263" s="225" t="s">
        <v>3006</v>
      </c>
      <c r="D263" s="226" t="s">
        <v>3</v>
      </c>
      <c r="E263" s="227">
        <v>49.12</v>
      </c>
      <c r="F263" s="227"/>
    </row>
    <row r="264" spans="1:6" s="215" customFormat="1" ht="12.75" hidden="1" customHeight="1" outlineLevel="1" x14ac:dyDescent="0.2">
      <c r="A264" s="198" t="s">
        <v>1279</v>
      </c>
      <c r="B264" s="216" t="s">
        <v>1409</v>
      </c>
      <c r="C264" s="217" t="s">
        <v>2970</v>
      </c>
      <c r="D264" s="218"/>
      <c r="E264" s="219"/>
      <c r="F264" s="219"/>
    </row>
    <row r="265" spans="1:6" s="215" customFormat="1" ht="12.75" hidden="1" customHeight="1" outlineLevel="1" x14ac:dyDescent="0.2">
      <c r="A265" s="198" t="s">
        <v>1279</v>
      </c>
      <c r="B265" s="228" t="s">
        <v>1410</v>
      </c>
      <c r="C265" s="229" t="s">
        <v>3007</v>
      </c>
      <c r="D265" s="230" t="s">
        <v>3</v>
      </c>
      <c r="E265" s="231">
        <v>39.92</v>
      </c>
      <c r="F265" s="231"/>
    </row>
    <row r="266" spans="1:6" s="215" customFormat="1" ht="12.75" hidden="1" customHeight="1" outlineLevel="1" x14ac:dyDescent="0.2">
      <c r="A266" s="198" t="s">
        <v>1279</v>
      </c>
      <c r="B266" s="224" t="s">
        <v>2181</v>
      </c>
      <c r="C266" s="225" t="s">
        <v>3005</v>
      </c>
      <c r="D266" s="226" t="s">
        <v>3</v>
      </c>
      <c r="E266" s="227">
        <v>245.89</v>
      </c>
      <c r="F266" s="227"/>
    </row>
    <row r="267" spans="1:6" s="215" customFormat="1" ht="12.75" hidden="1" customHeight="1" outlineLevel="1" x14ac:dyDescent="0.2">
      <c r="A267" s="198" t="s">
        <v>1279</v>
      </c>
      <c r="B267" s="228" t="s">
        <v>2182</v>
      </c>
      <c r="C267" s="229" t="s">
        <v>585</v>
      </c>
      <c r="D267" s="230" t="s">
        <v>2</v>
      </c>
      <c r="E267" s="231">
        <v>199.86</v>
      </c>
      <c r="F267" s="231"/>
    </row>
    <row r="268" spans="1:6" s="215" customFormat="1" ht="12.75" hidden="1" customHeight="1" outlineLevel="1" x14ac:dyDescent="0.2">
      <c r="A268" s="198" t="s">
        <v>1279</v>
      </c>
      <c r="B268" s="224" t="s">
        <v>2183</v>
      </c>
      <c r="C268" s="225" t="s">
        <v>3008</v>
      </c>
      <c r="D268" s="226" t="s">
        <v>3</v>
      </c>
      <c r="E268" s="227">
        <v>79.84</v>
      </c>
      <c r="F268" s="227"/>
    </row>
    <row r="269" spans="1:6" s="215" customFormat="1" ht="12.75" hidden="1" customHeight="1" outlineLevel="1" x14ac:dyDescent="0.2">
      <c r="A269" s="198" t="s">
        <v>1279</v>
      </c>
      <c r="B269" s="228" t="s">
        <v>2184</v>
      </c>
      <c r="C269" s="229" t="s">
        <v>3006</v>
      </c>
      <c r="D269" s="230" t="s">
        <v>3</v>
      </c>
      <c r="E269" s="231">
        <v>54.26</v>
      </c>
      <c r="F269" s="231"/>
    </row>
    <row r="270" spans="1:6" s="215" customFormat="1" ht="12.75" hidden="1" customHeight="1" outlineLevel="1" x14ac:dyDescent="0.2">
      <c r="A270" s="198" t="s">
        <v>1279</v>
      </c>
      <c r="B270" s="216" t="s">
        <v>2185</v>
      </c>
      <c r="C270" s="217" t="s">
        <v>2971</v>
      </c>
      <c r="D270" s="218"/>
      <c r="E270" s="219"/>
      <c r="F270" s="219"/>
    </row>
    <row r="271" spans="1:6" s="215" customFormat="1" ht="12.75" hidden="1" customHeight="1" outlineLevel="1" x14ac:dyDescent="0.2">
      <c r="A271" s="198" t="s">
        <v>1279</v>
      </c>
      <c r="B271" s="224" t="s">
        <v>2186</v>
      </c>
      <c r="C271" s="225" t="s">
        <v>3007</v>
      </c>
      <c r="D271" s="226" t="s">
        <v>3</v>
      </c>
      <c r="E271" s="227">
        <v>40.42</v>
      </c>
      <c r="F271" s="227"/>
    </row>
    <row r="272" spans="1:6" s="215" customFormat="1" ht="12.75" hidden="1" customHeight="1" outlineLevel="1" x14ac:dyDescent="0.2">
      <c r="A272" s="198" t="s">
        <v>1279</v>
      </c>
      <c r="B272" s="228" t="s">
        <v>2187</v>
      </c>
      <c r="C272" s="229" t="s">
        <v>3005</v>
      </c>
      <c r="D272" s="230" t="s">
        <v>3</v>
      </c>
      <c r="E272" s="231">
        <v>243.03</v>
      </c>
      <c r="F272" s="231"/>
    </row>
    <row r="273" spans="1:6" s="215" customFormat="1" ht="12.75" hidden="1" customHeight="1" outlineLevel="1" x14ac:dyDescent="0.2">
      <c r="A273" s="198" t="s">
        <v>1279</v>
      </c>
      <c r="B273" s="224" t="s">
        <v>2188</v>
      </c>
      <c r="C273" s="225" t="s">
        <v>585</v>
      </c>
      <c r="D273" s="226" t="s">
        <v>2</v>
      </c>
      <c r="E273" s="227">
        <v>217.99</v>
      </c>
      <c r="F273" s="227"/>
    </row>
    <row r="274" spans="1:6" s="215" customFormat="1" ht="12.75" hidden="1" customHeight="1" outlineLevel="1" x14ac:dyDescent="0.2">
      <c r="A274" s="198" t="s">
        <v>1279</v>
      </c>
      <c r="B274" s="228" t="s">
        <v>2189</v>
      </c>
      <c r="C274" s="229" t="s">
        <v>3008</v>
      </c>
      <c r="D274" s="230" t="s">
        <v>3</v>
      </c>
      <c r="E274" s="231">
        <v>79.94</v>
      </c>
      <c r="F274" s="231"/>
    </row>
    <row r="275" spans="1:6" s="215" customFormat="1" ht="12.75" hidden="1" customHeight="1" outlineLevel="1" x14ac:dyDescent="0.2">
      <c r="A275" s="198" t="s">
        <v>1279</v>
      </c>
      <c r="B275" s="224" t="s">
        <v>2190</v>
      </c>
      <c r="C275" s="225" t="s">
        <v>3006</v>
      </c>
      <c r="D275" s="226" t="s">
        <v>3</v>
      </c>
      <c r="E275" s="227">
        <v>47.48</v>
      </c>
      <c r="F275" s="227"/>
    </row>
    <row r="276" spans="1:6" s="215" customFormat="1" ht="12.75" hidden="1" customHeight="1" outlineLevel="1" x14ac:dyDescent="0.2">
      <c r="A276" s="198" t="s">
        <v>1279</v>
      </c>
      <c r="B276" s="216" t="s">
        <v>2191</v>
      </c>
      <c r="C276" s="217" t="s">
        <v>2972</v>
      </c>
      <c r="D276" s="218"/>
      <c r="E276" s="219"/>
      <c r="F276" s="219"/>
    </row>
    <row r="277" spans="1:6" s="215" customFormat="1" ht="12.75" hidden="1" customHeight="1" outlineLevel="1" x14ac:dyDescent="0.2">
      <c r="A277" s="198" t="s">
        <v>1279</v>
      </c>
      <c r="B277" s="228" t="s">
        <v>2192</v>
      </c>
      <c r="C277" s="229" t="s">
        <v>3007</v>
      </c>
      <c r="D277" s="230" t="s">
        <v>3</v>
      </c>
      <c r="E277" s="231">
        <v>37.71</v>
      </c>
      <c r="F277" s="231"/>
    </row>
    <row r="278" spans="1:6" s="215" customFormat="1" ht="12.75" hidden="1" customHeight="1" outlineLevel="1" x14ac:dyDescent="0.2">
      <c r="A278" s="198" t="s">
        <v>1279</v>
      </c>
      <c r="B278" s="224" t="s">
        <v>2193</v>
      </c>
      <c r="C278" s="225" t="s">
        <v>3005</v>
      </c>
      <c r="D278" s="226" t="s">
        <v>3</v>
      </c>
      <c r="E278" s="227">
        <v>149.07</v>
      </c>
      <c r="F278" s="227"/>
    </row>
    <row r="279" spans="1:6" s="215" customFormat="1" ht="12.75" hidden="1" customHeight="1" outlineLevel="1" x14ac:dyDescent="0.2">
      <c r="A279" s="198" t="s">
        <v>1279</v>
      </c>
      <c r="B279" s="228" t="s">
        <v>2194</v>
      </c>
      <c r="C279" s="229" t="s">
        <v>585</v>
      </c>
      <c r="D279" s="230" t="s">
        <v>2</v>
      </c>
      <c r="E279" s="231">
        <v>147.21</v>
      </c>
      <c r="F279" s="231"/>
    </row>
    <row r="280" spans="1:6" s="215" customFormat="1" ht="12.75" hidden="1" customHeight="1" outlineLevel="1" x14ac:dyDescent="0.2">
      <c r="A280" s="198" t="s">
        <v>1279</v>
      </c>
      <c r="B280" s="224" t="s">
        <v>2195</v>
      </c>
      <c r="C280" s="225" t="s">
        <v>3008</v>
      </c>
      <c r="D280" s="226" t="s">
        <v>3</v>
      </c>
      <c r="E280" s="227">
        <v>72.459999999999994</v>
      </c>
      <c r="F280" s="227"/>
    </row>
    <row r="281" spans="1:6" s="215" customFormat="1" ht="12.75" hidden="1" customHeight="1" outlineLevel="1" x14ac:dyDescent="0.2">
      <c r="A281" s="198" t="s">
        <v>1279</v>
      </c>
      <c r="B281" s="228" t="s">
        <v>2196</v>
      </c>
      <c r="C281" s="229" t="s">
        <v>3006</v>
      </c>
      <c r="D281" s="230" t="s">
        <v>3</v>
      </c>
      <c r="E281" s="231">
        <v>30.98</v>
      </c>
      <c r="F281" s="231"/>
    </row>
    <row r="282" spans="1:6" s="215" customFormat="1" ht="12.75" hidden="1" customHeight="1" outlineLevel="1" x14ac:dyDescent="0.2">
      <c r="A282" s="198" t="s">
        <v>1279</v>
      </c>
      <c r="B282" s="216" t="s">
        <v>2197</v>
      </c>
      <c r="C282" s="217" t="s">
        <v>2973</v>
      </c>
      <c r="D282" s="218"/>
      <c r="E282" s="219"/>
      <c r="F282" s="219"/>
    </row>
    <row r="283" spans="1:6" s="215" customFormat="1" ht="12.75" hidden="1" customHeight="1" outlineLevel="1" x14ac:dyDescent="0.2">
      <c r="A283" s="198" t="s">
        <v>1279</v>
      </c>
      <c r="B283" s="224" t="s">
        <v>2198</v>
      </c>
      <c r="C283" s="225" t="s">
        <v>3007</v>
      </c>
      <c r="D283" s="226" t="s">
        <v>3</v>
      </c>
      <c r="E283" s="227">
        <v>28.53</v>
      </c>
      <c r="F283" s="227"/>
    </row>
    <row r="284" spans="1:6" s="215" customFormat="1" ht="12.75" hidden="1" customHeight="1" outlineLevel="1" x14ac:dyDescent="0.2">
      <c r="A284" s="198" t="s">
        <v>1279</v>
      </c>
      <c r="B284" s="228" t="s">
        <v>2199</v>
      </c>
      <c r="C284" s="229" t="s">
        <v>3005</v>
      </c>
      <c r="D284" s="230" t="s">
        <v>3</v>
      </c>
      <c r="E284" s="231">
        <v>137.43</v>
      </c>
      <c r="F284" s="231"/>
    </row>
    <row r="285" spans="1:6" s="215" customFormat="1" ht="12.75" hidden="1" customHeight="1" outlineLevel="1" x14ac:dyDescent="0.2">
      <c r="A285" s="198" t="s">
        <v>1279</v>
      </c>
      <c r="B285" s="224" t="s">
        <v>2200</v>
      </c>
      <c r="C285" s="225" t="s">
        <v>585</v>
      </c>
      <c r="D285" s="226" t="s">
        <v>2</v>
      </c>
      <c r="E285" s="227">
        <v>121.89</v>
      </c>
      <c r="F285" s="227"/>
    </row>
    <row r="286" spans="1:6" s="215" customFormat="1" ht="12.75" hidden="1" customHeight="1" outlineLevel="1" x14ac:dyDescent="0.2">
      <c r="A286" s="198" t="s">
        <v>1279</v>
      </c>
      <c r="B286" s="228" t="s">
        <v>2201</v>
      </c>
      <c r="C286" s="229" t="s">
        <v>3008</v>
      </c>
      <c r="D286" s="230" t="s">
        <v>3</v>
      </c>
      <c r="E286" s="231">
        <v>52.95</v>
      </c>
      <c r="F286" s="231"/>
    </row>
    <row r="287" spans="1:6" s="215" customFormat="1" ht="12.75" hidden="1" customHeight="1" outlineLevel="1" x14ac:dyDescent="0.2">
      <c r="A287" s="198" t="s">
        <v>1279</v>
      </c>
      <c r="B287" s="224" t="s">
        <v>2202</v>
      </c>
      <c r="C287" s="225" t="s">
        <v>3006</v>
      </c>
      <c r="D287" s="226" t="s">
        <v>3</v>
      </c>
      <c r="E287" s="227">
        <v>25.48</v>
      </c>
      <c r="F287" s="227"/>
    </row>
    <row r="288" spans="1:6" s="215" customFormat="1" ht="12.75" hidden="1" customHeight="1" outlineLevel="1" x14ac:dyDescent="0.2">
      <c r="A288" s="198" t="s">
        <v>1279</v>
      </c>
      <c r="B288" s="216" t="s">
        <v>2203</v>
      </c>
      <c r="C288" s="217" t="s">
        <v>2974</v>
      </c>
      <c r="D288" s="218"/>
      <c r="E288" s="219"/>
      <c r="F288" s="219"/>
    </row>
    <row r="289" spans="1:6" s="215" customFormat="1" ht="12.75" hidden="1" customHeight="1" outlineLevel="1" x14ac:dyDescent="0.2">
      <c r="A289" s="198" t="s">
        <v>1279</v>
      </c>
      <c r="B289" s="228" t="s">
        <v>2204</v>
      </c>
      <c r="C289" s="229" t="s">
        <v>3007</v>
      </c>
      <c r="D289" s="230" t="s">
        <v>3</v>
      </c>
      <c r="E289" s="231">
        <v>22.78</v>
      </c>
      <c r="F289" s="231"/>
    </row>
    <row r="290" spans="1:6" s="215" customFormat="1" ht="12.75" hidden="1" customHeight="1" outlineLevel="1" x14ac:dyDescent="0.2">
      <c r="A290" s="198" t="s">
        <v>1279</v>
      </c>
      <c r="B290" s="224" t="s">
        <v>2205</v>
      </c>
      <c r="C290" s="225" t="s">
        <v>3005</v>
      </c>
      <c r="D290" s="226" t="s">
        <v>3</v>
      </c>
      <c r="E290" s="227">
        <v>126.26</v>
      </c>
      <c r="F290" s="227"/>
    </row>
    <row r="291" spans="1:6" s="215" customFormat="1" ht="12.75" hidden="1" customHeight="1" outlineLevel="1" x14ac:dyDescent="0.2">
      <c r="A291" s="198" t="s">
        <v>1279</v>
      </c>
      <c r="B291" s="228" t="s">
        <v>2206</v>
      </c>
      <c r="C291" s="229" t="s">
        <v>585</v>
      </c>
      <c r="D291" s="230" t="s">
        <v>2</v>
      </c>
      <c r="E291" s="231">
        <v>96.7</v>
      </c>
      <c r="F291" s="231"/>
    </row>
    <row r="292" spans="1:6" s="215" customFormat="1" ht="12.75" hidden="1" customHeight="1" outlineLevel="1" x14ac:dyDescent="0.2">
      <c r="A292" s="198" t="s">
        <v>1279</v>
      </c>
      <c r="B292" s="224" t="s">
        <v>2207</v>
      </c>
      <c r="C292" s="225" t="s">
        <v>3008</v>
      </c>
      <c r="D292" s="226" t="s">
        <v>3</v>
      </c>
      <c r="E292" s="227">
        <v>45.56</v>
      </c>
      <c r="F292" s="227"/>
    </row>
    <row r="293" spans="1:6" s="215" customFormat="1" ht="12.75" hidden="1" customHeight="1" outlineLevel="1" x14ac:dyDescent="0.2">
      <c r="A293" s="198" t="s">
        <v>1279</v>
      </c>
      <c r="B293" s="228" t="s">
        <v>2208</v>
      </c>
      <c r="C293" s="229" t="s">
        <v>3006</v>
      </c>
      <c r="D293" s="230" t="s">
        <v>3</v>
      </c>
      <c r="E293" s="231">
        <v>22.32</v>
      </c>
      <c r="F293" s="231"/>
    </row>
    <row r="294" spans="1:6" s="215" customFormat="1" ht="12.75" hidden="1" customHeight="1" outlineLevel="1" x14ac:dyDescent="0.2">
      <c r="A294" s="198" t="s">
        <v>1279</v>
      </c>
      <c r="B294" s="216" t="s">
        <v>2209</v>
      </c>
      <c r="C294" s="217" t="s">
        <v>2975</v>
      </c>
      <c r="D294" s="218"/>
      <c r="E294" s="219"/>
      <c r="F294" s="219"/>
    </row>
    <row r="295" spans="1:6" s="215" customFormat="1" ht="12.75" hidden="1" customHeight="1" outlineLevel="1" x14ac:dyDescent="0.2">
      <c r="A295" s="198" t="s">
        <v>1279</v>
      </c>
      <c r="B295" s="224" t="s">
        <v>2210</v>
      </c>
      <c r="C295" s="225" t="s">
        <v>3007</v>
      </c>
      <c r="D295" s="226" t="s">
        <v>3</v>
      </c>
      <c r="E295" s="227">
        <v>26.19</v>
      </c>
      <c r="F295" s="227"/>
    </row>
    <row r="296" spans="1:6" s="215" customFormat="1" ht="12.75" hidden="1" customHeight="1" outlineLevel="1" x14ac:dyDescent="0.2">
      <c r="A296" s="198" t="s">
        <v>1279</v>
      </c>
      <c r="B296" s="228" t="s">
        <v>2211</v>
      </c>
      <c r="C296" s="229" t="s">
        <v>3005</v>
      </c>
      <c r="D296" s="230" t="s">
        <v>3</v>
      </c>
      <c r="E296" s="231">
        <v>134.88999999999999</v>
      </c>
      <c r="F296" s="231"/>
    </row>
    <row r="297" spans="1:6" s="215" customFormat="1" ht="12.75" hidden="1" customHeight="1" outlineLevel="1" x14ac:dyDescent="0.2">
      <c r="A297" s="198" t="s">
        <v>1279</v>
      </c>
      <c r="B297" s="224" t="s">
        <v>2212</v>
      </c>
      <c r="C297" s="225" t="s">
        <v>585</v>
      </c>
      <c r="D297" s="226" t="s">
        <v>2</v>
      </c>
      <c r="E297" s="227">
        <v>103.46</v>
      </c>
      <c r="F297" s="227"/>
    </row>
    <row r="298" spans="1:6" s="215" customFormat="1" ht="12.75" hidden="1" customHeight="1" outlineLevel="1" x14ac:dyDescent="0.2">
      <c r="A298" s="198" t="s">
        <v>1279</v>
      </c>
      <c r="B298" s="228" t="s">
        <v>2213</v>
      </c>
      <c r="C298" s="229" t="s">
        <v>3008</v>
      </c>
      <c r="D298" s="230" t="s">
        <v>3</v>
      </c>
      <c r="E298" s="231">
        <v>50.77</v>
      </c>
      <c r="F298" s="231"/>
    </row>
    <row r="299" spans="1:6" s="215" customFormat="1" ht="12.75" hidden="1" customHeight="1" outlineLevel="1" x14ac:dyDescent="0.2">
      <c r="A299" s="198" t="s">
        <v>1279</v>
      </c>
      <c r="B299" s="224" t="s">
        <v>2214</v>
      </c>
      <c r="C299" s="225" t="s">
        <v>3006</v>
      </c>
      <c r="D299" s="226" t="s">
        <v>3</v>
      </c>
      <c r="E299" s="227">
        <v>25.96</v>
      </c>
      <c r="F299" s="227"/>
    </row>
    <row r="300" spans="1:6" s="215" customFormat="1" ht="12.75" hidden="1" customHeight="1" outlineLevel="1" x14ac:dyDescent="0.2">
      <c r="A300" s="198" t="s">
        <v>1279</v>
      </c>
      <c r="B300" s="216" t="s">
        <v>2215</v>
      </c>
      <c r="C300" s="217" t="s">
        <v>2976</v>
      </c>
      <c r="D300" s="218"/>
      <c r="E300" s="219"/>
      <c r="F300" s="219"/>
    </row>
    <row r="301" spans="1:6" s="215" customFormat="1" ht="12.75" hidden="1" customHeight="1" outlineLevel="1" x14ac:dyDescent="0.2">
      <c r="A301" s="198" t="s">
        <v>1279</v>
      </c>
      <c r="B301" s="228" t="s">
        <v>2216</v>
      </c>
      <c r="C301" s="229" t="s">
        <v>3007</v>
      </c>
      <c r="D301" s="230" t="s">
        <v>3</v>
      </c>
      <c r="E301" s="231">
        <v>22.78</v>
      </c>
      <c r="F301" s="231"/>
    </row>
    <row r="302" spans="1:6" s="215" customFormat="1" ht="12.75" hidden="1" customHeight="1" outlineLevel="1" x14ac:dyDescent="0.2">
      <c r="A302" s="198" t="s">
        <v>1279</v>
      </c>
      <c r="B302" s="224" t="s">
        <v>3009</v>
      </c>
      <c r="C302" s="225" t="s">
        <v>3005</v>
      </c>
      <c r="D302" s="226" t="s">
        <v>3</v>
      </c>
      <c r="E302" s="227">
        <v>127.61</v>
      </c>
      <c r="F302" s="227"/>
    </row>
    <row r="303" spans="1:6" s="215" customFormat="1" ht="12.75" hidden="1" customHeight="1" outlineLevel="1" x14ac:dyDescent="0.2">
      <c r="A303" s="198" t="s">
        <v>1279</v>
      </c>
      <c r="B303" s="228" t="s">
        <v>3010</v>
      </c>
      <c r="C303" s="229" t="s">
        <v>585</v>
      </c>
      <c r="D303" s="230" t="s">
        <v>2</v>
      </c>
      <c r="E303" s="231">
        <v>107.22</v>
      </c>
      <c r="F303" s="231"/>
    </row>
    <row r="304" spans="1:6" s="215" customFormat="1" ht="12.75" hidden="1" customHeight="1" outlineLevel="1" x14ac:dyDescent="0.2">
      <c r="A304" s="198" t="s">
        <v>1279</v>
      </c>
      <c r="B304" s="224" t="s">
        <v>3011</v>
      </c>
      <c r="C304" s="225" t="s">
        <v>3008</v>
      </c>
      <c r="D304" s="226" t="s">
        <v>3</v>
      </c>
      <c r="E304" s="227">
        <v>45.56</v>
      </c>
      <c r="F304" s="227"/>
    </row>
    <row r="305" spans="1:6" s="215" customFormat="1" ht="12.75" hidden="1" customHeight="1" outlineLevel="1" x14ac:dyDescent="0.2">
      <c r="A305" s="198" t="s">
        <v>1279</v>
      </c>
      <c r="B305" s="228" t="s">
        <v>3012</v>
      </c>
      <c r="C305" s="229" t="s">
        <v>3006</v>
      </c>
      <c r="D305" s="230" t="s">
        <v>3</v>
      </c>
      <c r="E305" s="231">
        <v>22.32</v>
      </c>
      <c r="F305" s="231"/>
    </row>
    <row r="306" spans="1:6" s="215" customFormat="1" ht="12.75" hidden="1" customHeight="1" outlineLevel="1" x14ac:dyDescent="0.2">
      <c r="A306" s="198" t="s">
        <v>1279</v>
      </c>
      <c r="B306" s="216" t="s">
        <v>2217</v>
      </c>
      <c r="C306" s="217" t="s">
        <v>2978</v>
      </c>
      <c r="D306" s="218"/>
      <c r="E306" s="219"/>
      <c r="F306" s="219"/>
    </row>
    <row r="307" spans="1:6" s="215" customFormat="1" ht="12.75" hidden="1" customHeight="1" outlineLevel="1" x14ac:dyDescent="0.2">
      <c r="A307" s="198" t="s">
        <v>1279</v>
      </c>
      <c r="B307" s="224" t="s">
        <v>2218</v>
      </c>
      <c r="C307" s="225" t="s">
        <v>3007</v>
      </c>
      <c r="D307" s="226" t="s">
        <v>3</v>
      </c>
      <c r="E307" s="227">
        <v>10.050000000000001</v>
      </c>
      <c r="F307" s="227"/>
    </row>
    <row r="308" spans="1:6" s="215" customFormat="1" ht="12.75" hidden="1" customHeight="1" outlineLevel="1" x14ac:dyDescent="0.2">
      <c r="A308" s="198" t="s">
        <v>1279</v>
      </c>
      <c r="B308" s="228" t="s">
        <v>2219</v>
      </c>
      <c r="C308" s="229" t="s">
        <v>3005</v>
      </c>
      <c r="D308" s="230" t="s">
        <v>3</v>
      </c>
      <c r="E308" s="231">
        <v>101.51</v>
      </c>
      <c r="F308" s="231"/>
    </row>
    <row r="309" spans="1:6" s="215" customFormat="1" ht="12.75" hidden="1" customHeight="1" outlineLevel="1" x14ac:dyDescent="0.2">
      <c r="A309" s="198" t="s">
        <v>1279</v>
      </c>
      <c r="B309" s="224" t="s">
        <v>3013</v>
      </c>
      <c r="C309" s="225" t="s">
        <v>585</v>
      </c>
      <c r="D309" s="226" t="s">
        <v>2</v>
      </c>
      <c r="E309" s="227">
        <v>129.16999999999999</v>
      </c>
      <c r="F309" s="227"/>
    </row>
    <row r="310" spans="1:6" s="215" customFormat="1" ht="12.75" hidden="1" customHeight="1" outlineLevel="1" x14ac:dyDescent="0.2">
      <c r="A310" s="198" t="s">
        <v>1279</v>
      </c>
      <c r="B310" s="228" t="s">
        <v>3014</v>
      </c>
      <c r="C310" s="229" t="s">
        <v>3008</v>
      </c>
      <c r="D310" s="230" t="s">
        <v>3</v>
      </c>
      <c r="E310" s="231">
        <v>19.2</v>
      </c>
      <c r="F310" s="231"/>
    </row>
    <row r="311" spans="1:6" s="215" customFormat="1" ht="12.75" hidden="1" customHeight="1" outlineLevel="1" x14ac:dyDescent="0.2">
      <c r="A311" s="198" t="s">
        <v>1279</v>
      </c>
      <c r="B311" s="224" t="s">
        <v>3015</v>
      </c>
      <c r="C311" s="225" t="s">
        <v>3006</v>
      </c>
      <c r="D311" s="226" t="s">
        <v>3</v>
      </c>
      <c r="E311" s="227">
        <v>8.1199999999999992</v>
      </c>
      <c r="F311" s="227"/>
    </row>
    <row r="312" spans="1:6" s="215" customFormat="1" ht="12.75" hidden="1" customHeight="1" outlineLevel="1" x14ac:dyDescent="0.2">
      <c r="A312" s="198" t="s">
        <v>1279</v>
      </c>
      <c r="B312" s="216" t="s">
        <v>2220</v>
      </c>
      <c r="C312" s="217" t="s">
        <v>2980</v>
      </c>
      <c r="D312" s="218"/>
      <c r="E312" s="219"/>
      <c r="F312" s="219"/>
    </row>
    <row r="313" spans="1:6" s="215" customFormat="1" ht="12.75" hidden="1" customHeight="1" outlineLevel="1" x14ac:dyDescent="0.2">
      <c r="A313" s="198" t="s">
        <v>1279</v>
      </c>
      <c r="B313" s="228" t="s">
        <v>2221</v>
      </c>
      <c r="C313" s="229" t="s">
        <v>3007</v>
      </c>
      <c r="D313" s="230" t="s">
        <v>3</v>
      </c>
      <c r="E313" s="231">
        <v>1.48</v>
      </c>
      <c r="F313" s="231"/>
    </row>
    <row r="314" spans="1:6" s="215" customFormat="1" ht="12.75" hidden="1" customHeight="1" outlineLevel="1" x14ac:dyDescent="0.2">
      <c r="A314" s="198" t="s">
        <v>1279</v>
      </c>
      <c r="B314" s="224" t="s">
        <v>2222</v>
      </c>
      <c r="C314" s="225" t="s">
        <v>3005</v>
      </c>
      <c r="D314" s="226" t="s">
        <v>3</v>
      </c>
      <c r="E314" s="227">
        <v>62.64</v>
      </c>
      <c r="F314" s="227"/>
    </row>
    <row r="315" spans="1:6" s="215" customFormat="1" ht="12.75" hidden="1" customHeight="1" outlineLevel="1" x14ac:dyDescent="0.2">
      <c r="A315" s="198" t="s">
        <v>1279</v>
      </c>
      <c r="B315" s="228" t="s">
        <v>3016</v>
      </c>
      <c r="C315" s="229" t="s">
        <v>585</v>
      </c>
      <c r="D315" s="230" t="s">
        <v>2</v>
      </c>
      <c r="E315" s="231">
        <v>66.86</v>
      </c>
      <c r="F315" s="231"/>
    </row>
    <row r="316" spans="1:6" s="215" customFormat="1" ht="12.75" hidden="1" customHeight="1" outlineLevel="1" x14ac:dyDescent="0.2">
      <c r="A316" s="198" t="s">
        <v>1279</v>
      </c>
      <c r="B316" s="224" t="s">
        <v>3017</v>
      </c>
      <c r="C316" s="225" t="s">
        <v>3008</v>
      </c>
      <c r="D316" s="226" t="s">
        <v>3</v>
      </c>
      <c r="E316" s="227">
        <v>1.48</v>
      </c>
      <c r="F316" s="227"/>
    </row>
    <row r="317" spans="1:6" s="215" customFormat="1" ht="12.75" hidden="1" customHeight="1" outlineLevel="1" x14ac:dyDescent="0.2">
      <c r="A317" s="198" t="s">
        <v>1279</v>
      </c>
      <c r="B317" s="228" t="s">
        <v>3018</v>
      </c>
      <c r="C317" s="229" t="s">
        <v>3006</v>
      </c>
      <c r="D317" s="230" t="s">
        <v>3</v>
      </c>
      <c r="E317" s="231">
        <v>2.2000000000000002</v>
      </c>
      <c r="F317" s="231"/>
    </row>
    <row r="318" spans="1:6" s="215" customFormat="1" ht="12.75" hidden="1" customHeight="1" outlineLevel="1" x14ac:dyDescent="0.2">
      <c r="A318" s="198" t="s">
        <v>1279</v>
      </c>
      <c r="B318" s="216" t="s">
        <v>3019</v>
      </c>
      <c r="C318" s="217" t="s">
        <v>2983</v>
      </c>
      <c r="D318" s="218"/>
      <c r="E318" s="219"/>
      <c r="F318" s="219"/>
    </row>
    <row r="319" spans="1:6" s="215" customFormat="1" ht="12.75" hidden="1" customHeight="1" outlineLevel="1" x14ac:dyDescent="0.2">
      <c r="A319" s="198" t="s">
        <v>1279</v>
      </c>
      <c r="B319" s="224" t="s">
        <v>3020</v>
      </c>
      <c r="C319" s="225" t="s">
        <v>3005</v>
      </c>
      <c r="D319" s="226" t="s">
        <v>3</v>
      </c>
      <c r="E319" s="227">
        <v>47.12</v>
      </c>
      <c r="F319" s="227"/>
    </row>
    <row r="320" spans="1:6" s="215" customFormat="1" ht="12.75" hidden="1" customHeight="1" outlineLevel="1" x14ac:dyDescent="0.2">
      <c r="A320" s="198" t="s">
        <v>1279</v>
      </c>
      <c r="B320" s="228" t="s">
        <v>3021</v>
      </c>
      <c r="C320" s="229" t="s">
        <v>585</v>
      </c>
      <c r="D320" s="230" t="s">
        <v>2</v>
      </c>
      <c r="E320" s="231">
        <v>53.6</v>
      </c>
      <c r="F320" s="231"/>
    </row>
    <row r="321" spans="1:10" collapsed="1" x14ac:dyDescent="0.2">
      <c r="B321" s="515" t="s">
        <v>1411</v>
      </c>
      <c r="C321" s="516" t="s">
        <v>1274</v>
      </c>
      <c r="D321" s="515"/>
      <c r="E321" s="520">
        <f>SUM(E323:E377)</f>
        <v>3630.0299999999993</v>
      </c>
      <c r="F321" s="520"/>
      <c r="G321" s="516"/>
      <c r="H321" s="234">
        <f>SUM(H322:H327)</f>
        <v>3630.0299999999997</v>
      </c>
      <c r="I321" s="242" t="str">
        <f>IF(H321=E321,"OKAY","REVER")</f>
        <v>OKAY</v>
      </c>
      <c r="J321" s="405"/>
    </row>
    <row r="322" spans="1:10" ht="12.75" hidden="1" customHeight="1" outlineLevel="1" x14ac:dyDescent="0.2">
      <c r="A322" s="198" t="s">
        <v>1278</v>
      </c>
      <c r="B322" s="216" t="s">
        <v>1412</v>
      </c>
      <c r="C322" s="217" t="s">
        <v>2955</v>
      </c>
      <c r="D322" s="218"/>
      <c r="E322" s="219"/>
      <c r="F322" s="219"/>
      <c r="G322" s="225" t="s">
        <v>3022</v>
      </c>
      <c r="H322" s="235">
        <f t="shared" ref="H322:H327" si="9">SUMIF($C:$C,G322,$E:$E)</f>
        <v>2807.95</v>
      </c>
      <c r="J322" s="215"/>
    </row>
    <row r="323" spans="1:10" ht="12.75" hidden="1" customHeight="1" outlineLevel="1" x14ac:dyDescent="0.2">
      <c r="A323" s="198" t="s">
        <v>1278</v>
      </c>
      <c r="B323" s="224" t="s">
        <v>1413</v>
      </c>
      <c r="C323" s="225" t="s">
        <v>3022</v>
      </c>
      <c r="D323" s="226" t="s">
        <v>11</v>
      </c>
      <c r="E323" s="227">
        <v>2.61</v>
      </c>
      <c r="F323" s="227"/>
      <c r="G323" s="229" t="s">
        <v>3023</v>
      </c>
      <c r="H323" s="235">
        <f t="shared" si="9"/>
        <v>822.07999999999981</v>
      </c>
      <c r="J323" s="215"/>
    </row>
    <row r="324" spans="1:10" ht="12.75" hidden="1" customHeight="1" outlineLevel="1" x14ac:dyDescent="0.2">
      <c r="A324" s="198" t="s">
        <v>1278</v>
      </c>
      <c r="B324" s="216" t="s">
        <v>1414</v>
      </c>
      <c r="C324" s="217" t="s">
        <v>2958</v>
      </c>
      <c r="D324" s="218"/>
      <c r="E324" s="219"/>
      <c r="F324" s="219"/>
      <c r="G324" s="225"/>
      <c r="H324" s="235">
        <f t="shared" si="9"/>
        <v>0</v>
      </c>
      <c r="J324" s="215"/>
    </row>
    <row r="325" spans="1:10" ht="12.75" hidden="1" customHeight="1" outlineLevel="1" x14ac:dyDescent="0.2">
      <c r="A325" s="198" t="s">
        <v>1278</v>
      </c>
      <c r="B325" s="228" t="s">
        <v>1415</v>
      </c>
      <c r="C325" s="229" t="s">
        <v>3022</v>
      </c>
      <c r="D325" s="230" t="s">
        <v>11</v>
      </c>
      <c r="E325" s="231">
        <v>36.08</v>
      </c>
      <c r="F325" s="231"/>
      <c r="G325" s="229"/>
      <c r="H325" s="235">
        <f t="shared" si="9"/>
        <v>0</v>
      </c>
      <c r="J325" s="215"/>
    </row>
    <row r="326" spans="1:10" ht="12.75" hidden="1" customHeight="1" outlineLevel="1" x14ac:dyDescent="0.2">
      <c r="A326" s="198" t="s">
        <v>1279</v>
      </c>
      <c r="B326" s="216" t="s">
        <v>1416</v>
      </c>
      <c r="C326" s="217" t="s">
        <v>2960</v>
      </c>
      <c r="D326" s="218"/>
      <c r="E326" s="219"/>
      <c r="F326" s="219"/>
      <c r="G326" s="225"/>
      <c r="H326" s="235">
        <f t="shared" si="9"/>
        <v>0</v>
      </c>
      <c r="J326" s="215"/>
    </row>
    <row r="327" spans="1:10" ht="12.75" hidden="1" customHeight="1" outlineLevel="1" x14ac:dyDescent="0.2">
      <c r="A327" s="198" t="s">
        <v>1279</v>
      </c>
      <c r="B327" s="224" t="s">
        <v>1417</v>
      </c>
      <c r="C327" s="225" t="s">
        <v>3022</v>
      </c>
      <c r="D327" s="226" t="s">
        <v>11</v>
      </c>
      <c r="E327" s="227">
        <v>139.38</v>
      </c>
      <c r="F327" s="227"/>
      <c r="G327" s="229"/>
      <c r="H327" s="235">
        <f t="shared" si="9"/>
        <v>0</v>
      </c>
      <c r="J327" s="215"/>
    </row>
    <row r="328" spans="1:10" ht="12.75" hidden="1" customHeight="1" outlineLevel="1" x14ac:dyDescent="0.2">
      <c r="A328" s="198" t="s">
        <v>1279</v>
      </c>
      <c r="B328" s="228" t="s">
        <v>2223</v>
      </c>
      <c r="C328" s="229" t="s">
        <v>3023</v>
      </c>
      <c r="D328" s="230" t="s">
        <v>11</v>
      </c>
      <c r="E328" s="231">
        <v>40.44</v>
      </c>
      <c r="F328" s="231"/>
      <c r="I328" s="198"/>
      <c r="J328" s="215"/>
    </row>
    <row r="329" spans="1:10" ht="12.75" hidden="1" customHeight="1" outlineLevel="1" x14ac:dyDescent="0.2">
      <c r="A329" s="198" t="s">
        <v>1279</v>
      </c>
      <c r="B329" s="216" t="s">
        <v>1418</v>
      </c>
      <c r="C329" s="217" t="s">
        <v>2961</v>
      </c>
      <c r="D329" s="218"/>
      <c r="E329" s="219"/>
      <c r="F329" s="219"/>
      <c r="G329" s="520" t="s">
        <v>1732</v>
      </c>
      <c r="H329" s="234">
        <f>H331+H339</f>
        <v>3630.03</v>
      </c>
      <c r="I329" s="242" t="str">
        <f>IF(H329=H321,"OKAY","REVER")</f>
        <v>OKAY</v>
      </c>
      <c r="J329" s="215"/>
    </row>
    <row r="330" spans="1:10" ht="12.75" hidden="1" customHeight="1" outlineLevel="1" x14ac:dyDescent="0.2">
      <c r="A330" s="198" t="s">
        <v>1279</v>
      </c>
      <c r="B330" s="224" t="s">
        <v>1419</v>
      </c>
      <c r="C330" s="225" t="s">
        <v>3022</v>
      </c>
      <c r="D330" s="226" t="s">
        <v>11</v>
      </c>
      <c r="E330" s="227">
        <v>257.58</v>
      </c>
      <c r="F330" s="227"/>
      <c r="G330" s="232"/>
      <c r="H330" s="232"/>
      <c r="I330" s="242"/>
      <c r="J330" s="215"/>
    </row>
    <row r="331" spans="1:10" ht="12.75" hidden="1" customHeight="1" outlineLevel="1" x14ac:dyDescent="0.2">
      <c r="A331" s="198" t="s">
        <v>1279</v>
      </c>
      <c r="B331" s="228" t="s">
        <v>2224</v>
      </c>
      <c r="C331" s="229" t="s">
        <v>3023</v>
      </c>
      <c r="D331" s="230" t="s">
        <v>11</v>
      </c>
      <c r="E331" s="231">
        <v>81.56</v>
      </c>
      <c r="F331" s="231"/>
      <c r="G331" s="520" t="str">
        <f>$A$1</f>
        <v>EMBASSAMENTO</v>
      </c>
      <c r="H331" s="234">
        <f>SUM(H332:H337)</f>
        <v>38.69</v>
      </c>
      <c r="I331" s="242"/>
      <c r="J331" s="215"/>
    </row>
    <row r="332" spans="1:10" ht="12.75" hidden="1" customHeight="1" outlineLevel="1" x14ac:dyDescent="0.2">
      <c r="A332" s="198" t="s">
        <v>1279</v>
      </c>
      <c r="B332" s="216" t="s">
        <v>1420</v>
      </c>
      <c r="C332" s="217" t="s">
        <v>2962</v>
      </c>
      <c r="D332" s="218"/>
      <c r="E332" s="219"/>
      <c r="F332" s="219"/>
      <c r="G332" s="225" t="s">
        <v>3022</v>
      </c>
      <c r="H332" s="235">
        <f t="shared" ref="H332:H337" si="10">SUMIFS($E:$E,$C:$C,G332,$A:$A,$G$22)</f>
        <v>38.69</v>
      </c>
      <c r="I332" s="242"/>
      <c r="J332" s="215"/>
    </row>
    <row r="333" spans="1:10" ht="12.75" hidden="1" customHeight="1" outlineLevel="1" x14ac:dyDescent="0.2">
      <c r="A333" s="198" t="s">
        <v>1279</v>
      </c>
      <c r="B333" s="224" t="s">
        <v>1421</v>
      </c>
      <c r="C333" s="225" t="s">
        <v>3022</v>
      </c>
      <c r="D333" s="226" t="s">
        <v>11</v>
      </c>
      <c r="E333" s="227">
        <v>195.29</v>
      </c>
      <c r="F333" s="227"/>
      <c r="G333" s="229" t="s">
        <v>3023</v>
      </c>
      <c r="H333" s="235">
        <f t="shared" si="10"/>
        <v>0</v>
      </c>
      <c r="J333" s="215"/>
    </row>
    <row r="334" spans="1:10" ht="12.75" hidden="1" customHeight="1" outlineLevel="1" x14ac:dyDescent="0.2">
      <c r="A334" s="198" t="s">
        <v>1279</v>
      </c>
      <c r="B334" s="228" t="s">
        <v>2225</v>
      </c>
      <c r="C334" s="229" t="s">
        <v>3023</v>
      </c>
      <c r="D334" s="230" t="s">
        <v>11</v>
      </c>
      <c r="E334" s="231">
        <v>56.11</v>
      </c>
      <c r="F334" s="231"/>
      <c r="G334" s="225"/>
      <c r="H334" s="235">
        <f t="shared" si="10"/>
        <v>0</v>
      </c>
      <c r="J334" s="215"/>
    </row>
    <row r="335" spans="1:10" ht="12.75" hidden="1" customHeight="1" outlineLevel="1" x14ac:dyDescent="0.2">
      <c r="A335" s="198" t="s">
        <v>1279</v>
      </c>
      <c r="B335" s="216" t="s">
        <v>1422</v>
      </c>
      <c r="C335" s="217" t="s">
        <v>2963</v>
      </c>
      <c r="D335" s="218"/>
      <c r="E335" s="219"/>
      <c r="F335" s="219"/>
      <c r="G335" s="229"/>
      <c r="H335" s="235">
        <f t="shared" si="10"/>
        <v>0</v>
      </c>
      <c r="J335" s="215"/>
    </row>
    <row r="336" spans="1:10" ht="12.75" hidden="1" customHeight="1" outlineLevel="1" x14ac:dyDescent="0.2">
      <c r="A336" s="198" t="s">
        <v>1279</v>
      </c>
      <c r="B336" s="224" t="s">
        <v>1423</v>
      </c>
      <c r="C336" s="225" t="s">
        <v>3022</v>
      </c>
      <c r="D336" s="226" t="s">
        <v>11</v>
      </c>
      <c r="E336" s="227">
        <v>194.69</v>
      </c>
      <c r="F336" s="227"/>
      <c r="G336" s="225"/>
      <c r="H336" s="235">
        <f t="shared" si="10"/>
        <v>0</v>
      </c>
      <c r="J336" s="215"/>
    </row>
    <row r="337" spans="1:10" ht="12.75" hidden="1" customHeight="1" outlineLevel="1" x14ac:dyDescent="0.2">
      <c r="A337" s="198" t="s">
        <v>1279</v>
      </c>
      <c r="B337" s="228" t="s">
        <v>2226</v>
      </c>
      <c r="C337" s="229" t="s">
        <v>3023</v>
      </c>
      <c r="D337" s="230" t="s">
        <v>11</v>
      </c>
      <c r="E337" s="231">
        <v>60.58</v>
      </c>
      <c r="F337" s="231"/>
      <c r="G337" s="229"/>
      <c r="H337" s="235">
        <f t="shared" si="10"/>
        <v>0</v>
      </c>
      <c r="J337" s="215"/>
    </row>
    <row r="338" spans="1:10" ht="12.75" hidden="1" customHeight="1" outlineLevel="1" x14ac:dyDescent="0.2">
      <c r="A338" s="198" t="s">
        <v>1279</v>
      </c>
      <c r="B338" s="216" t="s">
        <v>1424</v>
      </c>
      <c r="C338" s="217" t="s">
        <v>2964</v>
      </c>
      <c r="D338" s="218"/>
      <c r="E338" s="219"/>
      <c r="F338" s="219"/>
      <c r="J338" s="215"/>
    </row>
    <row r="339" spans="1:10" ht="12.75" hidden="1" customHeight="1" outlineLevel="1" x14ac:dyDescent="0.2">
      <c r="A339" s="198" t="s">
        <v>1279</v>
      </c>
      <c r="B339" s="224" t="s">
        <v>1425</v>
      </c>
      <c r="C339" s="225" t="s">
        <v>3022</v>
      </c>
      <c r="D339" s="226" t="s">
        <v>11</v>
      </c>
      <c r="E339" s="227">
        <v>195.18</v>
      </c>
      <c r="F339" s="227"/>
      <c r="G339" s="520" t="str">
        <f>$A$2</f>
        <v>TORRE</v>
      </c>
      <c r="H339" s="234">
        <f>SUM(H340:H345)</f>
        <v>3591.34</v>
      </c>
      <c r="J339" s="215"/>
    </row>
    <row r="340" spans="1:10" ht="12.75" hidden="1" customHeight="1" outlineLevel="1" x14ac:dyDescent="0.2">
      <c r="A340" s="198" t="s">
        <v>1279</v>
      </c>
      <c r="B340" s="228" t="s">
        <v>2227</v>
      </c>
      <c r="C340" s="229" t="s">
        <v>3023</v>
      </c>
      <c r="D340" s="230" t="s">
        <v>11</v>
      </c>
      <c r="E340" s="231">
        <v>61.24</v>
      </c>
      <c r="F340" s="231"/>
      <c r="G340" s="225" t="s">
        <v>3022</v>
      </c>
      <c r="H340" s="235">
        <f t="shared" ref="H340:H345" si="11">SUMIFS($E:$E,$C:$C,G340,$A:$A,$G$30)</f>
        <v>2769.26</v>
      </c>
      <c r="J340" s="215"/>
    </row>
    <row r="341" spans="1:10" ht="12.75" hidden="1" customHeight="1" outlineLevel="1" x14ac:dyDescent="0.2">
      <c r="A341" s="198" t="s">
        <v>1279</v>
      </c>
      <c r="B341" s="216" t="s">
        <v>1426</v>
      </c>
      <c r="C341" s="217" t="s">
        <v>2965</v>
      </c>
      <c r="D341" s="218"/>
      <c r="E341" s="219"/>
      <c r="F341" s="219"/>
      <c r="G341" s="229" t="s">
        <v>3023</v>
      </c>
      <c r="H341" s="235">
        <f t="shared" si="11"/>
        <v>822.07999999999981</v>
      </c>
      <c r="J341" s="215"/>
    </row>
    <row r="342" spans="1:10" ht="12.75" hidden="1" customHeight="1" outlineLevel="1" x14ac:dyDescent="0.2">
      <c r="A342" s="198" t="s">
        <v>1279</v>
      </c>
      <c r="B342" s="224" t="s">
        <v>1427</v>
      </c>
      <c r="C342" s="225" t="s">
        <v>3022</v>
      </c>
      <c r="D342" s="226" t="s">
        <v>11</v>
      </c>
      <c r="E342" s="227">
        <v>194.69</v>
      </c>
      <c r="F342" s="227"/>
      <c r="G342" s="225"/>
      <c r="H342" s="235">
        <f t="shared" si="11"/>
        <v>0</v>
      </c>
      <c r="J342" s="215"/>
    </row>
    <row r="343" spans="1:10" ht="12.75" hidden="1" customHeight="1" outlineLevel="1" x14ac:dyDescent="0.2">
      <c r="A343" s="198" t="s">
        <v>1279</v>
      </c>
      <c r="B343" s="228" t="s">
        <v>2228</v>
      </c>
      <c r="C343" s="229" t="s">
        <v>3023</v>
      </c>
      <c r="D343" s="230" t="s">
        <v>11</v>
      </c>
      <c r="E343" s="231">
        <v>60.58</v>
      </c>
      <c r="F343" s="231"/>
      <c r="G343" s="229"/>
      <c r="H343" s="235">
        <f t="shared" si="11"/>
        <v>0</v>
      </c>
      <c r="J343" s="215"/>
    </row>
    <row r="344" spans="1:10" ht="12.75" hidden="1" customHeight="1" outlineLevel="1" x14ac:dyDescent="0.2">
      <c r="A344" s="198" t="s">
        <v>1279</v>
      </c>
      <c r="B344" s="216" t="s">
        <v>1428</v>
      </c>
      <c r="C344" s="217" t="s">
        <v>2966</v>
      </c>
      <c r="D344" s="218"/>
      <c r="E344" s="219"/>
      <c r="F344" s="219"/>
      <c r="G344" s="225"/>
      <c r="H344" s="235">
        <f t="shared" si="11"/>
        <v>0</v>
      </c>
      <c r="J344" s="215"/>
    </row>
    <row r="345" spans="1:10" ht="12.75" hidden="1" customHeight="1" outlineLevel="1" x14ac:dyDescent="0.2">
      <c r="A345" s="198" t="s">
        <v>1279</v>
      </c>
      <c r="B345" s="224" t="s">
        <v>1429</v>
      </c>
      <c r="C345" s="225" t="s">
        <v>3022</v>
      </c>
      <c r="D345" s="226" t="s">
        <v>11</v>
      </c>
      <c r="E345" s="227">
        <v>195.18</v>
      </c>
      <c r="F345" s="227"/>
      <c r="G345" s="229"/>
      <c r="H345" s="235">
        <f t="shared" si="11"/>
        <v>0</v>
      </c>
      <c r="J345" s="215"/>
    </row>
    <row r="346" spans="1:10" ht="12.75" hidden="1" customHeight="1" outlineLevel="1" x14ac:dyDescent="0.2">
      <c r="A346" s="198" t="s">
        <v>1279</v>
      </c>
      <c r="B346" s="228" t="s">
        <v>2229</v>
      </c>
      <c r="C346" s="229" t="s">
        <v>3023</v>
      </c>
      <c r="D346" s="230" t="s">
        <v>11</v>
      </c>
      <c r="E346" s="231">
        <v>61.24</v>
      </c>
      <c r="F346" s="231"/>
    </row>
    <row r="347" spans="1:10" ht="12.75" hidden="1" customHeight="1" outlineLevel="1" x14ac:dyDescent="0.2">
      <c r="A347" s="198" t="s">
        <v>1279</v>
      </c>
      <c r="B347" s="216" t="s">
        <v>1430</v>
      </c>
      <c r="C347" s="217" t="s">
        <v>2967</v>
      </c>
      <c r="D347" s="218"/>
      <c r="E347" s="219"/>
      <c r="F347" s="219"/>
    </row>
    <row r="348" spans="1:10" ht="12.75" hidden="1" customHeight="1" outlineLevel="1" x14ac:dyDescent="0.2">
      <c r="A348" s="198" t="s">
        <v>1279</v>
      </c>
      <c r="B348" s="224" t="s">
        <v>1431</v>
      </c>
      <c r="C348" s="225" t="s">
        <v>3022</v>
      </c>
      <c r="D348" s="226" t="s">
        <v>11</v>
      </c>
      <c r="E348" s="227">
        <v>194.69</v>
      </c>
      <c r="F348" s="227"/>
    </row>
    <row r="349" spans="1:10" ht="12.75" hidden="1" customHeight="1" outlineLevel="1" x14ac:dyDescent="0.2">
      <c r="A349" s="198" t="s">
        <v>1279</v>
      </c>
      <c r="B349" s="228" t="s">
        <v>2230</v>
      </c>
      <c r="C349" s="229" t="s">
        <v>3023</v>
      </c>
      <c r="D349" s="230" t="s">
        <v>11</v>
      </c>
      <c r="E349" s="231">
        <v>60.58</v>
      </c>
      <c r="F349" s="231"/>
    </row>
    <row r="350" spans="1:10" ht="12.75" hidden="1" customHeight="1" outlineLevel="1" x14ac:dyDescent="0.2">
      <c r="A350" s="198" t="s">
        <v>1279</v>
      </c>
      <c r="B350" s="216" t="s">
        <v>1432</v>
      </c>
      <c r="C350" s="217" t="s">
        <v>2968</v>
      </c>
      <c r="D350" s="218"/>
      <c r="E350" s="219"/>
      <c r="F350" s="219"/>
    </row>
    <row r="351" spans="1:10" ht="12.75" hidden="1" customHeight="1" outlineLevel="1" x14ac:dyDescent="0.2">
      <c r="A351" s="198" t="s">
        <v>1279</v>
      </c>
      <c r="B351" s="224" t="s">
        <v>1433</v>
      </c>
      <c r="C351" s="225" t="s">
        <v>3022</v>
      </c>
      <c r="D351" s="226" t="s">
        <v>11</v>
      </c>
      <c r="E351" s="227">
        <v>195.18</v>
      </c>
      <c r="F351" s="227"/>
    </row>
    <row r="352" spans="1:10" ht="12.75" hidden="1" customHeight="1" outlineLevel="1" x14ac:dyDescent="0.2">
      <c r="A352" s="198" t="s">
        <v>1279</v>
      </c>
      <c r="B352" s="228" t="s">
        <v>2231</v>
      </c>
      <c r="C352" s="229" t="s">
        <v>3023</v>
      </c>
      <c r="D352" s="230" t="s">
        <v>11</v>
      </c>
      <c r="E352" s="231">
        <v>61.24</v>
      </c>
      <c r="F352" s="231"/>
    </row>
    <row r="353" spans="1:6" ht="12.75" hidden="1" customHeight="1" outlineLevel="1" x14ac:dyDescent="0.2">
      <c r="A353" s="198" t="s">
        <v>1279</v>
      </c>
      <c r="B353" s="216" t="s">
        <v>1434</v>
      </c>
      <c r="C353" s="217" t="s">
        <v>2969</v>
      </c>
      <c r="D353" s="218"/>
      <c r="E353" s="219"/>
      <c r="F353" s="219"/>
    </row>
    <row r="354" spans="1:6" ht="12.75" hidden="1" customHeight="1" outlineLevel="1" x14ac:dyDescent="0.2">
      <c r="A354" s="198" t="s">
        <v>1279</v>
      </c>
      <c r="B354" s="224" t="s">
        <v>1435</v>
      </c>
      <c r="C354" s="225" t="s">
        <v>3022</v>
      </c>
      <c r="D354" s="226" t="s">
        <v>11</v>
      </c>
      <c r="E354" s="227">
        <v>194.69</v>
      </c>
      <c r="F354" s="227"/>
    </row>
    <row r="355" spans="1:6" ht="12.75" hidden="1" customHeight="1" outlineLevel="1" x14ac:dyDescent="0.2">
      <c r="A355" s="198" t="s">
        <v>1279</v>
      </c>
      <c r="B355" s="228" t="s">
        <v>2232</v>
      </c>
      <c r="C355" s="229" t="s">
        <v>3023</v>
      </c>
      <c r="D355" s="230" t="s">
        <v>11</v>
      </c>
      <c r="E355" s="231">
        <v>60.58</v>
      </c>
      <c r="F355" s="231"/>
    </row>
    <row r="356" spans="1:6" ht="12.75" hidden="1" customHeight="1" outlineLevel="1" x14ac:dyDescent="0.2">
      <c r="A356" s="198" t="s">
        <v>1279</v>
      </c>
      <c r="B356" s="216" t="s">
        <v>1436</v>
      </c>
      <c r="C356" s="217" t="s">
        <v>2970</v>
      </c>
      <c r="D356" s="218"/>
      <c r="E356" s="219"/>
      <c r="F356" s="219"/>
    </row>
    <row r="357" spans="1:6" ht="12.75" hidden="1" customHeight="1" outlineLevel="1" x14ac:dyDescent="0.2">
      <c r="A357" s="198" t="s">
        <v>1279</v>
      </c>
      <c r="B357" s="224" t="s">
        <v>1437</v>
      </c>
      <c r="C357" s="225" t="s">
        <v>3022</v>
      </c>
      <c r="D357" s="226" t="s">
        <v>11</v>
      </c>
      <c r="E357" s="227">
        <v>195.18</v>
      </c>
      <c r="F357" s="227"/>
    </row>
    <row r="358" spans="1:6" ht="12.75" hidden="1" customHeight="1" outlineLevel="1" x14ac:dyDescent="0.2">
      <c r="A358" s="198" t="s">
        <v>1279</v>
      </c>
      <c r="B358" s="228" t="s">
        <v>2233</v>
      </c>
      <c r="C358" s="229" t="s">
        <v>3023</v>
      </c>
      <c r="D358" s="230" t="s">
        <v>11</v>
      </c>
      <c r="E358" s="231">
        <v>61.24</v>
      </c>
      <c r="F358" s="231"/>
    </row>
    <row r="359" spans="1:6" ht="12.75" hidden="1" customHeight="1" outlineLevel="1" x14ac:dyDescent="0.2">
      <c r="A359" s="198" t="s">
        <v>1279</v>
      </c>
      <c r="B359" s="216" t="s">
        <v>1438</v>
      </c>
      <c r="C359" s="217" t="s">
        <v>2971</v>
      </c>
      <c r="D359" s="218"/>
      <c r="E359" s="219"/>
      <c r="F359" s="219"/>
    </row>
    <row r="360" spans="1:6" ht="12.75" hidden="1" customHeight="1" outlineLevel="1" x14ac:dyDescent="0.2">
      <c r="A360" s="198" t="s">
        <v>1279</v>
      </c>
      <c r="B360" s="224" t="s">
        <v>1439</v>
      </c>
      <c r="C360" s="225" t="s">
        <v>3022</v>
      </c>
      <c r="D360" s="226" t="s">
        <v>11</v>
      </c>
      <c r="E360" s="227">
        <v>212.32</v>
      </c>
      <c r="F360" s="227"/>
    </row>
    <row r="361" spans="1:6" ht="12.75" hidden="1" customHeight="1" outlineLevel="1" x14ac:dyDescent="0.2">
      <c r="A361" s="198" t="s">
        <v>1279</v>
      </c>
      <c r="B361" s="228" t="s">
        <v>2234</v>
      </c>
      <c r="C361" s="229" t="s">
        <v>3023</v>
      </c>
      <c r="D361" s="230" t="s">
        <v>11</v>
      </c>
      <c r="E361" s="231">
        <v>68.349999999999994</v>
      </c>
      <c r="F361" s="231"/>
    </row>
    <row r="362" spans="1:6" ht="12.75" hidden="1" customHeight="1" outlineLevel="1" x14ac:dyDescent="0.2">
      <c r="A362" s="198" t="s">
        <v>1279</v>
      </c>
      <c r="B362" s="216" t="s">
        <v>1440</v>
      </c>
      <c r="C362" s="217" t="s">
        <v>2972</v>
      </c>
      <c r="D362" s="218"/>
      <c r="E362" s="219"/>
      <c r="F362" s="219"/>
    </row>
    <row r="363" spans="1:6" ht="12.75" hidden="1" customHeight="1" outlineLevel="1" x14ac:dyDescent="0.2">
      <c r="A363" s="198" t="s">
        <v>1279</v>
      </c>
      <c r="B363" s="224" t="s">
        <v>1441</v>
      </c>
      <c r="C363" s="225" t="s">
        <v>3022</v>
      </c>
      <c r="D363" s="226" t="s">
        <v>11</v>
      </c>
      <c r="E363" s="227">
        <v>59.81</v>
      </c>
      <c r="F363" s="227"/>
    </row>
    <row r="364" spans="1:6" ht="12.75" hidden="1" customHeight="1" outlineLevel="1" x14ac:dyDescent="0.2">
      <c r="A364" s="198" t="s">
        <v>1279</v>
      </c>
      <c r="B364" s="216" t="s">
        <v>1442</v>
      </c>
      <c r="C364" s="217" t="s">
        <v>2973</v>
      </c>
      <c r="D364" s="218"/>
      <c r="E364" s="219"/>
      <c r="F364" s="219"/>
    </row>
    <row r="365" spans="1:6" ht="12.75" hidden="1" customHeight="1" outlineLevel="1" x14ac:dyDescent="0.2">
      <c r="A365" s="198" t="s">
        <v>1279</v>
      </c>
      <c r="B365" s="228" t="s">
        <v>1443</v>
      </c>
      <c r="C365" s="229" t="s">
        <v>3022</v>
      </c>
      <c r="D365" s="230" t="s">
        <v>11</v>
      </c>
      <c r="E365" s="231">
        <v>77.040000000000006</v>
      </c>
      <c r="F365" s="231"/>
    </row>
    <row r="366" spans="1:6" ht="12.75" hidden="1" customHeight="1" outlineLevel="1" x14ac:dyDescent="0.2">
      <c r="A366" s="198" t="s">
        <v>1279</v>
      </c>
      <c r="B366" s="224" t="s">
        <v>2235</v>
      </c>
      <c r="C366" s="225" t="s">
        <v>3023</v>
      </c>
      <c r="D366" s="226" t="s">
        <v>11</v>
      </c>
      <c r="E366" s="227">
        <v>20.55</v>
      </c>
      <c r="F366" s="227"/>
    </row>
    <row r="367" spans="1:6" ht="12.75" hidden="1" customHeight="1" outlineLevel="1" x14ac:dyDescent="0.2">
      <c r="A367" s="198" t="s">
        <v>1279</v>
      </c>
      <c r="B367" s="216" t="s">
        <v>1444</v>
      </c>
      <c r="C367" s="217" t="s">
        <v>2974</v>
      </c>
      <c r="D367" s="218"/>
      <c r="E367" s="219"/>
      <c r="F367" s="219"/>
    </row>
    <row r="368" spans="1:6" ht="12.75" hidden="1" customHeight="1" outlineLevel="1" x14ac:dyDescent="0.2">
      <c r="A368" s="198" t="s">
        <v>1279</v>
      </c>
      <c r="B368" s="228" t="s">
        <v>1445</v>
      </c>
      <c r="C368" s="229" t="s">
        <v>3022</v>
      </c>
      <c r="D368" s="230" t="s">
        <v>11</v>
      </c>
      <c r="E368" s="231">
        <v>89.62</v>
      </c>
      <c r="F368" s="231"/>
    </row>
    <row r="369" spans="1:10" ht="12.75" hidden="1" customHeight="1" outlineLevel="1" x14ac:dyDescent="0.2">
      <c r="A369" s="198" t="s">
        <v>1279</v>
      </c>
      <c r="B369" s="224" t="s">
        <v>2236</v>
      </c>
      <c r="C369" s="225" t="s">
        <v>3023</v>
      </c>
      <c r="D369" s="226" t="s">
        <v>11</v>
      </c>
      <c r="E369" s="227">
        <v>22.43</v>
      </c>
      <c r="F369" s="227"/>
    </row>
    <row r="370" spans="1:10" ht="12.75" hidden="1" customHeight="1" outlineLevel="1" x14ac:dyDescent="0.2">
      <c r="A370" s="198" t="s">
        <v>1279</v>
      </c>
      <c r="B370" s="216" t="s">
        <v>1446</v>
      </c>
      <c r="C370" s="217" t="s">
        <v>2975</v>
      </c>
      <c r="D370" s="218"/>
      <c r="E370" s="219"/>
      <c r="F370" s="219"/>
    </row>
    <row r="371" spans="1:10" ht="12.75" hidden="1" customHeight="1" outlineLevel="1" x14ac:dyDescent="0.2">
      <c r="A371" s="198" t="s">
        <v>1279</v>
      </c>
      <c r="B371" s="228" t="s">
        <v>1447</v>
      </c>
      <c r="C371" s="229" t="s">
        <v>3022</v>
      </c>
      <c r="D371" s="230" t="s">
        <v>11</v>
      </c>
      <c r="E371" s="231">
        <v>62.76</v>
      </c>
      <c r="F371" s="231"/>
    </row>
    <row r="372" spans="1:10" ht="12.75" hidden="1" customHeight="1" outlineLevel="1" x14ac:dyDescent="0.2">
      <c r="A372" s="198" t="s">
        <v>1279</v>
      </c>
      <c r="B372" s="224" t="s">
        <v>2237</v>
      </c>
      <c r="C372" s="225" t="s">
        <v>3023</v>
      </c>
      <c r="D372" s="226" t="s">
        <v>11</v>
      </c>
      <c r="E372" s="227">
        <v>20.56</v>
      </c>
      <c r="F372" s="227"/>
    </row>
    <row r="373" spans="1:10" ht="12.75" hidden="1" customHeight="1" outlineLevel="1" x14ac:dyDescent="0.2">
      <c r="A373" s="198" t="s">
        <v>1279</v>
      </c>
      <c r="B373" s="216" t="s">
        <v>1448</v>
      </c>
      <c r="C373" s="217" t="s">
        <v>2976</v>
      </c>
      <c r="D373" s="218"/>
      <c r="E373" s="219"/>
      <c r="F373" s="219"/>
    </row>
    <row r="374" spans="1:10" ht="12.75" hidden="1" customHeight="1" outlineLevel="1" x14ac:dyDescent="0.2">
      <c r="A374" s="198" t="s">
        <v>1279</v>
      </c>
      <c r="B374" s="228" t="s">
        <v>1449</v>
      </c>
      <c r="C374" s="229" t="s">
        <v>3022</v>
      </c>
      <c r="D374" s="230" t="s">
        <v>11</v>
      </c>
      <c r="E374" s="231">
        <v>92.24</v>
      </c>
      <c r="F374" s="231"/>
    </row>
    <row r="375" spans="1:10" ht="12.75" hidden="1" customHeight="1" outlineLevel="1" x14ac:dyDescent="0.2">
      <c r="A375" s="198" t="s">
        <v>1279</v>
      </c>
      <c r="B375" s="224" t="s">
        <v>3024</v>
      </c>
      <c r="C375" s="225" t="s">
        <v>3023</v>
      </c>
      <c r="D375" s="226" t="s">
        <v>11</v>
      </c>
      <c r="E375" s="227">
        <v>24.8</v>
      </c>
      <c r="F375" s="227"/>
    </row>
    <row r="376" spans="1:10" ht="12.75" hidden="1" customHeight="1" outlineLevel="1" x14ac:dyDescent="0.2">
      <c r="A376" s="198" t="s">
        <v>1279</v>
      </c>
      <c r="B376" s="216" t="s">
        <v>2238</v>
      </c>
      <c r="C376" s="217" t="s">
        <v>2978</v>
      </c>
      <c r="D376" s="218"/>
      <c r="E376" s="219"/>
      <c r="F376" s="219"/>
    </row>
    <row r="377" spans="1:10" ht="12.75" hidden="1" customHeight="1" outlineLevel="1" x14ac:dyDescent="0.2">
      <c r="A377" s="198" t="s">
        <v>1279</v>
      </c>
      <c r="B377" s="228" t="s">
        <v>2239</v>
      </c>
      <c r="C377" s="229" t="s">
        <v>3022</v>
      </c>
      <c r="D377" s="230" t="s">
        <v>11</v>
      </c>
      <c r="E377" s="231">
        <v>23.74</v>
      </c>
      <c r="F377" s="231"/>
    </row>
    <row r="378" spans="1:10" s="215" customFormat="1" collapsed="1" x14ac:dyDescent="0.2">
      <c r="B378" s="515" t="s">
        <v>2240</v>
      </c>
      <c r="C378" s="516" t="s">
        <v>3025</v>
      </c>
      <c r="D378" s="521"/>
      <c r="E378" s="524">
        <f>SUM(E380:E464)</f>
        <v>16115.589999999997</v>
      </c>
      <c r="F378" s="524"/>
      <c r="G378" s="516"/>
      <c r="H378" s="234">
        <f>SUM(H379:H384)</f>
        <v>16115.59</v>
      </c>
      <c r="I378" s="242" t="str">
        <f>IF(H378=E378,"OKAY","REVER")</f>
        <v>OKAY</v>
      </c>
      <c r="J378" s="405"/>
    </row>
    <row r="379" spans="1:10" s="215" customFormat="1" ht="12.75" hidden="1" customHeight="1" outlineLevel="1" x14ac:dyDescent="0.2">
      <c r="A379" s="215" t="s">
        <v>1278</v>
      </c>
      <c r="B379" s="216" t="s">
        <v>1451</v>
      </c>
      <c r="C379" s="217" t="s">
        <v>2955</v>
      </c>
      <c r="D379" s="218"/>
      <c r="E379" s="219"/>
      <c r="F379" s="219"/>
      <c r="G379" s="225" t="s">
        <v>3026</v>
      </c>
      <c r="H379" s="235">
        <f t="shared" ref="H379:H384" si="12">SUMIF($C:$C,G379,$E:$E)</f>
        <v>10093.839999999998</v>
      </c>
      <c r="I379" s="241"/>
    </row>
    <row r="380" spans="1:10" s="215" customFormat="1" ht="12.75" hidden="1" customHeight="1" outlineLevel="1" x14ac:dyDescent="0.2">
      <c r="A380" s="215" t="s">
        <v>1278</v>
      </c>
      <c r="B380" s="224" t="s">
        <v>1452</v>
      </c>
      <c r="C380" s="225" t="s">
        <v>3026</v>
      </c>
      <c r="D380" s="226" t="s">
        <v>11</v>
      </c>
      <c r="E380" s="227">
        <v>755.58</v>
      </c>
      <c r="F380" s="227"/>
      <c r="G380" s="229" t="s">
        <v>3027</v>
      </c>
      <c r="H380" s="235">
        <f t="shared" si="12"/>
        <v>2384.4200000000005</v>
      </c>
      <c r="I380" s="241"/>
    </row>
    <row r="381" spans="1:10" s="215" customFormat="1" ht="12.75" hidden="1" customHeight="1" outlineLevel="1" x14ac:dyDescent="0.2">
      <c r="A381" s="215" t="s">
        <v>1278</v>
      </c>
      <c r="B381" s="228" t="s">
        <v>1930</v>
      </c>
      <c r="C381" s="229" t="s">
        <v>3027</v>
      </c>
      <c r="D381" s="230" t="s">
        <v>11</v>
      </c>
      <c r="E381" s="231">
        <v>13.92</v>
      </c>
      <c r="F381" s="231"/>
      <c r="G381" s="225" t="s">
        <v>3028</v>
      </c>
      <c r="H381" s="235">
        <f t="shared" si="12"/>
        <v>3637.3300000000008</v>
      </c>
      <c r="I381" s="241"/>
    </row>
    <row r="382" spans="1:10" s="215" customFormat="1" ht="12.75" hidden="1" customHeight="1" outlineLevel="1" x14ac:dyDescent="0.2">
      <c r="A382" s="215" t="s">
        <v>1278</v>
      </c>
      <c r="B382" s="224" t="s">
        <v>2469</v>
      </c>
      <c r="C382" s="225" t="s">
        <v>3028</v>
      </c>
      <c r="D382" s="226" t="s">
        <v>11</v>
      </c>
      <c r="E382" s="227">
        <v>2.76</v>
      </c>
      <c r="F382" s="227">
        <v>2.76</v>
      </c>
      <c r="G382" s="229"/>
      <c r="H382" s="235">
        <f t="shared" si="12"/>
        <v>0</v>
      </c>
      <c r="I382" s="241"/>
    </row>
    <row r="383" spans="1:10" s="215" customFormat="1" ht="12.75" hidden="1" customHeight="1" outlineLevel="1" x14ac:dyDescent="0.2">
      <c r="A383" s="215" t="s">
        <v>1278</v>
      </c>
      <c r="B383" s="216" t="s">
        <v>1453</v>
      </c>
      <c r="C383" s="217" t="s">
        <v>2958</v>
      </c>
      <c r="D383" s="218"/>
      <c r="E383" s="219"/>
      <c r="F383" s="219"/>
      <c r="G383" s="225"/>
      <c r="H383" s="235">
        <f t="shared" si="12"/>
        <v>0</v>
      </c>
      <c r="I383" s="241"/>
    </row>
    <row r="384" spans="1:10" s="215" customFormat="1" ht="12.75" hidden="1" customHeight="1" outlineLevel="1" x14ac:dyDescent="0.2">
      <c r="A384" s="215" t="s">
        <v>1278</v>
      </c>
      <c r="B384" s="228" t="s">
        <v>1454</v>
      </c>
      <c r="C384" s="229" t="s">
        <v>3026</v>
      </c>
      <c r="D384" s="230" t="s">
        <v>11</v>
      </c>
      <c r="E384" s="231">
        <v>811.91</v>
      </c>
      <c r="F384" s="231"/>
      <c r="G384" s="229"/>
      <c r="H384" s="235">
        <f t="shared" si="12"/>
        <v>0</v>
      </c>
      <c r="I384" s="241"/>
    </row>
    <row r="385" spans="1:9" s="215" customFormat="1" ht="12.75" hidden="1" customHeight="1" outlineLevel="1" x14ac:dyDescent="0.2">
      <c r="A385" s="215" t="s">
        <v>1278</v>
      </c>
      <c r="B385" s="224" t="s">
        <v>2241</v>
      </c>
      <c r="C385" s="225" t="s">
        <v>3027</v>
      </c>
      <c r="D385" s="226" t="s">
        <v>11</v>
      </c>
      <c r="E385" s="227">
        <v>191.81</v>
      </c>
      <c r="F385" s="227"/>
      <c r="G385" s="198"/>
      <c r="H385" s="198"/>
      <c r="I385" s="198"/>
    </row>
    <row r="386" spans="1:9" s="215" customFormat="1" ht="12.75" hidden="1" customHeight="1" outlineLevel="1" x14ac:dyDescent="0.2">
      <c r="A386" s="215" t="s">
        <v>1278</v>
      </c>
      <c r="B386" s="228" t="s">
        <v>2242</v>
      </c>
      <c r="C386" s="229" t="s">
        <v>3028</v>
      </c>
      <c r="D386" s="230" t="s">
        <v>11</v>
      </c>
      <c r="E386" s="231">
        <v>34.450000000000003</v>
      </c>
      <c r="F386" s="231"/>
      <c r="G386" s="520" t="s">
        <v>1732</v>
      </c>
      <c r="H386" s="234">
        <f>H388+H396</f>
        <v>16115.590000000002</v>
      </c>
      <c r="I386" s="242" t="str">
        <f>IF(H386=H378,"OKAY","REVER")</f>
        <v>OKAY</v>
      </c>
    </row>
    <row r="387" spans="1:9" s="215" customFormat="1" ht="12.75" hidden="1" customHeight="1" outlineLevel="1" x14ac:dyDescent="0.2">
      <c r="A387" s="215" t="s">
        <v>1279</v>
      </c>
      <c r="B387" s="216" t="s">
        <v>1455</v>
      </c>
      <c r="C387" s="217" t="s">
        <v>2960</v>
      </c>
      <c r="D387" s="218"/>
      <c r="E387" s="219"/>
      <c r="F387" s="219"/>
      <c r="G387" s="232"/>
      <c r="H387" s="232"/>
      <c r="I387" s="242"/>
    </row>
    <row r="388" spans="1:9" s="215" customFormat="1" ht="12.75" hidden="1" customHeight="1" outlineLevel="1" x14ac:dyDescent="0.2">
      <c r="A388" s="215" t="s">
        <v>1279</v>
      </c>
      <c r="B388" s="224" t="s">
        <v>1456</v>
      </c>
      <c r="C388" s="225" t="s">
        <v>3026</v>
      </c>
      <c r="D388" s="226" t="s">
        <v>11</v>
      </c>
      <c r="E388" s="227">
        <v>708.09</v>
      </c>
      <c r="F388" s="227"/>
      <c r="G388" s="520" t="str">
        <f>$A$1</f>
        <v>EMBASSAMENTO</v>
      </c>
      <c r="H388" s="234">
        <f>SUM(H389:H394)</f>
        <v>1810.43</v>
      </c>
      <c r="I388" s="242"/>
    </row>
    <row r="389" spans="1:9" s="215" customFormat="1" ht="12.75" hidden="1" customHeight="1" outlineLevel="1" x14ac:dyDescent="0.2">
      <c r="A389" s="215" t="s">
        <v>1279</v>
      </c>
      <c r="B389" s="228" t="s">
        <v>2243</v>
      </c>
      <c r="C389" s="229" t="s">
        <v>3027</v>
      </c>
      <c r="D389" s="230" t="s">
        <v>11</v>
      </c>
      <c r="E389" s="231">
        <v>144</v>
      </c>
      <c r="F389" s="231"/>
      <c r="G389" s="225" t="s">
        <v>3026</v>
      </c>
      <c r="H389" s="235">
        <f t="shared" ref="H389:H394" si="13">SUMIFS($E:$E,$C:$C,G389,$A:$A,$G$22)</f>
        <v>1567.49</v>
      </c>
      <c r="I389" s="242"/>
    </row>
    <row r="390" spans="1:9" s="215" customFormat="1" ht="12.75" hidden="1" customHeight="1" outlineLevel="1" x14ac:dyDescent="0.2">
      <c r="A390" s="215" t="s">
        <v>1279</v>
      </c>
      <c r="B390" s="224" t="s">
        <v>2244</v>
      </c>
      <c r="C390" s="225" t="s">
        <v>3028</v>
      </c>
      <c r="D390" s="226" t="s">
        <v>11</v>
      </c>
      <c r="E390" s="227">
        <v>177.49</v>
      </c>
      <c r="F390" s="227">
        <v>70.14</v>
      </c>
      <c r="G390" s="229" t="s">
        <v>3027</v>
      </c>
      <c r="H390" s="235">
        <f t="shared" si="13"/>
        <v>205.73</v>
      </c>
      <c r="I390" s="241"/>
    </row>
    <row r="391" spans="1:9" s="215" customFormat="1" ht="12.75" hidden="1" customHeight="1" outlineLevel="1" x14ac:dyDescent="0.2">
      <c r="A391" s="215" t="s">
        <v>1279</v>
      </c>
      <c r="B391" s="216" t="s">
        <v>1457</v>
      </c>
      <c r="C391" s="217" t="s">
        <v>2961</v>
      </c>
      <c r="D391" s="218"/>
      <c r="E391" s="219"/>
      <c r="F391" s="219"/>
      <c r="G391" s="225" t="s">
        <v>3028</v>
      </c>
      <c r="H391" s="235">
        <f t="shared" si="13"/>
        <v>37.21</v>
      </c>
      <c r="I391" s="241"/>
    </row>
    <row r="392" spans="1:9" s="215" customFormat="1" ht="12.75" hidden="1" customHeight="1" outlineLevel="1" x14ac:dyDescent="0.2">
      <c r="A392" s="215" t="s">
        <v>1279</v>
      </c>
      <c r="B392" s="228" t="s">
        <v>1458</v>
      </c>
      <c r="C392" s="229" t="s">
        <v>3026</v>
      </c>
      <c r="D392" s="230" t="s">
        <v>11</v>
      </c>
      <c r="E392" s="231">
        <v>732.91</v>
      </c>
      <c r="F392" s="231"/>
      <c r="G392" s="229"/>
      <c r="H392" s="235">
        <f t="shared" si="13"/>
        <v>0</v>
      </c>
      <c r="I392" s="241"/>
    </row>
    <row r="393" spans="1:9" s="215" customFormat="1" ht="12.75" hidden="1" customHeight="1" outlineLevel="1" x14ac:dyDescent="0.2">
      <c r="A393" s="215" t="s">
        <v>1279</v>
      </c>
      <c r="B393" s="224" t="s">
        <v>2245</v>
      </c>
      <c r="C393" s="225" t="s">
        <v>3027</v>
      </c>
      <c r="D393" s="226" t="s">
        <v>11</v>
      </c>
      <c r="E393" s="227">
        <v>136.66999999999999</v>
      </c>
      <c r="F393" s="227"/>
      <c r="G393" s="225"/>
      <c r="H393" s="235">
        <f t="shared" si="13"/>
        <v>0</v>
      </c>
      <c r="I393" s="241"/>
    </row>
    <row r="394" spans="1:9" s="215" customFormat="1" ht="12.75" hidden="1" customHeight="1" outlineLevel="1" x14ac:dyDescent="0.2">
      <c r="A394" s="215" t="s">
        <v>1279</v>
      </c>
      <c r="B394" s="228" t="s">
        <v>2246</v>
      </c>
      <c r="C394" s="229" t="s">
        <v>3028</v>
      </c>
      <c r="D394" s="230" t="s">
        <v>11</v>
      </c>
      <c r="E394" s="231">
        <v>337.24</v>
      </c>
      <c r="F394" s="231">
        <v>137.07</v>
      </c>
      <c r="G394" s="229"/>
      <c r="H394" s="235">
        <f t="shared" si="13"/>
        <v>0</v>
      </c>
      <c r="I394" s="241"/>
    </row>
    <row r="395" spans="1:9" s="215" customFormat="1" ht="12.75" hidden="1" customHeight="1" outlineLevel="1" x14ac:dyDescent="0.2">
      <c r="A395" s="215" t="s">
        <v>1279</v>
      </c>
      <c r="B395" s="216" t="s">
        <v>1459</v>
      </c>
      <c r="C395" s="217" t="s">
        <v>2962</v>
      </c>
      <c r="D395" s="218"/>
      <c r="E395" s="219"/>
      <c r="F395" s="219"/>
      <c r="G395" s="198"/>
      <c r="H395" s="198"/>
      <c r="I395" s="241"/>
    </row>
    <row r="396" spans="1:9" s="215" customFormat="1" ht="12.75" hidden="1" customHeight="1" outlineLevel="1" x14ac:dyDescent="0.2">
      <c r="A396" s="215" t="s">
        <v>1279</v>
      </c>
      <c r="B396" s="224" t="s">
        <v>1460</v>
      </c>
      <c r="C396" s="225" t="s">
        <v>3026</v>
      </c>
      <c r="D396" s="226" t="s">
        <v>11</v>
      </c>
      <c r="E396" s="227">
        <v>526.22</v>
      </c>
      <c r="F396" s="227"/>
      <c r="G396" s="520" t="str">
        <f>$A$2</f>
        <v>TORRE</v>
      </c>
      <c r="H396" s="234">
        <f>SUM(H397:H402)</f>
        <v>14305.160000000002</v>
      </c>
      <c r="I396" s="241"/>
    </row>
    <row r="397" spans="1:9" s="215" customFormat="1" ht="12.75" hidden="1" customHeight="1" outlineLevel="1" x14ac:dyDescent="0.2">
      <c r="A397" s="215" t="s">
        <v>1279</v>
      </c>
      <c r="B397" s="228" t="s">
        <v>1931</v>
      </c>
      <c r="C397" s="229" t="s">
        <v>3027</v>
      </c>
      <c r="D397" s="230" t="s">
        <v>11</v>
      </c>
      <c r="E397" s="231">
        <v>131.57</v>
      </c>
      <c r="F397" s="231"/>
      <c r="G397" s="225" t="s">
        <v>3026</v>
      </c>
      <c r="H397" s="235">
        <f t="shared" ref="H397:H402" si="14">SUMIFS($E:$E,$C:$C,G397,$A:$A,$G$30)</f>
        <v>8526.35</v>
      </c>
      <c r="I397" s="241"/>
    </row>
    <row r="398" spans="1:9" s="215" customFormat="1" ht="12.75" hidden="1" customHeight="1" outlineLevel="1" x14ac:dyDescent="0.2">
      <c r="A398" s="215" t="s">
        <v>1279</v>
      </c>
      <c r="B398" s="224" t="s">
        <v>2247</v>
      </c>
      <c r="C398" s="225" t="s">
        <v>3028</v>
      </c>
      <c r="D398" s="226" t="s">
        <v>11</v>
      </c>
      <c r="E398" s="227">
        <v>258.45</v>
      </c>
      <c r="F398" s="227">
        <v>97.31</v>
      </c>
      <c r="G398" s="229" t="s">
        <v>3027</v>
      </c>
      <c r="H398" s="235">
        <f t="shared" si="14"/>
        <v>2178.69</v>
      </c>
      <c r="I398" s="241"/>
    </row>
    <row r="399" spans="1:9" s="215" customFormat="1" ht="12.75" hidden="1" customHeight="1" outlineLevel="1" x14ac:dyDescent="0.2">
      <c r="A399" s="215" t="s">
        <v>1279</v>
      </c>
      <c r="B399" s="216" t="s">
        <v>1461</v>
      </c>
      <c r="C399" s="217" t="s">
        <v>2963</v>
      </c>
      <c r="D399" s="218"/>
      <c r="E399" s="219"/>
      <c r="F399" s="219"/>
      <c r="G399" s="225" t="s">
        <v>3028</v>
      </c>
      <c r="H399" s="235">
        <f t="shared" si="14"/>
        <v>3600.1200000000008</v>
      </c>
      <c r="I399" s="241"/>
    </row>
    <row r="400" spans="1:9" s="215" customFormat="1" ht="12.75" hidden="1" customHeight="1" outlineLevel="1" x14ac:dyDescent="0.2">
      <c r="A400" s="215" t="s">
        <v>1279</v>
      </c>
      <c r="B400" s="228" t="s">
        <v>1462</v>
      </c>
      <c r="C400" s="229" t="s">
        <v>3026</v>
      </c>
      <c r="D400" s="230" t="s">
        <v>11</v>
      </c>
      <c r="E400" s="231">
        <v>495.76</v>
      </c>
      <c r="F400" s="231"/>
      <c r="G400" s="229"/>
      <c r="H400" s="235">
        <f t="shared" si="14"/>
        <v>0</v>
      </c>
      <c r="I400" s="241"/>
    </row>
    <row r="401" spans="1:9" s="215" customFormat="1" ht="12.75" hidden="1" customHeight="1" outlineLevel="1" x14ac:dyDescent="0.2">
      <c r="A401" s="215" t="s">
        <v>1279</v>
      </c>
      <c r="B401" s="224" t="s">
        <v>1932</v>
      </c>
      <c r="C401" s="225" t="s">
        <v>3027</v>
      </c>
      <c r="D401" s="226" t="s">
        <v>11</v>
      </c>
      <c r="E401" s="227">
        <v>125</v>
      </c>
      <c r="F401" s="227"/>
      <c r="G401" s="225"/>
      <c r="H401" s="235">
        <f t="shared" si="14"/>
        <v>0</v>
      </c>
      <c r="I401" s="241"/>
    </row>
    <row r="402" spans="1:9" s="215" customFormat="1" ht="12.75" hidden="1" customHeight="1" outlineLevel="1" x14ac:dyDescent="0.2">
      <c r="A402" s="215" t="s">
        <v>1279</v>
      </c>
      <c r="B402" s="228" t="s">
        <v>2248</v>
      </c>
      <c r="C402" s="229" t="s">
        <v>3028</v>
      </c>
      <c r="D402" s="230" t="s">
        <v>11</v>
      </c>
      <c r="E402" s="231">
        <v>258.17</v>
      </c>
      <c r="F402" s="231">
        <v>93.69</v>
      </c>
      <c r="G402" s="229"/>
      <c r="H402" s="235">
        <f t="shared" si="14"/>
        <v>0</v>
      </c>
      <c r="I402" s="241"/>
    </row>
    <row r="403" spans="1:9" s="215" customFormat="1" ht="12.75" hidden="1" customHeight="1" outlineLevel="1" x14ac:dyDescent="0.2">
      <c r="A403" s="215" t="s">
        <v>1279</v>
      </c>
      <c r="B403" s="216" t="s">
        <v>1463</v>
      </c>
      <c r="C403" s="217" t="s">
        <v>2964</v>
      </c>
      <c r="D403" s="218"/>
      <c r="E403" s="219"/>
      <c r="F403" s="219"/>
    </row>
    <row r="404" spans="1:9" s="215" customFormat="1" ht="12.75" hidden="1" customHeight="1" outlineLevel="1" x14ac:dyDescent="0.2">
      <c r="A404" s="215" t="s">
        <v>1279</v>
      </c>
      <c r="B404" s="224" t="s">
        <v>1464</v>
      </c>
      <c r="C404" s="225" t="s">
        <v>3026</v>
      </c>
      <c r="D404" s="226" t="s">
        <v>11</v>
      </c>
      <c r="E404" s="227">
        <v>528.07000000000005</v>
      </c>
      <c r="F404" s="227"/>
    </row>
    <row r="405" spans="1:9" s="215" customFormat="1" ht="12.75" hidden="1" customHeight="1" outlineLevel="1" x14ac:dyDescent="0.2">
      <c r="A405" s="215" t="s">
        <v>1279</v>
      </c>
      <c r="B405" s="228" t="s">
        <v>2249</v>
      </c>
      <c r="C405" s="229" t="s">
        <v>3027</v>
      </c>
      <c r="D405" s="230" t="s">
        <v>11</v>
      </c>
      <c r="E405" s="231">
        <v>121.34</v>
      </c>
      <c r="F405" s="231"/>
    </row>
    <row r="406" spans="1:9" s="215" customFormat="1" ht="12.75" hidden="1" customHeight="1" outlineLevel="1" x14ac:dyDescent="0.2">
      <c r="A406" s="215" t="s">
        <v>1279</v>
      </c>
      <c r="B406" s="224" t="s">
        <v>2250</v>
      </c>
      <c r="C406" s="225" t="s">
        <v>3028</v>
      </c>
      <c r="D406" s="226" t="s">
        <v>11</v>
      </c>
      <c r="E406" s="227">
        <v>258.07</v>
      </c>
      <c r="F406" s="227">
        <v>94.77</v>
      </c>
    </row>
    <row r="407" spans="1:9" s="215" customFormat="1" ht="12.75" hidden="1" customHeight="1" outlineLevel="1" x14ac:dyDescent="0.2">
      <c r="A407" s="215" t="s">
        <v>1279</v>
      </c>
      <c r="B407" s="216" t="s">
        <v>1465</v>
      </c>
      <c r="C407" s="217" t="s">
        <v>2965</v>
      </c>
      <c r="D407" s="218"/>
      <c r="E407" s="219"/>
      <c r="F407" s="219"/>
    </row>
    <row r="408" spans="1:9" s="215" customFormat="1" ht="12.75" hidden="1" customHeight="1" outlineLevel="1" x14ac:dyDescent="0.2">
      <c r="A408" s="215" t="s">
        <v>1279</v>
      </c>
      <c r="B408" s="228" t="s">
        <v>1466</v>
      </c>
      <c r="C408" s="229" t="s">
        <v>3026</v>
      </c>
      <c r="D408" s="230" t="s">
        <v>11</v>
      </c>
      <c r="E408" s="231">
        <v>495.71</v>
      </c>
      <c r="F408" s="231"/>
    </row>
    <row r="409" spans="1:9" s="215" customFormat="1" ht="12.75" hidden="1" customHeight="1" outlineLevel="1" x14ac:dyDescent="0.2">
      <c r="A409" s="215" t="s">
        <v>1279</v>
      </c>
      <c r="B409" s="224" t="s">
        <v>2251</v>
      </c>
      <c r="C409" s="225" t="s">
        <v>3027</v>
      </c>
      <c r="D409" s="226" t="s">
        <v>11</v>
      </c>
      <c r="E409" s="227">
        <v>125</v>
      </c>
      <c r="F409" s="227"/>
    </row>
    <row r="410" spans="1:9" s="215" customFormat="1" ht="12.75" hidden="1" customHeight="1" outlineLevel="1" x14ac:dyDescent="0.2">
      <c r="A410" s="215" t="s">
        <v>1279</v>
      </c>
      <c r="B410" s="228" t="s">
        <v>2252</v>
      </c>
      <c r="C410" s="229" t="s">
        <v>3028</v>
      </c>
      <c r="D410" s="230" t="s">
        <v>11</v>
      </c>
      <c r="E410" s="231">
        <v>255.65</v>
      </c>
      <c r="F410" s="231">
        <v>93.69</v>
      </c>
    </row>
    <row r="411" spans="1:9" s="215" customFormat="1" ht="12.75" hidden="1" customHeight="1" outlineLevel="1" x14ac:dyDescent="0.2">
      <c r="A411" s="215" t="s">
        <v>1279</v>
      </c>
      <c r="B411" s="216" t="s">
        <v>1467</v>
      </c>
      <c r="C411" s="217" t="s">
        <v>2966</v>
      </c>
      <c r="D411" s="218"/>
      <c r="E411" s="219"/>
      <c r="F411" s="219"/>
    </row>
    <row r="412" spans="1:9" s="215" customFormat="1" ht="12.75" hidden="1" customHeight="1" outlineLevel="1" x14ac:dyDescent="0.2">
      <c r="A412" s="215" t="s">
        <v>1279</v>
      </c>
      <c r="B412" s="224" t="s">
        <v>1468</v>
      </c>
      <c r="C412" s="225" t="s">
        <v>3026</v>
      </c>
      <c r="D412" s="226" t="s">
        <v>11</v>
      </c>
      <c r="E412" s="227">
        <v>528.05999999999995</v>
      </c>
      <c r="F412" s="227"/>
    </row>
    <row r="413" spans="1:9" s="215" customFormat="1" ht="12.75" hidden="1" customHeight="1" outlineLevel="1" x14ac:dyDescent="0.2">
      <c r="A413" s="215" t="s">
        <v>1279</v>
      </c>
      <c r="B413" s="228" t="s">
        <v>2253</v>
      </c>
      <c r="C413" s="229" t="s">
        <v>3027</v>
      </c>
      <c r="D413" s="230" t="s">
        <v>11</v>
      </c>
      <c r="E413" s="231">
        <v>121.32</v>
      </c>
      <c r="F413" s="231"/>
    </row>
    <row r="414" spans="1:9" s="215" customFormat="1" ht="12.75" hidden="1" customHeight="1" outlineLevel="1" x14ac:dyDescent="0.2">
      <c r="A414" s="215" t="s">
        <v>1279</v>
      </c>
      <c r="B414" s="224" t="s">
        <v>2254</v>
      </c>
      <c r="C414" s="225" t="s">
        <v>3028</v>
      </c>
      <c r="D414" s="226" t="s">
        <v>11</v>
      </c>
      <c r="E414" s="227">
        <v>258.5</v>
      </c>
      <c r="F414" s="227">
        <v>94.77</v>
      </c>
    </row>
    <row r="415" spans="1:9" s="215" customFormat="1" ht="12.75" hidden="1" customHeight="1" outlineLevel="1" x14ac:dyDescent="0.2">
      <c r="A415" s="215" t="s">
        <v>1279</v>
      </c>
      <c r="B415" s="216" t="s">
        <v>1469</v>
      </c>
      <c r="C415" s="217" t="s">
        <v>2967</v>
      </c>
      <c r="D415" s="218"/>
      <c r="E415" s="219"/>
      <c r="F415" s="219"/>
    </row>
    <row r="416" spans="1:9" s="215" customFormat="1" ht="12.75" hidden="1" customHeight="1" outlineLevel="1" x14ac:dyDescent="0.2">
      <c r="A416" s="215" t="s">
        <v>1279</v>
      </c>
      <c r="B416" s="228" t="s">
        <v>1470</v>
      </c>
      <c r="C416" s="229" t="s">
        <v>3026</v>
      </c>
      <c r="D416" s="230" t="s">
        <v>11</v>
      </c>
      <c r="E416" s="231">
        <v>495.71</v>
      </c>
      <c r="F416" s="231"/>
    </row>
    <row r="417" spans="1:6" s="215" customFormat="1" ht="12.75" hidden="1" customHeight="1" outlineLevel="1" x14ac:dyDescent="0.2">
      <c r="A417" s="215" t="s">
        <v>1279</v>
      </c>
      <c r="B417" s="224" t="s">
        <v>2255</v>
      </c>
      <c r="C417" s="225" t="s">
        <v>3027</v>
      </c>
      <c r="D417" s="226" t="s">
        <v>11</v>
      </c>
      <c r="E417" s="227">
        <v>125</v>
      </c>
      <c r="F417" s="227"/>
    </row>
    <row r="418" spans="1:6" s="215" customFormat="1" ht="12.75" hidden="1" customHeight="1" outlineLevel="1" x14ac:dyDescent="0.2">
      <c r="A418" s="215" t="s">
        <v>1279</v>
      </c>
      <c r="B418" s="228" t="s">
        <v>2256</v>
      </c>
      <c r="C418" s="229" t="s">
        <v>3028</v>
      </c>
      <c r="D418" s="230" t="s">
        <v>11</v>
      </c>
      <c r="E418" s="231">
        <v>255.65</v>
      </c>
      <c r="F418" s="231">
        <v>93.69</v>
      </c>
    </row>
    <row r="419" spans="1:6" s="215" customFormat="1" ht="12.75" hidden="1" customHeight="1" outlineLevel="1" x14ac:dyDescent="0.2">
      <c r="A419" s="215" t="s">
        <v>1279</v>
      </c>
      <c r="B419" s="216" t="s">
        <v>1471</v>
      </c>
      <c r="C419" s="217" t="s">
        <v>2968</v>
      </c>
      <c r="D419" s="218"/>
      <c r="E419" s="219"/>
      <c r="F419" s="219"/>
    </row>
    <row r="420" spans="1:6" s="215" customFormat="1" ht="12.75" hidden="1" customHeight="1" outlineLevel="1" x14ac:dyDescent="0.2">
      <c r="A420" s="215" t="s">
        <v>1279</v>
      </c>
      <c r="B420" s="224" t="s">
        <v>1472</v>
      </c>
      <c r="C420" s="225" t="s">
        <v>3026</v>
      </c>
      <c r="D420" s="226" t="s">
        <v>11</v>
      </c>
      <c r="E420" s="227">
        <v>528.05999999999995</v>
      </c>
      <c r="F420" s="227"/>
    </row>
    <row r="421" spans="1:6" s="215" customFormat="1" ht="12.75" hidden="1" customHeight="1" outlineLevel="1" x14ac:dyDescent="0.2">
      <c r="A421" s="215" t="s">
        <v>1279</v>
      </c>
      <c r="B421" s="228" t="s">
        <v>2257</v>
      </c>
      <c r="C421" s="229" t="s">
        <v>3027</v>
      </c>
      <c r="D421" s="230" t="s">
        <v>11</v>
      </c>
      <c r="E421" s="231">
        <v>121.32</v>
      </c>
      <c r="F421" s="231"/>
    </row>
    <row r="422" spans="1:6" s="215" customFormat="1" ht="12.75" hidden="1" customHeight="1" outlineLevel="1" x14ac:dyDescent="0.2">
      <c r="A422" s="215" t="s">
        <v>1279</v>
      </c>
      <c r="B422" s="224" t="s">
        <v>2258</v>
      </c>
      <c r="C422" s="225" t="s">
        <v>3028</v>
      </c>
      <c r="D422" s="226" t="s">
        <v>11</v>
      </c>
      <c r="E422" s="227">
        <v>258.5</v>
      </c>
      <c r="F422" s="227">
        <v>94.77</v>
      </c>
    </row>
    <row r="423" spans="1:6" s="215" customFormat="1" ht="12.75" hidden="1" customHeight="1" outlineLevel="1" x14ac:dyDescent="0.2">
      <c r="A423" s="215" t="s">
        <v>1279</v>
      </c>
      <c r="B423" s="216" t="s">
        <v>1473</v>
      </c>
      <c r="C423" s="217" t="s">
        <v>2969</v>
      </c>
      <c r="D423" s="218"/>
      <c r="E423" s="219"/>
      <c r="F423" s="219"/>
    </row>
    <row r="424" spans="1:6" s="215" customFormat="1" ht="12.75" hidden="1" customHeight="1" outlineLevel="1" x14ac:dyDescent="0.2">
      <c r="A424" s="215" t="s">
        <v>1279</v>
      </c>
      <c r="B424" s="228" t="s">
        <v>1474</v>
      </c>
      <c r="C424" s="229" t="s">
        <v>3026</v>
      </c>
      <c r="D424" s="230" t="s">
        <v>11</v>
      </c>
      <c r="E424" s="231">
        <v>495.71</v>
      </c>
      <c r="F424" s="231"/>
    </row>
    <row r="425" spans="1:6" s="215" customFormat="1" ht="12.75" hidden="1" customHeight="1" outlineLevel="1" x14ac:dyDescent="0.2">
      <c r="A425" s="215" t="s">
        <v>1279</v>
      </c>
      <c r="B425" s="224" t="s">
        <v>2259</v>
      </c>
      <c r="C425" s="225" t="s">
        <v>3027</v>
      </c>
      <c r="D425" s="226" t="s">
        <v>11</v>
      </c>
      <c r="E425" s="227">
        <v>125</v>
      </c>
      <c r="F425" s="227"/>
    </row>
    <row r="426" spans="1:6" s="215" customFormat="1" ht="12.75" hidden="1" customHeight="1" outlineLevel="1" x14ac:dyDescent="0.2">
      <c r="A426" s="215" t="s">
        <v>1279</v>
      </c>
      <c r="B426" s="228" t="s">
        <v>2260</v>
      </c>
      <c r="C426" s="229" t="s">
        <v>3028</v>
      </c>
      <c r="D426" s="230" t="s">
        <v>11</v>
      </c>
      <c r="E426" s="231">
        <v>255.65</v>
      </c>
      <c r="F426" s="231">
        <v>93.69</v>
      </c>
    </row>
    <row r="427" spans="1:6" s="215" customFormat="1" ht="12.75" hidden="1" customHeight="1" outlineLevel="1" x14ac:dyDescent="0.2">
      <c r="A427" s="215" t="s">
        <v>1279</v>
      </c>
      <c r="B427" s="216" t="s">
        <v>1475</v>
      </c>
      <c r="C427" s="217" t="s">
        <v>2970</v>
      </c>
      <c r="D427" s="218"/>
      <c r="E427" s="219"/>
      <c r="F427" s="219"/>
    </row>
    <row r="428" spans="1:6" s="215" customFormat="1" ht="12.75" hidden="1" customHeight="1" outlineLevel="1" x14ac:dyDescent="0.2">
      <c r="A428" s="215" t="s">
        <v>1279</v>
      </c>
      <c r="B428" s="224" t="s">
        <v>1476</v>
      </c>
      <c r="C428" s="225" t="s">
        <v>3026</v>
      </c>
      <c r="D428" s="226" t="s">
        <v>11</v>
      </c>
      <c r="E428" s="227">
        <v>526.9</v>
      </c>
      <c r="F428" s="227"/>
    </row>
    <row r="429" spans="1:6" s="215" customFormat="1" ht="12.75" hidden="1" customHeight="1" outlineLevel="1" x14ac:dyDescent="0.2">
      <c r="A429" s="215" t="s">
        <v>1279</v>
      </c>
      <c r="B429" s="228" t="s">
        <v>2261</v>
      </c>
      <c r="C429" s="229" t="s">
        <v>3027</v>
      </c>
      <c r="D429" s="230" t="s">
        <v>11</v>
      </c>
      <c r="E429" s="231">
        <v>121.32</v>
      </c>
      <c r="F429" s="231"/>
    </row>
    <row r="430" spans="1:6" s="215" customFormat="1" ht="12.75" hidden="1" customHeight="1" outlineLevel="1" x14ac:dyDescent="0.2">
      <c r="A430" s="215" t="s">
        <v>1279</v>
      </c>
      <c r="B430" s="224" t="s">
        <v>2262</v>
      </c>
      <c r="C430" s="225" t="s">
        <v>3028</v>
      </c>
      <c r="D430" s="226" t="s">
        <v>11</v>
      </c>
      <c r="E430" s="227">
        <v>258.18</v>
      </c>
      <c r="F430" s="227">
        <v>94.77</v>
      </c>
    </row>
    <row r="431" spans="1:6" s="215" customFormat="1" ht="12.75" hidden="1" customHeight="1" outlineLevel="1" x14ac:dyDescent="0.2">
      <c r="A431" s="215" t="s">
        <v>1279</v>
      </c>
      <c r="B431" s="216" t="s">
        <v>1477</v>
      </c>
      <c r="C431" s="217" t="s">
        <v>2971</v>
      </c>
      <c r="D431" s="218"/>
      <c r="E431" s="219"/>
      <c r="F431" s="219"/>
    </row>
    <row r="432" spans="1:6" s="215" customFormat="1" ht="12.75" hidden="1" customHeight="1" outlineLevel="1" x14ac:dyDescent="0.2">
      <c r="A432" s="215" t="s">
        <v>1279</v>
      </c>
      <c r="B432" s="228" t="s">
        <v>1478</v>
      </c>
      <c r="C432" s="229" t="s">
        <v>3026</v>
      </c>
      <c r="D432" s="230" t="s">
        <v>11</v>
      </c>
      <c r="E432" s="231">
        <v>599.70000000000005</v>
      </c>
      <c r="F432" s="231"/>
    </row>
    <row r="433" spans="1:6" s="215" customFormat="1" ht="12.75" hidden="1" customHeight="1" outlineLevel="1" x14ac:dyDescent="0.2">
      <c r="A433" s="215" t="s">
        <v>1279</v>
      </c>
      <c r="B433" s="224" t="s">
        <v>2263</v>
      </c>
      <c r="C433" s="225" t="s">
        <v>3027</v>
      </c>
      <c r="D433" s="226" t="s">
        <v>11</v>
      </c>
      <c r="E433" s="227">
        <v>128.19999999999999</v>
      </c>
      <c r="F433" s="227"/>
    </row>
    <row r="434" spans="1:6" s="215" customFormat="1" ht="12.75" hidden="1" customHeight="1" outlineLevel="1" x14ac:dyDescent="0.2">
      <c r="A434" s="215" t="s">
        <v>1279</v>
      </c>
      <c r="B434" s="228" t="s">
        <v>2264</v>
      </c>
      <c r="C434" s="229" t="s">
        <v>3028</v>
      </c>
      <c r="D434" s="230" t="s">
        <v>11</v>
      </c>
      <c r="E434" s="231">
        <v>281.95999999999998</v>
      </c>
      <c r="F434" s="231">
        <v>104.84</v>
      </c>
    </row>
    <row r="435" spans="1:6" s="215" customFormat="1" ht="12.75" hidden="1" customHeight="1" outlineLevel="1" x14ac:dyDescent="0.2">
      <c r="A435" s="215" t="s">
        <v>1279</v>
      </c>
      <c r="B435" s="216" t="s">
        <v>1479</v>
      </c>
      <c r="C435" s="217" t="s">
        <v>2972</v>
      </c>
      <c r="D435" s="218"/>
      <c r="E435" s="219"/>
      <c r="F435" s="219"/>
    </row>
    <row r="436" spans="1:6" s="215" customFormat="1" ht="12.75" hidden="1" customHeight="1" outlineLevel="1" x14ac:dyDescent="0.2">
      <c r="A436" s="215" t="s">
        <v>1279</v>
      </c>
      <c r="B436" s="224" t="s">
        <v>1480</v>
      </c>
      <c r="C436" s="225" t="s">
        <v>3026</v>
      </c>
      <c r="D436" s="226" t="s">
        <v>11</v>
      </c>
      <c r="E436" s="227">
        <v>312.07</v>
      </c>
      <c r="F436" s="227"/>
    </row>
    <row r="437" spans="1:6" s="215" customFormat="1" ht="12.75" hidden="1" customHeight="1" outlineLevel="1" x14ac:dyDescent="0.2">
      <c r="A437" s="215" t="s">
        <v>1279</v>
      </c>
      <c r="B437" s="228" t="s">
        <v>2265</v>
      </c>
      <c r="C437" s="229" t="s">
        <v>3027</v>
      </c>
      <c r="D437" s="230" t="s">
        <v>11</v>
      </c>
      <c r="E437" s="231">
        <v>113.26</v>
      </c>
      <c r="F437" s="231"/>
    </row>
    <row r="438" spans="1:6" s="215" customFormat="1" ht="12.75" hidden="1" customHeight="1" outlineLevel="1" x14ac:dyDescent="0.2">
      <c r="A438" s="215" t="s">
        <v>1279</v>
      </c>
      <c r="B438" s="224" t="s">
        <v>2266</v>
      </c>
      <c r="C438" s="225" t="s">
        <v>3028</v>
      </c>
      <c r="D438" s="226" t="s">
        <v>11</v>
      </c>
      <c r="E438" s="227">
        <v>63.7</v>
      </c>
      <c r="F438" s="227"/>
    </row>
    <row r="439" spans="1:6" s="215" customFormat="1" ht="12.75" hidden="1" customHeight="1" outlineLevel="1" x14ac:dyDescent="0.2">
      <c r="A439" s="215" t="s">
        <v>1279</v>
      </c>
      <c r="B439" s="216" t="s">
        <v>1481</v>
      </c>
      <c r="C439" s="217" t="s">
        <v>2973</v>
      </c>
      <c r="D439" s="218"/>
      <c r="E439" s="219"/>
      <c r="F439" s="219"/>
    </row>
    <row r="440" spans="1:6" s="215" customFormat="1" ht="12.75" hidden="1" customHeight="1" outlineLevel="1" x14ac:dyDescent="0.2">
      <c r="A440" s="215" t="s">
        <v>1279</v>
      </c>
      <c r="B440" s="228" t="s">
        <v>1482</v>
      </c>
      <c r="C440" s="229" t="s">
        <v>3026</v>
      </c>
      <c r="D440" s="230" t="s">
        <v>11</v>
      </c>
      <c r="E440" s="231">
        <v>301.02</v>
      </c>
      <c r="F440" s="231"/>
    </row>
    <row r="441" spans="1:6" s="215" customFormat="1" ht="12.75" hidden="1" customHeight="1" outlineLevel="1" x14ac:dyDescent="0.2">
      <c r="A441" s="215" t="s">
        <v>1279</v>
      </c>
      <c r="B441" s="224" t="s">
        <v>2267</v>
      </c>
      <c r="C441" s="225" t="s">
        <v>3027</v>
      </c>
      <c r="D441" s="226" t="s">
        <v>11</v>
      </c>
      <c r="E441" s="227">
        <v>82.27</v>
      </c>
      <c r="F441" s="227"/>
    </row>
    <row r="442" spans="1:6" s="215" customFormat="1" ht="12.75" hidden="1" customHeight="1" outlineLevel="1" x14ac:dyDescent="0.2">
      <c r="A442" s="215" t="s">
        <v>1279</v>
      </c>
      <c r="B442" s="228" t="s">
        <v>2268</v>
      </c>
      <c r="C442" s="229" t="s">
        <v>3028</v>
      </c>
      <c r="D442" s="230" t="s">
        <v>11</v>
      </c>
      <c r="E442" s="231">
        <v>81.34</v>
      </c>
      <c r="F442" s="231">
        <v>29.81</v>
      </c>
    </row>
    <row r="443" spans="1:6" s="215" customFormat="1" ht="12.75" hidden="1" customHeight="1" outlineLevel="1" x14ac:dyDescent="0.2">
      <c r="A443" s="215" t="s">
        <v>1279</v>
      </c>
      <c r="B443" s="216" t="s">
        <v>1483</v>
      </c>
      <c r="C443" s="217" t="s">
        <v>2974</v>
      </c>
      <c r="D443" s="218"/>
      <c r="E443" s="219"/>
      <c r="F443" s="219"/>
    </row>
    <row r="444" spans="1:6" s="215" customFormat="1" ht="12.75" hidden="1" customHeight="1" outlineLevel="1" x14ac:dyDescent="0.2">
      <c r="A444" s="215" t="s">
        <v>1279</v>
      </c>
      <c r="B444" s="224" t="s">
        <v>1484</v>
      </c>
      <c r="C444" s="225" t="s">
        <v>3026</v>
      </c>
      <c r="D444" s="226" t="s">
        <v>11</v>
      </c>
      <c r="E444" s="227">
        <v>248.14</v>
      </c>
      <c r="F444" s="227"/>
    </row>
    <row r="445" spans="1:6" s="215" customFormat="1" ht="12.75" hidden="1" customHeight="1" outlineLevel="1" x14ac:dyDescent="0.2">
      <c r="A445" s="215" t="s">
        <v>1279</v>
      </c>
      <c r="B445" s="228" t="s">
        <v>1933</v>
      </c>
      <c r="C445" s="229" t="s">
        <v>3027</v>
      </c>
      <c r="D445" s="230" t="s">
        <v>11</v>
      </c>
      <c r="E445" s="231">
        <v>78.66</v>
      </c>
      <c r="F445" s="231"/>
    </row>
    <row r="446" spans="1:6" s="215" customFormat="1" ht="12.75" hidden="1" customHeight="1" outlineLevel="1" x14ac:dyDescent="0.2">
      <c r="A446" s="215" t="s">
        <v>1279</v>
      </c>
      <c r="B446" s="224" t="s">
        <v>2269</v>
      </c>
      <c r="C446" s="225" t="s">
        <v>3028</v>
      </c>
      <c r="D446" s="226" t="s">
        <v>11</v>
      </c>
      <c r="E446" s="227">
        <v>116.4</v>
      </c>
      <c r="F446" s="227">
        <v>35.130000000000003</v>
      </c>
    </row>
    <row r="447" spans="1:6" s="215" customFormat="1" ht="12.75" hidden="1" customHeight="1" outlineLevel="1" x14ac:dyDescent="0.2">
      <c r="A447" s="215" t="s">
        <v>1279</v>
      </c>
      <c r="B447" s="216" t="s">
        <v>1485</v>
      </c>
      <c r="C447" s="217" t="s">
        <v>2975</v>
      </c>
      <c r="D447" s="218"/>
      <c r="E447" s="219"/>
      <c r="F447" s="219"/>
    </row>
    <row r="448" spans="1:6" s="215" customFormat="1" ht="12.75" hidden="1" customHeight="1" outlineLevel="1" x14ac:dyDescent="0.2">
      <c r="A448" s="215" t="s">
        <v>1279</v>
      </c>
      <c r="B448" s="228" t="s">
        <v>1486</v>
      </c>
      <c r="C448" s="229" t="s">
        <v>3026</v>
      </c>
      <c r="D448" s="230" t="s">
        <v>11</v>
      </c>
      <c r="E448" s="231">
        <v>321.3</v>
      </c>
      <c r="F448" s="231"/>
    </row>
    <row r="449" spans="1:6" s="215" customFormat="1" ht="12.75" hidden="1" customHeight="1" outlineLevel="1" x14ac:dyDescent="0.2">
      <c r="A449" s="215" t="s">
        <v>1279</v>
      </c>
      <c r="B449" s="224" t="s">
        <v>2270</v>
      </c>
      <c r="C449" s="225" t="s">
        <v>3027</v>
      </c>
      <c r="D449" s="226" t="s">
        <v>11</v>
      </c>
      <c r="E449" s="227">
        <v>79.28</v>
      </c>
      <c r="F449" s="227"/>
    </row>
    <row r="450" spans="1:6" s="215" customFormat="1" ht="12.75" hidden="1" customHeight="1" outlineLevel="1" x14ac:dyDescent="0.2">
      <c r="A450" s="215" t="s">
        <v>1279</v>
      </c>
      <c r="B450" s="228" t="s">
        <v>2271</v>
      </c>
      <c r="C450" s="229" t="s">
        <v>3028</v>
      </c>
      <c r="D450" s="230" t="s">
        <v>11</v>
      </c>
      <c r="E450" s="231">
        <v>81.53</v>
      </c>
      <c r="F450" s="231">
        <v>29.91</v>
      </c>
    </row>
    <row r="451" spans="1:6" s="215" customFormat="1" ht="12.75" hidden="1" customHeight="1" outlineLevel="1" x14ac:dyDescent="0.2">
      <c r="A451" s="215" t="s">
        <v>1279</v>
      </c>
      <c r="B451" s="216" t="s">
        <v>1487</v>
      </c>
      <c r="C451" s="217" t="s">
        <v>2976</v>
      </c>
      <c r="D451" s="218"/>
      <c r="E451" s="219"/>
      <c r="F451" s="219"/>
    </row>
    <row r="452" spans="1:6" s="215" customFormat="1" ht="12.75" hidden="1" customHeight="1" outlineLevel="1" x14ac:dyDescent="0.2">
      <c r="A452" s="215" t="s">
        <v>1279</v>
      </c>
      <c r="B452" s="224" t="s">
        <v>1488</v>
      </c>
      <c r="C452" s="225" t="s">
        <v>3026</v>
      </c>
      <c r="D452" s="226" t="s">
        <v>11</v>
      </c>
      <c r="E452" s="227">
        <v>299.5</v>
      </c>
      <c r="F452" s="227"/>
    </row>
    <row r="453" spans="1:6" s="215" customFormat="1" ht="12.75" hidden="1" customHeight="1" outlineLevel="1" x14ac:dyDescent="0.2">
      <c r="A453" s="215" t="s">
        <v>1279</v>
      </c>
      <c r="B453" s="228" t="s">
        <v>3029</v>
      </c>
      <c r="C453" s="229" t="s">
        <v>3027</v>
      </c>
      <c r="D453" s="230" t="s">
        <v>11</v>
      </c>
      <c r="E453" s="231">
        <v>87.09</v>
      </c>
      <c r="F453" s="231"/>
    </row>
    <row r="454" spans="1:6" s="215" customFormat="1" ht="12.75" hidden="1" customHeight="1" outlineLevel="1" x14ac:dyDescent="0.2">
      <c r="A454" s="215" t="s">
        <v>1279</v>
      </c>
      <c r="B454" s="224" t="s">
        <v>3030</v>
      </c>
      <c r="C454" s="225" t="s">
        <v>3028</v>
      </c>
      <c r="D454" s="226" t="s">
        <v>11</v>
      </c>
      <c r="E454" s="227">
        <v>121.53</v>
      </c>
      <c r="F454" s="227">
        <v>38.659999999999997</v>
      </c>
    </row>
    <row r="455" spans="1:6" s="215" customFormat="1" ht="12.75" hidden="1" customHeight="1" outlineLevel="1" x14ac:dyDescent="0.2">
      <c r="A455" s="215" t="s">
        <v>1279</v>
      </c>
      <c r="B455" s="216" t="s">
        <v>2016</v>
      </c>
      <c r="C455" s="217" t="s">
        <v>2978</v>
      </c>
      <c r="D455" s="218"/>
      <c r="E455" s="219"/>
      <c r="F455" s="219"/>
    </row>
    <row r="456" spans="1:6" s="215" customFormat="1" ht="12.75" hidden="1" customHeight="1" outlineLevel="1" x14ac:dyDescent="0.2">
      <c r="A456" s="215" t="s">
        <v>1279</v>
      </c>
      <c r="B456" s="228" t="s">
        <v>2017</v>
      </c>
      <c r="C456" s="229" t="s">
        <v>3026</v>
      </c>
      <c r="D456" s="230" t="s">
        <v>11</v>
      </c>
      <c r="E456" s="231">
        <v>148.78</v>
      </c>
      <c r="F456" s="231"/>
    </row>
    <row r="457" spans="1:6" s="215" customFormat="1" ht="12.75" hidden="1" customHeight="1" outlineLevel="1" x14ac:dyDescent="0.2">
      <c r="A457" s="215" t="s">
        <v>1279</v>
      </c>
      <c r="B457" s="224" t="s">
        <v>2272</v>
      </c>
      <c r="C457" s="225" t="s">
        <v>3027</v>
      </c>
      <c r="D457" s="226" t="s">
        <v>11</v>
      </c>
      <c r="E457" s="227">
        <v>61.38</v>
      </c>
      <c r="F457" s="227"/>
    </row>
    <row r="458" spans="1:6" s="215" customFormat="1" ht="12.75" hidden="1" customHeight="1" outlineLevel="1" x14ac:dyDescent="0.2">
      <c r="A458" s="215" t="s">
        <v>1279</v>
      </c>
      <c r="B458" s="228" t="s">
        <v>3031</v>
      </c>
      <c r="C458" s="229" t="s">
        <v>3028</v>
      </c>
      <c r="D458" s="230" t="s">
        <v>11</v>
      </c>
      <c r="E458" s="231">
        <v>22.11</v>
      </c>
      <c r="F458" s="231">
        <v>5.74</v>
      </c>
    </row>
    <row r="459" spans="1:6" s="215" customFormat="1" ht="12.75" hidden="1" customHeight="1" outlineLevel="1" x14ac:dyDescent="0.2">
      <c r="A459" s="215" t="s">
        <v>1279</v>
      </c>
      <c r="B459" s="216" t="s">
        <v>2273</v>
      </c>
      <c r="C459" s="217" t="s">
        <v>2980</v>
      </c>
      <c r="D459" s="218"/>
      <c r="E459" s="219"/>
      <c r="F459" s="219"/>
    </row>
    <row r="460" spans="1:6" s="215" customFormat="1" ht="12.75" hidden="1" customHeight="1" outlineLevel="1" x14ac:dyDescent="0.2">
      <c r="A460" s="215" t="s">
        <v>1279</v>
      </c>
      <c r="B460" s="224" t="s">
        <v>2274</v>
      </c>
      <c r="C460" s="225" t="s">
        <v>3026</v>
      </c>
      <c r="D460" s="226" t="s">
        <v>11</v>
      </c>
      <c r="E460" s="227">
        <v>165.76</v>
      </c>
      <c r="F460" s="227"/>
    </row>
    <row r="461" spans="1:6" s="215" customFormat="1" ht="12.75" hidden="1" customHeight="1" outlineLevel="1" x14ac:dyDescent="0.2">
      <c r="A461" s="215" t="s">
        <v>1279</v>
      </c>
      <c r="B461" s="228" t="s">
        <v>2275</v>
      </c>
      <c r="C461" s="229" t="s">
        <v>3027</v>
      </c>
      <c r="D461" s="230" t="s">
        <v>11</v>
      </c>
      <c r="E461" s="231">
        <v>65.38</v>
      </c>
      <c r="F461" s="231"/>
    </row>
    <row r="462" spans="1:6" s="215" customFormat="1" ht="12.75" hidden="1" customHeight="1" outlineLevel="1" x14ac:dyDescent="0.2">
      <c r="A462" s="215" t="s">
        <v>1279</v>
      </c>
      <c r="B462" s="216" t="s">
        <v>3032</v>
      </c>
      <c r="C462" s="217" t="s">
        <v>2983</v>
      </c>
      <c r="D462" s="218"/>
      <c r="E462" s="219"/>
      <c r="F462" s="219"/>
    </row>
    <row r="463" spans="1:6" s="215" customFormat="1" ht="12.75" hidden="1" customHeight="1" outlineLevel="1" x14ac:dyDescent="0.2">
      <c r="A463" s="215" t="s">
        <v>1279</v>
      </c>
      <c r="B463" s="224" t="s">
        <v>3033</v>
      </c>
      <c r="C463" s="225" t="s">
        <v>3026</v>
      </c>
      <c r="D463" s="226" t="s">
        <v>11</v>
      </c>
      <c r="E463" s="227">
        <v>68.88</v>
      </c>
      <c r="F463" s="227"/>
    </row>
    <row r="464" spans="1:6" s="215" customFormat="1" ht="12.75" hidden="1" customHeight="1" outlineLevel="1" x14ac:dyDescent="0.2">
      <c r="A464" s="215" t="s">
        <v>1279</v>
      </c>
      <c r="B464" s="228" t="s">
        <v>3034</v>
      </c>
      <c r="C464" s="229" t="s">
        <v>3027</v>
      </c>
      <c r="D464" s="230" t="s">
        <v>11</v>
      </c>
      <c r="E464" s="231">
        <v>85.63</v>
      </c>
      <c r="F464" s="231"/>
    </row>
    <row r="465" spans="1:10" s="215" customFormat="1" collapsed="1" x14ac:dyDescent="0.2">
      <c r="B465" s="515" t="s">
        <v>1489</v>
      </c>
      <c r="C465" s="516" t="s">
        <v>3035</v>
      </c>
      <c r="D465" s="521"/>
      <c r="E465" s="524">
        <f>SUM(E467:E525)</f>
        <v>2077.54</v>
      </c>
      <c r="F465" s="524"/>
      <c r="G465" s="516"/>
      <c r="H465" s="234">
        <f>SUM(H466:H471)</f>
        <v>2077.54</v>
      </c>
      <c r="I465" s="242" t="str">
        <f>IF(H465=E465,"OKAY","REVER")</f>
        <v>OKAY</v>
      </c>
      <c r="J465" s="405"/>
    </row>
    <row r="466" spans="1:10" s="215" customFormat="1" ht="12.75" hidden="1" customHeight="1" outlineLevel="1" x14ac:dyDescent="0.2">
      <c r="A466" s="215" t="s">
        <v>1278</v>
      </c>
      <c r="B466" s="216" t="s">
        <v>1490</v>
      </c>
      <c r="C466" s="217" t="s">
        <v>2955</v>
      </c>
      <c r="D466" s="218"/>
      <c r="E466" s="219"/>
      <c r="F466" s="219"/>
      <c r="G466" s="225" t="s">
        <v>3036</v>
      </c>
      <c r="H466" s="235">
        <f t="shared" ref="H466:H471" si="15">SUMIF($C:$C,G466,$E:$E)</f>
        <v>1712.04</v>
      </c>
      <c r="I466" s="241"/>
    </row>
    <row r="467" spans="1:10" s="215" customFormat="1" ht="12.75" hidden="1" customHeight="1" outlineLevel="1" x14ac:dyDescent="0.2">
      <c r="A467" s="215" t="s">
        <v>1278</v>
      </c>
      <c r="B467" s="224" t="s">
        <v>1491</v>
      </c>
      <c r="C467" s="225" t="s">
        <v>3036</v>
      </c>
      <c r="D467" s="226" t="s">
        <v>11</v>
      </c>
      <c r="E467" s="227">
        <v>30.64</v>
      </c>
      <c r="F467" s="227"/>
      <c r="G467" s="229" t="s">
        <v>3037</v>
      </c>
      <c r="H467" s="235">
        <f t="shared" si="15"/>
        <v>365.5</v>
      </c>
      <c r="I467" s="241"/>
    </row>
    <row r="468" spans="1:10" s="215" customFormat="1" ht="12.75" hidden="1" customHeight="1" outlineLevel="1" x14ac:dyDescent="0.2">
      <c r="A468" s="215" t="s">
        <v>1278</v>
      </c>
      <c r="B468" s="228" t="s">
        <v>1492</v>
      </c>
      <c r="C468" s="229" t="s">
        <v>3037</v>
      </c>
      <c r="D468" s="230" t="s">
        <v>11</v>
      </c>
      <c r="E468" s="231">
        <v>7.5</v>
      </c>
      <c r="F468" s="231"/>
      <c r="G468" s="225"/>
      <c r="H468" s="235">
        <f t="shared" si="15"/>
        <v>0</v>
      </c>
      <c r="I468" s="241"/>
    </row>
    <row r="469" spans="1:10" s="215" customFormat="1" ht="12.75" hidden="1" customHeight="1" outlineLevel="1" x14ac:dyDescent="0.2">
      <c r="A469" s="215" t="s">
        <v>1278</v>
      </c>
      <c r="B469" s="216" t="s">
        <v>1493</v>
      </c>
      <c r="C469" s="217" t="s">
        <v>2958</v>
      </c>
      <c r="D469" s="218"/>
      <c r="E469" s="219"/>
      <c r="F469" s="219"/>
      <c r="G469" s="229"/>
      <c r="H469" s="235">
        <f t="shared" si="15"/>
        <v>0</v>
      </c>
      <c r="I469" s="241"/>
    </row>
    <row r="470" spans="1:10" s="215" customFormat="1" ht="12.75" hidden="1" customHeight="1" outlineLevel="1" x14ac:dyDescent="0.2">
      <c r="A470" s="215" t="s">
        <v>1278</v>
      </c>
      <c r="B470" s="224" t="s">
        <v>1494</v>
      </c>
      <c r="C470" s="225" t="s">
        <v>3036</v>
      </c>
      <c r="D470" s="226" t="s">
        <v>11</v>
      </c>
      <c r="E470" s="227">
        <v>94.62</v>
      </c>
      <c r="F470" s="227"/>
      <c r="G470" s="225"/>
      <c r="H470" s="235">
        <f t="shared" si="15"/>
        <v>0</v>
      </c>
      <c r="I470" s="241"/>
    </row>
    <row r="471" spans="1:10" s="215" customFormat="1" ht="12.75" hidden="1" customHeight="1" outlineLevel="1" x14ac:dyDescent="0.2">
      <c r="A471" s="215" t="s">
        <v>1278</v>
      </c>
      <c r="B471" s="228" t="s">
        <v>2470</v>
      </c>
      <c r="C471" s="229" t="s">
        <v>3037</v>
      </c>
      <c r="D471" s="230" t="s">
        <v>11</v>
      </c>
      <c r="E471" s="231">
        <v>14.59</v>
      </c>
      <c r="F471" s="231"/>
      <c r="G471" s="229"/>
      <c r="H471" s="235">
        <f t="shared" si="15"/>
        <v>0</v>
      </c>
      <c r="I471" s="241"/>
    </row>
    <row r="472" spans="1:10" s="215" customFormat="1" ht="12.75" hidden="1" customHeight="1" outlineLevel="1" x14ac:dyDescent="0.2">
      <c r="A472" s="215" t="s">
        <v>1279</v>
      </c>
      <c r="B472" s="216" t="s">
        <v>1495</v>
      </c>
      <c r="C472" s="217" t="s">
        <v>2960</v>
      </c>
      <c r="D472" s="218"/>
      <c r="E472" s="219"/>
      <c r="F472" s="219"/>
      <c r="G472" s="198"/>
      <c r="H472" s="198"/>
      <c r="I472" s="198"/>
    </row>
    <row r="473" spans="1:10" s="215" customFormat="1" ht="12.75" hidden="1" customHeight="1" outlineLevel="1" x14ac:dyDescent="0.2">
      <c r="A473" s="215" t="s">
        <v>1279</v>
      </c>
      <c r="B473" s="224" t="s">
        <v>1496</v>
      </c>
      <c r="C473" s="225" t="s">
        <v>3036</v>
      </c>
      <c r="D473" s="226" t="s">
        <v>11</v>
      </c>
      <c r="E473" s="227">
        <v>112.06</v>
      </c>
      <c r="F473" s="227"/>
      <c r="G473" s="520" t="s">
        <v>1732</v>
      </c>
      <c r="H473" s="234">
        <f>H475+H483</f>
        <v>2077.5399999999995</v>
      </c>
      <c r="I473" s="242" t="str">
        <f>IF(H473=H465,"OKAY","REVER")</f>
        <v>OKAY</v>
      </c>
    </row>
    <row r="474" spans="1:10" s="215" customFormat="1" ht="12.75" hidden="1" customHeight="1" outlineLevel="1" x14ac:dyDescent="0.2">
      <c r="A474" s="215" t="s">
        <v>1279</v>
      </c>
      <c r="B474" s="228" t="s">
        <v>2471</v>
      </c>
      <c r="C474" s="229" t="s">
        <v>3037</v>
      </c>
      <c r="D474" s="230" t="s">
        <v>11</v>
      </c>
      <c r="E474" s="231">
        <v>32.07</v>
      </c>
      <c r="F474" s="231"/>
      <c r="G474" s="232"/>
      <c r="H474" s="232"/>
      <c r="I474" s="242"/>
    </row>
    <row r="475" spans="1:10" s="215" customFormat="1" ht="12.75" hidden="1" customHeight="1" outlineLevel="1" x14ac:dyDescent="0.2">
      <c r="A475" s="215" t="s">
        <v>1279</v>
      </c>
      <c r="B475" s="216" t="s">
        <v>1497</v>
      </c>
      <c r="C475" s="217" t="s">
        <v>2961</v>
      </c>
      <c r="D475" s="218"/>
      <c r="E475" s="219"/>
      <c r="F475" s="219"/>
      <c r="G475" s="520" t="str">
        <f>$A$1</f>
        <v>EMBASSAMENTO</v>
      </c>
      <c r="H475" s="234">
        <f>SUM(H476:H481)</f>
        <v>147.35</v>
      </c>
      <c r="I475" s="242"/>
    </row>
    <row r="476" spans="1:10" s="215" customFormat="1" ht="12.75" hidden="1" customHeight="1" outlineLevel="1" x14ac:dyDescent="0.2">
      <c r="A476" s="215" t="s">
        <v>1279</v>
      </c>
      <c r="B476" s="224" t="s">
        <v>1498</v>
      </c>
      <c r="C476" s="225" t="s">
        <v>3036</v>
      </c>
      <c r="D476" s="226" t="s">
        <v>11</v>
      </c>
      <c r="E476" s="227">
        <v>146.97</v>
      </c>
      <c r="F476" s="227"/>
      <c r="G476" s="225" t="s">
        <v>3036</v>
      </c>
      <c r="H476" s="235">
        <f t="shared" ref="H476:H481" si="16">SUMIFS($E:$E,$C:$C,G476,$A:$A,$G$22)</f>
        <v>125.26</v>
      </c>
      <c r="I476" s="242"/>
    </row>
    <row r="477" spans="1:10" s="215" customFormat="1" ht="12.75" hidden="1" customHeight="1" outlineLevel="1" x14ac:dyDescent="0.2">
      <c r="A477" s="215" t="s">
        <v>1279</v>
      </c>
      <c r="B477" s="228" t="s">
        <v>2553</v>
      </c>
      <c r="C477" s="229" t="s">
        <v>3037</v>
      </c>
      <c r="D477" s="230" t="s">
        <v>11</v>
      </c>
      <c r="E477" s="231">
        <v>24.6</v>
      </c>
      <c r="F477" s="231"/>
      <c r="G477" s="229" t="s">
        <v>3037</v>
      </c>
      <c r="H477" s="235">
        <f t="shared" si="16"/>
        <v>22.09</v>
      </c>
      <c r="I477" s="241"/>
    </row>
    <row r="478" spans="1:10" s="215" customFormat="1" ht="12.75" hidden="1" customHeight="1" outlineLevel="1" x14ac:dyDescent="0.2">
      <c r="A478" s="215" t="s">
        <v>1279</v>
      </c>
      <c r="B478" s="216" t="s">
        <v>1499</v>
      </c>
      <c r="C478" s="217" t="s">
        <v>2962</v>
      </c>
      <c r="D478" s="218"/>
      <c r="E478" s="219"/>
      <c r="F478" s="219"/>
      <c r="G478" s="225"/>
      <c r="H478" s="235">
        <f t="shared" si="16"/>
        <v>0</v>
      </c>
      <c r="I478" s="241"/>
    </row>
    <row r="479" spans="1:10" s="215" customFormat="1" ht="12.75" hidden="1" customHeight="1" outlineLevel="1" x14ac:dyDescent="0.2">
      <c r="A479" s="215" t="s">
        <v>1279</v>
      </c>
      <c r="B479" s="224" t="s">
        <v>1500</v>
      </c>
      <c r="C479" s="225" t="s">
        <v>3036</v>
      </c>
      <c r="D479" s="226" t="s">
        <v>11</v>
      </c>
      <c r="E479" s="227">
        <v>107.65</v>
      </c>
      <c r="F479" s="227"/>
      <c r="G479" s="229"/>
      <c r="H479" s="235">
        <f t="shared" si="16"/>
        <v>0</v>
      </c>
      <c r="I479" s="241"/>
    </row>
    <row r="480" spans="1:10" s="215" customFormat="1" ht="12.75" hidden="1" customHeight="1" outlineLevel="1" x14ac:dyDescent="0.2">
      <c r="A480" s="215" t="s">
        <v>1279</v>
      </c>
      <c r="B480" s="228" t="s">
        <v>2554</v>
      </c>
      <c r="C480" s="229" t="s">
        <v>3037</v>
      </c>
      <c r="D480" s="230" t="s">
        <v>11</v>
      </c>
      <c r="E480" s="231">
        <v>19.02</v>
      </c>
      <c r="F480" s="231"/>
      <c r="G480" s="225"/>
      <c r="H480" s="235">
        <f t="shared" si="16"/>
        <v>0</v>
      </c>
      <c r="I480" s="241"/>
    </row>
    <row r="481" spans="1:9" s="215" customFormat="1" ht="12.75" hidden="1" customHeight="1" outlineLevel="1" x14ac:dyDescent="0.2">
      <c r="A481" s="215" t="s">
        <v>1279</v>
      </c>
      <c r="B481" s="216" t="s">
        <v>1501</v>
      </c>
      <c r="C481" s="217" t="s">
        <v>2963</v>
      </c>
      <c r="D481" s="218"/>
      <c r="E481" s="219"/>
      <c r="F481" s="219"/>
      <c r="G481" s="229"/>
      <c r="H481" s="235">
        <f t="shared" si="16"/>
        <v>0</v>
      </c>
      <c r="I481" s="241"/>
    </row>
    <row r="482" spans="1:9" s="215" customFormat="1" ht="12.75" hidden="1" customHeight="1" outlineLevel="1" x14ac:dyDescent="0.2">
      <c r="A482" s="215" t="s">
        <v>1279</v>
      </c>
      <c r="B482" s="224" t="s">
        <v>1502</v>
      </c>
      <c r="C482" s="225" t="s">
        <v>3036</v>
      </c>
      <c r="D482" s="226" t="s">
        <v>11</v>
      </c>
      <c r="E482" s="227">
        <v>102.87</v>
      </c>
      <c r="F482" s="227"/>
      <c r="G482" s="198"/>
      <c r="H482" s="198"/>
      <c r="I482" s="241"/>
    </row>
    <row r="483" spans="1:9" s="215" customFormat="1" ht="12.75" hidden="1" customHeight="1" outlineLevel="1" x14ac:dyDescent="0.2">
      <c r="A483" s="215" t="s">
        <v>1279</v>
      </c>
      <c r="B483" s="228" t="s">
        <v>2555</v>
      </c>
      <c r="C483" s="229" t="s">
        <v>3037</v>
      </c>
      <c r="D483" s="230" t="s">
        <v>11</v>
      </c>
      <c r="E483" s="231">
        <v>18.79</v>
      </c>
      <c r="F483" s="231"/>
      <c r="G483" s="520" t="str">
        <f>$A$2</f>
        <v>TORRE</v>
      </c>
      <c r="H483" s="234">
        <f>SUM(H484:H489)</f>
        <v>1930.1899999999996</v>
      </c>
      <c r="I483" s="241"/>
    </row>
    <row r="484" spans="1:9" s="215" customFormat="1" ht="12.75" hidden="1" customHeight="1" outlineLevel="1" x14ac:dyDescent="0.2">
      <c r="A484" s="215" t="s">
        <v>1279</v>
      </c>
      <c r="B484" s="216" t="s">
        <v>1503</v>
      </c>
      <c r="C484" s="217" t="s">
        <v>2964</v>
      </c>
      <c r="D484" s="218"/>
      <c r="E484" s="219"/>
      <c r="F484" s="219"/>
      <c r="G484" s="225" t="s">
        <v>3036</v>
      </c>
      <c r="H484" s="235">
        <f t="shared" ref="H484:H489" si="17">SUMIFS($E:$E,$C:$C,G484,$A:$A,$G$30)</f>
        <v>1586.7799999999997</v>
      </c>
      <c r="I484" s="241"/>
    </row>
    <row r="485" spans="1:9" s="215" customFormat="1" ht="12.75" hidden="1" customHeight="1" outlineLevel="1" x14ac:dyDescent="0.2">
      <c r="A485" s="215" t="s">
        <v>1279</v>
      </c>
      <c r="B485" s="224" t="s">
        <v>3038</v>
      </c>
      <c r="C485" s="225" t="s">
        <v>3036</v>
      </c>
      <c r="D485" s="226" t="s">
        <v>11</v>
      </c>
      <c r="E485" s="227">
        <v>110.43</v>
      </c>
      <c r="F485" s="227"/>
      <c r="G485" s="229" t="s">
        <v>3037</v>
      </c>
      <c r="H485" s="235">
        <f t="shared" si="17"/>
        <v>343.40999999999997</v>
      </c>
      <c r="I485" s="241"/>
    </row>
    <row r="486" spans="1:9" s="215" customFormat="1" ht="12.75" hidden="1" customHeight="1" outlineLevel="1" x14ac:dyDescent="0.2">
      <c r="A486" s="215" t="s">
        <v>1279</v>
      </c>
      <c r="B486" s="228" t="s">
        <v>3039</v>
      </c>
      <c r="C486" s="229" t="s">
        <v>3037</v>
      </c>
      <c r="D486" s="230" t="s">
        <v>11</v>
      </c>
      <c r="E486" s="231">
        <v>16.72</v>
      </c>
      <c r="F486" s="231"/>
      <c r="G486" s="225"/>
      <c r="H486" s="235">
        <f t="shared" si="17"/>
        <v>0</v>
      </c>
      <c r="I486" s="241"/>
    </row>
    <row r="487" spans="1:9" s="215" customFormat="1" ht="12.75" hidden="1" customHeight="1" outlineLevel="1" x14ac:dyDescent="0.2">
      <c r="A487" s="215" t="s">
        <v>1279</v>
      </c>
      <c r="B487" s="216" t="s">
        <v>1504</v>
      </c>
      <c r="C487" s="217" t="s">
        <v>2965</v>
      </c>
      <c r="D487" s="218"/>
      <c r="E487" s="219"/>
      <c r="F487" s="219"/>
      <c r="G487" s="229"/>
      <c r="H487" s="235">
        <f t="shared" si="17"/>
        <v>0</v>
      </c>
      <c r="I487" s="241"/>
    </row>
    <row r="488" spans="1:9" s="215" customFormat="1" ht="12.75" hidden="1" customHeight="1" outlineLevel="1" x14ac:dyDescent="0.2">
      <c r="A488" s="215" t="s">
        <v>1279</v>
      </c>
      <c r="B488" s="224" t="s">
        <v>3040</v>
      </c>
      <c r="C488" s="225" t="s">
        <v>3036</v>
      </c>
      <c r="D488" s="226" t="s">
        <v>11</v>
      </c>
      <c r="E488" s="227">
        <v>102.87</v>
      </c>
      <c r="F488" s="227"/>
      <c r="G488" s="225"/>
      <c r="H488" s="235">
        <f t="shared" si="17"/>
        <v>0</v>
      </c>
      <c r="I488" s="241"/>
    </row>
    <row r="489" spans="1:9" s="215" customFormat="1" ht="12.75" hidden="1" customHeight="1" outlineLevel="1" x14ac:dyDescent="0.2">
      <c r="A489" s="215" t="s">
        <v>1279</v>
      </c>
      <c r="B489" s="228" t="s">
        <v>3041</v>
      </c>
      <c r="C489" s="229" t="s">
        <v>3037</v>
      </c>
      <c r="D489" s="230" t="s">
        <v>11</v>
      </c>
      <c r="E489" s="231">
        <v>18.79</v>
      </c>
      <c r="F489" s="231"/>
      <c r="G489" s="229"/>
      <c r="H489" s="235">
        <f t="shared" si="17"/>
        <v>0</v>
      </c>
      <c r="I489" s="241"/>
    </row>
    <row r="490" spans="1:9" s="215" customFormat="1" ht="12.75" hidden="1" customHeight="1" outlineLevel="1" x14ac:dyDescent="0.2">
      <c r="A490" s="215" t="s">
        <v>1279</v>
      </c>
      <c r="B490" s="216" t="s">
        <v>1505</v>
      </c>
      <c r="C490" s="217" t="s">
        <v>2966</v>
      </c>
      <c r="D490" s="218"/>
      <c r="E490" s="219"/>
      <c r="F490" s="219"/>
    </row>
    <row r="491" spans="1:9" s="215" customFormat="1" ht="12.75" hidden="1" customHeight="1" outlineLevel="1" x14ac:dyDescent="0.2">
      <c r="A491" s="215" t="s">
        <v>1279</v>
      </c>
      <c r="B491" s="224" t="s">
        <v>3042</v>
      </c>
      <c r="C491" s="225" t="s">
        <v>3036</v>
      </c>
      <c r="D491" s="226" t="s">
        <v>11</v>
      </c>
      <c r="E491" s="227">
        <v>110.43</v>
      </c>
      <c r="F491" s="227"/>
    </row>
    <row r="492" spans="1:9" s="215" customFormat="1" ht="12.75" hidden="1" customHeight="1" outlineLevel="1" x14ac:dyDescent="0.2">
      <c r="A492" s="215" t="s">
        <v>1279</v>
      </c>
      <c r="B492" s="228" t="s">
        <v>3043</v>
      </c>
      <c r="C492" s="229" t="s">
        <v>3037</v>
      </c>
      <c r="D492" s="230" t="s">
        <v>11</v>
      </c>
      <c r="E492" s="231">
        <v>16.72</v>
      </c>
      <c r="F492" s="231"/>
    </row>
    <row r="493" spans="1:9" s="215" customFormat="1" ht="12.75" hidden="1" customHeight="1" outlineLevel="1" x14ac:dyDescent="0.2">
      <c r="A493" s="215" t="s">
        <v>1279</v>
      </c>
      <c r="B493" s="216" t="s">
        <v>1506</v>
      </c>
      <c r="C493" s="217" t="s">
        <v>2967</v>
      </c>
      <c r="D493" s="218"/>
      <c r="E493" s="219"/>
      <c r="F493" s="219"/>
    </row>
    <row r="494" spans="1:9" s="215" customFormat="1" ht="12.75" hidden="1" customHeight="1" outlineLevel="1" x14ac:dyDescent="0.2">
      <c r="A494" s="215" t="s">
        <v>1279</v>
      </c>
      <c r="B494" s="224" t="s">
        <v>3044</v>
      </c>
      <c r="C494" s="225" t="s">
        <v>3036</v>
      </c>
      <c r="D494" s="226" t="s">
        <v>11</v>
      </c>
      <c r="E494" s="227">
        <v>102.87</v>
      </c>
      <c r="F494" s="227"/>
    </row>
    <row r="495" spans="1:9" s="215" customFormat="1" ht="12.75" hidden="1" customHeight="1" outlineLevel="1" x14ac:dyDescent="0.2">
      <c r="A495" s="215" t="s">
        <v>1279</v>
      </c>
      <c r="B495" s="228" t="s">
        <v>3045</v>
      </c>
      <c r="C495" s="229" t="s">
        <v>3037</v>
      </c>
      <c r="D495" s="230" t="s">
        <v>11</v>
      </c>
      <c r="E495" s="231">
        <v>18.79</v>
      </c>
      <c r="F495" s="231"/>
    </row>
    <row r="496" spans="1:9" s="215" customFormat="1" ht="12.75" hidden="1" customHeight="1" outlineLevel="1" x14ac:dyDescent="0.2">
      <c r="A496" s="215" t="s">
        <v>1279</v>
      </c>
      <c r="B496" s="216" t="s">
        <v>1507</v>
      </c>
      <c r="C496" s="217" t="s">
        <v>2968</v>
      </c>
      <c r="D496" s="218"/>
      <c r="E496" s="219"/>
      <c r="F496" s="219"/>
    </row>
    <row r="497" spans="1:6" s="215" customFormat="1" ht="12.75" hidden="1" customHeight="1" outlineLevel="1" x14ac:dyDescent="0.2">
      <c r="A497" s="215" t="s">
        <v>1279</v>
      </c>
      <c r="B497" s="224" t="s">
        <v>3046</v>
      </c>
      <c r="C497" s="225" t="s">
        <v>3036</v>
      </c>
      <c r="D497" s="226" t="s">
        <v>11</v>
      </c>
      <c r="E497" s="227">
        <v>110.43</v>
      </c>
      <c r="F497" s="227"/>
    </row>
    <row r="498" spans="1:6" s="215" customFormat="1" ht="12.75" hidden="1" customHeight="1" outlineLevel="1" x14ac:dyDescent="0.2">
      <c r="A498" s="215" t="s">
        <v>1279</v>
      </c>
      <c r="B498" s="228" t="s">
        <v>3047</v>
      </c>
      <c r="C498" s="229" t="s">
        <v>3037</v>
      </c>
      <c r="D498" s="230" t="s">
        <v>11</v>
      </c>
      <c r="E498" s="231">
        <v>16.72</v>
      </c>
      <c r="F498" s="231"/>
    </row>
    <row r="499" spans="1:6" s="215" customFormat="1" ht="12.75" hidden="1" customHeight="1" outlineLevel="1" x14ac:dyDescent="0.2">
      <c r="A499" s="215" t="s">
        <v>1279</v>
      </c>
      <c r="B499" s="216" t="s">
        <v>1508</v>
      </c>
      <c r="C499" s="217" t="s">
        <v>2969</v>
      </c>
      <c r="D499" s="218"/>
      <c r="E499" s="219"/>
      <c r="F499" s="219"/>
    </row>
    <row r="500" spans="1:6" s="215" customFormat="1" ht="12.75" hidden="1" customHeight="1" outlineLevel="1" x14ac:dyDescent="0.2">
      <c r="A500" s="215" t="s">
        <v>1279</v>
      </c>
      <c r="B500" s="224" t="s">
        <v>3048</v>
      </c>
      <c r="C500" s="225" t="s">
        <v>3036</v>
      </c>
      <c r="D500" s="226" t="s">
        <v>11</v>
      </c>
      <c r="E500" s="227">
        <v>102.87</v>
      </c>
      <c r="F500" s="227"/>
    </row>
    <row r="501" spans="1:6" s="215" customFormat="1" ht="12.75" hidden="1" customHeight="1" outlineLevel="1" x14ac:dyDescent="0.2">
      <c r="A501" s="215" t="s">
        <v>1279</v>
      </c>
      <c r="B501" s="228" t="s">
        <v>3049</v>
      </c>
      <c r="C501" s="229" t="s">
        <v>3037</v>
      </c>
      <c r="D501" s="230" t="s">
        <v>11</v>
      </c>
      <c r="E501" s="231">
        <v>18.79</v>
      </c>
      <c r="F501" s="231"/>
    </row>
    <row r="502" spans="1:6" s="215" customFormat="1" ht="12.75" hidden="1" customHeight="1" outlineLevel="1" x14ac:dyDescent="0.2">
      <c r="A502" s="215" t="s">
        <v>1279</v>
      </c>
      <c r="B502" s="216" t="s">
        <v>1509</v>
      </c>
      <c r="C502" s="217" t="s">
        <v>2970</v>
      </c>
      <c r="D502" s="218"/>
      <c r="E502" s="219"/>
      <c r="F502" s="219"/>
    </row>
    <row r="503" spans="1:6" s="215" customFormat="1" ht="12.75" hidden="1" customHeight="1" outlineLevel="1" x14ac:dyDescent="0.2">
      <c r="A503" s="215" t="s">
        <v>1279</v>
      </c>
      <c r="B503" s="224" t="s">
        <v>3050</v>
      </c>
      <c r="C503" s="225" t="s">
        <v>3036</v>
      </c>
      <c r="D503" s="226" t="s">
        <v>11</v>
      </c>
      <c r="E503" s="227">
        <v>110.43</v>
      </c>
      <c r="F503" s="227"/>
    </row>
    <row r="504" spans="1:6" s="215" customFormat="1" ht="12.75" hidden="1" customHeight="1" outlineLevel="1" x14ac:dyDescent="0.2">
      <c r="A504" s="215" t="s">
        <v>1279</v>
      </c>
      <c r="B504" s="228" t="s">
        <v>3051</v>
      </c>
      <c r="C504" s="229" t="s">
        <v>3037</v>
      </c>
      <c r="D504" s="230" t="s">
        <v>11</v>
      </c>
      <c r="E504" s="231">
        <v>16.72</v>
      </c>
      <c r="F504" s="231"/>
    </row>
    <row r="505" spans="1:6" s="215" customFormat="1" ht="12.75" hidden="1" customHeight="1" outlineLevel="1" x14ac:dyDescent="0.2">
      <c r="A505" s="215" t="s">
        <v>1279</v>
      </c>
      <c r="B505" s="216" t="s">
        <v>1510</v>
      </c>
      <c r="C505" s="217" t="s">
        <v>2971</v>
      </c>
      <c r="D505" s="218"/>
      <c r="E505" s="219"/>
      <c r="F505" s="219"/>
    </row>
    <row r="506" spans="1:6" s="215" customFormat="1" ht="12.75" hidden="1" customHeight="1" outlineLevel="1" x14ac:dyDescent="0.2">
      <c r="A506" s="215" t="s">
        <v>1279</v>
      </c>
      <c r="B506" s="224" t="s">
        <v>3052</v>
      </c>
      <c r="C506" s="225" t="s">
        <v>3036</v>
      </c>
      <c r="D506" s="226" t="s">
        <v>11</v>
      </c>
      <c r="E506" s="227">
        <v>112.78</v>
      </c>
      <c r="F506" s="227"/>
    </row>
    <row r="507" spans="1:6" s="215" customFormat="1" ht="12.75" hidden="1" customHeight="1" outlineLevel="1" x14ac:dyDescent="0.2">
      <c r="A507" s="215" t="s">
        <v>1279</v>
      </c>
      <c r="B507" s="228" t="s">
        <v>3053</v>
      </c>
      <c r="C507" s="229" t="s">
        <v>3037</v>
      </c>
      <c r="D507" s="230" t="s">
        <v>11</v>
      </c>
      <c r="E507" s="231">
        <v>22.29</v>
      </c>
      <c r="F507" s="231"/>
    </row>
    <row r="508" spans="1:6" s="215" customFormat="1" ht="12.75" hidden="1" customHeight="1" outlineLevel="1" x14ac:dyDescent="0.2">
      <c r="A508" s="215" t="s">
        <v>1279</v>
      </c>
      <c r="B508" s="216" t="s">
        <v>1511</v>
      </c>
      <c r="C508" s="217" t="s">
        <v>2972</v>
      </c>
      <c r="D508" s="218"/>
      <c r="E508" s="219"/>
      <c r="F508" s="219"/>
    </row>
    <row r="509" spans="1:6" s="215" customFormat="1" ht="12.75" hidden="1" customHeight="1" outlineLevel="1" x14ac:dyDescent="0.2">
      <c r="A509" s="215" t="s">
        <v>1279</v>
      </c>
      <c r="B509" s="224" t="s">
        <v>3054</v>
      </c>
      <c r="C509" s="225" t="s">
        <v>3036</v>
      </c>
      <c r="D509" s="226" t="s">
        <v>11</v>
      </c>
      <c r="E509" s="227">
        <v>52.04</v>
      </c>
      <c r="F509" s="227"/>
    </row>
    <row r="510" spans="1:6" s="215" customFormat="1" ht="12.75" hidden="1" customHeight="1" outlineLevel="1" x14ac:dyDescent="0.2">
      <c r="A510" s="215" t="s">
        <v>1279</v>
      </c>
      <c r="B510" s="228" t="s">
        <v>3055</v>
      </c>
      <c r="C510" s="229" t="s">
        <v>3037</v>
      </c>
      <c r="D510" s="230" t="s">
        <v>11</v>
      </c>
      <c r="E510" s="231">
        <v>6.26</v>
      </c>
      <c r="F510" s="231"/>
    </row>
    <row r="511" spans="1:6" s="215" customFormat="1" ht="12.75" hidden="1" customHeight="1" outlineLevel="1" x14ac:dyDescent="0.2">
      <c r="A511" s="215" t="s">
        <v>1279</v>
      </c>
      <c r="B511" s="216" t="s">
        <v>1512</v>
      </c>
      <c r="C511" s="217" t="s">
        <v>2973</v>
      </c>
      <c r="D511" s="218"/>
      <c r="E511" s="219"/>
      <c r="F511" s="219"/>
    </row>
    <row r="512" spans="1:6" s="215" customFormat="1" ht="12.75" hidden="1" customHeight="1" outlineLevel="1" x14ac:dyDescent="0.2">
      <c r="A512" s="215" t="s">
        <v>1279</v>
      </c>
      <c r="B512" s="224" t="s">
        <v>3056</v>
      </c>
      <c r="C512" s="225" t="s">
        <v>3036</v>
      </c>
      <c r="D512" s="226" t="s">
        <v>11</v>
      </c>
      <c r="E512" s="227">
        <v>29.66</v>
      </c>
      <c r="F512" s="227"/>
    </row>
    <row r="513" spans="1:10" s="215" customFormat="1" ht="12.75" hidden="1" customHeight="1" outlineLevel="1" x14ac:dyDescent="0.2">
      <c r="A513" s="215" t="s">
        <v>1279</v>
      </c>
      <c r="B513" s="228" t="s">
        <v>3057</v>
      </c>
      <c r="C513" s="229" t="s">
        <v>3037</v>
      </c>
      <c r="D513" s="230" t="s">
        <v>11</v>
      </c>
      <c r="E513" s="231">
        <v>5.97</v>
      </c>
      <c r="F513" s="231"/>
    </row>
    <row r="514" spans="1:10" s="215" customFormat="1" ht="12.75" hidden="1" customHeight="1" outlineLevel="1" x14ac:dyDescent="0.2">
      <c r="A514" s="215" t="s">
        <v>1279</v>
      </c>
      <c r="B514" s="216" t="s">
        <v>1513</v>
      </c>
      <c r="C514" s="217" t="s">
        <v>2974</v>
      </c>
      <c r="D514" s="218"/>
      <c r="E514" s="219"/>
      <c r="F514" s="219"/>
    </row>
    <row r="515" spans="1:10" s="215" customFormat="1" ht="12.75" hidden="1" customHeight="1" outlineLevel="1" x14ac:dyDescent="0.2">
      <c r="A515" s="215" t="s">
        <v>1279</v>
      </c>
      <c r="B515" s="224" t="s">
        <v>3058</v>
      </c>
      <c r="C515" s="225" t="s">
        <v>3036</v>
      </c>
      <c r="D515" s="226" t="s">
        <v>11</v>
      </c>
      <c r="E515" s="227">
        <v>51.1</v>
      </c>
      <c r="F515" s="227"/>
    </row>
    <row r="516" spans="1:10" s="215" customFormat="1" ht="12.75" hidden="1" customHeight="1" outlineLevel="1" x14ac:dyDescent="0.2">
      <c r="A516" s="215" t="s">
        <v>1279</v>
      </c>
      <c r="B516" s="228" t="s">
        <v>3059</v>
      </c>
      <c r="C516" s="229" t="s">
        <v>3037</v>
      </c>
      <c r="D516" s="230" t="s">
        <v>11</v>
      </c>
      <c r="E516" s="231">
        <v>6.98</v>
      </c>
      <c r="F516" s="231"/>
    </row>
    <row r="517" spans="1:10" s="215" customFormat="1" ht="12.75" hidden="1" customHeight="1" outlineLevel="1" x14ac:dyDescent="0.2">
      <c r="A517" s="215" t="s">
        <v>1279</v>
      </c>
      <c r="B517" s="216" t="s">
        <v>1514</v>
      </c>
      <c r="C517" s="217" t="s">
        <v>2975</v>
      </c>
      <c r="D517" s="218"/>
      <c r="E517" s="219"/>
      <c r="F517" s="219"/>
    </row>
    <row r="518" spans="1:10" s="215" customFormat="1" ht="12.75" hidden="1" customHeight="1" outlineLevel="1" x14ac:dyDescent="0.2">
      <c r="A518" s="215" t="s">
        <v>1279</v>
      </c>
      <c r="B518" s="224" t="s">
        <v>3060</v>
      </c>
      <c r="C518" s="225" t="s">
        <v>3036</v>
      </c>
      <c r="D518" s="226" t="s">
        <v>11</v>
      </c>
      <c r="E518" s="227">
        <v>29.7</v>
      </c>
      <c r="F518" s="227"/>
    </row>
    <row r="519" spans="1:10" s="215" customFormat="1" ht="12.75" hidden="1" customHeight="1" outlineLevel="1" x14ac:dyDescent="0.2">
      <c r="A519" s="215" t="s">
        <v>1279</v>
      </c>
      <c r="B519" s="228" t="s">
        <v>3061</v>
      </c>
      <c r="C519" s="229" t="s">
        <v>3037</v>
      </c>
      <c r="D519" s="230" t="s">
        <v>11</v>
      </c>
      <c r="E519" s="231">
        <v>5.97</v>
      </c>
      <c r="F519" s="231"/>
    </row>
    <row r="520" spans="1:10" s="215" customFormat="1" ht="12.75" hidden="1" customHeight="1" outlineLevel="1" x14ac:dyDescent="0.2">
      <c r="A520" s="215" t="s">
        <v>1279</v>
      </c>
      <c r="B520" s="216" t="s">
        <v>1515</v>
      </c>
      <c r="C520" s="217" t="s">
        <v>2976</v>
      </c>
      <c r="D520" s="218"/>
      <c r="E520" s="219"/>
      <c r="F520" s="219"/>
    </row>
    <row r="521" spans="1:10" s="215" customFormat="1" ht="12.75" hidden="1" customHeight="1" outlineLevel="1" x14ac:dyDescent="0.2">
      <c r="A521" s="215" t="s">
        <v>1279</v>
      </c>
      <c r="B521" s="224" t="s">
        <v>3062</v>
      </c>
      <c r="C521" s="225" t="s">
        <v>3036</v>
      </c>
      <c r="D521" s="226" t="s">
        <v>11</v>
      </c>
      <c r="E521" s="227">
        <v>55.85</v>
      </c>
      <c r="F521" s="227"/>
    </row>
    <row r="522" spans="1:10" s="215" customFormat="1" ht="12.75" hidden="1" customHeight="1" outlineLevel="1" x14ac:dyDescent="0.2">
      <c r="A522" s="215" t="s">
        <v>1279</v>
      </c>
      <c r="B522" s="228" t="s">
        <v>3063</v>
      </c>
      <c r="C522" s="229" t="s">
        <v>3037</v>
      </c>
      <c r="D522" s="230" t="s">
        <v>11</v>
      </c>
      <c r="E522" s="231">
        <v>9.4</v>
      </c>
      <c r="F522" s="231"/>
    </row>
    <row r="523" spans="1:10" s="215" customFormat="1" ht="12.75" hidden="1" customHeight="1" outlineLevel="1" x14ac:dyDescent="0.2">
      <c r="A523" s="215" t="s">
        <v>1279</v>
      </c>
      <c r="B523" s="216" t="s">
        <v>2018</v>
      </c>
      <c r="C523" s="217" t="s">
        <v>2978</v>
      </c>
      <c r="D523" s="218"/>
      <c r="E523" s="219"/>
      <c r="F523" s="219"/>
    </row>
    <row r="524" spans="1:10" s="215" customFormat="1" ht="12.75" hidden="1" customHeight="1" outlineLevel="1" x14ac:dyDescent="0.2">
      <c r="A524" s="215" t="s">
        <v>1279</v>
      </c>
      <c r="B524" s="224" t="s">
        <v>3064</v>
      </c>
      <c r="C524" s="225" t="s">
        <v>3036</v>
      </c>
      <c r="D524" s="226" t="s">
        <v>11</v>
      </c>
      <c r="E524" s="227">
        <v>35.770000000000003</v>
      </c>
      <c r="F524" s="227"/>
    </row>
    <row r="525" spans="1:10" s="215" customFormat="1" ht="12.75" hidden="1" customHeight="1" outlineLevel="1" x14ac:dyDescent="0.2">
      <c r="A525" s="215" t="s">
        <v>1279</v>
      </c>
      <c r="B525" s="228" t="s">
        <v>3065</v>
      </c>
      <c r="C525" s="229" t="s">
        <v>3037</v>
      </c>
      <c r="D525" s="230" t="s">
        <v>11</v>
      </c>
      <c r="E525" s="231">
        <v>68.81</v>
      </c>
      <c r="F525" s="231"/>
    </row>
    <row r="526" spans="1:10" s="215" customFormat="1" collapsed="1" x14ac:dyDescent="0.2">
      <c r="B526" s="515" t="s">
        <v>1516</v>
      </c>
      <c r="C526" s="516" t="s">
        <v>3066</v>
      </c>
      <c r="D526" s="521"/>
      <c r="E526" s="524">
        <f>SUM(E528:E586)</f>
        <v>2077.54</v>
      </c>
      <c r="F526" s="524"/>
      <c r="G526" s="516"/>
      <c r="H526" s="234">
        <f>SUM(H527:H532)</f>
        <v>2077.54</v>
      </c>
      <c r="I526" s="242" t="str">
        <f>IF(H526=E526,"OKAY","REVER")</f>
        <v>OKAY</v>
      </c>
      <c r="J526" s="405"/>
    </row>
    <row r="527" spans="1:10" s="215" customFormat="1" ht="12.75" hidden="1" customHeight="1" outlineLevel="1" x14ac:dyDescent="0.2">
      <c r="A527" s="215" t="s">
        <v>1278</v>
      </c>
      <c r="B527" s="216" t="s">
        <v>1518</v>
      </c>
      <c r="C527" s="217" t="s">
        <v>2955</v>
      </c>
      <c r="D527" s="218"/>
      <c r="E527" s="219"/>
      <c r="F527" s="219"/>
      <c r="G527" s="225" t="s">
        <v>3067</v>
      </c>
      <c r="H527" s="235">
        <f t="shared" ref="H527:H532" si="18">SUMIF($C:$C,G527,$E:$E)</f>
        <v>1712.04</v>
      </c>
      <c r="I527" s="241"/>
    </row>
    <row r="528" spans="1:10" s="215" customFormat="1" ht="12.75" hidden="1" customHeight="1" outlineLevel="1" x14ac:dyDescent="0.2">
      <c r="A528" s="215" t="s">
        <v>1278</v>
      </c>
      <c r="B528" s="224" t="s">
        <v>1519</v>
      </c>
      <c r="C528" s="225" t="s">
        <v>3067</v>
      </c>
      <c r="D528" s="226" t="s">
        <v>11</v>
      </c>
      <c r="E528" s="227">
        <v>30.64</v>
      </c>
      <c r="F528" s="227"/>
      <c r="G528" s="229" t="s">
        <v>3068</v>
      </c>
      <c r="H528" s="235">
        <f t="shared" si="18"/>
        <v>365.5</v>
      </c>
      <c r="I528" s="241"/>
    </row>
    <row r="529" spans="1:9" s="215" customFormat="1" ht="12.75" hidden="1" customHeight="1" outlineLevel="1" x14ac:dyDescent="0.2">
      <c r="A529" s="215" t="s">
        <v>1278</v>
      </c>
      <c r="B529" s="228" t="s">
        <v>1934</v>
      </c>
      <c r="C529" s="229" t="s">
        <v>3068</v>
      </c>
      <c r="D529" s="230" t="s">
        <v>11</v>
      </c>
      <c r="E529" s="231">
        <v>7.5</v>
      </c>
      <c r="F529" s="231"/>
      <c r="G529" s="225"/>
      <c r="H529" s="235">
        <f t="shared" si="18"/>
        <v>0</v>
      </c>
      <c r="I529" s="241"/>
    </row>
    <row r="530" spans="1:9" s="215" customFormat="1" ht="12.75" hidden="1" customHeight="1" outlineLevel="1" x14ac:dyDescent="0.2">
      <c r="A530" s="215" t="s">
        <v>1278</v>
      </c>
      <c r="B530" s="216" t="s">
        <v>1520</v>
      </c>
      <c r="C530" s="217" t="s">
        <v>2958</v>
      </c>
      <c r="D530" s="218"/>
      <c r="E530" s="219"/>
      <c r="F530" s="219"/>
      <c r="G530" s="229"/>
      <c r="H530" s="235">
        <f t="shared" si="18"/>
        <v>0</v>
      </c>
      <c r="I530" s="241"/>
    </row>
    <row r="531" spans="1:9" s="215" customFormat="1" ht="12.75" hidden="1" customHeight="1" outlineLevel="1" x14ac:dyDescent="0.2">
      <c r="A531" s="215" t="s">
        <v>1278</v>
      </c>
      <c r="B531" s="224" t="s">
        <v>3069</v>
      </c>
      <c r="C531" s="225" t="s">
        <v>3067</v>
      </c>
      <c r="D531" s="226" t="s">
        <v>11</v>
      </c>
      <c r="E531" s="227">
        <v>94.62</v>
      </c>
      <c r="F531" s="227"/>
      <c r="G531" s="225"/>
      <c r="H531" s="235">
        <f t="shared" si="18"/>
        <v>0</v>
      </c>
      <c r="I531" s="241"/>
    </row>
    <row r="532" spans="1:9" s="215" customFormat="1" ht="12.75" hidden="1" customHeight="1" outlineLevel="1" x14ac:dyDescent="0.2">
      <c r="A532" s="215" t="s">
        <v>1278</v>
      </c>
      <c r="B532" s="228" t="s">
        <v>3070</v>
      </c>
      <c r="C532" s="229" t="s">
        <v>3068</v>
      </c>
      <c r="D532" s="230" t="s">
        <v>11</v>
      </c>
      <c r="E532" s="231">
        <v>14.59</v>
      </c>
      <c r="F532" s="231"/>
      <c r="G532" s="229"/>
      <c r="H532" s="235">
        <f t="shared" si="18"/>
        <v>0</v>
      </c>
      <c r="I532" s="241"/>
    </row>
    <row r="533" spans="1:9" s="215" customFormat="1" ht="12.75" hidden="1" customHeight="1" outlineLevel="1" x14ac:dyDescent="0.2">
      <c r="A533" s="215" t="s">
        <v>1279</v>
      </c>
      <c r="B533" s="216" t="s">
        <v>1521</v>
      </c>
      <c r="C533" s="217" t="s">
        <v>2960</v>
      </c>
      <c r="D533" s="218"/>
      <c r="E533" s="219"/>
      <c r="F533" s="219"/>
      <c r="G533" s="198"/>
      <c r="H533" s="198"/>
      <c r="I533" s="198"/>
    </row>
    <row r="534" spans="1:9" s="215" customFormat="1" ht="12.75" hidden="1" customHeight="1" outlineLevel="1" x14ac:dyDescent="0.2">
      <c r="A534" s="215" t="s">
        <v>1279</v>
      </c>
      <c r="B534" s="224" t="s">
        <v>3071</v>
      </c>
      <c r="C534" s="225" t="s">
        <v>3067</v>
      </c>
      <c r="D534" s="226" t="s">
        <v>11</v>
      </c>
      <c r="E534" s="227">
        <v>112.06</v>
      </c>
      <c r="F534" s="227"/>
      <c r="G534" s="520" t="s">
        <v>1732</v>
      </c>
      <c r="H534" s="234">
        <f>H536+H544</f>
        <v>2077.5399999999995</v>
      </c>
      <c r="I534" s="242" t="str">
        <f>IF(H534=H526,"OKAY","REVER")</f>
        <v>OKAY</v>
      </c>
    </row>
    <row r="535" spans="1:9" s="215" customFormat="1" ht="12.75" hidden="1" customHeight="1" outlineLevel="1" x14ac:dyDescent="0.2">
      <c r="A535" s="215" t="s">
        <v>1279</v>
      </c>
      <c r="B535" s="228" t="s">
        <v>3072</v>
      </c>
      <c r="C535" s="229" t="s">
        <v>3068</v>
      </c>
      <c r="D535" s="230" t="s">
        <v>11</v>
      </c>
      <c r="E535" s="231">
        <v>32.07</v>
      </c>
      <c r="F535" s="231"/>
      <c r="G535" s="232"/>
      <c r="H535" s="232"/>
      <c r="I535" s="242"/>
    </row>
    <row r="536" spans="1:9" s="215" customFormat="1" ht="12.75" hidden="1" customHeight="1" outlineLevel="1" x14ac:dyDescent="0.2">
      <c r="A536" s="215" t="s">
        <v>1279</v>
      </c>
      <c r="B536" s="216" t="s">
        <v>1522</v>
      </c>
      <c r="C536" s="217" t="s">
        <v>2961</v>
      </c>
      <c r="D536" s="218"/>
      <c r="E536" s="219"/>
      <c r="F536" s="219"/>
      <c r="G536" s="520" t="str">
        <f>$A$1</f>
        <v>EMBASSAMENTO</v>
      </c>
      <c r="H536" s="234">
        <f>SUM(H537:H542)</f>
        <v>147.35</v>
      </c>
      <c r="I536" s="242"/>
    </row>
    <row r="537" spans="1:9" s="215" customFormat="1" ht="12.75" hidden="1" customHeight="1" outlineLevel="1" x14ac:dyDescent="0.2">
      <c r="A537" s="215" t="s">
        <v>1279</v>
      </c>
      <c r="B537" s="224" t="s">
        <v>3073</v>
      </c>
      <c r="C537" s="225" t="s">
        <v>3067</v>
      </c>
      <c r="D537" s="226" t="s">
        <v>11</v>
      </c>
      <c r="E537" s="227">
        <v>146.97</v>
      </c>
      <c r="F537" s="227"/>
      <c r="G537" s="225" t="s">
        <v>3067</v>
      </c>
      <c r="H537" s="235">
        <f t="shared" ref="H537:H542" si="19">SUMIFS($E:$E,$C:$C,G537,$A:$A,$G$22)</f>
        <v>125.26</v>
      </c>
      <c r="I537" s="242"/>
    </row>
    <row r="538" spans="1:9" s="215" customFormat="1" ht="12.75" hidden="1" customHeight="1" outlineLevel="1" x14ac:dyDescent="0.2">
      <c r="A538" s="215" t="s">
        <v>1279</v>
      </c>
      <c r="B538" s="228" t="s">
        <v>3074</v>
      </c>
      <c r="C538" s="229" t="s">
        <v>3068</v>
      </c>
      <c r="D538" s="230" t="s">
        <v>11</v>
      </c>
      <c r="E538" s="231">
        <v>24.6</v>
      </c>
      <c r="F538" s="231"/>
      <c r="G538" s="229" t="s">
        <v>3068</v>
      </c>
      <c r="H538" s="235">
        <f t="shared" si="19"/>
        <v>22.09</v>
      </c>
      <c r="I538" s="241"/>
    </row>
    <row r="539" spans="1:9" s="215" customFormat="1" ht="12.75" hidden="1" customHeight="1" outlineLevel="1" x14ac:dyDescent="0.2">
      <c r="A539" s="215" t="s">
        <v>1279</v>
      </c>
      <c r="B539" s="216" t="s">
        <v>1523</v>
      </c>
      <c r="C539" s="217" t="s">
        <v>2962</v>
      </c>
      <c r="D539" s="218"/>
      <c r="E539" s="219"/>
      <c r="F539" s="219"/>
      <c r="G539" s="229"/>
      <c r="H539" s="235">
        <f t="shared" si="19"/>
        <v>0</v>
      </c>
      <c r="I539" s="241"/>
    </row>
    <row r="540" spans="1:9" s="215" customFormat="1" ht="12.75" hidden="1" customHeight="1" outlineLevel="1" x14ac:dyDescent="0.2">
      <c r="A540" s="215" t="s">
        <v>1279</v>
      </c>
      <c r="B540" s="224" t="s">
        <v>3075</v>
      </c>
      <c r="C540" s="225" t="s">
        <v>3067</v>
      </c>
      <c r="D540" s="226" t="s">
        <v>11</v>
      </c>
      <c r="E540" s="227">
        <v>107.65</v>
      </c>
      <c r="F540" s="227"/>
      <c r="G540" s="229"/>
      <c r="H540" s="235">
        <f t="shared" si="19"/>
        <v>0</v>
      </c>
      <c r="I540" s="241"/>
    </row>
    <row r="541" spans="1:9" s="215" customFormat="1" ht="12.75" hidden="1" customHeight="1" outlineLevel="1" x14ac:dyDescent="0.2">
      <c r="A541" s="215" t="s">
        <v>1279</v>
      </c>
      <c r="B541" s="228" t="s">
        <v>3076</v>
      </c>
      <c r="C541" s="229" t="s">
        <v>3068</v>
      </c>
      <c r="D541" s="230" t="s">
        <v>11</v>
      </c>
      <c r="E541" s="231">
        <v>19.02</v>
      </c>
      <c r="F541" s="231"/>
      <c r="G541" s="225"/>
      <c r="H541" s="235">
        <f t="shared" si="19"/>
        <v>0</v>
      </c>
      <c r="I541" s="241"/>
    </row>
    <row r="542" spans="1:9" s="215" customFormat="1" ht="12.75" hidden="1" customHeight="1" outlineLevel="1" x14ac:dyDescent="0.2">
      <c r="A542" s="215" t="s">
        <v>1279</v>
      </c>
      <c r="B542" s="216" t="s">
        <v>1524</v>
      </c>
      <c r="C542" s="217" t="s">
        <v>2963</v>
      </c>
      <c r="D542" s="218"/>
      <c r="E542" s="219"/>
      <c r="F542" s="219"/>
      <c r="G542" s="229"/>
      <c r="H542" s="235">
        <f t="shared" si="19"/>
        <v>0</v>
      </c>
      <c r="I542" s="241"/>
    </row>
    <row r="543" spans="1:9" s="215" customFormat="1" ht="12.75" hidden="1" customHeight="1" outlineLevel="1" x14ac:dyDescent="0.2">
      <c r="A543" s="215" t="s">
        <v>1279</v>
      </c>
      <c r="B543" s="224" t="s">
        <v>3077</v>
      </c>
      <c r="C543" s="225" t="s">
        <v>3067</v>
      </c>
      <c r="D543" s="226" t="s">
        <v>11</v>
      </c>
      <c r="E543" s="227">
        <v>102.87</v>
      </c>
      <c r="F543" s="227"/>
      <c r="G543" s="198"/>
      <c r="H543" s="198"/>
      <c r="I543" s="241"/>
    </row>
    <row r="544" spans="1:9" s="215" customFormat="1" ht="12.75" hidden="1" customHeight="1" outlineLevel="1" x14ac:dyDescent="0.2">
      <c r="A544" s="215" t="s">
        <v>1279</v>
      </c>
      <c r="B544" s="228" t="s">
        <v>3078</v>
      </c>
      <c r="C544" s="229" t="s">
        <v>3068</v>
      </c>
      <c r="D544" s="230" t="s">
        <v>11</v>
      </c>
      <c r="E544" s="231">
        <v>18.79</v>
      </c>
      <c r="F544" s="231"/>
      <c r="G544" s="520" t="str">
        <f>$A$2</f>
        <v>TORRE</v>
      </c>
      <c r="H544" s="234">
        <f>SUM(H545:H550)</f>
        <v>1930.1899999999996</v>
      </c>
      <c r="I544" s="241"/>
    </row>
    <row r="545" spans="1:9" s="215" customFormat="1" ht="12.75" hidden="1" customHeight="1" outlineLevel="1" x14ac:dyDescent="0.2">
      <c r="A545" s="215" t="s">
        <v>1279</v>
      </c>
      <c r="B545" s="216" t="s">
        <v>1525</v>
      </c>
      <c r="C545" s="217" t="s">
        <v>2964</v>
      </c>
      <c r="D545" s="218"/>
      <c r="E545" s="219"/>
      <c r="F545" s="219"/>
      <c r="G545" s="225" t="s">
        <v>3067</v>
      </c>
      <c r="H545" s="235">
        <f t="shared" ref="H545:H550" si="20">SUMIFS($E:$E,$C:$C,G545,$A:$A,$G$30)</f>
        <v>1586.7799999999997</v>
      </c>
      <c r="I545" s="241"/>
    </row>
    <row r="546" spans="1:9" s="215" customFormat="1" ht="12.75" hidden="1" customHeight="1" outlineLevel="1" x14ac:dyDescent="0.2">
      <c r="A546" s="215" t="s">
        <v>1279</v>
      </c>
      <c r="B546" s="224" t="s">
        <v>3079</v>
      </c>
      <c r="C546" s="225" t="s">
        <v>3067</v>
      </c>
      <c r="D546" s="226" t="s">
        <v>11</v>
      </c>
      <c r="E546" s="227">
        <v>110.43</v>
      </c>
      <c r="F546" s="227"/>
      <c r="G546" s="229" t="s">
        <v>3068</v>
      </c>
      <c r="H546" s="235">
        <f t="shared" si="20"/>
        <v>343.40999999999997</v>
      </c>
      <c r="I546" s="241"/>
    </row>
    <row r="547" spans="1:9" s="215" customFormat="1" ht="12.75" hidden="1" customHeight="1" outlineLevel="1" x14ac:dyDescent="0.2">
      <c r="A547" s="215" t="s">
        <v>1279</v>
      </c>
      <c r="B547" s="228" t="s">
        <v>3080</v>
      </c>
      <c r="C547" s="229" t="s">
        <v>3068</v>
      </c>
      <c r="D547" s="230" t="s">
        <v>11</v>
      </c>
      <c r="E547" s="231">
        <v>16.72</v>
      </c>
      <c r="F547" s="231"/>
      <c r="G547" s="225"/>
      <c r="H547" s="235">
        <f t="shared" si="20"/>
        <v>0</v>
      </c>
      <c r="I547" s="241"/>
    </row>
    <row r="548" spans="1:9" s="215" customFormat="1" ht="12.75" hidden="1" customHeight="1" outlineLevel="1" x14ac:dyDescent="0.2">
      <c r="A548" s="215" t="s">
        <v>1279</v>
      </c>
      <c r="B548" s="216" t="s">
        <v>1526</v>
      </c>
      <c r="C548" s="217" t="s">
        <v>2965</v>
      </c>
      <c r="D548" s="218"/>
      <c r="E548" s="219"/>
      <c r="F548" s="219"/>
      <c r="G548" s="229"/>
      <c r="H548" s="235">
        <f t="shared" si="20"/>
        <v>0</v>
      </c>
      <c r="I548" s="241"/>
    </row>
    <row r="549" spans="1:9" s="215" customFormat="1" ht="12.75" hidden="1" customHeight="1" outlineLevel="1" x14ac:dyDescent="0.2">
      <c r="A549" s="215" t="s">
        <v>1279</v>
      </c>
      <c r="B549" s="224" t="s">
        <v>3081</v>
      </c>
      <c r="C549" s="225" t="s">
        <v>3067</v>
      </c>
      <c r="D549" s="226" t="s">
        <v>11</v>
      </c>
      <c r="E549" s="227">
        <v>102.87</v>
      </c>
      <c r="F549" s="227"/>
      <c r="G549" s="225"/>
      <c r="H549" s="235">
        <f t="shared" si="20"/>
        <v>0</v>
      </c>
      <c r="I549" s="241"/>
    </row>
    <row r="550" spans="1:9" s="215" customFormat="1" ht="12.75" hidden="1" customHeight="1" outlineLevel="1" x14ac:dyDescent="0.2">
      <c r="A550" s="215" t="s">
        <v>1279</v>
      </c>
      <c r="B550" s="228" t="s">
        <v>3082</v>
      </c>
      <c r="C550" s="229" t="s">
        <v>3068</v>
      </c>
      <c r="D550" s="230" t="s">
        <v>11</v>
      </c>
      <c r="E550" s="231">
        <v>18.79</v>
      </c>
      <c r="F550" s="231"/>
      <c r="G550" s="229"/>
      <c r="H550" s="235">
        <f t="shared" si="20"/>
        <v>0</v>
      </c>
      <c r="I550" s="241"/>
    </row>
    <row r="551" spans="1:9" s="215" customFormat="1" ht="12.75" hidden="1" customHeight="1" outlineLevel="1" x14ac:dyDescent="0.2">
      <c r="A551" s="215" t="s">
        <v>1279</v>
      </c>
      <c r="B551" s="216" t="s">
        <v>1527</v>
      </c>
      <c r="C551" s="217" t="s">
        <v>2966</v>
      </c>
      <c r="D551" s="218"/>
      <c r="E551" s="219"/>
      <c r="F551" s="219"/>
    </row>
    <row r="552" spans="1:9" s="215" customFormat="1" ht="12.75" hidden="1" customHeight="1" outlineLevel="1" x14ac:dyDescent="0.2">
      <c r="A552" s="215" t="s">
        <v>1279</v>
      </c>
      <c r="B552" s="224" t="s">
        <v>3083</v>
      </c>
      <c r="C552" s="225" t="s">
        <v>3067</v>
      </c>
      <c r="D552" s="226" t="s">
        <v>11</v>
      </c>
      <c r="E552" s="227">
        <v>110.43</v>
      </c>
      <c r="F552" s="227"/>
    </row>
    <row r="553" spans="1:9" s="215" customFormat="1" ht="12.75" hidden="1" customHeight="1" outlineLevel="1" x14ac:dyDescent="0.2">
      <c r="A553" s="215" t="s">
        <v>1279</v>
      </c>
      <c r="B553" s="228" t="s">
        <v>3084</v>
      </c>
      <c r="C553" s="229" t="s">
        <v>3068</v>
      </c>
      <c r="D553" s="230" t="s">
        <v>11</v>
      </c>
      <c r="E553" s="231">
        <v>16.72</v>
      </c>
      <c r="F553" s="231"/>
    </row>
    <row r="554" spans="1:9" s="215" customFormat="1" ht="12.75" hidden="1" customHeight="1" outlineLevel="1" x14ac:dyDescent="0.2">
      <c r="A554" s="215" t="s">
        <v>1279</v>
      </c>
      <c r="B554" s="216" t="s">
        <v>1528</v>
      </c>
      <c r="C554" s="217" t="s">
        <v>2967</v>
      </c>
      <c r="D554" s="218"/>
      <c r="E554" s="219"/>
      <c r="F554" s="219"/>
    </row>
    <row r="555" spans="1:9" s="215" customFormat="1" ht="12.75" hidden="1" customHeight="1" outlineLevel="1" x14ac:dyDescent="0.2">
      <c r="A555" s="215" t="s">
        <v>1279</v>
      </c>
      <c r="B555" s="224" t="s">
        <v>3085</v>
      </c>
      <c r="C555" s="225" t="s">
        <v>3067</v>
      </c>
      <c r="D555" s="226" t="s">
        <v>11</v>
      </c>
      <c r="E555" s="227">
        <v>102.87</v>
      </c>
      <c r="F555" s="227"/>
    </row>
    <row r="556" spans="1:9" s="215" customFormat="1" ht="12.75" hidden="1" customHeight="1" outlineLevel="1" x14ac:dyDescent="0.2">
      <c r="A556" s="215" t="s">
        <v>1279</v>
      </c>
      <c r="B556" s="228" t="s">
        <v>3086</v>
      </c>
      <c r="C556" s="229" t="s">
        <v>3068</v>
      </c>
      <c r="D556" s="230" t="s">
        <v>11</v>
      </c>
      <c r="E556" s="231">
        <v>18.79</v>
      </c>
      <c r="F556" s="231"/>
    </row>
    <row r="557" spans="1:9" s="215" customFormat="1" ht="12.75" hidden="1" customHeight="1" outlineLevel="1" x14ac:dyDescent="0.2">
      <c r="A557" s="215" t="s">
        <v>1279</v>
      </c>
      <c r="B557" s="216" t="s">
        <v>1529</v>
      </c>
      <c r="C557" s="217" t="s">
        <v>2968</v>
      </c>
      <c r="D557" s="218"/>
      <c r="E557" s="219"/>
      <c r="F557" s="219"/>
    </row>
    <row r="558" spans="1:9" s="215" customFormat="1" ht="12.75" hidden="1" customHeight="1" outlineLevel="1" x14ac:dyDescent="0.2">
      <c r="A558" s="215" t="s">
        <v>1279</v>
      </c>
      <c r="B558" s="224" t="s">
        <v>3087</v>
      </c>
      <c r="C558" s="225" t="s">
        <v>3067</v>
      </c>
      <c r="D558" s="226" t="s">
        <v>11</v>
      </c>
      <c r="E558" s="227">
        <v>110.43</v>
      </c>
      <c r="F558" s="227"/>
    </row>
    <row r="559" spans="1:9" s="215" customFormat="1" ht="12.75" hidden="1" customHeight="1" outlineLevel="1" x14ac:dyDescent="0.2">
      <c r="A559" s="215" t="s">
        <v>1279</v>
      </c>
      <c r="B559" s="228" t="s">
        <v>3088</v>
      </c>
      <c r="C559" s="229" t="s">
        <v>3068</v>
      </c>
      <c r="D559" s="230" t="s">
        <v>11</v>
      </c>
      <c r="E559" s="231">
        <v>16.72</v>
      </c>
      <c r="F559" s="231"/>
    </row>
    <row r="560" spans="1:9" s="215" customFormat="1" ht="12.75" hidden="1" customHeight="1" outlineLevel="1" x14ac:dyDescent="0.2">
      <c r="A560" s="215" t="s">
        <v>1279</v>
      </c>
      <c r="B560" s="216" t="s">
        <v>1530</v>
      </c>
      <c r="C560" s="217" t="s">
        <v>2969</v>
      </c>
      <c r="D560" s="218"/>
      <c r="E560" s="219"/>
      <c r="F560" s="219"/>
    </row>
    <row r="561" spans="1:6" s="215" customFormat="1" ht="12.75" hidden="1" customHeight="1" outlineLevel="1" x14ac:dyDescent="0.2">
      <c r="A561" s="215" t="s">
        <v>1279</v>
      </c>
      <c r="B561" s="224" t="s">
        <v>3089</v>
      </c>
      <c r="C561" s="225" t="s">
        <v>3067</v>
      </c>
      <c r="D561" s="226" t="s">
        <v>11</v>
      </c>
      <c r="E561" s="227">
        <v>102.87</v>
      </c>
      <c r="F561" s="227"/>
    </row>
    <row r="562" spans="1:6" s="215" customFormat="1" ht="12.75" hidden="1" customHeight="1" outlineLevel="1" x14ac:dyDescent="0.2">
      <c r="A562" s="215" t="s">
        <v>1279</v>
      </c>
      <c r="B562" s="228" t="s">
        <v>3090</v>
      </c>
      <c r="C562" s="229" t="s">
        <v>3068</v>
      </c>
      <c r="D562" s="230" t="s">
        <v>11</v>
      </c>
      <c r="E562" s="231">
        <v>18.79</v>
      </c>
      <c r="F562" s="231"/>
    </row>
    <row r="563" spans="1:6" s="215" customFormat="1" ht="12.75" hidden="1" customHeight="1" outlineLevel="1" x14ac:dyDescent="0.2">
      <c r="A563" s="215" t="s">
        <v>1279</v>
      </c>
      <c r="B563" s="216" t="s">
        <v>1531</v>
      </c>
      <c r="C563" s="217" t="s">
        <v>2970</v>
      </c>
      <c r="D563" s="218"/>
      <c r="E563" s="219"/>
      <c r="F563" s="219"/>
    </row>
    <row r="564" spans="1:6" s="215" customFormat="1" ht="12.75" hidden="1" customHeight="1" outlineLevel="1" x14ac:dyDescent="0.2">
      <c r="A564" s="215" t="s">
        <v>1279</v>
      </c>
      <c r="B564" s="224" t="s">
        <v>3091</v>
      </c>
      <c r="C564" s="225" t="s">
        <v>3067</v>
      </c>
      <c r="D564" s="226" t="s">
        <v>11</v>
      </c>
      <c r="E564" s="227">
        <v>110.43</v>
      </c>
      <c r="F564" s="227"/>
    </row>
    <row r="565" spans="1:6" s="215" customFormat="1" ht="12.75" hidden="1" customHeight="1" outlineLevel="1" x14ac:dyDescent="0.2">
      <c r="A565" s="215" t="s">
        <v>1279</v>
      </c>
      <c r="B565" s="228" t="s">
        <v>3092</v>
      </c>
      <c r="C565" s="229" t="s">
        <v>3068</v>
      </c>
      <c r="D565" s="230" t="s">
        <v>11</v>
      </c>
      <c r="E565" s="231">
        <v>16.72</v>
      </c>
      <c r="F565" s="231"/>
    </row>
    <row r="566" spans="1:6" s="215" customFormat="1" ht="12.75" hidden="1" customHeight="1" outlineLevel="1" x14ac:dyDescent="0.2">
      <c r="A566" s="215" t="s">
        <v>1279</v>
      </c>
      <c r="B566" s="216" t="s">
        <v>1532</v>
      </c>
      <c r="C566" s="217" t="s">
        <v>2971</v>
      </c>
      <c r="D566" s="218"/>
      <c r="E566" s="219"/>
      <c r="F566" s="219"/>
    </row>
    <row r="567" spans="1:6" s="215" customFormat="1" ht="12.75" hidden="1" customHeight="1" outlineLevel="1" x14ac:dyDescent="0.2">
      <c r="A567" s="215" t="s">
        <v>1279</v>
      </c>
      <c r="B567" s="224" t="s">
        <v>3093</v>
      </c>
      <c r="C567" s="225" t="s">
        <v>3067</v>
      </c>
      <c r="D567" s="226" t="s">
        <v>11</v>
      </c>
      <c r="E567" s="227">
        <v>112.78</v>
      </c>
      <c r="F567" s="227"/>
    </row>
    <row r="568" spans="1:6" s="215" customFormat="1" ht="12.75" hidden="1" customHeight="1" outlineLevel="1" x14ac:dyDescent="0.2">
      <c r="A568" s="215" t="s">
        <v>1279</v>
      </c>
      <c r="B568" s="228" t="s">
        <v>3094</v>
      </c>
      <c r="C568" s="229" t="s">
        <v>3068</v>
      </c>
      <c r="D568" s="230" t="s">
        <v>11</v>
      </c>
      <c r="E568" s="231">
        <v>22.29</v>
      </c>
      <c r="F568" s="231"/>
    </row>
    <row r="569" spans="1:6" s="215" customFormat="1" ht="12.75" hidden="1" customHeight="1" outlineLevel="1" x14ac:dyDescent="0.2">
      <c r="A569" s="215" t="s">
        <v>1279</v>
      </c>
      <c r="B569" s="216" t="s">
        <v>1533</v>
      </c>
      <c r="C569" s="217" t="s">
        <v>2972</v>
      </c>
      <c r="D569" s="218"/>
      <c r="E569" s="219"/>
      <c r="F569" s="219"/>
    </row>
    <row r="570" spans="1:6" s="215" customFormat="1" ht="12.75" hidden="1" customHeight="1" outlineLevel="1" x14ac:dyDescent="0.2">
      <c r="A570" s="215" t="s">
        <v>1279</v>
      </c>
      <c r="B570" s="224" t="s">
        <v>3095</v>
      </c>
      <c r="C570" s="225" t="s">
        <v>3067</v>
      </c>
      <c r="D570" s="226" t="s">
        <v>11</v>
      </c>
      <c r="E570" s="227">
        <v>52.04</v>
      </c>
      <c r="F570" s="227"/>
    </row>
    <row r="571" spans="1:6" s="215" customFormat="1" ht="12.75" hidden="1" customHeight="1" outlineLevel="1" x14ac:dyDescent="0.2">
      <c r="A571" s="215" t="s">
        <v>1279</v>
      </c>
      <c r="B571" s="228" t="s">
        <v>3096</v>
      </c>
      <c r="C571" s="229" t="s">
        <v>3068</v>
      </c>
      <c r="D571" s="230" t="s">
        <v>11</v>
      </c>
      <c r="E571" s="231">
        <v>6.26</v>
      </c>
      <c r="F571" s="231"/>
    </row>
    <row r="572" spans="1:6" s="215" customFormat="1" ht="12.75" hidden="1" customHeight="1" outlineLevel="1" x14ac:dyDescent="0.2">
      <c r="A572" s="215" t="s">
        <v>1279</v>
      </c>
      <c r="B572" s="216" t="s">
        <v>1534</v>
      </c>
      <c r="C572" s="217" t="s">
        <v>2973</v>
      </c>
      <c r="D572" s="218"/>
      <c r="E572" s="219"/>
      <c r="F572" s="219"/>
    </row>
    <row r="573" spans="1:6" s="215" customFormat="1" ht="12.75" hidden="1" customHeight="1" outlineLevel="1" x14ac:dyDescent="0.2">
      <c r="A573" s="215" t="s">
        <v>1279</v>
      </c>
      <c r="B573" s="224" t="s">
        <v>3097</v>
      </c>
      <c r="C573" s="225" t="s">
        <v>3067</v>
      </c>
      <c r="D573" s="226" t="s">
        <v>11</v>
      </c>
      <c r="E573" s="227">
        <v>29.66</v>
      </c>
      <c r="F573" s="227"/>
    </row>
    <row r="574" spans="1:6" s="215" customFormat="1" ht="12.75" hidden="1" customHeight="1" outlineLevel="1" x14ac:dyDescent="0.2">
      <c r="A574" s="215" t="s">
        <v>1279</v>
      </c>
      <c r="B574" s="228" t="s">
        <v>3098</v>
      </c>
      <c r="C574" s="229" t="s">
        <v>3068</v>
      </c>
      <c r="D574" s="230" t="s">
        <v>11</v>
      </c>
      <c r="E574" s="231">
        <v>5.97</v>
      </c>
      <c r="F574" s="231"/>
    </row>
    <row r="575" spans="1:6" s="215" customFormat="1" ht="12.75" hidden="1" customHeight="1" outlineLevel="1" x14ac:dyDescent="0.2">
      <c r="A575" s="215" t="s">
        <v>1279</v>
      </c>
      <c r="B575" s="216" t="s">
        <v>1535</v>
      </c>
      <c r="C575" s="217" t="s">
        <v>2974</v>
      </c>
      <c r="D575" s="218"/>
      <c r="E575" s="219"/>
      <c r="F575" s="219"/>
    </row>
    <row r="576" spans="1:6" s="215" customFormat="1" ht="12.75" hidden="1" customHeight="1" outlineLevel="1" x14ac:dyDescent="0.2">
      <c r="A576" s="215" t="s">
        <v>1279</v>
      </c>
      <c r="B576" s="224" t="s">
        <v>3099</v>
      </c>
      <c r="C576" s="225" t="s">
        <v>3067</v>
      </c>
      <c r="D576" s="226" t="s">
        <v>11</v>
      </c>
      <c r="E576" s="227">
        <v>51.1</v>
      </c>
      <c r="F576" s="227"/>
    </row>
    <row r="577" spans="1:10" s="215" customFormat="1" ht="12.75" hidden="1" customHeight="1" outlineLevel="1" x14ac:dyDescent="0.2">
      <c r="A577" s="215" t="s">
        <v>1279</v>
      </c>
      <c r="B577" s="228" t="s">
        <v>3100</v>
      </c>
      <c r="C577" s="229" t="s">
        <v>3068</v>
      </c>
      <c r="D577" s="230" t="s">
        <v>11</v>
      </c>
      <c r="E577" s="231">
        <v>6.98</v>
      </c>
      <c r="F577" s="231"/>
    </row>
    <row r="578" spans="1:10" s="215" customFormat="1" ht="12.75" hidden="1" customHeight="1" outlineLevel="1" x14ac:dyDescent="0.2">
      <c r="A578" s="215" t="s">
        <v>1279</v>
      </c>
      <c r="B578" s="216" t="s">
        <v>1536</v>
      </c>
      <c r="C578" s="217" t="s">
        <v>2975</v>
      </c>
      <c r="D578" s="218"/>
      <c r="E578" s="219"/>
      <c r="F578" s="219"/>
    </row>
    <row r="579" spans="1:10" s="215" customFormat="1" ht="12.75" hidden="1" customHeight="1" outlineLevel="1" x14ac:dyDescent="0.2">
      <c r="A579" s="215" t="s">
        <v>1279</v>
      </c>
      <c r="B579" s="224" t="s">
        <v>3101</v>
      </c>
      <c r="C579" s="225" t="s">
        <v>3067</v>
      </c>
      <c r="D579" s="226" t="s">
        <v>11</v>
      </c>
      <c r="E579" s="227">
        <v>29.7</v>
      </c>
      <c r="F579" s="227"/>
    </row>
    <row r="580" spans="1:10" s="215" customFormat="1" ht="12.75" hidden="1" customHeight="1" outlineLevel="1" x14ac:dyDescent="0.2">
      <c r="A580" s="215" t="s">
        <v>1279</v>
      </c>
      <c r="B580" s="228" t="s">
        <v>3102</v>
      </c>
      <c r="C580" s="229" t="s">
        <v>3068</v>
      </c>
      <c r="D580" s="230" t="s">
        <v>11</v>
      </c>
      <c r="E580" s="231">
        <v>5.97</v>
      </c>
      <c r="F580" s="231"/>
    </row>
    <row r="581" spans="1:10" s="215" customFormat="1" ht="12.75" hidden="1" customHeight="1" outlineLevel="1" x14ac:dyDescent="0.2">
      <c r="A581" s="215" t="s">
        <v>1279</v>
      </c>
      <c r="B581" s="216" t="s">
        <v>2020</v>
      </c>
      <c r="C581" s="217" t="s">
        <v>2976</v>
      </c>
      <c r="D581" s="218"/>
      <c r="E581" s="219"/>
      <c r="F581" s="219"/>
    </row>
    <row r="582" spans="1:10" s="215" customFormat="1" ht="12.75" hidden="1" customHeight="1" outlineLevel="1" x14ac:dyDescent="0.2">
      <c r="A582" s="215" t="s">
        <v>1279</v>
      </c>
      <c r="B582" s="224" t="s">
        <v>3103</v>
      </c>
      <c r="C582" s="225" t="s">
        <v>3067</v>
      </c>
      <c r="D582" s="226" t="s">
        <v>11</v>
      </c>
      <c r="E582" s="227">
        <v>55.85</v>
      </c>
      <c r="F582" s="227"/>
    </row>
    <row r="583" spans="1:10" s="215" customFormat="1" ht="12.75" hidden="1" customHeight="1" outlineLevel="1" x14ac:dyDescent="0.2">
      <c r="A583" s="215" t="s">
        <v>1279</v>
      </c>
      <c r="B583" s="228" t="s">
        <v>3104</v>
      </c>
      <c r="C583" s="229" t="s">
        <v>3068</v>
      </c>
      <c r="D583" s="230" t="s">
        <v>11</v>
      </c>
      <c r="E583" s="231">
        <v>9.4</v>
      </c>
      <c r="F583" s="231"/>
    </row>
    <row r="584" spans="1:10" s="215" customFormat="1" ht="12.75" hidden="1" customHeight="1" outlineLevel="1" x14ac:dyDescent="0.2">
      <c r="A584" s="215" t="s">
        <v>1279</v>
      </c>
      <c r="B584" s="216" t="s">
        <v>2276</v>
      </c>
      <c r="C584" s="217" t="s">
        <v>2978</v>
      </c>
      <c r="D584" s="218"/>
      <c r="E584" s="219"/>
      <c r="F584" s="219"/>
    </row>
    <row r="585" spans="1:10" s="215" customFormat="1" ht="12.75" hidden="1" customHeight="1" outlineLevel="1" x14ac:dyDescent="0.2">
      <c r="A585" s="215" t="s">
        <v>1279</v>
      </c>
      <c r="B585" s="224" t="s">
        <v>3105</v>
      </c>
      <c r="C585" s="225" t="s">
        <v>3067</v>
      </c>
      <c r="D585" s="226" t="s">
        <v>11</v>
      </c>
      <c r="E585" s="227">
        <v>35.770000000000003</v>
      </c>
      <c r="F585" s="227"/>
    </row>
    <row r="586" spans="1:10" s="215" customFormat="1" ht="12.75" hidden="1" customHeight="1" outlineLevel="1" x14ac:dyDescent="0.2">
      <c r="A586" s="215" t="s">
        <v>1279</v>
      </c>
      <c r="B586" s="228" t="s">
        <v>3106</v>
      </c>
      <c r="C586" s="229" t="s">
        <v>3068</v>
      </c>
      <c r="D586" s="230" t="s">
        <v>11</v>
      </c>
      <c r="E586" s="231">
        <v>68.81</v>
      </c>
      <c r="F586" s="231"/>
    </row>
    <row r="587" spans="1:10" s="215" customFormat="1" collapsed="1" x14ac:dyDescent="0.2">
      <c r="B587" s="515" t="s">
        <v>2277</v>
      </c>
      <c r="C587" s="516" t="s">
        <v>1517</v>
      </c>
      <c r="D587" s="521"/>
      <c r="E587" s="522">
        <f>SUM(E588:E591)</f>
        <v>66.91</v>
      </c>
      <c r="F587" s="522"/>
      <c r="G587" s="516"/>
      <c r="H587" s="234">
        <f>H588</f>
        <v>66.91</v>
      </c>
      <c r="I587" s="242" t="str">
        <f>IF(H587=E587,"OKAY","REVER")</f>
        <v>OKAY</v>
      </c>
      <c r="J587" s="405"/>
    </row>
    <row r="588" spans="1:10" s="215" customFormat="1" ht="12.75" hidden="1" customHeight="1" outlineLevel="1" x14ac:dyDescent="0.2">
      <c r="A588" s="215" t="s">
        <v>1278</v>
      </c>
      <c r="B588" s="216" t="s">
        <v>1537</v>
      </c>
      <c r="C588" s="217" t="s">
        <v>2958</v>
      </c>
      <c r="D588" s="218"/>
      <c r="E588" s="219"/>
      <c r="F588" s="219"/>
      <c r="G588" s="225" t="s">
        <v>3107</v>
      </c>
      <c r="H588" s="235">
        <f>SUMIF($C:$C,G588,$E:$E)</f>
        <v>66.91</v>
      </c>
      <c r="I588" s="241"/>
    </row>
    <row r="589" spans="1:10" s="215" customFormat="1" ht="12.75" hidden="1" customHeight="1" outlineLevel="1" x14ac:dyDescent="0.2">
      <c r="A589" s="215" t="s">
        <v>1278</v>
      </c>
      <c r="B589" s="224" t="s">
        <v>1538</v>
      </c>
      <c r="C589" s="225" t="s">
        <v>3107</v>
      </c>
      <c r="D589" s="226" t="s">
        <v>11</v>
      </c>
      <c r="E589" s="227">
        <v>20.45</v>
      </c>
      <c r="F589" s="227"/>
    </row>
    <row r="590" spans="1:10" s="215" customFormat="1" ht="12.75" hidden="1" customHeight="1" outlineLevel="1" x14ac:dyDescent="0.2">
      <c r="A590" s="215" t="s">
        <v>1279</v>
      </c>
      <c r="B590" s="216" t="s">
        <v>1539</v>
      </c>
      <c r="C590" s="217" t="s">
        <v>2960</v>
      </c>
      <c r="D590" s="218"/>
      <c r="E590" s="219"/>
      <c r="F590" s="219"/>
    </row>
    <row r="591" spans="1:10" s="215" customFormat="1" ht="12.75" hidden="1" customHeight="1" outlineLevel="1" x14ac:dyDescent="0.2">
      <c r="A591" s="215" t="s">
        <v>1279</v>
      </c>
      <c r="B591" s="228" t="s">
        <v>1540</v>
      </c>
      <c r="C591" s="229" t="s">
        <v>3107</v>
      </c>
      <c r="D591" s="230" t="s">
        <v>11</v>
      </c>
      <c r="E591" s="231">
        <v>46.46</v>
      </c>
      <c r="F591" s="231"/>
    </row>
    <row r="592" spans="1:10" s="215" customFormat="1" collapsed="1" x14ac:dyDescent="0.2">
      <c r="B592" s="515" t="s">
        <v>1541</v>
      </c>
      <c r="C592" s="516" t="s">
        <v>3108</v>
      </c>
      <c r="D592" s="521"/>
      <c r="E592" s="522">
        <f>SUM(E593:E594)</f>
        <v>253.75</v>
      </c>
      <c r="F592" s="522"/>
      <c r="G592" s="516"/>
      <c r="H592" s="234">
        <f>H593</f>
        <v>253.75</v>
      </c>
      <c r="I592" s="242" t="str">
        <f>IF(H592=E592,"OKAY","REVER")</f>
        <v>OKAY</v>
      </c>
      <c r="J592" s="405"/>
    </row>
    <row r="593" spans="1:10" s="215" customFormat="1" ht="12.75" hidden="1" customHeight="1" outlineLevel="1" x14ac:dyDescent="0.2">
      <c r="A593" s="215" t="s">
        <v>1278</v>
      </c>
      <c r="B593" s="216" t="s">
        <v>1543</v>
      </c>
      <c r="C593" s="217" t="s">
        <v>2955</v>
      </c>
      <c r="D593" s="218"/>
      <c r="E593" s="219"/>
      <c r="F593" s="219"/>
      <c r="G593" s="225" t="s">
        <v>2847</v>
      </c>
      <c r="H593" s="235">
        <f>SUMIF($C:$C,G593,$E:$E)</f>
        <v>253.75</v>
      </c>
      <c r="I593" s="241"/>
    </row>
    <row r="594" spans="1:10" s="215" customFormat="1" ht="12.75" hidden="1" customHeight="1" outlineLevel="1" x14ac:dyDescent="0.2">
      <c r="A594" s="215" t="s">
        <v>1278</v>
      </c>
      <c r="B594" s="224" t="s">
        <v>1544</v>
      </c>
      <c r="C594" s="225" t="s">
        <v>2847</v>
      </c>
      <c r="D594" s="226" t="s">
        <v>11</v>
      </c>
      <c r="E594" s="227">
        <v>253.75</v>
      </c>
      <c r="F594" s="227"/>
    </row>
    <row r="595" spans="1:10" s="215" customFormat="1" collapsed="1" x14ac:dyDescent="0.2">
      <c r="B595" s="515" t="s">
        <v>1545</v>
      </c>
      <c r="C595" s="516" t="s">
        <v>3109</v>
      </c>
      <c r="D595" s="521"/>
      <c r="E595" s="522">
        <f>SUM(E596:E631)</f>
        <v>755.36999999999989</v>
      </c>
      <c r="F595" s="522"/>
      <c r="G595" s="516"/>
      <c r="H595" s="234">
        <f>SUM(H596:H601)</f>
        <v>755.36999999999989</v>
      </c>
      <c r="I595" s="242" t="str">
        <f>IF(H595=E595,"OKAY","REVER")</f>
        <v>OKAY</v>
      </c>
      <c r="J595" s="405"/>
    </row>
    <row r="596" spans="1:10" s="215" customFormat="1" ht="12.75" hidden="1" customHeight="1" outlineLevel="1" x14ac:dyDescent="0.2">
      <c r="A596" s="215" t="s">
        <v>1278</v>
      </c>
      <c r="B596" s="216" t="s">
        <v>1546</v>
      </c>
      <c r="C596" s="217" t="s">
        <v>2955</v>
      </c>
      <c r="D596" s="218"/>
      <c r="E596" s="219"/>
      <c r="F596" s="219"/>
      <c r="G596" s="229" t="s">
        <v>3125</v>
      </c>
      <c r="H596" s="235">
        <f t="shared" ref="H596:H601" si="21">SUMIF($C:$C,G596,$E:$E)</f>
        <v>755.36999999999989</v>
      </c>
      <c r="I596" s="241"/>
    </row>
    <row r="597" spans="1:10" s="215" customFormat="1" ht="12.75" hidden="1" customHeight="1" outlineLevel="1" x14ac:dyDescent="0.2">
      <c r="A597" s="215" t="s">
        <v>1278</v>
      </c>
      <c r="B597" s="228" t="s">
        <v>1547</v>
      </c>
      <c r="C597" s="229" t="s">
        <v>3125</v>
      </c>
      <c r="D597" s="230" t="s">
        <v>3</v>
      </c>
      <c r="E597" s="231">
        <v>1.83</v>
      </c>
      <c r="F597" s="231"/>
      <c r="G597" s="229"/>
      <c r="H597" s="235">
        <f t="shared" si="21"/>
        <v>0</v>
      </c>
      <c r="I597" s="241"/>
    </row>
    <row r="598" spans="1:10" s="215" customFormat="1" ht="12.75" hidden="1" customHeight="1" outlineLevel="1" x14ac:dyDescent="0.2">
      <c r="A598" s="215" t="s">
        <v>1279</v>
      </c>
      <c r="B598" s="216" t="s">
        <v>1548</v>
      </c>
      <c r="C598" s="217" t="s">
        <v>2960</v>
      </c>
      <c r="D598" s="218"/>
      <c r="E598" s="219"/>
      <c r="F598" s="219"/>
      <c r="G598" s="225"/>
      <c r="H598" s="235">
        <f t="shared" si="21"/>
        <v>0</v>
      </c>
      <c r="I598" s="241"/>
    </row>
    <row r="599" spans="1:10" s="215" customFormat="1" ht="12.75" hidden="1" customHeight="1" outlineLevel="1" x14ac:dyDescent="0.2">
      <c r="A599" s="215" t="s">
        <v>1279</v>
      </c>
      <c r="B599" s="224" t="s">
        <v>2634</v>
      </c>
      <c r="C599" s="225" t="s">
        <v>3125</v>
      </c>
      <c r="D599" s="226" t="s">
        <v>3</v>
      </c>
      <c r="E599" s="227">
        <v>54.85</v>
      </c>
      <c r="F599" s="227"/>
      <c r="G599" s="229"/>
      <c r="H599" s="235">
        <f t="shared" si="21"/>
        <v>0</v>
      </c>
      <c r="I599" s="241"/>
    </row>
    <row r="600" spans="1:10" s="215" customFormat="1" ht="12.75" hidden="1" customHeight="1" outlineLevel="1" x14ac:dyDescent="0.2">
      <c r="A600" s="215" t="s">
        <v>1279</v>
      </c>
      <c r="B600" s="216" t="s">
        <v>1549</v>
      </c>
      <c r="C600" s="217" t="s">
        <v>2961</v>
      </c>
      <c r="D600" s="218"/>
      <c r="E600" s="219"/>
      <c r="F600" s="219"/>
      <c r="G600" s="225"/>
      <c r="H600" s="235">
        <f t="shared" si="21"/>
        <v>0</v>
      </c>
      <c r="I600" s="241"/>
    </row>
    <row r="601" spans="1:10" s="215" customFormat="1" ht="12.75" hidden="1" customHeight="1" outlineLevel="1" x14ac:dyDescent="0.2">
      <c r="A601" s="215" t="s">
        <v>1279</v>
      </c>
      <c r="B601" s="228" t="s">
        <v>2635</v>
      </c>
      <c r="C601" s="229" t="s">
        <v>3125</v>
      </c>
      <c r="D601" s="230" t="s">
        <v>3</v>
      </c>
      <c r="E601" s="231">
        <v>98.95</v>
      </c>
      <c r="F601" s="231"/>
      <c r="G601" s="229"/>
      <c r="H601" s="235">
        <f t="shared" si="21"/>
        <v>0</v>
      </c>
      <c r="I601" s="241"/>
    </row>
    <row r="602" spans="1:10" s="215" customFormat="1" ht="12.75" hidden="1" customHeight="1" outlineLevel="1" x14ac:dyDescent="0.2">
      <c r="A602" s="215" t="s">
        <v>1279</v>
      </c>
      <c r="B602" s="216" t="s">
        <v>1550</v>
      </c>
      <c r="C602" s="217" t="s">
        <v>2962</v>
      </c>
      <c r="D602" s="218"/>
      <c r="E602" s="219"/>
      <c r="F602" s="219"/>
      <c r="G602" s="198"/>
      <c r="H602" s="198"/>
      <c r="I602" s="198"/>
    </row>
    <row r="603" spans="1:10" s="215" customFormat="1" ht="12.75" hidden="1" customHeight="1" outlineLevel="1" x14ac:dyDescent="0.2">
      <c r="A603" s="215" t="s">
        <v>1279</v>
      </c>
      <c r="B603" s="224" t="s">
        <v>2636</v>
      </c>
      <c r="C603" s="225" t="s">
        <v>3125</v>
      </c>
      <c r="D603" s="226" t="s">
        <v>3</v>
      </c>
      <c r="E603" s="227">
        <v>46.95</v>
      </c>
      <c r="F603" s="227"/>
      <c r="G603" s="520" t="s">
        <v>1732</v>
      </c>
      <c r="H603" s="234">
        <f>H605+H613</f>
        <v>755.37</v>
      </c>
      <c r="I603" s="242" t="str">
        <f>IF(H603=H595,"OKAY","REVER")</f>
        <v>OKAY</v>
      </c>
    </row>
    <row r="604" spans="1:10" s="215" customFormat="1" ht="12.75" hidden="1" customHeight="1" outlineLevel="1" x14ac:dyDescent="0.2">
      <c r="A604" s="215" t="s">
        <v>1279</v>
      </c>
      <c r="B604" s="216" t="s">
        <v>1551</v>
      </c>
      <c r="C604" s="217" t="s">
        <v>2963</v>
      </c>
      <c r="D604" s="218"/>
      <c r="E604" s="219"/>
      <c r="F604" s="219"/>
      <c r="G604" s="232"/>
      <c r="H604" s="232"/>
      <c r="I604" s="242"/>
    </row>
    <row r="605" spans="1:10" s="215" customFormat="1" ht="12.75" hidden="1" customHeight="1" outlineLevel="1" x14ac:dyDescent="0.2">
      <c r="A605" s="215" t="s">
        <v>1279</v>
      </c>
      <c r="B605" s="228" t="s">
        <v>2637</v>
      </c>
      <c r="C605" s="229" t="s">
        <v>3125</v>
      </c>
      <c r="D605" s="230" t="s">
        <v>3</v>
      </c>
      <c r="E605" s="231">
        <v>46.78</v>
      </c>
      <c r="F605" s="231"/>
      <c r="G605" s="520" t="str">
        <f>$A$1</f>
        <v>EMBASSAMENTO</v>
      </c>
      <c r="H605" s="234">
        <f>SUM(H606:H611)</f>
        <v>1.83</v>
      </c>
      <c r="I605" s="242"/>
    </row>
    <row r="606" spans="1:10" s="215" customFormat="1" ht="12.75" hidden="1" customHeight="1" outlineLevel="1" x14ac:dyDescent="0.2">
      <c r="A606" s="215" t="s">
        <v>1279</v>
      </c>
      <c r="B606" s="216" t="s">
        <v>1552</v>
      </c>
      <c r="C606" s="217" t="s">
        <v>2964</v>
      </c>
      <c r="D606" s="218"/>
      <c r="E606" s="219"/>
      <c r="F606" s="219"/>
      <c r="G606" s="229" t="s">
        <v>3125</v>
      </c>
      <c r="H606" s="235">
        <f t="shared" ref="H606:H611" si="22">SUMIFS($E:$E,$C:$C,G606,$A:$A,$G$22)</f>
        <v>1.83</v>
      </c>
      <c r="I606" s="242"/>
    </row>
    <row r="607" spans="1:10" s="215" customFormat="1" ht="12.75" hidden="1" customHeight="1" outlineLevel="1" x14ac:dyDescent="0.2">
      <c r="A607" s="215" t="s">
        <v>1279</v>
      </c>
      <c r="B607" s="224" t="s">
        <v>2638</v>
      </c>
      <c r="C607" s="225" t="s">
        <v>3125</v>
      </c>
      <c r="D607" s="226" t="s">
        <v>3</v>
      </c>
      <c r="E607" s="227">
        <v>45.88</v>
      </c>
      <c r="F607" s="227"/>
      <c r="G607" s="229"/>
      <c r="H607" s="235">
        <f t="shared" si="22"/>
        <v>0</v>
      </c>
      <c r="I607" s="241"/>
    </row>
    <row r="608" spans="1:10" s="215" customFormat="1" ht="12.75" hidden="1" customHeight="1" outlineLevel="1" x14ac:dyDescent="0.2">
      <c r="A608" s="215" t="s">
        <v>1279</v>
      </c>
      <c r="B608" s="216" t="s">
        <v>1553</v>
      </c>
      <c r="C608" s="217" t="s">
        <v>2965</v>
      </c>
      <c r="D608" s="218"/>
      <c r="E608" s="219"/>
      <c r="F608" s="219"/>
      <c r="G608" s="229"/>
      <c r="H608" s="235">
        <f t="shared" si="22"/>
        <v>0</v>
      </c>
      <c r="I608" s="241"/>
    </row>
    <row r="609" spans="1:9" s="215" customFormat="1" ht="12.75" hidden="1" customHeight="1" outlineLevel="1" x14ac:dyDescent="0.2">
      <c r="A609" s="215" t="s">
        <v>1279</v>
      </c>
      <c r="B609" s="228" t="s">
        <v>3110</v>
      </c>
      <c r="C609" s="229" t="s">
        <v>3125</v>
      </c>
      <c r="D609" s="230" t="s">
        <v>3</v>
      </c>
      <c r="E609" s="231">
        <v>46.78</v>
      </c>
      <c r="F609" s="231"/>
      <c r="G609" s="229"/>
      <c r="H609" s="235">
        <f t="shared" si="22"/>
        <v>0</v>
      </c>
      <c r="I609" s="241"/>
    </row>
    <row r="610" spans="1:9" s="215" customFormat="1" ht="12.75" hidden="1" customHeight="1" outlineLevel="1" x14ac:dyDescent="0.2">
      <c r="A610" s="215" t="s">
        <v>1279</v>
      </c>
      <c r="B610" s="216" t="s">
        <v>1554</v>
      </c>
      <c r="C610" s="217" t="s">
        <v>2966</v>
      </c>
      <c r="D610" s="218"/>
      <c r="E610" s="219"/>
      <c r="F610" s="219"/>
      <c r="G610" s="225"/>
      <c r="H610" s="235">
        <f t="shared" si="22"/>
        <v>0</v>
      </c>
      <c r="I610" s="241"/>
    </row>
    <row r="611" spans="1:9" s="215" customFormat="1" ht="12.75" hidden="1" customHeight="1" outlineLevel="1" x14ac:dyDescent="0.2">
      <c r="A611" s="215" t="s">
        <v>1279</v>
      </c>
      <c r="B611" s="224" t="s">
        <v>3111</v>
      </c>
      <c r="C611" s="225" t="s">
        <v>3125</v>
      </c>
      <c r="D611" s="226" t="s">
        <v>3</v>
      </c>
      <c r="E611" s="227">
        <v>45.88</v>
      </c>
      <c r="F611" s="227"/>
      <c r="G611" s="229"/>
      <c r="H611" s="235">
        <f t="shared" si="22"/>
        <v>0</v>
      </c>
      <c r="I611" s="241"/>
    </row>
    <row r="612" spans="1:9" s="215" customFormat="1" ht="12.75" hidden="1" customHeight="1" outlineLevel="1" x14ac:dyDescent="0.2">
      <c r="A612" s="215" t="s">
        <v>1279</v>
      </c>
      <c r="B612" s="216" t="s">
        <v>1555</v>
      </c>
      <c r="C612" s="217" t="s">
        <v>2967</v>
      </c>
      <c r="D612" s="218"/>
      <c r="E612" s="219"/>
      <c r="F612" s="219"/>
      <c r="G612" s="198"/>
      <c r="H612" s="198"/>
      <c r="I612" s="241"/>
    </row>
    <row r="613" spans="1:9" s="215" customFormat="1" ht="12.75" hidden="1" customHeight="1" outlineLevel="1" x14ac:dyDescent="0.2">
      <c r="A613" s="215" t="s">
        <v>1279</v>
      </c>
      <c r="B613" s="228" t="s">
        <v>3112</v>
      </c>
      <c r="C613" s="229" t="s">
        <v>3125</v>
      </c>
      <c r="D613" s="230" t="s">
        <v>3</v>
      </c>
      <c r="E613" s="231">
        <v>46.78</v>
      </c>
      <c r="F613" s="231"/>
      <c r="G613" s="520" t="str">
        <f>$A$2</f>
        <v>TORRE</v>
      </c>
      <c r="H613" s="234">
        <f>SUM(H614:H619)</f>
        <v>753.54</v>
      </c>
      <c r="I613" s="241"/>
    </row>
    <row r="614" spans="1:9" s="215" customFormat="1" ht="12.75" hidden="1" customHeight="1" outlineLevel="1" x14ac:dyDescent="0.2">
      <c r="A614" s="215" t="s">
        <v>1279</v>
      </c>
      <c r="B614" s="216" t="s">
        <v>1556</v>
      </c>
      <c r="C614" s="217" t="s">
        <v>2968</v>
      </c>
      <c r="D614" s="218"/>
      <c r="E614" s="219"/>
      <c r="F614" s="219"/>
      <c r="G614" s="229" t="s">
        <v>3125</v>
      </c>
      <c r="H614" s="235">
        <f t="shared" ref="H614:H619" si="23">SUMIFS($E:$E,$C:$C,G614,$A:$A,$G$30)</f>
        <v>753.54</v>
      </c>
      <c r="I614" s="241"/>
    </row>
    <row r="615" spans="1:9" s="215" customFormat="1" ht="12.75" hidden="1" customHeight="1" outlineLevel="1" x14ac:dyDescent="0.2">
      <c r="A615" s="215" t="s">
        <v>1279</v>
      </c>
      <c r="B615" s="224" t="s">
        <v>3113</v>
      </c>
      <c r="C615" s="225" t="s">
        <v>3125</v>
      </c>
      <c r="D615" s="226" t="s">
        <v>3</v>
      </c>
      <c r="E615" s="227">
        <v>45.88</v>
      </c>
      <c r="F615" s="227"/>
      <c r="G615" s="229"/>
      <c r="H615" s="235">
        <f t="shared" si="23"/>
        <v>0</v>
      </c>
      <c r="I615" s="241"/>
    </row>
    <row r="616" spans="1:9" s="215" customFormat="1" ht="12.75" hidden="1" customHeight="1" outlineLevel="1" x14ac:dyDescent="0.2">
      <c r="A616" s="215" t="s">
        <v>1279</v>
      </c>
      <c r="B616" s="216" t="s">
        <v>1557</v>
      </c>
      <c r="C616" s="217" t="s">
        <v>2969</v>
      </c>
      <c r="D616" s="218"/>
      <c r="E616" s="219"/>
      <c r="F616" s="219"/>
      <c r="G616" s="225"/>
      <c r="H616" s="235">
        <f t="shared" si="23"/>
        <v>0</v>
      </c>
      <c r="I616" s="241"/>
    </row>
    <row r="617" spans="1:9" s="215" customFormat="1" ht="12.75" hidden="1" customHeight="1" outlineLevel="1" x14ac:dyDescent="0.2">
      <c r="A617" s="215" t="s">
        <v>1279</v>
      </c>
      <c r="B617" s="228" t="s">
        <v>3114</v>
      </c>
      <c r="C617" s="229" t="s">
        <v>3125</v>
      </c>
      <c r="D617" s="230" t="s">
        <v>3</v>
      </c>
      <c r="E617" s="231">
        <v>46.78</v>
      </c>
      <c r="F617" s="231"/>
      <c r="G617" s="229"/>
      <c r="H617" s="235">
        <f t="shared" si="23"/>
        <v>0</v>
      </c>
      <c r="I617" s="241"/>
    </row>
    <row r="618" spans="1:9" s="215" customFormat="1" ht="12.75" hidden="1" customHeight="1" outlineLevel="1" x14ac:dyDescent="0.2">
      <c r="A618" s="215" t="s">
        <v>1279</v>
      </c>
      <c r="B618" s="216" t="s">
        <v>1558</v>
      </c>
      <c r="C618" s="217" t="s">
        <v>2970</v>
      </c>
      <c r="D618" s="218"/>
      <c r="E618" s="219"/>
      <c r="F618" s="219"/>
      <c r="G618" s="225"/>
      <c r="H618" s="235">
        <f t="shared" si="23"/>
        <v>0</v>
      </c>
      <c r="I618" s="241"/>
    </row>
    <row r="619" spans="1:9" s="215" customFormat="1" ht="12.75" hidden="1" customHeight="1" outlineLevel="1" x14ac:dyDescent="0.2">
      <c r="A619" s="215" t="s">
        <v>1279</v>
      </c>
      <c r="B619" s="224" t="s">
        <v>3115</v>
      </c>
      <c r="C619" s="225" t="s">
        <v>3125</v>
      </c>
      <c r="D619" s="226" t="s">
        <v>3</v>
      </c>
      <c r="E619" s="227">
        <v>45.88</v>
      </c>
      <c r="F619" s="227"/>
      <c r="G619" s="229"/>
      <c r="H619" s="235">
        <f t="shared" si="23"/>
        <v>0</v>
      </c>
      <c r="I619" s="241"/>
    </row>
    <row r="620" spans="1:9" s="215" customFormat="1" ht="12.75" hidden="1" customHeight="1" outlineLevel="1" x14ac:dyDescent="0.2">
      <c r="A620" s="215" t="s">
        <v>1279</v>
      </c>
      <c r="B620" s="216" t="s">
        <v>1559</v>
      </c>
      <c r="C620" s="217" t="s">
        <v>2971</v>
      </c>
      <c r="D620" s="218"/>
      <c r="E620" s="219"/>
      <c r="F620" s="219"/>
    </row>
    <row r="621" spans="1:9" s="215" customFormat="1" ht="12.75" hidden="1" customHeight="1" outlineLevel="1" x14ac:dyDescent="0.2">
      <c r="A621" s="215" t="s">
        <v>1279</v>
      </c>
      <c r="B621" s="228" t="s">
        <v>3116</v>
      </c>
      <c r="C621" s="229" t="s">
        <v>3125</v>
      </c>
      <c r="D621" s="230" t="s">
        <v>3</v>
      </c>
      <c r="E621" s="231">
        <v>48.9</v>
      </c>
      <c r="F621" s="231"/>
    </row>
    <row r="622" spans="1:9" s="215" customFormat="1" ht="12.75" hidden="1" customHeight="1" outlineLevel="1" x14ac:dyDescent="0.2">
      <c r="A622" s="215" t="s">
        <v>1279</v>
      </c>
      <c r="B622" s="216" t="s">
        <v>2278</v>
      </c>
      <c r="C622" s="217" t="s">
        <v>2973</v>
      </c>
      <c r="D622" s="218"/>
      <c r="E622" s="219"/>
      <c r="F622" s="219"/>
    </row>
    <row r="623" spans="1:9" s="215" customFormat="1" ht="12.75" hidden="1" customHeight="1" outlineLevel="1" x14ac:dyDescent="0.2">
      <c r="A623" s="215" t="s">
        <v>1279</v>
      </c>
      <c r="B623" s="224" t="s">
        <v>3117</v>
      </c>
      <c r="C623" s="225" t="s">
        <v>3125</v>
      </c>
      <c r="D623" s="226" t="s">
        <v>3</v>
      </c>
      <c r="E623" s="227">
        <v>29.98</v>
      </c>
      <c r="F623" s="227"/>
    </row>
    <row r="624" spans="1:9" s="215" customFormat="1" ht="12.75" hidden="1" customHeight="1" outlineLevel="1" x14ac:dyDescent="0.2">
      <c r="A624" s="215" t="s">
        <v>1279</v>
      </c>
      <c r="B624" s="216" t="s">
        <v>2279</v>
      </c>
      <c r="C624" s="217" t="s">
        <v>2974</v>
      </c>
      <c r="D624" s="218"/>
      <c r="E624" s="219"/>
      <c r="F624" s="219"/>
    </row>
    <row r="625" spans="1:11" s="215" customFormat="1" ht="12.75" hidden="1" customHeight="1" outlineLevel="1" x14ac:dyDescent="0.2">
      <c r="A625" s="215" t="s">
        <v>1279</v>
      </c>
      <c r="B625" s="228" t="s">
        <v>3118</v>
      </c>
      <c r="C625" s="229" t="s">
        <v>3125</v>
      </c>
      <c r="D625" s="230" t="s">
        <v>3</v>
      </c>
      <c r="E625" s="231">
        <v>40.5</v>
      </c>
      <c r="F625" s="231"/>
    </row>
    <row r="626" spans="1:11" s="215" customFormat="1" ht="12.75" hidden="1" customHeight="1" outlineLevel="1" x14ac:dyDescent="0.2">
      <c r="A626" s="215" t="s">
        <v>1279</v>
      </c>
      <c r="B626" s="216" t="s">
        <v>2280</v>
      </c>
      <c r="C626" s="217" t="s">
        <v>2975</v>
      </c>
      <c r="D626" s="218"/>
      <c r="E626" s="219"/>
      <c r="F626" s="219"/>
    </row>
    <row r="627" spans="1:11" s="215" customFormat="1" ht="12.75" hidden="1" customHeight="1" outlineLevel="1" x14ac:dyDescent="0.2">
      <c r="A627" s="215" t="s">
        <v>1279</v>
      </c>
      <c r="B627" s="224" t="s">
        <v>3119</v>
      </c>
      <c r="C627" s="225" t="s">
        <v>3125</v>
      </c>
      <c r="D627" s="226" t="s">
        <v>3</v>
      </c>
      <c r="E627" s="227">
        <v>29.98</v>
      </c>
      <c r="F627" s="227"/>
    </row>
    <row r="628" spans="1:11" s="215" customFormat="1" ht="12.75" hidden="1" customHeight="1" outlineLevel="1" x14ac:dyDescent="0.2">
      <c r="A628" s="215" t="s">
        <v>1279</v>
      </c>
      <c r="B628" s="216" t="s">
        <v>2281</v>
      </c>
      <c r="C628" s="217" t="s">
        <v>2976</v>
      </c>
      <c r="D628" s="218"/>
      <c r="E628" s="219"/>
      <c r="F628" s="219"/>
    </row>
    <row r="629" spans="1:11" s="215" customFormat="1" ht="12.75" hidden="1" customHeight="1" outlineLevel="1" x14ac:dyDescent="0.2">
      <c r="A629" s="215" t="s">
        <v>1279</v>
      </c>
      <c r="B629" s="228" t="s">
        <v>3120</v>
      </c>
      <c r="C629" s="229" t="s">
        <v>3125</v>
      </c>
      <c r="D629" s="230" t="s">
        <v>3</v>
      </c>
      <c r="E629" s="231">
        <v>28.73</v>
      </c>
      <c r="F629" s="231"/>
    </row>
    <row r="630" spans="1:11" s="215" customFormat="1" ht="12.75" hidden="1" customHeight="1" outlineLevel="1" x14ac:dyDescent="0.2">
      <c r="A630" s="215" t="s">
        <v>1279</v>
      </c>
      <c r="B630" s="216" t="s">
        <v>2282</v>
      </c>
      <c r="C630" s="217" t="s">
        <v>2978</v>
      </c>
      <c r="D630" s="218"/>
      <c r="E630" s="219"/>
      <c r="F630" s="219"/>
    </row>
    <row r="631" spans="1:11" s="215" customFormat="1" ht="12.75" hidden="1" customHeight="1" outlineLevel="1" x14ac:dyDescent="0.2">
      <c r="A631" s="215" t="s">
        <v>1279</v>
      </c>
      <c r="B631" s="224" t="s">
        <v>3121</v>
      </c>
      <c r="C631" s="225" t="s">
        <v>3125</v>
      </c>
      <c r="D631" s="226" t="s">
        <v>3</v>
      </c>
      <c r="E631" s="227">
        <v>4.0599999999999996</v>
      </c>
      <c r="F631" s="227"/>
    </row>
    <row r="632" spans="1:11" collapsed="1" x14ac:dyDescent="0.2">
      <c r="B632" s="515" t="s">
        <v>1560</v>
      </c>
      <c r="C632" s="516" t="s">
        <v>3126</v>
      </c>
      <c r="D632" s="515"/>
      <c r="E632" s="524">
        <f>SUM(E634:E700)</f>
        <v>3321.1800000000003</v>
      </c>
      <c r="F632" s="524"/>
      <c r="G632" s="516"/>
      <c r="H632" s="234">
        <f>SUM(H633:H650)</f>
        <v>3321.18</v>
      </c>
      <c r="I632" s="242" t="str">
        <f>IF(H632=E632,"OKAY","REVER")</f>
        <v>OKAY</v>
      </c>
      <c r="J632" s="405"/>
      <c r="K632" s="215"/>
    </row>
    <row r="633" spans="1:11" ht="12.75" hidden="1" customHeight="1" outlineLevel="1" x14ac:dyDescent="0.2">
      <c r="A633" s="198" t="s">
        <v>1278</v>
      </c>
      <c r="B633" s="216" t="s">
        <v>1561</v>
      </c>
      <c r="C633" s="217" t="s">
        <v>2955</v>
      </c>
      <c r="D633" s="218"/>
      <c r="E633" s="219"/>
      <c r="F633" s="219"/>
      <c r="G633" s="229" t="s">
        <v>3137</v>
      </c>
      <c r="H633" s="235">
        <f t="shared" ref="H633:H650" si="24">SUMIF($C:$C,G633,$E:$E)</f>
        <v>2572.75</v>
      </c>
      <c r="I633" s="241" t="s">
        <v>1734</v>
      </c>
      <c r="J633" s="215"/>
      <c r="K633" s="215"/>
    </row>
    <row r="634" spans="1:11" ht="12.75" hidden="1" customHeight="1" outlineLevel="1" x14ac:dyDescent="0.2">
      <c r="A634" s="198" t="s">
        <v>1278</v>
      </c>
      <c r="B634" s="228" t="s">
        <v>2021</v>
      </c>
      <c r="C634" s="229" t="s">
        <v>3127</v>
      </c>
      <c r="D634" s="230" t="s">
        <v>11</v>
      </c>
      <c r="E634" s="231">
        <v>28.03</v>
      </c>
      <c r="F634" s="231"/>
      <c r="G634" s="225" t="s">
        <v>3141</v>
      </c>
      <c r="H634" s="235">
        <f t="shared" si="24"/>
        <v>34.630000000000003</v>
      </c>
      <c r="I634" s="241" t="s">
        <v>1734</v>
      </c>
      <c r="J634" s="215"/>
      <c r="K634" s="215"/>
    </row>
    <row r="635" spans="1:11" ht="12.75" hidden="1" customHeight="1" outlineLevel="1" x14ac:dyDescent="0.2">
      <c r="A635" s="198" t="s">
        <v>1278</v>
      </c>
      <c r="B635" s="224" t="s">
        <v>2311</v>
      </c>
      <c r="C635" s="225" t="s">
        <v>3128</v>
      </c>
      <c r="D635" s="226" t="s">
        <v>11</v>
      </c>
      <c r="E635" s="227">
        <v>12.87</v>
      </c>
      <c r="F635" s="227"/>
      <c r="G635" s="229" t="s">
        <v>3129</v>
      </c>
      <c r="H635" s="235">
        <f t="shared" si="24"/>
        <v>2.08</v>
      </c>
      <c r="I635" s="241" t="s">
        <v>1734</v>
      </c>
      <c r="J635" s="215"/>
      <c r="K635" s="215"/>
    </row>
    <row r="636" spans="1:11" s="215" customFormat="1" ht="12.75" hidden="1" customHeight="1" outlineLevel="1" x14ac:dyDescent="0.2">
      <c r="A636" s="198" t="s">
        <v>1279</v>
      </c>
      <c r="B636" s="216" t="s">
        <v>1562</v>
      </c>
      <c r="C636" s="217" t="s">
        <v>2958</v>
      </c>
      <c r="D636" s="218"/>
      <c r="E636" s="219"/>
      <c r="F636" s="219"/>
      <c r="G636" s="225" t="s">
        <v>3127</v>
      </c>
      <c r="H636" s="235">
        <f t="shared" si="24"/>
        <v>28.03</v>
      </c>
      <c r="I636" s="241" t="s">
        <v>1734</v>
      </c>
    </row>
    <row r="637" spans="1:11" ht="25.5" hidden="1" customHeight="1" outlineLevel="1" x14ac:dyDescent="0.2">
      <c r="A637" s="198" t="s">
        <v>1279</v>
      </c>
      <c r="B637" s="228" t="s">
        <v>2022</v>
      </c>
      <c r="C637" s="229" t="s">
        <v>3129</v>
      </c>
      <c r="D637" s="230" t="s">
        <v>11</v>
      </c>
      <c r="E637" s="231">
        <v>2.08</v>
      </c>
      <c r="F637" s="231"/>
      <c r="G637" s="229" t="s">
        <v>3138</v>
      </c>
      <c r="H637" s="235">
        <f t="shared" si="24"/>
        <v>390.90000000000003</v>
      </c>
      <c r="I637" s="241" t="s">
        <v>1734</v>
      </c>
      <c r="J637" s="215"/>
      <c r="K637" s="215"/>
    </row>
    <row r="638" spans="1:11" ht="12.75" hidden="1" customHeight="1" outlineLevel="1" x14ac:dyDescent="0.2">
      <c r="A638" s="198" t="s">
        <v>1279</v>
      </c>
      <c r="B638" s="224" t="s">
        <v>2639</v>
      </c>
      <c r="C638" s="225" t="s">
        <v>3130</v>
      </c>
      <c r="D638" s="226" t="s">
        <v>11</v>
      </c>
      <c r="E638" s="227">
        <v>4.22</v>
      </c>
      <c r="F638" s="227"/>
      <c r="G638" s="225" t="s">
        <v>3130</v>
      </c>
      <c r="H638" s="235">
        <f t="shared" si="24"/>
        <v>4.22</v>
      </c>
      <c r="I638" s="241" t="s">
        <v>1734</v>
      </c>
      <c r="J638" s="215"/>
      <c r="K638" s="215"/>
    </row>
    <row r="639" spans="1:11" ht="12.75" hidden="1" customHeight="1" outlineLevel="1" x14ac:dyDescent="0.2">
      <c r="A639" s="198" t="s">
        <v>1279</v>
      </c>
      <c r="B639" s="228" t="s">
        <v>3131</v>
      </c>
      <c r="C639" s="229" t="s">
        <v>3132</v>
      </c>
      <c r="D639" s="230" t="s">
        <v>11</v>
      </c>
      <c r="E639" s="231">
        <v>21.47</v>
      </c>
      <c r="F639" s="231"/>
      <c r="G639" s="229" t="s">
        <v>3173</v>
      </c>
      <c r="H639" s="235">
        <f t="shared" si="24"/>
        <v>53.38</v>
      </c>
      <c r="I639" s="241" t="s">
        <v>3182</v>
      </c>
      <c r="J639" s="215"/>
      <c r="K639" s="215"/>
    </row>
    <row r="640" spans="1:11" ht="12.75" hidden="1" customHeight="1" outlineLevel="1" x14ac:dyDescent="0.2">
      <c r="A640" s="198" t="s">
        <v>1279</v>
      </c>
      <c r="B640" s="224" t="s">
        <v>3133</v>
      </c>
      <c r="C640" s="225" t="s">
        <v>3134</v>
      </c>
      <c r="D640" s="226" t="s">
        <v>11</v>
      </c>
      <c r="E640" s="227">
        <v>43.89</v>
      </c>
      <c r="F640" s="227"/>
      <c r="G640" s="225" t="s">
        <v>3175</v>
      </c>
      <c r="H640" s="235">
        <f t="shared" si="24"/>
        <v>4.4000000000000004</v>
      </c>
      <c r="I640" s="241" t="s">
        <v>3182</v>
      </c>
      <c r="K640" s="215"/>
    </row>
    <row r="641" spans="1:17" ht="12.75" hidden="1" customHeight="1" outlineLevel="1" x14ac:dyDescent="0.2">
      <c r="A641" s="198" t="s">
        <v>1279</v>
      </c>
      <c r="B641" s="228" t="s">
        <v>3135</v>
      </c>
      <c r="C641" s="229" t="s">
        <v>3136</v>
      </c>
      <c r="D641" s="230" t="s">
        <v>11</v>
      </c>
      <c r="E641" s="231">
        <v>17.100000000000001</v>
      </c>
      <c r="F641" s="231"/>
      <c r="G641" s="229" t="s">
        <v>3161</v>
      </c>
      <c r="H641" s="235">
        <f t="shared" si="24"/>
        <v>7.41</v>
      </c>
      <c r="I641" s="241" t="s">
        <v>1734</v>
      </c>
      <c r="K641" s="215"/>
    </row>
    <row r="642" spans="1:17" ht="12.75" hidden="1" customHeight="1" outlineLevel="1" x14ac:dyDescent="0.2">
      <c r="A642" s="198" t="s">
        <v>1279</v>
      </c>
      <c r="B642" s="216" t="s">
        <v>1563</v>
      </c>
      <c r="C642" s="217" t="s">
        <v>2960</v>
      </c>
      <c r="D642" s="218"/>
      <c r="E642" s="219"/>
      <c r="F642" s="219"/>
      <c r="G642" s="225" t="s">
        <v>3128</v>
      </c>
      <c r="H642" s="235">
        <f t="shared" si="24"/>
        <v>12.87</v>
      </c>
      <c r="I642" s="241" t="s">
        <v>1734</v>
      </c>
      <c r="K642" s="215"/>
    </row>
    <row r="643" spans="1:17" ht="12.75" hidden="1" customHeight="1" outlineLevel="1" x14ac:dyDescent="0.2">
      <c r="A643" s="198" t="s">
        <v>1279</v>
      </c>
      <c r="B643" s="224" t="s">
        <v>2023</v>
      </c>
      <c r="C643" s="225" t="s">
        <v>3137</v>
      </c>
      <c r="D643" s="226" t="s">
        <v>11</v>
      </c>
      <c r="E643" s="227">
        <v>131.86000000000001</v>
      </c>
      <c r="F643" s="227"/>
      <c r="G643" s="229" t="s">
        <v>3177</v>
      </c>
      <c r="H643" s="235">
        <f t="shared" si="24"/>
        <v>2.15</v>
      </c>
      <c r="I643" s="241" t="s">
        <v>1734</v>
      </c>
      <c r="K643" s="215"/>
      <c r="N643" s="236"/>
      <c r="O643" s="236"/>
      <c r="P643" s="236"/>
      <c r="Q643" s="236"/>
    </row>
    <row r="644" spans="1:17" ht="25.5" hidden="1" customHeight="1" outlineLevel="1" x14ac:dyDescent="0.2">
      <c r="A644" s="198" t="s">
        <v>1279</v>
      </c>
      <c r="B644" s="228" t="s">
        <v>2640</v>
      </c>
      <c r="C644" s="229" t="s">
        <v>3138</v>
      </c>
      <c r="D644" s="230" t="s">
        <v>11</v>
      </c>
      <c r="E644" s="231">
        <v>16.73</v>
      </c>
      <c r="F644" s="231"/>
      <c r="G644" s="225" t="s">
        <v>3179</v>
      </c>
      <c r="H644" s="235">
        <f t="shared" si="24"/>
        <v>4.74</v>
      </c>
      <c r="I644" s="241" t="s">
        <v>1734</v>
      </c>
      <c r="K644" s="215"/>
      <c r="N644" s="236"/>
      <c r="O644" s="236"/>
      <c r="P644" s="236"/>
      <c r="Q644" s="236"/>
    </row>
    <row r="645" spans="1:17" ht="12.75" hidden="1" customHeight="1" outlineLevel="1" x14ac:dyDescent="0.2">
      <c r="A645" s="198" t="s">
        <v>1279</v>
      </c>
      <c r="B645" s="224" t="s">
        <v>3139</v>
      </c>
      <c r="C645" s="225" t="s">
        <v>3140</v>
      </c>
      <c r="D645" s="226" t="s">
        <v>11</v>
      </c>
      <c r="E645" s="227">
        <v>19.23</v>
      </c>
      <c r="F645" s="227"/>
      <c r="G645" s="229" t="s">
        <v>3163</v>
      </c>
      <c r="H645" s="235">
        <f t="shared" si="24"/>
        <v>58.3</v>
      </c>
      <c r="I645" s="241" t="s">
        <v>1734</v>
      </c>
      <c r="K645" s="215"/>
      <c r="N645" s="236"/>
      <c r="O645" s="236"/>
      <c r="P645" s="236"/>
      <c r="Q645" s="236"/>
    </row>
    <row r="646" spans="1:17" ht="12.75" hidden="1" customHeight="1" outlineLevel="1" x14ac:dyDescent="0.2">
      <c r="A646" s="198" t="s">
        <v>1279</v>
      </c>
      <c r="B646" s="216" t="s">
        <v>1564</v>
      </c>
      <c r="C646" s="217" t="s">
        <v>2961</v>
      </c>
      <c r="D646" s="218"/>
      <c r="E646" s="219"/>
      <c r="F646" s="219"/>
      <c r="G646" s="225" t="s">
        <v>3132</v>
      </c>
      <c r="H646" s="235">
        <f t="shared" si="24"/>
        <v>21.47</v>
      </c>
      <c r="I646" s="241" t="s">
        <v>1734</v>
      </c>
      <c r="K646" s="215"/>
      <c r="N646" s="236"/>
      <c r="O646" s="236"/>
      <c r="P646" s="236"/>
      <c r="Q646" s="236"/>
    </row>
    <row r="647" spans="1:17" ht="12.75" hidden="1" customHeight="1" outlineLevel="1" x14ac:dyDescent="0.2">
      <c r="A647" s="198" t="s">
        <v>1279</v>
      </c>
      <c r="B647" s="228" t="s">
        <v>2024</v>
      </c>
      <c r="C647" s="229" t="s">
        <v>3137</v>
      </c>
      <c r="D647" s="230" t="s">
        <v>11</v>
      </c>
      <c r="E647" s="231">
        <v>244.37</v>
      </c>
      <c r="F647" s="231"/>
      <c r="G647" s="229" t="s">
        <v>3134</v>
      </c>
      <c r="H647" s="235">
        <f t="shared" si="24"/>
        <v>43.89</v>
      </c>
      <c r="I647" s="241" t="s">
        <v>1734</v>
      </c>
      <c r="K647" s="215"/>
      <c r="N647" s="236"/>
      <c r="O647" s="236"/>
      <c r="P647" s="236"/>
      <c r="Q647" s="236"/>
    </row>
    <row r="648" spans="1:17" ht="12.75" hidden="1" customHeight="1" outlineLevel="1" x14ac:dyDescent="0.2">
      <c r="A648" s="198" t="s">
        <v>1279</v>
      </c>
      <c r="B648" s="224" t="s">
        <v>2641</v>
      </c>
      <c r="C648" s="225" t="s">
        <v>3141</v>
      </c>
      <c r="D648" s="226" t="s">
        <v>11</v>
      </c>
      <c r="E648" s="227">
        <v>34.630000000000003</v>
      </c>
      <c r="F648" s="227"/>
      <c r="G648" s="225" t="s">
        <v>3181</v>
      </c>
      <c r="H648" s="235">
        <f t="shared" si="24"/>
        <v>43.63</v>
      </c>
      <c r="I648" s="241" t="s">
        <v>1734</v>
      </c>
      <c r="K648" s="215"/>
      <c r="N648" s="236"/>
      <c r="O648" s="236"/>
      <c r="P648" s="236"/>
      <c r="Q648" s="236"/>
    </row>
    <row r="649" spans="1:17" ht="25.5" hidden="1" customHeight="1" outlineLevel="1" x14ac:dyDescent="0.2">
      <c r="A649" s="198" t="s">
        <v>1279</v>
      </c>
      <c r="B649" s="228" t="s">
        <v>3142</v>
      </c>
      <c r="C649" s="229" t="s">
        <v>3138</v>
      </c>
      <c r="D649" s="230" t="s">
        <v>11</v>
      </c>
      <c r="E649" s="231">
        <v>29.64</v>
      </c>
      <c r="F649" s="231"/>
      <c r="G649" s="229" t="s">
        <v>3140</v>
      </c>
      <c r="H649" s="235">
        <f t="shared" si="24"/>
        <v>19.23</v>
      </c>
      <c r="I649" s="241" t="s">
        <v>1734</v>
      </c>
      <c r="K649" s="215"/>
      <c r="N649" s="236"/>
      <c r="O649" s="236"/>
      <c r="P649" s="237"/>
      <c r="Q649" s="236"/>
    </row>
    <row r="650" spans="1:17" ht="12.75" hidden="1" customHeight="1" outlineLevel="1" x14ac:dyDescent="0.2">
      <c r="A650" s="198" t="s">
        <v>1279</v>
      </c>
      <c r="B650" s="216" t="s">
        <v>1565</v>
      </c>
      <c r="C650" s="217" t="s">
        <v>2962</v>
      </c>
      <c r="D650" s="218"/>
      <c r="E650" s="219"/>
      <c r="F650" s="219"/>
      <c r="G650" s="225" t="s">
        <v>3136</v>
      </c>
      <c r="H650" s="235">
        <f t="shared" si="24"/>
        <v>17.100000000000001</v>
      </c>
      <c r="I650" s="241" t="s">
        <v>1734</v>
      </c>
      <c r="K650" s="215"/>
      <c r="N650" s="236"/>
      <c r="O650" s="236"/>
      <c r="P650" s="236"/>
      <c r="Q650" s="236"/>
    </row>
    <row r="651" spans="1:17" ht="12.75" hidden="1" customHeight="1" outlineLevel="1" x14ac:dyDescent="0.2">
      <c r="A651" s="198" t="s">
        <v>1279</v>
      </c>
      <c r="B651" s="224" t="s">
        <v>2025</v>
      </c>
      <c r="C651" s="225" t="s">
        <v>3137</v>
      </c>
      <c r="D651" s="226" t="s">
        <v>11</v>
      </c>
      <c r="E651" s="227">
        <v>189.42</v>
      </c>
      <c r="F651" s="227"/>
      <c r="K651" s="215"/>
    </row>
    <row r="652" spans="1:17" ht="25.5" hidden="1" customHeight="1" outlineLevel="1" x14ac:dyDescent="0.2">
      <c r="A652" s="198" t="s">
        <v>1279</v>
      </c>
      <c r="B652" s="228" t="s">
        <v>3143</v>
      </c>
      <c r="C652" s="229" t="s">
        <v>3138</v>
      </c>
      <c r="D652" s="230" t="s">
        <v>11</v>
      </c>
      <c r="E652" s="231">
        <v>34.56</v>
      </c>
      <c r="F652" s="231"/>
      <c r="K652" s="215"/>
    </row>
    <row r="653" spans="1:17" ht="12.75" hidden="1" customHeight="1" outlineLevel="1" x14ac:dyDescent="0.2">
      <c r="A653" s="198" t="s">
        <v>1279</v>
      </c>
      <c r="B653" s="216" t="s">
        <v>1566</v>
      </c>
      <c r="C653" s="217" t="s">
        <v>2963</v>
      </c>
      <c r="D653" s="218"/>
      <c r="E653" s="219"/>
      <c r="F653" s="219"/>
      <c r="G653" s="520" t="s">
        <v>1732</v>
      </c>
      <c r="H653" s="234">
        <f>H655+H675</f>
        <v>3321.18</v>
      </c>
      <c r="I653" s="242" t="str">
        <f>IF(H653=H632,"OKAY","REVER")</f>
        <v>OKAY</v>
      </c>
      <c r="J653" s="215"/>
      <c r="K653" s="215"/>
    </row>
    <row r="654" spans="1:17" ht="12.75" hidden="1" customHeight="1" outlineLevel="1" x14ac:dyDescent="0.2">
      <c r="A654" s="198" t="s">
        <v>1279</v>
      </c>
      <c r="B654" s="224" t="s">
        <v>2026</v>
      </c>
      <c r="C654" s="225" t="s">
        <v>3137</v>
      </c>
      <c r="D654" s="226" t="s">
        <v>11</v>
      </c>
      <c r="E654" s="227">
        <v>188.22</v>
      </c>
      <c r="F654" s="227"/>
      <c r="G654" s="232"/>
      <c r="H654" s="232"/>
      <c r="I654" s="242"/>
      <c r="J654" s="215"/>
      <c r="K654" s="215"/>
    </row>
    <row r="655" spans="1:17" ht="25.5" hidden="1" customHeight="1" outlineLevel="1" x14ac:dyDescent="0.2">
      <c r="A655" s="198" t="s">
        <v>1279</v>
      </c>
      <c r="B655" s="228" t="s">
        <v>2642</v>
      </c>
      <c r="C655" s="229" t="s">
        <v>3138</v>
      </c>
      <c r="D655" s="230" t="s">
        <v>11</v>
      </c>
      <c r="E655" s="231">
        <v>27.13</v>
      </c>
      <c r="F655" s="231"/>
      <c r="G655" s="520" t="str">
        <f>$A$1</f>
        <v>EMBASSAMENTO</v>
      </c>
      <c r="H655" s="234">
        <f>SUM(H656:H673)</f>
        <v>40.9</v>
      </c>
      <c r="I655" s="242"/>
      <c r="J655" s="215"/>
      <c r="K655" s="215"/>
    </row>
    <row r="656" spans="1:17" ht="12.75" hidden="1" customHeight="1" outlineLevel="1" x14ac:dyDescent="0.2">
      <c r="A656" s="198" t="s">
        <v>1279</v>
      </c>
      <c r="B656" s="216" t="s">
        <v>1567</v>
      </c>
      <c r="C656" s="217" t="s">
        <v>2964</v>
      </c>
      <c r="D656" s="218"/>
      <c r="E656" s="219"/>
      <c r="F656" s="219"/>
      <c r="G656" s="229" t="s">
        <v>3137</v>
      </c>
      <c r="H656" s="235">
        <f t="shared" ref="H656:H673" si="25">SUMIFS($E:$E,$C:$C,G656,$A:$A,$G$22)</f>
        <v>0</v>
      </c>
      <c r="I656" s="242"/>
      <c r="J656" s="215"/>
      <c r="K656" s="215"/>
    </row>
    <row r="657" spans="1:17" ht="12.75" hidden="1" customHeight="1" outlineLevel="1" x14ac:dyDescent="0.2">
      <c r="A657" s="198" t="s">
        <v>1279</v>
      </c>
      <c r="B657" s="224" t="s">
        <v>3144</v>
      </c>
      <c r="C657" s="225" t="s">
        <v>3137</v>
      </c>
      <c r="D657" s="226" t="s">
        <v>11</v>
      </c>
      <c r="E657" s="227">
        <v>187.35</v>
      </c>
      <c r="F657" s="227"/>
      <c r="G657" s="225" t="s">
        <v>3141</v>
      </c>
      <c r="H657" s="235">
        <f t="shared" si="25"/>
        <v>0</v>
      </c>
      <c r="J657" s="215"/>
      <c r="N657" s="236"/>
      <c r="O657" s="236"/>
      <c r="P657" s="236"/>
      <c r="Q657" s="236"/>
    </row>
    <row r="658" spans="1:17" ht="25.5" hidden="1" customHeight="1" outlineLevel="1" x14ac:dyDescent="0.2">
      <c r="A658" s="198" t="s">
        <v>1279</v>
      </c>
      <c r="B658" s="228" t="s">
        <v>3145</v>
      </c>
      <c r="C658" s="229" t="s">
        <v>3138</v>
      </c>
      <c r="D658" s="230" t="s">
        <v>11</v>
      </c>
      <c r="E658" s="231">
        <v>34.56</v>
      </c>
      <c r="F658" s="231"/>
      <c r="G658" s="229" t="s">
        <v>3129</v>
      </c>
      <c r="H658" s="235">
        <f t="shared" si="25"/>
        <v>0</v>
      </c>
      <c r="J658" s="215"/>
      <c r="N658" s="236"/>
      <c r="O658" s="236"/>
      <c r="P658" s="236"/>
      <c r="Q658" s="236"/>
    </row>
    <row r="659" spans="1:17" ht="12.75" hidden="1" customHeight="1" outlineLevel="1" x14ac:dyDescent="0.2">
      <c r="A659" s="198" t="s">
        <v>1279</v>
      </c>
      <c r="B659" s="216" t="s">
        <v>1568</v>
      </c>
      <c r="C659" s="217" t="s">
        <v>2965</v>
      </c>
      <c r="D659" s="218"/>
      <c r="E659" s="219"/>
      <c r="F659" s="219"/>
      <c r="G659" s="225" t="s">
        <v>3127</v>
      </c>
      <c r="H659" s="235">
        <f t="shared" si="25"/>
        <v>28.03</v>
      </c>
      <c r="J659" s="215"/>
      <c r="N659" s="236"/>
      <c r="O659" s="236"/>
      <c r="P659" s="236"/>
      <c r="Q659" s="236"/>
    </row>
    <row r="660" spans="1:17" ht="25.5" hidden="1" customHeight="1" outlineLevel="1" x14ac:dyDescent="0.2">
      <c r="A660" s="198" t="s">
        <v>1279</v>
      </c>
      <c r="B660" s="224" t="s">
        <v>3146</v>
      </c>
      <c r="C660" s="225" t="s">
        <v>3137</v>
      </c>
      <c r="D660" s="226" t="s">
        <v>11</v>
      </c>
      <c r="E660" s="227">
        <v>188.22</v>
      </c>
      <c r="F660" s="227"/>
      <c r="G660" s="229" t="s">
        <v>3138</v>
      </c>
      <c r="H660" s="235">
        <f t="shared" si="25"/>
        <v>0</v>
      </c>
      <c r="J660" s="215"/>
      <c r="N660" s="236"/>
      <c r="O660" s="236"/>
      <c r="P660" s="236"/>
      <c r="Q660" s="236"/>
    </row>
    <row r="661" spans="1:17" ht="25.5" hidden="1" customHeight="1" outlineLevel="1" x14ac:dyDescent="0.2">
      <c r="A661" s="198" t="s">
        <v>1279</v>
      </c>
      <c r="B661" s="228" t="s">
        <v>3147</v>
      </c>
      <c r="C661" s="229" t="s">
        <v>3138</v>
      </c>
      <c r="D661" s="230" t="s">
        <v>11</v>
      </c>
      <c r="E661" s="231">
        <v>27.13</v>
      </c>
      <c r="F661" s="231"/>
      <c r="G661" s="225" t="s">
        <v>3130</v>
      </c>
      <c r="H661" s="235">
        <f t="shared" si="25"/>
        <v>0</v>
      </c>
      <c r="J661" s="215"/>
      <c r="N661" s="236"/>
      <c r="O661" s="236"/>
      <c r="P661" s="236"/>
      <c r="Q661" s="236"/>
    </row>
    <row r="662" spans="1:17" ht="12.75" hidden="1" customHeight="1" outlineLevel="1" x14ac:dyDescent="0.2">
      <c r="A662" s="198" t="s">
        <v>1279</v>
      </c>
      <c r="B662" s="216" t="s">
        <v>1569</v>
      </c>
      <c r="C662" s="217" t="s">
        <v>2966</v>
      </c>
      <c r="D662" s="218"/>
      <c r="E662" s="219"/>
      <c r="F662" s="219"/>
      <c r="G662" s="229" t="s">
        <v>3173</v>
      </c>
      <c r="H662" s="235">
        <f t="shared" si="25"/>
        <v>0</v>
      </c>
      <c r="J662" s="215"/>
      <c r="N662" s="236"/>
      <c r="O662" s="236"/>
      <c r="P662" s="236"/>
      <c r="Q662" s="236"/>
    </row>
    <row r="663" spans="1:17" ht="12.75" hidden="1" customHeight="1" outlineLevel="1" x14ac:dyDescent="0.2">
      <c r="A663" s="198" t="s">
        <v>1279</v>
      </c>
      <c r="B663" s="224" t="s">
        <v>3148</v>
      </c>
      <c r="C663" s="225" t="s">
        <v>3137</v>
      </c>
      <c r="D663" s="226" t="s">
        <v>11</v>
      </c>
      <c r="E663" s="227">
        <v>187.35</v>
      </c>
      <c r="F663" s="227"/>
      <c r="G663" s="225" t="s">
        <v>3175</v>
      </c>
      <c r="H663" s="235">
        <f t="shared" si="25"/>
        <v>0</v>
      </c>
      <c r="N663" s="236"/>
      <c r="O663" s="236"/>
      <c r="P663" s="237"/>
      <c r="Q663" s="236"/>
    </row>
    <row r="664" spans="1:17" ht="25.5" hidden="1" customHeight="1" outlineLevel="1" x14ac:dyDescent="0.2">
      <c r="A664" s="198" t="s">
        <v>1279</v>
      </c>
      <c r="B664" s="228" t="s">
        <v>3149</v>
      </c>
      <c r="C664" s="229" t="s">
        <v>3138</v>
      </c>
      <c r="D664" s="230" t="s">
        <v>11</v>
      </c>
      <c r="E664" s="231">
        <v>34.56</v>
      </c>
      <c r="F664" s="231"/>
      <c r="G664" s="229" t="s">
        <v>3161</v>
      </c>
      <c r="H664" s="235">
        <f t="shared" si="25"/>
        <v>0</v>
      </c>
      <c r="N664" s="236"/>
      <c r="O664" s="236"/>
      <c r="P664" s="236"/>
      <c r="Q664" s="236"/>
    </row>
    <row r="665" spans="1:17" ht="12.75" hidden="1" customHeight="1" outlineLevel="1" x14ac:dyDescent="0.2">
      <c r="A665" s="198" t="s">
        <v>1279</v>
      </c>
      <c r="B665" s="216" t="s">
        <v>1570</v>
      </c>
      <c r="C665" s="217" t="s">
        <v>2967</v>
      </c>
      <c r="D665" s="218"/>
      <c r="E665" s="219"/>
      <c r="F665" s="219"/>
      <c r="G665" s="225" t="s">
        <v>3128</v>
      </c>
      <c r="H665" s="235">
        <f t="shared" si="25"/>
        <v>12.87</v>
      </c>
    </row>
    <row r="666" spans="1:17" ht="12.75" hidden="1" customHeight="1" outlineLevel="1" x14ac:dyDescent="0.2">
      <c r="A666" s="198" t="s">
        <v>1279</v>
      </c>
      <c r="B666" s="224" t="s">
        <v>3150</v>
      </c>
      <c r="C666" s="225" t="s">
        <v>3137</v>
      </c>
      <c r="D666" s="226" t="s">
        <v>11</v>
      </c>
      <c r="E666" s="227">
        <v>188.22</v>
      </c>
      <c r="F666" s="227"/>
      <c r="G666" s="229" t="s">
        <v>3177</v>
      </c>
      <c r="H666" s="235">
        <f t="shared" si="25"/>
        <v>0</v>
      </c>
    </row>
    <row r="667" spans="1:17" ht="25.5" hidden="1" customHeight="1" outlineLevel="1" x14ac:dyDescent="0.2">
      <c r="A667" s="198" t="s">
        <v>1279</v>
      </c>
      <c r="B667" s="228" t="s">
        <v>3151</v>
      </c>
      <c r="C667" s="229" t="s">
        <v>3138</v>
      </c>
      <c r="D667" s="230" t="s">
        <v>11</v>
      </c>
      <c r="E667" s="231">
        <v>27.13</v>
      </c>
      <c r="F667" s="231"/>
      <c r="G667" s="225" t="s">
        <v>3179</v>
      </c>
      <c r="H667" s="235">
        <f t="shared" si="25"/>
        <v>0</v>
      </c>
    </row>
    <row r="668" spans="1:17" ht="12.75" hidden="1" customHeight="1" outlineLevel="1" x14ac:dyDescent="0.2">
      <c r="A668" s="198" t="s">
        <v>1279</v>
      </c>
      <c r="B668" s="216" t="s">
        <v>1571</v>
      </c>
      <c r="C668" s="217" t="s">
        <v>2968</v>
      </c>
      <c r="D668" s="218"/>
      <c r="E668" s="219"/>
      <c r="F668" s="219"/>
      <c r="G668" s="229" t="s">
        <v>3163</v>
      </c>
      <c r="H668" s="235">
        <f t="shared" si="25"/>
        <v>0</v>
      </c>
    </row>
    <row r="669" spans="1:17" ht="12.75" hidden="1" customHeight="1" outlineLevel="1" x14ac:dyDescent="0.2">
      <c r="A669" s="198" t="s">
        <v>1279</v>
      </c>
      <c r="B669" s="224" t="s">
        <v>3152</v>
      </c>
      <c r="C669" s="225" t="s">
        <v>3137</v>
      </c>
      <c r="D669" s="226" t="s">
        <v>11</v>
      </c>
      <c r="E669" s="227">
        <v>187.35</v>
      </c>
      <c r="F669" s="227"/>
      <c r="G669" s="225" t="s">
        <v>3132</v>
      </c>
      <c r="H669" s="235">
        <f t="shared" si="25"/>
        <v>0</v>
      </c>
    </row>
    <row r="670" spans="1:17" ht="25.5" hidden="1" customHeight="1" outlineLevel="1" x14ac:dyDescent="0.2">
      <c r="A670" s="198" t="s">
        <v>1279</v>
      </c>
      <c r="B670" s="228" t="s">
        <v>3153</v>
      </c>
      <c r="C670" s="229" t="s">
        <v>3138</v>
      </c>
      <c r="D670" s="230" t="s">
        <v>11</v>
      </c>
      <c r="E670" s="231">
        <v>34.56</v>
      </c>
      <c r="F670" s="231"/>
      <c r="G670" s="229" t="s">
        <v>3134</v>
      </c>
      <c r="H670" s="235">
        <f t="shared" si="25"/>
        <v>0</v>
      </c>
      <c r="I670" s="242"/>
    </row>
    <row r="671" spans="1:17" ht="12.75" hidden="1" customHeight="1" outlineLevel="1" x14ac:dyDescent="0.2">
      <c r="A671" s="198" t="s">
        <v>1279</v>
      </c>
      <c r="B671" s="216" t="s">
        <v>1572</v>
      </c>
      <c r="C671" s="217" t="s">
        <v>2969</v>
      </c>
      <c r="D671" s="218"/>
      <c r="E671" s="219"/>
      <c r="F671" s="219"/>
      <c r="G671" s="225" t="s">
        <v>3181</v>
      </c>
      <c r="H671" s="235">
        <f t="shared" si="25"/>
        <v>0</v>
      </c>
      <c r="J671" s="215"/>
      <c r="N671" s="236"/>
      <c r="O671" s="236"/>
      <c r="P671" s="236"/>
      <c r="Q671" s="236"/>
    </row>
    <row r="672" spans="1:17" ht="12.75" hidden="1" customHeight="1" outlineLevel="1" x14ac:dyDescent="0.2">
      <c r="A672" s="198" t="s">
        <v>1279</v>
      </c>
      <c r="B672" s="224" t="s">
        <v>3154</v>
      </c>
      <c r="C672" s="225" t="s">
        <v>3137</v>
      </c>
      <c r="D672" s="226" t="s">
        <v>11</v>
      </c>
      <c r="E672" s="227">
        <v>188.22</v>
      </c>
      <c r="F672" s="227"/>
      <c r="G672" s="229" t="s">
        <v>3140</v>
      </c>
      <c r="H672" s="235">
        <f t="shared" si="25"/>
        <v>0</v>
      </c>
      <c r="J672" s="215"/>
      <c r="N672" s="236"/>
      <c r="O672" s="236"/>
      <c r="P672" s="236"/>
      <c r="Q672" s="236"/>
    </row>
    <row r="673" spans="1:17" ht="25.5" hidden="1" customHeight="1" outlineLevel="1" x14ac:dyDescent="0.2">
      <c r="A673" s="198" t="s">
        <v>1279</v>
      </c>
      <c r="B673" s="228" t="s">
        <v>3155</v>
      </c>
      <c r="C673" s="229" t="s">
        <v>3138</v>
      </c>
      <c r="D673" s="230" t="s">
        <v>11</v>
      </c>
      <c r="E673" s="231">
        <v>27.13</v>
      </c>
      <c r="F673" s="231"/>
      <c r="G673" s="225" t="s">
        <v>3136</v>
      </c>
      <c r="H673" s="235">
        <f t="shared" si="25"/>
        <v>0</v>
      </c>
      <c r="J673" s="215"/>
      <c r="N673" s="236"/>
      <c r="O673" s="236"/>
      <c r="P673" s="236"/>
      <c r="Q673" s="236"/>
    </row>
    <row r="674" spans="1:17" ht="12.75" hidden="1" customHeight="1" outlineLevel="1" x14ac:dyDescent="0.2">
      <c r="A674" s="198" t="s">
        <v>1279</v>
      </c>
      <c r="B674" s="216" t="s">
        <v>1573</v>
      </c>
      <c r="C674" s="217" t="s">
        <v>2970</v>
      </c>
      <c r="D674" s="218"/>
      <c r="E674" s="219"/>
      <c r="F674" s="219"/>
      <c r="J674" s="215"/>
      <c r="N674" s="236"/>
      <c r="O674" s="236"/>
      <c r="P674" s="236"/>
      <c r="Q674" s="236"/>
    </row>
    <row r="675" spans="1:17" ht="12.75" hidden="1" customHeight="1" outlineLevel="1" x14ac:dyDescent="0.2">
      <c r="A675" s="198" t="s">
        <v>1279</v>
      </c>
      <c r="B675" s="224" t="s">
        <v>3156</v>
      </c>
      <c r="C675" s="225" t="s">
        <v>3137</v>
      </c>
      <c r="D675" s="226" t="s">
        <v>11</v>
      </c>
      <c r="E675" s="227">
        <v>187.35</v>
      </c>
      <c r="F675" s="227"/>
      <c r="G675" s="520" t="str">
        <f>$A$2</f>
        <v>TORRE</v>
      </c>
      <c r="H675" s="234">
        <f>SUM(H676:H693)</f>
        <v>3280.2799999999997</v>
      </c>
      <c r="J675" s="215"/>
      <c r="N675" s="236"/>
      <c r="O675" s="236"/>
      <c r="P675" s="236"/>
      <c r="Q675" s="236"/>
    </row>
    <row r="676" spans="1:17" ht="25.5" hidden="1" customHeight="1" outlineLevel="1" x14ac:dyDescent="0.2">
      <c r="A676" s="198" t="s">
        <v>1279</v>
      </c>
      <c r="B676" s="228" t="s">
        <v>3157</v>
      </c>
      <c r="C676" s="229" t="s">
        <v>3138</v>
      </c>
      <c r="D676" s="230" t="s">
        <v>11</v>
      </c>
      <c r="E676" s="231">
        <v>34.56</v>
      </c>
      <c r="F676" s="231"/>
      <c r="G676" s="229" t="s">
        <v>3137</v>
      </c>
      <c r="H676" s="235">
        <f t="shared" ref="H676:H693" si="26">SUMIFS($E:$E,$C:$C,G676,$A:$A,$G$30)</f>
        <v>2572.75</v>
      </c>
      <c r="J676" s="215"/>
      <c r="N676" s="236"/>
      <c r="O676" s="236"/>
      <c r="P676" s="236"/>
      <c r="Q676" s="236"/>
    </row>
    <row r="677" spans="1:17" ht="12.75" hidden="1" customHeight="1" outlineLevel="1" x14ac:dyDescent="0.2">
      <c r="A677" s="198" t="s">
        <v>1279</v>
      </c>
      <c r="B677" s="216" t="s">
        <v>1574</v>
      </c>
      <c r="C677" s="217" t="s">
        <v>2971</v>
      </c>
      <c r="D677" s="218"/>
      <c r="E677" s="219"/>
      <c r="F677" s="219"/>
      <c r="G677" s="225" t="s">
        <v>3141</v>
      </c>
      <c r="H677" s="235">
        <f t="shared" si="26"/>
        <v>34.630000000000003</v>
      </c>
      <c r="J677" s="215"/>
      <c r="N677" s="236"/>
      <c r="O677" s="236"/>
      <c r="P677" s="237"/>
      <c r="Q677" s="236"/>
    </row>
    <row r="678" spans="1:17" ht="12.75" hidden="1" customHeight="1" outlineLevel="1" x14ac:dyDescent="0.2">
      <c r="A678" s="198" t="s">
        <v>1279</v>
      </c>
      <c r="B678" s="224" t="s">
        <v>3158</v>
      </c>
      <c r="C678" s="225" t="s">
        <v>3137</v>
      </c>
      <c r="D678" s="226" t="s">
        <v>11</v>
      </c>
      <c r="E678" s="227">
        <v>212.77</v>
      </c>
      <c r="F678" s="227"/>
      <c r="G678" s="229" t="s">
        <v>3129</v>
      </c>
      <c r="H678" s="235">
        <f t="shared" si="26"/>
        <v>2.08</v>
      </c>
      <c r="I678" s="242"/>
      <c r="N678" s="236"/>
      <c r="O678" s="236"/>
      <c r="P678" s="236"/>
      <c r="Q678" s="236"/>
    </row>
    <row r="679" spans="1:17" ht="25.5" hidden="1" customHeight="1" outlineLevel="1" x14ac:dyDescent="0.2">
      <c r="A679" s="198" t="s">
        <v>1279</v>
      </c>
      <c r="B679" s="228" t="s">
        <v>3159</v>
      </c>
      <c r="C679" s="229" t="s">
        <v>3138</v>
      </c>
      <c r="D679" s="230" t="s">
        <v>11</v>
      </c>
      <c r="E679" s="231">
        <v>27.13</v>
      </c>
      <c r="F679" s="231"/>
      <c r="G679" s="225" t="s">
        <v>3127</v>
      </c>
      <c r="H679" s="235">
        <f t="shared" si="26"/>
        <v>0</v>
      </c>
      <c r="I679" s="242"/>
    </row>
    <row r="680" spans="1:17" ht="25.5" hidden="1" customHeight="1" outlineLevel="1" x14ac:dyDescent="0.2">
      <c r="A680" s="198" t="s">
        <v>1279</v>
      </c>
      <c r="B680" s="216" t="s">
        <v>1575</v>
      </c>
      <c r="C680" s="217" t="s">
        <v>2972</v>
      </c>
      <c r="D680" s="218"/>
      <c r="E680" s="219"/>
      <c r="F680" s="219"/>
      <c r="G680" s="229" t="s">
        <v>3138</v>
      </c>
      <c r="H680" s="235">
        <f t="shared" si="26"/>
        <v>390.90000000000003</v>
      </c>
      <c r="I680" s="242"/>
    </row>
    <row r="681" spans="1:17" ht="12.75" hidden="1" customHeight="1" outlineLevel="1" x14ac:dyDescent="0.2">
      <c r="A681" s="198" t="s">
        <v>1279</v>
      </c>
      <c r="B681" s="224" t="s">
        <v>3160</v>
      </c>
      <c r="C681" s="225" t="s">
        <v>3161</v>
      </c>
      <c r="D681" s="226" t="s">
        <v>11</v>
      </c>
      <c r="E681" s="227">
        <v>7.41</v>
      </c>
      <c r="F681" s="227"/>
      <c r="G681" s="225" t="s">
        <v>3130</v>
      </c>
      <c r="H681" s="235">
        <f t="shared" si="26"/>
        <v>4.22</v>
      </c>
      <c r="I681" s="242"/>
    </row>
    <row r="682" spans="1:17" ht="12.75" hidden="1" customHeight="1" outlineLevel="1" x14ac:dyDescent="0.2">
      <c r="A682" s="198" t="s">
        <v>1279</v>
      </c>
      <c r="B682" s="228" t="s">
        <v>3162</v>
      </c>
      <c r="C682" s="229" t="s">
        <v>3163</v>
      </c>
      <c r="D682" s="230" t="s">
        <v>11</v>
      </c>
      <c r="E682" s="231">
        <v>58.3</v>
      </c>
      <c r="F682" s="231"/>
      <c r="G682" s="229" t="s">
        <v>3173</v>
      </c>
      <c r="H682" s="235">
        <f t="shared" si="26"/>
        <v>53.38</v>
      </c>
      <c r="I682" s="242"/>
    </row>
    <row r="683" spans="1:17" ht="12.75" hidden="1" customHeight="1" outlineLevel="1" x14ac:dyDescent="0.2">
      <c r="A683" s="198" t="s">
        <v>1279</v>
      </c>
      <c r="B683" s="216" t="s">
        <v>1576</v>
      </c>
      <c r="C683" s="217" t="s">
        <v>2973</v>
      </c>
      <c r="D683" s="218"/>
      <c r="E683" s="219"/>
      <c r="F683" s="219"/>
      <c r="G683" s="225" t="s">
        <v>3175</v>
      </c>
      <c r="H683" s="235">
        <f t="shared" si="26"/>
        <v>4.4000000000000004</v>
      </c>
      <c r="I683" s="242"/>
    </row>
    <row r="684" spans="1:17" ht="12.75" hidden="1" customHeight="1" outlineLevel="1" x14ac:dyDescent="0.2">
      <c r="A684" s="198" t="s">
        <v>1279</v>
      </c>
      <c r="B684" s="224" t="s">
        <v>3164</v>
      </c>
      <c r="C684" s="225" t="s">
        <v>3137</v>
      </c>
      <c r="D684" s="226" t="s">
        <v>11</v>
      </c>
      <c r="E684" s="227">
        <v>57.77</v>
      </c>
      <c r="F684" s="227"/>
      <c r="G684" s="229" t="s">
        <v>3161</v>
      </c>
      <c r="H684" s="235">
        <f t="shared" si="26"/>
        <v>7.41</v>
      </c>
      <c r="I684" s="242"/>
    </row>
    <row r="685" spans="1:17" ht="25.5" hidden="1" customHeight="1" outlineLevel="1" x14ac:dyDescent="0.2">
      <c r="A685" s="198" t="s">
        <v>1279</v>
      </c>
      <c r="B685" s="228" t="s">
        <v>3165</v>
      </c>
      <c r="C685" s="229" t="s">
        <v>3138</v>
      </c>
      <c r="D685" s="230" t="s">
        <v>11</v>
      </c>
      <c r="E685" s="231">
        <v>7.67</v>
      </c>
      <c r="F685" s="231"/>
      <c r="G685" s="225" t="s">
        <v>3128</v>
      </c>
      <c r="H685" s="235">
        <f t="shared" si="26"/>
        <v>0</v>
      </c>
      <c r="I685" s="242"/>
      <c r="N685" s="236"/>
      <c r="O685" s="236"/>
      <c r="P685" s="236"/>
      <c r="Q685" s="236"/>
    </row>
    <row r="686" spans="1:17" ht="12.75" hidden="1" customHeight="1" outlineLevel="1" x14ac:dyDescent="0.2">
      <c r="A686" s="198" t="s">
        <v>1279</v>
      </c>
      <c r="B686" s="216" t="s">
        <v>1577</v>
      </c>
      <c r="C686" s="217" t="s">
        <v>2974</v>
      </c>
      <c r="D686" s="218"/>
      <c r="E686" s="219"/>
      <c r="F686" s="219"/>
      <c r="G686" s="229" t="s">
        <v>3177</v>
      </c>
      <c r="H686" s="235">
        <f t="shared" si="26"/>
        <v>2.15</v>
      </c>
      <c r="I686" s="242"/>
      <c r="N686" s="236"/>
      <c r="O686" s="236"/>
      <c r="P686" s="236"/>
      <c r="Q686" s="236"/>
    </row>
    <row r="687" spans="1:17" ht="12.75" hidden="1" customHeight="1" outlineLevel="1" x14ac:dyDescent="0.2">
      <c r="A687" s="198" t="s">
        <v>1279</v>
      </c>
      <c r="B687" s="224" t="s">
        <v>3166</v>
      </c>
      <c r="C687" s="225" t="s">
        <v>3137</v>
      </c>
      <c r="D687" s="226" t="s">
        <v>11</v>
      </c>
      <c r="E687" s="227">
        <v>82.84</v>
      </c>
      <c r="F687" s="227"/>
      <c r="G687" s="225" t="s">
        <v>3179</v>
      </c>
      <c r="H687" s="235">
        <f t="shared" si="26"/>
        <v>4.74</v>
      </c>
      <c r="I687" s="242"/>
      <c r="N687" s="236"/>
      <c r="O687" s="236"/>
      <c r="P687" s="236"/>
      <c r="Q687" s="236"/>
    </row>
    <row r="688" spans="1:17" ht="25.5" hidden="1" customHeight="1" outlineLevel="1" x14ac:dyDescent="0.2">
      <c r="A688" s="198" t="s">
        <v>1279</v>
      </c>
      <c r="B688" s="228" t="s">
        <v>3167</v>
      </c>
      <c r="C688" s="229" t="s">
        <v>3138</v>
      </c>
      <c r="D688" s="230" t="s">
        <v>11</v>
      </c>
      <c r="E688" s="231">
        <v>10.37</v>
      </c>
      <c r="F688" s="231"/>
      <c r="G688" s="229" t="s">
        <v>3163</v>
      </c>
      <c r="H688" s="235">
        <f t="shared" si="26"/>
        <v>58.3</v>
      </c>
      <c r="I688" s="242"/>
      <c r="N688" s="236"/>
      <c r="O688" s="236"/>
      <c r="P688" s="236"/>
      <c r="Q688" s="236"/>
    </row>
    <row r="689" spans="1:17" ht="12.75" hidden="1" customHeight="1" outlineLevel="1" x14ac:dyDescent="0.2">
      <c r="A689" s="198" t="s">
        <v>1279</v>
      </c>
      <c r="B689" s="216" t="s">
        <v>2027</v>
      </c>
      <c r="C689" s="217" t="s">
        <v>2975</v>
      </c>
      <c r="D689" s="218"/>
      <c r="E689" s="219"/>
      <c r="F689" s="219"/>
      <c r="G689" s="225" t="s">
        <v>3132</v>
      </c>
      <c r="H689" s="235">
        <f t="shared" si="26"/>
        <v>21.47</v>
      </c>
      <c r="I689" s="242"/>
      <c r="N689" s="236"/>
      <c r="O689" s="236"/>
      <c r="P689" s="236"/>
      <c r="Q689" s="236"/>
    </row>
    <row r="690" spans="1:17" ht="12.75" hidden="1" customHeight="1" outlineLevel="1" x14ac:dyDescent="0.2">
      <c r="A690" s="198" t="s">
        <v>1279</v>
      </c>
      <c r="B690" s="224" t="s">
        <v>3168</v>
      </c>
      <c r="C690" s="225" t="s">
        <v>3137</v>
      </c>
      <c r="D690" s="226" t="s">
        <v>11</v>
      </c>
      <c r="E690" s="227">
        <v>57.91</v>
      </c>
      <c r="F690" s="227"/>
      <c r="G690" s="229" t="s">
        <v>3134</v>
      </c>
      <c r="H690" s="235">
        <f t="shared" si="26"/>
        <v>43.89</v>
      </c>
      <c r="I690" s="242"/>
      <c r="N690" s="236"/>
      <c r="O690" s="236"/>
      <c r="P690" s="236"/>
      <c r="Q690" s="236"/>
    </row>
    <row r="691" spans="1:17" ht="25.5" hidden="1" customHeight="1" outlineLevel="1" x14ac:dyDescent="0.2">
      <c r="A691" s="198" t="s">
        <v>1279</v>
      </c>
      <c r="B691" s="228" t="s">
        <v>3169</v>
      </c>
      <c r="C691" s="229" t="s">
        <v>3138</v>
      </c>
      <c r="D691" s="230" t="s">
        <v>11</v>
      </c>
      <c r="E691" s="231">
        <v>7.67</v>
      </c>
      <c r="F691" s="231"/>
      <c r="G691" s="225" t="s">
        <v>3181</v>
      </c>
      <c r="H691" s="235">
        <f t="shared" si="26"/>
        <v>43.63</v>
      </c>
      <c r="I691" s="242"/>
      <c r="N691" s="236"/>
      <c r="O691" s="236"/>
      <c r="P691" s="237"/>
      <c r="Q691" s="236"/>
    </row>
    <row r="692" spans="1:17" ht="12.75" hidden="1" customHeight="1" outlineLevel="1" x14ac:dyDescent="0.2">
      <c r="A692" s="198" t="s">
        <v>1279</v>
      </c>
      <c r="B692" s="216" t="s">
        <v>2028</v>
      </c>
      <c r="C692" s="217" t="s">
        <v>2976</v>
      </c>
      <c r="D692" s="218"/>
      <c r="E692" s="219"/>
      <c r="F692" s="219"/>
      <c r="G692" s="229" t="s">
        <v>3140</v>
      </c>
      <c r="H692" s="235">
        <f t="shared" si="26"/>
        <v>19.23</v>
      </c>
      <c r="I692" s="242"/>
      <c r="N692" s="236"/>
      <c r="O692" s="236"/>
      <c r="P692" s="236"/>
      <c r="Q692" s="236"/>
    </row>
    <row r="693" spans="1:17" ht="12.75" hidden="1" customHeight="1" outlineLevel="1" x14ac:dyDescent="0.2">
      <c r="A693" s="198" t="s">
        <v>1279</v>
      </c>
      <c r="B693" s="224" t="s">
        <v>3170</v>
      </c>
      <c r="C693" s="225" t="s">
        <v>3137</v>
      </c>
      <c r="D693" s="226" t="s">
        <v>11</v>
      </c>
      <c r="E693" s="227">
        <v>93.53</v>
      </c>
      <c r="F693" s="227"/>
      <c r="G693" s="225" t="s">
        <v>3136</v>
      </c>
      <c r="H693" s="235">
        <f t="shared" si="26"/>
        <v>17.100000000000001</v>
      </c>
      <c r="I693" s="242"/>
    </row>
    <row r="694" spans="1:17" ht="25.5" hidden="1" customHeight="1" outlineLevel="1" x14ac:dyDescent="0.2">
      <c r="A694" s="198" t="s">
        <v>1279</v>
      </c>
      <c r="B694" s="228" t="s">
        <v>3171</v>
      </c>
      <c r="C694" s="229" t="s">
        <v>3138</v>
      </c>
      <c r="D694" s="230" t="s">
        <v>11</v>
      </c>
      <c r="E694" s="231">
        <v>10.37</v>
      </c>
      <c r="F694" s="231"/>
      <c r="G694" s="232"/>
      <c r="H694" s="232"/>
      <c r="I694" s="242"/>
    </row>
    <row r="695" spans="1:17" ht="12.75" hidden="1" customHeight="1" outlineLevel="1" x14ac:dyDescent="0.2">
      <c r="A695" s="198" t="s">
        <v>1279</v>
      </c>
      <c r="B695" s="216" t="s">
        <v>2283</v>
      </c>
      <c r="C695" s="217" t="s">
        <v>2978</v>
      </c>
      <c r="D695" s="218"/>
      <c r="E695" s="219"/>
      <c r="F695" s="219"/>
      <c r="G695" s="232"/>
      <c r="H695" s="232"/>
      <c r="I695" s="242"/>
    </row>
    <row r="696" spans="1:17" ht="12.75" hidden="1" customHeight="1" outlineLevel="1" x14ac:dyDescent="0.2">
      <c r="A696" s="198" t="s">
        <v>1279</v>
      </c>
      <c r="B696" s="224" t="s">
        <v>3172</v>
      </c>
      <c r="C696" s="225" t="s">
        <v>3173</v>
      </c>
      <c r="D696" s="226" t="s">
        <v>11</v>
      </c>
      <c r="E696" s="227">
        <v>53.38</v>
      </c>
      <c r="F696" s="227"/>
      <c r="G696" s="232"/>
      <c r="H696" s="232"/>
      <c r="I696" s="242"/>
    </row>
    <row r="697" spans="1:17" ht="12.75" hidden="1" customHeight="1" outlineLevel="1" x14ac:dyDescent="0.2">
      <c r="A697" s="198" t="s">
        <v>1279</v>
      </c>
      <c r="B697" s="228" t="s">
        <v>3174</v>
      </c>
      <c r="C697" s="229" t="s">
        <v>3175</v>
      </c>
      <c r="D697" s="230" t="s">
        <v>11</v>
      </c>
      <c r="E697" s="231">
        <v>4.4000000000000004</v>
      </c>
      <c r="F697" s="231"/>
      <c r="G697" s="232"/>
      <c r="H697" s="232"/>
      <c r="I697" s="242"/>
    </row>
    <row r="698" spans="1:17" ht="12.75" hidden="1" customHeight="1" outlineLevel="1" x14ac:dyDescent="0.2">
      <c r="A698" s="198" t="s">
        <v>1279</v>
      </c>
      <c r="B698" s="224" t="s">
        <v>3176</v>
      </c>
      <c r="C698" s="225" t="s">
        <v>3177</v>
      </c>
      <c r="D698" s="226" t="s">
        <v>11</v>
      </c>
      <c r="E698" s="227">
        <v>2.15</v>
      </c>
      <c r="F698" s="227"/>
      <c r="G698" s="232"/>
      <c r="H698" s="232"/>
      <c r="I698" s="242"/>
    </row>
    <row r="699" spans="1:17" ht="12.75" hidden="1" customHeight="1" outlineLevel="1" x14ac:dyDescent="0.2">
      <c r="A699" s="198" t="s">
        <v>1279</v>
      </c>
      <c r="B699" s="228" t="s">
        <v>3178</v>
      </c>
      <c r="C699" s="229" t="s">
        <v>3179</v>
      </c>
      <c r="D699" s="230" t="s">
        <v>11</v>
      </c>
      <c r="E699" s="231">
        <v>4.74</v>
      </c>
      <c r="F699" s="231"/>
      <c r="G699" s="232"/>
      <c r="H699" s="232"/>
      <c r="I699" s="242"/>
      <c r="N699" s="236"/>
      <c r="O699" s="236"/>
      <c r="P699" s="236"/>
      <c r="Q699" s="236"/>
    </row>
    <row r="700" spans="1:17" ht="12.75" hidden="1" customHeight="1" outlineLevel="1" x14ac:dyDescent="0.2">
      <c r="A700" s="198" t="s">
        <v>1279</v>
      </c>
      <c r="B700" s="224" t="s">
        <v>3180</v>
      </c>
      <c r="C700" s="225" t="s">
        <v>3181</v>
      </c>
      <c r="D700" s="226" t="s">
        <v>11</v>
      </c>
      <c r="E700" s="227">
        <v>43.63</v>
      </c>
      <c r="F700" s="227"/>
      <c r="G700" s="232"/>
      <c r="H700" s="232"/>
      <c r="I700" s="242"/>
      <c r="N700" s="236"/>
      <c r="O700" s="236"/>
      <c r="P700" s="236"/>
      <c r="Q700" s="236"/>
    </row>
    <row r="701" spans="1:17" collapsed="1" x14ac:dyDescent="0.2">
      <c r="B701" s="515" t="s">
        <v>1578</v>
      </c>
      <c r="C701" s="516" t="s">
        <v>1542</v>
      </c>
      <c r="D701" s="520"/>
      <c r="E701" s="520">
        <f>SUM(E703:E739)</f>
        <v>30.689999999999998</v>
      </c>
      <c r="F701" s="520"/>
      <c r="G701" s="516"/>
      <c r="H701" s="234">
        <f>SUM(H702:H707)</f>
        <v>30.689999999999998</v>
      </c>
      <c r="I701" s="242" t="str">
        <f>IF(H701=E701,"OKAY","REVER")</f>
        <v>OKAY</v>
      </c>
      <c r="J701" s="405"/>
    </row>
    <row r="702" spans="1:17" ht="25.5" hidden="1" customHeight="1" outlineLevel="1" x14ac:dyDescent="0.2">
      <c r="A702" s="198" t="s">
        <v>1278</v>
      </c>
      <c r="B702" s="216" t="s">
        <v>1580</v>
      </c>
      <c r="C702" s="217" t="s">
        <v>2958</v>
      </c>
      <c r="D702" s="218"/>
      <c r="E702" s="219"/>
      <c r="F702" s="219"/>
      <c r="G702" s="229" t="s">
        <v>3183</v>
      </c>
      <c r="H702" s="235">
        <f t="shared" ref="H702:H707" si="27">SUMIF($C:$C,G702,$E:$E)</f>
        <v>30.689999999999998</v>
      </c>
      <c r="J702" s="215"/>
    </row>
    <row r="703" spans="1:17" ht="25.5" hidden="1" customHeight="1" outlineLevel="1" x14ac:dyDescent="0.2">
      <c r="A703" s="198" t="s">
        <v>1278</v>
      </c>
      <c r="B703" s="228" t="s">
        <v>1581</v>
      </c>
      <c r="C703" s="229" t="s">
        <v>3183</v>
      </c>
      <c r="D703" s="230" t="s">
        <v>11</v>
      </c>
      <c r="E703" s="231">
        <v>1.83</v>
      </c>
      <c r="F703" s="231"/>
      <c r="G703" s="229"/>
      <c r="H703" s="235">
        <f t="shared" si="27"/>
        <v>0</v>
      </c>
      <c r="J703" s="215"/>
    </row>
    <row r="704" spans="1:17" ht="12.75" hidden="1" customHeight="1" outlineLevel="1" x14ac:dyDescent="0.2">
      <c r="A704" s="198" t="s">
        <v>1279</v>
      </c>
      <c r="B704" s="216" t="s">
        <v>1582</v>
      </c>
      <c r="C704" s="217" t="s">
        <v>2960</v>
      </c>
      <c r="D704" s="218"/>
      <c r="E704" s="219"/>
      <c r="F704" s="219"/>
      <c r="G704" s="225"/>
      <c r="H704" s="235">
        <f t="shared" si="27"/>
        <v>0</v>
      </c>
      <c r="J704" s="215"/>
    </row>
    <row r="705" spans="1:10" ht="25.5" hidden="1" customHeight="1" outlineLevel="1" x14ac:dyDescent="0.2">
      <c r="A705" s="198" t="s">
        <v>1279</v>
      </c>
      <c r="B705" s="224" t="s">
        <v>2643</v>
      </c>
      <c r="C705" s="225" t="s">
        <v>3183</v>
      </c>
      <c r="D705" s="226" t="s">
        <v>11</v>
      </c>
      <c r="E705" s="227">
        <v>1.83</v>
      </c>
      <c r="F705" s="227"/>
      <c r="G705" s="229"/>
      <c r="H705" s="235">
        <f t="shared" si="27"/>
        <v>0</v>
      </c>
      <c r="J705" s="215"/>
    </row>
    <row r="706" spans="1:10" ht="12.75" hidden="1" customHeight="1" outlineLevel="1" x14ac:dyDescent="0.2">
      <c r="A706" s="198" t="s">
        <v>1279</v>
      </c>
      <c r="B706" s="216" t="s">
        <v>1583</v>
      </c>
      <c r="C706" s="217" t="s">
        <v>2961</v>
      </c>
      <c r="D706" s="218"/>
      <c r="E706" s="219"/>
      <c r="F706" s="219"/>
      <c r="G706" s="225"/>
      <c r="H706" s="235">
        <f t="shared" si="27"/>
        <v>0</v>
      </c>
      <c r="J706" s="215"/>
    </row>
    <row r="707" spans="1:10" ht="25.5" hidden="1" customHeight="1" outlineLevel="1" x14ac:dyDescent="0.2">
      <c r="A707" s="198" t="s">
        <v>1279</v>
      </c>
      <c r="B707" s="228" t="s">
        <v>2644</v>
      </c>
      <c r="C707" s="229" t="s">
        <v>3183</v>
      </c>
      <c r="D707" s="230" t="s">
        <v>11</v>
      </c>
      <c r="E707" s="231">
        <v>1.59</v>
      </c>
      <c r="F707" s="231"/>
      <c r="G707" s="229"/>
      <c r="H707" s="235">
        <f t="shared" si="27"/>
        <v>0</v>
      </c>
      <c r="J707" s="215"/>
    </row>
    <row r="708" spans="1:10" ht="12.75" hidden="1" customHeight="1" outlineLevel="1" x14ac:dyDescent="0.2">
      <c r="A708" s="198" t="s">
        <v>1279</v>
      </c>
      <c r="B708" s="216" t="s">
        <v>1584</v>
      </c>
      <c r="C708" s="217" t="s">
        <v>2962</v>
      </c>
      <c r="D708" s="218"/>
      <c r="E708" s="219"/>
      <c r="F708" s="219"/>
      <c r="I708" s="198"/>
      <c r="J708" s="215"/>
    </row>
    <row r="709" spans="1:10" ht="25.5" hidden="1" customHeight="1" outlineLevel="1" x14ac:dyDescent="0.2">
      <c r="A709" s="198" t="s">
        <v>1279</v>
      </c>
      <c r="B709" s="224" t="s">
        <v>2645</v>
      </c>
      <c r="C709" s="225" t="s">
        <v>3183</v>
      </c>
      <c r="D709" s="226" t="s">
        <v>11</v>
      </c>
      <c r="E709" s="227">
        <v>1.59</v>
      </c>
      <c r="F709" s="227"/>
      <c r="G709" s="520" t="s">
        <v>1732</v>
      </c>
      <c r="H709" s="234">
        <f>H711+H719</f>
        <v>30.689999999999998</v>
      </c>
      <c r="I709" s="242" t="str">
        <f>IF(H709=H701,"OKAY","REVER")</f>
        <v>OKAY</v>
      </c>
      <c r="J709" s="215"/>
    </row>
    <row r="710" spans="1:10" ht="12.75" hidden="1" customHeight="1" outlineLevel="1" x14ac:dyDescent="0.2">
      <c r="A710" s="198" t="s">
        <v>1279</v>
      </c>
      <c r="B710" s="216" t="s">
        <v>1585</v>
      </c>
      <c r="C710" s="217" t="s">
        <v>2963</v>
      </c>
      <c r="D710" s="218"/>
      <c r="E710" s="219"/>
      <c r="F710" s="219"/>
      <c r="G710" s="232"/>
      <c r="H710" s="232"/>
      <c r="I710" s="242"/>
      <c r="J710" s="215"/>
    </row>
    <row r="711" spans="1:10" ht="25.5" hidden="1" customHeight="1" outlineLevel="1" x14ac:dyDescent="0.2">
      <c r="A711" s="198" t="s">
        <v>1279</v>
      </c>
      <c r="B711" s="228" t="s">
        <v>2646</v>
      </c>
      <c r="C711" s="229" t="s">
        <v>3183</v>
      </c>
      <c r="D711" s="230" t="s">
        <v>11</v>
      </c>
      <c r="E711" s="231">
        <v>1.59</v>
      </c>
      <c r="F711" s="231"/>
      <c r="G711" s="520" t="str">
        <f>$A$1</f>
        <v>EMBASSAMENTO</v>
      </c>
      <c r="H711" s="234">
        <f>SUM(H712:H717)</f>
        <v>1.83</v>
      </c>
      <c r="I711" s="242"/>
      <c r="J711" s="215"/>
    </row>
    <row r="712" spans="1:10" ht="25.5" hidden="1" customHeight="1" outlineLevel="1" x14ac:dyDescent="0.2">
      <c r="A712" s="198" t="s">
        <v>1279</v>
      </c>
      <c r="B712" s="216" t="s">
        <v>1586</v>
      </c>
      <c r="C712" s="217" t="s">
        <v>2964</v>
      </c>
      <c r="D712" s="218"/>
      <c r="E712" s="219"/>
      <c r="F712" s="219"/>
      <c r="G712" s="229" t="s">
        <v>3183</v>
      </c>
      <c r="H712" s="235">
        <f t="shared" ref="H712:H717" si="28">SUMIFS($E:$E,$C:$C,G712,$A:$A,$G$22)</f>
        <v>1.83</v>
      </c>
      <c r="I712" s="242"/>
      <c r="J712" s="215"/>
    </row>
    <row r="713" spans="1:10" ht="25.5" hidden="1" customHeight="1" outlineLevel="1" x14ac:dyDescent="0.2">
      <c r="A713" s="198" t="s">
        <v>1279</v>
      </c>
      <c r="B713" s="224" t="s">
        <v>2647</v>
      </c>
      <c r="C713" s="225" t="s">
        <v>3183</v>
      </c>
      <c r="D713" s="226" t="s">
        <v>11</v>
      </c>
      <c r="E713" s="227">
        <v>1.59</v>
      </c>
      <c r="F713" s="227"/>
      <c r="G713" s="229"/>
      <c r="H713" s="235">
        <f t="shared" si="28"/>
        <v>0</v>
      </c>
      <c r="J713" s="215"/>
    </row>
    <row r="714" spans="1:10" ht="12.75" hidden="1" customHeight="1" outlineLevel="1" x14ac:dyDescent="0.2">
      <c r="A714" s="198" t="s">
        <v>1279</v>
      </c>
      <c r="B714" s="216" t="s">
        <v>1587</v>
      </c>
      <c r="C714" s="217" t="s">
        <v>2965</v>
      </c>
      <c r="D714" s="218"/>
      <c r="E714" s="219"/>
      <c r="F714" s="219"/>
      <c r="G714" s="229"/>
      <c r="H714" s="235">
        <f t="shared" si="28"/>
        <v>0</v>
      </c>
      <c r="J714" s="215"/>
    </row>
    <row r="715" spans="1:10" ht="25.5" hidden="1" customHeight="1" outlineLevel="1" x14ac:dyDescent="0.2">
      <c r="A715" s="198" t="s">
        <v>1279</v>
      </c>
      <c r="B715" s="228" t="s">
        <v>3184</v>
      </c>
      <c r="C715" s="229" t="s">
        <v>3183</v>
      </c>
      <c r="D715" s="230" t="s">
        <v>11</v>
      </c>
      <c r="E715" s="231">
        <v>1.59</v>
      </c>
      <c r="F715" s="231"/>
      <c r="G715" s="229"/>
      <c r="H715" s="235">
        <f t="shared" si="28"/>
        <v>0</v>
      </c>
      <c r="J715" s="215"/>
    </row>
    <row r="716" spans="1:10" ht="12.75" hidden="1" customHeight="1" outlineLevel="1" x14ac:dyDescent="0.2">
      <c r="A716" s="198" t="s">
        <v>1279</v>
      </c>
      <c r="B716" s="216" t="s">
        <v>1588</v>
      </c>
      <c r="C716" s="217" t="s">
        <v>2966</v>
      </c>
      <c r="D716" s="218"/>
      <c r="E716" s="219"/>
      <c r="F716" s="219"/>
      <c r="G716" s="225"/>
      <c r="H716" s="235">
        <f t="shared" si="28"/>
        <v>0</v>
      </c>
      <c r="J716" s="215"/>
    </row>
    <row r="717" spans="1:10" ht="25.5" hidden="1" customHeight="1" outlineLevel="1" x14ac:dyDescent="0.2">
      <c r="A717" s="198" t="s">
        <v>1279</v>
      </c>
      <c r="B717" s="224" t="s">
        <v>3185</v>
      </c>
      <c r="C717" s="225" t="s">
        <v>3183</v>
      </c>
      <c r="D717" s="226" t="s">
        <v>11</v>
      </c>
      <c r="E717" s="227">
        <v>1.59</v>
      </c>
      <c r="F717" s="227"/>
      <c r="G717" s="229"/>
      <c r="H717" s="235">
        <f t="shared" si="28"/>
        <v>0</v>
      </c>
      <c r="J717" s="215"/>
    </row>
    <row r="718" spans="1:10" ht="12.75" hidden="1" customHeight="1" outlineLevel="1" x14ac:dyDescent="0.2">
      <c r="A718" s="198" t="s">
        <v>1279</v>
      </c>
      <c r="B718" s="216" t="s">
        <v>1589</v>
      </c>
      <c r="C718" s="217" t="s">
        <v>2967</v>
      </c>
      <c r="D718" s="218"/>
      <c r="E718" s="219"/>
      <c r="F718" s="219"/>
      <c r="J718" s="215"/>
    </row>
    <row r="719" spans="1:10" ht="25.5" hidden="1" customHeight="1" outlineLevel="1" x14ac:dyDescent="0.2">
      <c r="A719" s="198" t="s">
        <v>1279</v>
      </c>
      <c r="B719" s="228" t="s">
        <v>3186</v>
      </c>
      <c r="C719" s="229" t="s">
        <v>3183</v>
      </c>
      <c r="D719" s="230" t="s">
        <v>11</v>
      </c>
      <c r="E719" s="231">
        <v>1.59</v>
      </c>
      <c r="F719" s="231"/>
      <c r="G719" s="520" t="str">
        <f>$A$2</f>
        <v>TORRE</v>
      </c>
      <c r="H719" s="234">
        <f>SUM(H720:H725)</f>
        <v>28.86</v>
      </c>
      <c r="J719" s="215"/>
    </row>
    <row r="720" spans="1:10" ht="25.5" hidden="1" customHeight="1" outlineLevel="1" x14ac:dyDescent="0.2">
      <c r="A720" s="198" t="s">
        <v>1279</v>
      </c>
      <c r="B720" s="216" t="s">
        <v>1590</v>
      </c>
      <c r="C720" s="217" t="s">
        <v>2968</v>
      </c>
      <c r="D720" s="218"/>
      <c r="E720" s="219"/>
      <c r="F720" s="219"/>
      <c r="G720" s="229" t="s">
        <v>3183</v>
      </c>
      <c r="H720" s="235">
        <f t="shared" ref="H720:H725" si="29">SUMIFS($E:$E,$C:$C,G720,$A:$A,$G$30)</f>
        <v>28.86</v>
      </c>
      <c r="J720" s="215"/>
    </row>
    <row r="721" spans="1:10" ht="25.5" hidden="1" customHeight="1" outlineLevel="1" x14ac:dyDescent="0.2">
      <c r="A721" s="198" t="s">
        <v>1279</v>
      </c>
      <c r="B721" s="224" t="s">
        <v>3187</v>
      </c>
      <c r="C721" s="225" t="s">
        <v>3183</v>
      </c>
      <c r="D721" s="226" t="s">
        <v>11</v>
      </c>
      <c r="E721" s="227">
        <v>1.59</v>
      </c>
      <c r="F721" s="227"/>
      <c r="G721" s="229"/>
      <c r="H721" s="235">
        <f t="shared" si="29"/>
        <v>0</v>
      </c>
      <c r="J721" s="215"/>
    </row>
    <row r="722" spans="1:10" ht="12.75" hidden="1" customHeight="1" outlineLevel="1" x14ac:dyDescent="0.2">
      <c r="A722" s="198" t="s">
        <v>1279</v>
      </c>
      <c r="B722" s="216" t="s">
        <v>1591</v>
      </c>
      <c r="C722" s="217" t="s">
        <v>2969</v>
      </c>
      <c r="D722" s="218"/>
      <c r="E722" s="219"/>
      <c r="F722" s="219"/>
      <c r="G722" s="225"/>
      <c r="H722" s="235">
        <f t="shared" si="29"/>
        <v>0</v>
      </c>
      <c r="J722" s="215"/>
    </row>
    <row r="723" spans="1:10" ht="25.5" hidden="1" customHeight="1" outlineLevel="1" x14ac:dyDescent="0.2">
      <c r="A723" s="198" t="s">
        <v>1279</v>
      </c>
      <c r="B723" s="228" t="s">
        <v>3188</v>
      </c>
      <c r="C723" s="229" t="s">
        <v>3183</v>
      </c>
      <c r="D723" s="230" t="s">
        <v>11</v>
      </c>
      <c r="E723" s="231">
        <v>1.59</v>
      </c>
      <c r="F723" s="231"/>
      <c r="G723" s="229"/>
      <c r="H723" s="235">
        <f t="shared" si="29"/>
        <v>0</v>
      </c>
      <c r="J723" s="215"/>
    </row>
    <row r="724" spans="1:10" ht="12.75" hidden="1" customHeight="1" outlineLevel="1" x14ac:dyDescent="0.2">
      <c r="A724" s="198" t="s">
        <v>1279</v>
      </c>
      <c r="B724" s="216" t="s">
        <v>1592</v>
      </c>
      <c r="C724" s="217" t="s">
        <v>2970</v>
      </c>
      <c r="D724" s="218"/>
      <c r="E724" s="219"/>
      <c r="F724" s="219"/>
      <c r="G724" s="225"/>
      <c r="H724" s="235">
        <f t="shared" si="29"/>
        <v>0</v>
      </c>
      <c r="J724" s="215"/>
    </row>
    <row r="725" spans="1:10" ht="25.5" hidden="1" customHeight="1" outlineLevel="1" x14ac:dyDescent="0.2">
      <c r="A725" s="198" t="s">
        <v>1279</v>
      </c>
      <c r="B725" s="224" t="s">
        <v>3189</v>
      </c>
      <c r="C725" s="225" t="s">
        <v>3183</v>
      </c>
      <c r="D725" s="226" t="s">
        <v>11</v>
      </c>
      <c r="E725" s="227">
        <v>1.59</v>
      </c>
      <c r="F725" s="227"/>
      <c r="G725" s="229"/>
      <c r="H725" s="235">
        <f t="shared" si="29"/>
        <v>0</v>
      </c>
      <c r="J725" s="215"/>
    </row>
    <row r="726" spans="1:10" ht="12.75" hidden="1" customHeight="1" outlineLevel="1" x14ac:dyDescent="0.2">
      <c r="A726" s="198" t="s">
        <v>1279</v>
      </c>
      <c r="B726" s="216" t="s">
        <v>1593</v>
      </c>
      <c r="C726" s="217" t="s">
        <v>2971</v>
      </c>
      <c r="D726" s="218"/>
      <c r="E726" s="219"/>
      <c r="F726" s="219"/>
    </row>
    <row r="727" spans="1:10" ht="25.5" hidden="1" customHeight="1" outlineLevel="1" x14ac:dyDescent="0.2">
      <c r="A727" s="198" t="s">
        <v>1279</v>
      </c>
      <c r="B727" s="228" t="s">
        <v>3190</v>
      </c>
      <c r="C727" s="229" t="s">
        <v>3183</v>
      </c>
      <c r="D727" s="230" t="s">
        <v>11</v>
      </c>
      <c r="E727" s="231">
        <v>1.59</v>
      </c>
      <c r="F727" s="231"/>
    </row>
    <row r="728" spans="1:10" ht="12.75" hidden="1" customHeight="1" outlineLevel="1" x14ac:dyDescent="0.2">
      <c r="A728" s="198" t="s">
        <v>1279</v>
      </c>
      <c r="B728" s="216" t="s">
        <v>1594</v>
      </c>
      <c r="C728" s="217" t="s">
        <v>2972</v>
      </c>
      <c r="D728" s="218"/>
      <c r="E728" s="219"/>
      <c r="F728" s="219"/>
    </row>
    <row r="729" spans="1:10" ht="25.5" hidden="1" customHeight="1" outlineLevel="1" x14ac:dyDescent="0.2">
      <c r="A729" s="198" t="s">
        <v>1279</v>
      </c>
      <c r="B729" s="224" t="s">
        <v>3191</v>
      </c>
      <c r="C729" s="225" t="s">
        <v>3183</v>
      </c>
      <c r="D729" s="226" t="s">
        <v>11</v>
      </c>
      <c r="E729" s="227">
        <v>1.59</v>
      </c>
      <c r="F729" s="227"/>
    </row>
    <row r="730" spans="1:10" ht="12.75" hidden="1" customHeight="1" outlineLevel="1" x14ac:dyDescent="0.2">
      <c r="A730" s="198" t="s">
        <v>1279</v>
      </c>
      <c r="B730" s="216" t="s">
        <v>1595</v>
      </c>
      <c r="C730" s="217" t="s">
        <v>2973</v>
      </c>
      <c r="D730" s="218"/>
      <c r="E730" s="219"/>
      <c r="F730" s="219"/>
    </row>
    <row r="731" spans="1:10" ht="25.5" hidden="1" customHeight="1" outlineLevel="1" x14ac:dyDescent="0.2">
      <c r="A731" s="198" t="s">
        <v>1279</v>
      </c>
      <c r="B731" s="228" t="s">
        <v>3192</v>
      </c>
      <c r="C731" s="229" t="s">
        <v>3183</v>
      </c>
      <c r="D731" s="230" t="s">
        <v>11</v>
      </c>
      <c r="E731" s="231">
        <v>1.59</v>
      </c>
      <c r="F731" s="231"/>
    </row>
    <row r="732" spans="1:10" ht="12.75" hidden="1" customHeight="1" outlineLevel="1" x14ac:dyDescent="0.2">
      <c r="A732" s="198" t="s">
        <v>1279</v>
      </c>
      <c r="B732" s="216" t="s">
        <v>1596</v>
      </c>
      <c r="C732" s="217" t="s">
        <v>2974</v>
      </c>
      <c r="D732" s="218"/>
      <c r="E732" s="219"/>
      <c r="F732" s="219"/>
    </row>
    <row r="733" spans="1:10" ht="25.5" hidden="1" customHeight="1" outlineLevel="1" x14ac:dyDescent="0.2">
      <c r="A733" s="198" t="s">
        <v>1279</v>
      </c>
      <c r="B733" s="224" t="s">
        <v>3193</v>
      </c>
      <c r="C733" s="225" t="s">
        <v>3183</v>
      </c>
      <c r="D733" s="226" t="s">
        <v>11</v>
      </c>
      <c r="E733" s="227">
        <v>1.59</v>
      </c>
      <c r="F733" s="227"/>
    </row>
    <row r="734" spans="1:10" ht="12.75" hidden="1" customHeight="1" outlineLevel="1" x14ac:dyDescent="0.2">
      <c r="A734" s="198" t="s">
        <v>1279</v>
      </c>
      <c r="B734" s="216" t="s">
        <v>1597</v>
      </c>
      <c r="C734" s="217" t="s">
        <v>2975</v>
      </c>
      <c r="D734" s="218"/>
      <c r="E734" s="219"/>
      <c r="F734" s="219"/>
    </row>
    <row r="735" spans="1:10" ht="25.5" hidden="1" customHeight="1" outlineLevel="1" x14ac:dyDescent="0.2">
      <c r="A735" s="198" t="s">
        <v>1279</v>
      </c>
      <c r="B735" s="228" t="s">
        <v>3194</v>
      </c>
      <c r="C735" s="229" t="s">
        <v>3183</v>
      </c>
      <c r="D735" s="230" t="s">
        <v>11</v>
      </c>
      <c r="E735" s="231">
        <v>1.59</v>
      </c>
      <c r="F735" s="231"/>
    </row>
    <row r="736" spans="1:10" ht="12.75" hidden="1" customHeight="1" outlineLevel="1" x14ac:dyDescent="0.2">
      <c r="A736" s="198" t="s">
        <v>1279</v>
      </c>
      <c r="B736" s="216" t="s">
        <v>2284</v>
      </c>
      <c r="C736" s="217" t="s">
        <v>2976</v>
      </c>
      <c r="D736" s="218"/>
      <c r="E736" s="219"/>
      <c r="F736" s="219"/>
    </row>
    <row r="737" spans="1:10" ht="25.5" hidden="1" customHeight="1" outlineLevel="1" x14ac:dyDescent="0.2">
      <c r="A737" s="198" t="s">
        <v>1279</v>
      </c>
      <c r="B737" s="224" t="s">
        <v>3195</v>
      </c>
      <c r="C737" s="225" t="s">
        <v>3183</v>
      </c>
      <c r="D737" s="226" t="s">
        <v>11</v>
      </c>
      <c r="E737" s="227">
        <v>1.59</v>
      </c>
      <c r="F737" s="227"/>
    </row>
    <row r="738" spans="1:10" ht="12.75" hidden="1" customHeight="1" outlineLevel="1" x14ac:dyDescent="0.2">
      <c r="A738" s="198" t="s">
        <v>1279</v>
      </c>
      <c r="B738" s="216" t="s">
        <v>2285</v>
      </c>
      <c r="C738" s="217" t="s">
        <v>2978</v>
      </c>
      <c r="D738" s="218"/>
      <c r="E738" s="219"/>
      <c r="F738" s="219"/>
    </row>
    <row r="739" spans="1:10" ht="25.5" hidden="1" customHeight="1" outlineLevel="1" x14ac:dyDescent="0.2">
      <c r="A739" s="198" t="s">
        <v>1279</v>
      </c>
      <c r="B739" s="228" t="s">
        <v>3196</v>
      </c>
      <c r="C739" s="229" t="s">
        <v>3183</v>
      </c>
      <c r="D739" s="230" t="s">
        <v>11</v>
      </c>
      <c r="E739" s="231">
        <v>1.59</v>
      </c>
      <c r="F739" s="231"/>
    </row>
    <row r="740" spans="1:10" s="215" customFormat="1" collapsed="1" x14ac:dyDescent="0.2">
      <c r="B740" s="515" t="s">
        <v>1598</v>
      </c>
      <c r="C740" s="516" t="s">
        <v>55</v>
      </c>
      <c r="D740" s="521"/>
      <c r="E740" s="524">
        <f>SUM(E742:E799)</f>
        <v>3619.9100000000012</v>
      </c>
      <c r="F740" s="524"/>
      <c r="G740" s="516"/>
      <c r="H740" s="234">
        <f>SUM(H741:H746)</f>
        <v>3619.91</v>
      </c>
      <c r="I740" s="242" t="str">
        <f>IF(H740=E740,"OKAY","REVER")</f>
        <v>OKAY</v>
      </c>
      <c r="J740" s="405"/>
    </row>
    <row r="741" spans="1:10" s="215" customFormat="1" ht="12.75" hidden="1" customHeight="1" outlineLevel="1" x14ac:dyDescent="0.2">
      <c r="A741" s="215" t="s">
        <v>1278</v>
      </c>
      <c r="B741" s="216" t="s">
        <v>1600</v>
      </c>
      <c r="C741" s="217" t="s">
        <v>2955</v>
      </c>
      <c r="D741" s="218"/>
      <c r="E741" s="219"/>
      <c r="F741" s="219"/>
      <c r="G741" s="229" t="s">
        <v>3200</v>
      </c>
      <c r="H741" s="235">
        <f t="shared" ref="H741:H746" si="30">SUMIF($C:$C,G741,$E:$E)</f>
        <v>772.37999999999988</v>
      </c>
      <c r="I741" s="241"/>
    </row>
    <row r="742" spans="1:10" s="215" customFormat="1" ht="12.75" hidden="1" customHeight="1" outlineLevel="1" x14ac:dyDescent="0.2">
      <c r="A742" s="215" t="s">
        <v>1278</v>
      </c>
      <c r="B742" s="224" t="s">
        <v>1601</v>
      </c>
      <c r="C742" s="404" t="s">
        <v>4770</v>
      </c>
      <c r="D742" s="226" t="s">
        <v>11</v>
      </c>
      <c r="E742" s="227">
        <v>210.81</v>
      </c>
      <c r="F742" s="227"/>
      <c r="G742" s="404" t="s">
        <v>4770</v>
      </c>
      <c r="H742" s="235">
        <f t="shared" si="30"/>
        <v>2847.5299999999997</v>
      </c>
      <c r="I742" s="241"/>
    </row>
    <row r="743" spans="1:10" s="215" customFormat="1" ht="12.75" hidden="1" customHeight="1" outlineLevel="1" x14ac:dyDescent="0.2">
      <c r="A743" s="215" t="s">
        <v>1278</v>
      </c>
      <c r="B743" s="216" t="s">
        <v>1602</v>
      </c>
      <c r="C743" s="217" t="s">
        <v>2958</v>
      </c>
      <c r="D743" s="218"/>
      <c r="E743" s="219"/>
      <c r="F743" s="219"/>
      <c r="G743" s="225"/>
      <c r="H743" s="235">
        <f t="shared" si="30"/>
        <v>0</v>
      </c>
      <c r="I743" s="241"/>
    </row>
    <row r="744" spans="1:10" s="215" customFormat="1" ht="12.75" hidden="1" customHeight="1" outlineLevel="1" x14ac:dyDescent="0.2">
      <c r="A744" s="215" t="s">
        <v>1278</v>
      </c>
      <c r="B744" s="228" t="s">
        <v>2648</v>
      </c>
      <c r="C744" s="229" t="s">
        <v>3200</v>
      </c>
      <c r="D744" s="230" t="s">
        <v>11</v>
      </c>
      <c r="E744" s="231">
        <v>28.48</v>
      </c>
      <c r="F744" s="231"/>
      <c r="G744" s="229"/>
      <c r="H744" s="235">
        <f t="shared" si="30"/>
        <v>0</v>
      </c>
      <c r="I744" s="241"/>
    </row>
    <row r="745" spans="1:10" s="215" customFormat="1" ht="12.75" hidden="1" customHeight="1" outlineLevel="1" x14ac:dyDescent="0.2">
      <c r="A745" s="215" t="s">
        <v>1278</v>
      </c>
      <c r="B745" s="224" t="s">
        <v>2649</v>
      </c>
      <c r="C745" s="225" t="s">
        <v>4770</v>
      </c>
      <c r="D745" s="226" t="s">
        <v>11</v>
      </c>
      <c r="E745" s="227">
        <v>183.32</v>
      </c>
      <c r="F745" s="227"/>
      <c r="G745" s="225"/>
      <c r="H745" s="235">
        <f t="shared" si="30"/>
        <v>0</v>
      </c>
      <c r="I745" s="241"/>
    </row>
    <row r="746" spans="1:10" s="215" customFormat="1" ht="12.75" hidden="1" customHeight="1" outlineLevel="1" x14ac:dyDescent="0.2">
      <c r="A746" s="215" t="s">
        <v>1279</v>
      </c>
      <c r="B746" s="216" t="s">
        <v>1603</v>
      </c>
      <c r="C746" s="217" t="s">
        <v>2960</v>
      </c>
      <c r="D746" s="218"/>
      <c r="E746" s="219"/>
      <c r="F746" s="219"/>
      <c r="G746" s="229"/>
      <c r="H746" s="235">
        <f t="shared" si="30"/>
        <v>0</v>
      </c>
      <c r="I746" s="241"/>
    </row>
    <row r="747" spans="1:10" s="215" customFormat="1" ht="12.75" hidden="1" customHeight="1" outlineLevel="1" x14ac:dyDescent="0.2">
      <c r="A747" s="215" t="s">
        <v>1279</v>
      </c>
      <c r="B747" s="228" t="s">
        <v>2650</v>
      </c>
      <c r="C747" s="229" t="s">
        <v>3200</v>
      </c>
      <c r="D747" s="230" t="s">
        <v>11</v>
      </c>
      <c r="E747" s="231">
        <v>71.7</v>
      </c>
      <c r="F747" s="231"/>
      <c r="G747" s="198"/>
      <c r="H747" s="198"/>
      <c r="I747" s="198"/>
    </row>
    <row r="748" spans="1:10" s="215" customFormat="1" ht="12.75" hidden="1" customHeight="1" outlineLevel="1" x14ac:dyDescent="0.2">
      <c r="A748" s="215" t="s">
        <v>1279</v>
      </c>
      <c r="B748" s="224" t="s">
        <v>2651</v>
      </c>
      <c r="C748" s="225" t="s">
        <v>4770</v>
      </c>
      <c r="D748" s="226" t="s">
        <v>11</v>
      </c>
      <c r="E748" s="227">
        <v>139.94</v>
      </c>
      <c r="F748" s="227"/>
      <c r="G748" s="520" t="s">
        <v>1732</v>
      </c>
      <c r="H748" s="234">
        <f>H750+H758</f>
        <v>772.38</v>
      </c>
      <c r="I748" s="242" t="str">
        <f>IF(H748=H740,"OKAY","REVER")</f>
        <v>REVER</v>
      </c>
    </row>
    <row r="749" spans="1:10" s="215" customFormat="1" ht="12.75" hidden="1" customHeight="1" outlineLevel="1" x14ac:dyDescent="0.2">
      <c r="A749" s="215" t="s">
        <v>1279</v>
      </c>
      <c r="B749" s="216" t="s">
        <v>1604</v>
      </c>
      <c r="C749" s="217" t="s">
        <v>2961</v>
      </c>
      <c r="D749" s="218"/>
      <c r="E749" s="219"/>
      <c r="F749" s="219"/>
      <c r="G749" s="232"/>
      <c r="H749" s="232"/>
      <c r="I749" s="242"/>
    </row>
    <row r="750" spans="1:10" s="215" customFormat="1" ht="12.75" hidden="1" customHeight="1" outlineLevel="1" x14ac:dyDescent="0.2">
      <c r="A750" s="215" t="s">
        <v>1279</v>
      </c>
      <c r="B750" s="228" t="s">
        <v>2652</v>
      </c>
      <c r="C750" s="229" t="s">
        <v>3200</v>
      </c>
      <c r="D750" s="230" t="s">
        <v>11</v>
      </c>
      <c r="E750" s="231">
        <v>36.380000000000003</v>
      </c>
      <c r="F750" s="231"/>
      <c r="G750" s="520" t="str">
        <f>$A$1</f>
        <v>EMBASSAMENTO</v>
      </c>
      <c r="H750" s="234">
        <f>SUM(H751:H756)</f>
        <v>28.48</v>
      </c>
      <c r="I750" s="242"/>
    </row>
    <row r="751" spans="1:10" s="215" customFormat="1" ht="12.75" hidden="1" customHeight="1" outlineLevel="1" x14ac:dyDescent="0.2">
      <c r="A751" s="215" t="s">
        <v>1279</v>
      </c>
      <c r="B751" s="224" t="s">
        <v>2653</v>
      </c>
      <c r="C751" s="225" t="s">
        <v>4770</v>
      </c>
      <c r="D751" s="226" t="s">
        <v>11</v>
      </c>
      <c r="E751" s="227">
        <v>176.05</v>
      </c>
      <c r="F751" s="227"/>
      <c r="G751" s="229" t="s">
        <v>3200</v>
      </c>
      <c r="H751" s="235">
        <f t="shared" ref="H751:H756" si="31">SUMIFS($E:$E,$C:$C,G751,$A:$A,$G$22)</f>
        <v>28.48</v>
      </c>
      <c r="I751" s="242"/>
    </row>
    <row r="752" spans="1:10" s="215" customFormat="1" ht="12.75" hidden="1" customHeight="1" outlineLevel="1" x14ac:dyDescent="0.2">
      <c r="A752" s="215" t="s">
        <v>1279</v>
      </c>
      <c r="B752" s="216" t="s">
        <v>1605</v>
      </c>
      <c r="C752" s="217" t="s">
        <v>2962</v>
      </c>
      <c r="D752" s="218"/>
      <c r="E752" s="219"/>
      <c r="F752" s="219"/>
      <c r="G752" s="225" t="s">
        <v>3199</v>
      </c>
      <c r="H752" s="235">
        <f t="shared" si="31"/>
        <v>0</v>
      </c>
      <c r="I752" s="241"/>
    </row>
    <row r="753" spans="1:9" s="215" customFormat="1" ht="12.75" hidden="1" customHeight="1" outlineLevel="1" x14ac:dyDescent="0.2">
      <c r="A753" s="215" t="s">
        <v>1279</v>
      </c>
      <c r="B753" s="228" t="s">
        <v>2654</v>
      </c>
      <c r="C753" s="229" t="s">
        <v>3200</v>
      </c>
      <c r="D753" s="230" t="s">
        <v>11</v>
      </c>
      <c r="E753" s="231">
        <v>85.71</v>
      </c>
      <c r="F753" s="231"/>
      <c r="G753" s="229"/>
      <c r="H753" s="235">
        <f t="shared" si="31"/>
        <v>0</v>
      </c>
      <c r="I753" s="241"/>
    </row>
    <row r="754" spans="1:9" s="215" customFormat="1" ht="12.75" hidden="1" customHeight="1" outlineLevel="1" x14ac:dyDescent="0.2">
      <c r="A754" s="215" t="s">
        <v>1279</v>
      </c>
      <c r="B754" s="224" t="s">
        <v>2655</v>
      </c>
      <c r="C754" s="225" t="s">
        <v>4770</v>
      </c>
      <c r="D754" s="226" t="s">
        <v>11</v>
      </c>
      <c r="E754" s="227">
        <v>198.97</v>
      </c>
      <c r="F754" s="227"/>
      <c r="G754" s="229"/>
      <c r="H754" s="235">
        <f t="shared" si="31"/>
        <v>0</v>
      </c>
      <c r="I754" s="241"/>
    </row>
    <row r="755" spans="1:9" s="215" customFormat="1" ht="12.75" hidden="1" customHeight="1" outlineLevel="1" x14ac:dyDescent="0.2">
      <c r="A755" s="215" t="s">
        <v>1279</v>
      </c>
      <c r="B755" s="216" t="s">
        <v>1606</v>
      </c>
      <c r="C755" s="217" t="s">
        <v>2963</v>
      </c>
      <c r="D755" s="218"/>
      <c r="E755" s="219"/>
      <c r="F755" s="219"/>
      <c r="G755" s="225"/>
      <c r="H755" s="235">
        <f t="shared" si="31"/>
        <v>0</v>
      </c>
      <c r="I755" s="241"/>
    </row>
    <row r="756" spans="1:9" s="215" customFormat="1" ht="12.75" hidden="1" customHeight="1" outlineLevel="1" x14ac:dyDescent="0.2">
      <c r="A756" s="215" t="s">
        <v>1279</v>
      </c>
      <c r="B756" s="228" t="s">
        <v>3201</v>
      </c>
      <c r="C756" s="229" t="s">
        <v>4770</v>
      </c>
      <c r="D756" s="230" t="s">
        <v>11</v>
      </c>
      <c r="E756" s="231">
        <v>102.57</v>
      </c>
      <c r="F756" s="231"/>
      <c r="G756" s="229"/>
      <c r="H756" s="235">
        <f t="shared" si="31"/>
        <v>0</v>
      </c>
      <c r="I756" s="241"/>
    </row>
    <row r="757" spans="1:9" s="215" customFormat="1" ht="12.75" hidden="1" customHeight="1" outlineLevel="1" x14ac:dyDescent="0.2">
      <c r="A757" s="215" t="s">
        <v>1279</v>
      </c>
      <c r="B757" s="216" t="s">
        <v>1607</v>
      </c>
      <c r="C757" s="217" t="s">
        <v>2964</v>
      </c>
      <c r="D757" s="218"/>
      <c r="E757" s="219"/>
      <c r="F757" s="219"/>
      <c r="G757" s="198"/>
      <c r="H757" s="198"/>
      <c r="I757" s="241"/>
    </row>
    <row r="758" spans="1:9" s="215" customFormat="1" ht="12.75" hidden="1" customHeight="1" outlineLevel="1" x14ac:dyDescent="0.2">
      <c r="A758" s="215" t="s">
        <v>1279</v>
      </c>
      <c r="B758" s="224" t="s">
        <v>3202</v>
      </c>
      <c r="C758" s="225" t="s">
        <v>3200</v>
      </c>
      <c r="D758" s="226" t="s">
        <v>11</v>
      </c>
      <c r="E758" s="227">
        <v>13.9</v>
      </c>
      <c r="F758" s="227"/>
      <c r="G758" s="520" t="str">
        <f>$A$2</f>
        <v>TORRE</v>
      </c>
      <c r="H758" s="234">
        <f>SUM(H759:H764)</f>
        <v>743.9</v>
      </c>
      <c r="I758" s="241"/>
    </row>
    <row r="759" spans="1:9" s="215" customFormat="1" ht="12.75" hidden="1" customHeight="1" outlineLevel="1" x14ac:dyDescent="0.2">
      <c r="A759" s="215" t="s">
        <v>1279</v>
      </c>
      <c r="B759" s="228" t="s">
        <v>3203</v>
      </c>
      <c r="C759" s="229" t="s">
        <v>4770</v>
      </c>
      <c r="D759" s="230" t="s">
        <v>11</v>
      </c>
      <c r="E759" s="231">
        <v>124.61</v>
      </c>
      <c r="F759" s="231"/>
      <c r="G759" s="229" t="s">
        <v>3200</v>
      </c>
      <c r="H759" s="235">
        <f t="shared" ref="H759:H764" si="32">SUMIFS($E:$E,$C:$C,G759,$A:$A,$G$30)</f>
        <v>743.9</v>
      </c>
      <c r="I759" s="241"/>
    </row>
    <row r="760" spans="1:9" s="215" customFormat="1" ht="12.75" hidden="1" customHeight="1" outlineLevel="1" x14ac:dyDescent="0.2">
      <c r="A760" s="215" t="s">
        <v>1279</v>
      </c>
      <c r="B760" s="216" t="s">
        <v>1608</v>
      </c>
      <c r="C760" s="217" t="s">
        <v>2965</v>
      </c>
      <c r="D760" s="218"/>
      <c r="E760" s="219"/>
      <c r="F760" s="219"/>
      <c r="G760" s="225" t="s">
        <v>3199</v>
      </c>
      <c r="H760" s="235">
        <f t="shared" si="32"/>
        <v>0</v>
      </c>
      <c r="I760" s="241"/>
    </row>
    <row r="761" spans="1:9" s="215" customFormat="1" ht="12.75" hidden="1" customHeight="1" outlineLevel="1" x14ac:dyDescent="0.2">
      <c r="A761" s="215" t="s">
        <v>1279</v>
      </c>
      <c r="B761" s="224" t="s">
        <v>3204</v>
      </c>
      <c r="C761" s="225" t="s">
        <v>4770</v>
      </c>
      <c r="D761" s="226" t="s">
        <v>11</v>
      </c>
      <c r="E761" s="227">
        <v>102.57</v>
      </c>
      <c r="F761" s="227"/>
      <c r="G761" s="225"/>
      <c r="H761" s="235">
        <f t="shared" si="32"/>
        <v>0</v>
      </c>
      <c r="I761" s="241"/>
    </row>
    <row r="762" spans="1:9" s="215" customFormat="1" ht="12.75" hidden="1" customHeight="1" outlineLevel="1" x14ac:dyDescent="0.2">
      <c r="A762" s="215" t="s">
        <v>1279</v>
      </c>
      <c r="B762" s="216" t="s">
        <v>1609</v>
      </c>
      <c r="C762" s="217" t="s">
        <v>2966</v>
      </c>
      <c r="D762" s="218"/>
      <c r="E762" s="219"/>
      <c r="F762" s="219"/>
      <c r="G762" s="229"/>
      <c r="H762" s="235">
        <f t="shared" si="32"/>
        <v>0</v>
      </c>
      <c r="I762" s="241"/>
    </row>
    <row r="763" spans="1:9" s="215" customFormat="1" ht="12.75" hidden="1" customHeight="1" outlineLevel="1" x14ac:dyDescent="0.2">
      <c r="A763" s="215" t="s">
        <v>1279</v>
      </c>
      <c r="B763" s="228" t="s">
        <v>3205</v>
      </c>
      <c r="C763" s="229" t="s">
        <v>3200</v>
      </c>
      <c r="D763" s="230" t="s">
        <v>11</v>
      </c>
      <c r="E763" s="231">
        <v>13.9</v>
      </c>
      <c r="F763" s="231"/>
      <c r="G763" s="225"/>
      <c r="H763" s="235">
        <f t="shared" si="32"/>
        <v>0</v>
      </c>
      <c r="I763" s="241"/>
    </row>
    <row r="764" spans="1:9" s="215" customFormat="1" ht="12.75" hidden="1" customHeight="1" outlineLevel="1" x14ac:dyDescent="0.2">
      <c r="A764" s="215" t="s">
        <v>1279</v>
      </c>
      <c r="B764" s="224" t="s">
        <v>3206</v>
      </c>
      <c r="C764" s="225" t="s">
        <v>4770</v>
      </c>
      <c r="D764" s="226" t="s">
        <v>11</v>
      </c>
      <c r="E764" s="227">
        <v>125.04</v>
      </c>
      <c r="F764" s="227"/>
      <c r="G764" s="229"/>
      <c r="H764" s="235">
        <f t="shared" si="32"/>
        <v>0</v>
      </c>
      <c r="I764" s="241"/>
    </row>
    <row r="765" spans="1:9" s="215" customFormat="1" ht="12.75" hidden="1" customHeight="1" outlineLevel="1" x14ac:dyDescent="0.2">
      <c r="A765" s="215" t="s">
        <v>1279</v>
      </c>
      <c r="B765" s="216" t="s">
        <v>1610</v>
      </c>
      <c r="C765" s="217" t="s">
        <v>2967</v>
      </c>
      <c r="D765" s="218"/>
      <c r="E765" s="219"/>
      <c r="F765" s="219"/>
    </row>
    <row r="766" spans="1:9" s="215" customFormat="1" ht="12.75" hidden="1" customHeight="1" outlineLevel="1" x14ac:dyDescent="0.2">
      <c r="A766" s="215" t="s">
        <v>1279</v>
      </c>
      <c r="B766" s="228" t="s">
        <v>3207</v>
      </c>
      <c r="C766" s="229" t="s">
        <v>4770</v>
      </c>
      <c r="D766" s="230" t="s">
        <v>11</v>
      </c>
      <c r="E766" s="231">
        <v>102.57</v>
      </c>
      <c r="F766" s="231"/>
    </row>
    <row r="767" spans="1:9" s="215" customFormat="1" ht="12.75" hidden="1" customHeight="1" outlineLevel="1" x14ac:dyDescent="0.2">
      <c r="A767" s="215" t="s">
        <v>1279</v>
      </c>
      <c r="B767" s="216" t="s">
        <v>1611</v>
      </c>
      <c r="C767" s="217" t="s">
        <v>2968</v>
      </c>
      <c r="D767" s="218"/>
      <c r="E767" s="219"/>
      <c r="F767" s="219"/>
    </row>
    <row r="768" spans="1:9" s="215" customFormat="1" ht="12.75" hidden="1" customHeight="1" outlineLevel="1" x14ac:dyDescent="0.2">
      <c r="A768" s="215" t="s">
        <v>1279</v>
      </c>
      <c r="B768" s="224" t="s">
        <v>3208</v>
      </c>
      <c r="C768" s="225" t="s">
        <v>3200</v>
      </c>
      <c r="D768" s="226" t="s">
        <v>11</v>
      </c>
      <c r="E768" s="227">
        <v>13.9</v>
      </c>
      <c r="F768" s="227"/>
    </row>
    <row r="769" spans="1:6" s="215" customFormat="1" ht="12.75" hidden="1" customHeight="1" outlineLevel="1" x14ac:dyDescent="0.2">
      <c r="A769" s="215" t="s">
        <v>1279</v>
      </c>
      <c r="B769" s="228" t="s">
        <v>3209</v>
      </c>
      <c r="C769" s="229" t="s">
        <v>4770</v>
      </c>
      <c r="D769" s="230" t="s">
        <v>11</v>
      </c>
      <c r="E769" s="231">
        <v>125.04</v>
      </c>
      <c r="F769" s="231"/>
    </row>
    <row r="770" spans="1:6" s="215" customFormat="1" ht="12.75" hidden="1" customHeight="1" outlineLevel="1" x14ac:dyDescent="0.2">
      <c r="A770" s="215" t="s">
        <v>1279</v>
      </c>
      <c r="B770" s="216" t="s">
        <v>1612</v>
      </c>
      <c r="C770" s="217" t="s">
        <v>2969</v>
      </c>
      <c r="D770" s="218"/>
      <c r="E770" s="219"/>
      <c r="F770" s="219"/>
    </row>
    <row r="771" spans="1:6" s="215" customFormat="1" ht="12.75" hidden="1" customHeight="1" outlineLevel="1" x14ac:dyDescent="0.2">
      <c r="A771" s="215" t="s">
        <v>1279</v>
      </c>
      <c r="B771" s="224" t="s">
        <v>3210</v>
      </c>
      <c r="C771" s="225" t="s">
        <v>4770</v>
      </c>
      <c r="D771" s="226" t="s">
        <v>11</v>
      </c>
      <c r="E771" s="227">
        <v>102.57</v>
      </c>
      <c r="F771" s="227"/>
    </row>
    <row r="772" spans="1:6" s="215" customFormat="1" ht="12.75" hidden="1" customHeight="1" outlineLevel="1" x14ac:dyDescent="0.2">
      <c r="A772" s="215" t="s">
        <v>1279</v>
      </c>
      <c r="B772" s="216" t="s">
        <v>1613</v>
      </c>
      <c r="C772" s="217" t="s">
        <v>2970</v>
      </c>
      <c r="D772" s="218"/>
      <c r="E772" s="219"/>
      <c r="F772" s="219"/>
    </row>
    <row r="773" spans="1:6" s="215" customFormat="1" ht="12.75" hidden="1" customHeight="1" outlineLevel="1" x14ac:dyDescent="0.2">
      <c r="A773" s="215" t="s">
        <v>1279</v>
      </c>
      <c r="B773" s="228" t="s">
        <v>3211</v>
      </c>
      <c r="C773" s="229" t="s">
        <v>3200</v>
      </c>
      <c r="D773" s="230" t="s">
        <v>11</v>
      </c>
      <c r="E773" s="231">
        <v>13.9</v>
      </c>
      <c r="F773" s="231"/>
    </row>
    <row r="774" spans="1:6" s="215" customFormat="1" ht="12.75" hidden="1" customHeight="1" outlineLevel="1" x14ac:dyDescent="0.2">
      <c r="A774" s="215" t="s">
        <v>1279</v>
      </c>
      <c r="B774" s="224" t="s">
        <v>3212</v>
      </c>
      <c r="C774" s="225" t="s">
        <v>4770</v>
      </c>
      <c r="D774" s="226" t="s">
        <v>11</v>
      </c>
      <c r="E774" s="227">
        <v>125.04</v>
      </c>
      <c r="F774" s="227"/>
    </row>
    <row r="775" spans="1:6" s="215" customFormat="1" ht="12.75" hidden="1" customHeight="1" outlineLevel="1" x14ac:dyDescent="0.2">
      <c r="A775" s="215" t="s">
        <v>1279</v>
      </c>
      <c r="B775" s="216" t="s">
        <v>1614</v>
      </c>
      <c r="C775" s="217" t="s">
        <v>2971</v>
      </c>
      <c r="D775" s="218"/>
      <c r="E775" s="219"/>
      <c r="F775" s="219"/>
    </row>
    <row r="776" spans="1:6" s="215" customFormat="1" ht="12.75" hidden="1" customHeight="1" outlineLevel="1" x14ac:dyDescent="0.2">
      <c r="A776" s="215" t="s">
        <v>1279</v>
      </c>
      <c r="B776" s="228" t="s">
        <v>3213</v>
      </c>
      <c r="C776" s="229" t="s">
        <v>4770</v>
      </c>
      <c r="D776" s="230" t="s">
        <v>11</v>
      </c>
      <c r="E776" s="231">
        <v>102.57</v>
      </c>
      <c r="F776" s="231"/>
    </row>
    <row r="777" spans="1:6" s="215" customFormat="1" ht="12.75" hidden="1" customHeight="1" outlineLevel="1" x14ac:dyDescent="0.2">
      <c r="A777" s="215" t="s">
        <v>1279</v>
      </c>
      <c r="B777" s="216" t="s">
        <v>1615</v>
      </c>
      <c r="C777" s="217" t="s">
        <v>2972</v>
      </c>
      <c r="D777" s="218"/>
      <c r="E777" s="219"/>
      <c r="F777" s="219"/>
    </row>
    <row r="778" spans="1:6" s="215" customFormat="1" ht="12.75" hidden="1" customHeight="1" outlineLevel="1" x14ac:dyDescent="0.2">
      <c r="A778" s="215" t="s">
        <v>1279</v>
      </c>
      <c r="B778" s="224" t="s">
        <v>3214</v>
      </c>
      <c r="C778" s="225" t="s">
        <v>3200</v>
      </c>
      <c r="D778" s="226" t="s">
        <v>11</v>
      </c>
      <c r="E778" s="227">
        <v>114.96</v>
      </c>
      <c r="F778" s="227"/>
    </row>
    <row r="779" spans="1:6" s="215" customFormat="1" ht="12.75" hidden="1" customHeight="1" outlineLevel="1" x14ac:dyDescent="0.2">
      <c r="A779" s="215" t="s">
        <v>1279</v>
      </c>
      <c r="B779" s="228" t="s">
        <v>3215</v>
      </c>
      <c r="C779" s="229" t="s">
        <v>4770</v>
      </c>
      <c r="D779" s="230" t="s">
        <v>11</v>
      </c>
      <c r="E779" s="231">
        <v>163.44</v>
      </c>
      <c r="F779" s="231"/>
    </row>
    <row r="780" spans="1:6" s="215" customFormat="1" ht="12.75" hidden="1" customHeight="1" outlineLevel="1" x14ac:dyDescent="0.2">
      <c r="A780" s="215" t="s">
        <v>1279</v>
      </c>
      <c r="B780" s="216" t="s">
        <v>1616</v>
      </c>
      <c r="C780" s="217" t="s">
        <v>2973</v>
      </c>
      <c r="D780" s="218"/>
      <c r="E780" s="219"/>
      <c r="F780" s="219"/>
    </row>
    <row r="781" spans="1:6" s="215" customFormat="1" ht="12.75" hidden="1" customHeight="1" outlineLevel="1" x14ac:dyDescent="0.2">
      <c r="A781" s="215" t="s">
        <v>1279</v>
      </c>
      <c r="B781" s="224" t="s">
        <v>3216</v>
      </c>
      <c r="C781" s="225" t="s">
        <v>3200</v>
      </c>
      <c r="D781" s="226" t="s">
        <v>11</v>
      </c>
      <c r="E781" s="227">
        <v>80.760000000000005</v>
      </c>
      <c r="F781" s="227"/>
    </row>
    <row r="782" spans="1:6" s="215" customFormat="1" ht="12.75" hidden="1" customHeight="1" outlineLevel="1" x14ac:dyDescent="0.2">
      <c r="A782" s="215" t="s">
        <v>1279</v>
      </c>
      <c r="B782" s="228" t="s">
        <v>3217</v>
      </c>
      <c r="C782" s="229" t="s">
        <v>4770</v>
      </c>
      <c r="D782" s="230" t="s">
        <v>11</v>
      </c>
      <c r="E782" s="231">
        <v>129.91999999999999</v>
      </c>
      <c r="F782" s="231"/>
    </row>
    <row r="783" spans="1:6" s="215" customFormat="1" ht="12.75" hidden="1" customHeight="1" outlineLevel="1" x14ac:dyDescent="0.2">
      <c r="A783" s="215" t="s">
        <v>1279</v>
      </c>
      <c r="B783" s="216" t="s">
        <v>1617</v>
      </c>
      <c r="C783" s="217" t="s">
        <v>2974</v>
      </c>
      <c r="D783" s="218"/>
      <c r="E783" s="219"/>
      <c r="F783" s="219"/>
    </row>
    <row r="784" spans="1:6" s="215" customFormat="1" ht="12.75" hidden="1" customHeight="1" outlineLevel="1" x14ac:dyDescent="0.2">
      <c r="A784" s="215" t="s">
        <v>1279</v>
      </c>
      <c r="B784" s="224" t="s">
        <v>3218</v>
      </c>
      <c r="C784" s="225" t="s">
        <v>4770</v>
      </c>
      <c r="D784" s="226" t="s">
        <v>11</v>
      </c>
      <c r="E784" s="227">
        <v>55.02</v>
      </c>
      <c r="F784" s="227"/>
    </row>
    <row r="785" spans="1:12" s="215" customFormat="1" ht="12.75" hidden="1" customHeight="1" outlineLevel="1" x14ac:dyDescent="0.2">
      <c r="A785" s="215" t="s">
        <v>1279</v>
      </c>
      <c r="B785" s="216" t="s">
        <v>2286</v>
      </c>
      <c r="C785" s="217" t="s">
        <v>2975</v>
      </c>
      <c r="D785" s="218"/>
      <c r="E785" s="219"/>
      <c r="F785" s="219"/>
    </row>
    <row r="786" spans="1:12" s="215" customFormat="1" ht="12.75" hidden="1" customHeight="1" outlineLevel="1" x14ac:dyDescent="0.2">
      <c r="A786" s="215" t="s">
        <v>1279</v>
      </c>
      <c r="B786" s="228" t="s">
        <v>3219</v>
      </c>
      <c r="C786" s="229" t="s">
        <v>3200</v>
      </c>
      <c r="D786" s="230" t="s">
        <v>11</v>
      </c>
      <c r="E786" s="231">
        <v>9.3699999999999992</v>
      </c>
      <c r="F786" s="231"/>
    </row>
    <row r="787" spans="1:12" s="215" customFormat="1" ht="12.75" hidden="1" customHeight="1" outlineLevel="1" x14ac:dyDescent="0.2">
      <c r="A787" s="215" t="s">
        <v>1279</v>
      </c>
      <c r="B787" s="224" t="s">
        <v>3220</v>
      </c>
      <c r="C787" s="225" t="s">
        <v>4770</v>
      </c>
      <c r="D787" s="226" t="s">
        <v>11</v>
      </c>
      <c r="E787" s="227">
        <v>63.9</v>
      </c>
      <c r="F787" s="227"/>
    </row>
    <row r="788" spans="1:12" s="215" customFormat="1" ht="12.75" hidden="1" customHeight="1" outlineLevel="1" x14ac:dyDescent="0.2">
      <c r="A788" s="215" t="s">
        <v>1279</v>
      </c>
      <c r="B788" s="216" t="s">
        <v>2287</v>
      </c>
      <c r="C788" s="217" t="s">
        <v>2976</v>
      </c>
      <c r="D788" s="218"/>
      <c r="E788" s="219"/>
      <c r="F788" s="219"/>
    </row>
    <row r="789" spans="1:12" s="215" customFormat="1" ht="12.75" hidden="1" customHeight="1" outlineLevel="1" x14ac:dyDescent="0.2">
      <c r="A789" s="215" t="s">
        <v>1279</v>
      </c>
      <c r="B789" s="228" t="s">
        <v>3221</v>
      </c>
      <c r="C789" s="229" t="s">
        <v>4770</v>
      </c>
      <c r="D789" s="230" t="s">
        <v>11</v>
      </c>
      <c r="E789" s="231">
        <v>54.16</v>
      </c>
      <c r="F789" s="231"/>
    </row>
    <row r="790" spans="1:12" s="215" customFormat="1" ht="12.75" hidden="1" customHeight="1" outlineLevel="1" x14ac:dyDescent="0.2">
      <c r="A790" s="215" t="s">
        <v>1279</v>
      </c>
      <c r="B790" s="216" t="s">
        <v>2288</v>
      </c>
      <c r="C790" s="217" t="s">
        <v>2978</v>
      </c>
      <c r="D790" s="218"/>
      <c r="E790" s="219"/>
      <c r="F790" s="219"/>
    </row>
    <row r="791" spans="1:12" s="215" customFormat="1" ht="12.75" hidden="1" customHeight="1" outlineLevel="1" x14ac:dyDescent="0.2">
      <c r="A791" s="215" t="s">
        <v>1279</v>
      </c>
      <c r="B791" s="224" t="s">
        <v>3222</v>
      </c>
      <c r="C791" s="225" t="s">
        <v>3200</v>
      </c>
      <c r="D791" s="226" t="s">
        <v>11</v>
      </c>
      <c r="E791" s="227">
        <v>193.12</v>
      </c>
      <c r="F791" s="227"/>
    </row>
    <row r="792" spans="1:12" s="215" customFormat="1" ht="12.75" hidden="1" customHeight="1" outlineLevel="1" x14ac:dyDescent="0.2">
      <c r="A792" s="215" t="s">
        <v>1279</v>
      </c>
      <c r="B792" s="228" t="s">
        <v>3223</v>
      </c>
      <c r="C792" s="229" t="s">
        <v>4770</v>
      </c>
      <c r="D792" s="230" t="s">
        <v>11</v>
      </c>
      <c r="E792" s="231">
        <v>223.81</v>
      </c>
      <c r="F792" s="231"/>
    </row>
    <row r="793" spans="1:12" s="215" customFormat="1" ht="12.75" hidden="1" customHeight="1" outlineLevel="1" x14ac:dyDescent="0.2">
      <c r="A793" s="215" t="s">
        <v>1279</v>
      </c>
      <c r="B793" s="216" t="s">
        <v>2289</v>
      </c>
      <c r="C793" s="217" t="s">
        <v>2980</v>
      </c>
      <c r="D793" s="218"/>
      <c r="E793" s="219"/>
      <c r="F793" s="219"/>
    </row>
    <row r="794" spans="1:12" s="215" customFormat="1" ht="12.75" hidden="1" customHeight="1" outlineLevel="1" x14ac:dyDescent="0.2">
      <c r="A794" s="215" t="s">
        <v>1279</v>
      </c>
      <c r="B794" s="224" t="s">
        <v>3224</v>
      </c>
      <c r="C794" s="225" t="s">
        <v>4770</v>
      </c>
      <c r="D794" s="226" t="s">
        <v>11</v>
      </c>
      <c r="E794" s="227">
        <v>54.3</v>
      </c>
      <c r="F794" s="227"/>
    </row>
    <row r="795" spans="1:12" s="215" customFormat="1" ht="12.75" hidden="1" customHeight="1" outlineLevel="1" x14ac:dyDescent="0.2">
      <c r="A795" s="215" t="s">
        <v>1279</v>
      </c>
      <c r="B795" s="216" t="s">
        <v>3225</v>
      </c>
      <c r="C795" s="217" t="s">
        <v>2983</v>
      </c>
      <c r="D795" s="218"/>
      <c r="E795" s="219"/>
      <c r="F795" s="219"/>
    </row>
    <row r="796" spans="1:12" s="215" customFormat="1" ht="12.75" hidden="1" customHeight="1" outlineLevel="1" x14ac:dyDescent="0.2">
      <c r="A796" s="215" t="s">
        <v>1279</v>
      </c>
      <c r="B796" s="228" t="s">
        <v>3226</v>
      </c>
      <c r="C796" s="229" t="s">
        <v>4770</v>
      </c>
      <c r="D796" s="230" t="s">
        <v>11</v>
      </c>
      <c r="E796" s="231">
        <v>85.01</v>
      </c>
      <c r="F796" s="231"/>
    </row>
    <row r="797" spans="1:12" s="215" customFormat="1" ht="12.75" hidden="1" customHeight="1" outlineLevel="1" x14ac:dyDescent="0.2">
      <c r="A797" s="215" t="s">
        <v>1279</v>
      </c>
      <c r="B797" s="216" t="s">
        <v>3227</v>
      </c>
      <c r="C797" s="217" t="s">
        <v>3228</v>
      </c>
      <c r="D797" s="218"/>
      <c r="E797" s="219"/>
      <c r="F797" s="219"/>
    </row>
    <row r="798" spans="1:12" s="215" customFormat="1" ht="12.75" hidden="1" customHeight="1" outlineLevel="1" x14ac:dyDescent="0.2">
      <c r="A798" s="215" t="s">
        <v>1279</v>
      </c>
      <c r="B798" s="224" t="s">
        <v>3229</v>
      </c>
      <c r="C798" s="225" t="s">
        <v>3200</v>
      </c>
      <c r="D798" s="226" t="s">
        <v>11</v>
      </c>
      <c r="E798" s="227">
        <v>96.3</v>
      </c>
      <c r="F798" s="227"/>
    </row>
    <row r="799" spans="1:12" s="215" customFormat="1" ht="12.75" hidden="1" customHeight="1" outlineLevel="1" x14ac:dyDescent="0.2">
      <c r="A799" s="215" t="s">
        <v>1279</v>
      </c>
      <c r="B799" s="228" t="s">
        <v>3230</v>
      </c>
      <c r="C799" s="229" t="s">
        <v>4770</v>
      </c>
      <c r="D799" s="230" t="s">
        <v>11</v>
      </c>
      <c r="E799" s="231">
        <v>96.3</v>
      </c>
      <c r="F799" s="231"/>
    </row>
    <row r="800" spans="1:12" collapsed="1" x14ac:dyDescent="0.2">
      <c r="B800" s="515" t="s">
        <v>2290</v>
      </c>
      <c r="C800" s="516" t="s">
        <v>3802</v>
      </c>
      <c r="D800" s="516"/>
      <c r="E800" s="524">
        <f>SUM(E801:E1344)</f>
        <v>4984.6799999999912</v>
      </c>
      <c r="F800" s="524"/>
      <c r="G800" s="516"/>
      <c r="H800" s="234">
        <f>SUM(H801:H933)</f>
        <v>4984.6900000000014</v>
      </c>
      <c r="I800" s="242" t="s">
        <v>1733</v>
      </c>
      <c r="J800" s="405"/>
      <c r="K800" s="215"/>
      <c r="L800" s="215"/>
    </row>
    <row r="801" spans="1:12" ht="12.75" hidden="1" customHeight="1" outlineLevel="1" x14ac:dyDescent="0.2">
      <c r="A801" s="198" t="s">
        <v>1278</v>
      </c>
      <c r="B801" s="216" t="s">
        <v>1618</v>
      </c>
      <c r="C801" s="217" t="s">
        <v>2955</v>
      </c>
      <c r="D801" s="218"/>
      <c r="E801" s="219"/>
      <c r="F801" s="219"/>
      <c r="G801" s="225" t="s">
        <v>3805</v>
      </c>
      <c r="H801" s="227">
        <v>26.82</v>
      </c>
      <c r="J801" s="215"/>
      <c r="K801" s="215"/>
      <c r="L801" s="215"/>
    </row>
    <row r="802" spans="1:12" ht="38.25" hidden="1" customHeight="1" outlineLevel="1" x14ac:dyDescent="0.2">
      <c r="A802" s="198" t="s">
        <v>1278</v>
      </c>
      <c r="B802" s="224" t="s">
        <v>1619</v>
      </c>
      <c r="C802" s="225" t="s">
        <v>3233</v>
      </c>
      <c r="D802" s="226" t="s">
        <v>11</v>
      </c>
      <c r="E802" s="227">
        <v>8.51</v>
      </c>
      <c r="F802" s="227"/>
      <c r="G802" s="229" t="s">
        <v>3319</v>
      </c>
      <c r="H802" s="231">
        <v>54.68</v>
      </c>
      <c r="J802" s="215"/>
      <c r="K802" s="215"/>
      <c r="L802" s="215"/>
    </row>
    <row r="803" spans="1:12" ht="38.25" hidden="1" customHeight="1" outlineLevel="1" x14ac:dyDescent="0.2">
      <c r="A803" s="198" t="s">
        <v>1278</v>
      </c>
      <c r="B803" s="228" t="s">
        <v>2312</v>
      </c>
      <c r="C803" s="229" t="s">
        <v>3234</v>
      </c>
      <c r="D803" s="230" t="s">
        <v>11</v>
      </c>
      <c r="E803" s="231">
        <v>116.94</v>
      </c>
      <c r="F803" s="231"/>
      <c r="G803" s="225" t="s">
        <v>3320</v>
      </c>
      <c r="H803" s="227">
        <v>36</v>
      </c>
      <c r="J803" s="215"/>
      <c r="K803" s="215"/>
      <c r="L803" s="215"/>
    </row>
    <row r="804" spans="1:12" ht="38.25" hidden="1" customHeight="1" outlineLevel="1" x14ac:dyDescent="0.2">
      <c r="A804" s="198" t="s">
        <v>1278</v>
      </c>
      <c r="B804" s="224" t="s">
        <v>2313</v>
      </c>
      <c r="C804" s="225" t="s">
        <v>3235</v>
      </c>
      <c r="D804" s="226" t="s">
        <v>11</v>
      </c>
      <c r="E804" s="227">
        <v>5.37</v>
      </c>
      <c r="F804" s="227"/>
      <c r="G804" s="229" t="s">
        <v>3321</v>
      </c>
      <c r="H804" s="231">
        <v>24.42</v>
      </c>
      <c r="J804" s="215"/>
      <c r="K804" s="215"/>
      <c r="L804" s="215"/>
    </row>
    <row r="805" spans="1:12" ht="38.25" hidden="1" customHeight="1" outlineLevel="1" x14ac:dyDescent="0.2">
      <c r="A805" s="198" t="s">
        <v>1278</v>
      </c>
      <c r="B805" s="228" t="s">
        <v>2314</v>
      </c>
      <c r="C805" s="229" t="s">
        <v>3236</v>
      </c>
      <c r="D805" s="230" t="s">
        <v>11</v>
      </c>
      <c r="E805" s="231">
        <v>7.26</v>
      </c>
      <c r="F805" s="231"/>
      <c r="G805" s="225" t="s">
        <v>3372</v>
      </c>
      <c r="H805" s="227">
        <v>15.73</v>
      </c>
      <c r="J805" s="215"/>
      <c r="K805" s="215"/>
      <c r="L805" s="215"/>
    </row>
    <row r="806" spans="1:12" ht="38.25" hidden="1" customHeight="1" outlineLevel="1" x14ac:dyDescent="0.2">
      <c r="A806" s="198" t="s">
        <v>1278</v>
      </c>
      <c r="B806" s="224" t="s">
        <v>2315</v>
      </c>
      <c r="C806" s="225" t="s">
        <v>3237</v>
      </c>
      <c r="D806" s="226" t="s">
        <v>11</v>
      </c>
      <c r="E806" s="227">
        <v>7.37</v>
      </c>
      <c r="F806" s="227"/>
      <c r="G806" s="229" t="s">
        <v>3768</v>
      </c>
      <c r="H806" s="231">
        <v>12.48</v>
      </c>
      <c r="J806" s="215"/>
      <c r="K806" s="215"/>
      <c r="L806" s="215"/>
    </row>
    <row r="807" spans="1:12" ht="25.5" hidden="1" customHeight="1" outlineLevel="1" x14ac:dyDescent="0.2">
      <c r="A807" s="198" t="s">
        <v>1278</v>
      </c>
      <c r="B807" s="228" t="s">
        <v>2316</v>
      </c>
      <c r="C807" s="229" t="s">
        <v>3238</v>
      </c>
      <c r="D807" s="230" t="s">
        <v>11</v>
      </c>
      <c r="E807" s="231">
        <v>0.53</v>
      </c>
      <c r="F807" s="231"/>
      <c r="G807" s="225" t="s">
        <v>3294</v>
      </c>
      <c r="H807" s="227">
        <v>121.06</v>
      </c>
      <c r="I807" s="198"/>
      <c r="J807" s="215"/>
      <c r="K807" s="215"/>
      <c r="L807" s="215"/>
    </row>
    <row r="808" spans="1:12" ht="38.25" hidden="1" customHeight="1" outlineLevel="1" x14ac:dyDescent="0.2">
      <c r="A808" s="198" t="s">
        <v>1278</v>
      </c>
      <c r="B808" s="224" t="s">
        <v>2317</v>
      </c>
      <c r="C808" s="225" t="s">
        <v>3239</v>
      </c>
      <c r="D808" s="226" t="s">
        <v>11</v>
      </c>
      <c r="E808" s="227">
        <v>4.53</v>
      </c>
      <c r="F808" s="227"/>
      <c r="G808" s="229" t="s">
        <v>3295</v>
      </c>
      <c r="H808" s="231">
        <v>245.08</v>
      </c>
      <c r="K808" s="215"/>
      <c r="L808" s="215"/>
    </row>
    <row r="809" spans="1:12" ht="38.25" hidden="1" customHeight="1" outlineLevel="1" x14ac:dyDescent="0.2">
      <c r="A809" s="198" t="s">
        <v>1278</v>
      </c>
      <c r="B809" s="228" t="s">
        <v>2318</v>
      </c>
      <c r="C809" s="229" t="s">
        <v>3240</v>
      </c>
      <c r="D809" s="230" t="s">
        <v>11</v>
      </c>
      <c r="E809" s="231">
        <v>29.03</v>
      </c>
      <c r="F809" s="231"/>
      <c r="G809" s="225" t="s">
        <v>3376</v>
      </c>
      <c r="H809" s="227">
        <v>56.82</v>
      </c>
      <c r="K809" s="215"/>
      <c r="L809" s="215"/>
    </row>
    <row r="810" spans="1:12" ht="38.25" hidden="1" customHeight="1" outlineLevel="1" x14ac:dyDescent="0.2">
      <c r="A810" s="198" t="s">
        <v>1278</v>
      </c>
      <c r="B810" s="224" t="s">
        <v>2319</v>
      </c>
      <c r="C810" s="225" t="s">
        <v>3241</v>
      </c>
      <c r="D810" s="226" t="s">
        <v>11</v>
      </c>
      <c r="E810" s="227">
        <v>18.89</v>
      </c>
      <c r="F810" s="227"/>
      <c r="G810" s="229" t="s">
        <v>3323</v>
      </c>
      <c r="H810" s="231">
        <v>87.65</v>
      </c>
      <c r="K810" s="215"/>
      <c r="L810" s="215"/>
    </row>
    <row r="811" spans="1:12" ht="38.25" hidden="1" customHeight="1" outlineLevel="1" x14ac:dyDescent="0.2">
      <c r="A811" s="198" t="s">
        <v>1278</v>
      </c>
      <c r="B811" s="228" t="s">
        <v>2320</v>
      </c>
      <c r="C811" s="229" t="s">
        <v>3242</v>
      </c>
      <c r="D811" s="230" t="s">
        <v>11</v>
      </c>
      <c r="E811" s="231">
        <v>4.34</v>
      </c>
      <c r="F811" s="231"/>
      <c r="G811" s="225" t="s">
        <v>3325</v>
      </c>
      <c r="H811" s="227">
        <v>52.51</v>
      </c>
      <c r="K811" s="215"/>
      <c r="L811" s="215"/>
    </row>
    <row r="812" spans="1:12" ht="25.5" hidden="1" customHeight="1" outlineLevel="1" x14ac:dyDescent="0.2">
      <c r="A812" s="198" t="s">
        <v>1278</v>
      </c>
      <c r="B812" s="224" t="s">
        <v>2321</v>
      </c>
      <c r="C812" s="225" t="s">
        <v>3243</v>
      </c>
      <c r="D812" s="226" t="s">
        <v>11</v>
      </c>
      <c r="E812" s="227">
        <v>7.69</v>
      </c>
      <c r="F812" s="227"/>
      <c r="G812" s="229" t="s">
        <v>3327</v>
      </c>
      <c r="H812" s="231">
        <v>28.62</v>
      </c>
      <c r="K812" s="215"/>
      <c r="L812" s="215"/>
    </row>
    <row r="813" spans="1:12" ht="25.5" hidden="1" customHeight="1" outlineLevel="1" x14ac:dyDescent="0.2">
      <c r="A813" s="198" t="s">
        <v>1278</v>
      </c>
      <c r="B813" s="228" t="s">
        <v>2322</v>
      </c>
      <c r="C813" s="229" t="s">
        <v>3244</v>
      </c>
      <c r="D813" s="230" t="s">
        <v>11</v>
      </c>
      <c r="E813" s="231">
        <v>12.44</v>
      </c>
      <c r="F813" s="231"/>
      <c r="G813" s="225" t="s">
        <v>3329</v>
      </c>
      <c r="H813" s="227">
        <v>9.36</v>
      </c>
      <c r="K813" s="215"/>
      <c r="L813" s="215"/>
    </row>
    <row r="814" spans="1:12" ht="25.5" hidden="1" customHeight="1" outlineLevel="1" x14ac:dyDescent="0.2">
      <c r="A814" s="198" t="s">
        <v>1278</v>
      </c>
      <c r="B814" s="224" t="s">
        <v>2323</v>
      </c>
      <c r="C814" s="225" t="s">
        <v>3235</v>
      </c>
      <c r="D814" s="226" t="s">
        <v>11</v>
      </c>
      <c r="E814" s="227">
        <v>26.56</v>
      </c>
      <c r="F814" s="227"/>
      <c r="G814" s="229" t="s">
        <v>3331</v>
      </c>
      <c r="H814" s="231">
        <v>4.82</v>
      </c>
      <c r="K814" s="215"/>
      <c r="L814" s="215"/>
    </row>
    <row r="815" spans="1:12" ht="25.5" hidden="1" customHeight="1" outlineLevel="1" x14ac:dyDescent="0.2">
      <c r="A815" s="198" t="s">
        <v>1278</v>
      </c>
      <c r="B815" s="228" t="s">
        <v>2324</v>
      </c>
      <c r="C815" s="229" t="s">
        <v>3245</v>
      </c>
      <c r="D815" s="230" t="s">
        <v>11</v>
      </c>
      <c r="E815" s="231">
        <v>4.53</v>
      </c>
      <c r="F815" s="231"/>
      <c r="G815" s="225" t="s">
        <v>3233</v>
      </c>
      <c r="H815" s="227">
        <v>8.51</v>
      </c>
      <c r="K815" s="215"/>
      <c r="L815" s="215"/>
    </row>
    <row r="816" spans="1:12" ht="25.5" hidden="1" customHeight="1" outlineLevel="1" x14ac:dyDescent="0.2">
      <c r="A816" s="198" t="s">
        <v>1278</v>
      </c>
      <c r="B816" s="224" t="s">
        <v>2325</v>
      </c>
      <c r="C816" s="225" t="s">
        <v>3246</v>
      </c>
      <c r="D816" s="226" t="s">
        <v>11</v>
      </c>
      <c r="E816" s="227">
        <v>18.89</v>
      </c>
      <c r="F816" s="227"/>
      <c r="G816" s="229" t="s">
        <v>3296</v>
      </c>
      <c r="H816" s="231">
        <v>133.84</v>
      </c>
      <c r="K816" s="215"/>
      <c r="L816" s="215"/>
    </row>
    <row r="817" spans="1:12" ht="38.25" hidden="1" customHeight="1" outlineLevel="1" x14ac:dyDescent="0.2">
      <c r="A817" s="198" t="s">
        <v>1278</v>
      </c>
      <c r="B817" s="228" t="s">
        <v>2326</v>
      </c>
      <c r="C817" s="229" t="s">
        <v>3247</v>
      </c>
      <c r="D817" s="230" t="s">
        <v>11</v>
      </c>
      <c r="E817" s="231">
        <v>4.34</v>
      </c>
      <c r="F817" s="231"/>
      <c r="G817" s="225" t="s">
        <v>3297</v>
      </c>
      <c r="H817" s="227">
        <v>264.70999999999998</v>
      </c>
      <c r="K817" s="215"/>
      <c r="L817" s="215"/>
    </row>
    <row r="818" spans="1:12" ht="25.5" hidden="1" customHeight="1" outlineLevel="1" x14ac:dyDescent="0.2">
      <c r="A818" s="198" t="s">
        <v>1278</v>
      </c>
      <c r="B818" s="224" t="s">
        <v>2327</v>
      </c>
      <c r="C818" s="225" t="s">
        <v>3243</v>
      </c>
      <c r="D818" s="226" t="s">
        <v>11</v>
      </c>
      <c r="E818" s="227">
        <v>27.4</v>
      </c>
      <c r="F818" s="227"/>
      <c r="G818" s="229" t="s">
        <v>3299</v>
      </c>
      <c r="H818" s="231">
        <v>328.01</v>
      </c>
      <c r="K818" s="215"/>
      <c r="L818" s="215"/>
    </row>
    <row r="819" spans="1:12" ht="38.25" hidden="1" customHeight="1" outlineLevel="1" x14ac:dyDescent="0.2">
      <c r="A819" s="198" t="s">
        <v>1278</v>
      </c>
      <c r="B819" s="228" t="s">
        <v>2328</v>
      </c>
      <c r="C819" s="229" t="s">
        <v>3239</v>
      </c>
      <c r="D819" s="230" t="s">
        <v>11</v>
      </c>
      <c r="E819" s="231">
        <v>27.76</v>
      </c>
      <c r="F819" s="231"/>
      <c r="G819" s="225" t="s">
        <v>3301</v>
      </c>
      <c r="H819" s="227">
        <v>283.27</v>
      </c>
      <c r="K819" s="215"/>
      <c r="L819" s="215"/>
    </row>
    <row r="820" spans="1:12" ht="38.25" hidden="1" customHeight="1" outlineLevel="1" x14ac:dyDescent="0.2">
      <c r="A820" s="198" t="s">
        <v>1278</v>
      </c>
      <c r="B820" s="224" t="s">
        <v>2329</v>
      </c>
      <c r="C820" s="225" t="s">
        <v>3241</v>
      </c>
      <c r="D820" s="226" t="s">
        <v>11</v>
      </c>
      <c r="E820" s="227">
        <v>51.23</v>
      </c>
      <c r="F820" s="227"/>
      <c r="G820" s="229" t="s">
        <v>3336</v>
      </c>
      <c r="H820" s="231">
        <v>126.25</v>
      </c>
      <c r="K820" s="215"/>
      <c r="L820" s="215"/>
    </row>
    <row r="821" spans="1:12" ht="38.25" hidden="1" customHeight="1" outlineLevel="1" x14ac:dyDescent="0.2">
      <c r="A821" s="198" t="s">
        <v>1278</v>
      </c>
      <c r="B821" s="228" t="s">
        <v>2330</v>
      </c>
      <c r="C821" s="229" t="s">
        <v>3242</v>
      </c>
      <c r="D821" s="230" t="s">
        <v>11</v>
      </c>
      <c r="E821" s="231">
        <v>27.75</v>
      </c>
      <c r="F821" s="231"/>
      <c r="G821" s="225" t="s">
        <v>3338</v>
      </c>
      <c r="H821" s="227">
        <v>257.67</v>
      </c>
      <c r="K821" s="215"/>
      <c r="L821" s="215"/>
    </row>
    <row r="822" spans="1:12" ht="25.5" hidden="1" customHeight="1" outlineLevel="1" x14ac:dyDescent="0.2">
      <c r="A822" s="198" t="s">
        <v>1278</v>
      </c>
      <c r="B822" s="224" t="s">
        <v>2331</v>
      </c>
      <c r="C822" s="225" t="s">
        <v>3236</v>
      </c>
      <c r="D822" s="226" t="s">
        <v>11</v>
      </c>
      <c r="E822" s="227">
        <v>3.35</v>
      </c>
      <c r="F822" s="227"/>
      <c r="G822" s="229" t="s">
        <v>3340</v>
      </c>
      <c r="H822" s="231">
        <v>43.32</v>
      </c>
      <c r="K822" s="215"/>
      <c r="L822" s="215"/>
    </row>
    <row r="823" spans="1:12" ht="25.5" hidden="1" customHeight="1" outlineLevel="1" x14ac:dyDescent="0.2">
      <c r="A823" s="198" t="s">
        <v>1278</v>
      </c>
      <c r="B823" s="228" t="s">
        <v>2332</v>
      </c>
      <c r="C823" s="229" t="s">
        <v>3237</v>
      </c>
      <c r="D823" s="230" t="s">
        <v>11</v>
      </c>
      <c r="E823" s="231">
        <v>4.1399999999999997</v>
      </c>
      <c r="F823" s="231"/>
      <c r="G823" s="225" t="s">
        <v>3342</v>
      </c>
      <c r="H823" s="227">
        <v>10.6</v>
      </c>
      <c r="K823" s="215"/>
      <c r="L823" s="215"/>
    </row>
    <row r="824" spans="1:12" ht="25.5" hidden="1" customHeight="1" outlineLevel="1" x14ac:dyDescent="0.2">
      <c r="A824" s="198" t="s">
        <v>1278</v>
      </c>
      <c r="B824" s="224" t="s">
        <v>2333</v>
      </c>
      <c r="C824" s="225" t="s">
        <v>3248</v>
      </c>
      <c r="D824" s="226" t="s">
        <v>11</v>
      </c>
      <c r="E824" s="227">
        <v>209.84</v>
      </c>
      <c r="F824" s="227"/>
      <c r="G824" s="229" t="s">
        <v>3344</v>
      </c>
      <c r="H824" s="231">
        <v>29.74</v>
      </c>
      <c r="K824" s="215"/>
      <c r="L824" s="215"/>
    </row>
    <row r="825" spans="1:12" ht="25.5" hidden="1" customHeight="1" outlineLevel="1" x14ac:dyDescent="0.2">
      <c r="A825" s="198" t="s">
        <v>1278</v>
      </c>
      <c r="B825" s="228" t="s">
        <v>2334</v>
      </c>
      <c r="C825" s="229" t="s">
        <v>3238</v>
      </c>
      <c r="D825" s="230" t="s">
        <v>11</v>
      </c>
      <c r="E825" s="231">
        <v>19.899999999999999</v>
      </c>
      <c r="F825" s="231"/>
      <c r="G825" s="225" t="s">
        <v>3249</v>
      </c>
      <c r="H825" s="227">
        <v>14.41</v>
      </c>
    </row>
    <row r="826" spans="1:12" ht="25.5" hidden="1" customHeight="1" outlineLevel="1" x14ac:dyDescent="0.2">
      <c r="A826" s="198" t="s">
        <v>1278</v>
      </c>
      <c r="B826" s="216" t="s">
        <v>2291</v>
      </c>
      <c r="C826" s="217" t="s">
        <v>2958</v>
      </c>
      <c r="D826" s="218"/>
      <c r="E826" s="219"/>
      <c r="F826" s="219"/>
      <c r="G826" s="229" t="s">
        <v>3792</v>
      </c>
      <c r="H826" s="231">
        <v>63.95</v>
      </c>
    </row>
    <row r="827" spans="1:12" ht="25.5" hidden="1" customHeight="1" outlineLevel="1" x14ac:dyDescent="0.2">
      <c r="A827" s="198" t="s">
        <v>1278</v>
      </c>
      <c r="B827" s="224" t="s">
        <v>2656</v>
      </c>
      <c r="C827" s="225" t="s">
        <v>3249</v>
      </c>
      <c r="D827" s="226" t="s">
        <v>11</v>
      </c>
      <c r="E827" s="227">
        <v>14.41</v>
      </c>
      <c r="F827" s="227"/>
      <c r="G827" s="225" t="s">
        <v>3234</v>
      </c>
      <c r="H827" s="227">
        <v>116.94</v>
      </c>
    </row>
    <row r="828" spans="1:12" ht="25.5" hidden="1" customHeight="1" outlineLevel="1" x14ac:dyDescent="0.2">
      <c r="A828" s="198" t="s">
        <v>1278</v>
      </c>
      <c r="B828" s="228" t="s">
        <v>2657</v>
      </c>
      <c r="C828" s="229" t="s">
        <v>3250</v>
      </c>
      <c r="D828" s="230" t="s">
        <v>11</v>
      </c>
      <c r="E828" s="231">
        <v>3.83</v>
      </c>
      <c r="F828" s="231"/>
      <c r="G828" s="229" t="s">
        <v>3235</v>
      </c>
      <c r="H828" s="231">
        <v>5.37</v>
      </c>
    </row>
    <row r="829" spans="1:12" ht="25.5" hidden="1" customHeight="1" outlineLevel="1" x14ac:dyDescent="0.2">
      <c r="A829" s="198" t="s">
        <v>1278</v>
      </c>
      <c r="B829" s="224" t="s">
        <v>2658</v>
      </c>
      <c r="C829" s="225" t="s">
        <v>3251</v>
      </c>
      <c r="D829" s="226" t="s">
        <v>11</v>
      </c>
      <c r="E829" s="227">
        <v>7.02</v>
      </c>
      <c r="F829" s="227"/>
      <c r="G829" s="225" t="s">
        <v>3250</v>
      </c>
      <c r="H829" s="227">
        <v>110.88</v>
      </c>
    </row>
    <row r="830" spans="1:12" ht="25.5" hidden="1" customHeight="1" outlineLevel="1" x14ac:dyDescent="0.2">
      <c r="A830" s="198" t="s">
        <v>1278</v>
      </c>
      <c r="B830" s="228" t="s">
        <v>2659</v>
      </c>
      <c r="C830" s="229" t="s">
        <v>3252</v>
      </c>
      <c r="D830" s="230" t="s">
        <v>11</v>
      </c>
      <c r="E830" s="231">
        <v>39.81</v>
      </c>
      <c r="F830" s="231"/>
      <c r="G830" s="229" t="s">
        <v>3251</v>
      </c>
      <c r="H830" s="231">
        <v>7.02</v>
      </c>
    </row>
    <row r="831" spans="1:12" ht="25.5" hidden="1" customHeight="1" outlineLevel="1" x14ac:dyDescent="0.2">
      <c r="A831" s="198" t="s">
        <v>1278</v>
      </c>
      <c r="B831" s="224" t="s">
        <v>3253</v>
      </c>
      <c r="C831" s="225" t="s">
        <v>3254</v>
      </c>
      <c r="D831" s="226" t="s">
        <v>11</v>
      </c>
      <c r="E831" s="227">
        <v>11.9</v>
      </c>
      <c r="F831" s="227"/>
      <c r="G831" s="225" t="s">
        <v>3236</v>
      </c>
      <c r="H831" s="227">
        <v>7.26</v>
      </c>
    </row>
    <row r="832" spans="1:12" ht="25.5" hidden="1" customHeight="1" outlineLevel="1" x14ac:dyDescent="0.2">
      <c r="A832" s="198" t="s">
        <v>1278</v>
      </c>
      <c r="B832" s="228" t="s">
        <v>3255</v>
      </c>
      <c r="C832" s="229" t="s">
        <v>3256</v>
      </c>
      <c r="D832" s="230" t="s">
        <v>11</v>
      </c>
      <c r="E832" s="231">
        <v>47.53</v>
      </c>
      <c r="F832" s="231"/>
      <c r="G832" s="229" t="s">
        <v>3252</v>
      </c>
      <c r="H832" s="231">
        <v>39.81</v>
      </c>
    </row>
    <row r="833" spans="1:10" ht="38.25" hidden="1" customHeight="1" outlineLevel="1" x14ac:dyDescent="0.2">
      <c r="A833" s="198" t="s">
        <v>1278</v>
      </c>
      <c r="B833" s="224" t="s">
        <v>3257</v>
      </c>
      <c r="C833" s="225" t="s">
        <v>3258</v>
      </c>
      <c r="D833" s="226" t="s">
        <v>11</v>
      </c>
      <c r="E833" s="227">
        <v>12.1</v>
      </c>
      <c r="F833" s="227"/>
      <c r="G833" s="225" t="s">
        <v>3237</v>
      </c>
      <c r="H833" s="227">
        <v>7.37</v>
      </c>
    </row>
    <row r="834" spans="1:10" ht="25.5" hidden="1" customHeight="1" outlineLevel="1" x14ac:dyDescent="0.2">
      <c r="A834" s="198" t="s">
        <v>1278</v>
      </c>
      <c r="B834" s="228" t="s">
        <v>3259</v>
      </c>
      <c r="C834" s="229" t="s">
        <v>3260</v>
      </c>
      <c r="D834" s="230" t="s">
        <v>11</v>
      </c>
      <c r="E834" s="231">
        <v>1.92</v>
      </c>
      <c r="F834" s="231"/>
      <c r="G834" s="229" t="s">
        <v>3238</v>
      </c>
      <c r="H834" s="231">
        <v>0.53</v>
      </c>
    </row>
    <row r="835" spans="1:10" ht="38.25" hidden="1" customHeight="1" outlineLevel="1" x14ac:dyDescent="0.2">
      <c r="A835" s="198" t="s">
        <v>1278</v>
      </c>
      <c r="B835" s="224" t="s">
        <v>3261</v>
      </c>
      <c r="C835" s="225" t="s">
        <v>3262</v>
      </c>
      <c r="D835" s="226" t="s">
        <v>11</v>
      </c>
      <c r="E835" s="227">
        <v>7.98</v>
      </c>
      <c r="F835" s="227"/>
      <c r="G835" s="225" t="s">
        <v>3239</v>
      </c>
      <c r="H835" s="227">
        <v>4.53</v>
      </c>
    </row>
    <row r="836" spans="1:10" ht="38.25" hidden="1" customHeight="1" outlineLevel="1" x14ac:dyDescent="0.2">
      <c r="A836" s="198" t="s">
        <v>1278</v>
      </c>
      <c r="B836" s="228" t="s">
        <v>3263</v>
      </c>
      <c r="C836" s="229" t="s">
        <v>3264</v>
      </c>
      <c r="D836" s="230" t="s">
        <v>11</v>
      </c>
      <c r="E836" s="231">
        <v>13.64</v>
      </c>
      <c r="F836" s="231"/>
      <c r="G836" s="229" t="s">
        <v>3240</v>
      </c>
      <c r="H836" s="231">
        <v>29.03</v>
      </c>
    </row>
    <row r="837" spans="1:10" ht="38.25" hidden="1" customHeight="1" outlineLevel="1" x14ac:dyDescent="0.2">
      <c r="A837" s="198" t="s">
        <v>1278</v>
      </c>
      <c r="B837" s="224" t="s">
        <v>3265</v>
      </c>
      <c r="C837" s="225" t="s">
        <v>3266</v>
      </c>
      <c r="D837" s="226" t="s">
        <v>11</v>
      </c>
      <c r="E837" s="227">
        <v>3.16</v>
      </c>
      <c r="F837" s="227"/>
      <c r="G837" s="225" t="s">
        <v>3241</v>
      </c>
      <c r="H837" s="227">
        <v>18.89</v>
      </c>
    </row>
    <row r="838" spans="1:10" ht="38.25" hidden="1" customHeight="1" outlineLevel="1" x14ac:dyDescent="0.2">
      <c r="A838" s="198" t="s">
        <v>1278</v>
      </c>
      <c r="B838" s="228" t="s">
        <v>3267</v>
      </c>
      <c r="C838" s="229" t="s">
        <v>3268</v>
      </c>
      <c r="D838" s="230" t="s">
        <v>11</v>
      </c>
      <c r="E838" s="231">
        <v>3.26</v>
      </c>
      <c r="F838" s="231"/>
      <c r="G838" s="229" t="s">
        <v>3242</v>
      </c>
      <c r="H838" s="231">
        <v>4.34</v>
      </c>
    </row>
    <row r="839" spans="1:10" ht="25.5" hidden="1" customHeight="1" outlineLevel="1" x14ac:dyDescent="0.2">
      <c r="A839" s="198" t="s">
        <v>1278</v>
      </c>
      <c r="B839" s="224" t="s">
        <v>3269</v>
      </c>
      <c r="C839" s="225" t="s">
        <v>3270</v>
      </c>
      <c r="D839" s="226" t="s">
        <v>11</v>
      </c>
      <c r="E839" s="227">
        <v>3.04</v>
      </c>
      <c r="F839" s="227"/>
      <c r="G839" s="225" t="s">
        <v>3254</v>
      </c>
      <c r="H839" s="227">
        <v>11.9</v>
      </c>
    </row>
    <row r="840" spans="1:10" ht="25.5" hidden="1" customHeight="1" outlineLevel="1" x14ac:dyDescent="0.2">
      <c r="A840" s="198" t="s">
        <v>1278</v>
      </c>
      <c r="B840" s="228" t="s">
        <v>3271</v>
      </c>
      <c r="C840" s="229" t="s">
        <v>3272</v>
      </c>
      <c r="D840" s="230" t="s">
        <v>11</v>
      </c>
      <c r="E840" s="231">
        <v>1.82</v>
      </c>
      <c r="F840" s="231"/>
      <c r="G840" s="229" t="s">
        <v>3243</v>
      </c>
      <c r="H840" s="231">
        <v>7.69</v>
      </c>
    </row>
    <row r="841" spans="1:10" ht="25.5" hidden="1" customHeight="1" outlineLevel="1" x14ac:dyDescent="0.2">
      <c r="A841" s="198" t="s">
        <v>1278</v>
      </c>
      <c r="B841" s="224" t="s">
        <v>3273</v>
      </c>
      <c r="C841" s="225" t="s">
        <v>3274</v>
      </c>
      <c r="D841" s="226" t="s">
        <v>11</v>
      </c>
      <c r="E841" s="227">
        <v>2.15</v>
      </c>
      <c r="F841" s="227"/>
      <c r="G841" s="225" t="s">
        <v>3256</v>
      </c>
      <c r="H841" s="227">
        <v>47.53</v>
      </c>
    </row>
    <row r="842" spans="1:10" ht="38.25" hidden="1" customHeight="1" outlineLevel="1" x14ac:dyDescent="0.2">
      <c r="A842" s="198" t="s">
        <v>1278</v>
      </c>
      <c r="B842" s="228" t="s">
        <v>3275</v>
      </c>
      <c r="C842" s="229" t="s">
        <v>3251</v>
      </c>
      <c r="D842" s="230" t="s">
        <v>11</v>
      </c>
      <c r="E842" s="231">
        <v>2.94</v>
      </c>
      <c r="F842" s="231"/>
      <c r="G842" s="229" t="s">
        <v>3771</v>
      </c>
      <c r="H842" s="231">
        <v>66.95</v>
      </c>
      <c r="J842" s="480"/>
    </row>
    <row r="843" spans="1:10" ht="25.5" hidden="1" customHeight="1" outlineLevel="1" x14ac:dyDescent="0.2">
      <c r="A843" s="198" t="s">
        <v>1278</v>
      </c>
      <c r="B843" s="224" t="s">
        <v>3276</v>
      </c>
      <c r="C843" s="225" t="s">
        <v>3277</v>
      </c>
      <c r="D843" s="226" t="s">
        <v>11</v>
      </c>
      <c r="E843" s="227">
        <v>2.2000000000000002</v>
      </c>
      <c r="F843" s="227"/>
      <c r="G843" s="225" t="s">
        <v>3795</v>
      </c>
      <c r="H843" s="227">
        <v>5.49</v>
      </c>
      <c r="J843" s="480"/>
    </row>
    <row r="844" spans="1:10" ht="38.25" hidden="1" customHeight="1" outlineLevel="1" x14ac:dyDescent="0.2">
      <c r="A844" s="198" t="s">
        <v>1278</v>
      </c>
      <c r="B844" s="228" t="s">
        <v>3278</v>
      </c>
      <c r="C844" s="229" t="s">
        <v>3279</v>
      </c>
      <c r="D844" s="230" t="s">
        <v>11</v>
      </c>
      <c r="E844" s="231">
        <v>52.36</v>
      </c>
      <c r="F844" s="231"/>
      <c r="G844" s="229" t="s">
        <v>3258</v>
      </c>
      <c r="H844" s="231">
        <v>12.1</v>
      </c>
      <c r="J844" s="480"/>
    </row>
    <row r="845" spans="1:10" ht="38.25" hidden="1" customHeight="1" outlineLevel="1" x14ac:dyDescent="0.2">
      <c r="A845" s="198" t="s">
        <v>1278</v>
      </c>
      <c r="B845" s="224" t="s">
        <v>3280</v>
      </c>
      <c r="C845" s="225" t="s">
        <v>3281</v>
      </c>
      <c r="D845" s="226" t="s">
        <v>11</v>
      </c>
      <c r="E845" s="227">
        <v>3.22</v>
      </c>
      <c r="F845" s="227"/>
      <c r="G845" s="225" t="s">
        <v>3244</v>
      </c>
      <c r="H845" s="227">
        <v>12.44</v>
      </c>
      <c r="J845" s="480"/>
    </row>
    <row r="846" spans="1:10" ht="25.5" hidden="1" customHeight="1" outlineLevel="1" x14ac:dyDescent="0.2">
      <c r="A846" s="198" t="s">
        <v>1278</v>
      </c>
      <c r="B846" s="228" t="s">
        <v>3282</v>
      </c>
      <c r="C846" s="229" t="s">
        <v>3264</v>
      </c>
      <c r="D846" s="230" t="s">
        <v>11</v>
      </c>
      <c r="E846" s="231">
        <v>4.42</v>
      </c>
      <c r="F846" s="231"/>
      <c r="G846" s="229" t="s">
        <v>3260</v>
      </c>
      <c r="H846" s="231">
        <v>1.92</v>
      </c>
      <c r="J846" s="480"/>
    </row>
    <row r="847" spans="1:10" ht="38.25" hidden="1" customHeight="1" outlineLevel="1" x14ac:dyDescent="0.2">
      <c r="A847" s="198" t="s">
        <v>1278</v>
      </c>
      <c r="B847" s="224" t="s">
        <v>3283</v>
      </c>
      <c r="C847" s="225" t="s">
        <v>3284</v>
      </c>
      <c r="D847" s="226" t="s">
        <v>11</v>
      </c>
      <c r="E847" s="227">
        <v>2.27</v>
      </c>
      <c r="F847" s="227"/>
      <c r="G847" s="225" t="s">
        <v>3262</v>
      </c>
      <c r="H847" s="227">
        <v>7.98</v>
      </c>
      <c r="J847" s="480"/>
    </row>
    <row r="848" spans="1:10" ht="51" hidden="1" customHeight="1" outlineLevel="1" x14ac:dyDescent="0.2">
      <c r="A848" s="198" t="s">
        <v>1278</v>
      </c>
      <c r="B848" s="228" t="s">
        <v>3285</v>
      </c>
      <c r="C848" s="229" t="s">
        <v>3286</v>
      </c>
      <c r="D848" s="230" t="s">
        <v>11</v>
      </c>
      <c r="E848" s="231">
        <v>2.59</v>
      </c>
      <c r="F848" s="231"/>
      <c r="G848" s="229" t="s">
        <v>3773</v>
      </c>
      <c r="H848" s="231">
        <v>59.81</v>
      </c>
      <c r="J848" s="480"/>
    </row>
    <row r="849" spans="1:10" ht="38.25" hidden="1" customHeight="1" outlineLevel="1" x14ac:dyDescent="0.2">
      <c r="A849" s="198" t="s">
        <v>1278</v>
      </c>
      <c r="B849" s="224" t="s">
        <v>3287</v>
      </c>
      <c r="C849" s="225" t="s">
        <v>3288</v>
      </c>
      <c r="D849" s="226" t="s">
        <v>11</v>
      </c>
      <c r="E849" s="227">
        <v>8.31</v>
      </c>
      <c r="F849" s="227"/>
      <c r="G849" s="225" t="s">
        <v>3235</v>
      </c>
      <c r="H849" s="227">
        <v>26.56</v>
      </c>
      <c r="J849" s="480"/>
    </row>
    <row r="850" spans="1:10" ht="38.25" hidden="1" customHeight="1" outlineLevel="1" x14ac:dyDescent="0.2">
      <c r="A850" s="198" t="s">
        <v>1278</v>
      </c>
      <c r="B850" s="228" t="s">
        <v>3289</v>
      </c>
      <c r="C850" s="229" t="s">
        <v>3252</v>
      </c>
      <c r="D850" s="230" t="s">
        <v>11</v>
      </c>
      <c r="E850" s="231">
        <v>2.83</v>
      </c>
      <c r="F850" s="231"/>
      <c r="G850" s="229" t="s">
        <v>3245</v>
      </c>
      <c r="H850" s="231">
        <v>4.53</v>
      </c>
      <c r="J850" s="480"/>
    </row>
    <row r="851" spans="1:10" ht="25.5" hidden="1" customHeight="1" outlineLevel="1" x14ac:dyDescent="0.2">
      <c r="A851" s="198" t="s">
        <v>1278</v>
      </c>
      <c r="B851" s="224" t="s">
        <v>3290</v>
      </c>
      <c r="C851" s="225" t="s">
        <v>3266</v>
      </c>
      <c r="D851" s="226" t="s">
        <v>11</v>
      </c>
      <c r="E851" s="227">
        <v>1.87</v>
      </c>
      <c r="F851" s="227"/>
      <c r="G851" s="225" t="s">
        <v>3246</v>
      </c>
      <c r="H851" s="227">
        <v>18.89</v>
      </c>
      <c r="J851" s="480"/>
    </row>
    <row r="852" spans="1:10" ht="38.25" hidden="1" customHeight="1" outlineLevel="1" x14ac:dyDescent="0.2">
      <c r="A852" s="198" t="s">
        <v>1278</v>
      </c>
      <c r="B852" s="228" t="s">
        <v>3291</v>
      </c>
      <c r="C852" s="229" t="s">
        <v>3268</v>
      </c>
      <c r="D852" s="230" t="s">
        <v>11</v>
      </c>
      <c r="E852" s="231">
        <v>1.9</v>
      </c>
      <c r="F852" s="231"/>
      <c r="G852" s="229" t="s">
        <v>3247</v>
      </c>
      <c r="H852" s="231">
        <v>4.34</v>
      </c>
      <c r="J852" s="480"/>
    </row>
    <row r="853" spans="1:10" ht="25.5" hidden="1" customHeight="1" outlineLevel="1" x14ac:dyDescent="0.2">
      <c r="A853" s="198" t="s">
        <v>1278</v>
      </c>
      <c r="B853" s="224" t="s">
        <v>3292</v>
      </c>
      <c r="C853" s="225" t="s">
        <v>3270</v>
      </c>
      <c r="D853" s="226" t="s">
        <v>11</v>
      </c>
      <c r="E853" s="227">
        <v>1.84</v>
      </c>
      <c r="F853" s="227"/>
      <c r="G853" s="225" t="s">
        <v>3664</v>
      </c>
      <c r="H853" s="227">
        <v>5</v>
      </c>
      <c r="J853" s="480"/>
    </row>
    <row r="854" spans="1:10" ht="25.5" hidden="1" customHeight="1" outlineLevel="1" x14ac:dyDescent="0.2">
      <c r="A854" s="198" t="s">
        <v>1278</v>
      </c>
      <c r="B854" s="228" t="s">
        <v>3293</v>
      </c>
      <c r="C854" s="229" t="s">
        <v>3272</v>
      </c>
      <c r="D854" s="230" t="s">
        <v>11</v>
      </c>
      <c r="E854" s="231">
        <v>1.37</v>
      </c>
      <c r="F854" s="231"/>
      <c r="G854" s="229" t="s">
        <v>3387</v>
      </c>
      <c r="H854" s="231">
        <v>6.52</v>
      </c>
      <c r="J854" s="480"/>
    </row>
    <row r="855" spans="1:10" ht="25.5" hidden="1" customHeight="1" outlineLevel="1" x14ac:dyDescent="0.2">
      <c r="A855" s="198" t="s">
        <v>1279</v>
      </c>
      <c r="B855" s="216" t="s">
        <v>2292</v>
      </c>
      <c r="C855" s="217" t="s">
        <v>2960</v>
      </c>
      <c r="D855" s="218"/>
      <c r="E855" s="219"/>
      <c r="F855" s="219"/>
      <c r="G855" s="225" t="s">
        <v>3666</v>
      </c>
      <c r="H855" s="227">
        <v>4.18</v>
      </c>
      <c r="J855" s="480"/>
    </row>
    <row r="856" spans="1:10" ht="25.5" hidden="1" customHeight="1" outlineLevel="1" x14ac:dyDescent="0.2">
      <c r="A856" s="198" t="s">
        <v>1279</v>
      </c>
      <c r="B856" s="224" t="s">
        <v>2660</v>
      </c>
      <c r="C856" s="225" t="s">
        <v>3294</v>
      </c>
      <c r="D856" s="226" t="s">
        <v>11</v>
      </c>
      <c r="E856" s="227">
        <v>7.96</v>
      </c>
      <c r="F856" s="227"/>
      <c r="G856" s="229" t="s">
        <v>3668</v>
      </c>
      <c r="H856" s="231">
        <v>5.58</v>
      </c>
      <c r="J856" s="480"/>
    </row>
    <row r="857" spans="1:10" ht="25.5" hidden="1" customHeight="1" outlineLevel="1" x14ac:dyDescent="0.2">
      <c r="A857" s="198" t="s">
        <v>1279</v>
      </c>
      <c r="B857" s="228" t="s">
        <v>2661</v>
      </c>
      <c r="C857" s="229" t="s">
        <v>3295</v>
      </c>
      <c r="D857" s="230" t="s">
        <v>11</v>
      </c>
      <c r="E857" s="231">
        <v>19.170000000000002</v>
      </c>
      <c r="F857" s="231"/>
      <c r="G857" s="225" t="s">
        <v>3670</v>
      </c>
      <c r="H857" s="227">
        <v>3.05</v>
      </c>
      <c r="J857" s="480"/>
    </row>
    <row r="858" spans="1:10" ht="25.5" hidden="1" customHeight="1" outlineLevel="1" x14ac:dyDescent="0.2">
      <c r="A858" s="198" t="s">
        <v>1279</v>
      </c>
      <c r="B858" s="224" t="s">
        <v>2662</v>
      </c>
      <c r="C858" s="225" t="s">
        <v>3296</v>
      </c>
      <c r="D858" s="226" t="s">
        <v>11</v>
      </c>
      <c r="E858" s="227">
        <v>32.479999999999997</v>
      </c>
      <c r="F858" s="227"/>
      <c r="G858" s="229" t="s">
        <v>3264</v>
      </c>
      <c r="H858" s="231">
        <v>13.64</v>
      </c>
      <c r="J858" s="480"/>
    </row>
    <row r="859" spans="1:10" ht="25.5" hidden="1" customHeight="1" outlineLevel="1" x14ac:dyDescent="0.2">
      <c r="A859" s="198" t="s">
        <v>1279</v>
      </c>
      <c r="B859" s="228" t="s">
        <v>2663</v>
      </c>
      <c r="C859" s="229" t="s">
        <v>3297</v>
      </c>
      <c r="D859" s="230" t="s">
        <v>11</v>
      </c>
      <c r="E859" s="231">
        <v>18.52</v>
      </c>
      <c r="F859" s="231"/>
      <c r="G859" s="225" t="s">
        <v>3775</v>
      </c>
      <c r="H859" s="227">
        <v>15.03</v>
      </c>
      <c r="J859" s="480"/>
    </row>
    <row r="860" spans="1:10" ht="25.5" hidden="1" customHeight="1" outlineLevel="1" x14ac:dyDescent="0.2">
      <c r="A860" s="198" t="s">
        <v>1279</v>
      </c>
      <c r="B860" s="224" t="s">
        <v>3298</v>
      </c>
      <c r="C860" s="225" t="s">
        <v>3299</v>
      </c>
      <c r="D860" s="226" t="s">
        <v>11</v>
      </c>
      <c r="E860" s="227">
        <v>21.87</v>
      </c>
      <c r="F860" s="227"/>
      <c r="G860" s="229" t="s">
        <v>3347</v>
      </c>
      <c r="H860" s="231">
        <v>83.76</v>
      </c>
      <c r="J860" s="480"/>
    </row>
    <row r="861" spans="1:10" ht="25.5" hidden="1" customHeight="1" outlineLevel="1" x14ac:dyDescent="0.2">
      <c r="A861" s="198" t="s">
        <v>1279</v>
      </c>
      <c r="B861" s="228" t="s">
        <v>3300</v>
      </c>
      <c r="C861" s="229" t="s">
        <v>3301</v>
      </c>
      <c r="D861" s="230" t="s">
        <v>11</v>
      </c>
      <c r="E861" s="231">
        <v>19.75</v>
      </c>
      <c r="F861" s="231"/>
      <c r="G861" s="225" t="s">
        <v>3349</v>
      </c>
      <c r="H861" s="227">
        <v>120.91</v>
      </c>
      <c r="J861" s="480"/>
    </row>
    <row r="862" spans="1:10" ht="25.5" hidden="1" customHeight="1" outlineLevel="1" x14ac:dyDescent="0.2">
      <c r="A862" s="198" t="s">
        <v>1279</v>
      </c>
      <c r="B862" s="224" t="s">
        <v>3302</v>
      </c>
      <c r="C862" s="225" t="s">
        <v>3250</v>
      </c>
      <c r="D862" s="226" t="s">
        <v>11</v>
      </c>
      <c r="E862" s="227">
        <v>1.96</v>
      </c>
      <c r="F862" s="227"/>
      <c r="G862" s="229" t="s">
        <v>3351</v>
      </c>
      <c r="H862" s="231">
        <v>55.7</v>
      </c>
      <c r="J862" s="480"/>
    </row>
    <row r="863" spans="1:10" ht="25.5" hidden="1" customHeight="1" outlineLevel="1" x14ac:dyDescent="0.2">
      <c r="A863" s="198" t="s">
        <v>1279</v>
      </c>
      <c r="B863" s="228" t="s">
        <v>3303</v>
      </c>
      <c r="C863" s="229" t="s">
        <v>3304</v>
      </c>
      <c r="D863" s="230" t="s">
        <v>11</v>
      </c>
      <c r="E863" s="231">
        <v>3.05</v>
      </c>
      <c r="F863" s="231"/>
      <c r="G863" s="225" t="s">
        <v>3353</v>
      </c>
      <c r="H863" s="227">
        <v>94.22</v>
      </c>
      <c r="J863" s="480"/>
    </row>
    <row r="864" spans="1:10" ht="25.5" hidden="1" customHeight="1" outlineLevel="1" x14ac:dyDescent="0.2">
      <c r="A864" s="198" t="s">
        <v>1279</v>
      </c>
      <c r="B864" s="224" t="s">
        <v>3305</v>
      </c>
      <c r="C864" s="225" t="s">
        <v>3274</v>
      </c>
      <c r="D864" s="226" t="s">
        <v>11</v>
      </c>
      <c r="E864" s="227">
        <v>1.62</v>
      </c>
      <c r="F864" s="227"/>
      <c r="G864" s="229" t="s">
        <v>3355</v>
      </c>
      <c r="H864" s="231">
        <v>22.28</v>
      </c>
      <c r="J864" s="480"/>
    </row>
    <row r="865" spans="1:10" ht="25.5" hidden="1" customHeight="1" outlineLevel="1" x14ac:dyDescent="0.2">
      <c r="A865" s="198" t="s">
        <v>1279</v>
      </c>
      <c r="B865" s="228" t="s">
        <v>3306</v>
      </c>
      <c r="C865" s="229" t="s">
        <v>3307</v>
      </c>
      <c r="D865" s="230" t="s">
        <v>11</v>
      </c>
      <c r="E865" s="231">
        <v>15.49</v>
      </c>
      <c r="F865" s="231"/>
      <c r="G865" s="225" t="s">
        <v>3357</v>
      </c>
      <c r="H865" s="227">
        <v>7.42</v>
      </c>
      <c r="J865" s="480"/>
    </row>
    <row r="866" spans="1:10" ht="25.5" hidden="1" customHeight="1" outlineLevel="1" x14ac:dyDescent="0.2">
      <c r="A866" s="198" t="s">
        <v>1279</v>
      </c>
      <c r="B866" s="224" t="s">
        <v>3308</v>
      </c>
      <c r="C866" s="225" t="s">
        <v>3309</v>
      </c>
      <c r="D866" s="226" t="s">
        <v>11</v>
      </c>
      <c r="E866" s="227">
        <v>25.91</v>
      </c>
      <c r="F866" s="227"/>
      <c r="G866" s="229" t="s">
        <v>3304</v>
      </c>
      <c r="H866" s="231">
        <v>3.05</v>
      </c>
      <c r="J866" s="480"/>
    </row>
    <row r="867" spans="1:10" ht="25.5" hidden="1" customHeight="1" outlineLevel="1" x14ac:dyDescent="0.2">
      <c r="A867" s="198" t="s">
        <v>1279</v>
      </c>
      <c r="B867" s="228" t="s">
        <v>3310</v>
      </c>
      <c r="C867" s="229" t="s">
        <v>3311</v>
      </c>
      <c r="D867" s="230" t="s">
        <v>11</v>
      </c>
      <c r="E867" s="231">
        <v>28.1</v>
      </c>
      <c r="F867" s="231"/>
      <c r="G867" s="225" t="s">
        <v>3266</v>
      </c>
      <c r="H867" s="227">
        <v>6.42</v>
      </c>
      <c r="J867" s="480"/>
    </row>
    <row r="868" spans="1:10" ht="25.5" hidden="1" customHeight="1" outlineLevel="1" x14ac:dyDescent="0.2">
      <c r="A868" s="198" t="s">
        <v>1279</v>
      </c>
      <c r="B868" s="224" t="s">
        <v>3312</v>
      </c>
      <c r="C868" s="225" t="s">
        <v>3313</v>
      </c>
      <c r="D868" s="226" t="s">
        <v>11</v>
      </c>
      <c r="E868" s="227">
        <v>2.19</v>
      </c>
      <c r="F868" s="227"/>
      <c r="G868" s="229" t="s">
        <v>3268</v>
      </c>
      <c r="H868" s="231">
        <v>6.29</v>
      </c>
      <c r="J868" s="480"/>
    </row>
    <row r="869" spans="1:10" ht="25.5" hidden="1" customHeight="1" outlineLevel="1" x14ac:dyDescent="0.2">
      <c r="A869" s="198" t="s">
        <v>1279</v>
      </c>
      <c r="B869" s="228" t="s">
        <v>3314</v>
      </c>
      <c r="C869" s="229" t="s">
        <v>3307</v>
      </c>
      <c r="D869" s="230" t="s">
        <v>11</v>
      </c>
      <c r="E869" s="231">
        <v>6.17</v>
      </c>
      <c r="F869" s="231"/>
      <c r="G869" s="225" t="s">
        <v>3270</v>
      </c>
      <c r="H869" s="227">
        <v>3.04</v>
      </c>
      <c r="J869" s="480"/>
    </row>
    <row r="870" spans="1:10" ht="25.5" hidden="1" customHeight="1" outlineLevel="1" x14ac:dyDescent="0.2">
      <c r="A870" s="198" t="s">
        <v>1279</v>
      </c>
      <c r="B870" s="224" t="s">
        <v>3315</v>
      </c>
      <c r="C870" s="225" t="s">
        <v>3309</v>
      </c>
      <c r="D870" s="226" t="s">
        <v>11</v>
      </c>
      <c r="E870" s="227">
        <v>10.88</v>
      </c>
      <c r="F870" s="227"/>
      <c r="G870" s="229" t="s">
        <v>3272</v>
      </c>
      <c r="H870" s="231">
        <v>1.82</v>
      </c>
      <c r="J870" s="480"/>
    </row>
    <row r="871" spans="1:10" ht="51" hidden="1" customHeight="1" outlineLevel="1" x14ac:dyDescent="0.2">
      <c r="A871" s="198" t="s">
        <v>1279</v>
      </c>
      <c r="B871" s="228" t="s">
        <v>3316</v>
      </c>
      <c r="C871" s="229" t="s">
        <v>3311</v>
      </c>
      <c r="D871" s="230" t="s">
        <v>11</v>
      </c>
      <c r="E871" s="231">
        <v>5.79</v>
      </c>
      <c r="F871" s="231"/>
      <c r="G871" s="225" t="s">
        <v>3738</v>
      </c>
      <c r="H871" s="227">
        <v>7.42</v>
      </c>
      <c r="J871" s="480"/>
    </row>
    <row r="872" spans="1:10" ht="25.5" hidden="1" customHeight="1" outlineLevel="1" x14ac:dyDescent="0.2">
      <c r="A872" s="198" t="s">
        <v>1279</v>
      </c>
      <c r="B872" s="224" t="s">
        <v>3317</v>
      </c>
      <c r="C872" s="225" t="s">
        <v>3313</v>
      </c>
      <c r="D872" s="226" t="s">
        <v>11</v>
      </c>
      <c r="E872" s="227">
        <v>1.82</v>
      </c>
      <c r="F872" s="227"/>
      <c r="G872" s="229" t="s">
        <v>3274</v>
      </c>
      <c r="H872" s="231">
        <v>67.13</v>
      </c>
      <c r="J872" s="480"/>
    </row>
    <row r="873" spans="1:10" ht="25.5" hidden="1" customHeight="1" outlineLevel="1" x14ac:dyDescent="0.2">
      <c r="A873" s="198" t="s">
        <v>1279</v>
      </c>
      <c r="B873" s="228" t="s">
        <v>3318</v>
      </c>
      <c r="C873" s="229" t="s">
        <v>3304</v>
      </c>
      <c r="D873" s="230" t="s">
        <v>11</v>
      </c>
      <c r="E873" s="231">
        <v>1.84</v>
      </c>
      <c r="F873" s="231"/>
      <c r="G873" s="225" t="s">
        <v>3251</v>
      </c>
      <c r="H873" s="227">
        <v>2.94</v>
      </c>
      <c r="J873" s="480"/>
    </row>
    <row r="874" spans="1:10" ht="25.5" hidden="1" customHeight="1" outlineLevel="1" x14ac:dyDescent="0.2">
      <c r="A874" s="198" t="s">
        <v>1279</v>
      </c>
      <c r="B874" s="216" t="s">
        <v>2293</v>
      </c>
      <c r="C874" s="217" t="s">
        <v>2961</v>
      </c>
      <c r="D874" s="218"/>
      <c r="E874" s="219"/>
      <c r="F874" s="219"/>
      <c r="G874" s="229" t="s">
        <v>3243</v>
      </c>
      <c r="H874" s="231">
        <v>27.4</v>
      </c>
      <c r="J874" s="480"/>
    </row>
    <row r="875" spans="1:10" ht="38.25" hidden="1" customHeight="1" outlineLevel="1" x14ac:dyDescent="0.2">
      <c r="A875" s="198" t="s">
        <v>1279</v>
      </c>
      <c r="B875" s="224" t="s">
        <v>2664</v>
      </c>
      <c r="C875" s="225" t="s">
        <v>3319</v>
      </c>
      <c r="D875" s="226" t="s">
        <v>11</v>
      </c>
      <c r="E875" s="227">
        <v>4.32</v>
      </c>
      <c r="F875" s="227"/>
      <c r="G875" s="225" t="s">
        <v>3277</v>
      </c>
      <c r="H875" s="227">
        <v>2.2000000000000002</v>
      </c>
      <c r="J875" s="480"/>
    </row>
    <row r="876" spans="1:10" ht="38.25" hidden="1" customHeight="1" outlineLevel="1" x14ac:dyDescent="0.2">
      <c r="A876" s="198" t="s">
        <v>1279</v>
      </c>
      <c r="B876" s="228" t="s">
        <v>2665</v>
      </c>
      <c r="C876" s="229" t="s">
        <v>3320</v>
      </c>
      <c r="D876" s="230" t="s">
        <v>11</v>
      </c>
      <c r="E876" s="231">
        <v>2.71</v>
      </c>
      <c r="F876" s="231"/>
      <c r="G876" s="229" t="s">
        <v>3279</v>
      </c>
      <c r="H876" s="231">
        <v>52.36</v>
      </c>
      <c r="J876" s="480"/>
    </row>
    <row r="877" spans="1:10" ht="38.25" hidden="1" customHeight="1" outlineLevel="1" x14ac:dyDescent="0.2">
      <c r="A877" s="198" t="s">
        <v>1279</v>
      </c>
      <c r="B877" s="224" t="s">
        <v>2666</v>
      </c>
      <c r="C877" s="225" t="s">
        <v>3321</v>
      </c>
      <c r="D877" s="226" t="s">
        <v>11</v>
      </c>
      <c r="E877" s="227">
        <v>2.87</v>
      </c>
      <c r="F877" s="227"/>
      <c r="G877" s="225" t="s">
        <v>3281</v>
      </c>
      <c r="H877" s="227">
        <v>3.22</v>
      </c>
      <c r="J877" s="480"/>
    </row>
    <row r="878" spans="1:10" ht="38.25" hidden="1" customHeight="1" outlineLevel="1" x14ac:dyDescent="0.2">
      <c r="A878" s="198" t="s">
        <v>1279</v>
      </c>
      <c r="B878" s="228" t="s">
        <v>2667</v>
      </c>
      <c r="C878" s="229" t="s">
        <v>3294</v>
      </c>
      <c r="D878" s="230" t="s">
        <v>11</v>
      </c>
      <c r="E878" s="231">
        <v>7.96</v>
      </c>
      <c r="F878" s="231"/>
      <c r="G878" s="229" t="s">
        <v>3801</v>
      </c>
      <c r="H878" s="231">
        <v>96.3</v>
      </c>
      <c r="J878" s="480"/>
    </row>
    <row r="879" spans="1:10" ht="25.5" hidden="1" customHeight="1" outlineLevel="1" x14ac:dyDescent="0.2">
      <c r="A879" s="198" t="s">
        <v>1279</v>
      </c>
      <c r="B879" s="224" t="s">
        <v>2668</v>
      </c>
      <c r="C879" s="225" t="s">
        <v>3295</v>
      </c>
      <c r="D879" s="226" t="s">
        <v>11</v>
      </c>
      <c r="E879" s="227">
        <v>19.010000000000002</v>
      </c>
      <c r="F879" s="227"/>
      <c r="G879" s="225" t="s">
        <v>3387</v>
      </c>
      <c r="H879" s="227">
        <v>4.8</v>
      </c>
      <c r="J879" s="480"/>
    </row>
    <row r="880" spans="1:10" ht="25.5" hidden="1" customHeight="1" outlineLevel="1" x14ac:dyDescent="0.2">
      <c r="A880" s="198" t="s">
        <v>1279</v>
      </c>
      <c r="B880" s="228" t="s">
        <v>3322</v>
      </c>
      <c r="C880" s="229" t="s">
        <v>3323</v>
      </c>
      <c r="D880" s="230" t="s">
        <v>11</v>
      </c>
      <c r="E880" s="231">
        <v>13.25</v>
      </c>
      <c r="F880" s="231"/>
      <c r="G880" s="229" t="s">
        <v>3666</v>
      </c>
      <c r="H880" s="231">
        <v>3.09</v>
      </c>
      <c r="J880" s="480"/>
    </row>
    <row r="881" spans="1:10" ht="25.5" hidden="1" customHeight="1" outlineLevel="1" x14ac:dyDescent="0.2">
      <c r="A881" s="198" t="s">
        <v>1279</v>
      </c>
      <c r="B881" s="224" t="s">
        <v>3324</v>
      </c>
      <c r="C881" s="225" t="s">
        <v>3325</v>
      </c>
      <c r="D881" s="226" t="s">
        <v>11</v>
      </c>
      <c r="E881" s="227">
        <v>5.71</v>
      </c>
      <c r="F881" s="227"/>
      <c r="G881" s="225" t="s">
        <v>3668</v>
      </c>
      <c r="H881" s="227">
        <v>3.7</v>
      </c>
      <c r="J881" s="480"/>
    </row>
    <row r="882" spans="1:10" ht="25.5" hidden="1" customHeight="1" outlineLevel="1" x14ac:dyDescent="0.2">
      <c r="A882" s="198" t="s">
        <v>1279</v>
      </c>
      <c r="B882" s="228" t="s">
        <v>3326</v>
      </c>
      <c r="C882" s="229" t="s">
        <v>3327</v>
      </c>
      <c r="D882" s="230" t="s">
        <v>11</v>
      </c>
      <c r="E882" s="231">
        <v>4.54</v>
      </c>
      <c r="F882" s="231"/>
      <c r="G882" s="229" t="s">
        <v>3670</v>
      </c>
      <c r="H882" s="231">
        <v>1.84</v>
      </c>
      <c r="J882" s="480"/>
    </row>
    <row r="883" spans="1:10" ht="25.5" hidden="1" customHeight="1" outlineLevel="1" x14ac:dyDescent="0.2">
      <c r="A883" s="198" t="s">
        <v>1279</v>
      </c>
      <c r="B883" s="224" t="s">
        <v>3328</v>
      </c>
      <c r="C883" s="225" t="s">
        <v>3329</v>
      </c>
      <c r="D883" s="226" t="s">
        <v>11</v>
      </c>
      <c r="E883" s="227">
        <v>9.36</v>
      </c>
      <c r="F883" s="227"/>
      <c r="G883" s="225" t="s">
        <v>3264</v>
      </c>
      <c r="H883" s="227">
        <v>4.42</v>
      </c>
      <c r="J883" s="480"/>
    </row>
    <row r="884" spans="1:10" ht="51" hidden="1" customHeight="1" outlineLevel="1" x14ac:dyDescent="0.2">
      <c r="A884" s="198" t="s">
        <v>1279</v>
      </c>
      <c r="B884" s="228" t="s">
        <v>3330</v>
      </c>
      <c r="C884" s="229" t="s">
        <v>3331</v>
      </c>
      <c r="D884" s="230" t="s">
        <v>11</v>
      </c>
      <c r="E884" s="231">
        <v>4.82</v>
      </c>
      <c r="F884" s="231"/>
      <c r="G884" s="229" t="s">
        <v>3780</v>
      </c>
      <c r="H884" s="231">
        <v>55.15</v>
      </c>
      <c r="J884" s="480"/>
    </row>
    <row r="885" spans="1:10" ht="51" hidden="1" customHeight="1" outlineLevel="1" x14ac:dyDescent="0.2">
      <c r="A885" s="198" t="s">
        <v>1279</v>
      </c>
      <c r="B885" s="224" t="s">
        <v>3332</v>
      </c>
      <c r="C885" s="225" t="s">
        <v>3297</v>
      </c>
      <c r="D885" s="226" t="s">
        <v>11</v>
      </c>
      <c r="E885" s="227">
        <v>18.52</v>
      </c>
      <c r="F885" s="227"/>
      <c r="G885" s="225" t="s">
        <v>3782</v>
      </c>
      <c r="H885" s="227">
        <v>19.649999999999999</v>
      </c>
      <c r="J885" s="480"/>
    </row>
    <row r="886" spans="1:10" ht="25.5" hidden="1" customHeight="1" outlineLevel="1" x14ac:dyDescent="0.2">
      <c r="A886" s="198" t="s">
        <v>1279</v>
      </c>
      <c r="B886" s="228" t="s">
        <v>3333</v>
      </c>
      <c r="C886" s="229" t="s">
        <v>3299</v>
      </c>
      <c r="D886" s="230" t="s">
        <v>11</v>
      </c>
      <c r="E886" s="231">
        <v>21.7</v>
      </c>
      <c r="F886" s="231"/>
      <c r="G886" s="229" t="s">
        <v>3395</v>
      </c>
      <c r="H886" s="231">
        <v>147.75</v>
      </c>
      <c r="J886" s="480"/>
    </row>
    <row r="887" spans="1:10" ht="38.25" hidden="1" customHeight="1" outlineLevel="1" x14ac:dyDescent="0.2">
      <c r="A887" s="198" t="s">
        <v>1279</v>
      </c>
      <c r="B887" s="224" t="s">
        <v>3334</v>
      </c>
      <c r="C887" s="225" t="s">
        <v>3301</v>
      </c>
      <c r="D887" s="226" t="s">
        <v>11</v>
      </c>
      <c r="E887" s="227">
        <v>9.93</v>
      </c>
      <c r="F887" s="227"/>
      <c r="G887" s="225" t="s">
        <v>3284</v>
      </c>
      <c r="H887" s="227">
        <v>2.27</v>
      </c>
      <c r="J887" s="480"/>
    </row>
    <row r="888" spans="1:10" ht="25.5" hidden="1" customHeight="1" outlineLevel="1" x14ac:dyDescent="0.2">
      <c r="A888" s="198" t="s">
        <v>1279</v>
      </c>
      <c r="B888" s="228" t="s">
        <v>3335</v>
      </c>
      <c r="C888" s="229" t="s">
        <v>3336</v>
      </c>
      <c r="D888" s="230" t="s">
        <v>11</v>
      </c>
      <c r="E888" s="231">
        <v>11.49</v>
      </c>
      <c r="F888" s="231"/>
      <c r="G888" s="229" t="s">
        <v>3742</v>
      </c>
      <c r="H888" s="231">
        <v>9.3699999999999992</v>
      </c>
      <c r="J888" s="480"/>
    </row>
    <row r="889" spans="1:10" ht="25.5" hidden="1" customHeight="1" outlineLevel="1" x14ac:dyDescent="0.2">
      <c r="A889" s="198" t="s">
        <v>1279</v>
      </c>
      <c r="B889" s="224" t="s">
        <v>3337</v>
      </c>
      <c r="C889" s="225" t="s">
        <v>3338</v>
      </c>
      <c r="D889" s="226" t="s">
        <v>11</v>
      </c>
      <c r="E889" s="227">
        <v>9.6300000000000008</v>
      </c>
      <c r="F889" s="227"/>
      <c r="G889" s="225" t="s">
        <v>3307</v>
      </c>
      <c r="H889" s="227">
        <v>15.49</v>
      </c>
      <c r="J889" s="480"/>
    </row>
    <row r="890" spans="1:10" ht="25.5" hidden="1" customHeight="1" outlineLevel="1" x14ac:dyDescent="0.2">
      <c r="A890" s="198" t="s">
        <v>1279</v>
      </c>
      <c r="B890" s="228" t="s">
        <v>3339</v>
      </c>
      <c r="C890" s="229" t="s">
        <v>3340</v>
      </c>
      <c r="D890" s="230" t="s">
        <v>11</v>
      </c>
      <c r="E890" s="231">
        <v>21.73</v>
      </c>
      <c r="F890" s="231"/>
      <c r="G890" s="229" t="s">
        <v>3309</v>
      </c>
      <c r="H890" s="231">
        <v>25.91</v>
      </c>
      <c r="J890" s="480"/>
    </row>
    <row r="891" spans="1:10" ht="25.5" hidden="1" customHeight="1" outlineLevel="1" x14ac:dyDescent="0.2">
      <c r="A891" s="198" t="s">
        <v>1279</v>
      </c>
      <c r="B891" s="224" t="s">
        <v>3341</v>
      </c>
      <c r="C891" s="225" t="s">
        <v>3342</v>
      </c>
      <c r="D891" s="226" t="s">
        <v>11</v>
      </c>
      <c r="E891" s="227">
        <v>10.6</v>
      </c>
      <c r="F891" s="227"/>
      <c r="G891" s="225" t="s">
        <v>3311</v>
      </c>
      <c r="H891" s="227">
        <v>37.47</v>
      </c>
      <c r="J891" s="480"/>
    </row>
    <row r="892" spans="1:10" ht="25.5" hidden="1" customHeight="1" outlineLevel="1" x14ac:dyDescent="0.2">
      <c r="A892" s="198" t="s">
        <v>1279</v>
      </c>
      <c r="B892" s="228" t="s">
        <v>3343</v>
      </c>
      <c r="C892" s="229" t="s">
        <v>3344</v>
      </c>
      <c r="D892" s="230" t="s">
        <v>11</v>
      </c>
      <c r="E892" s="231">
        <v>29.74</v>
      </c>
      <c r="F892" s="231"/>
      <c r="G892" s="229" t="s">
        <v>3313</v>
      </c>
      <c r="H892" s="231">
        <v>2.19</v>
      </c>
      <c r="J892" s="480"/>
    </row>
    <row r="893" spans="1:10" ht="25.5" hidden="1" customHeight="1" outlineLevel="1" x14ac:dyDescent="0.2">
      <c r="A893" s="198" t="s">
        <v>1279</v>
      </c>
      <c r="B893" s="224" t="s">
        <v>3345</v>
      </c>
      <c r="C893" s="225" t="s">
        <v>3250</v>
      </c>
      <c r="D893" s="226" t="s">
        <v>11</v>
      </c>
      <c r="E893" s="227">
        <v>6.4</v>
      </c>
      <c r="F893" s="227"/>
      <c r="G893" s="225" t="s">
        <v>3451</v>
      </c>
      <c r="H893" s="227">
        <v>18.309999999999999</v>
      </c>
      <c r="J893" s="480"/>
    </row>
    <row r="894" spans="1:10" ht="25.5" hidden="1" customHeight="1" outlineLevel="1" x14ac:dyDescent="0.2">
      <c r="A894" s="198" t="s">
        <v>1279</v>
      </c>
      <c r="B894" s="228" t="s">
        <v>3346</v>
      </c>
      <c r="C894" s="229" t="s">
        <v>3347</v>
      </c>
      <c r="D894" s="230" t="s">
        <v>11</v>
      </c>
      <c r="E894" s="231">
        <v>4.1900000000000004</v>
      </c>
      <c r="F894" s="231"/>
      <c r="G894" s="229" t="s">
        <v>3397</v>
      </c>
      <c r="H894" s="231">
        <v>46.65</v>
      </c>
      <c r="J894" s="480"/>
    </row>
    <row r="895" spans="1:10" ht="25.5" hidden="1" customHeight="1" outlineLevel="1" x14ac:dyDescent="0.2">
      <c r="A895" s="198" t="s">
        <v>1279</v>
      </c>
      <c r="B895" s="224" t="s">
        <v>3348</v>
      </c>
      <c r="C895" s="225" t="s">
        <v>3349</v>
      </c>
      <c r="D895" s="226" t="s">
        <v>11</v>
      </c>
      <c r="E895" s="227">
        <v>8.91</v>
      </c>
      <c r="F895" s="227"/>
      <c r="G895" s="225" t="s">
        <v>3360</v>
      </c>
      <c r="H895" s="227">
        <v>26.54</v>
      </c>
      <c r="J895" s="480"/>
    </row>
    <row r="896" spans="1:10" ht="25.5" hidden="1" customHeight="1" outlineLevel="1" x14ac:dyDescent="0.2">
      <c r="A896" s="198" t="s">
        <v>1279</v>
      </c>
      <c r="B896" s="228" t="s">
        <v>3350</v>
      </c>
      <c r="C896" s="229" t="s">
        <v>3351</v>
      </c>
      <c r="D896" s="230" t="s">
        <v>11</v>
      </c>
      <c r="E896" s="231">
        <v>5.52</v>
      </c>
      <c r="F896" s="231"/>
      <c r="G896" s="229" t="s">
        <v>3362</v>
      </c>
      <c r="H896" s="231">
        <v>9.84</v>
      </c>
      <c r="J896" s="480"/>
    </row>
    <row r="897" spans="1:10" ht="38.25" hidden="1" customHeight="1" outlineLevel="1" x14ac:dyDescent="0.2">
      <c r="A897" s="198" t="s">
        <v>1279</v>
      </c>
      <c r="B897" s="224" t="s">
        <v>3352</v>
      </c>
      <c r="C897" s="225" t="s">
        <v>3353</v>
      </c>
      <c r="D897" s="226" t="s">
        <v>11</v>
      </c>
      <c r="E897" s="227">
        <v>5.04</v>
      </c>
      <c r="F897" s="227"/>
      <c r="G897" s="225" t="s">
        <v>3680</v>
      </c>
      <c r="H897" s="227">
        <v>123.52</v>
      </c>
      <c r="J897" s="480"/>
    </row>
    <row r="898" spans="1:10" ht="51" hidden="1" customHeight="1" outlineLevel="1" x14ac:dyDescent="0.2">
      <c r="A898" s="198" t="s">
        <v>1279</v>
      </c>
      <c r="B898" s="228" t="s">
        <v>3354</v>
      </c>
      <c r="C898" s="229" t="s">
        <v>3355</v>
      </c>
      <c r="D898" s="230" t="s">
        <v>11</v>
      </c>
      <c r="E898" s="231">
        <v>3.72</v>
      </c>
      <c r="F898" s="231"/>
      <c r="G898" s="229" t="s">
        <v>3286</v>
      </c>
      <c r="H898" s="231">
        <v>2.59</v>
      </c>
      <c r="J898" s="480"/>
    </row>
    <row r="899" spans="1:10" ht="38.25" hidden="1" customHeight="1" outlineLevel="1" x14ac:dyDescent="0.2">
      <c r="A899" s="198" t="s">
        <v>1279</v>
      </c>
      <c r="B899" s="224" t="s">
        <v>3356</v>
      </c>
      <c r="C899" s="225" t="s">
        <v>3357</v>
      </c>
      <c r="D899" s="226" t="s">
        <v>11</v>
      </c>
      <c r="E899" s="227">
        <v>7.42</v>
      </c>
      <c r="F899" s="227"/>
      <c r="G899" s="225" t="s">
        <v>3288</v>
      </c>
      <c r="H899" s="227">
        <v>8.31</v>
      </c>
      <c r="J899" s="480"/>
    </row>
    <row r="900" spans="1:10" ht="51" hidden="1" customHeight="1" outlineLevel="1" x14ac:dyDescent="0.2">
      <c r="A900" s="198" t="s">
        <v>1279</v>
      </c>
      <c r="B900" s="228" t="s">
        <v>3358</v>
      </c>
      <c r="C900" s="229" t="s">
        <v>3274</v>
      </c>
      <c r="D900" s="230" t="s">
        <v>11</v>
      </c>
      <c r="E900" s="231">
        <v>3.72</v>
      </c>
      <c r="F900" s="231"/>
      <c r="G900" s="229" t="s">
        <v>3780</v>
      </c>
      <c r="H900" s="231">
        <v>50.04</v>
      </c>
      <c r="J900" s="480"/>
    </row>
    <row r="901" spans="1:10" ht="25.5" hidden="1" customHeight="1" outlineLevel="1" x14ac:dyDescent="0.2">
      <c r="A901" s="198" t="s">
        <v>1279</v>
      </c>
      <c r="B901" s="224" t="s">
        <v>3359</v>
      </c>
      <c r="C901" s="225" t="s">
        <v>3360</v>
      </c>
      <c r="D901" s="226" t="s">
        <v>11</v>
      </c>
      <c r="E901" s="227">
        <v>26.54</v>
      </c>
      <c r="F901" s="227"/>
      <c r="G901" s="225" t="s">
        <v>3395</v>
      </c>
      <c r="H901" s="227">
        <v>22.6</v>
      </c>
      <c r="J901" s="480"/>
    </row>
    <row r="902" spans="1:10" ht="51" hidden="1" customHeight="1" outlineLevel="1" x14ac:dyDescent="0.2">
      <c r="A902" s="198" t="s">
        <v>1279</v>
      </c>
      <c r="B902" s="228" t="s">
        <v>3361</v>
      </c>
      <c r="C902" s="229" t="s">
        <v>3362</v>
      </c>
      <c r="D902" s="230" t="s">
        <v>11</v>
      </c>
      <c r="E902" s="231">
        <v>9.84</v>
      </c>
      <c r="F902" s="231"/>
      <c r="G902" s="229" t="s">
        <v>3786</v>
      </c>
      <c r="H902" s="231">
        <v>3.64</v>
      </c>
      <c r="J902" s="480"/>
    </row>
    <row r="903" spans="1:10" ht="38.25" hidden="1" customHeight="1" outlineLevel="1" x14ac:dyDescent="0.2">
      <c r="A903" s="198" t="s">
        <v>1279</v>
      </c>
      <c r="B903" s="224" t="s">
        <v>3363</v>
      </c>
      <c r="C903" s="225" t="s">
        <v>3347</v>
      </c>
      <c r="D903" s="226" t="s">
        <v>11</v>
      </c>
      <c r="E903" s="227">
        <v>2.0499999999999998</v>
      </c>
      <c r="F903" s="227"/>
      <c r="G903" s="225" t="s">
        <v>3239</v>
      </c>
      <c r="H903" s="227">
        <v>27.76</v>
      </c>
      <c r="J903" s="480"/>
    </row>
    <row r="904" spans="1:10" ht="38.25" hidden="1" customHeight="1" outlineLevel="1" x14ac:dyDescent="0.2">
      <c r="A904" s="198" t="s">
        <v>1279</v>
      </c>
      <c r="B904" s="228" t="s">
        <v>3364</v>
      </c>
      <c r="C904" s="229" t="s">
        <v>3349</v>
      </c>
      <c r="D904" s="230" t="s">
        <v>11</v>
      </c>
      <c r="E904" s="231">
        <v>4.5199999999999996</v>
      </c>
      <c r="F904" s="231"/>
      <c r="G904" s="229" t="s">
        <v>3241</v>
      </c>
      <c r="H904" s="231">
        <v>51.23</v>
      </c>
      <c r="J904" s="480"/>
    </row>
    <row r="905" spans="1:10" ht="38.25" hidden="1" customHeight="1" outlineLevel="1" x14ac:dyDescent="0.2">
      <c r="A905" s="198" t="s">
        <v>1279</v>
      </c>
      <c r="B905" s="224" t="s">
        <v>3365</v>
      </c>
      <c r="C905" s="225" t="s">
        <v>3351</v>
      </c>
      <c r="D905" s="226" t="s">
        <v>11</v>
      </c>
      <c r="E905" s="227">
        <v>2.16</v>
      </c>
      <c r="F905" s="227"/>
      <c r="G905" s="225" t="s">
        <v>3242</v>
      </c>
      <c r="H905" s="227">
        <v>27.75</v>
      </c>
      <c r="J905" s="480"/>
    </row>
    <row r="906" spans="1:10" ht="25.5" hidden="1" customHeight="1" outlineLevel="1" x14ac:dyDescent="0.2">
      <c r="A906" s="198" t="s">
        <v>1279</v>
      </c>
      <c r="B906" s="228" t="s">
        <v>3366</v>
      </c>
      <c r="C906" s="229" t="s">
        <v>3353</v>
      </c>
      <c r="D906" s="230" t="s">
        <v>11</v>
      </c>
      <c r="E906" s="231">
        <v>2.48</v>
      </c>
      <c r="F906" s="231"/>
      <c r="G906" s="229" t="s">
        <v>3236</v>
      </c>
      <c r="H906" s="231">
        <v>3.35</v>
      </c>
      <c r="J906" s="480"/>
    </row>
    <row r="907" spans="1:10" ht="25.5" hidden="1" customHeight="1" outlineLevel="1" x14ac:dyDescent="0.2">
      <c r="A907" s="198" t="s">
        <v>1279</v>
      </c>
      <c r="B907" s="224" t="s">
        <v>3367</v>
      </c>
      <c r="C907" s="225" t="s">
        <v>3355</v>
      </c>
      <c r="D907" s="226" t="s">
        <v>11</v>
      </c>
      <c r="E907" s="227">
        <v>1.4</v>
      </c>
      <c r="F907" s="227"/>
      <c r="G907" s="225" t="s">
        <v>3742</v>
      </c>
      <c r="H907" s="227">
        <v>4.54</v>
      </c>
      <c r="J907" s="480"/>
    </row>
    <row r="908" spans="1:10" ht="25.5" hidden="1" customHeight="1" outlineLevel="1" x14ac:dyDescent="0.2">
      <c r="A908" s="198" t="s">
        <v>1279</v>
      </c>
      <c r="B908" s="228" t="s">
        <v>3368</v>
      </c>
      <c r="C908" s="229" t="s">
        <v>3357</v>
      </c>
      <c r="D908" s="230" t="s">
        <v>11</v>
      </c>
      <c r="E908" s="231">
        <v>2.82</v>
      </c>
      <c r="F908" s="231"/>
      <c r="G908" s="229" t="s">
        <v>3347</v>
      </c>
      <c r="H908" s="231">
        <v>35.56</v>
      </c>
      <c r="J908" s="480"/>
    </row>
    <row r="909" spans="1:10" ht="25.5" hidden="1" customHeight="1" outlineLevel="1" x14ac:dyDescent="0.2">
      <c r="A909" s="198" t="s">
        <v>1279</v>
      </c>
      <c r="B909" s="224" t="s">
        <v>3369</v>
      </c>
      <c r="C909" s="225" t="s">
        <v>3360</v>
      </c>
      <c r="D909" s="226" t="s">
        <v>11</v>
      </c>
      <c r="E909" s="227">
        <v>5.12</v>
      </c>
      <c r="F909" s="227"/>
      <c r="G909" s="225" t="s">
        <v>3307</v>
      </c>
      <c r="H909" s="227">
        <v>6.17</v>
      </c>
      <c r="J909" s="480"/>
    </row>
    <row r="910" spans="1:10" ht="25.5" hidden="1" customHeight="1" outlineLevel="1" x14ac:dyDescent="0.2">
      <c r="A910" s="198" t="s">
        <v>1279</v>
      </c>
      <c r="B910" s="228" t="s">
        <v>3370</v>
      </c>
      <c r="C910" s="229" t="s">
        <v>3362</v>
      </c>
      <c r="D910" s="230" t="s">
        <v>11</v>
      </c>
      <c r="E910" s="231">
        <v>3.25</v>
      </c>
      <c r="F910" s="231"/>
      <c r="G910" s="229" t="s">
        <v>3349</v>
      </c>
      <c r="H910" s="231">
        <v>59.72</v>
      </c>
      <c r="J910" s="480"/>
    </row>
    <row r="911" spans="1:10" ht="51" hidden="1" customHeight="1" outlineLevel="1" x14ac:dyDescent="0.2">
      <c r="A911" s="198" t="s">
        <v>1279</v>
      </c>
      <c r="B911" s="216" t="s">
        <v>2294</v>
      </c>
      <c r="C911" s="217" t="s">
        <v>2962</v>
      </c>
      <c r="D911" s="218"/>
      <c r="E911" s="219"/>
      <c r="F911" s="219"/>
      <c r="G911" s="225" t="s">
        <v>3738</v>
      </c>
      <c r="H911" s="227">
        <v>3.23</v>
      </c>
      <c r="J911" s="480"/>
    </row>
    <row r="912" spans="1:10" ht="25.5" hidden="1" customHeight="1" outlineLevel="1" x14ac:dyDescent="0.2">
      <c r="A912" s="198" t="s">
        <v>1279</v>
      </c>
      <c r="B912" s="224" t="s">
        <v>2669</v>
      </c>
      <c r="C912" s="225" t="s">
        <v>124</v>
      </c>
      <c r="D912" s="226" t="s">
        <v>11</v>
      </c>
      <c r="E912" s="227">
        <v>2.4</v>
      </c>
      <c r="F912" s="227"/>
      <c r="G912" s="229" t="s">
        <v>3309</v>
      </c>
      <c r="H912" s="231">
        <v>10.88</v>
      </c>
      <c r="J912" s="480"/>
    </row>
    <row r="913" spans="1:10" ht="38.25" hidden="1" customHeight="1" outlineLevel="1" x14ac:dyDescent="0.2">
      <c r="A913" s="198" t="s">
        <v>1279</v>
      </c>
      <c r="B913" s="228" t="s">
        <v>2670</v>
      </c>
      <c r="C913" s="229" t="s">
        <v>3319</v>
      </c>
      <c r="D913" s="230" t="s">
        <v>11</v>
      </c>
      <c r="E913" s="231">
        <v>3.24</v>
      </c>
      <c r="F913" s="231"/>
      <c r="G913" s="225" t="s">
        <v>3351</v>
      </c>
      <c r="H913" s="227">
        <v>23.07</v>
      </c>
      <c r="J913" s="480"/>
    </row>
    <row r="914" spans="1:10" ht="38.25" hidden="1" customHeight="1" outlineLevel="1" x14ac:dyDescent="0.2">
      <c r="A914" s="198" t="s">
        <v>1279</v>
      </c>
      <c r="B914" s="224" t="s">
        <v>2671</v>
      </c>
      <c r="C914" s="225" t="s">
        <v>3320</v>
      </c>
      <c r="D914" s="226" t="s">
        <v>11</v>
      </c>
      <c r="E914" s="227">
        <v>2.71</v>
      </c>
      <c r="F914" s="227"/>
      <c r="G914" s="229" t="s">
        <v>3311</v>
      </c>
      <c r="H914" s="231">
        <v>10.35</v>
      </c>
      <c r="J914" s="480"/>
    </row>
    <row r="915" spans="1:10" ht="38.25" hidden="1" customHeight="1" outlineLevel="1" x14ac:dyDescent="0.2">
      <c r="A915" s="198" t="s">
        <v>1279</v>
      </c>
      <c r="B915" s="228" t="s">
        <v>2672</v>
      </c>
      <c r="C915" s="229" t="s">
        <v>3321</v>
      </c>
      <c r="D915" s="230" t="s">
        <v>11</v>
      </c>
      <c r="E915" s="231">
        <v>1.68</v>
      </c>
      <c r="F915" s="231"/>
      <c r="G915" s="225" t="s">
        <v>3353</v>
      </c>
      <c r="H915" s="227">
        <v>39.96</v>
      </c>
      <c r="J915" s="480"/>
    </row>
    <row r="916" spans="1:10" ht="38.25" hidden="1" customHeight="1" outlineLevel="1" x14ac:dyDescent="0.2">
      <c r="A916" s="198" t="s">
        <v>1279</v>
      </c>
      <c r="B916" s="224" t="s">
        <v>3371</v>
      </c>
      <c r="C916" s="225" t="s">
        <v>3372</v>
      </c>
      <c r="D916" s="226" t="s">
        <v>11</v>
      </c>
      <c r="E916" s="227">
        <v>2.2200000000000002</v>
      </c>
      <c r="F916" s="227"/>
      <c r="G916" s="229" t="s">
        <v>3313</v>
      </c>
      <c r="H916" s="231">
        <v>1.82</v>
      </c>
      <c r="J916" s="480"/>
    </row>
    <row r="917" spans="1:10" ht="25.5" hidden="1" customHeight="1" outlineLevel="1" x14ac:dyDescent="0.2">
      <c r="A917" s="198" t="s">
        <v>1279</v>
      </c>
      <c r="B917" s="228" t="s">
        <v>3373</v>
      </c>
      <c r="C917" s="229" t="s">
        <v>3294</v>
      </c>
      <c r="D917" s="230" t="s">
        <v>11</v>
      </c>
      <c r="E917" s="231">
        <v>7.91</v>
      </c>
      <c r="F917" s="231"/>
      <c r="G917" s="225" t="s">
        <v>3775</v>
      </c>
      <c r="H917" s="227">
        <v>4.4400000000000004</v>
      </c>
      <c r="J917" s="480"/>
    </row>
    <row r="918" spans="1:10" ht="25.5" hidden="1" customHeight="1" outlineLevel="1" x14ac:dyDescent="0.2">
      <c r="A918" s="198" t="s">
        <v>1279</v>
      </c>
      <c r="B918" s="224" t="s">
        <v>3374</v>
      </c>
      <c r="C918" s="225" t="s">
        <v>3295</v>
      </c>
      <c r="D918" s="226" t="s">
        <v>11</v>
      </c>
      <c r="E918" s="227">
        <v>17.87</v>
      </c>
      <c r="F918" s="227"/>
      <c r="G918" s="229" t="s">
        <v>3355</v>
      </c>
      <c r="H918" s="231">
        <v>9.56</v>
      </c>
      <c r="J918" s="480"/>
    </row>
    <row r="919" spans="1:10" ht="25.5" hidden="1" customHeight="1" outlineLevel="1" x14ac:dyDescent="0.2">
      <c r="A919" s="198" t="s">
        <v>1279</v>
      </c>
      <c r="B919" s="228" t="s">
        <v>3375</v>
      </c>
      <c r="C919" s="229" t="s">
        <v>3376</v>
      </c>
      <c r="D919" s="230" t="s">
        <v>11</v>
      </c>
      <c r="E919" s="231">
        <v>5.26</v>
      </c>
      <c r="F919" s="231"/>
      <c r="G919" s="225" t="s">
        <v>3451</v>
      </c>
      <c r="H919" s="227">
        <v>8.23</v>
      </c>
      <c r="J919" s="480"/>
    </row>
    <row r="920" spans="1:10" ht="25.5" hidden="1" customHeight="1" outlineLevel="1" x14ac:dyDescent="0.2">
      <c r="A920" s="198" t="s">
        <v>1279</v>
      </c>
      <c r="B920" s="224" t="s">
        <v>3377</v>
      </c>
      <c r="C920" s="225" t="s">
        <v>3323</v>
      </c>
      <c r="D920" s="226" t="s">
        <v>11</v>
      </c>
      <c r="E920" s="227">
        <v>4.54</v>
      </c>
      <c r="F920" s="227"/>
      <c r="G920" s="229" t="s">
        <v>3357</v>
      </c>
      <c r="H920" s="231">
        <v>2.82</v>
      </c>
      <c r="J920" s="480"/>
    </row>
    <row r="921" spans="1:10" ht="25.5" hidden="1" customHeight="1" outlineLevel="1" x14ac:dyDescent="0.2">
      <c r="A921" s="198" t="s">
        <v>1279</v>
      </c>
      <c r="B921" s="228" t="s">
        <v>3378</v>
      </c>
      <c r="C921" s="229" t="s">
        <v>3325</v>
      </c>
      <c r="D921" s="230" t="s">
        <v>11</v>
      </c>
      <c r="E921" s="231">
        <v>9.36</v>
      </c>
      <c r="F921" s="231"/>
      <c r="G921" s="225" t="s">
        <v>3397</v>
      </c>
      <c r="H921" s="227">
        <v>26.2</v>
      </c>
      <c r="J921" s="480"/>
    </row>
    <row r="922" spans="1:10" ht="25.5" hidden="1" customHeight="1" outlineLevel="1" x14ac:dyDescent="0.2">
      <c r="A922" s="198" t="s">
        <v>1279</v>
      </c>
      <c r="B922" s="224" t="s">
        <v>3379</v>
      </c>
      <c r="C922" s="225" t="s">
        <v>3327</v>
      </c>
      <c r="D922" s="226" t="s">
        <v>11</v>
      </c>
      <c r="E922" s="227">
        <v>4.82</v>
      </c>
      <c r="F922" s="227"/>
      <c r="G922" s="229" t="s">
        <v>3360</v>
      </c>
      <c r="H922" s="231">
        <v>5.12</v>
      </c>
      <c r="J922" s="480"/>
    </row>
    <row r="923" spans="1:10" ht="25.5" hidden="1" customHeight="1" outlineLevel="1" x14ac:dyDescent="0.2">
      <c r="A923" s="198" t="s">
        <v>1279</v>
      </c>
      <c r="B923" s="228" t="s">
        <v>3380</v>
      </c>
      <c r="C923" s="229" t="s">
        <v>3297</v>
      </c>
      <c r="D923" s="230" t="s">
        <v>11</v>
      </c>
      <c r="E923" s="231">
        <v>18.52</v>
      </c>
      <c r="F923" s="231"/>
      <c r="G923" s="225" t="s">
        <v>3362</v>
      </c>
      <c r="H923" s="227">
        <v>3.25</v>
      </c>
      <c r="J923" s="480"/>
    </row>
    <row r="924" spans="1:10" ht="38.25" hidden="1" customHeight="1" outlineLevel="1" x14ac:dyDescent="0.2">
      <c r="A924" s="198" t="s">
        <v>1279</v>
      </c>
      <c r="B924" s="224" t="s">
        <v>3381</v>
      </c>
      <c r="C924" s="225" t="s">
        <v>3299</v>
      </c>
      <c r="D924" s="226" t="s">
        <v>11</v>
      </c>
      <c r="E924" s="227">
        <v>21.81</v>
      </c>
      <c r="F924" s="227"/>
      <c r="G924" s="229" t="s">
        <v>3680</v>
      </c>
      <c r="H924" s="231">
        <v>27.94</v>
      </c>
      <c r="J924" s="480"/>
    </row>
    <row r="925" spans="1:10" ht="25.5" hidden="1" customHeight="1" outlineLevel="1" x14ac:dyDescent="0.2">
      <c r="A925" s="198" t="s">
        <v>1279</v>
      </c>
      <c r="B925" s="228" t="s">
        <v>3382</v>
      </c>
      <c r="C925" s="229" t="s">
        <v>3301</v>
      </c>
      <c r="D925" s="230" t="s">
        <v>11</v>
      </c>
      <c r="E925" s="231">
        <v>20.58</v>
      </c>
      <c r="F925" s="231"/>
      <c r="G925" s="225" t="s">
        <v>3252</v>
      </c>
      <c r="H925" s="227">
        <v>2.83</v>
      </c>
      <c r="J925" s="480"/>
    </row>
    <row r="926" spans="1:10" ht="25.5" hidden="1" customHeight="1" outlineLevel="1" x14ac:dyDescent="0.2">
      <c r="A926" s="198" t="s">
        <v>1279</v>
      </c>
      <c r="B926" s="224" t="s">
        <v>3383</v>
      </c>
      <c r="C926" s="225" t="s">
        <v>3336</v>
      </c>
      <c r="D926" s="226" t="s">
        <v>11</v>
      </c>
      <c r="E926" s="227">
        <v>10.58</v>
      </c>
      <c r="F926" s="227"/>
      <c r="G926" s="229" t="s">
        <v>3237</v>
      </c>
      <c r="H926" s="231">
        <v>4.1399999999999997</v>
      </c>
      <c r="J926" s="480"/>
    </row>
    <row r="927" spans="1:10" ht="25.5" hidden="1" customHeight="1" outlineLevel="1" x14ac:dyDescent="0.2">
      <c r="A927" s="198" t="s">
        <v>1279</v>
      </c>
      <c r="B927" s="228" t="s">
        <v>3384</v>
      </c>
      <c r="C927" s="229" t="s">
        <v>3338</v>
      </c>
      <c r="D927" s="230" t="s">
        <v>11</v>
      </c>
      <c r="E927" s="231">
        <v>29.74</v>
      </c>
      <c r="F927" s="231"/>
      <c r="G927" s="225" t="s">
        <v>3248</v>
      </c>
      <c r="H927" s="227">
        <v>209.84</v>
      </c>
      <c r="J927" s="480"/>
    </row>
    <row r="928" spans="1:10" ht="25.5" hidden="1" customHeight="1" outlineLevel="1" x14ac:dyDescent="0.2">
      <c r="A928" s="198" t="s">
        <v>1279</v>
      </c>
      <c r="B928" s="224" t="s">
        <v>3385</v>
      </c>
      <c r="C928" s="225" t="s">
        <v>3250</v>
      </c>
      <c r="D928" s="226" t="s">
        <v>11</v>
      </c>
      <c r="E928" s="227">
        <v>5.59</v>
      </c>
      <c r="F928" s="227"/>
      <c r="G928" s="229" t="s">
        <v>3238</v>
      </c>
      <c r="H928" s="231">
        <v>19.899999999999999</v>
      </c>
      <c r="J928" s="480"/>
    </row>
    <row r="929" spans="1:10" ht="25.5" hidden="1" customHeight="1" outlineLevel="1" x14ac:dyDescent="0.2">
      <c r="A929" s="198" t="s">
        <v>1279</v>
      </c>
      <c r="B929" s="228" t="s">
        <v>3386</v>
      </c>
      <c r="C929" s="229" t="s">
        <v>3387</v>
      </c>
      <c r="D929" s="230" t="s">
        <v>11</v>
      </c>
      <c r="E929" s="231">
        <v>1.3</v>
      </c>
      <c r="F929" s="231"/>
      <c r="G929" s="225" t="s">
        <v>3304</v>
      </c>
      <c r="H929" s="227">
        <v>1.84</v>
      </c>
      <c r="J929" s="480"/>
    </row>
    <row r="930" spans="1:10" ht="25.5" hidden="1" customHeight="1" outlineLevel="1" x14ac:dyDescent="0.2">
      <c r="A930" s="198" t="s">
        <v>1279</v>
      </c>
      <c r="B930" s="224" t="s">
        <v>3388</v>
      </c>
      <c r="C930" s="225" t="s">
        <v>3347</v>
      </c>
      <c r="D930" s="226" t="s">
        <v>11</v>
      </c>
      <c r="E930" s="227">
        <v>4.1900000000000004</v>
      </c>
      <c r="F930" s="227"/>
      <c r="G930" s="229" t="s">
        <v>3266</v>
      </c>
      <c r="H930" s="231">
        <v>3.8</v>
      </c>
      <c r="J930" s="480"/>
    </row>
    <row r="931" spans="1:10" ht="25.5" hidden="1" customHeight="1" outlineLevel="1" x14ac:dyDescent="0.2">
      <c r="A931" s="198" t="s">
        <v>1279</v>
      </c>
      <c r="B931" s="228" t="s">
        <v>3389</v>
      </c>
      <c r="C931" s="229" t="s">
        <v>3349</v>
      </c>
      <c r="D931" s="230" t="s">
        <v>11</v>
      </c>
      <c r="E931" s="231">
        <v>8.91</v>
      </c>
      <c r="F931" s="231"/>
      <c r="G931" s="225" t="s">
        <v>3268</v>
      </c>
      <c r="H931" s="227">
        <v>3.73</v>
      </c>
      <c r="J931" s="480"/>
    </row>
    <row r="932" spans="1:10" ht="25.5" hidden="1" customHeight="1" outlineLevel="1" x14ac:dyDescent="0.2">
      <c r="A932" s="198" t="s">
        <v>1279</v>
      </c>
      <c r="B932" s="224" t="s">
        <v>3390</v>
      </c>
      <c r="C932" s="225" t="s">
        <v>3351</v>
      </c>
      <c r="D932" s="226" t="s">
        <v>11</v>
      </c>
      <c r="E932" s="227">
        <v>3.72</v>
      </c>
      <c r="F932" s="227"/>
      <c r="G932" s="229" t="s">
        <v>3270</v>
      </c>
      <c r="H932" s="231">
        <v>1.84</v>
      </c>
      <c r="J932" s="480"/>
    </row>
    <row r="933" spans="1:10" ht="25.5" hidden="1" customHeight="1" outlineLevel="1" x14ac:dyDescent="0.2">
      <c r="A933" s="198" t="s">
        <v>1279</v>
      </c>
      <c r="B933" s="228" t="s">
        <v>3391</v>
      </c>
      <c r="C933" s="229" t="s">
        <v>3353</v>
      </c>
      <c r="D933" s="230" t="s">
        <v>11</v>
      </c>
      <c r="E933" s="231">
        <v>7.42</v>
      </c>
      <c r="F933" s="231"/>
      <c r="G933" s="225" t="s">
        <v>3272</v>
      </c>
      <c r="H933" s="227">
        <v>1.37</v>
      </c>
      <c r="J933" s="480"/>
    </row>
    <row r="934" spans="1:10" ht="25.5" hidden="1" customHeight="1" outlineLevel="1" x14ac:dyDescent="0.2">
      <c r="A934" s="198" t="s">
        <v>1279</v>
      </c>
      <c r="B934" s="224" t="s">
        <v>3392</v>
      </c>
      <c r="C934" s="225" t="s">
        <v>3355</v>
      </c>
      <c r="D934" s="226" t="s">
        <v>11</v>
      </c>
      <c r="E934" s="227">
        <v>4.58</v>
      </c>
      <c r="F934" s="227"/>
      <c r="J934" s="480"/>
    </row>
    <row r="935" spans="1:10" ht="18" hidden="1" customHeight="1" outlineLevel="1" x14ac:dyDescent="0.2">
      <c r="A935" s="198" t="s">
        <v>1279</v>
      </c>
      <c r="B935" s="228" t="s">
        <v>3393</v>
      </c>
      <c r="C935" s="229" t="s">
        <v>3274</v>
      </c>
      <c r="D935" s="230" t="s">
        <v>11</v>
      </c>
      <c r="E935" s="231">
        <v>3.3</v>
      </c>
      <c r="F935" s="231"/>
      <c r="J935" s="480"/>
    </row>
    <row r="936" spans="1:10" ht="25.5" hidden="1" customHeight="1" outlineLevel="1" x14ac:dyDescent="0.2">
      <c r="A936" s="198" t="s">
        <v>1279</v>
      </c>
      <c r="B936" s="224" t="s">
        <v>3394</v>
      </c>
      <c r="C936" s="225" t="s">
        <v>3395</v>
      </c>
      <c r="D936" s="226" t="s">
        <v>11</v>
      </c>
      <c r="E936" s="227">
        <v>76.36</v>
      </c>
      <c r="F936" s="227"/>
      <c r="J936" s="480"/>
    </row>
    <row r="937" spans="1:10" ht="25.5" hidden="1" customHeight="1" outlineLevel="1" x14ac:dyDescent="0.2">
      <c r="A937" s="198" t="s">
        <v>1279</v>
      </c>
      <c r="B937" s="228" t="s">
        <v>3396</v>
      </c>
      <c r="C937" s="229" t="s">
        <v>3397</v>
      </c>
      <c r="D937" s="230" t="s">
        <v>11</v>
      </c>
      <c r="E937" s="231">
        <v>9.35</v>
      </c>
      <c r="F937" s="231"/>
      <c r="J937" s="480"/>
    </row>
    <row r="938" spans="1:10" ht="25.5" hidden="1" customHeight="1" outlineLevel="1" x14ac:dyDescent="0.2">
      <c r="A938" s="198" t="s">
        <v>1279</v>
      </c>
      <c r="B938" s="224" t="s">
        <v>3398</v>
      </c>
      <c r="C938" s="225" t="s">
        <v>3395</v>
      </c>
      <c r="D938" s="226" t="s">
        <v>11</v>
      </c>
      <c r="E938" s="227">
        <v>12</v>
      </c>
      <c r="F938" s="227"/>
      <c r="J938" s="480"/>
    </row>
    <row r="939" spans="1:10" ht="25.5" hidden="1" customHeight="1" outlineLevel="1" x14ac:dyDescent="0.2">
      <c r="A939" s="198" t="s">
        <v>1279</v>
      </c>
      <c r="B939" s="228" t="s">
        <v>3399</v>
      </c>
      <c r="C939" s="229" t="s">
        <v>3347</v>
      </c>
      <c r="D939" s="230" t="s">
        <v>11</v>
      </c>
      <c r="E939" s="231">
        <v>2.0499999999999998</v>
      </c>
      <c r="F939" s="231"/>
      <c r="J939" s="480"/>
    </row>
    <row r="940" spans="1:10" ht="25.5" hidden="1" customHeight="1" outlineLevel="1" x14ac:dyDescent="0.2">
      <c r="A940" s="198" t="s">
        <v>1279</v>
      </c>
      <c r="B940" s="224" t="s">
        <v>3400</v>
      </c>
      <c r="C940" s="225" t="s">
        <v>3349</v>
      </c>
      <c r="D940" s="226" t="s">
        <v>11</v>
      </c>
      <c r="E940" s="227">
        <v>4.5199999999999996</v>
      </c>
      <c r="F940" s="227"/>
      <c r="J940" s="480"/>
    </row>
    <row r="941" spans="1:10" ht="25.5" hidden="1" customHeight="1" outlineLevel="1" x14ac:dyDescent="0.2">
      <c r="A941" s="198" t="s">
        <v>1279</v>
      </c>
      <c r="B941" s="228" t="s">
        <v>3401</v>
      </c>
      <c r="C941" s="229" t="s">
        <v>3351</v>
      </c>
      <c r="D941" s="230" t="s">
        <v>11</v>
      </c>
      <c r="E941" s="231">
        <v>1.41</v>
      </c>
      <c r="F941" s="231"/>
      <c r="J941" s="480"/>
    </row>
    <row r="942" spans="1:10" ht="25.5" hidden="1" customHeight="1" outlineLevel="1" x14ac:dyDescent="0.2">
      <c r="A942" s="198" t="s">
        <v>1279</v>
      </c>
      <c r="B942" s="224" t="s">
        <v>3402</v>
      </c>
      <c r="C942" s="225" t="s">
        <v>3353</v>
      </c>
      <c r="D942" s="226" t="s">
        <v>11</v>
      </c>
      <c r="E942" s="227">
        <v>3.23</v>
      </c>
      <c r="F942" s="227"/>
      <c r="J942" s="480"/>
    </row>
    <row r="943" spans="1:10" ht="25.5" hidden="1" customHeight="1" outlineLevel="1" x14ac:dyDescent="0.2">
      <c r="A943" s="198" t="s">
        <v>1279</v>
      </c>
      <c r="B943" s="228" t="s">
        <v>3403</v>
      </c>
      <c r="C943" s="229" t="s">
        <v>3355</v>
      </c>
      <c r="D943" s="230" t="s">
        <v>11</v>
      </c>
      <c r="E943" s="231">
        <v>2.2999999999999998</v>
      </c>
      <c r="F943" s="231"/>
      <c r="J943" s="480"/>
    </row>
    <row r="944" spans="1:10" ht="25.5" hidden="1" customHeight="1" outlineLevel="1" x14ac:dyDescent="0.2">
      <c r="A944" s="198" t="s">
        <v>1279</v>
      </c>
      <c r="B944" s="224" t="s">
        <v>3404</v>
      </c>
      <c r="C944" s="225" t="s">
        <v>3397</v>
      </c>
      <c r="D944" s="226" t="s">
        <v>11</v>
      </c>
      <c r="E944" s="227">
        <v>4.57</v>
      </c>
      <c r="F944" s="227"/>
      <c r="J944" s="480"/>
    </row>
    <row r="945" spans="1:10" ht="18" hidden="1" customHeight="1" outlineLevel="1" x14ac:dyDescent="0.2">
      <c r="A945" s="198" t="s">
        <v>1279</v>
      </c>
      <c r="B945" s="216" t="s">
        <v>2295</v>
      </c>
      <c r="C945" s="217" t="s">
        <v>2963</v>
      </c>
      <c r="D945" s="218"/>
      <c r="E945" s="219"/>
      <c r="F945" s="219"/>
      <c r="J945" s="480"/>
    </row>
    <row r="946" spans="1:10" ht="18" hidden="1" customHeight="1" outlineLevel="1" x14ac:dyDescent="0.2">
      <c r="A946" s="198" t="s">
        <v>1279</v>
      </c>
      <c r="B946" s="228" t="s">
        <v>2673</v>
      </c>
      <c r="C946" s="229" t="s">
        <v>124</v>
      </c>
      <c r="D946" s="230" t="s">
        <v>11</v>
      </c>
      <c r="E946" s="231">
        <v>2.31</v>
      </c>
      <c r="F946" s="231"/>
      <c r="J946" s="480"/>
    </row>
    <row r="947" spans="1:10" ht="38.25" hidden="1" customHeight="1" outlineLevel="1" x14ac:dyDescent="0.2">
      <c r="A947" s="198" t="s">
        <v>1279</v>
      </c>
      <c r="B947" s="224" t="s">
        <v>2674</v>
      </c>
      <c r="C947" s="225" t="s">
        <v>3319</v>
      </c>
      <c r="D947" s="226" t="s">
        <v>11</v>
      </c>
      <c r="E947" s="227">
        <v>3.25</v>
      </c>
      <c r="F947" s="227"/>
      <c r="J947" s="480"/>
    </row>
    <row r="948" spans="1:10" ht="38.25" hidden="1" customHeight="1" outlineLevel="1" x14ac:dyDescent="0.2">
      <c r="A948" s="198" t="s">
        <v>1279</v>
      </c>
      <c r="B948" s="228" t="s">
        <v>2675</v>
      </c>
      <c r="C948" s="229" t="s">
        <v>3320</v>
      </c>
      <c r="D948" s="230" t="s">
        <v>11</v>
      </c>
      <c r="E948" s="231">
        <v>2.71</v>
      </c>
      <c r="F948" s="231"/>
      <c r="J948" s="480"/>
    </row>
    <row r="949" spans="1:10" ht="38.25" hidden="1" customHeight="1" outlineLevel="1" x14ac:dyDescent="0.2">
      <c r="A949" s="198" t="s">
        <v>1279</v>
      </c>
      <c r="B949" s="224" t="s">
        <v>2676</v>
      </c>
      <c r="C949" s="225" t="s">
        <v>3321</v>
      </c>
      <c r="D949" s="226" t="s">
        <v>11</v>
      </c>
      <c r="E949" s="227">
        <v>2.29</v>
      </c>
      <c r="F949" s="227"/>
      <c r="J949" s="480"/>
    </row>
    <row r="950" spans="1:10" ht="25.5" hidden="1" customHeight="1" outlineLevel="1" x14ac:dyDescent="0.2">
      <c r="A950" s="198" t="s">
        <v>1279</v>
      </c>
      <c r="B950" s="228" t="s">
        <v>2677</v>
      </c>
      <c r="C950" s="229" t="s">
        <v>3294</v>
      </c>
      <c r="D950" s="230" t="s">
        <v>11</v>
      </c>
      <c r="E950" s="231">
        <v>7.91</v>
      </c>
      <c r="F950" s="231"/>
      <c r="J950" s="480"/>
    </row>
    <row r="951" spans="1:10" ht="25.5" hidden="1" customHeight="1" outlineLevel="1" x14ac:dyDescent="0.2">
      <c r="A951" s="198" t="s">
        <v>1279</v>
      </c>
      <c r="B951" s="224" t="s">
        <v>3405</v>
      </c>
      <c r="C951" s="225" t="s">
        <v>3295</v>
      </c>
      <c r="D951" s="226" t="s">
        <v>11</v>
      </c>
      <c r="E951" s="227">
        <v>17.86</v>
      </c>
      <c r="F951" s="227"/>
      <c r="J951" s="480"/>
    </row>
    <row r="952" spans="1:10" ht="25.5" hidden="1" customHeight="1" outlineLevel="1" x14ac:dyDescent="0.2">
      <c r="A952" s="198" t="s">
        <v>1279</v>
      </c>
      <c r="B952" s="228" t="s">
        <v>3406</v>
      </c>
      <c r="C952" s="229" t="s">
        <v>3376</v>
      </c>
      <c r="D952" s="230" t="s">
        <v>11</v>
      </c>
      <c r="E952" s="231">
        <v>4.53</v>
      </c>
      <c r="F952" s="231"/>
      <c r="J952" s="480"/>
    </row>
    <row r="953" spans="1:10" ht="25.5" hidden="1" customHeight="1" outlineLevel="1" x14ac:dyDescent="0.2">
      <c r="A953" s="198" t="s">
        <v>1279</v>
      </c>
      <c r="B953" s="224" t="s">
        <v>3407</v>
      </c>
      <c r="C953" s="225" t="s">
        <v>3323</v>
      </c>
      <c r="D953" s="226" t="s">
        <v>11</v>
      </c>
      <c r="E953" s="227">
        <v>9.36</v>
      </c>
      <c r="F953" s="227"/>
      <c r="J953" s="480"/>
    </row>
    <row r="954" spans="1:10" ht="25.5" hidden="1" customHeight="1" outlineLevel="1" x14ac:dyDescent="0.2">
      <c r="A954" s="198" t="s">
        <v>1279</v>
      </c>
      <c r="B954" s="228" t="s">
        <v>3408</v>
      </c>
      <c r="C954" s="229" t="s">
        <v>3297</v>
      </c>
      <c r="D954" s="230" t="s">
        <v>11</v>
      </c>
      <c r="E954" s="231">
        <v>18.52</v>
      </c>
      <c r="F954" s="231"/>
      <c r="J954" s="480"/>
    </row>
    <row r="955" spans="1:10" ht="25.5" hidden="1" customHeight="1" outlineLevel="1" x14ac:dyDescent="0.2">
      <c r="A955" s="198" t="s">
        <v>1279</v>
      </c>
      <c r="B955" s="224" t="s">
        <v>3409</v>
      </c>
      <c r="C955" s="225" t="s">
        <v>3299</v>
      </c>
      <c r="D955" s="226" t="s">
        <v>11</v>
      </c>
      <c r="E955" s="227">
        <v>21.8</v>
      </c>
      <c r="F955" s="227"/>
      <c r="J955" s="480"/>
    </row>
    <row r="956" spans="1:10" ht="25.5" hidden="1" customHeight="1" outlineLevel="1" x14ac:dyDescent="0.2">
      <c r="A956" s="198" t="s">
        <v>1279</v>
      </c>
      <c r="B956" s="228" t="s">
        <v>3410</v>
      </c>
      <c r="C956" s="229" t="s">
        <v>3301</v>
      </c>
      <c r="D956" s="230" t="s">
        <v>11</v>
      </c>
      <c r="E956" s="231">
        <v>20.58</v>
      </c>
      <c r="F956" s="231"/>
      <c r="J956" s="480"/>
    </row>
    <row r="957" spans="1:10" ht="25.5" hidden="1" customHeight="1" outlineLevel="1" x14ac:dyDescent="0.2">
      <c r="A957" s="198" t="s">
        <v>1279</v>
      </c>
      <c r="B957" s="224" t="s">
        <v>3411</v>
      </c>
      <c r="C957" s="225" t="s">
        <v>3336</v>
      </c>
      <c r="D957" s="226" t="s">
        <v>11</v>
      </c>
      <c r="E957" s="227">
        <v>10.6</v>
      </c>
      <c r="F957" s="227"/>
      <c r="J957" s="480"/>
    </row>
    <row r="958" spans="1:10" ht="25.5" hidden="1" customHeight="1" outlineLevel="1" x14ac:dyDescent="0.2">
      <c r="A958" s="198" t="s">
        <v>1279</v>
      </c>
      <c r="B958" s="228" t="s">
        <v>3412</v>
      </c>
      <c r="C958" s="229" t="s">
        <v>3338</v>
      </c>
      <c r="D958" s="230" t="s">
        <v>11</v>
      </c>
      <c r="E958" s="231">
        <v>19.87</v>
      </c>
      <c r="F958" s="231"/>
      <c r="J958" s="480"/>
    </row>
    <row r="959" spans="1:10" ht="25.5" hidden="1" customHeight="1" outlineLevel="1" x14ac:dyDescent="0.2">
      <c r="A959" s="198" t="s">
        <v>1279</v>
      </c>
      <c r="B959" s="224" t="s">
        <v>3413</v>
      </c>
      <c r="C959" s="225" t="s">
        <v>3340</v>
      </c>
      <c r="D959" s="226" t="s">
        <v>11</v>
      </c>
      <c r="E959" s="227">
        <v>4.32</v>
      </c>
      <c r="F959" s="227"/>
      <c r="J959" s="480"/>
    </row>
    <row r="960" spans="1:10" ht="25.5" hidden="1" customHeight="1" outlineLevel="1" x14ac:dyDescent="0.2">
      <c r="A960" s="198" t="s">
        <v>1279</v>
      </c>
      <c r="B960" s="228" t="s">
        <v>3414</v>
      </c>
      <c r="C960" s="229" t="s">
        <v>3250</v>
      </c>
      <c r="D960" s="230" t="s">
        <v>11</v>
      </c>
      <c r="E960" s="231">
        <v>7.52</v>
      </c>
      <c r="F960" s="231"/>
      <c r="J960" s="480"/>
    </row>
    <row r="961" spans="1:10" ht="25.5" hidden="1" customHeight="1" outlineLevel="1" x14ac:dyDescent="0.2">
      <c r="A961" s="198" t="s">
        <v>1279</v>
      </c>
      <c r="B961" s="224" t="s">
        <v>3415</v>
      </c>
      <c r="C961" s="225" t="s">
        <v>3347</v>
      </c>
      <c r="D961" s="226" t="s">
        <v>11</v>
      </c>
      <c r="E961" s="227">
        <v>4.1900000000000004</v>
      </c>
      <c r="F961" s="227"/>
      <c r="J961" s="480"/>
    </row>
    <row r="962" spans="1:10" ht="25.5" hidden="1" customHeight="1" outlineLevel="1" x14ac:dyDescent="0.2">
      <c r="A962" s="198" t="s">
        <v>1279</v>
      </c>
      <c r="B962" s="228" t="s">
        <v>3416</v>
      </c>
      <c r="C962" s="229" t="s">
        <v>3349</v>
      </c>
      <c r="D962" s="230" t="s">
        <v>11</v>
      </c>
      <c r="E962" s="231">
        <v>8.91</v>
      </c>
      <c r="F962" s="231"/>
      <c r="J962" s="480"/>
    </row>
    <row r="963" spans="1:10" ht="25.5" hidden="1" customHeight="1" outlineLevel="1" x14ac:dyDescent="0.2">
      <c r="A963" s="198" t="s">
        <v>1279</v>
      </c>
      <c r="B963" s="224" t="s">
        <v>3417</v>
      </c>
      <c r="C963" s="225" t="s">
        <v>3351</v>
      </c>
      <c r="D963" s="226" t="s">
        <v>11</v>
      </c>
      <c r="E963" s="227">
        <v>3.72</v>
      </c>
      <c r="F963" s="227"/>
      <c r="J963" s="480"/>
    </row>
    <row r="964" spans="1:10" ht="25.5" hidden="1" customHeight="1" outlineLevel="1" x14ac:dyDescent="0.2">
      <c r="A964" s="198" t="s">
        <v>1279</v>
      </c>
      <c r="B964" s="228" t="s">
        <v>3418</v>
      </c>
      <c r="C964" s="229" t="s">
        <v>3353</v>
      </c>
      <c r="D964" s="230" t="s">
        <v>11</v>
      </c>
      <c r="E964" s="231">
        <v>7.42</v>
      </c>
      <c r="F964" s="231"/>
      <c r="J964" s="480"/>
    </row>
    <row r="965" spans="1:10" ht="25.5" hidden="1" customHeight="1" outlineLevel="1" x14ac:dyDescent="0.2">
      <c r="A965" s="198" t="s">
        <v>1279</v>
      </c>
      <c r="B965" s="224" t="s">
        <v>3419</v>
      </c>
      <c r="C965" s="225" t="s">
        <v>3355</v>
      </c>
      <c r="D965" s="226" t="s">
        <v>11</v>
      </c>
      <c r="E965" s="227">
        <v>2.8</v>
      </c>
      <c r="F965" s="227"/>
      <c r="J965" s="480"/>
    </row>
    <row r="966" spans="1:10" ht="18" hidden="1" customHeight="1" outlineLevel="1" x14ac:dyDescent="0.2">
      <c r="A966" s="198" t="s">
        <v>1279</v>
      </c>
      <c r="B966" s="228" t="s">
        <v>3420</v>
      </c>
      <c r="C966" s="229" t="s">
        <v>3274</v>
      </c>
      <c r="D966" s="230" t="s">
        <v>11</v>
      </c>
      <c r="E966" s="231">
        <v>4.3499999999999996</v>
      </c>
      <c r="F966" s="231"/>
      <c r="J966" s="480"/>
    </row>
    <row r="967" spans="1:10" ht="25.5" hidden="1" customHeight="1" outlineLevel="1" x14ac:dyDescent="0.2">
      <c r="A967" s="198" t="s">
        <v>1279</v>
      </c>
      <c r="B967" s="224" t="s">
        <v>3421</v>
      </c>
      <c r="C967" s="225" t="s">
        <v>3347</v>
      </c>
      <c r="D967" s="226" t="s">
        <v>11</v>
      </c>
      <c r="E967" s="227">
        <v>2.15</v>
      </c>
      <c r="F967" s="227"/>
      <c r="J967" s="480"/>
    </row>
    <row r="968" spans="1:10" ht="25.5" hidden="1" customHeight="1" outlineLevel="1" x14ac:dyDescent="0.2">
      <c r="A968" s="198" t="s">
        <v>1279</v>
      </c>
      <c r="B968" s="228" t="s">
        <v>3422</v>
      </c>
      <c r="C968" s="229" t="s">
        <v>3349</v>
      </c>
      <c r="D968" s="230" t="s">
        <v>11</v>
      </c>
      <c r="E968" s="231">
        <v>4.53</v>
      </c>
      <c r="F968" s="231"/>
      <c r="J968" s="480"/>
    </row>
    <row r="969" spans="1:10" ht="25.5" hidden="1" customHeight="1" outlineLevel="1" x14ac:dyDescent="0.2">
      <c r="A969" s="198" t="s">
        <v>1279</v>
      </c>
      <c r="B969" s="224" t="s">
        <v>3423</v>
      </c>
      <c r="C969" s="225" t="s">
        <v>3351</v>
      </c>
      <c r="D969" s="226" t="s">
        <v>11</v>
      </c>
      <c r="E969" s="227">
        <v>1.41</v>
      </c>
      <c r="F969" s="227"/>
      <c r="J969" s="480"/>
    </row>
    <row r="970" spans="1:10" ht="25.5" hidden="1" customHeight="1" outlineLevel="1" x14ac:dyDescent="0.2">
      <c r="A970" s="198" t="s">
        <v>1279</v>
      </c>
      <c r="B970" s="228" t="s">
        <v>3424</v>
      </c>
      <c r="C970" s="229" t="s">
        <v>3353</v>
      </c>
      <c r="D970" s="230" t="s">
        <v>11</v>
      </c>
      <c r="E970" s="231">
        <v>2.82</v>
      </c>
      <c r="F970" s="231"/>
      <c r="J970" s="480"/>
    </row>
    <row r="971" spans="1:10" ht="25.5" hidden="1" customHeight="1" outlineLevel="1" x14ac:dyDescent="0.2">
      <c r="A971" s="198" t="s">
        <v>1279</v>
      </c>
      <c r="B971" s="224" t="s">
        <v>3425</v>
      </c>
      <c r="C971" s="225" t="s">
        <v>3355</v>
      </c>
      <c r="D971" s="226" t="s">
        <v>11</v>
      </c>
      <c r="E971" s="227">
        <v>1.17</v>
      </c>
      <c r="F971" s="227"/>
      <c r="J971" s="480"/>
    </row>
    <row r="972" spans="1:10" ht="18" hidden="1" customHeight="1" outlineLevel="1" x14ac:dyDescent="0.2">
      <c r="A972" s="198" t="s">
        <v>1279</v>
      </c>
      <c r="B972" s="216" t="s">
        <v>2296</v>
      </c>
      <c r="C972" s="217" t="s">
        <v>2964</v>
      </c>
      <c r="D972" s="218"/>
      <c r="E972" s="219"/>
      <c r="F972" s="219"/>
      <c r="J972" s="480"/>
    </row>
    <row r="973" spans="1:10" ht="18" hidden="1" customHeight="1" outlineLevel="1" x14ac:dyDescent="0.2">
      <c r="A973" s="198" t="s">
        <v>1279</v>
      </c>
      <c r="B973" s="228" t="s">
        <v>3426</v>
      </c>
      <c r="C973" s="229" t="s">
        <v>124</v>
      </c>
      <c r="D973" s="230" t="s">
        <v>11</v>
      </c>
      <c r="E973" s="231">
        <v>2.95</v>
      </c>
      <c r="F973" s="231"/>
      <c r="J973" s="480"/>
    </row>
    <row r="974" spans="1:10" ht="38.25" hidden="1" customHeight="1" outlineLevel="1" x14ac:dyDescent="0.2">
      <c r="A974" s="198" t="s">
        <v>1279</v>
      </c>
      <c r="B974" s="224" t="s">
        <v>3427</v>
      </c>
      <c r="C974" s="225" t="s">
        <v>3319</v>
      </c>
      <c r="D974" s="226" t="s">
        <v>11</v>
      </c>
      <c r="E974" s="227">
        <v>3.25</v>
      </c>
      <c r="F974" s="227"/>
      <c r="J974" s="480"/>
    </row>
    <row r="975" spans="1:10" ht="38.25" hidden="1" customHeight="1" outlineLevel="1" x14ac:dyDescent="0.2">
      <c r="A975" s="198" t="s">
        <v>1279</v>
      </c>
      <c r="B975" s="228" t="s">
        <v>3428</v>
      </c>
      <c r="C975" s="229" t="s">
        <v>3320</v>
      </c>
      <c r="D975" s="230" t="s">
        <v>11</v>
      </c>
      <c r="E975" s="231">
        <v>2.71</v>
      </c>
      <c r="F975" s="231"/>
      <c r="J975" s="480"/>
    </row>
    <row r="976" spans="1:10" ht="38.25" hidden="1" customHeight="1" outlineLevel="1" x14ac:dyDescent="0.2">
      <c r="A976" s="198" t="s">
        <v>1279</v>
      </c>
      <c r="B976" s="224" t="s">
        <v>3429</v>
      </c>
      <c r="C976" s="225" t="s">
        <v>3321</v>
      </c>
      <c r="D976" s="226" t="s">
        <v>11</v>
      </c>
      <c r="E976" s="227">
        <v>1.68</v>
      </c>
      <c r="F976" s="227"/>
      <c r="J976" s="480"/>
    </row>
    <row r="977" spans="1:10" ht="38.25" hidden="1" customHeight="1" outlineLevel="1" x14ac:dyDescent="0.2">
      <c r="A977" s="198" t="s">
        <v>1279</v>
      </c>
      <c r="B977" s="228" t="s">
        <v>3430</v>
      </c>
      <c r="C977" s="229" t="s">
        <v>3372</v>
      </c>
      <c r="D977" s="230" t="s">
        <v>11</v>
      </c>
      <c r="E977" s="231">
        <v>2.2200000000000002</v>
      </c>
      <c r="F977" s="231"/>
      <c r="J977" s="480"/>
    </row>
    <row r="978" spans="1:10" ht="25.5" hidden="1" customHeight="1" outlineLevel="1" x14ac:dyDescent="0.2">
      <c r="A978" s="198" t="s">
        <v>1279</v>
      </c>
      <c r="B978" s="224" t="s">
        <v>3431</v>
      </c>
      <c r="C978" s="225" t="s">
        <v>3294</v>
      </c>
      <c r="D978" s="226" t="s">
        <v>11</v>
      </c>
      <c r="E978" s="227">
        <v>7.91</v>
      </c>
      <c r="F978" s="227"/>
      <c r="J978" s="480"/>
    </row>
    <row r="979" spans="1:10" ht="25.5" hidden="1" customHeight="1" outlineLevel="1" x14ac:dyDescent="0.2">
      <c r="A979" s="198" t="s">
        <v>1279</v>
      </c>
      <c r="B979" s="228" t="s">
        <v>3432</v>
      </c>
      <c r="C979" s="229" t="s">
        <v>3295</v>
      </c>
      <c r="D979" s="230" t="s">
        <v>11</v>
      </c>
      <c r="E979" s="231">
        <v>17.86</v>
      </c>
      <c r="F979" s="231"/>
      <c r="J979" s="480"/>
    </row>
    <row r="980" spans="1:10" ht="25.5" hidden="1" customHeight="1" outlineLevel="1" x14ac:dyDescent="0.2">
      <c r="A980" s="198" t="s">
        <v>1279</v>
      </c>
      <c r="B980" s="224" t="s">
        <v>3433</v>
      </c>
      <c r="C980" s="225" t="s">
        <v>3376</v>
      </c>
      <c r="D980" s="226" t="s">
        <v>11</v>
      </c>
      <c r="E980" s="227">
        <v>4.93</v>
      </c>
      <c r="F980" s="227"/>
      <c r="J980" s="480"/>
    </row>
    <row r="981" spans="1:10" ht="25.5" hidden="1" customHeight="1" outlineLevel="1" x14ac:dyDescent="0.2">
      <c r="A981" s="198" t="s">
        <v>1279</v>
      </c>
      <c r="B981" s="228" t="s">
        <v>3434</v>
      </c>
      <c r="C981" s="229" t="s">
        <v>3323</v>
      </c>
      <c r="D981" s="230" t="s">
        <v>11</v>
      </c>
      <c r="E981" s="231">
        <v>4.53</v>
      </c>
      <c r="F981" s="231"/>
      <c r="J981" s="480"/>
    </row>
    <row r="982" spans="1:10" ht="25.5" hidden="1" customHeight="1" outlineLevel="1" x14ac:dyDescent="0.2">
      <c r="A982" s="198" t="s">
        <v>1279</v>
      </c>
      <c r="B982" s="224" t="s">
        <v>3435</v>
      </c>
      <c r="C982" s="225" t="s">
        <v>3325</v>
      </c>
      <c r="D982" s="226" t="s">
        <v>11</v>
      </c>
      <c r="E982" s="227">
        <v>9.36</v>
      </c>
      <c r="F982" s="227"/>
      <c r="J982" s="480"/>
    </row>
    <row r="983" spans="1:10" ht="25.5" hidden="1" customHeight="1" outlineLevel="1" x14ac:dyDescent="0.2">
      <c r="A983" s="198" t="s">
        <v>1279</v>
      </c>
      <c r="B983" s="228" t="s">
        <v>3436</v>
      </c>
      <c r="C983" s="229" t="s">
        <v>3327</v>
      </c>
      <c r="D983" s="230" t="s">
        <v>11</v>
      </c>
      <c r="E983" s="231">
        <v>4.82</v>
      </c>
      <c r="F983" s="231"/>
      <c r="J983" s="480"/>
    </row>
    <row r="984" spans="1:10" ht="25.5" hidden="1" customHeight="1" outlineLevel="1" x14ac:dyDescent="0.2">
      <c r="A984" s="198" t="s">
        <v>1279</v>
      </c>
      <c r="B984" s="224" t="s">
        <v>3437</v>
      </c>
      <c r="C984" s="225" t="s">
        <v>3297</v>
      </c>
      <c r="D984" s="226" t="s">
        <v>11</v>
      </c>
      <c r="E984" s="227">
        <v>18.510000000000002</v>
      </c>
      <c r="F984" s="227"/>
      <c r="J984" s="480"/>
    </row>
    <row r="985" spans="1:10" ht="25.5" hidden="1" customHeight="1" outlineLevel="1" x14ac:dyDescent="0.2">
      <c r="A985" s="198" t="s">
        <v>1279</v>
      </c>
      <c r="B985" s="228" t="s">
        <v>3438</v>
      </c>
      <c r="C985" s="229" t="s">
        <v>3299</v>
      </c>
      <c r="D985" s="230" t="s">
        <v>11</v>
      </c>
      <c r="E985" s="231">
        <v>21.85</v>
      </c>
      <c r="F985" s="231"/>
      <c r="J985" s="480"/>
    </row>
    <row r="986" spans="1:10" ht="25.5" hidden="1" customHeight="1" outlineLevel="1" x14ac:dyDescent="0.2">
      <c r="A986" s="198" t="s">
        <v>1279</v>
      </c>
      <c r="B986" s="224" t="s">
        <v>3439</v>
      </c>
      <c r="C986" s="225" t="s">
        <v>3301</v>
      </c>
      <c r="D986" s="226" t="s">
        <v>11</v>
      </c>
      <c r="E986" s="227">
        <v>20.58</v>
      </c>
      <c r="F986" s="227"/>
      <c r="J986" s="480"/>
    </row>
    <row r="987" spans="1:10" ht="25.5" hidden="1" customHeight="1" outlineLevel="1" x14ac:dyDescent="0.2">
      <c r="A987" s="198" t="s">
        <v>1279</v>
      </c>
      <c r="B987" s="228" t="s">
        <v>3440</v>
      </c>
      <c r="C987" s="229" t="s">
        <v>3336</v>
      </c>
      <c r="D987" s="230" t="s">
        <v>11</v>
      </c>
      <c r="E987" s="231">
        <v>10.6</v>
      </c>
      <c r="F987" s="231"/>
      <c r="J987" s="480"/>
    </row>
    <row r="988" spans="1:10" ht="25.5" hidden="1" customHeight="1" outlineLevel="1" x14ac:dyDescent="0.2">
      <c r="A988" s="198" t="s">
        <v>1279</v>
      </c>
      <c r="B988" s="224" t="s">
        <v>3441</v>
      </c>
      <c r="C988" s="225" t="s">
        <v>3338</v>
      </c>
      <c r="D988" s="226" t="s">
        <v>11</v>
      </c>
      <c r="E988" s="227">
        <v>29.74</v>
      </c>
      <c r="F988" s="227"/>
      <c r="J988" s="480"/>
    </row>
    <row r="989" spans="1:10" ht="25.5" hidden="1" customHeight="1" outlineLevel="1" x14ac:dyDescent="0.2">
      <c r="A989" s="198" t="s">
        <v>1279</v>
      </c>
      <c r="B989" s="228" t="s">
        <v>3442</v>
      </c>
      <c r="C989" s="229" t="s">
        <v>3250</v>
      </c>
      <c r="D989" s="230" t="s">
        <v>11</v>
      </c>
      <c r="E989" s="231">
        <v>7.56</v>
      </c>
      <c r="F989" s="231"/>
      <c r="J989" s="480"/>
    </row>
    <row r="990" spans="1:10" ht="25.5" hidden="1" customHeight="1" outlineLevel="1" x14ac:dyDescent="0.2">
      <c r="A990" s="198" t="s">
        <v>1279</v>
      </c>
      <c r="B990" s="224" t="s">
        <v>3443</v>
      </c>
      <c r="C990" s="225" t="s">
        <v>3387</v>
      </c>
      <c r="D990" s="226" t="s">
        <v>11</v>
      </c>
      <c r="E990" s="227">
        <v>1.3</v>
      </c>
      <c r="F990" s="227"/>
      <c r="J990" s="480"/>
    </row>
    <row r="991" spans="1:10" ht="25.5" hidden="1" customHeight="1" outlineLevel="1" x14ac:dyDescent="0.2">
      <c r="A991" s="198" t="s">
        <v>1279</v>
      </c>
      <c r="B991" s="228" t="s">
        <v>3444</v>
      </c>
      <c r="C991" s="229" t="s">
        <v>3347</v>
      </c>
      <c r="D991" s="230" t="s">
        <v>11</v>
      </c>
      <c r="E991" s="231">
        <v>4.2</v>
      </c>
      <c r="F991" s="231"/>
      <c r="J991" s="480"/>
    </row>
    <row r="992" spans="1:10" ht="25.5" hidden="1" customHeight="1" outlineLevel="1" x14ac:dyDescent="0.2">
      <c r="A992" s="198" t="s">
        <v>1279</v>
      </c>
      <c r="B992" s="224" t="s">
        <v>3445</v>
      </c>
      <c r="C992" s="225" t="s">
        <v>3349</v>
      </c>
      <c r="D992" s="226" t="s">
        <v>11</v>
      </c>
      <c r="E992" s="227">
        <v>8.9700000000000006</v>
      </c>
      <c r="F992" s="227"/>
      <c r="J992" s="480"/>
    </row>
    <row r="993" spans="1:10" ht="25.5" hidden="1" customHeight="1" outlineLevel="1" x14ac:dyDescent="0.2">
      <c r="A993" s="198" t="s">
        <v>1279</v>
      </c>
      <c r="B993" s="228" t="s">
        <v>3446</v>
      </c>
      <c r="C993" s="229" t="s">
        <v>3351</v>
      </c>
      <c r="D993" s="230" t="s">
        <v>11</v>
      </c>
      <c r="E993" s="231">
        <v>3.72</v>
      </c>
      <c r="F993" s="231"/>
      <c r="J993" s="480"/>
    </row>
    <row r="994" spans="1:10" ht="25.5" hidden="1" customHeight="1" outlineLevel="1" x14ac:dyDescent="0.2">
      <c r="A994" s="198" t="s">
        <v>1279</v>
      </c>
      <c r="B994" s="224" t="s">
        <v>3447</v>
      </c>
      <c r="C994" s="225" t="s">
        <v>3353</v>
      </c>
      <c r="D994" s="226" t="s">
        <v>11</v>
      </c>
      <c r="E994" s="227">
        <v>7.42</v>
      </c>
      <c r="F994" s="227"/>
      <c r="J994" s="480"/>
    </row>
    <row r="995" spans="1:10" ht="18" hidden="1" customHeight="1" outlineLevel="1" x14ac:dyDescent="0.2">
      <c r="A995" s="198" t="s">
        <v>1279</v>
      </c>
      <c r="B995" s="228" t="s">
        <v>3448</v>
      </c>
      <c r="C995" s="229" t="s">
        <v>3274</v>
      </c>
      <c r="D995" s="230" t="s">
        <v>11</v>
      </c>
      <c r="E995" s="231">
        <v>4.29</v>
      </c>
      <c r="F995" s="231"/>
      <c r="J995" s="480"/>
    </row>
    <row r="996" spans="1:10" ht="25.5" hidden="1" customHeight="1" outlineLevel="1" x14ac:dyDescent="0.2">
      <c r="A996" s="198" t="s">
        <v>1279</v>
      </c>
      <c r="B996" s="224" t="s">
        <v>3449</v>
      </c>
      <c r="C996" s="225" t="s">
        <v>3387</v>
      </c>
      <c r="D996" s="226" t="s">
        <v>11</v>
      </c>
      <c r="E996" s="227">
        <v>1.2</v>
      </c>
      <c r="F996" s="227"/>
      <c r="J996" s="480"/>
    </row>
    <row r="997" spans="1:10" ht="25.5" hidden="1" customHeight="1" outlineLevel="1" x14ac:dyDescent="0.2">
      <c r="A997" s="198" t="s">
        <v>1279</v>
      </c>
      <c r="B997" s="228" t="s">
        <v>3450</v>
      </c>
      <c r="C997" s="229" t="s">
        <v>3451</v>
      </c>
      <c r="D997" s="230" t="s">
        <v>11</v>
      </c>
      <c r="E997" s="231">
        <v>4.58</v>
      </c>
      <c r="F997" s="231"/>
      <c r="J997" s="480"/>
    </row>
    <row r="998" spans="1:10" ht="25.5" hidden="1" customHeight="1" outlineLevel="1" x14ac:dyDescent="0.2">
      <c r="A998" s="198" t="s">
        <v>1279</v>
      </c>
      <c r="B998" s="224" t="s">
        <v>3452</v>
      </c>
      <c r="C998" s="225" t="s">
        <v>3397</v>
      </c>
      <c r="D998" s="226" t="s">
        <v>11</v>
      </c>
      <c r="E998" s="227">
        <v>9.33</v>
      </c>
      <c r="F998" s="227"/>
      <c r="J998" s="480"/>
    </row>
    <row r="999" spans="1:10" ht="25.5" hidden="1" customHeight="1" outlineLevel="1" x14ac:dyDescent="0.2">
      <c r="A999" s="198" t="s">
        <v>1279</v>
      </c>
      <c r="B999" s="228" t="s">
        <v>3453</v>
      </c>
      <c r="C999" s="229" t="s">
        <v>3347</v>
      </c>
      <c r="D999" s="230" t="s">
        <v>11</v>
      </c>
      <c r="E999" s="231">
        <v>2.0499999999999998</v>
      </c>
      <c r="F999" s="231"/>
      <c r="J999" s="480"/>
    </row>
    <row r="1000" spans="1:10" ht="25.5" hidden="1" customHeight="1" outlineLevel="1" x14ac:dyDescent="0.2">
      <c r="A1000" s="198" t="s">
        <v>1279</v>
      </c>
      <c r="B1000" s="224" t="s">
        <v>3454</v>
      </c>
      <c r="C1000" s="225" t="s">
        <v>3349</v>
      </c>
      <c r="D1000" s="226" t="s">
        <v>11</v>
      </c>
      <c r="E1000" s="227">
        <v>4.99</v>
      </c>
      <c r="F1000" s="227"/>
      <c r="J1000" s="480"/>
    </row>
    <row r="1001" spans="1:10" ht="25.5" hidden="1" customHeight="1" outlineLevel="1" x14ac:dyDescent="0.2">
      <c r="A1001" s="198" t="s">
        <v>1279</v>
      </c>
      <c r="B1001" s="228" t="s">
        <v>3455</v>
      </c>
      <c r="C1001" s="229" t="s">
        <v>3351</v>
      </c>
      <c r="D1001" s="230" t="s">
        <v>11</v>
      </c>
      <c r="E1001" s="231">
        <v>1.92</v>
      </c>
      <c r="F1001" s="231"/>
      <c r="J1001" s="480"/>
    </row>
    <row r="1002" spans="1:10" ht="25.5" hidden="1" customHeight="1" outlineLevel="1" x14ac:dyDescent="0.2">
      <c r="A1002" s="198" t="s">
        <v>1279</v>
      </c>
      <c r="B1002" s="224" t="s">
        <v>3456</v>
      </c>
      <c r="C1002" s="225" t="s">
        <v>3353</v>
      </c>
      <c r="D1002" s="226" t="s">
        <v>11</v>
      </c>
      <c r="E1002" s="227">
        <v>3.31</v>
      </c>
      <c r="F1002" s="227"/>
      <c r="J1002" s="480"/>
    </row>
    <row r="1003" spans="1:10" ht="25.5" hidden="1" customHeight="1" outlineLevel="1" x14ac:dyDescent="0.2">
      <c r="A1003" s="198" t="s">
        <v>1279</v>
      </c>
      <c r="B1003" s="228" t="s">
        <v>3457</v>
      </c>
      <c r="C1003" s="229" t="s">
        <v>3451</v>
      </c>
      <c r="D1003" s="230" t="s">
        <v>11</v>
      </c>
      <c r="E1003" s="231">
        <v>2.06</v>
      </c>
      <c r="F1003" s="231"/>
      <c r="J1003" s="480"/>
    </row>
    <row r="1004" spans="1:10" ht="25.5" hidden="1" customHeight="1" outlineLevel="1" x14ac:dyDescent="0.2">
      <c r="A1004" s="198" t="s">
        <v>1279</v>
      </c>
      <c r="B1004" s="224" t="s">
        <v>3458</v>
      </c>
      <c r="C1004" s="225" t="s">
        <v>3397</v>
      </c>
      <c r="D1004" s="226" t="s">
        <v>11</v>
      </c>
      <c r="E1004" s="227">
        <v>5.41</v>
      </c>
      <c r="F1004" s="227"/>
      <c r="J1004" s="480"/>
    </row>
    <row r="1005" spans="1:10" ht="18" hidden="1" customHeight="1" outlineLevel="1" x14ac:dyDescent="0.2">
      <c r="A1005" s="198" t="s">
        <v>1279</v>
      </c>
      <c r="B1005" s="216" t="s">
        <v>2297</v>
      </c>
      <c r="C1005" s="217" t="s">
        <v>2965</v>
      </c>
      <c r="D1005" s="218"/>
      <c r="E1005" s="219"/>
      <c r="F1005" s="219"/>
      <c r="J1005" s="480"/>
    </row>
    <row r="1006" spans="1:10" ht="18" hidden="1" customHeight="1" outlineLevel="1" x14ac:dyDescent="0.2">
      <c r="A1006" s="198" t="s">
        <v>1279</v>
      </c>
      <c r="B1006" s="228" t="s">
        <v>3459</v>
      </c>
      <c r="C1006" s="229" t="s">
        <v>124</v>
      </c>
      <c r="D1006" s="230" t="s">
        <v>11</v>
      </c>
      <c r="E1006" s="231">
        <v>2.31</v>
      </c>
      <c r="F1006" s="231"/>
      <c r="J1006" s="480"/>
    </row>
    <row r="1007" spans="1:10" ht="38.25" hidden="1" customHeight="1" outlineLevel="1" x14ac:dyDescent="0.2">
      <c r="A1007" s="198" t="s">
        <v>1279</v>
      </c>
      <c r="B1007" s="224" t="s">
        <v>3460</v>
      </c>
      <c r="C1007" s="225" t="s">
        <v>3319</v>
      </c>
      <c r="D1007" s="226" t="s">
        <v>11</v>
      </c>
      <c r="E1007" s="227">
        <v>3.25</v>
      </c>
      <c r="F1007" s="227"/>
      <c r="J1007" s="480"/>
    </row>
    <row r="1008" spans="1:10" ht="38.25" hidden="1" customHeight="1" outlineLevel="1" x14ac:dyDescent="0.2">
      <c r="A1008" s="198" t="s">
        <v>1279</v>
      </c>
      <c r="B1008" s="228" t="s">
        <v>3461</v>
      </c>
      <c r="C1008" s="229" t="s">
        <v>3320</v>
      </c>
      <c r="D1008" s="230" t="s">
        <v>11</v>
      </c>
      <c r="E1008" s="231">
        <v>2.71</v>
      </c>
      <c r="F1008" s="231"/>
      <c r="G1008" s="520" t="s">
        <v>1732</v>
      </c>
      <c r="H1008" s="234">
        <f>H1010+H1018</f>
        <v>772.38</v>
      </c>
      <c r="I1008" s="242" t="str">
        <f>IF(H1008=H800,"OKAY","REVER")</f>
        <v>REVER</v>
      </c>
      <c r="J1008" s="215"/>
    </row>
    <row r="1009" spans="1:10" ht="38.25" hidden="1" customHeight="1" outlineLevel="1" x14ac:dyDescent="0.2">
      <c r="A1009" s="198" t="s">
        <v>1279</v>
      </c>
      <c r="B1009" s="224" t="s">
        <v>3462</v>
      </c>
      <c r="C1009" s="225" t="s">
        <v>3321</v>
      </c>
      <c r="D1009" s="226" t="s">
        <v>11</v>
      </c>
      <c r="E1009" s="227">
        <v>2.29</v>
      </c>
      <c r="F1009" s="227"/>
      <c r="G1009" s="232"/>
      <c r="H1009" s="232"/>
      <c r="I1009" s="242"/>
      <c r="J1009" s="215"/>
    </row>
    <row r="1010" spans="1:10" ht="25.5" hidden="1" customHeight="1" outlineLevel="1" x14ac:dyDescent="0.2">
      <c r="A1010" s="198" t="s">
        <v>1279</v>
      </c>
      <c r="B1010" s="228" t="s">
        <v>3463</v>
      </c>
      <c r="C1010" s="229" t="s">
        <v>3294</v>
      </c>
      <c r="D1010" s="230" t="s">
        <v>11</v>
      </c>
      <c r="E1010" s="231">
        <v>7.91</v>
      </c>
      <c r="F1010" s="231"/>
      <c r="G1010" s="520" t="str">
        <f>$A$1</f>
        <v>EMBASSAMENTO</v>
      </c>
      <c r="H1010" s="234">
        <f>SUM(H1011:H1016)</f>
        <v>28.48</v>
      </c>
      <c r="I1010" s="242"/>
      <c r="J1010" s="215"/>
    </row>
    <row r="1011" spans="1:10" ht="25.5" hidden="1" customHeight="1" outlineLevel="1" x14ac:dyDescent="0.2">
      <c r="A1011" s="198" t="s">
        <v>1279</v>
      </c>
      <c r="B1011" s="224" t="s">
        <v>3464</v>
      </c>
      <c r="C1011" s="225" t="s">
        <v>3295</v>
      </c>
      <c r="D1011" s="226" t="s">
        <v>11</v>
      </c>
      <c r="E1011" s="227">
        <v>17.86</v>
      </c>
      <c r="F1011" s="227"/>
      <c r="G1011" s="229" t="s">
        <v>3200</v>
      </c>
      <c r="H1011" s="235">
        <f t="shared" ref="H1011:H1016" si="33">SUMIFS($E:$E,$C:$C,G1011,$A:$A,$G$22)</f>
        <v>28.48</v>
      </c>
      <c r="I1011" s="242"/>
      <c r="J1011" s="215"/>
    </row>
    <row r="1012" spans="1:10" ht="25.5" hidden="1" customHeight="1" outlineLevel="1" x14ac:dyDescent="0.2">
      <c r="A1012" s="198" t="s">
        <v>1279</v>
      </c>
      <c r="B1012" s="228" t="s">
        <v>3465</v>
      </c>
      <c r="C1012" s="229" t="s">
        <v>3376</v>
      </c>
      <c r="D1012" s="230" t="s">
        <v>11</v>
      </c>
      <c r="E1012" s="231">
        <v>4.53</v>
      </c>
      <c r="F1012" s="231"/>
      <c r="G1012" s="225" t="s">
        <v>3199</v>
      </c>
      <c r="H1012" s="235">
        <f t="shared" si="33"/>
        <v>0</v>
      </c>
      <c r="J1012" s="215"/>
    </row>
    <row r="1013" spans="1:10" ht="25.5" hidden="1" customHeight="1" outlineLevel="1" x14ac:dyDescent="0.2">
      <c r="A1013" s="198" t="s">
        <v>1279</v>
      </c>
      <c r="B1013" s="224" t="s">
        <v>3466</v>
      </c>
      <c r="C1013" s="225" t="s">
        <v>3323</v>
      </c>
      <c r="D1013" s="226" t="s">
        <v>11</v>
      </c>
      <c r="E1013" s="227">
        <v>9.36</v>
      </c>
      <c r="F1013" s="227"/>
      <c r="G1013" s="229"/>
      <c r="H1013" s="235">
        <f t="shared" si="33"/>
        <v>0</v>
      </c>
      <c r="J1013" s="215"/>
    </row>
    <row r="1014" spans="1:10" ht="25.5" hidden="1" customHeight="1" outlineLevel="1" x14ac:dyDescent="0.2">
      <c r="A1014" s="198" t="s">
        <v>1279</v>
      </c>
      <c r="B1014" s="228" t="s">
        <v>3467</v>
      </c>
      <c r="C1014" s="229" t="s">
        <v>3297</v>
      </c>
      <c r="D1014" s="230" t="s">
        <v>11</v>
      </c>
      <c r="E1014" s="231">
        <v>18.52</v>
      </c>
      <c r="F1014" s="231"/>
      <c r="G1014" s="229"/>
      <c r="H1014" s="235">
        <f t="shared" si="33"/>
        <v>0</v>
      </c>
      <c r="J1014" s="215"/>
    </row>
    <row r="1015" spans="1:10" ht="25.5" hidden="1" customHeight="1" outlineLevel="1" x14ac:dyDescent="0.2">
      <c r="A1015" s="198" t="s">
        <v>1279</v>
      </c>
      <c r="B1015" s="224" t="s">
        <v>3468</v>
      </c>
      <c r="C1015" s="225" t="s">
        <v>3299</v>
      </c>
      <c r="D1015" s="226" t="s">
        <v>11</v>
      </c>
      <c r="E1015" s="227">
        <v>21.8</v>
      </c>
      <c r="F1015" s="227"/>
      <c r="G1015" s="225"/>
      <c r="H1015" s="235">
        <f t="shared" si="33"/>
        <v>0</v>
      </c>
      <c r="J1015" s="215"/>
    </row>
    <row r="1016" spans="1:10" ht="25.5" hidden="1" customHeight="1" outlineLevel="1" x14ac:dyDescent="0.2">
      <c r="A1016" s="198" t="s">
        <v>1279</v>
      </c>
      <c r="B1016" s="228" t="s">
        <v>3469</v>
      </c>
      <c r="C1016" s="229" t="s">
        <v>3301</v>
      </c>
      <c r="D1016" s="230" t="s">
        <v>11</v>
      </c>
      <c r="E1016" s="231">
        <v>20.58</v>
      </c>
      <c r="F1016" s="231"/>
      <c r="G1016" s="229"/>
      <c r="H1016" s="235">
        <f t="shared" si="33"/>
        <v>0</v>
      </c>
      <c r="J1016" s="215"/>
    </row>
    <row r="1017" spans="1:10" ht="25.5" hidden="1" customHeight="1" outlineLevel="1" x14ac:dyDescent="0.2">
      <c r="A1017" s="198" t="s">
        <v>1279</v>
      </c>
      <c r="B1017" s="224" t="s">
        <v>3470</v>
      </c>
      <c r="C1017" s="225" t="s">
        <v>3336</v>
      </c>
      <c r="D1017" s="226" t="s">
        <v>11</v>
      </c>
      <c r="E1017" s="227">
        <v>10.6</v>
      </c>
      <c r="F1017" s="227"/>
      <c r="J1017" s="215"/>
    </row>
    <row r="1018" spans="1:10" ht="25.5" hidden="1" customHeight="1" outlineLevel="1" x14ac:dyDescent="0.2">
      <c r="A1018" s="198" t="s">
        <v>1279</v>
      </c>
      <c r="B1018" s="228" t="s">
        <v>3471</v>
      </c>
      <c r="C1018" s="229" t="s">
        <v>3338</v>
      </c>
      <c r="D1018" s="230" t="s">
        <v>11</v>
      </c>
      <c r="E1018" s="231">
        <v>19.87</v>
      </c>
      <c r="F1018" s="231"/>
      <c r="G1018" s="520" t="str">
        <f>$A$2</f>
        <v>TORRE</v>
      </c>
      <c r="H1018" s="234">
        <f>SUM(H1019:H1024)</f>
        <v>743.9</v>
      </c>
      <c r="J1018" s="215"/>
    </row>
    <row r="1019" spans="1:10" ht="25.5" hidden="1" customHeight="1" outlineLevel="1" x14ac:dyDescent="0.2">
      <c r="A1019" s="198" t="s">
        <v>1279</v>
      </c>
      <c r="B1019" s="224" t="s">
        <v>3472</v>
      </c>
      <c r="C1019" s="225" t="s">
        <v>3340</v>
      </c>
      <c r="D1019" s="226" t="s">
        <v>11</v>
      </c>
      <c r="E1019" s="227">
        <v>4.32</v>
      </c>
      <c r="F1019" s="227"/>
      <c r="G1019" s="229" t="s">
        <v>3200</v>
      </c>
      <c r="H1019" s="235">
        <f t="shared" ref="H1019:H1024" si="34">SUMIFS($E:$E,$C:$C,G1019,$A:$A,$G$30)</f>
        <v>743.9</v>
      </c>
      <c r="J1019" s="215"/>
    </row>
    <row r="1020" spans="1:10" ht="25.5" hidden="1" customHeight="1" outlineLevel="1" x14ac:dyDescent="0.2">
      <c r="A1020" s="198" t="s">
        <v>1279</v>
      </c>
      <c r="B1020" s="228" t="s">
        <v>3473</v>
      </c>
      <c r="C1020" s="229" t="s">
        <v>3250</v>
      </c>
      <c r="D1020" s="230" t="s">
        <v>11</v>
      </c>
      <c r="E1020" s="231">
        <v>7.52</v>
      </c>
      <c r="F1020" s="231"/>
      <c r="G1020" s="225" t="s">
        <v>3199</v>
      </c>
      <c r="H1020" s="235">
        <f t="shared" si="34"/>
        <v>0</v>
      </c>
      <c r="J1020" s="215"/>
    </row>
    <row r="1021" spans="1:10" ht="25.5" hidden="1" customHeight="1" outlineLevel="1" x14ac:dyDescent="0.2">
      <c r="A1021" s="198" t="s">
        <v>1279</v>
      </c>
      <c r="B1021" s="224" t="s">
        <v>3474</v>
      </c>
      <c r="C1021" s="225" t="s">
        <v>3347</v>
      </c>
      <c r="D1021" s="226" t="s">
        <v>11</v>
      </c>
      <c r="E1021" s="227">
        <v>4.1900000000000004</v>
      </c>
      <c r="F1021" s="227"/>
      <c r="G1021" s="225"/>
      <c r="H1021" s="235">
        <f t="shared" si="34"/>
        <v>0</v>
      </c>
      <c r="J1021" s="215"/>
    </row>
    <row r="1022" spans="1:10" ht="25.5" hidden="1" customHeight="1" outlineLevel="1" x14ac:dyDescent="0.2">
      <c r="A1022" s="198" t="s">
        <v>1279</v>
      </c>
      <c r="B1022" s="228" t="s">
        <v>3475</v>
      </c>
      <c r="C1022" s="229" t="s">
        <v>3349</v>
      </c>
      <c r="D1022" s="230" t="s">
        <v>11</v>
      </c>
      <c r="E1022" s="231">
        <v>8.91</v>
      </c>
      <c r="F1022" s="231"/>
      <c r="G1022" s="229"/>
      <c r="H1022" s="235">
        <f t="shared" si="34"/>
        <v>0</v>
      </c>
      <c r="J1022" s="215"/>
    </row>
    <row r="1023" spans="1:10" ht="25.5" hidden="1" customHeight="1" outlineLevel="1" x14ac:dyDescent="0.2">
      <c r="A1023" s="198" t="s">
        <v>1279</v>
      </c>
      <c r="B1023" s="224" t="s">
        <v>3476</v>
      </c>
      <c r="C1023" s="225" t="s">
        <v>3351</v>
      </c>
      <c r="D1023" s="226" t="s">
        <v>11</v>
      </c>
      <c r="E1023" s="227">
        <v>3.72</v>
      </c>
      <c r="F1023" s="227"/>
      <c r="G1023" s="225"/>
      <c r="H1023" s="235">
        <f t="shared" si="34"/>
        <v>0</v>
      </c>
      <c r="J1023" s="215"/>
    </row>
    <row r="1024" spans="1:10" ht="25.5" hidden="1" customHeight="1" outlineLevel="1" x14ac:dyDescent="0.2">
      <c r="A1024" s="198" t="s">
        <v>1279</v>
      </c>
      <c r="B1024" s="228" t="s">
        <v>3477</v>
      </c>
      <c r="C1024" s="229" t="s">
        <v>3353</v>
      </c>
      <c r="D1024" s="230" t="s">
        <v>11</v>
      </c>
      <c r="E1024" s="231">
        <v>7.42</v>
      </c>
      <c r="F1024" s="231"/>
      <c r="G1024" s="229"/>
      <c r="H1024" s="235">
        <f t="shared" si="34"/>
        <v>0</v>
      </c>
      <c r="J1024" s="215"/>
    </row>
    <row r="1025" spans="1:10" ht="25.5" hidden="1" customHeight="1" outlineLevel="1" x14ac:dyDescent="0.2">
      <c r="A1025" s="198" t="s">
        <v>1279</v>
      </c>
      <c r="B1025" s="224" t="s">
        <v>3478</v>
      </c>
      <c r="C1025" s="225" t="s">
        <v>3355</v>
      </c>
      <c r="D1025" s="226" t="s">
        <v>11</v>
      </c>
      <c r="E1025" s="227">
        <v>2.8</v>
      </c>
      <c r="F1025" s="227"/>
      <c r="G1025" s="494" t="s">
        <v>2571</v>
      </c>
      <c r="H1025" s="235">
        <f>SUMIF($C:$C,G1025,$F:$F)</f>
        <v>0</v>
      </c>
      <c r="I1025" s="241" t="s">
        <v>1730</v>
      </c>
      <c r="J1025" s="483">
        <v>5</v>
      </c>
    </row>
    <row r="1026" spans="1:10" ht="18" hidden="1" customHeight="1" outlineLevel="1" x14ac:dyDescent="0.2">
      <c r="A1026" s="198" t="s">
        <v>1279</v>
      </c>
      <c r="B1026" s="228" t="s">
        <v>3479</v>
      </c>
      <c r="C1026" s="229" t="s">
        <v>3274</v>
      </c>
      <c r="D1026" s="230" t="s">
        <v>11</v>
      </c>
      <c r="E1026" s="231">
        <v>4.3499999999999996</v>
      </c>
      <c r="F1026" s="231"/>
      <c r="G1026" s="495" t="s">
        <v>2573</v>
      </c>
      <c r="H1026" s="235">
        <f>SUMIF($C:$C,G1026,$F:$F)</f>
        <v>0</v>
      </c>
      <c r="I1026" s="241" t="s">
        <v>1730</v>
      </c>
      <c r="J1026" s="483">
        <v>5</v>
      </c>
    </row>
    <row r="1027" spans="1:10" ht="25.5" hidden="1" customHeight="1" outlineLevel="1" x14ac:dyDescent="0.2">
      <c r="A1027" s="198" t="s">
        <v>1279</v>
      </c>
      <c r="B1027" s="224" t="s">
        <v>3480</v>
      </c>
      <c r="C1027" s="225" t="s">
        <v>3347</v>
      </c>
      <c r="D1027" s="226" t="s">
        <v>11</v>
      </c>
      <c r="E1027" s="227">
        <v>2.15</v>
      </c>
      <c r="F1027" s="227"/>
      <c r="G1027" s="494" t="s">
        <v>2596</v>
      </c>
      <c r="H1027" s="235">
        <f>SUMIF($C:$C,G1027,$F:$F)</f>
        <v>0</v>
      </c>
      <c r="I1027" s="241" t="s">
        <v>1729</v>
      </c>
      <c r="J1027" s="484">
        <v>8</v>
      </c>
    </row>
    <row r="1028" spans="1:10" ht="25.5" hidden="1" customHeight="1" outlineLevel="1" x14ac:dyDescent="0.2">
      <c r="A1028" s="198" t="s">
        <v>1279</v>
      </c>
      <c r="B1028" s="228" t="s">
        <v>3481</v>
      </c>
      <c r="C1028" s="229" t="s">
        <v>3349</v>
      </c>
      <c r="D1028" s="230" t="s">
        <v>11</v>
      </c>
      <c r="E1028" s="231">
        <v>4.53</v>
      </c>
      <c r="F1028" s="231"/>
      <c r="G1028" s="495" t="s">
        <v>2598</v>
      </c>
      <c r="H1028" s="235">
        <f>SUMIF($C:$C,G1028,$F:$F)</f>
        <v>0</v>
      </c>
      <c r="I1028" s="241" t="s">
        <v>1729</v>
      </c>
      <c r="J1028" s="484">
        <v>8</v>
      </c>
    </row>
    <row r="1029" spans="1:10" ht="25.5" hidden="1" customHeight="1" outlineLevel="1" x14ac:dyDescent="0.2">
      <c r="A1029" s="198" t="s">
        <v>1279</v>
      </c>
      <c r="B1029" s="224" t="s">
        <v>3482</v>
      </c>
      <c r="C1029" s="225" t="s">
        <v>3351</v>
      </c>
      <c r="D1029" s="226" t="s">
        <v>11</v>
      </c>
      <c r="E1029" s="227">
        <v>1.41</v>
      </c>
      <c r="F1029" s="227"/>
      <c r="G1029" s="492" t="s">
        <v>2609</v>
      </c>
      <c r="H1029" s="235">
        <f t="shared" ref="H1029:H1041" si="35">SUMIF($C:$C,G1029,$E:$E)</f>
        <v>0</v>
      </c>
      <c r="I1029" s="241" t="s">
        <v>1729</v>
      </c>
      <c r="J1029" s="482">
        <v>3</v>
      </c>
    </row>
    <row r="1030" spans="1:10" ht="25.5" hidden="1" customHeight="1" outlineLevel="1" x14ac:dyDescent="0.2">
      <c r="A1030" s="198" t="s">
        <v>1279</v>
      </c>
      <c r="B1030" s="228" t="s">
        <v>3483</v>
      </c>
      <c r="C1030" s="229" t="s">
        <v>3353</v>
      </c>
      <c r="D1030" s="230" t="s">
        <v>11</v>
      </c>
      <c r="E1030" s="231">
        <v>2.82</v>
      </c>
      <c r="F1030" s="231"/>
      <c r="G1030" s="493" t="s">
        <v>2611</v>
      </c>
      <c r="H1030" s="235">
        <f t="shared" si="35"/>
        <v>0</v>
      </c>
      <c r="I1030" s="241" t="s">
        <v>1730</v>
      </c>
      <c r="J1030" s="483">
        <v>5</v>
      </c>
    </row>
    <row r="1031" spans="1:10" ht="25.5" hidden="1" customHeight="1" outlineLevel="1" x14ac:dyDescent="0.2">
      <c r="A1031" s="198" t="s">
        <v>1279</v>
      </c>
      <c r="B1031" s="224" t="s">
        <v>3484</v>
      </c>
      <c r="C1031" s="225" t="s">
        <v>3355</v>
      </c>
      <c r="D1031" s="226" t="s">
        <v>11</v>
      </c>
      <c r="E1031" s="227">
        <v>1.17</v>
      </c>
      <c r="F1031" s="227"/>
      <c r="G1031" s="492" t="s">
        <v>2601</v>
      </c>
      <c r="H1031" s="235">
        <f t="shared" si="35"/>
        <v>0</v>
      </c>
      <c r="I1031" s="241" t="s">
        <v>1730</v>
      </c>
      <c r="J1031" s="483">
        <v>5</v>
      </c>
    </row>
    <row r="1032" spans="1:10" ht="18" hidden="1" customHeight="1" outlineLevel="1" x14ac:dyDescent="0.2">
      <c r="A1032" s="198" t="s">
        <v>1279</v>
      </c>
      <c r="B1032" s="216" t="s">
        <v>2298</v>
      </c>
      <c r="C1032" s="217" t="s">
        <v>2966</v>
      </c>
      <c r="D1032" s="218"/>
      <c r="E1032" s="219"/>
      <c r="F1032" s="219"/>
      <c r="G1032" s="493" t="s">
        <v>2603</v>
      </c>
      <c r="H1032" s="235">
        <f t="shared" si="35"/>
        <v>0</v>
      </c>
      <c r="I1032" s="241" t="s">
        <v>1729</v>
      </c>
      <c r="J1032" s="484">
        <v>8</v>
      </c>
    </row>
    <row r="1033" spans="1:10" ht="18" hidden="1" customHeight="1" outlineLevel="1" x14ac:dyDescent="0.2">
      <c r="A1033" s="198" t="s">
        <v>1279</v>
      </c>
      <c r="B1033" s="228" t="s">
        <v>3485</v>
      </c>
      <c r="C1033" s="229" t="s">
        <v>124</v>
      </c>
      <c r="D1033" s="230" t="s">
        <v>11</v>
      </c>
      <c r="E1033" s="231">
        <v>2.95</v>
      </c>
      <c r="F1033" s="231"/>
      <c r="G1033" s="492" t="s">
        <v>2613</v>
      </c>
      <c r="H1033" s="235">
        <f t="shared" si="35"/>
        <v>0</v>
      </c>
      <c r="I1033" s="241" t="s">
        <v>2633</v>
      </c>
      <c r="J1033" s="480"/>
    </row>
    <row r="1034" spans="1:10" ht="38.25" hidden="1" customHeight="1" outlineLevel="1" x14ac:dyDescent="0.2">
      <c r="A1034" s="198" t="s">
        <v>1279</v>
      </c>
      <c r="B1034" s="224" t="s">
        <v>3486</v>
      </c>
      <c r="C1034" s="225" t="s">
        <v>3319</v>
      </c>
      <c r="D1034" s="226" t="s">
        <v>11</v>
      </c>
      <c r="E1034" s="227">
        <v>3.25</v>
      </c>
      <c r="F1034" s="227"/>
      <c r="G1034" s="493" t="s">
        <v>2605</v>
      </c>
      <c r="H1034" s="235">
        <f t="shared" si="35"/>
        <v>0</v>
      </c>
      <c r="I1034" s="241" t="s">
        <v>1730</v>
      </c>
      <c r="J1034" s="483">
        <v>5</v>
      </c>
    </row>
    <row r="1035" spans="1:10" ht="38.25" hidden="1" customHeight="1" outlineLevel="1" x14ac:dyDescent="0.2">
      <c r="A1035" s="198" t="s">
        <v>1279</v>
      </c>
      <c r="B1035" s="228" t="s">
        <v>3487</v>
      </c>
      <c r="C1035" s="229" t="s">
        <v>3320</v>
      </c>
      <c r="D1035" s="230" t="s">
        <v>11</v>
      </c>
      <c r="E1035" s="231">
        <v>2.71</v>
      </c>
      <c r="F1035" s="231"/>
      <c r="G1035" s="492" t="s">
        <v>2614</v>
      </c>
      <c r="H1035" s="235">
        <f t="shared" si="35"/>
        <v>0</v>
      </c>
      <c r="I1035" s="241" t="s">
        <v>1730</v>
      </c>
      <c r="J1035" s="483">
        <v>5</v>
      </c>
    </row>
    <row r="1036" spans="1:10" ht="38.25" hidden="1" customHeight="1" outlineLevel="1" x14ac:dyDescent="0.2">
      <c r="A1036" s="198" t="s">
        <v>1279</v>
      </c>
      <c r="B1036" s="224" t="s">
        <v>3488</v>
      </c>
      <c r="C1036" s="225" t="s">
        <v>3321</v>
      </c>
      <c r="D1036" s="226" t="s">
        <v>11</v>
      </c>
      <c r="E1036" s="227">
        <v>1.68</v>
      </c>
      <c r="F1036" s="227"/>
      <c r="G1036" s="493" t="s">
        <v>2606</v>
      </c>
      <c r="H1036" s="235">
        <f t="shared" si="35"/>
        <v>0</v>
      </c>
      <c r="I1036" s="241" t="s">
        <v>1729</v>
      </c>
      <c r="J1036" s="482">
        <v>3</v>
      </c>
    </row>
    <row r="1037" spans="1:10" ht="38.25" hidden="1" customHeight="1" outlineLevel="1" x14ac:dyDescent="0.2">
      <c r="A1037" s="198" t="s">
        <v>1279</v>
      </c>
      <c r="B1037" s="228" t="s">
        <v>3489</v>
      </c>
      <c r="C1037" s="229" t="s">
        <v>3372</v>
      </c>
      <c r="D1037" s="230" t="s">
        <v>11</v>
      </c>
      <c r="E1037" s="231">
        <v>2.2200000000000002</v>
      </c>
      <c r="F1037" s="231"/>
      <c r="G1037" s="492" t="s">
        <v>2627</v>
      </c>
      <c r="H1037" s="235">
        <f t="shared" si="35"/>
        <v>0</v>
      </c>
      <c r="I1037" s="241" t="s">
        <v>1729</v>
      </c>
      <c r="J1037" s="484">
        <v>8</v>
      </c>
    </row>
    <row r="1038" spans="1:10" ht="25.5" hidden="1" customHeight="1" outlineLevel="1" x14ac:dyDescent="0.2">
      <c r="A1038" s="198" t="s">
        <v>1279</v>
      </c>
      <c r="B1038" s="224" t="s">
        <v>3490</v>
      </c>
      <c r="C1038" s="225" t="s">
        <v>3294</v>
      </c>
      <c r="D1038" s="226" t="s">
        <v>11</v>
      </c>
      <c r="E1038" s="227">
        <v>7.91</v>
      </c>
      <c r="F1038" s="227"/>
      <c r="G1038" s="493" t="s">
        <v>2632</v>
      </c>
      <c r="H1038" s="235">
        <f t="shared" si="35"/>
        <v>0</v>
      </c>
      <c r="I1038" s="241" t="s">
        <v>1729</v>
      </c>
      <c r="J1038" s="484">
        <v>8</v>
      </c>
    </row>
    <row r="1039" spans="1:10" ht="25.5" hidden="1" customHeight="1" outlineLevel="1" x14ac:dyDescent="0.2">
      <c r="A1039" s="198" t="s">
        <v>1279</v>
      </c>
      <c r="B1039" s="228" t="s">
        <v>3491</v>
      </c>
      <c r="C1039" s="229" t="s">
        <v>3295</v>
      </c>
      <c r="D1039" s="230" t="s">
        <v>11</v>
      </c>
      <c r="E1039" s="231">
        <v>17.86</v>
      </c>
      <c r="F1039" s="231"/>
      <c r="G1039" s="492" t="s">
        <v>2615</v>
      </c>
      <c r="H1039" s="235">
        <f t="shared" si="35"/>
        <v>0</v>
      </c>
      <c r="I1039" s="241" t="s">
        <v>1729</v>
      </c>
      <c r="J1039" s="483">
        <v>5</v>
      </c>
    </row>
    <row r="1040" spans="1:10" ht="25.5" hidden="1" customHeight="1" outlineLevel="1" x14ac:dyDescent="0.2">
      <c r="A1040" s="198" t="s">
        <v>1279</v>
      </c>
      <c r="B1040" s="224" t="s">
        <v>3492</v>
      </c>
      <c r="C1040" s="225" t="s">
        <v>3376</v>
      </c>
      <c r="D1040" s="226" t="s">
        <v>11</v>
      </c>
      <c r="E1040" s="227">
        <v>4.93</v>
      </c>
      <c r="F1040" s="227"/>
      <c r="G1040" s="493" t="s">
        <v>2607</v>
      </c>
      <c r="H1040" s="235">
        <f t="shared" si="35"/>
        <v>0</v>
      </c>
      <c r="I1040" s="241" t="s">
        <v>1729</v>
      </c>
      <c r="J1040" s="482">
        <v>3</v>
      </c>
    </row>
    <row r="1041" spans="1:10" ht="25.5" hidden="1" customHeight="1" outlineLevel="1" x14ac:dyDescent="0.2">
      <c r="A1041" s="198" t="s">
        <v>1279</v>
      </c>
      <c r="B1041" s="228" t="s">
        <v>3493</v>
      </c>
      <c r="C1041" s="229" t="s">
        <v>3323</v>
      </c>
      <c r="D1041" s="230" t="s">
        <v>11</v>
      </c>
      <c r="E1041" s="231">
        <v>4.53</v>
      </c>
      <c r="F1041" s="231"/>
      <c r="G1041" s="492" t="s">
        <v>2630</v>
      </c>
      <c r="H1041" s="235">
        <f t="shared" si="35"/>
        <v>0</v>
      </c>
      <c r="I1041" s="241" t="s">
        <v>1729</v>
      </c>
      <c r="J1041" s="482">
        <v>3</v>
      </c>
    </row>
    <row r="1042" spans="1:10" ht="25.5" hidden="1" customHeight="1" outlineLevel="1" x14ac:dyDescent="0.2">
      <c r="A1042" s="198" t="s">
        <v>1279</v>
      </c>
      <c r="B1042" s="224" t="s">
        <v>3494</v>
      </c>
      <c r="C1042" s="225" t="s">
        <v>3325</v>
      </c>
      <c r="D1042" s="226" t="s">
        <v>11</v>
      </c>
      <c r="E1042" s="227">
        <v>9.36</v>
      </c>
      <c r="F1042" s="227"/>
      <c r="J1042" s="480"/>
    </row>
    <row r="1043" spans="1:10" ht="25.5" hidden="1" customHeight="1" outlineLevel="1" x14ac:dyDescent="0.2">
      <c r="A1043" s="198" t="s">
        <v>1279</v>
      </c>
      <c r="B1043" s="228" t="s">
        <v>3495</v>
      </c>
      <c r="C1043" s="229" t="s">
        <v>3327</v>
      </c>
      <c r="D1043" s="230" t="s">
        <v>11</v>
      </c>
      <c r="E1043" s="231">
        <v>4.82</v>
      </c>
      <c r="F1043" s="231"/>
      <c r="J1043" s="480"/>
    </row>
    <row r="1044" spans="1:10" ht="25.5" hidden="1" customHeight="1" outlineLevel="1" x14ac:dyDescent="0.2">
      <c r="A1044" s="198" t="s">
        <v>1279</v>
      </c>
      <c r="B1044" s="224" t="s">
        <v>3496</v>
      </c>
      <c r="C1044" s="225" t="s">
        <v>3297</v>
      </c>
      <c r="D1044" s="226" t="s">
        <v>11</v>
      </c>
      <c r="E1044" s="227">
        <v>18.510000000000002</v>
      </c>
      <c r="F1044" s="227"/>
      <c r="J1044" s="480"/>
    </row>
    <row r="1045" spans="1:10" ht="25.5" hidden="1" customHeight="1" outlineLevel="1" x14ac:dyDescent="0.2">
      <c r="A1045" s="198" t="s">
        <v>1279</v>
      </c>
      <c r="B1045" s="228" t="s">
        <v>3497</v>
      </c>
      <c r="C1045" s="229" t="s">
        <v>3299</v>
      </c>
      <c r="D1045" s="230" t="s">
        <v>11</v>
      </c>
      <c r="E1045" s="231">
        <v>21.85</v>
      </c>
      <c r="F1045" s="231"/>
      <c r="J1045" s="480"/>
    </row>
    <row r="1046" spans="1:10" ht="25.5" hidden="1" customHeight="1" outlineLevel="1" x14ac:dyDescent="0.2">
      <c r="A1046" s="198" t="s">
        <v>1279</v>
      </c>
      <c r="B1046" s="224" t="s">
        <v>3498</v>
      </c>
      <c r="C1046" s="225" t="s">
        <v>3301</v>
      </c>
      <c r="D1046" s="226" t="s">
        <v>11</v>
      </c>
      <c r="E1046" s="227">
        <v>20.58</v>
      </c>
      <c r="F1046" s="227"/>
      <c r="J1046" s="480"/>
    </row>
    <row r="1047" spans="1:10" ht="25.5" hidden="1" customHeight="1" outlineLevel="1" x14ac:dyDescent="0.2">
      <c r="A1047" s="198" t="s">
        <v>1279</v>
      </c>
      <c r="B1047" s="228" t="s">
        <v>3499</v>
      </c>
      <c r="C1047" s="229" t="s">
        <v>3336</v>
      </c>
      <c r="D1047" s="230" t="s">
        <v>11</v>
      </c>
      <c r="E1047" s="231">
        <v>10.6</v>
      </c>
      <c r="F1047" s="231"/>
      <c r="J1047" s="480"/>
    </row>
    <row r="1048" spans="1:10" ht="25.5" hidden="1" customHeight="1" outlineLevel="1" x14ac:dyDescent="0.2">
      <c r="A1048" s="198" t="s">
        <v>1279</v>
      </c>
      <c r="B1048" s="224" t="s">
        <v>3500</v>
      </c>
      <c r="C1048" s="225" t="s">
        <v>3338</v>
      </c>
      <c r="D1048" s="226" t="s">
        <v>11</v>
      </c>
      <c r="E1048" s="227">
        <v>29.74</v>
      </c>
      <c r="F1048" s="227"/>
      <c r="J1048" s="480"/>
    </row>
    <row r="1049" spans="1:10" ht="25.5" hidden="1" customHeight="1" outlineLevel="1" x14ac:dyDescent="0.2">
      <c r="A1049" s="198" t="s">
        <v>1279</v>
      </c>
      <c r="B1049" s="228" t="s">
        <v>3501</v>
      </c>
      <c r="C1049" s="229" t="s">
        <v>3250</v>
      </c>
      <c r="D1049" s="230" t="s">
        <v>11</v>
      </c>
      <c r="E1049" s="231">
        <v>7.56</v>
      </c>
      <c r="F1049" s="231"/>
      <c r="J1049" s="480"/>
    </row>
    <row r="1050" spans="1:10" ht="25.5" hidden="1" customHeight="1" outlineLevel="1" x14ac:dyDescent="0.2">
      <c r="A1050" s="198" t="s">
        <v>1279</v>
      </c>
      <c r="B1050" s="224" t="s">
        <v>3502</v>
      </c>
      <c r="C1050" s="225" t="s">
        <v>3387</v>
      </c>
      <c r="D1050" s="226" t="s">
        <v>11</v>
      </c>
      <c r="E1050" s="227">
        <v>1.3</v>
      </c>
      <c r="F1050" s="227"/>
      <c r="J1050" s="480"/>
    </row>
    <row r="1051" spans="1:10" ht="25.5" hidden="1" customHeight="1" outlineLevel="1" x14ac:dyDescent="0.2">
      <c r="A1051" s="198" t="s">
        <v>1279</v>
      </c>
      <c r="B1051" s="228" t="s">
        <v>3503</v>
      </c>
      <c r="C1051" s="229" t="s">
        <v>3347</v>
      </c>
      <c r="D1051" s="230" t="s">
        <v>11</v>
      </c>
      <c r="E1051" s="231">
        <v>4.2</v>
      </c>
      <c r="F1051" s="231"/>
      <c r="J1051" s="480"/>
    </row>
    <row r="1052" spans="1:10" ht="25.5" hidden="1" customHeight="1" outlineLevel="1" x14ac:dyDescent="0.2">
      <c r="A1052" s="198" t="s">
        <v>1279</v>
      </c>
      <c r="B1052" s="224" t="s">
        <v>3504</v>
      </c>
      <c r="C1052" s="225" t="s">
        <v>3349</v>
      </c>
      <c r="D1052" s="226" t="s">
        <v>11</v>
      </c>
      <c r="E1052" s="227">
        <v>8.9700000000000006</v>
      </c>
      <c r="F1052" s="227"/>
      <c r="J1052" s="480"/>
    </row>
    <row r="1053" spans="1:10" ht="25.5" hidden="1" customHeight="1" outlineLevel="1" x14ac:dyDescent="0.2">
      <c r="A1053" s="198" t="s">
        <v>1279</v>
      </c>
      <c r="B1053" s="228" t="s">
        <v>3505</v>
      </c>
      <c r="C1053" s="229" t="s">
        <v>3351</v>
      </c>
      <c r="D1053" s="230" t="s">
        <v>11</v>
      </c>
      <c r="E1053" s="231">
        <v>3.72</v>
      </c>
      <c r="F1053" s="231"/>
      <c r="J1053" s="480"/>
    </row>
    <row r="1054" spans="1:10" ht="25.5" hidden="1" customHeight="1" outlineLevel="1" x14ac:dyDescent="0.2">
      <c r="A1054" s="198" t="s">
        <v>1279</v>
      </c>
      <c r="B1054" s="224" t="s">
        <v>3506</v>
      </c>
      <c r="C1054" s="225" t="s">
        <v>3353</v>
      </c>
      <c r="D1054" s="226" t="s">
        <v>11</v>
      </c>
      <c r="E1054" s="227">
        <v>7.42</v>
      </c>
      <c r="F1054" s="227"/>
      <c r="J1054" s="480"/>
    </row>
    <row r="1055" spans="1:10" ht="18" hidden="1" customHeight="1" outlineLevel="1" x14ac:dyDescent="0.2">
      <c r="A1055" s="198" t="s">
        <v>1279</v>
      </c>
      <c r="B1055" s="228" t="s">
        <v>3507</v>
      </c>
      <c r="C1055" s="229" t="s">
        <v>3274</v>
      </c>
      <c r="D1055" s="230" t="s">
        <v>11</v>
      </c>
      <c r="E1055" s="231">
        <v>4.97</v>
      </c>
      <c r="F1055" s="231"/>
      <c r="J1055" s="480"/>
    </row>
    <row r="1056" spans="1:10" ht="25.5" hidden="1" customHeight="1" outlineLevel="1" x14ac:dyDescent="0.2">
      <c r="A1056" s="198" t="s">
        <v>1279</v>
      </c>
      <c r="B1056" s="224" t="s">
        <v>3508</v>
      </c>
      <c r="C1056" s="225" t="s">
        <v>3387</v>
      </c>
      <c r="D1056" s="226" t="s">
        <v>11</v>
      </c>
      <c r="E1056" s="227">
        <v>1.2</v>
      </c>
      <c r="F1056" s="227"/>
      <c r="J1056" s="480"/>
    </row>
    <row r="1057" spans="1:10" ht="25.5" hidden="1" customHeight="1" outlineLevel="1" x14ac:dyDescent="0.2">
      <c r="A1057" s="198" t="s">
        <v>1279</v>
      </c>
      <c r="B1057" s="228" t="s">
        <v>3509</v>
      </c>
      <c r="C1057" s="229" t="s">
        <v>3451</v>
      </c>
      <c r="D1057" s="230" t="s">
        <v>11</v>
      </c>
      <c r="E1057" s="231">
        <v>4.58</v>
      </c>
      <c r="F1057" s="231"/>
      <c r="J1057" s="480"/>
    </row>
    <row r="1058" spans="1:10" ht="25.5" hidden="1" customHeight="1" outlineLevel="1" x14ac:dyDescent="0.2">
      <c r="A1058" s="198" t="s">
        <v>1279</v>
      </c>
      <c r="B1058" s="224" t="s">
        <v>3510</v>
      </c>
      <c r="C1058" s="225" t="s">
        <v>3397</v>
      </c>
      <c r="D1058" s="226" t="s">
        <v>11</v>
      </c>
      <c r="E1058" s="227">
        <v>9.33</v>
      </c>
      <c r="F1058" s="227"/>
      <c r="J1058" s="480"/>
    </row>
    <row r="1059" spans="1:10" ht="25.5" hidden="1" customHeight="1" outlineLevel="1" x14ac:dyDescent="0.2">
      <c r="A1059" s="198" t="s">
        <v>1279</v>
      </c>
      <c r="B1059" s="228" t="s">
        <v>3511</v>
      </c>
      <c r="C1059" s="229" t="s">
        <v>3347</v>
      </c>
      <c r="D1059" s="230" t="s">
        <v>11</v>
      </c>
      <c r="E1059" s="231">
        <v>2.0499999999999998</v>
      </c>
      <c r="F1059" s="231"/>
      <c r="J1059" s="480"/>
    </row>
    <row r="1060" spans="1:10" ht="25.5" hidden="1" customHeight="1" outlineLevel="1" x14ac:dyDescent="0.2">
      <c r="A1060" s="198" t="s">
        <v>1279</v>
      </c>
      <c r="B1060" s="224" t="s">
        <v>3512</v>
      </c>
      <c r="C1060" s="225" t="s">
        <v>3349</v>
      </c>
      <c r="D1060" s="226" t="s">
        <v>11</v>
      </c>
      <c r="E1060" s="227">
        <v>4.99</v>
      </c>
      <c r="F1060" s="227"/>
      <c r="J1060" s="480"/>
    </row>
    <row r="1061" spans="1:10" ht="25.5" hidden="1" customHeight="1" outlineLevel="1" x14ac:dyDescent="0.2">
      <c r="A1061" s="198" t="s">
        <v>1279</v>
      </c>
      <c r="B1061" s="228" t="s">
        <v>3513</v>
      </c>
      <c r="C1061" s="229" t="s">
        <v>3351</v>
      </c>
      <c r="D1061" s="230" t="s">
        <v>11</v>
      </c>
      <c r="E1061" s="231">
        <v>1.92</v>
      </c>
      <c r="F1061" s="231"/>
      <c r="J1061" s="480"/>
    </row>
    <row r="1062" spans="1:10" ht="25.5" hidden="1" customHeight="1" outlineLevel="1" x14ac:dyDescent="0.2">
      <c r="A1062" s="198" t="s">
        <v>1279</v>
      </c>
      <c r="B1062" s="224" t="s">
        <v>3514</v>
      </c>
      <c r="C1062" s="225" t="s">
        <v>3353</v>
      </c>
      <c r="D1062" s="226" t="s">
        <v>11</v>
      </c>
      <c r="E1062" s="227">
        <v>3.31</v>
      </c>
      <c r="F1062" s="227"/>
      <c r="J1062" s="480"/>
    </row>
    <row r="1063" spans="1:10" ht="25.5" hidden="1" customHeight="1" outlineLevel="1" x14ac:dyDescent="0.2">
      <c r="A1063" s="198" t="s">
        <v>1279</v>
      </c>
      <c r="B1063" s="228" t="s">
        <v>3515</v>
      </c>
      <c r="C1063" s="229" t="s">
        <v>3451</v>
      </c>
      <c r="D1063" s="230" t="s">
        <v>11</v>
      </c>
      <c r="E1063" s="231">
        <v>2.06</v>
      </c>
      <c r="F1063" s="231"/>
      <c r="J1063" s="480"/>
    </row>
    <row r="1064" spans="1:10" ht="25.5" hidden="1" customHeight="1" outlineLevel="1" x14ac:dyDescent="0.2">
      <c r="A1064" s="198" t="s">
        <v>1279</v>
      </c>
      <c r="B1064" s="224" t="s">
        <v>3516</v>
      </c>
      <c r="C1064" s="225" t="s">
        <v>3397</v>
      </c>
      <c r="D1064" s="226" t="s">
        <v>11</v>
      </c>
      <c r="E1064" s="227">
        <v>5.41</v>
      </c>
      <c r="F1064" s="227"/>
      <c r="J1064" s="480"/>
    </row>
    <row r="1065" spans="1:10" ht="18" hidden="1" customHeight="1" outlineLevel="1" x14ac:dyDescent="0.2">
      <c r="A1065" s="198" t="s">
        <v>1279</v>
      </c>
      <c r="B1065" s="216" t="s">
        <v>2299</v>
      </c>
      <c r="C1065" s="217" t="s">
        <v>2967</v>
      </c>
      <c r="D1065" s="218"/>
      <c r="E1065" s="219"/>
      <c r="F1065" s="219"/>
      <c r="J1065" s="480"/>
    </row>
    <row r="1066" spans="1:10" ht="18" hidden="1" customHeight="1" outlineLevel="1" x14ac:dyDescent="0.2">
      <c r="A1066" s="198" t="s">
        <v>1279</v>
      </c>
      <c r="B1066" s="228" t="s">
        <v>3517</v>
      </c>
      <c r="C1066" s="229" t="s">
        <v>124</v>
      </c>
      <c r="D1066" s="230" t="s">
        <v>11</v>
      </c>
      <c r="E1066" s="231">
        <v>2.31</v>
      </c>
      <c r="F1066" s="231"/>
      <c r="J1066" s="480"/>
    </row>
    <row r="1067" spans="1:10" ht="38.25" hidden="1" customHeight="1" outlineLevel="1" x14ac:dyDescent="0.2">
      <c r="A1067" s="198" t="s">
        <v>1279</v>
      </c>
      <c r="B1067" s="224" t="s">
        <v>3518</v>
      </c>
      <c r="C1067" s="225" t="s">
        <v>3319</v>
      </c>
      <c r="D1067" s="226" t="s">
        <v>11</v>
      </c>
      <c r="E1067" s="227">
        <v>3.25</v>
      </c>
      <c r="F1067" s="227"/>
      <c r="J1067" s="480"/>
    </row>
    <row r="1068" spans="1:10" ht="38.25" hidden="1" customHeight="1" outlineLevel="1" x14ac:dyDescent="0.2">
      <c r="A1068" s="198" t="s">
        <v>1279</v>
      </c>
      <c r="B1068" s="228" t="s">
        <v>3519</v>
      </c>
      <c r="C1068" s="229" t="s">
        <v>3320</v>
      </c>
      <c r="D1068" s="230" t="s">
        <v>11</v>
      </c>
      <c r="E1068" s="231">
        <v>2.71</v>
      </c>
      <c r="F1068" s="231"/>
      <c r="J1068" s="480"/>
    </row>
    <row r="1069" spans="1:10" ht="38.25" hidden="1" customHeight="1" outlineLevel="1" x14ac:dyDescent="0.2">
      <c r="A1069" s="198" t="s">
        <v>1279</v>
      </c>
      <c r="B1069" s="224" t="s">
        <v>3520</v>
      </c>
      <c r="C1069" s="225" t="s">
        <v>3321</v>
      </c>
      <c r="D1069" s="226" t="s">
        <v>11</v>
      </c>
      <c r="E1069" s="227">
        <v>2.29</v>
      </c>
      <c r="F1069" s="227"/>
      <c r="J1069" s="480"/>
    </row>
    <row r="1070" spans="1:10" ht="25.5" hidden="1" customHeight="1" outlineLevel="1" x14ac:dyDescent="0.2">
      <c r="A1070" s="198" t="s">
        <v>1279</v>
      </c>
      <c r="B1070" s="228" t="s">
        <v>3521</v>
      </c>
      <c r="C1070" s="229" t="s">
        <v>3294</v>
      </c>
      <c r="D1070" s="230" t="s">
        <v>11</v>
      </c>
      <c r="E1070" s="231">
        <v>7.91</v>
      </c>
      <c r="F1070" s="231"/>
      <c r="J1070" s="480"/>
    </row>
    <row r="1071" spans="1:10" ht="25.5" hidden="1" customHeight="1" outlineLevel="1" x14ac:dyDescent="0.2">
      <c r="A1071" s="198" t="s">
        <v>1279</v>
      </c>
      <c r="B1071" s="224" t="s">
        <v>3522</v>
      </c>
      <c r="C1071" s="225" t="s">
        <v>3295</v>
      </c>
      <c r="D1071" s="226" t="s">
        <v>11</v>
      </c>
      <c r="E1071" s="227">
        <v>17.86</v>
      </c>
      <c r="F1071" s="227"/>
      <c r="J1071" s="480"/>
    </row>
    <row r="1072" spans="1:10" ht="25.5" hidden="1" customHeight="1" outlineLevel="1" x14ac:dyDescent="0.2">
      <c r="A1072" s="198" t="s">
        <v>1279</v>
      </c>
      <c r="B1072" s="228" t="s">
        <v>3523</v>
      </c>
      <c r="C1072" s="229" t="s">
        <v>3376</v>
      </c>
      <c r="D1072" s="230" t="s">
        <v>11</v>
      </c>
      <c r="E1072" s="231">
        <v>4.53</v>
      </c>
      <c r="F1072" s="231"/>
      <c r="J1072" s="480"/>
    </row>
    <row r="1073" spans="1:10" ht="25.5" hidden="1" customHeight="1" outlineLevel="1" x14ac:dyDescent="0.2">
      <c r="A1073" s="198" t="s">
        <v>1279</v>
      </c>
      <c r="B1073" s="224" t="s">
        <v>3524</v>
      </c>
      <c r="C1073" s="225" t="s">
        <v>3323</v>
      </c>
      <c r="D1073" s="226" t="s">
        <v>11</v>
      </c>
      <c r="E1073" s="227">
        <v>9.36</v>
      </c>
      <c r="F1073" s="227"/>
      <c r="J1073" s="480"/>
    </row>
    <row r="1074" spans="1:10" ht="25.5" hidden="1" customHeight="1" outlineLevel="1" x14ac:dyDescent="0.2">
      <c r="A1074" s="198" t="s">
        <v>1279</v>
      </c>
      <c r="B1074" s="228" t="s">
        <v>3525</v>
      </c>
      <c r="C1074" s="229" t="s">
        <v>3297</v>
      </c>
      <c r="D1074" s="230" t="s">
        <v>11</v>
      </c>
      <c r="E1074" s="231">
        <v>18.52</v>
      </c>
      <c r="F1074" s="231"/>
      <c r="J1074" s="480"/>
    </row>
    <row r="1075" spans="1:10" ht="25.5" hidden="1" customHeight="1" outlineLevel="1" x14ac:dyDescent="0.2">
      <c r="A1075" s="198" t="s">
        <v>1279</v>
      </c>
      <c r="B1075" s="224" t="s">
        <v>3526</v>
      </c>
      <c r="C1075" s="225" t="s">
        <v>3299</v>
      </c>
      <c r="D1075" s="226" t="s">
        <v>11</v>
      </c>
      <c r="E1075" s="227">
        <v>21.8</v>
      </c>
      <c r="F1075" s="227"/>
      <c r="J1075" s="480"/>
    </row>
    <row r="1076" spans="1:10" ht="25.5" hidden="1" customHeight="1" outlineLevel="1" x14ac:dyDescent="0.2">
      <c r="A1076" s="198" t="s">
        <v>1279</v>
      </c>
      <c r="B1076" s="228" t="s">
        <v>3527</v>
      </c>
      <c r="C1076" s="229" t="s">
        <v>3301</v>
      </c>
      <c r="D1076" s="230" t="s">
        <v>11</v>
      </c>
      <c r="E1076" s="231">
        <v>20.58</v>
      </c>
      <c r="F1076" s="231"/>
      <c r="J1076" s="480"/>
    </row>
    <row r="1077" spans="1:10" ht="25.5" hidden="1" customHeight="1" outlineLevel="1" x14ac:dyDescent="0.2">
      <c r="A1077" s="198" t="s">
        <v>1279</v>
      </c>
      <c r="B1077" s="224" t="s">
        <v>3528</v>
      </c>
      <c r="C1077" s="225" t="s">
        <v>3336</v>
      </c>
      <c r="D1077" s="226" t="s">
        <v>11</v>
      </c>
      <c r="E1077" s="227">
        <v>10.6</v>
      </c>
      <c r="F1077" s="227"/>
      <c r="J1077" s="480"/>
    </row>
    <row r="1078" spans="1:10" ht="25.5" hidden="1" customHeight="1" outlineLevel="1" x14ac:dyDescent="0.2">
      <c r="A1078" s="198" t="s">
        <v>1279</v>
      </c>
      <c r="B1078" s="228" t="s">
        <v>3529</v>
      </c>
      <c r="C1078" s="229" t="s">
        <v>3338</v>
      </c>
      <c r="D1078" s="230" t="s">
        <v>11</v>
      </c>
      <c r="E1078" s="231">
        <v>19.87</v>
      </c>
      <c r="F1078" s="231"/>
      <c r="J1078" s="480"/>
    </row>
    <row r="1079" spans="1:10" ht="25.5" hidden="1" customHeight="1" outlineLevel="1" x14ac:dyDescent="0.2">
      <c r="A1079" s="198" t="s">
        <v>1279</v>
      </c>
      <c r="B1079" s="224" t="s">
        <v>3530</v>
      </c>
      <c r="C1079" s="225" t="s">
        <v>3340</v>
      </c>
      <c r="D1079" s="226" t="s">
        <v>11</v>
      </c>
      <c r="E1079" s="227">
        <v>4.32</v>
      </c>
      <c r="F1079" s="227"/>
      <c r="J1079" s="480"/>
    </row>
    <row r="1080" spans="1:10" ht="25.5" hidden="1" customHeight="1" outlineLevel="1" x14ac:dyDescent="0.2">
      <c r="A1080" s="198" t="s">
        <v>1279</v>
      </c>
      <c r="B1080" s="228" t="s">
        <v>3531</v>
      </c>
      <c r="C1080" s="229" t="s">
        <v>3250</v>
      </c>
      <c r="D1080" s="230" t="s">
        <v>11</v>
      </c>
      <c r="E1080" s="231">
        <v>7.52</v>
      </c>
      <c r="F1080" s="231"/>
      <c r="J1080" s="480"/>
    </row>
    <row r="1081" spans="1:10" ht="25.5" hidden="1" customHeight="1" outlineLevel="1" x14ac:dyDescent="0.2">
      <c r="A1081" s="198" t="s">
        <v>1279</v>
      </c>
      <c r="B1081" s="224" t="s">
        <v>3532</v>
      </c>
      <c r="C1081" s="225" t="s">
        <v>3347</v>
      </c>
      <c r="D1081" s="226" t="s">
        <v>11</v>
      </c>
      <c r="E1081" s="227">
        <v>4.1900000000000004</v>
      </c>
      <c r="F1081" s="227"/>
      <c r="J1081" s="480"/>
    </row>
    <row r="1082" spans="1:10" ht="25.5" hidden="1" customHeight="1" outlineLevel="1" x14ac:dyDescent="0.2">
      <c r="A1082" s="198" t="s">
        <v>1279</v>
      </c>
      <c r="B1082" s="228" t="s">
        <v>3533</v>
      </c>
      <c r="C1082" s="229" t="s">
        <v>3349</v>
      </c>
      <c r="D1082" s="230" t="s">
        <v>11</v>
      </c>
      <c r="E1082" s="231">
        <v>8.91</v>
      </c>
      <c r="F1082" s="231"/>
      <c r="J1082" s="480"/>
    </row>
    <row r="1083" spans="1:10" ht="25.5" hidden="1" customHeight="1" outlineLevel="1" x14ac:dyDescent="0.2">
      <c r="A1083" s="198" t="s">
        <v>1279</v>
      </c>
      <c r="B1083" s="224" t="s">
        <v>3534</v>
      </c>
      <c r="C1083" s="225" t="s">
        <v>3351</v>
      </c>
      <c r="D1083" s="226" t="s">
        <v>11</v>
      </c>
      <c r="E1083" s="227">
        <v>3.72</v>
      </c>
      <c r="F1083" s="227"/>
      <c r="J1083" s="480"/>
    </row>
    <row r="1084" spans="1:10" ht="25.5" hidden="1" customHeight="1" outlineLevel="1" x14ac:dyDescent="0.2">
      <c r="A1084" s="198" t="s">
        <v>1279</v>
      </c>
      <c r="B1084" s="228" t="s">
        <v>3535</v>
      </c>
      <c r="C1084" s="229" t="s">
        <v>3353</v>
      </c>
      <c r="D1084" s="230" t="s">
        <v>11</v>
      </c>
      <c r="E1084" s="231">
        <v>7.42</v>
      </c>
      <c r="F1084" s="231"/>
      <c r="J1084" s="480"/>
    </row>
    <row r="1085" spans="1:10" ht="25.5" hidden="1" customHeight="1" outlineLevel="1" x14ac:dyDescent="0.2">
      <c r="A1085" s="198" t="s">
        <v>1279</v>
      </c>
      <c r="B1085" s="224" t="s">
        <v>3536</v>
      </c>
      <c r="C1085" s="225" t="s">
        <v>3355</v>
      </c>
      <c r="D1085" s="226" t="s">
        <v>11</v>
      </c>
      <c r="E1085" s="227">
        <v>2.8</v>
      </c>
      <c r="F1085" s="227"/>
      <c r="J1085" s="480"/>
    </row>
    <row r="1086" spans="1:10" ht="18" hidden="1" customHeight="1" outlineLevel="1" x14ac:dyDescent="0.2">
      <c r="A1086" s="198" t="s">
        <v>1279</v>
      </c>
      <c r="B1086" s="228" t="s">
        <v>3537</v>
      </c>
      <c r="C1086" s="229" t="s">
        <v>3274</v>
      </c>
      <c r="D1086" s="230" t="s">
        <v>11</v>
      </c>
      <c r="E1086" s="231">
        <v>4.3499999999999996</v>
      </c>
      <c r="F1086" s="231"/>
      <c r="J1086" s="480"/>
    </row>
    <row r="1087" spans="1:10" ht="25.5" hidden="1" customHeight="1" outlineLevel="1" x14ac:dyDescent="0.2">
      <c r="A1087" s="198" t="s">
        <v>1279</v>
      </c>
      <c r="B1087" s="224" t="s">
        <v>3538</v>
      </c>
      <c r="C1087" s="225" t="s">
        <v>3347</v>
      </c>
      <c r="D1087" s="226" t="s">
        <v>11</v>
      </c>
      <c r="E1087" s="227">
        <v>2.15</v>
      </c>
      <c r="F1087" s="227"/>
      <c r="J1087" s="480"/>
    </row>
    <row r="1088" spans="1:10" ht="25.5" hidden="1" customHeight="1" outlineLevel="1" x14ac:dyDescent="0.2">
      <c r="A1088" s="198" t="s">
        <v>1279</v>
      </c>
      <c r="B1088" s="228" t="s">
        <v>3539</v>
      </c>
      <c r="C1088" s="229" t="s">
        <v>3349</v>
      </c>
      <c r="D1088" s="230" t="s">
        <v>11</v>
      </c>
      <c r="E1088" s="231">
        <v>4.53</v>
      </c>
      <c r="F1088" s="231"/>
      <c r="J1088" s="480"/>
    </row>
    <row r="1089" spans="1:10" ht="25.5" hidden="1" customHeight="1" outlineLevel="1" x14ac:dyDescent="0.2">
      <c r="A1089" s="198" t="s">
        <v>1279</v>
      </c>
      <c r="B1089" s="224" t="s">
        <v>3540</v>
      </c>
      <c r="C1089" s="225" t="s">
        <v>3351</v>
      </c>
      <c r="D1089" s="226" t="s">
        <v>11</v>
      </c>
      <c r="E1089" s="227">
        <v>1.41</v>
      </c>
      <c r="F1089" s="227"/>
      <c r="J1089" s="480"/>
    </row>
    <row r="1090" spans="1:10" ht="25.5" hidden="1" customHeight="1" outlineLevel="1" x14ac:dyDescent="0.2">
      <c r="A1090" s="198" t="s">
        <v>1279</v>
      </c>
      <c r="B1090" s="228" t="s">
        <v>3541</v>
      </c>
      <c r="C1090" s="229" t="s">
        <v>3353</v>
      </c>
      <c r="D1090" s="230" t="s">
        <v>11</v>
      </c>
      <c r="E1090" s="231">
        <v>2.82</v>
      </c>
      <c r="F1090" s="231"/>
      <c r="J1090" s="480"/>
    </row>
    <row r="1091" spans="1:10" ht="25.5" hidden="1" customHeight="1" outlineLevel="1" x14ac:dyDescent="0.2">
      <c r="A1091" s="198" t="s">
        <v>1279</v>
      </c>
      <c r="B1091" s="224" t="s">
        <v>3542</v>
      </c>
      <c r="C1091" s="225" t="s">
        <v>3355</v>
      </c>
      <c r="D1091" s="226" t="s">
        <v>11</v>
      </c>
      <c r="E1091" s="227">
        <v>1.17</v>
      </c>
      <c r="F1091" s="227"/>
      <c r="J1091" s="480"/>
    </row>
    <row r="1092" spans="1:10" ht="18" hidden="1" customHeight="1" outlineLevel="1" x14ac:dyDescent="0.2">
      <c r="A1092" s="198" t="s">
        <v>1279</v>
      </c>
      <c r="B1092" s="216" t="s">
        <v>2300</v>
      </c>
      <c r="C1092" s="217" t="s">
        <v>2968</v>
      </c>
      <c r="D1092" s="218"/>
      <c r="E1092" s="219"/>
      <c r="F1092" s="219"/>
      <c r="J1092" s="480"/>
    </row>
    <row r="1093" spans="1:10" ht="18" hidden="1" customHeight="1" outlineLevel="1" x14ac:dyDescent="0.2">
      <c r="A1093" s="198" t="s">
        <v>1279</v>
      </c>
      <c r="B1093" s="228" t="s">
        <v>3543</v>
      </c>
      <c r="C1093" s="229" t="s">
        <v>124</v>
      </c>
      <c r="D1093" s="230" t="s">
        <v>11</v>
      </c>
      <c r="E1093" s="231">
        <v>2.95</v>
      </c>
      <c r="F1093" s="231"/>
      <c r="J1093" s="480"/>
    </row>
    <row r="1094" spans="1:10" ht="38.25" hidden="1" customHeight="1" outlineLevel="1" x14ac:dyDescent="0.2">
      <c r="A1094" s="198" t="s">
        <v>1279</v>
      </c>
      <c r="B1094" s="224" t="s">
        <v>3544</v>
      </c>
      <c r="C1094" s="225" t="s">
        <v>3319</v>
      </c>
      <c r="D1094" s="226" t="s">
        <v>11</v>
      </c>
      <c r="E1094" s="227">
        <v>3.25</v>
      </c>
      <c r="F1094" s="227"/>
      <c r="J1094" s="480"/>
    </row>
    <row r="1095" spans="1:10" ht="38.25" hidden="1" customHeight="1" outlineLevel="1" x14ac:dyDescent="0.2">
      <c r="A1095" s="198" t="s">
        <v>1279</v>
      </c>
      <c r="B1095" s="228" t="s">
        <v>3545</v>
      </c>
      <c r="C1095" s="229" t="s">
        <v>3320</v>
      </c>
      <c r="D1095" s="230" t="s">
        <v>11</v>
      </c>
      <c r="E1095" s="231">
        <v>2.71</v>
      </c>
      <c r="F1095" s="231"/>
      <c r="J1095" s="480"/>
    </row>
    <row r="1096" spans="1:10" ht="38.25" hidden="1" customHeight="1" outlineLevel="1" x14ac:dyDescent="0.2">
      <c r="A1096" s="198" t="s">
        <v>1279</v>
      </c>
      <c r="B1096" s="224" t="s">
        <v>3546</v>
      </c>
      <c r="C1096" s="225" t="s">
        <v>3321</v>
      </c>
      <c r="D1096" s="226" t="s">
        <v>11</v>
      </c>
      <c r="E1096" s="227">
        <v>1.68</v>
      </c>
      <c r="F1096" s="227"/>
      <c r="J1096" s="480"/>
    </row>
    <row r="1097" spans="1:10" ht="38.25" hidden="1" customHeight="1" outlineLevel="1" x14ac:dyDescent="0.2">
      <c r="A1097" s="198" t="s">
        <v>1279</v>
      </c>
      <c r="B1097" s="228" t="s">
        <v>3547</v>
      </c>
      <c r="C1097" s="229" t="s">
        <v>3372</v>
      </c>
      <c r="D1097" s="230" t="s">
        <v>11</v>
      </c>
      <c r="E1097" s="231">
        <v>2.2200000000000002</v>
      </c>
      <c r="F1097" s="231"/>
      <c r="J1097" s="480"/>
    </row>
    <row r="1098" spans="1:10" ht="25.5" hidden="1" customHeight="1" outlineLevel="1" x14ac:dyDescent="0.2">
      <c r="A1098" s="198" t="s">
        <v>1279</v>
      </c>
      <c r="B1098" s="224" t="s">
        <v>3548</v>
      </c>
      <c r="C1098" s="225" t="s">
        <v>3294</v>
      </c>
      <c r="D1098" s="226" t="s">
        <v>11</v>
      </c>
      <c r="E1098" s="227">
        <v>7.91</v>
      </c>
      <c r="F1098" s="227"/>
      <c r="J1098" s="480"/>
    </row>
    <row r="1099" spans="1:10" ht="25.5" hidden="1" customHeight="1" outlineLevel="1" x14ac:dyDescent="0.2">
      <c r="A1099" s="198" t="s">
        <v>1279</v>
      </c>
      <c r="B1099" s="228" t="s">
        <v>3549</v>
      </c>
      <c r="C1099" s="229" t="s">
        <v>3295</v>
      </c>
      <c r="D1099" s="230" t="s">
        <v>11</v>
      </c>
      <c r="E1099" s="231">
        <v>17.86</v>
      </c>
      <c r="F1099" s="231"/>
      <c r="J1099" s="480"/>
    </row>
    <row r="1100" spans="1:10" ht="25.5" hidden="1" customHeight="1" outlineLevel="1" x14ac:dyDescent="0.2">
      <c r="A1100" s="198" t="s">
        <v>1279</v>
      </c>
      <c r="B1100" s="224" t="s">
        <v>3550</v>
      </c>
      <c r="C1100" s="225" t="s">
        <v>3376</v>
      </c>
      <c r="D1100" s="226" t="s">
        <v>11</v>
      </c>
      <c r="E1100" s="227">
        <v>4.93</v>
      </c>
      <c r="F1100" s="227"/>
      <c r="J1100" s="480"/>
    </row>
    <row r="1101" spans="1:10" ht="25.5" hidden="1" customHeight="1" outlineLevel="1" x14ac:dyDescent="0.2">
      <c r="A1101" s="198" t="s">
        <v>1279</v>
      </c>
      <c r="B1101" s="228" t="s">
        <v>3551</v>
      </c>
      <c r="C1101" s="229" t="s">
        <v>3323</v>
      </c>
      <c r="D1101" s="230" t="s">
        <v>11</v>
      </c>
      <c r="E1101" s="231">
        <v>4.53</v>
      </c>
      <c r="F1101" s="231"/>
      <c r="J1101" s="480"/>
    </row>
    <row r="1102" spans="1:10" ht="25.5" hidden="1" customHeight="1" outlineLevel="1" x14ac:dyDescent="0.2">
      <c r="A1102" s="198" t="s">
        <v>1279</v>
      </c>
      <c r="B1102" s="224" t="s">
        <v>3552</v>
      </c>
      <c r="C1102" s="225" t="s">
        <v>3325</v>
      </c>
      <c r="D1102" s="226" t="s">
        <v>11</v>
      </c>
      <c r="E1102" s="227">
        <v>9.36</v>
      </c>
      <c r="F1102" s="227"/>
      <c r="J1102" s="480"/>
    </row>
    <row r="1103" spans="1:10" ht="25.5" hidden="1" customHeight="1" outlineLevel="1" x14ac:dyDescent="0.2">
      <c r="A1103" s="198" t="s">
        <v>1279</v>
      </c>
      <c r="B1103" s="228" t="s">
        <v>3553</v>
      </c>
      <c r="C1103" s="229" t="s">
        <v>3327</v>
      </c>
      <c r="D1103" s="230" t="s">
        <v>11</v>
      </c>
      <c r="E1103" s="231">
        <v>4.82</v>
      </c>
      <c r="F1103" s="231"/>
      <c r="J1103" s="480"/>
    </row>
    <row r="1104" spans="1:10" ht="25.5" hidden="1" customHeight="1" outlineLevel="1" x14ac:dyDescent="0.2">
      <c r="A1104" s="198" t="s">
        <v>1279</v>
      </c>
      <c r="B1104" s="224" t="s">
        <v>3554</v>
      </c>
      <c r="C1104" s="225" t="s">
        <v>3297</v>
      </c>
      <c r="D1104" s="226" t="s">
        <v>11</v>
      </c>
      <c r="E1104" s="227">
        <v>18.510000000000002</v>
      </c>
      <c r="F1104" s="227"/>
      <c r="J1104" s="480"/>
    </row>
    <row r="1105" spans="1:10" ht="25.5" hidden="1" customHeight="1" outlineLevel="1" x14ac:dyDescent="0.2">
      <c r="A1105" s="198" t="s">
        <v>1279</v>
      </c>
      <c r="B1105" s="228" t="s">
        <v>3555</v>
      </c>
      <c r="C1105" s="229" t="s">
        <v>3299</v>
      </c>
      <c r="D1105" s="230" t="s">
        <v>11</v>
      </c>
      <c r="E1105" s="231">
        <v>21.85</v>
      </c>
      <c r="F1105" s="231"/>
      <c r="J1105" s="480"/>
    </row>
    <row r="1106" spans="1:10" ht="25.5" hidden="1" customHeight="1" outlineLevel="1" x14ac:dyDescent="0.2">
      <c r="A1106" s="198" t="s">
        <v>1279</v>
      </c>
      <c r="B1106" s="224" t="s">
        <v>3556</v>
      </c>
      <c r="C1106" s="225" t="s">
        <v>3301</v>
      </c>
      <c r="D1106" s="226" t="s">
        <v>11</v>
      </c>
      <c r="E1106" s="227">
        <v>20.58</v>
      </c>
      <c r="F1106" s="227"/>
      <c r="J1106" s="480"/>
    </row>
    <row r="1107" spans="1:10" ht="25.5" hidden="1" customHeight="1" outlineLevel="1" x14ac:dyDescent="0.2">
      <c r="A1107" s="198" t="s">
        <v>1279</v>
      </c>
      <c r="B1107" s="228" t="s">
        <v>3557</v>
      </c>
      <c r="C1107" s="229" t="s">
        <v>3336</v>
      </c>
      <c r="D1107" s="230" t="s">
        <v>11</v>
      </c>
      <c r="E1107" s="231">
        <v>10.6</v>
      </c>
      <c r="F1107" s="231"/>
      <c r="J1107" s="480"/>
    </row>
    <row r="1108" spans="1:10" ht="25.5" hidden="1" customHeight="1" outlineLevel="1" x14ac:dyDescent="0.2">
      <c r="A1108" s="198" t="s">
        <v>1279</v>
      </c>
      <c r="B1108" s="224" t="s">
        <v>3558</v>
      </c>
      <c r="C1108" s="225" t="s">
        <v>3338</v>
      </c>
      <c r="D1108" s="226" t="s">
        <v>11</v>
      </c>
      <c r="E1108" s="227">
        <v>29.74</v>
      </c>
      <c r="F1108" s="227"/>
      <c r="J1108" s="480"/>
    </row>
    <row r="1109" spans="1:10" ht="25.5" hidden="1" customHeight="1" outlineLevel="1" x14ac:dyDescent="0.2">
      <c r="A1109" s="198" t="s">
        <v>1279</v>
      </c>
      <c r="B1109" s="228" t="s">
        <v>3559</v>
      </c>
      <c r="C1109" s="229" t="s">
        <v>3250</v>
      </c>
      <c r="D1109" s="230" t="s">
        <v>11</v>
      </c>
      <c r="E1109" s="231">
        <v>7.56</v>
      </c>
      <c r="F1109" s="231"/>
      <c r="J1109" s="480"/>
    </row>
    <row r="1110" spans="1:10" ht="25.5" hidden="1" customHeight="1" outlineLevel="1" x14ac:dyDescent="0.2">
      <c r="A1110" s="198" t="s">
        <v>1279</v>
      </c>
      <c r="B1110" s="224" t="s">
        <v>3560</v>
      </c>
      <c r="C1110" s="225" t="s">
        <v>3387</v>
      </c>
      <c r="D1110" s="226" t="s">
        <v>11</v>
      </c>
      <c r="E1110" s="227">
        <v>1.3</v>
      </c>
      <c r="F1110" s="227"/>
      <c r="J1110" s="480"/>
    </row>
    <row r="1111" spans="1:10" ht="25.5" hidden="1" customHeight="1" outlineLevel="1" x14ac:dyDescent="0.2">
      <c r="A1111" s="198" t="s">
        <v>1279</v>
      </c>
      <c r="B1111" s="228" t="s">
        <v>3561</v>
      </c>
      <c r="C1111" s="229" t="s">
        <v>3347</v>
      </c>
      <c r="D1111" s="230" t="s">
        <v>11</v>
      </c>
      <c r="E1111" s="231">
        <v>4.2</v>
      </c>
      <c r="F1111" s="231"/>
      <c r="J1111" s="480"/>
    </row>
    <row r="1112" spans="1:10" ht="25.5" hidden="1" customHeight="1" outlineLevel="1" x14ac:dyDescent="0.2">
      <c r="A1112" s="198" t="s">
        <v>1279</v>
      </c>
      <c r="B1112" s="224" t="s">
        <v>3562</v>
      </c>
      <c r="C1112" s="225" t="s">
        <v>3349</v>
      </c>
      <c r="D1112" s="226" t="s">
        <v>11</v>
      </c>
      <c r="E1112" s="227">
        <v>8.9700000000000006</v>
      </c>
      <c r="F1112" s="227"/>
      <c r="J1112" s="480"/>
    </row>
    <row r="1113" spans="1:10" ht="25.5" hidden="1" customHeight="1" outlineLevel="1" x14ac:dyDescent="0.2">
      <c r="A1113" s="198" t="s">
        <v>1279</v>
      </c>
      <c r="B1113" s="228" t="s">
        <v>3563</v>
      </c>
      <c r="C1113" s="229" t="s">
        <v>3351</v>
      </c>
      <c r="D1113" s="230" t="s">
        <v>11</v>
      </c>
      <c r="E1113" s="231">
        <v>3.72</v>
      </c>
      <c r="F1113" s="231"/>
      <c r="J1113" s="480"/>
    </row>
    <row r="1114" spans="1:10" ht="25.5" hidden="1" customHeight="1" outlineLevel="1" x14ac:dyDescent="0.2">
      <c r="A1114" s="198" t="s">
        <v>1279</v>
      </c>
      <c r="B1114" s="224" t="s">
        <v>3564</v>
      </c>
      <c r="C1114" s="225" t="s">
        <v>3353</v>
      </c>
      <c r="D1114" s="226" t="s">
        <v>11</v>
      </c>
      <c r="E1114" s="227">
        <v>7.42</v>
      </c>
      <c r="F1114" s="227"/>
      <c r="J1114" s="480"/>
    </row>
    <row r="1115" spans="1:10" ht="18" hidden="1" customHeight="1" outlineLevel="1" x14ac:dyDescent="0.2">
      <c r="A1115" s="198" t="s">
        <v>1279</v>
      </c>
      <c r="B1115" s="228" t="s">
        <v>3565</v>
      </c>
      <c r="C1115" s="229" t="s">
        <v>3274</v>
      </c>
      <c r="D1115" s="230" t="s">
        <v>11</v>
      </c>
      <c r="E1115" s="231">
        <v>4.97</v>
      </c>
      <c r="F1115" s="231"/>
      <c r="J1115" s="480"/>
    </row>
    <row r="1116" spans="1:10" ht="25.5" hidden="1" customHeight="1" outlineLevel="1" x14ac:dyDescent="0.2">
      <c r="A1116" s="198" t="s">
        <v>1279</v>
      </c>
      <c r="B1116" s="224" t="s">
        <v>3566</v>
      </c>
      <c r="C1116" s="225" t="s">
        <v>3387</v>
      </c>
      <c r="D1116" s="226" t="s">
        <v>11</v>
      </c>
      <c r="E1116" s="227">
        <v>1.2</v>
      </c>
      <c r="F1116" s="227"/>
      <c r="J1116" s="480"/>
    </row>
    <row r="1117" spans="1:10" ht="25.5" hidden="1" customHeight="1" outlineLevel="1" x14ac:dyDescent="0.2">
      <c r="A1117" s="198" t="s">
        <v>1279</v>
      </c>
      <c r="B1117" s="228" t="s">
        <v>3567</v>
      </c>
      <c r="C1117" s="229" t="s">
        <v>3451</v>
      </c>
      <c r="D1117" s="230" t="s">
        <v>11</v>
      </c>
      <c r="E1117" s="231">
        <v>4.58</v>
      </c>
      <c r="F1117" s="231"/>
      <c r="J1117" s="480"/>
    </row>
    <row r="1118" spans="1:10" ht="25.5" hidden="1" customHeight="1" outlineLevel="1" x14ac:dyDescent="0.2">
      <c r="A1118" s="198" t="s">
        <v>1279</v>
      </c>
      <c r="B1118" s="224" t="s">
        <v>3568</v>
      </c>
      <c r="C1118" s="225" t="s">
        <v>3397</v>
      </c>
      <c r="D1118" s="226" t="s">
        <v>11</v>
      </c>
      <c r="E1118" s="227">
        <v>9.33</v>
      </c>
      <c r="F1118" s="227"/>
      <c r="J1118" s="480"/>
    </row>
    <row r="1119" spans="1:10" ht="25.5" hidden="1" customHeight="1" outlineLevel="1" x14ac:dyDescent="0.2">
      <c r="A1119" s="198" t="s">
        <v>1279</v>
      </c>
      <c r="B1119" s="228" t="s">
        <v>3569</v>
      </c>
      <c r="C1119" s="229" t="s">
        <v>3347</v>
      </c>
      <c r="D1119" s="230" t="s">
        <v>11</v>
      </c>
      <c r="E1119" s="231">
        <v>2.0499999999999998</v>
      </c>
      <c r="F1119" s="231"/>
      <c r="J1119" s="480"/>
    </row>
    <row r="1120" spans="1:10" ht="25.5" hidden="1" customHeight="1" outlineLevel="1" x14ac:dyDescent="0.2">
      <c r="A1120" s="198" t="s">
        <v>1279</v>
      </c>
      <c r="B1120" s="224" t="s">
        <v>3570</v>
      </c>
      <c r="C1120" s="225" t="s">
        <v>3349</v>
      </c>
      <c r="D1120" s="226" t="s">
        <v>11</v>
      </c>
      <c r="E1120" s="227">
        <v>4.99</v>
      </c>
      <c r="F1120" s="227"/>
      <c r="J1120" s="480"/>
    </row>
    <row r="1121" spans="1:10" ht="25.5" hidden="1" customHeight="1" outlineLevel="1" x14ac:dyDescent="0.2">
      <c r="A1121" s="198" t="s">
        <v>1279</v>
      </c>
      <c r="B1121" s="228" t="s">
        <v>3571</v>
      </c>
      <c r="C1121" s="229" t="s">
        <v>3351</v>
      </c>
      <c r="D1121" s="230" t="s">
        <v>11</v>
      </c>
      <c r="E1121" s="231">
        <v>1.92</v>
      </c>
      <c r="F1121" s="231"/>
      <c r="J1121" s="480"/>
    </row>
    <row r="1122" spans="1:10" ht="25.5" hidden="1" customHeight="1" outlineLevel="1" x14ac:dyDescent="0.2">
      <c r="A1122" s="198" t="s">
        <v>1279</v>
      </c>
      <c r="B1122" s="224" t="s">
        <v>3572</v>
      </c>
      <c r="C1122" s="225" t="s">
        <v>3353</v>
      </c>
      <c r="D1122" s="226" t="s">
        <v>11</v>
      </c>
      <c r="E1122" s="227">
        <v>3.31</v>
      </c>
      <c r="F1122" s="227"/>
      <c r="J1122" s="480"/>
    </row>
    <row r="1123" spans="1:10" ht="25.5" hidden="1" customHeight="1" outlineLevel="1" x14ac:dyDescent="0.2">
      <c r="A1123" s="198" t="s">
        <v>1279</v>
      </c>
      <c r="B1123" s="228" t="s">
        <v>3573</v>
      </c>
      <c r="C1123" s="229" t="s">
        <v>3451</v>
      </c>
      <c r="D1123" s="230" t="s">
        <v>11</v>
      </c>
      <c r="E1123" s="231">
        <v>2.06</v>
      </c>
      <c r="F1123" s="231"/>
      <c r="J1123" s="480"/>
    </row>
    <row r="1124" spans="1:10" ht="25.5" hidden="1" customHeight="1" outlineLevel="1" x14ac:dyDescent="0.2">
      <c r="A1124" s="198" t="s">
        <v>1279</v>
      </c>
      <c r="B1124" s="224" t="s">
        <v>3574</v>
      </c>
      <c r="C1124" s="225" t="s">
        <v>3397</v>
      </c>
      <c r="D1124" s="226" t="s">
        <v>11</v>
      </c>
      <c r="E1124" s="227">
        <v>5.41</v>
      </c>
      <c r="F1124" s="227"/>
      <c r="J1124" s="480"/>
    </row>
    <row r="1125" spans="1:10" ht="18" hidden="1" customHeight="1" outlineLevel="1" x14ac:dyDescent="0.2">
      <c r="A1125" s="198" t="s">
        <v>1279</v>
      </c>
      <c r="B1125" s="216" t="s">
        <v>2301</v>
      </c>
      <c r="C1125" s="217" t="s">
        <v>2969</v>
      </c>
      <c r="D1125" s="218"/>
      <c r="E1125" s="219"/>
      <c r="F1125" s="219"/>
      <c r="J1125" s="480"/>
    </row>
    <row r="1126" spans="1:10" ht="18" hidden="1" customHeight="1" outlineLevel="1" x14ac:dyDescent="0.2">
      <c r="A1126" s="198" t="s">
        <v>1279</v>
      </c>
      <c r="B1126" s="228" t="s">
        <v>3575</v>
      </c>
      <c r="C1126" s="229" t="s">
        <v>124</v>
      </c>
      <c r="D1126" s="230" t="s">
        <v>11</v>
      </c>
      <c r="E1126" s="231">
        <v>2.31</v>
      </c>
      <c r="F1126" s="231"/>
      <c r="J1126" s="480"/>
    </row>
    <row r="1127" spans="1:10" ht="38.25" hidden="1" customHeight="1" outlineLevel="1" x14ac:dyDescent="0.2">
      <c r="A1127" s="198" t="s">
        <v>1279</v>
      </c>
      <c r="B1127" s="224" t="s">
        <v>3576</v>
      </c>
      <c r="C1127" s="225" t="s">
        <v>3319</v>
      </c>
      <c r="D1127" s="226" t="s">
        <v>11</v>
      </c>
      <c r="E1127" s="227">
        <v>3.25</v>
      </c>
      <c r="F1127" s="227"/>
      <c r="J1127" s="480"/>
    </row>
    <row r="1128" spans="1:10" ht="38.25" hidden="1" customHeight="1" outlineLevel="1" x14ac:dyDescent="0.2">
      <c r="A1128" s="198" t="s">
        <v>1279</v>
      </c>
      <c r="B1128" s="228" t="s">
        <v>3577</v>
      </c>
      <c r="C1128" s="229" t="s">
        <v>3320</v>
      </c>
      <c r="D1128" s="230" t="s">
        <v>11</v>
      </c>
      <c r="E1128" s="231">
        <v>2.71</v>
      </c>
      <c r="F1128" s="231"/>
      <c r="J1128" s="480"/>
    </row>
    <row r="1129" spans="1:10" ht="38.25" hidden="1" customHeight="1" outlineLevel="1" x14ac:dyDescent="0.2">
      <c r="A1129" s="198" t="s">
        <v>1279</v>
      </c>
      <c r="B1129" s="224" t="s">
        <v>3578</v>
      </c>
      <c r="C1129" s="225" t="s">
        <v>3321</v>
      </c>
      <c r="D1129" s="226" t="s">
        <v>11</v>
      </c>
      <c r="E1129" s="227">
        <v>2.29</v>
      </c>
      <c r="F1129" s="227"/>
      <c r="J1129" s="480"/>
    </row>
    <row r="1130" spans="1:10" ht="25.5" hidden="1" customHeight="1" outlineLevel="1" x14ac:dyDescent="0.2">
      <c r="A1130" s="198" t="s">
        <v>1279</v>
      </c>
      <c r="B1130" s="228" t="s">
        <v>3579</v>
      </c>
      <c r="C1130" s="229" t="s">
        <v>3294</v>
      </c>
      <c r="D1130" s="230" t="s">
        <v>11</v>
      </c>
      <c r="E1130" s="231">
        <v>7.91</v>
      </c>
      <c r="F1130" s="231"/>
      <c r="J1130" s="480"/>
    </row>
    <row r="1131" spans="1:10" ht="25.5" hidden="1" customHeight="1" outlineLevel="1" x14ac:dyDescent="0.2">
      <c r="A1131" s="198" t="s">
        <v>1279</v>
      </c>
      <c r="B1131" s="224" t="s">
        <v>3580</v>
      </c>
      <c r="C1131" s="225" t="s">
        <v>3295</v>
      </c>
      <c r="D1131" s="226" t="s">
        <v>11</v>
      </c>
      <c r="E1131" s="227">
        <v>17.86</v>
      </c>
      <c r="F1131" s="227"/>
      <c r="J1131" s="480"/>
    </row>
    <row r="1132" spans="1:10" ht="25.5" hidden="1" customHeight="1" outlineLevel="1" x14ac:dyDescent="0.2">
      <c r="A1132" s="198" t="s">
        <v>1279</v>
      </c>
      <c r="B1132" s="228" t="s">
        <v>3581</v>
      </c>
      <c r="C1132" s="229" t="s">
        <v>3376</v>
      </c>
      <c r="D1132" s="230" t="s">
        <v>11</v>
      </c>
      <c r="E1132" s="231">
        <v>4.53</v>
      </c>
      <c r="F1132" s="231"/>
      <c r="J1132" s="480"/>
    </row>
    <row r="1133" spans="1:10" ht="25.5" hidden="1" customHeight="1" outlineLevel="1" x14ac:dyDescent="0.2">
      <c r="A1133" s="198" t="s">
        <v>1279</v>
      </c>
      <c r="B1133" s="224" t="s">
        <v>3582</v>
      </c>
      <c r="C1133" s="225" t="s">
        <v>3323</v>
      </c>
      <c r="D1133" s="226" t="s">
        <v>11</v>
      </c>
      <c r="E1133" s="227">
        <v>9.36</v>
      </c>
      <c r="F1133" s="227"/>
      <c r="J1133" s="480"/>
    </row>
    <row r="1134" spans="1:10" ht="25.5" hidden="1" customHeight="1" outlineLevel="1" x14ac:dyDescent="0.2">
      <c r="A1134" s="198" t="s">
        <v>1279</v>
      </c>
      <c r="B1134" s="228" t="s">
        <v>3583</v>
      </c>
      <c r="C1134" s="229" t="s">
        <v>3297</v>
      </c>
      <c r="D1134" s="230" t="s">
        <v>11</v>
      </c>
      <c r="E1134" s="231">
        <v>18.52</v>
      </c>
      <c r="F1134" s="231"/>
      <c r="J1134" s="480"/>
    </row>
    <row r="1135" spans="1:10" ht="25.5" hidden="1" customHeight="1" outlineLevel="1" x14ac:dyDescent="0.2">
      <c r="A1135" s="198" t="s">
        <v>1279</v>
      </c>
      <c r="B1135" s="224" t="s">
        <v>3584</v>
      </c>
      <c r="C1135" s="225" t="s">
        <v>3299</v>
      </c>
      <c r="D1135" s="226" t="s">
        <v>11</v>
      </c>
      <c r="E1135" s="227">
        <v>21.8</v>
      </c>
      <c r="F1135" s="227"/>
      <c r="J1135" s="480"/>
    </row>
    <row r="1136" spans="1:10" ht="25.5" hidden="1" customHeight="1" outlineLevel="1" x14ac:dyDescent="0.2">
      <c r="A1136" s="198" t="s">
        <v>1279</v>
      </c>
      <c r="B1136" s="228" t="s">
        <v>3585</v>
      </c>
      <c r="C1136" s="229" t="s">
        <v>3301</v>
      </c>
      <c r="D1136" s="230" t="s">
        <v>11</v>
      </c>
      <c r="E1136" s="231">
        <v>20.58</v>
      </c>
      <c r="F1136" s="231"/>
      <c r="J1136" s="480"/>
    </row>
    <row r="1137" spans="1:10" ht="25.5" hidden="1" customHeight="1" outlineLevel="1" x14ac:dyDescent="0.2">
      <c r="A1137" s="198" t="s">
        <v>1279</v>
      </c>
      <c r="B1137" s="224" t="s">
        <v>3586</v>
      </c>
      <c r="C1137" s="225" t="s">
        <v>3336</v>
      </c>
      <c r="D1137" s="226" t="s">
        <v>11</v>
      </c>
      <c r="E1137" s="227">
        <v>10.6</v>
      </c>
      <c r="F1137" s="227"/>
      <c r="J1137" s="480"/>
    </row>
    <row r="1138" spans="1:10" ht="25.5" hidden="1" customHeight="1" outlineLevel="1" x14ac:dyDescent="0.2">
      <c r="A1138" s="198" t="s">
        <v>1279</v>
      </c>
      <c r="B1138" s="228" t="s">
        <v>3587</v>
      </c>
      <c r="C1138" s="229" t="s">
        <v>3338</v>
      </c>
      <c r="D1138" s="230" t="s">
        <v>11</v>
      </c>
      <c r="E1138" s="231">
        <v>19.87</v>
      </c>
      <c r="F1138" s="231"/>
      <c r="J1138" s="480"/>
    </row>
    <row r="1139" spans="1:10" ht="25.5" hidden="1" customHeight="1" outlineLevel="1" x14ac:dyDescent="0.2">
      <c r="A1139" s="198" t="s">
        <v>1279</v>
      </c>
      <c r="B1139" s="224" t="s">
        <v>3588</v>
      </c>
      <c r="C1139" s="225" t="s">
        <v>3340</v>
      </c>
      <c r="D1139" s="226" t="s">
        <v>11</v>
      </c>
      <c r="E1139" s="227">
        <v>4.32</v>
      </c>
      <c r="F1139" s="227"/>
      <c r="J1139" s="480"/>
    </row>
    <row r="1140" spans="1:10" ht="25.5" hidden="1" customHeight="1" outlineLevel="1" x14ac:dyDescent="0.2">
      <c r="A1140" s="198" t="s">
        <v>1279</v>
      </c>
      <c r="B1140" s="228" t="s">
        <v>3589</v>
      </c>
      <c r="C1140" s="229" t="s">
        <v>3250</v>
      </c>
      <c r="D1140" s="230" t="s">
        <v>11</v>
      </c>
      <c r="E1140" s="231">
        <v>7.52</v>
      </c>
      <c r="F1140" s="231"/>
      <c r="J1140" s="480"/>
    </row>
    <row r="1141" spans="1:10" ht="25.5" hidden="1" customHeight="1" outlineLevel="1" x14ac:dyDescent="0.2">
      <c r="A1141" s="198" t="s">
        <v>1279</v>
      </c>
      <c r="B1141" s="224" t="s">
        <v>3590</v>
      </c>
      <c r="C1141" s="225" t="s">
        <v>3347</v>
      </c>
      <c r="D1141" s="226" t="s">
        <v>11</v>
      </c>
      <c r="E1141" s="227">
        <v>4.1900000000000004</v>
      </c>
      <c r="F1141" s="227"/>
      <c r="J1141" s="480"/>
    </row>
    <row r="1142" spans="1:10" ht="25.5" hidden="1" customHeight="1" outlineLevel="1" x14ac:dyDescent="0.2">
      <c r="A1142" s="198" t="s">
        <v>1279</v>
      </c>
      <c r="B1142" s="228" t="s">
        <v>3591</v>
      </c>
      <c r="C1142" s="229" t="s">
        <v>3349</v>
      </c>
      <c r="D1142" s="230" t="s">
        <v>11</v>
      </c>
      <c r="E1142" s="231">
        <v>8.91</v>
      </c>
      <c r="F1142" s="231"/>
      <c r="J1142" s="480"/>
    </row>
    <row r="1143" spans="1:10" ht="25.5" hidden="1" customHeight="1" outlineLevel="1" x14ac:dyDescent="0.2">
      <c r="A1143" s="198" t="s">
        <v>1279</v>
      </c>
      <c r="B1143" s="224" t="s">
        <v>3592</v>
      </c>
      <c r="C1143" s="225" t="s">
        <v>3351</v>
      </c>
      <c r="D1143" s="226" t="s">
        <v>11</v>
      </c>
      <c r="E1143" s="227">
        <v>3.72</v>
      </c>
      <c r="F1143" s="227"/>
      <c r="J1143" s="480"/>
    </row>
    <row r="1144" spans="1:10" ht="25.5" hidden="1" customHeight="1" outlineLevel="1" x14ac:dyDescent="0.2">
      <c r="A1144" s="198" t="s">
        <v>1279</v>
      </c>
      <c r="B1144" s="228" t="s">
        <v>3593</v>
      </c>
      <c r="C1144" s="229" t="s">
        <v>3353</v>
      </c>
      <c r="D1144" s="230" t="s">
        <v>11</v>
      </c>
      <c r="E1144" s="231">
        <v>7.42</v>
      </c>
      <c r="F1144" s="231"/>
      <c r="J1144" s="480"/>
    </row>
    <row r="1145" spans="1:10" ht="25.5" hidden="1" customHeight="1" outlineLevel="1" x14ac:dyDescent="0.2">
      <c r="A1145" s="198" t="s">
        <v>1279</v>
      </c>
      <c r="B1145" s="224" t="s">
        <v>3594</v>
      </c>
      <c r="C1145" s="225" t="s">
        <v>3355</v>
      </c>
      <c r="D1145" s="226" t="s">
        <v>11</v>
      </c>
      <c r="E1145" s="227">
        <v>2.8</v>
      </c>
      <c r="F1145" s="227"/>
      <c r="J1145" s="480"/>
    </row>
    <row r="1146" spans="1:10" ht="18" hidden="1" customHeight="1" outlineLevel="1" x14ac:dyDescent="0.2">
      <c r="A1146" s="198" t="s">
        <v>1279</v>
      </c>
      <c r="B1146" s="228" t="s">
        <v>3595</v>
      </c>
      <c r="C1146" s="229" t="s">
        <v>3274</v>
      </c>
      <c r="D1146" s="230" t="s">
        <v>11</v>
      </c>
      <c r="E1146" s="231">
        <v>4.3499999999999996</v>
      </c>
      <c r="F1146" s="231"/>
      <c r="J1146" s="480"/>
    </row>
    <row r="1147" spans="1:10" ht="25.5" hidden="1" customHeight="1" outlineLevel="1" x14ac:dyDescent="0.2">
      <c r="A1147" s="198" t="s">
        <v>1279</v>
      </c>
      <c r="B1147" s="224" t="s">
        <v>3596</v>
      </c>
      <c r="C1147" s="225" t="s">
        <v>3347</v>
      </c>
      <c r="D1147" s="226" t="s">
        <v>11</v>
      </c>
      <c r="E1147" s="227">
        <v>2.15</v>
      </c>
      <c r="F1147" s="227"/>
      <c r="J1147" s="480"/>
    </row>
    <row r="1148" spans="1:10" ht="25.5" hidden="1" customHeight="1" outlineLevel="1" x14ac:dyDescent="0.2">
      <c r="A1148" s="198" t="s">
        <v>1279</v>
      </c>
      <c r="B1148" s="228" t="s">
        <v>3597</v>
      </c>
      <c r="C1148" s="229" t="s">
        <v>3349</v>
      </c>
      <c r="D1148" s="230" t="s">
        <v>11</v>
      </c>
      <c r="E1148" s="231">
        <v>4.53</v>
      </c>
      <c r="F1148" s="231"/>
      <c r="J1148" s="480"/>
    </row>
    <row r="1149" spans="1:10" ht="25.5" hidden="1" customHeight="1" outlineLevel="1" x14ac:dyDescent="0.2">
      <c r="A1149" s="198" t="s">
        <v>1279</v>
      </c>
      <c r="B1149" s="224" t="s">
        <v>3598</v>
      </c>
      <c r="C1149" s="225" t="s">
        <v>3351</v>
      </c>
      <c r="D1149" s="226" t="s">
        <v>11</v>
      </c>
      <c r="E1149" s="227">
        <v>1.41</v>
      </c>
      <c r="F1149" s="227"/>
      <c r="J1149" s="480"/>
    </row>
    <row r="1150" spans="1:10" ht="25.5" hidden="1" customHeight="1" outlineLevel="1" x14ac:dyDescent="0.2">
      <c r="A1150" s="198" t="s">
        <v>1279</v>
      </c>
      <c r="B1150" s="228" t="s">
        <v>3599</v>
      </c>
      <c r="C1150" s="229" t="s">
        <v>3353</v>
      </c>
      <c r="D1150" s="230" t="s">
        <v>11</v>
      </c>
      <c r="E1150" s="231">
        <v>2.82</v>
      </c>
      <c r="F1150" s="231"/>
      <c r="J1150" s="480"/>
    </row>
    <row r="1151" spans="1:10" ht="25.5" hidden="1" customHeight="1" outlineLevel="1" x14ac:dyDescent="0.2">
      <c r="A1151" s="198" t="s">
        <v>1279</v>
      </c>
      <c r="B1151" s="224" t="s">
        <v>3600</v>
      </c>
      <c r="C1151" s="225" t="s">
        <v>3355</v>
      </c>
      <c r="D1151" s="226" t="s">
        <v>11</v>
      </c>
      <c r="E1151" s="227">
        <v>1.17</v>
      </c>
      <c r="F1151" s="227"/>
      <c r="J1151" s="480"/>
    </row>
    <row r="1152" spans="1:10" ht="18" hidden="1" customHeight="1" outlineLevel="1" x14ac:dyDescent="0.2">
      <c r="A1152" s="198" t="s">
        <v>1279</v>
      </c>
      <c r="B1152" s="216" t="s">
        <v>2302</v>
      </c>
      <c r="C1152" s="217" t="s">
        <v>2970</v>
      </c>
      <c r="D1152" s="218"/>
      <c r="E1152" s="219"/>
      <c r="F1152" s="219"/>
      <c r="J1152" s="480"/>
    </row>
    <row r="1153" spans="1:10" ht="18" hidden="1" customHeight="1" outlineLevel="1" x14ac:dyDescent="0.2">
      <c r="A1153" s="198" t="s">
        <v>1279</v>
      </c>
      <c r="B1153" s="228" t="s">
        <v>3601</v>
      </c>
      <c r="C1153" s="229" t="s">
        <v>124</v>
      </c>
      <c r="D1153" s="230" t="s">
        <v>11</v>
      </c>
      <c r="E1153" s="231">
        <v>2.95</v>
      </c>
      <c r="F1153" s="231"/>
      <c r="J1153" s="480"/>
    </row>
    <row r="1154" spans="1:10" ht="38.25" hidden="1" customHeight="1" outlineLevel="1" x14ac:dyDescent="0.2">
      <c r="A1154" s="198" t="s">
        <v>1279</v>
      </c>
      <c r="B1154" s="224" t="s">
        <v>3602</v>
      </c>
      <c r="C1154" s="225" t="s">
        <v>3319</v>
      </c>
      <c r="D1154" s="226" t="s">
        <v>11</v>
      </c>
      <c r="E1154" s="227">
        <v>3.25</v>
      </c>
      <c r="F1154" s="227"/>
      <c r="J1154" s="480"/>
    </row>
    <row r="1155" spans="1:10" ht="38.25" hidden="1" customHeight="1" outlineLevel="1" x14ac:dyDescent="0.2">
      <c r="A1155" s="198" t="s">
        <v>1279</v>
      </c>
      <c r="B1155" s="228" t="s">
        <v>3603</v>
      </c>
      <c r="C1155" s="229" t="s">
        <v>3320</v>
      </c>
      <c r="D1155" s="230" t="s">
        <v>11</v>
      </c>
      <c r="E1155" s="231">
        <v>2.71</v>
      </c>
      <c r="F1155" s="231"/>
      <c r="J1155" s="480"/>
    </row>
    <row r="1156" spans="1:10" ht="38.25" hidden="1" customHeight="1" outlineLevel="1" x14ac:dyDescent="0.2">
      <c r="A1156" s="198" t="s">
        <v>1279</v>
      </c>
      <c r="B1156" s="224" t="s">
        <v>3604</v>
      </c>
      <c r="C1156" s="225" t="s">
        <v>3321</v>
      </c>
      <c r="D1156" s="226" t="s">
        <v>11</v>
      </c>
      <c r="E1156" s="227">
        <v>1.68</v>
      </c>
      <c r="F1156" s="227"/>
      <c r="J1156" s="480"/>
    </row>
    <row r="1157" spans="1:10" ht="38.25" hidden="1" customHeight="1" outlineLevel="1" x14ac:dyDescent="0.2">
      <c r="A1157" s="198" t="s">
        <v>1279</v>
      </c>
      <c r="B1157" s="228" t="s">
        <v>3605</v>
      </c>
      <c r="C1157" s="229" t="s">
        <v>3372</v>
      </c>
      <c r="D1157" s="230" t="s">
        <v>11</v>
      </c>
      <c r="E1157" s="231">
        <v>2.2200000000000002</v>
      </c>
      <c r="F1157" s="231"/>
      <c r="J1157" s="480"/>
    </row>
    <row r="1158" spans="1:10" ht="25.5" hidden="1" customHeight="1" outlineLevel="1" x14ac:dyDescent="0.2">
      <c r="A1158" s="198" t="s">
        <v>1279</v>
      </c>
      <c r="B1158" s="224" t="s">
        <v>3606</v>
      </c>
      <c r="C1158" s="225" t="s">
        <v>3294</v>
      </c>
      <c r="D1158" s="226" t="s">
        <v>11</v>
      </c>
      <c r="E1158" s="227">
        <v>7.91</v>
      </c>
      <c r="F1158" s="227"/>
      <c r="J1158" s="480"/>
    </row>
    <row r="1159" spans="1:10" ht="25.5" hidden="1" customHeight="1" outlineLevel="1" x14ac:dyDescent="0.2">
      <c r="A1159" s="198" t="s">
        <v>1279</v>
      </c>
      <c r="B1159" s="228" t="s">
        <v>3607</v>
      </c>
      <c r="C1159" s="229" t="s">
        <v>3295</v>
      </c>
      <c r="D1159" s="230" t="s">
        <v>11</v>
      </c>
      <c r="E1159" s="231">
        <v>17.86</v>
      </c>
      <c r="F1159" s="231"/>
      <c r="J1159" s="480"/>
    </row>
    <row r="1160" spans="1:10" ht="25.5" hidden="1" customHeight="1" outlineLevel="1" x14ac:dyDescent="0.2">
      <c r="A1160" s="198" t="s">
        <v>1279</v>
      </c>
      <c r="B1160" s="224" t="s">
        <v>3608</v>
      </c>
      <c r="C1160" s="225" t="s">
        <v>3376</v>
      </c>
      <c r="D1160" s="226" t="s">
        <v>11</v>
      </c>
      <c r="E1160" s="227">
        <v>4.93</v>
      </c>
      <c r="F1160" s="227"/>
      <c r="J1160" s="480"/>
    </row>
    <row r="1161" spans="1:10" ht="25.5" hidden="1" customHeight="1" outlineLevel="1" x14ac:dyDescent="0.2">
      <c r="A1161" s="198" t="s">
        <v>1279</v>
      </c>
      <c r="B1161" s="228" t="s">
        <v>3609</v>
      </c>
      <c r="C1161" s="229" t="s">
        <v>3323</v>
      </c>
      <c r="D1161" s="230" t="s">
        <v>11</v>
      </c>
      <c r="E1161" s="231">
        <v>4.53</v>
      </c>
      <c r="F1161" s="231"/>
      <c r="J1161" s="480"/>
    </row>
    <row r="1162" spans="1:10" ht="25.5" hidden="1" customHeight="1" outlineLevel="1" x14ac:dyDescent="0.2">
      <c r="A1162" s="198" t="s">
        <v>1279</v>
      </c>
      <c r="B1162" s="224" t="s">
        <v>3610</v>
      </c>
      <c r="C1162" s="225" t="s">
        <v>3325</v>
      </c>
      <c r="D1162" s="226" t="s">
        <v>11</v>
      </c>
      <c r="E1162" s="227">
        <v>9.36</v>
      </c>
      <c r="F1162" s="227"/>
      <c r="J1162" s="480"/>
    </row>
    <row r="1163" spans="1:10" ht="25.5" hidden="1" customHeight="1" outlineLevel="1" x14ac:dyDescent="0.2">
      <c r="A1163" s="198" t="s">
        <v>1279</v>
      </c>
      <c r="B1163" s="228" t="s">
        <v>3611</v>
      </c>
      <c r="C1163" s="229" t="s">
        <v>3327</v>
      </c>
      <c r="D1163" s="230" t="s">
        <v>11</v>
      </c>
      <c r="E1163" s="231">
        <v>4.82</v>
      </c>
      <c r="F1163" s="231"/>
      <c r="J1163" s="480"/>
    </row>
    <row r="1164" spans="1:10" ht="25.5" hidden="1" customHeight="1" outlineLevel="1" x14ac:dyDescent="0.2">
      <c r="A1164" s="198" t="s">
        <v>1279</v>
      </c>
      <c r="B1164" s="224" t="s">
        <v>3612</v>
      </c>
      <c r="C1164" s="225" t="s">
        <v>3297</v>
      </c>
      <c r="D1164" s="226" t="s">
        <v>11</v>
      </c>
      <c r="E1164" s="227">
        <v>18.510000000000002</v>
      </c>
      <c r="F1164" s="227"/>
      <c r="J1164" s="480"/>
    </row>
    <row r="1165" spans="1:10" ht="25.5" hidden="1" customHeight="1" outlineLevel="1" x14ac:dyDescent="0.2">
      <c r="A1165" s="198" t="s">
        <v>1279</v>
      </c>
      <c r="B1165" s="228" t="s">
        <v>3613</v>
      </c>
      <c r="C1165" s="229" t="s">
        <v>3299</v>
      </c>
      <c r="D1165" s="230" t="s">
        <v>11</v>
      </c>
      <c r="E1165" s="231">
        <v>21.85</v>
      </c>
      <c r="F1165" s="231"/>
      <c r="J1165" s="480"/>
    </row>
    <row r="1166" spans="1:10" ht="25.5" hidden="1" customHeight="1" outlineLevel="1" x14ac:dyDescent="0.2">
      <c r="A1166" s="198" t="s">
        <v>1279</v>
      </c>
      <c r="B1166" s="224" t="s">
        <v>3614</v>
      </c>
      <c r="C1166" s="225" t="s">
        <v>3301</v>
      </c>
      <c r="D1166" s="226" t="s">
        <v>11</v>
      </c>
      <c r="E1166" s="227">
        <v>20.58</v>
      </c>
      <c r="F1166" s="227"/>
      <c r="J1166" s="480"/>
    </row>
    <row r="1167" spans="1:10" ht="25.5" hidden="1" customHeight="1" outlineLevel="1" x14ac:dyDescent="0.2">
      <c r="A1167" s="198" t="s">
        <v>1279</v>
      </c>
      <c r="B1167" s="228" t="s">
        <v>3615</v>
      </c>
      <c r="C1167" s="229" t="s">
        <v>3336</v>
      </c>
      <c r="D1167" s="230" t="s">
        <v>11</v>
      </c>
      <c r="E1167" s="231">
        <v>10.6</v>
      </c>
      <c r="F1167" s="231"/>
      <c r="J1167" s="480"/>
    </row>
    <row r="1168" spans="1:10" ht="25.5" hidden="1" customHeight="1" outlineLevel="1" x14ac:dyDescent="0.2">
      <c r="A1168" s="198" t="s">
        <v>1279</v>
      </c>
      <c r="B1168" s="224" t="s">
        <v>3616</v>
      </c>
      <c r="C1168" s="225" t="s">
        <v>3338</v>
      </c>
      <c r="D1168" s="226" t="s">
        <v>11</v>
      </c>
      <c r="E1168" s="227">
        <v>29.74</v>
      </c>
      <c r="F1168" s="227"/>
      <c r="J1168" s="480"/>
    </row>
    <row r="1169" spans="1:10" ht="25.5" hidden="1" customHeight="1" outlineLevel="1" x14ac:dyDescent="0.2">
      <c r="A1169" s="198" t="s">
        <v>1279</v>
      </c>
      <c r="B1169" s="228" t="s">
        <v>3617</v>
      </c>
      <c r="C1169" s="229" t="s">
        <v>3250</v>
      </c>
      <c r="D1169" s="230" t="s">
        <v>11</v>
      </c>
      <c r="E1169" s="231">
        <v>7.56</v>
      </c>
      <c r="F1169" s="231"/>
      <c r="J1169" s="480"/>
    </row>
    <row r="1170" spans="1:10" ht="25.5" hidden="1" customHeight="1" outlineLevel="1" x14ac:dyDescent="0.2">
      <c r="A1170" s="198" t="s">
        <v>1279</v>
      </c>
      <c r="B1170" s="224" t="s">
        <v>3618</v>
      </c>
      <c r="C1170" s="225" t="s">
        <v>3387</v>
      </c>
      <c r="D1170" s="226" t="s">
        <v>11</v>
      </c>
      <c r="E1170" s="227">
        <v>1.3</v>
      </c>
      <c r="F1170" s="227"/>
      <c r="J1170" s="480"/>
    </row>
    <row r="1171" spans="1:10" ht="25.5" hidden="1" customHeight="1" outlineLevel="1" x14ac:dyDescent="0.2">
      <c r="A1171" s="198" t="s">
        <v>1279</v>
      </c>
      <c r="B1171" s="228" t="s">
        <v>3619</v>
      </c>
      <c r="C1171" s="229" t="s">
        <v>3347</v>
      </c>
      <c r="D1171" s="230" t="s">
        <v>11</v>
      </c>
      <c r="E1171" s="231">
        <v>4.2</v>
      </c>
      <c r="F1171" s="231"/>
      <c r="J1171" s="480"/>
    </row>
    <row r="1172" spans="1:10" ht="25.5" hidden="1" customHeight="1" outlineLevel="1" x14ac:dyDescent="0.2">
      <c r="A1172" s="198" t="s">
        <v>1279</v>
      </c>
      <c r="B1172" s="224" t="s">
        <v>3620</v>
      </c>
      <c r="C1172" s="225" t="s">
        <v>3349</v>
      </c>
      <c r="D1172" s="226" t="s">
        <v>11</v>
      </c>
      <c r="E1172" s="227">
        <v>8.9700000000000006</v>
      </c>
      <c r="F1172" s="227"/>
      <c r="J1172" s="480"/>
    </row>
    <row r="1173" spans="1:10" ht="25.5" hidden="1" customHeight="1" outlineLevel="1" x14ac:dyDescent="0.2">
      <c r="A1173" s="198" t="s">
        <v>1279</v>
      </c>
      <c r="B1173" s="228" t="s">
        <v>3621</v>
      </c>
      <c r="C1173" s="229" t="s">
        <v>3351</v>
      </c>
      <c r="D1173" s="230" t="s">
        <v>11</v>
      </c>
      <c r="E1173" s="231">
        <v>3.72</v>
      </c>
      <c r="F1173" s="231"/>
      <c r="J1173" s="480"/>
    </row>
    <row r="1174" spans="1:10" ht="25.5" hidden="1" customHeight="1" outlineLevel="1" x14ac:dyDescent="0.2">
      <c r="A1174" s="198" t="s">
        <v>1279</v>
      </c>
      <c r="B1174" s="224" t="s">
        <v>3622</v>
      </c>
      <c r="C1174" s="225" t="s">
        <v>3353</v>
      </c>
      <c r="D1174" s="226" t="s">
        <v>11</v>
      </c>
      <c r="E1174" s="227">
        <v>7.42</v>
      </c>
      <c r="F1174" s="227"/>
      <c r="J1174" s="480"/>
    </row>
    <row r="1175" spans="1:10" ht="18" hidden="1" customHeight="1" outlineLevel="1" x14ac:dyDescent="0.2">
      <c r="A1175" s="198" t="s">
        <v>1279</v>
      </c>
      <c r="B1175" s="228" t="s">
        <v>3623</v>
      </c>
      <c r="C1175" s="229" t="s">
        <v>3274</v>
      </c>
      <c r="D1175" s="230" t="s">
        <v>11</v>
      </c>
      <c r="E1175" s="231">
        <v>4.97</v>
      </c>
      <c r="F1175" s="231"/>
      <c r="J1175" s="480"/>
    </row>
    <row r="1176" spans="1:10" ht="25.5" hidden="1" customHeight="1" outlineLevel="1" x14ac:dyDescent="0.2">
      <c r="A1176" s="198" t="s">
        <v>1279</v>
      </c>
      <c r="B1176" s="224" t="s">
        <v>3624</v>
      </c>
      <c r="C1176" s="225" t="s">
        <v>3387</v>
      </c>
      <c r="D1176" s="226" t="s">
        <v>11</v>
      </c>
      <c r="E1176" s="227">
        <v>1.2</v>
      </c>
      <c r="F1176" s="227"/>
      <c r="J1176" s="480"/>
    </row>
    <row r="1177" spans="1:10" ht="25.5" hidden="1" customHeight="1" outlineLevel="1" x14ac:dyDescent="0.2">
      <c r="A1177" s="198" t="s">
        <v>1279</v>
      </c>
      <c r="B1177" s="228" t="s">
        <v>3625</v>
      </c>
      <c r="C1177" s="229" t="s">
        <v>3451</v>
      </c>
      <c r="D1177" s="230" t="s">
        <v>11</v>
      </c>
      <c r="E1177" s="231">
        <v>4.58</v>
      </c>
      <c r="F1177" s="231"/>
      <c r="J1177" s="480"/>
    </row>
    <row r="1178" spans="1:10" ht="25.5" hidden="1" customHeight="1" outlineLevel="1" x14ac:dyDescent="0.2">
      <c r="A1178" s="198" t="s">
        <v>1279</v>
      </c>
      <c r="B1178" s="224" t="s">
        <v>3626</v>
      </c>
      <c r="C1178" s="225" t="s">
        <v>3397</v>
      </c>
      <c r="D1178" s="226" t="s">
        <v>11</v>
      </c>
      <c r="E1178" s="227">
        <v>9.33</v>
      </c>
      <c r="F1178" s="227"/>
      <c r="J1178" s="480"/>
    </row>
    <row r="1179" spans="1:10" ht="25.5" hidden="1" customHeight="1" outlineLevel="1" x14ac:dyDescent="0.2">
      <c r="A1179" s="198" t="s">
        <v>1279</v>
      </c>
      <c r="B1179" s="228" t="s">
        <v>3627</v>
      </c>
      <c r="C1179" s="229" t="s">
        <v>3347</v>
      </c>
      <c r="D1179" s="230" t="s">
        <v>11</v>
      </c>
      <c r="E1179" s="231">
        <v>2.0499999999999998</v>
      </c>
      <c r="F1179" s="231"/>
      <c r="J1179" s="480"/>
    </row>
    <row r="1180" spans="1:10" ht="25.5" hidden="1" customHeight="1" outlineLevel="1" x14ac:dyDescent="0.2">
      <c r="A1180" s="198" t="s">
        <v>1279</v>
      </c>
      <c r="B1180" s="224" t="s">
        <v>3628</v>
      </c>
      <c r="C1180" s="225" t="s">
        <v>3349</v>
      </c>
      <c r="D1180" s="226" t="s">
        <v>11</v>
      </c>
      <c r="E1180" s="227">
        <v>4.99</v>
      </c>
      <c r="F1180" s="227"/>
      <c r="J1180" s="480"/>
    </row>
    <row r="1181" spans="1:10" ht="25.5" hidden="1" customHeight="1" outlineLevel="1" x14ac:dyDescent="0.2">
      <c r="A1181" s="198" t="s">
        <v>1279</v>
      </c>
      <c r="B1181" s="228" t="s">
        <v>3629</v>
      </c>
      <c r="C1181" s="229" t="s">
        <v>3351</v>
      </c>
      <c r="D1181" s="230" t="s">
        <v>11</v>
      </c>
      <c r="E1181" s="231">
        <v>1.92</v>
      </c>
      <c r="F1181" s="231"/>
      <c r="J1181" s="480"/>
    </row>
    <row r="1182" spans="1:10" ht="25.5" hidden="1" customHeight="1" outlineLevel="1" x14ac:dyDescent="0.2">
      <c r="A1182" s="198" t="s">
        <v>1279</v>
      </c>
      <c r="B1182" s="224" t="s">
        <v>3630</v>
      </c>
      <c r="C1182" s="225" t="s">
        <v>3353</v>
      </c>
      <c r="D1182" s="226" t="s">
        <v>11</v>
      </c>
      <c r="E1182" s="227">
        <v>3.31</v>
      </c>
      <c r="F1182" s="227"/>
      <c r="J1182" s="480"/>
    </row>
    <row r="1183" spans="1:10" ht="25.5" hidden="1" customHeight="1" outlineLevel="1" x14ac:dyDescent="0.2">
      <c r="A1183" s="198" t="s">
        <v>1279</v>
      </c>
      <c r="B1183" s="228" t="s">
        <v>3631</v>
      </c>
      <c r="C1183" s="229" t="s">
        <v>3451</v>
      </c>
      <c r="D1183" s="230" t="s">
        <v>11</v>
      </c>
      <c r="E1183" s="231">
        <v>2.06</v>
      </c>
      <c r="F1183" s="231"/>
      <c r="J1183" s="480"/>
    </row>
    <row r="1184" spans="1:10" ht="25.5" hidden="1" customHeight="1" outlineLevel="1" x14ac:dyDescent="0.2">
      <c r="A1184" s="198" t="s">
        <v>1279</v>
      </c>
      <c r="B1184" s="224" t="s">
        <v>3632</v>
      </c>
      <c r="C1184" s="225" t="s">
        <v>3397</v>
      </c>
      <c r="D1184" s="226" t="s">
        <v>11</v>
      </c>
      <c r="E1184" s="227">
        <v>5.41</v>
      </c>
      <c r="F1184" s="227"/>
      <c r="J1184" s="480"/>
    </row>
    <row r="1185" spans="1:10" ht="18" hidden="1" customHeight="1" outlineLevel="1" x14ac:dyDescent="0.2">
      <c r="A1185" s="198" t="s">
        <v>1279</v>
      </c>
      <c r="B1185" s="216" t="s">
        <v>2303</v>
      </c>
      <c r="C1185" s="217" t="s">
        <v>2971</v>
      </c>
      <c r="D1185" s="218"/>
      <c r="E1185" s="219"/>
      <c r="F1185" s="219"/>
      <c r="J1185" s="480"/>
    </row>
    <row r="1186" spans="1:10" ht="18" hidden="1" customHeight="1" outlineLevel="1" x14ac:dyDescent="0.2">
      <c r="A1186" s="198" t="s">
        <v>1279</v>
      </c>
      <c r="B1186" s="228" t="s">
        <v>3633</v>
      </c>
      <c r="C1186" s="229" t="s">
        <v>124</v>
      </c>
      <c r="D1186" s="230" t="s">
        <v>11</v>
      </c>
      <c r="E1186" s="231">
        <v>2.31</v>
      </c>
      <c r="F1186" s="231"/>
      <c r="J1186" s="480"/>
    </row>
    <row r="1187" spans="1:10" ht="38.25" hidden="1" customHeight="1" outlineLevel="1" x14ac:dyDescent="0.2">
      <c r="A1187" s="198" t="s">
        <v>1279</v>
      </c>
      <c r="B1187" s="224" t="s">
        <v>3634</v>
      </c>
      <c r="C1187" s="225" t="s">
        <v>3319</v>
      </c>
      <c r="D1187" s="226" t="s">
        <v>11</v>
      </c>
      <c r="E1187" s="227">
        <v>3.24</v>
      </c>
      <c r="F1187" s="227"/>
      <c r="J1187" s="480"/>
    </row>
    <row r="1188" spans="1:10" ht="38.25" hidden="1" customHeight="1" outlineLevel="1" x14ac:dyDescent="0.2">
      <c r="A1188" s="198" t="s">
        <v>1279</v>
      </c>
      <c r="B1188" s="228" t="s">
        <v>3635</v>
      </c>
      <c r="C1188" s="229" t="s">
        <v>3320</v>
      </c>
      <c r="D1188" s="230" t="s">
        <v>11</v>
      </c>
      <c r="E1188" s="231">
        <v>2.71</v>
      </c>
      <c r="F1188" s="231"/>
      <c r="J1188" s="480"/>
    </row>
    <row r="1189" spans="1:10" ht="38.25" hidden="1" customHeight="1" outlineLevel="1" x14ac:dyDescent="0.2">
      <c r="A1189" s="198" t="s">
        <v>1279</v>
      </c>
      <c r="B1189" s="224" t="s">
        <v>3636</v>
      </c>
      <c r="C1189" s="225" t="s">
        <v>3321</v>
      </c>
      <c r="D1189" s="226" t="s">
        <v>11</v>
      </c>
      <c r="E1189" s="227">
        <v>2.29</v>
      </c>
      <c r="F1189" s="227"/>
      <c r="J1189" s="480"/>
    </row>
    <row r="1190" spans="1:10" ht="25.5" hidden="1" customHeight="1" outlineLevel="1" x14ac:dyDescent="0.2">
      <c r="A1190" s="198" t="s">
        <v>1279</v>
      </c>
      <c r="B1190" s="228" t="s">
        <v>3637</v>
      </c>
      <c r="C1190" s="229" t="s">
        <v>3294</v>
      </c>
      <c r="D1190" s="230" t="s">
        <v>11</v>
      </c>
      <c r="E1190" s="231">
        <v>7.91</v>
      </c>
      <c r="F1190" s="231"/>
      <c r="J1190" s="480"/>
    </row>
    <row r="1191" spans="1:10" ht="25.5" hidden="1" customHeight="1" outlineLevel="1" x14ac:dyDescent="0.2">
      <c r="A1191" s="198" t="s">
        <v>1279</v>
      </c>
      <c r="B1191" s="224" t="s">
        <v>3638</v>
      </c>
      <c r="C1191" s="225" t="s">
        <v>3295</v>
      </c>
      <c r="D1191" s="226" t="s">
        <v>11</v>
      </c>
      <c r="E1191" s="227">
        <v>17.86</v>
      </c>
      <c r="F1191" s="227"/>
      <c r="J1191" s="480"/>
    </row>
    <row r="1192" spans="1:10" ht="25.5" hidden="1" customHeight="1" outlineLevel="1" x14ac:dyDescent="0.2">
      <c r="A1192" s="198" t="s">
        <v>1279</v>
      </c>
      <c r="B1192" s="228" t="s">
        <v>3639</v>
      </c>
      <c r="C1192" s="229" t="s">
        <v>3376</v>
      </c>
      <c r="D1192" s="230" t="s">
        <v>11</v>
      </c>
      <c r="E1192" s="231">
        <v>4.53</v>
      </c>
      <c r="F1192" s="231"/>
      <c r="J1192" s="480"/>
    </row>
    <row r="1193" spans="1:10" ht="25.5" hidden="1" customHeight="1" outlineLevel="1" x14ac:dyDescent="0.2">
      <c r="A1193" s="198" t="s">
        <v>1279</v>
      </c>
      <c r="B1193" s="224" t="s">
        <v>3640</v>
      </c>
      <c r="C1193" s="225" t="s">
        <v>3323</v>
      </c>
      <c r="D1193" s="226" t="s">
        <v>11</v>
      </c>
      <c r="E1193" s="227">
        <v>9.36</v>
      </c>
      <c r="F1193" s="227"/>
      <c r="J1193" s="480"/>
    </row>
    <row r="1194" spans="1:10" ht="25.5" hidden="1" customHeight="1" outlineLevel="1" x14ac:dyDescent="0.2">
      <c r="A1194" s="198" t="s">
        <v>1279</v>
      </c>
      <c r="B1194" s="228" t="s">
        <v>3641</v>
      </c>
      <c r="C1194" s="229" t="s">
        <v>3297</v>
      </c>
      <c r="D1194" s="230" t="s">
        <v>11</v>
      </c>
      <c r="E1194" s="231">
        <v>18.52</v>
      </c>
      <c r="F1194" s="231"/>
      <c r="J1194" s="480"/>
    </row>
    <row r="1195" spans="1:10" ht="25.5" hidden="1" customHeight="1" outlineLevel="1" x14ac:dyDescent="0.2">
      <c r="A1195" s="198" t="s">
        <v>1279</v>
      </c>
      <c r="B1195" s="224" t="s">
        <v>3642</v>
      </c>
      <c r="C1195" s="225" t="s">
        <v>3299</v>
      </c>
      <c r="D1195" s="226" t="s">
        <v>11</v>
      </c>
      <c r="E1195" s="227">
        <v>21.8</v>
      </c>
      <c r="F1195" s="227"/>
      <c r="J1195" s="480"/>
    </row>
    <row r="1196" spans="1:10" ht="25.5" hidden="1" customHeight="1" outlineLevel="1" x14ac:dyDescent="0.2">
      <c r="A1196" s="198" t="s">
        <v>1279</v>
      </c>
      <c r="B1196" s="228" t="s">
        <v>3643</v>
      </c>
      <c r="C1196" s="229" t="s">
        <v>3301</v>
      </c>
      <c r="D1196" s="230" t="s">
        <v>11</v>
      </c>
      <c r="E1196" s="231">
        <v>20.58</v>
      </c>
      <c r="F1196" s="231"/>
      <c r="J1196" s="480"/>
    </row>
    <row r="1197" spans="1:10" ht="25.5" hidden="1" customHeight="1" outlineLevel="1" x14ac:dyDescent="0.2">
      <c r="A1197" s="198" t="s">
        <v>1279</v>
      </c>
      <c r="B1197" s="224" t="s">
        <v>3644</v>
      </c>
      <c r="C1197" s="225" t="s">
        <v>3336</v>
      </c>
      <c r="D1197" s="226" t="s">
        <v>11</v>
      </c>
      <c r="E1197" s="227">
        <v>10.6</v>
      </c>
      <c r="F1197" s="227"/>
      <c r="J1197" s="480"/>
    </row>
    <row r="1198" spans="1:10" ht="25.5" hidden="1" customHeight="1" outlineLevel="1" x14ac:dyDescent="0.2">
      <c r="A1198" s="198" t="s">
        <v>1279</v>
      </c>
      <c r="B1198" s="228" t="s">
        <v>3645</v>
      </c>
      <c r="C1198" s="229" t="s">
        <v>3338</v>
      </c>
      <c r="D1198" s="230" t="s">
        <v>11</v>
      </c>
      <c r="E1198" s="231">
        <v>19.87</v>
      </c>
      <c r="F1198" s="231"/>
      <c r="J1198" s="480"/>
    </row>
    <row r="1199" spans="1:10" ht="25.5" hidden="1" customHeight="1" outlineLevel="1" x14ac:dyDescent="0.2">
      <c r="A1199" s="198" t="s">
        <v>1279</v>
      </c>
      <c r="B1199" s="224" t="s">
        <v>3646</v>
      </c>
      <c r="C1199" s="225" t="s">
        <v>3340</v>
      </c>
      <c r="D1199" s="226" t="s">
        <v>11</v>
      </c>
      <c r="E1199" s="227">
        <v>4.32</v>
      </c>
      <c r="F1199" s="227"/>
      <c r="J1199" s="480"/>
    </row>
    <row r="1200" spans="1:10" ht="25.5" hidden="1" customHeight="1" outlineLevel="1" x14ac:dyDescent="0.2">
      <c r="A1200" s="198" t="s">
        <v>1279</v>
      </c>
      <c r="B1200" s="228" t="s">
        <v>3647</v>
      </c>
      <c r="C1200" s="229" t="s">
        <v>3250</v>
      </c>
      <c r="D1200" s="230" t="s">
        <v>11</v>
      </c>
      <c r="E1200" s="231">
        <v>7.52</v>
      </c>
      <c r="F1200" s="231"/>
      <c r="J1200" s="480"/>
    </row>
    <row r="1201" spans="1:10" ht="25.5" hidden="1" customHeight="1" outlineLevel="1" x14ac:dyDescent="0.2">
      <c r="A1201" s="198" t="s">
        <v>1279</v>
      </c>
      <c r="B1201" s="224" t="s">
        <v>3648</v>
      </c>
      <c r="C1201" s="225" t="s">
        <v>3347</v>
      </c>
      <c r="D1201" s="226" t="s">
        <v>11</v>
      </c>
      <c r="E1201" s="227">
        <v>4.1900000000000004</v>
      </c>
      <c r="F1201" s="227"/>
      <c r="J1201" s="480"/>
    </row>
    <row r="1202" spans="1:10" ht="25.5" hidden="1" customHeight="1" outlineLevel="1" x14ac:dyDescent="0.2">
      <c r="A1202" s="198" t="s">
        <v>1279</v>
      </c>
      <c r="B1202" s="228" t="s">
        <v>3649</v>
      </c>
      <c r="C1202" s="229" t="s">
        <v>3349</v>
      </c>
      <c r="D1202" s="230" t="s">
        <v>11</v>
      </c>
      <c r="E1202" s="231">
        <v>8.91</v>
      </c>
      <c r="F1202" s="231"/>
      <c r="J1202" s="480"/>
    </row>
    <row r="1203" spans="1:10" ht="25.5" hidden="1" customHeight="1" outlineLevel="1" x14ac:dyDescent="0.2">
      <c r="A1203" s="198" t="s">
        <v>1279</v>
      </c>
      <c r="B1203" s="224" t="s">
        <v>3650</v>
      </c>
      <c r="C1203" s="225" t="s">
        <v>3351</v>
      </c>
      <c r="D1203" s="226" t="s">
        <v>11</v>
      </c>
      <c r="E1203" s="227">
        <v>3.72</v>
      </c>
      <c r="F1203" s="227"/>
      <c r="J1203" s="480"/>
    </row>
    <row r="1204" spans="1:10" ht="25.5" hidden="1" customHeight="1" outlineLevel="1" x14ac:dyDescent="0.2">
      <c r="A1204" s="198" t="s">
        <v>1279</v>
      </c>
      <c r="B1204" s="228" t="s">
        <v>3651</v>
      </c>
      <c r="C1204" s="229" t="s">
        <v>3353</v>
      </c>
      <c r="D1204" s="230" t="s">
        <v>11</v>
      </c>
      <c r="E1204" s="231">
        <v>7.42</v>
      </c>
      <c r="F1204" s="231"/>
      <c r="J1204" s="480"/>
    </row>
    <row r="1205" spans="1:10" ht="25.5" hidden="1" customHeight="1" outlineLevel="1" x14ac:dyDescent="0.2">
      <c r="A1205" s="198" t="s">
        <v>1279</v>
      </c>
      <c r="B1205" s="224" t="s">
        <v>3652</v>
      </c>
      <c r="C1205" s="225" t="s">
        <v>3355</v>
      </c>
      <c r="D1205" s="226" t="s">
        <v>11</v>
      </c>
      <c r="E1205" s="227">
        <v>2.8</v>
      </c>
      <c r="F1205" s="227"/>
      <c r="J1205" s="480"/>
    </row>
    <row r="1206" spans="1:10" ht="18" hidden="1" customHeight="1" outlineLevel="1" x14ac:dyDescent="0.2">
      <c r="A1206" s="198" t="s">
        <v>1279</v>
      </c>
      <c r="B1206" s="228" t="s">
        <v>3653</v>
      </c>
      <c r="C1206" s="229" t="s">
        <v>3274</v>
      </c>
      <c r="D1206" s="230" t="s">
        <v>11</v>
      </c>
      <c r="E1206" s="231">
        <v>4.3499999999999996</v>
      </c>
      <c r="F1206" s="231"/>
      <c r="J1206" s="480"/>
    </row>
    <row r="1207" spans="1:10" ht="25.5" hidden="1" customHeight="1" outlineLevel="1" x14ac:dyDescent="0.2">
      <c r="A1207" s="198" t="s">
        <v>1279</v>
      </c>
      <c r="B1207" s="224" t="s">
        <v>3654</v>
      </c>
      <c r="C1207" s="225" t="s">
        <v>3347</v>
      </c>
      <c r="D1207" s="226" t="s">
        <v>11</v>
      </c>
      <c r="E1207" s="227">
        <v>2.15</v>
      </c>
      <c r="F1207" s="227"/>
      <c r="J1207" s="480"/>
    </row>
    <row r="1208" spans="1:10" ht="25.5" hidden="1" customHeight="1" outlineLevel="1" x14ac:dyDescent="0.2">
      <c r="A1208" s="198" t="s">
        <v>1279</v>
      </c>
      <c r="B1208" s="228" t="s">
        <v>3655</v>
      </c>
      <c r="C1208" s="229" t="s">
        <v>3349</v>
      </c>
      <c r="D1208" s="230" t="s">
        <v>11</v>
      </c>
      <c r="E1208" s="231">
        <v>4.53</v>
      </c>
      <c r="F1208" s="231"/>
      <c r="J1208" s="480"/>
    </row>
    <row r="1209" spans="1:10" ht="25.5" hidden="1" customHeight="1" outlineLevel="1" x14ac:dyDescent="0.2">
      <c r="A1209" s="198" t="s">
        <v>1279</v>
      </c>
      <c r="B1209" s="224" t="s">
        <v>3656</v>
      </c>
      <c r="C1209" s="225" t="s">
        <v>3351</v>
      </c>
      <c r="D1209" s="226" t="s">
        <v>11</v>
      </c>
      <c r="E1209" s="227">
        <v>1.41</v>
      </c>
      <c r="F1209" s="227"/>
      <c r="J1209" s="480"/>
    </row>
    <row r="1210" spans="1:10" ht="25.5" hidden="1" customHeight="1" outlineLevel="1" x14ac:dyDescent="0.2">
      <c r="A1210" s="198" t="s">
        <v>1279</v>
      </c>
      <c r="B1210" s="228" t="s">
        <v>3657</v>
      </c>
      <c r="C1210" s="229" t="s">
        <v>3353</v>
      </c>
      <c r="D1210" s="230" t="s">
        <v>11</v>
      </c>
      <c r="E1210" s="231">
        <v>2.82</v>
      </c>
      <c r="F1210" s="231"/>
      <c r="J1210" s="480"/>
    </row>
    <row r="1211" spans="1:10" ht="25.5" hidden="1" customHeight="1" outlineLevel="1" x14ac:dyDescent="0.2">
      <c r="A1211" s="198" t="s">
        <v>1279</v>
      </c>
      <c r="B1211" s="224" t="s">
        <v>3658</v>
      </c>
      <c r="C1211" s="225" t="s">
        <v>3355</v>
      </c>
      <c r="D1211" s="226" t="s">
        <v>11</v>
      </c>
      <c r="E1211" s="227">
        <v>1.17</v>
      </c>
      <c r="F1211" s="227"/>
      <c r="J1211" s="480"/>
    </row>
    <row r="1212" spans="1:10" ht="18" hidden="1" customHeight="1" outlineLevel="1" x14ac:dyDescent="0.2">
      <c r="A1212" s="198" t="s">
        <v>1279</v>
      </c>
      <c r="B1212" s="216" t="s">
        <v>2304</v>
      </c>
      <c r="C1212" s="217" t="s">
        <v>2972</v>
      </c>
      <c r="D1212" s="218"/>
      <c r="E1212" s="219"/>
      <c r="F1212" s="219"/>
      <c r="J1212" s="480"/>
    </row>
    <row r="1213" spans="1:10" ht="38.25" hidden="1" customHeight="1" outlineLevel="1" x14ac:dyDescent="0.2">
      <c r="A1213" s="198" t="s">
        <v>1279</v>
      </c>
      <c r="B1213" s="228" t="s">
        <v>3659</v>
      </c>
      <c r="C1213" s="229" t="s">
        <v>3319</v>
      </c>
      <c r="D1213" s="230" t="s">
        <v>11</v>
      </c>
      <c r="E1213" s="231">
        <v>3.19</v>
      </c>
      <c r="F1213" s="231"/>
      <c r="J1213" s="480"/>
    </row>
    <row r="1214" spans="1:10" ht="38.25" hidden="1" customHeight="1" outlineLevel="1" x14ac:dyDescent="0.2">
      <c r="A1214" s="198" t="s">
        <v>1279</v>
      </c>
      <c r="B1214" s="224" t="s">
        <v>3660</v>
      </c>
      <c r="C1214" s="225" t="s">
        <v>3321</v>
      </c>
      <c r="D1214" s="226" t="s">
        <v>11</v>
      </c>
      <c r="E1214" s="227">
        <v>1.7</v>
      </c>
      <c r="F1214" s="227"/>
      <c r="J1214" s="480"/>
    </row>
    <row r="1215" spans="1:10" ht="38.25" hidden="1" customHeight="1" outlineLevel="1" x14ac:dyDescent="0.2">
      <c r="A1215" s="198" t="s">
        <v>1279</v>
      </c>
      <c r="B1215" s="228" t="s">
        <v>3661</v>
      </c>
      <c r="C1215" s="229" t="s">
        <v>3372</v>
      </c>
      <c r="D1215" s="230" t="s">
        <v>11</v>
      </c>
      <c r="E1215" s="231">
        <v>4.6399999999999997</v>
      </c>
      <c r="F1215" s="231"/>
      <c r="J1215" s="480"/>
    </row>
    <row r="1216" spans="1:10" ht="25.5" hidden="1" customHeight="1" outlineLevel="1" x14ac:dyDescent="0.2">
      <c r="A1216" s="198" t="s">
        <v>1279</v>
      </c>
      <c r="B1216" s="224" t="s">
        <v>3662</v>
      </c>
      <c r="C1216" s="225" t="s">
        <v>3250</v>
      </c>
      <c r="D1216" s="226" t="s">
        <v>11</v>
      </c>
      <c r="E1216" s="227">
        <v>4.84</v>
      </c>
      <c r="F1216" s="227"/>
      <c r="J1216" s="480"/>
    </row>
    <row r="1217" spans="1:10" ht="25.5" hidden="1" customHeight="1" outlineLevel="1" x14ac:dyDescent="0.2">
      <c r="A1217" s="198" t="s">
        <v>1279</v>
      </c>
      <c r="B1217" s="228" t="s">
        <v>3663</v>
      </c>
      <c r="C1217" s="229" t="s">
        <v>3664</v>
      </c>
      <c r="D1217" s="230" t="s">
        <v>11</v>
      </c>
      <c r="E1217" s="231">
        <v>5</v>
      </c>
      <c r="F1217" s="231"/>
      <c r="J1217" s="480"/>
    </row>
    <row r="1218" spans="1:10" ht="25.5" hidden="1" customHeight="1" outlineLevel="1" x14ac:dyDescent="0.2">
      <c r="A1218" s="198" t="s">
        <v>1279</v>
      </c>
      <c r="B1218" s="224" t="s">
        <v>3665</v>
      </c>
      <c r="C1218" s="225" t="s">
        <v>3666</v>
      </c>
      <c r="D1218" s="226" t="s">
        <v>11</v>
      </c>
      <c r="E1218" s="227">
        <v>2.4300000000000002</v>
      </c>
      <c r="F1218" s="227"/>
      <c r="J1218" s="480"/>
    </row>
    <row r="1219" spans="1:10" ht="25.5" hidden="1" customHeight="1" outlineLevel="1" x14ac:dyDescent="0.2">
      <c r="A1219" s="198" t="s">
        <v>1279</v>
      </c>
      <c r="B1219" s="228" t="s">
        <v>3667</v>
      </c>
      <c r="C1219" s="229" t="s">
        <v>3668</v>
      </c>
      <c r="D1219" s="230" t="s">
        <v>11</v>
      </c>
      <c r="E1219" s="231">
        <v>3.03</v>
      </c>
      <c r="F1219" s="231"/>
      <c r="J1219" s="480"/>
    </row>
    <row r="1220" spans="1:10" ht="25.5" hidden="1" customHeight="1" outlineLevel="1" x14ac:dyDescent="0.2">
      <c r="A1220" s="198" t="s">
        <v>1279</v>
      </c>
      <c r="B1220" s="224" t="s">
        <v>3669</v>
      </c>
      <c r="C1220" s="225" t="s">
        <v>3670</v>
      </c>
      <c r="D1220" s="226" t="s">
        <v>11</v>
      </c>
      <c r="E1220" s="227">
        <v>3.05</v>
      </c>
      <c r="F1220" s="227"/>
      <c r="J1220" s="480"/>
    </row>
    <row r="1221" spans="1:10" ht="25.5" hidden="1" customHeight="1" outlineLevel="1" x14ac:dyDescent="0.2">
      <c r="A1221" s="198" t="s">
        <v>1279</v>
      </c>
      <c r="B1221" s="228" t="s">
        <v>3671</v>
      </c>
      <c r="C1221" s="229" t="s">
        <v>3347</v>
      </c>
      <c r="D1221" s="230" t="s">
        <v>11</v>
      </c>
      <c r="E1221" s="231">
        <v>5.2</v>
      </c>
      <c r="F1221" s="231"/>
      <c r="J1221" s="480"/>
    </row>
    <row r="1222" spans="1:10" ht="25.5" hidden="1" customHeight="1" outlineLevel="1" x14ac:dyDescent="0.2">
      <c r="A1222" s="198" t="s">
        <v>1279</v>
      </c>
      <c r="B1222" s="224" t="s">
        <v>3672</v>
      </c>
      <c r="C1222" s="225" t="s">
        <v>3349</v>
      </c>
      <c r="D1222" s="226" t="s">
        <v>11</v>
      </c>
      <c r="E1222" s="227">
        <v>4.0999999999999996</v>
      </c>
      <c r="F1222" s="227"/>
      <c r="J1222" s="480"/>
    </row>
    <row r="1223" spans="1:10" ht="25.5" hidden="1" customHeight="1" outlineLevel="1" x14ac:dyDescent="0.2">
      <c r="A1223" s="198" t="s">
        <v>1279</v>
      </c>
      <c r="B1223" s="228" t="s">
        <v>3673</v>
      </c>
      <c r="C1223" s="229" t="s">
        <v>3351</v>
      </c>
      <c r="D1223" s="230" t="s">
        <v>11</v>
      </c>
      <c r="E1223" s="231">
        <v>1.92</v>
      </c>
      <c r="F1223" s="231"/>
      <c r="J1223" s="480"/>
    </row>
    <row r="1224" spans="1:10" ht="25.5" hidden="1" customHeight="1" outlineLevel="1" x14ac:dyDescent="0.2">
      <c r="A1224" s="198" t="s">
        <v>1279</v>
      </c>
      <c r="B1224" s="224" t="s">
        <v>3674</v>
      </c>
      <c r="C1224" s="225" t="s">
        <v>3353</v>
      </c>
      <c r="D1224" s="226" t="s">
        <v>11</v>
      </c>
      <c r="E1224" s="227">
        <v>9.3699999999999992</v>
      </c>
      <c r="F1224" s="227"/>
      <c r="J1224" s="480"/>
    </row>
    <row r="1225" spans="1:10" ht="18" hidden="1" customHeight="1" outlineLevel="1" x14ac:dyDescent="0.2">
      <c r="A1225" s="198" t="s">
        <v>1279</v>
      </c>
      <c r="B1225" s="228" t="s">
        <v>3675</v>
      </c>
      <c r="C1225" s="229" t="s">
        <v>3274</v>
      </c>
      <c r="D1225" s="230" t="s">
        <v>11</v>
      </c>
      <c r="E1225" s="231">
        <v>2.62</v>
      </c>
      <c r="F1225" s="231"/>
      <c r="J1225" s="480"/>
    </row>
    <row r="1226" spans="1:10" ht="25.5" hidden="1" customHeight="1" outlineLevel="1" x14ac:dyDescent="0.2">
      <c r="A1226" s="198" t="s">
        <v>1279</v>
      </c>
      <c r="B1226" s="224" t="s">
        <v>3676</v>
      </c>
      <c r="C1226" s="225" t="s">
        <v>3666</v>
      </c>
      <c r="D1226" s="226" t="s">
        <v>11</v>
      </c>
      <c r="E1226" s="227">
        <v>1.72</v>
      </c>
      <c r="F1226" s="227"/>
      <c r="J1226" s="480"/>
    </row>
    <row r="1227" spans="1:10" ht="25.5" hidden="1" customHeight="1" outlineLevel="1" x14ac:dyDescent="0.2">
      <c r="A1227" s="198" t="s">
        <v>1279</v>
      </c>
      <c r="B1227" s="228" t="s">
        <v>3677</v>
      </c>
      <c r="C1227" s="229" t="s">
        <v>3668</v>
      </c>
      <c r="D1227" s="230" t="s">
        <v>11</v>
      </c>
      <c r="E1227" s="231">
        <v>2.2200000000000002</v>
      </c>
      <c r="F1227" s="231"/>
      <c r="J1227" s="480"/>
    </row>
    <row r="1228" spans="1:10" ht="25.5" hidden="1" customHeight="1" outlineLevel="1" x14ac:dyDescent="0.2">
      <c r="A1228" s="198" t="s">
        <v>1279</v>
      </c>
      <c r="B1228" s="224" t="s">
        <v>3678</v>
      </c>
      <c r="C1228" s="225" t="s">
        <v>3670</v>
      </c>
      <c r="D1228" s="226" t="s">
        <v>11</v>
      </c>
      <c r="E1228" s="227">
        <v>1.84</v>
      </c>
      <c r="F1228" s="227"/>
      <c r="J1228" s="480"/>
    </row>
    <row r="1229" spans="1:10" ht="38.25" hidden="1" customHeight="1" outlineLevel="1" x14ac:dyDescent="0.2">
      <c r="A1229" s="198" t="s">
        <v>1279</v>
      </c>
      <c r="B1229" s="228" t="s">
        <v>3679</v>
      </c>
      <c r="C1229" s="229" t="s">
        <v>3680</v>
      </c>
      <c r="D1229" s="230" t="s">
        <v>11</v>
      </c>
      <c r="E1229" s="231">
        <v>114.96</v>
      </c>
      <c r="F1229" s="231"/>
      <c r="J1229" s="480"/>
    </row>
    <row r="1230" spans="1:10" ht="25.5" hidden="1" customHeight="1" outlineLevel="1" x14ac:dyDescent="0.2">
      <c r="A1230" s="198" t="s">
        <v>1279</v>
      </c>
      <c r="B1230" s="224" t="s">
        <v>3681</v>
      </c>
      <c r="C1230" s="225" t="s">
        <v>3347</v>
      </c>
      <c r="D1230" s="226" t="s">
        <v>11</v>
      </c>
      <c r="E1230" s="227">
        <v>2.2400000000000002</v>
      </c>
      <c r="F1230" s="227"/>
      <c r="J1230" s="480"/>
    </row>
    <row r="1231" spans="1:10" ht="25.5" hidden="1" customHeight="1" outlineLevel="1" x14ac:dyDescent="0.2">
      <c r="A1231" s="198" t="s">
        <v>1279</v>
      </c>
      <c r="B1231" s="228" t="s">
        <v>3682</v>
      </c>
      <c r="C1231" s="229" t="s">
        <v>3349</v>
      </c>
      <c r="D1231" s="230" t="s">
        <v>11</v>
      </c>
      <c r="E1231" s="231">
        <v>0.17</v>
      </c>
      <c r="F1231" s="231"/>
      <c r="J1231" s="480"/>
    </row>
    <row r="1232" spans="1:10" ht="25.5" hidden="1" customHeight="1" outlineLevel="1" x14ac:dyDescent="0.2">
      <c r="A1232" s="198" t="s">
        <v>1279</v>
      </c>
      <c r="B1232" s="224" t="s">
        <v>3683</v>
      </c>
      <c r="C1232" s="225" t="s">
        <v>3351</v>
      </c>
      <c r="D1232" s="226" t="s">
        <v>11</v>
      </c>
      <c r="E1232" s="227">
        <v>0.56000000000000005</v>
      </c>
      <c r="F1232" s="227"/>
      <c r="J1232" s="480"/>
    </row>
    <row r="1233" spans="1:10" ht="25.5" hidden="1" customHeight="1" outlineLevel="1" x14ac:dyDescent="0.2">
      <c r="A1233" s="198" t="s">
        <v>1279</v>
      </c>
      <c r="B1233" s="228" t="s">
        <v>3684</v>
      </c>
      <c r="C1233" s="229" t="s">
        <v>3353</v>
      </c>
      <c r="D1233" s="230" t="s">
        <v>11</v>
      </c>
      <c r="E1233" s="231">
        <v>4.57</v>
      </c>
      <c r="F1233" s="231"/>
      <c r="J1233" s="480"/>
    </row>
    <row r="1234" spans="1:10" ht="38.25" hidden="1" customHeight="1" outlineLevel="1" x14ac:dyDescent="0.2">
      <c r="A1234" s="198" t="s">
        <v>1279</v>
      </c>
      <c r="B1234" s="224" t="s">
        <v>3685</v>
      </c>
      <c r="C1234" s="225" t="s">
        <v>3680</v>
      </c>
      <c r="D1234" s="226" t="s">
        <v>11</v>
      </c>
      <c r="E1234" s="227">
        <v>24.95</v>
      </c>
      <c r="F1234" s="227"/>
      <c r="J1234" s="480"/>
    </row>
    <row r="1235" spans="1:10" ht="18" hidden="1" customHeight="1" outlineLevel="1" x14ac:dyDescent="0.2">
      <c r="A1235" s="198" t="s">
        <v>1279</v>
      </c>
      <c r="B1235" s="216" t="s">
        <v>2305</v>
      </c>
      <c r="C1235" s="217" t="s">
        <v>2973</v>
      </c>
      <c r="D1235" s="218"/>
      <c r="E1235" s="219"/>
      <c r="F1235" s="219"/>
      <c r="J1235" s="480"/>
    </row>
    <row r="1236" spans="1:10" ht="18" hidden="1" customHeight="1" outlineLevel="1" x14ac:dyDescent="0.2">
      <c r="A1236" s="198" t="s">
        <v>1279</v>
      </c>
      <c r="B1236" s="228" t="s">
        <v>3686</v>
      </c>
      <c r="C1236" s="229" t="s">
        <v>124</v>
      </c>
      <c r="D1236" s="230" t="s">
        <v>11</v>
      </c>
      <c r="E1236" s="231">
        <v>0.09</v>
      </c>
      <c r="F1236" s="231"/>
      <c r="J1236" s="480"/>
    </row>
    <row r="1237" spans="1:10" ht="38.25" hidden="1" customHeight="1" outlineLevel="1" x14ac:dyDescent="0.2">
      <c r="A1237" s="198" t="s">
        <v>1279</v>
      </c>
      <c r="B1237" s="224" t="s">
        <v>3687</v>
      </c>
      <c r="C1237" s="225" t="s">
        <v>3319</v>
      </c>
      <c r="D1237" s="226" t="s">
        <v>11</v>
      </c>
      <c r="E1237" s="227">
        <v>2.52</v>
      </c>
      <c r="F1237" s="227"/>
      <c r="J1237" s="480"/>
    </row>
    <row r="1238" spans="1:10" ht="38.25" hidden="1" customHeight="1" outlineLevel="1" x14ac:dyDescent="0.2">
      <c r="A1238" s="198" t="s">
        <v>1279</v>
      </c>
      <c r="B1238" s="228" t="s">
        <v>3688</v>
      </c>
      <c r="C1238" s="229" t="s">
        <v>3320</v>
      </c>
      <c r="D1238" s="230" t="s">
        <v>11</v>
      </c>
      <c r="E1238" s="231">
        <v>1.75</v>
      </c>
      <c r="F1238" s="231"/>
      <c r="J1238" s="480"/>
    </row>
    <row r="1239" spans="1:10" ht="25.5" hidden="1" customHeight="1" outlineLevel="1" x14ac:dyDescent="0.2">
      <c r="A1239" s="198" t="s">
        <v>1279</v>
      </c>
      <c r="B1239" s="224" t="s">
        <v>3689</v>
      </c>
      <c r="C1239" s="225" t="s">
        <v>3294</v>
      </c>
      <c r="D1239" s="226" t="s">
        <v>11</v>
      </c>
      <c r="E1239" s="227">
        <v>3.65</v>
      </c>
      <c r="F1239" s="227"/>
      <c r="J1239" s="480"/>
    </row>
    <row r="1240" spans="1:10" ht="25.5" hidden="1" customHeight="1" outlineLevel="1" x14ac:dyDescent="0.2">
      <c r="A1240" s="198" t="s">
        <v>1279</v>
      </c>
      <c r="B1240" s="228" t="s">
        <v>3690</v>
      </c>
      <c r="C1240" s="229" t="s">
        <v>3295</v>
      </c>
      <c r="D1240" s="230" t="s">
        <v>11</v>
      </c>
      <c r="E1240" s="231">
        <v>9.3699999999999992</v>
      </c>
      <c r="F1240" s="231"/>
      <c r="J1240" s="480"/>
    </row>
    <row r="1241" spans="1:10" ht="25.5" hidden="1" customHeight="1" outlineLevel="1" x14ac:dyDescent="0.2">
      <c r="A1241" s="198" t="s">
        <v>1279</v>
      </c>
      <c r="B1241" s="224" t="s">
        <v>3691</v>
      </c>
      <c r="C1241" s="225" t="s">
        <v>3376</v>
      </c>
      <c r="D1241" s="226" t="s">
        <v>11</v>
      </c>
      <c r="E1241" s="227">
        <v>4.59</v>
      </c>
      <c r="F1241" s="227"/>
      <c r="J1241" s="480"/>
    </row>
    <row r="1242" spans="1:10" ht="25.5" hidden="1" customHeight="1" outlineLevel="1" x14ac:dyDescent="0.2">
      <c r="A1242" s="198" t="s">
        <v>1279</v>
      </c>
      <c r="B1242" s="228" t="s">
        <v>3692</v>
      </c>
      <c r="C1242" s="229" t="s">
        <v>3323</v>
      </c>
      <c r="D1242" s="230" t="s">
        <v>11</v>
      </c>
      <c r="E1242" s="231">
        <v>4.93</v>
      </c>
      <c r="F1242" s="231"/>
      <c r="J1242" s="480"/>
    </row>
    <row r="1243" spans="1:10" ht="25.5" hidden="1" customHeight="1" outlineLevel="1" x14ac:dyDescent="0.2">
      <c r="A1243" s="198" t="s">
        <v>1279</v>
      </c>
      <c r="B1243" s="224" t="s">
        <v>3693</v>
      </c>
      <c r="C1243" s="225" t="s">
        <v>3297</v>
      </c>
      <c r="D1243" s="226" t="s">
        <v>11</v>
      </c>
      <c r="E1243" s="227">
        <v>10.57</v>
      </c>
      <c r="F1243" s="227"/>
      <c r="J1243" s="480"/>
    </row>
    <row r="1244" spans="1:10" ht="25.5" hidden="1" customHeight="1" outlineLevel="1" x14ac:dyDescent="0.2">
      <c r="A1244" s="198" t="s">
        <v>1279</v>
      </c>
      <c r="B1244" s="228" t="s">
        <v>3694</v>
      </c>
      <c r="C1244" s="229" t="s">
        <v>3299</v>
      </c>
      <c r="D1244" s="230" t="s">
        <v>11</v>
      </c>
      <c r="E1244" s="231">
        <v>21.68</v>
      </c>
      <c r="F1244" s="231"/>
      <c r="J1244" s="480"/>
    </row>
    <row r="1245" spans="1:10" ht="25.5" hidden="1" customHeight="1" outlineLevel="1" x14ac:dyDescent="0.2">
      <c r="A1245" s="198" t="s">
        <v>1279</v>
      </c>
      <c r="B1245" s="224" t="s">
        <v>3695</v>
      </c>
      <c r="C1245" s="225" t="s">
        <v>3250</v>
      </c>
      <c r="D1245" s="226" t="s">
        <v>11</v>
      </c>
      <c r="E1245" s="227">
        <v>5.36</v>
      </c>
      <c r="F1245" s="227"/>
      <c r="J1245" s="480"/>
    </row>
    <row r="1246" spans="1:10" ht="25.5" hidden="1" customHeight="1" outlineLevel="1" x14ac:dyDescent="0.2">
      <c r="A1246" s="198" t="s">
        <v>1279</v>
      </c>
      <c r="B1246" s="228" t="s">
        <v>3696</v>
      </c>
      <c r="C1246" s="229" t="s">
        <v>3666</v>
      </c>
      <c r="D1246" s="230" t="s">
        <v>11</v>
      </c>
      <c r="E1246" s="231">
        <v>1.75</v>
      </c>
      <c r="F1246" s="231"/>
      <c r="J1246" s="480"/>
    </row>
    <row r="1247" spans="1:10" ht="25.5" hidden="1" customHeight="1" outlineLevel="1" x14ac:dyDescent="0.2">
      <c r="A1247" s="198" t="s">
        <v>1279</v>
      </c>
      <c r="B1247" s="224" t="s">
        <v>3697</v>
      </c>
      <c r="C1247" s="225" t="s">
        <v>3347</v>
      </c>
      <c r="D1247" s="226" t="s">
        <v>11</v>
      </c>
      <c r="E1247" s="227">
        <v>7.43</v>
      </c>
      <c r="F1247" s="227"/>
      <c r="J1247" s="480"/>
    </row>
    <row r="1248" spans="1:10" ht="25.5" hidden="1" customHeight="1" outlineLevel="1" x14ac:dyDescent="0.2">
      <c r="A1248" s="198" t="s">
        <v>1279</v>
      </c>
      <c r="B1248" s="228" t="s">
        <v>3698</v>
      </c>
      <c r="C1248" s="229" t="s">
        <v>3349</v>
      </c>
      <c r="D1248" s="230" t="s">
        <v>11</v>
      </c>
      <c r="E1248" s="231">
        <v>3.67</v>
      </c>
      <c r="F1248" s="231"/>
      <c r="J1248" s="480"/>
    </row>
    <row r="1249" spans="1:10" ht="18" hidden="1" customHeight="1" outlineLevel="1" x14ac:dyDescent="0.2">
      <c r="A1249" s="198" t="s">
        <v>1279</v>
      </c>
      <c r="B1249" s="224" t="s">
        <v>3699</v>
      </c>
      <c r="C1249" s="225" t="s">
        <v>3274</v>
      </c>
      <c r="D1249" s="226" t="s">
        <v>11</v>
      </c>
      <c r="E1249" s="227">
        <v>2.98</v>
      </c>
      <c r="F1249" s="227"/>
      <c r="J1249" s="480"/>
    </row>
    <row r="1250" spans="1:10" ht="25.5" hidden="1" customHeight="1" outlineLevel="1" x14ac:dyDescent="0.2">
      <c r="A1250" s="198" t="s">
        <v>1279</v>
      </c>
      <c r="B1250" s="228" t="s">
        <v>3700</v>
      </c>
      <c r="C1250" s="229" t="s">
        <v>3666</v>
      </c>
      <c r="D1250" s="230" t="s">
        <v>11</v>
      </c>
      <c r="E1250" s="231">
        <v>1.37</v>
      </c>
      <c r="F1250" s="231"/>
      <c r="J1250" s="480"/>
    </row>
    <row r="1251" spans="1:10" ht="25.5" hidden="1" customHeight="1" outlineLevel="1" x14ac:dyDescent="0.2">
      <c r="A1251" s="198" t="s">
        <v>1279</v>
      </c>
      <c r="B1251" s="224" t="s">
        <v>3701</v>
      </c>
      <c r="C1251" s="225" t="s">
        <v>3395</v>
      </c>
      <c r="D1251" s="226" t="s">
        <v>11</v>
      </c>
      <c r="E1251" s="227">
        <v>71.39</v>
      </c>
      <c r="F1251" s="227"/>
      <c r="J1251" s="480"/>
    </row>
    <row r="1252" spans="1:10" ht="25.5" hidden="1" customHeight="1" outlineLevel="1" x14ac:dyDescent="0.2">
      <c r="A1252" s="198" t="s">
        <v>1279</v>
      </c>
      <c r="B1252" s="228" t="s">
        <v>3702</v>
      </c>
      <c r="C1252" s="229" t="s">
        <v>3311</v>
      </c>
      <c r="D1252" s="230" t="s">
        <v>11</v>
      </c>
      <c r="E1252" s="231">
        <v>9.3699999999999992</v>
      </c>
      <c r="F1252" s="231"/>
      <c r="J1252" s="480"/>
    </row>
    <row r="1253" spans="1:10" ht="25.5" hidden="1" customHeight="1" outlineLevel="1" x14ac:dyDescent="0.2">
      <c r="A1253" s="198" t="s">
        <v>1279</v>
      </c>
      <c r="B1253" s="224" t="s">
        <v>3703</v>
      </c>
      <c r="C1253" s="225" t="s">
        <v>3395</v>
      </c>
      <c r="D1253" s="226" t="s">
        <v>11</v>
      </c>
      <c r="E1253" s="227">
        <v>10.6</v>
      </c>
      <c r="F1253" s="227"/>
      <c r="J1253" s="480"/>
    </row>
    <row r="1254" spans="1:10" ht="25.5" hidden="1" customHeight="1" outlineLevel="1" x14ac:dyDescent="0.2">
      <c r="A1254" s="198" t="s">
        <v>1279</v>
      </c>
      <c r="B1254" s="228" t="s">
        <v>3704</v>
      </c>
      <c r="C1254" s="229" t="s">
        <v>3347</v>
      </c>
      <c r="D1254" s="230" t="s">
        <v>11</v>
      </c>
      <c r="E1254" s="231">
        <v>3.31</v>
      </c>
      <c r="F1254" s="231"/>
      <c r="J1254" s="480"/>
    </row>
    <row r="1255" spans="1:10" ht="25.5" hidden="1" customHeight="1" outlineLevel="1" x14ac:dyDescent="0.2">
      <c r="A1255" s="198" t="s">
        <v>1279</v>
      </c>
      <c r="B1255" s="224" t="s">
        <v>3705</v>
      </c>
      <c r="C1255" s="225" t="s">
        <v>3349</v>
      </c>
      <c r="D1255" s="226" t="s">
        <v>11</v>
      </c>
      <c r="E1255" s="227">
        <v>1.4</v>
      </c>
      <c r="F1255" s="227"/>
      <c r="J1255" s="480"/>
    </row>
    <row r="1256" spans="1:10" ht="25.5" hidden="1" customHeight="1" outlineLevel="1" x14ac:dyDescent="0.2">
      <c r="A1256" s="198" t="s">
        <v>1279</v>
      </c>
      <c r="B1256" s="228" t="s">
        <v>3706</v>
      </c>
      <c r="C1256" s="229" t="s">
        <v>3311</v>
      </c>
      <c r="D1256" s="230" t="s">
        <v>11</v>
      </c>
      <c r="E1256" s="231">
        <v>4.57</v>
      </c>
      <c r="F1256" s="231"/>
      <c r="J1256" s="480"/>
    </row>
    <row r="1257" spans="1:10" ht="18" hidden="1" customHeight="1" outlineLevel="1" x14ac:dyDescent="0.2">
      <c r="A1257" s="198" t="s">
        <v>1279</v>
      </c>
      <c r="B1257" s="216" t="s">
        <v>2306</v>
      </c>
      <c r="C1257" s="217" t="s">
        <v>2974</v>
      </c>
      <c r="D1257" s="218"/>
      <c r="E1257" s="219"/>
      <c r="F1257" s="219"/>
      <c r="J1257" s="480"/>
    </row>
    <row r="1258" spans="1:10" ht="18" hidden="1" customHeight="1" outlineLevel="1" x14ac:dyDescent="0.2">
      <c r="A1258" s="198" t="s">
        <v>1279</v>
      </c>
      <c r="B1258" s="224" t="s">
        <v>3707</v>
      </c>
      <c r="C1258" s="225" t="s">
        <v>124</v>
      </c>
      <c r="D1258" s="226" t="s">
        <v>11</v>
      </c>
      <c r="E1258" s="227">
        <v>0.32</v>
      </c>
      <c r="F1258" s="227"/>
      <c r="J1258" s="480"/>
    </row>
    <row r="1259" spans="1:10" ht="38.25" hidden="1" customHeight="1" outlineLevel="1" x14ac:dyDescent="0.2">
      <c r="A1259" s="198" t="s">
        <v>1279</v>
      </c>
      <c r="B1259" s="228" t="s">
        <v>3708</v>
      </c>
      <c r="C1259" s="229" t="s">
        <v>3319</v>
      </c>
      <c r="D1259" s="230" t="s">
        <v>11</v>
      </c>
      <c r="E1259" s="231">
        <v>2.52</v>
      </c>
      <c r="F1259" s="231"/>
      <c r="J1259" s="480"/>
    </row>
    <row r="1260" spans="1:10" ht="25.5" hidden="1" customHeight="1" outlineLevel="1" x14ac:dyDescent="0.2">
      <c r="A1260" s="198" t="s">
        <v>1279</v>
      </c>
      <c r="B1260" s="224" t="s">
        <v>3709</v>
      </c>
      <c r="C1260" s="225" t="s">
        <v>3294</v>
      </c>
      <c r="D1260" s="226" t="s">
        <v>11</v>
      </c>
      <c r="E1260" s="227">
        <v>9.3699999999999992</v>
      </c>
      <c r="F1260" s="227"/>
      <c r="J1260" s="480"/>
    </row>
    <row r="1261" spans="1:10" ht="25.5" hidden="1" customHeight="1" outlineLevel="1" x14ac:dyDescent="0.2">
      <c r="A1261" s="198" t="s">
        <v>1279</v>
      </c>
      <c r="B1261" s="228" t="s">
        <v>3710</v>
      </c>
      <c r="C1261" s="229" t="s">
        <v>3295</v>
      </c>
      <c r="D1261" s="230" t="s">
        <v>11</v>
      </c>
      <c r="E1261" s="231">
        <v>4.78</v>
      </c>
      <c r="F1261" s="231"/>
      <c r="J1261" s="480"/>
    </row>
    <row r="1262" spans="1:10" ht="25.5" hidden="1" customHeight="1" outlineLevel="1" x14ac:dyDescent="0.2">
      <c r="A1262" s="198" t="s">
        <v>1279</v>
      </c>
      <c r="B1262" s="224" t="s">
        <v>3711</v>
      </c>
      <c r="C1262" s="225" t="s">
        <v>3297</v>
      </c>
      <c r="D1262" s="226" t="s">
        <v>11</v>
      </c>
      <c r="E1262" s="227">
        <v>10.69</v>
      </c>
      <c r="F1262" s="227"/>
      <c r="J1262" s="480"/>
    </row>
    <row r="1263" spans="1:10" ht="25.5" hidden="1" customHeight="1" outlineLevel="1" x14ac:dyDescent="0.2">
      <c r="A1263" s="198" t="s">
        <v>1279</v>
      </c>
      <c r="B1263" s="228" t="s">
        <v>3712</v>
      </c>
      <c r="C1263" s="229" t="s">
        <v>3299</v>
      </c>
      <c r="D1263" s="230" t="s">
        <v>11</v>
      </c>
      <c r="E1263" s="231">
        <v>10.58</v>
      </c>
      <c r="F1263" s="231"/>
      <c r="J1263" s="480"/>
    </row>
    <row r="1264" spans="1:10" ht="25.5" hidden="1" customHeight="1" outlineLevel="1" x14ac:dyDescent="0.2">
      <c r="A1264" s="198" t="s">
        <v>1279</v>
      </c>
      <c r="B1264" s="224" t="s">
        <v>3713</v>
      </c>
      <c r="C1264" s="225" t="s">
        <v>3301</v>
      </c>
      <c r="D1264" s="226" t="s">
        <v>11</v>
      </c>
      <c r="E1264" s="227">
        <v>21.69</v>
      </c>
      <c r="F1264" s="227"/>
      <c r="J1264" s="480"/>
    </row>
    <row r="1265" spans="1:10" ht="25.5" hidden="1" customHeight="1" outlineLevel="1" x14ac:dyDescent="0.2">
      <c r="A1265" s="198" t="s">
        <v>1279</v>
      </c>
      <c r="B1265" s="228" t="s">
        <v>3714</v>
      </c>
      <c r="C1265" s="229" t="s">
        <v>3336</v>
      </c>
      <c r="D1265" s="230" t="s">
        <v>11</v>
      </c>
      <c r="E1265" s="231">
        <v>4.38</v>
      </c>
      <c r="F1265" s="231"/>
      <c r="J1265" s="480"/>
    </row>
    <row r="1266" spans="1:10" ht="25.5" hidden="1" customHeight="1" outlineLevel="1" x14ac:dyDescent="0.2">
      <c r="A1266" s="198" t="s">
        <v>1279</v>
      </c>
      <c r="B1266" s="224" t="s">
        <v>3715</v>
      </c>
      <c r="C1266" s="225" t="s">
        <v>3250</v>
      </c>
      <c r="D1266" s="226" t="s">
        <v>11</v>
      </c>
      <c r="E1266" s="227">
        <v>3.58</v>
      </c>
      <c r="F1266" s="227"/>
      <c r="J1266" s="480"/>
    </row>
    <row r="1267" spans="1:10" ht="25.5" hidden="1" customHeight="1" outlineLevel="1" x14ac:dyDescent="0.2">
      <c r="A1267" s="198" t="s">
        <v>1279</v>
      </c>
      <c r="B1267" s="228" t="s">
        <v>3716</v>
      </c>
      <c r="C1267" s="229" t="s">
        <v>3347</v>
      </c>
      <c r="D1267" s="230" t="s">
        <v>11</v>
      </c>
      <c r="E1267" s="231">
        <v>8.34</v>
      </c>
      <c r="F1267" s="231"/>
      <c r="J1267" s="480"/>
    </row>
    <row r="1268" spans="1:10" ht="25.5" hidden="1" customHeight="1" outlineLevel="1" x14ac:dyDescent="0.2">
      <c r="A1268" s="198" t="s">
        <v>1279</v>
      </c>
      <c r="B1268" s="224" t="s">
        <v>3717</v>
      </c>
      <c r="C1268" s="225" t="s">
        <v>3349</v>
      </c>
      <c r="D1268" s="226" t="s">
        <v>11</v>
      </c>
      <c r="E1268" s="227">
        <v>7.42</v>
      </c>
      <c r="F1268" s="227"/>
      <c r="J1268" s="480"/>
    </row>
    <row r="1269" spans="1:10" ht="25.5" hidden="1" customHeight="1" outlineLevel="1" x14ac:dyDescent="0.2">
      <c r="A1269" s="198" t="s">
        <v>1279</v>
      </c>
      <c r="B1269" s="228" t="s">
        <v>3718</v>
      </c>
      <c r="C1269" s="229" t="s">
        <v>3351</v>
      </c>
      <c r="D1269" s="230" t="s">
        <v>11</v>
      </c>
      <c r="E1269" s="231">
        <v>3.67</v>
      </c>
      <c r="F1269" s="231"/>
      <c r="J1269" s="480"/>
    </row>
    <row r="1270" spans="1:10" ht="25.5" hidden="1" customHeight="1" outlineLevel="1" x14ac:dyDescent="0.2">
      <c r="A1270" s="198" t="s">
        <v>1279</v>
      </c>
      <c r="B1270" s="224" t="s">
        <v>3719</v>
      </c>
      <c r="C1270" s="225" t="s">
        <v>3353</v>
      </c>
      <c r="D1270" s="226" t="s">
        <v>11</v>
      </c>
      <c r="E1270" s="227">
        <v>2.8</v>
      </c>
      <c r="F1270" s="227"/>
      <c r="J1270" s="480"/>
    </row>
    <row r="1271" spans="1:10" ht="18" hidden="1" customHeight="1" outlineLevel="1" x14ac:dyDescent="0.2">
      <c r="A1271" s="198" t="s">
        <v>1279</v>
      </c>
      <c r="B1271" s="228" t="s">
        <v>3720</v>
      </c>
      <c r="C1271" s="229" t="s">
        <v>3274</v>
      </c>
      <c r="D1271" s="230" t="s">
        <v>11</v>
      </c>
      <c r="E1271" s="231">
        <v>3.32</v>
      </c>
      <c r="F1271" s="231"/>
      <c r="J1271" s="480"/>
    </row>
    <row r="1272" spans="1:10" ht="25.5" hidden="1" customHeight="1" outlineLevel="1" x14ac:dyDescent="0.2">
      <c r="A1272" s="198" t="s">
        <v>1279</v>
      </c>
      <c r="B1272" s="224" t="s">
        <v>3721</v>
      </c>
      <c r="C1272" s="225" t="s">
        <v>3347</v>
      </c>
      <c r="D1272" s="226" t="s">
        <v>11</v>
      </c>
      <c r="E1272" s="227">
        <v>2.31</v>
      </c>
      <c r="F1272" s="227"/>
      <c r="J1272" s="480"/>
    </row>
    <row r="1273" spans="1:10" ht="25.5" hidden="1" customHeight="1" outlineLevel="1" x14ac:dyDescent="0.2">
      <c r="A1273" s="198" t="s">
        <v>1279</v>
      </c>
      <c r="B1273" s="228" t="s">
        <v>3722</v>
      </c>
      <c r="C1273" s="229" t="s">
        <v>3349</v>
      </c>
      <c r="D1273" s="230" t="s">
        <v>11</v>
      </c>
      <c r="E1273" s="231">
        <v>3.23</v>
      </c>
      <c r="F1273" s="231"/>
      <c r="J1273" s="480"/>
    </row>
    <row r="1274" spans="1:10" ht="25.5" hidden="1" customHeight="1" outlineLevel="1" x14ac:dyDescent="0.2">
      <c r="A1274" s="198" t="s">
        <v>1279</v>
      </c>
      <c r="B1274" s="224" t="s">
        <v>3723</v>
      </c>
      <c r="C1274" s="225" t="s">
        <v>3351</v>
      </c>
      <c r="D1274" s="226" t="s">
        <v>11</v>
      </c>
      <c r="E1274" s="227">
        <v>1.4</v>
      </c>
      <c r="F1274" s="227"/>
      <c r="J1274" s="480"/>
    </row>
    <row r="1275" spans="1:10" ht="25.5" hidden="1" customHeight="1" outlineLevel="1" x14ac:dyDescent="0.2">
      <c r="A1275" s="198" t="s">
        <v>1279</v>
      </c>
      <c r="B1275" s="228" t="s">
        <v>3724</v>
      </c>
      <c r="C1275" s="229" t="s">
        <v>3353</v>
      </c>
      <c r="D1275" s="230" t="s">
        <v>11</v>
      </c>
      <c r="E1275" s="231">
        <v>1.17</v>
      </c>
      <c r="F1275" s="231"/>
      <c r="J1275" s="480"/>
    </row>
    <row r="1276" spans="1:10" ht="18" hidden="1" customHeight="1" outlineLevel="1" x14ac:dyDescent="0.2">
      <c r="A1276" s="198" t="s">
        <v>1279</v>
      </c>
      <c r="B1276" s="216" t="s">
        <v>2307</v>
      </c>
      <c r="C1276" s="217" t="s">
        <v>2975</v>
      </c>
      <c r="D1276" s="218"/>
      <c r="E1276" s="219"/>
      <c r="F1276" s="219"/>
      <c r="J1276" s="480"/>
    </row>
    <row r="1277" spans="1:10" ht="18" hidden="1" customHeight="1" outlineLevel="1" x14ac:dyDescent="0.2">
      <c r="A1277" s="198" t="s">
        <v>1279</v>
      </c>
      <c r="B1277" s="224" t="s">
        <v>3725</v>
      </c>
      <c r="C1277" s="225" t="s">
        <v>124</v>
      </c>
      <c r="D1277" s="226" t="s">
        <v>11</v>
      </c>
      <c r="E1277" s="227">
        <v>0.32</v>
      </c>
      <c r="F1277" s="227"/>
      <c r="J1277" s="480"/>
    </row>
    <row r="1278" spans="1:10" ht="38.25" hidden="1" customHeight="1" outlineLevel="1" x14ac:dyDescent="0.2">
      <c r="A1278" s="198" t="s">
        <v>1279</v>
      </c>
      <c r="B1278" s="228" t="s">
        <v>3726</v>
      </c>
      <c r="C1278" s="229" t="s">
        <v>3319</v>
      </c>
      <c r="D1278" s="230" t="s">
        <v>11</v>
      </c>
      <c r="E1278" s="231">
        <v>2.52</v>
      </c>
      <c r="F1278" s="231"/>
      <c r="J1278" s="480"/>
    </row>
    <row r="1279" spans="1:10" ht="38.25" hidden="1" customHeight="1" outlineLevel="1" x14ac:dyDescent="0.2">
      <c r="A1279" s="198" t="s">
        <v>1279</v>
      </c>
      <c r="B1279" s="224" t="s">
        <v>3727</v>
      </c>
      <c r="C1279" s="225" t="s">
        <v>3320</v>
      </c>
      <c r="D1279" s="226" t="s">
        <v>11</v>
      </c>
      <c r="E1279" s="227">
        <v>1.75</v>
      </c>
      <c r="F1279" s="227"/>
      <c r="J1279" s="480"/>
    </row>
    <row r="1280" spans="1:10" ht="25.5" hidden="1" customHeight="1" outlineLevel="1" x14ac:dyDescent="0.2">
      <c r="A1280" s="198" t="s">
        <v>1279</v>
      </c>
      <c r="B1280" s="228" t="s">
        <v>3728</v>
      </c>
      <c r="C1280" s="229" t="s">
        <v>3294</v>
      </c>
      <c r="D1280" s="230" t="s">
        <v>11</v>
      </c>
      <c r="E1280" s="231">
        <v>3.65</v>
      </c>
      <c r="F1280" s="231"/>
      <c r="J1280" s="480"/>
    </row>
    <row r="1281" spans="1:10" ht="25.5" hidden="1" customHeight="1" outlineLevel="1" x14ac:dyDescent="0.2">
      <c r="A1281" s="198" t="s">
        <v>1279</v>
      </c>
      <c r="B1281" s="224" t="s">
        <v>3729</v>
      </c>
      <c r="C1281" s="225" t="s">
        <v>3295</v>
      </c>
      <c r="D1281" s="226" t="s">
        <v>11</v>
      </c>
      <c r="E1281" s="227">
        <v>9.3699999999999992</v>
      </c>
      <c r="F1281" s="227"/>
      <c r="J1281" s="480"/>
    </row>
    <row r="1282" spans="1:10" ht="25.5" hidden="1" customHeight="1" outlineLevel="1" x14ac:dyDescent="0.2">
      <c r="A1282" s="198" t="s">
        <v>1279</v>
      </c>
      <c r="B1282" s="228" t="s">
        <v>3730</v>
      </c>
      <c r="C1282" s="229" t="s">
        <v>3376</v>
      </c>
      <c r="D1282" s="230" t="s">
        <v>11</v>
      </c>
      <c r="E1282" s="231">
        <v>4.59</v>
      </c>
      <c r="F1282" s="231"/>
      <c r="J1282" s="480"/>
    </row>
    <row r="1283" spans="1:10" ht="25.5" hidden="1" customHeight="1" outlineLevel="1" x14ac:dyDescent="0.2">
      <c r="A1283" s="198" t="s">
        <v>1279</v>
      </c>
      <c r="B1283" s="224" t="s">
        <v>3731</v>
      </c>
      <c r="C1283" s="225" t="s">
        <v>3297</v>
      </c>
      <c r="D1283" s="226" t="s">
        <v>11</v>
      </c>
      <c r="E1283" s="227">
        <v>10.58</v>
      </c>
      <c r="F1283" s="227"/>
      <c r="J1283" s="480"/>
    </row>
    <row r="1284" spans="1:10" ht="25.5" hidden="1" customHeight="1" outlineLevel="1" x14ac:dyDescent="0.2">
      <c r="A1284" s="198" t="s">
        <v>1279</v>
      </c>
      <c r="B1284" s="228" t="s">
        <v>3732</v>
      </c>
      <c r="C1284" s="229" t="s">
        <v>3299</v>
      </c>
      <c r="D1284" s="230" t="s">
        <v>11</v>
      </c>
      <c r="E1284" s="231">
        <v>21.66</v>
      </c>
      <c r="F1284" s="231"/>
      <c r="J1284" s="480"/>
    </row>
    <row r="1285" spans="1:10" ht="25.5" hidden="1" customHeight="1" outlineLevel="1" x14ac:dyDescent="0.2">
      <c r="A1285" s="198" t="s">
        <v>1279</v>
      </c>
      <c r="B1285" s="224" t="s">
        <v>3733</v>
      </c>
      <c r="C1285" s="225" t="s">
        <v>3250</v>
      </c>
      <c r="D1285" s="226" t="s">
        <v>11</v>
      </c>
      <c r="E1285" s="227">
        <v>5.65</v>
      </c>
      <c r="F1285" s="227"/>
      <c r="J1285" s="480"/>
    </row>
    <row r="1286" spans="1:10" ht="25.5" hidden="1" customHeight="1" outlineLevel="1" x14ac:dyDescent="0.2">
      <c r="A1286" s="198" t="s">
        <v>1279</v>
      </c>
      <c r="B1286" s="228" t="s">
        <v>3734</v>
      </c>
      <c r="C1286" s="229" t="s">
        <v>3668</v>
      </c>
      <c r="D1286" s="230" t="s">
        <v>11</v>
      </c>
      <c r="E1286" s="231">
        <v>2.5499999999999998</v>
      </c>
      <c r="F1286" s="231"/>
      <c r="J1286" s="480"/>
    </row>
    <row r="1287" spans="1:10" ht="25.5" hidden="1" customHeight="1" outlineLevel="1" x14ac:dyDescent="0.2">
      <c r="A1287" s="198" t="s">
        <v>1279</v>
      </c>
      <c r="B1287" s="224" t="s">
        <v>3735</v>
      </c>
      <c r="C1287" s="225" t="s">
        <v>3347</v>
      </c>
      <c r="D1287" s="226" t="s">
        <v>11</v>
      </c>
      <c r="E1287" s="227">
        <v>8.34</v>
      </c>
      <c r="F1287" s="227"/>
      <c r="J1287" s="480"/>
    </row>
    <row r="1288" spans="1:10" ht="25.5" hidden="1" customHeight="1" outlineLevel="1" x14ac:dyDescent="0.2">
      <c r="A1288" s="198" t="s">
        <v>1279</v>
      </c>
      <c r="B1288" s="228" t="s">
        <v>3736</v>
      </c>
      <c r="C1288" s="229" t="s">
        <v>3351</v>
      </c>
      <c r="D1288" s="230" t="s">
        <v>11</v>
      </c>
      <c r="E1288" s="231">
        <v>3.67</v>
      </c>
      <c r="F1288" s="231"/>
      <c r="J1288" s="480"/>
    </row>
    <row r="1289" spans="1:10" ht="51" hidden="1" customHeight="1" outlineLevel="1" x14ac:dyDescent="0.2">
      <c r="A1289" s="198" t="s">
        <v>1279</v>
      </c>
      <c r="B1289" s="224" t="s">
        <v>3737</v>
      </c>
      <c r="C1289" s="225" t="s">
        <v>3738</v>
      </c>
      <c r="D1289" s="226" t="s">
        <v>11</v>
      </c>
      <c r="E1289" s="227">
        <v>7.42</v>
      </c>
      <c r="F1289" s="227"/>
      <c r="J1289" s="480"/>
    </row>
    <row r="1290" spans="1:10" ht="18" hidden="1" customHeight="1" outlineLevel="1" x14ac:dyDescent="0.2">
      <c r="A1290" s="198" t="s">
        <v>1279</v>
      </c>
      <c r="B1290" s="228" t="s">
        <v>3739</v>
      </c>
      <c r="C1290" s="229" t="s">
        <v>3274</v>
      </c>
      <c r="D1290" s="230" t="s">
        <v>11</v>
      </c>
      <c r="E1290" s="231">
        <v>3.17</v>
      </c>
      <c r="F1290" s="231"/>
      <c r="J1290" s="480"/>
    </row>
    <row r="1291" spans="1:10" ht="25.5" hidden="1" customHeight="1" outlineLevel="1" x14ac:dyDescent="0.2">
      <c r="A1291" s="198" t="s">
        <v>1279</v>
      </c>
      <c r="B1291" s="224" t="s">
        <v>3740</v>
      </c>
      <c r="C1291" s="225" t="s">
        <v>3668</v>
      </c>
      <c r="D1291" s="226" t="s">
        <v>11</v>
      </c>
      <c r="E1291" s="227">
        <v>1.48</v>
      </c>
      <c r="F1291" s="227"/>
      <c r="J1291" s="480"/>
    </row>
    <row r="1292" spans="1:10" ht="25.5" hidden="1" customHeight="1" outlineLevel="1" x14ac:dyDescent="0.2">
      <c r="A1292" s="198" t="s">
        <v>1279</v>
      </c>
      <c r="B1292" s="228" t="s">
        <v>3741</v>
      </c>
      <c r="C1292" s="229" t="s">
        <v>3742</v>
      </c>
      <c r="D1292" s="230" t="s">
        <v>11</v>
      </c>
      <c r="E1292" s="231">
        <v>9.3699999999999992</v>
      </c>
      <c r="F1292" s="231"/>
      <c r="J1292" s="480"/>
    </row>
    <row r="1293" spans="1:10" ht="25.5" hidden="1" customHeight="1" outlineLevel="1" x14ac:dyDescent="0.2">
      <c r="A1293" s="198" t="s">
        <v>1279</v>
      </c>
      <c r="B1293" s="224" t="s">
        <v>3743</v>
      </c>
      <c r="C1293" s="225" t="s">
        <v>3742</v>
      </c>
      <c r="D1293" s="226" t="s">
        <v>11</v>
      </c>
      <c r="E1293" s="227">
        <v>4.54</v>
      </c>
      <c r="F1293" s="227"/>
      <c r="J1293" s="480"/>
    </row>
    <row r="1294" spans="1:10" ht="25.5" hidden="1" customHeight="1" outlineLevel="1" x14ac:dyDescent="0.2">
      <c r="A1294" s="198" t="s">
        <v>1279</v>
      </c>
      <c r="B1294" s="228" t="s">
        <v>3744</v>
      </c>
      <c r="C1294" s="229" t="s">
        <v>3347</v>
      </c>
      <c r="D1294" s="230" t="s">
        <v>11</v>
      </c>
      <c r="E1294" s="231">
        <v>2.31</v>
      </c>
      <c r="F1294" s="231"/>
      <c r="J1294" s="480"/>
    </row>
    <row r="1295" spans="1:10" ht="51" hidden="1" customHeight="1" outlineLevel="1" x14ac:dyDescent="0.2">
      <c r="A1295" s="198" t="s">
        <v>1279</v>
      </c>
      <c r="B1295" s="224" t="s">
        <v>3745</v>
      </c>
      <c r="C1295" s="225" t="s">
        <v>3738</v>
      </c>
      <c r="D1295" s="226" t="s">
        <v>11</v>
      </c>
      <c r="E1295" s="227">
        <v>3.23</v>
      </c>
      <c r="F1295" s="227"/>
      <c r="J1295" s="480"/>
    </row>
    <row r="1296" spans="1:10" ht="25.5" hidden="1" customHeight="1" outlineLevel="1" x14ac:dyDescent="0.2">
      <c r="A1296" s="198" t="s">
        <v>1279</v>
      </c>
      <c r="B1296" s="228" t="s">
        <v>3746</v>
      </c>
      <c r="C1296" s="229" t="s">
        <v>3351</v>
      </c>
      <c r="D1296" s="230" t="s">
        <v>11</v>
      </c>
      <c r="E1296" s="231">
        <v>1.4</v>
      </c>
      <c r="F1296" s="231"/>
      <c r="J1296" s="480"/>
    </row>
    <row r="1297" spans="1:10" ht="18" hidden="1" customHeight="1" outlineLevel="1" x14ac:dyDescent="0.2">
      <c r="A1297" s="198" t="s">
        <v>1279</v>
      </c>
      <c r="B1297" s="216" t="s">
        <v>2308</v>
      </c>
      <c r="C1297" s="217" t="s">
        <v>2976</v>
      </c>
      <c r="D1297" s="218"/>
      <c r="E1297" s="219"/>
      <c r="F1297" s="219"/>
      <c r="J1297" s="480"/>
    </row>
    <row r="1298" spans="1:10" ht="18" hidden="1" customHeight="1" outlineLevel="1" x14ac:dyDescent="0.2">
      <c r="A1298" s="198" t="s">
        <v>1279</v>
      </c>
      <c r="B1298" s="224" t="s">
        <v>3747</v>
      </c>
      <c r="C1298" s="225" t="s">
        <v>124</v>
      </c>
      <c r="D1298" s="226" t="s">
        <v>11</v>
      </c>
      <c r="E1298" s="227">
        <v>0.32</v>
      </c>
      <c r="F1298" s="227"/>
      <c r="J1298" s="480"/>
    </row>
    <row r="1299" spans="1:10" ht="38.25" hidden="1" customHeight="1" outlineLevel="1" x14ac:dyDescent="0.2">
      <c r="A1299" s="198" t="s">
        <v>1279</v>
      </c>
      <c r="B1299" s="228" t="s">
        <v>3748</v>
      </c>
      <c r="C1299" s="229" t="s">
        <v>3319</v>
      </c>
      <c r="D1299" s="230" t="s">
        <v>11</v>
      </c>
      <c r="E1299" s="231">
        <v>2.52</v>
      </c>
      <c r="F1299" s="231"/>
      <c r="J1299" s="480"/>
    </row>
    <row r="1300" spans="1:10" ht="25.5" hidden="1" customHeight="1" outlineLevel="1" x14ac:dyDescent="0.2">
      <c r="A1300" s="198" t="s">
        <v>1279</v>
      </c>
      <c r="B1300" s="224" t="s">
        <v>3749</v>
      </c>
      <c r="C1300" s="225" t="s">
        <v>3294</v>
      </c>
      <c r="D1300" s="226" t="s">
        <v>11</v>
      </c>
      <c r="E1300" s="227">
        <v>9.3699999999999992</v>
      </c>
      <c r="F1300" s="227"/>
      <c r="J1300" s="480"/>
    </row>
    <row r="1301" spans="1:10" ht="25.5" hidden="1" customHeight="1" outlineLevel="1" x14ac:dyDescent="0.2">
      <c r="A1301" s="198" t="s">
        <v>1279</v>
      </c>
      <c r="B1301" s="228" t="s">
        <v>3750</v>
      </c>
      <c r="C1301" s="229" t="s">
        <v>3295</v>
      </c>
      <c r="D1301" s="230" t="s">
        <v>11</v>
      </c>
      <c r="E1301" s="231">
        <v>4.78</v>
      </c>
      <c r="F1301" s="231"/>
      <c r="J1301" s="480"/>
    </row>
    <row r="1302" spans="1:10" ht="25.5" hidden="1" customHeight="1" outlineLevel="1" x14ac:dyDescent="0.2">
      <c r="A1302" s="198" t="s">
        <v>1279</v>
      </c>
      <c r="B1302" s="224" t="s">
        <v>3751</v>
      </c>
      <c r="C1302" s="225" t="s">
        <v>3297</v>
      </c>
      <c r="D1302" s="226" t="s">
        <v>11</v>
      </c>
      <c r="E1302" s="227">
        <v>10.69</v>
      </c>
      <c r="F1302" s="227"/>
      <c r="J1302" s="480"/>
    </row>
    <row r="1303" spans="1:10" ht="25.5" hidden="1" customHeight="1" outlineLevel="1" x14ac:dyDescent="0.2">
      <c r="A1303" s="198" t="s">
        <v>1279</v>
      </c>
      <c r="B1303" s="228" t="s">
        <v>3752</v>
      </c>
      <c r="C1303" s="229" t="s">
        <v>3299</v>
      </c>
      <c r="D1303" s="230" t="s">
        <v>11</v>
      </c>
      <c r="E1303" s="231">
        <v>12.31</v>
      </c>
      <c r="F1303" s="231"/>
      <c r="J1303" s="480"/>
    </row>
    <row r="1304" spans="1:10" ht="25.5" hidden="1" customHeight="1" outlineLevel="1" x14ac:dyDescent="0.2">
      <c r="A1304" s="198" t="s">
        <v>1279</v>
      </c>
      <c r="B1304" s="224" t="s">
        <v>3753</v>
      </c>
      <c r="C1304" s="225" t="s">
        <v>3301</v>
      </c>
      <c r="D1304" s="226" t="s">
        <v>11</v>
      </c>
      <c r="E1304" s="227">
        <v>26.12</v>
      </c>
      <c r="F1304" s="227"/>
      <c r="J1304" s="480"/>
    </row>
    <row r="1305" spans="1:10" ht="25.5" hidden="1" customHeight="1" outlineLevel="1" x14ac:dyDescent="0.2">
      <c r="A1305" s="198" t="s">
        <v>1279</v>
      </c>
      <c r="B1305" s="228" t="s">
        <v>3754</v>
      </c>
      <c r="C1305" s="229" t="s">
        <v>3336</v>
      </c>
      <c r="D1305" s="230" t="s">
        <v>11</v>
      </c>
      <c r="E1305" s="231">
        <v>4.38</v>
      </c>
      <c r="F1305" s="231"/>
      <c r="J1305" s="480"/>
    </row>
    <row r="1306" spans="1:10" ht="25.5" hidden="1" customHeight="1" outlineLevel="1" x14ac:dyDescent="0.2">
      <c r="A1306" s="198" t="s">
        <v>1279</v>
      </c>
      <c r="B1306" s="224" t="s">
        <v>3755</v>
      </c>
      <c r="C1306" s="225" t="s">
        <v>3250</v>
      </c>
      <c r="D1306" s="226" t="s">
        <v>11</v>
      </c>
      <c r="E1306" s="227">
        <v>3.58</v>
      </c>
      <c r="F1306" s="227"/>
      <c r="J1306" s="480"/>
    </row>
    <row r="1307" spans="1:10" ht="25.5" hidden="1" customHeight="1" outlineLevel="1" x14ac:dyDescent="0.2">
      <c r="A1307" s="198" t="s">
        <v>1279</v>
      </c>
      <c r="B1307" s="228" t="s">
        <v>3756</v>
      </c>
      <c r="C1307" s="229" t="s">
        <v>3347</v>
      </c>
      <c r="D1307" s="230" t="s">
        <v>11</v>
      </c>
      <c r="E1307" s="231">
        <v>8.34</v>
      </c>
      <c r="F1307" s="231"/>
      <c r="J1307" s="480"/>
    </row>
    <row r="1308" spans="1:10" ht="25.5" hidden="1" customHeight="1" outlineLevel="1" x14ac:dyDescent="0.2">
      <c r="A1308" s="198" t="s">
        <v>1279</v>
      </c>
      <c r="B1308" s="224" t="s">
        <v>3757</v>
      </c>
      <c r="C1308" s="225" t="s">
        <v>3349</v>
      </c>
      <c r="D1308" s="226" t="s">
        <v>11</v>
      </c>
      <c r="E1308" s="227">
        <v>7.42</v>
      </c>
      <c r="F1308" s="227"/>
      <c r="J1308" s="480"/>
    </row>
    <row r="1309" spans="1:10" ht="25.5" hidden="1" customHeight="1" outlineLevel="1" x14ac:dyDescent="0.2">
      <c r="A1309" s="198" t="s">
        <v>1279</v>
      </c>
      <c r="B1309" s="228" t="s">
        <v>3758</v>
      </c>
      <c r="C1309" s="229" t="s">
        <v>3351</v>
      </c>
      <c r="D1309" s="230" t="s">
        <v>11</v>
      </c>
      <c r="E1309" s="231">
        <v>3.67</v>
      </c>
      <c r="F1309" s="231"/>
      <c r="J1309" s="480"/>
    </row>
    <row r="1310" spans="1:10" ht="25.5" hidden="1" customHeight="1" outlineLevel="1" x14ac:dyDescent="0.2">
      <c r="A1310" s="198" t="s">
        <v>1279</v>
      </c>
      <c r="B1310" s="224" t="s">
        <v>3759</v>
      </c>
      <c r="C1310" s="225" t="s">
        <v>3353</v>
      </c>
      <c r="D1310" s="226" t="s">
        <v>11</v>
      </c>
      <c r="E1310" s="227">
        <v>2.8</v>
      </c>
      <c r="F1310" s="227"/>
      <c r="J1310" s="480"/>
    </row>
    <row r="1311" spans="1:10" ht="18" hidden="1" customHeight="1" outlineLevel="1" x14ac:dyDescent="0.2">
      <c r="A1311" s="198" t="s">
        <v>1279</v>
      </c>
      <c r="B1311" s="228" t="s">
        <v>3760</v>
      </c>
      <c r="C1311" s="229" t="s">
        <v>3274</v>
      </c>
      <c r="D1311" s="230" t="s">
        <v>11</v>
      </c>
      <c r="E1311" s="231">
        <v>1.96</v>
      </c>
      <c r="F1311" s="231"/>
      <c r="J1311" s="480"/>
    </row>
    <row r="1312" spans="1:10" ht="25.5" hidden="1" customHeight="1" outlineLevel="1" x14ac:dyDescent="0.2">
      <c r="A1312" s="198" t="s">
        <v>1279</v>
      </c>
      <c r="B1312" s="224" t="s">
        <v>3761</v>
      </c>
      <c r="C1312" s="225" t="s">
        <v>3347</v>
      </c>
      <c r="D1312" s="226" t="s">
        <v>11</v>
      </c>
      <c r="E1312" s="227">
        <v>2.31</v>
      </c>
      <c r="F1312" s="227"/>
      <c r="J1312" s="480"/>
    </row>
    <row r="1313" spans="1:10" ht="25.5" hidden="1" customHeight="1" outlineLevel="1" x14ac:dyDescent="0.2">
      <c r="A1313" s="198" t="s">
        <v>1279</v>
      </c>
      <c r="B1313" s="228" t="s">
        <v>3762</v>
      </c>
      <c r="C1313" s="229" t="s">
        <v>3349</v>
      </c>
      <c r="D1313" s="230" t="s">
        <v>11</v>
      </c>
      <c r="E1313" s="231">
        <v>3.23</v>
      </c>
      <c r="F1313" s="231"/>
      <c r="J1313" s="480"/>
    </row>
    <row r="1314" spans="1:10" ht="25.5" hidden="1" customHeight="1" outlineLevel="1" x14ac:dyDescent="0.2">
      <c r="A1314" s="198" t="s">
        <v>1279</v>
      </c>
      <c r="B1314" s="224" t="s">
        <v>3763</v>
      </c>
      <c r="C1314" s="225" t="s">
        <v>3351</v>
      </c>
      <c r="D1314" s="226" t="s">
        <v>11</v>
      </c>
      <c r="E1314" s="227">
        <v>1.4</v>
      </c>
      <c r="F1314" s="227"/>
      <c r="J1314" s="480"/>
    </row>
    <row r="1315" spans="1:10" ht="25.5" hidden="1" customHeight="1" outlineLevel="1" x14ac:dyDescent="0.2">
      <c r="A1315" s="198" t="s">
        <v>1279</v>
      </c>
      <c r="B1315" s="228" t="s">
        <v>3764</v>
      </c>
      <c r="C1315" s="229" t="s">
        <v>3353</v>
      </c>
      <c r="D1315" s="230" t="s">
        <v>11</v>
      </c>
      <c r="E1315" s="231">
        <v>1.17</v>
      </c>
      <c r="F1315" s="231"/>
      <c r="J1315" s="480"/>
    </row>
    <row r="1316" spans="1:10" ht="18" hidden="1" customHeight="1" outlineLevel="1" x14ac:dyDescent="0.2">
      <c r="A1316" s="198" t="s">
        <v>1279</v>
      </c>
      <c r="B1316" s="216" t="s">
        <v>2309</v>
      </c>
      <c r="C1316" s="217" t="s">
        <v>2978</v>
      </c>
      <c r="D1316" s="218"/>
      <c r="E1316" s="219"/>
      <c r="F1316" s="219"/>
      <c r="J1316" s="480"/>
    </row>
    <row r="1317" spans="1:10" ht="38.25" hidden="1" customHeight="1" outlineLevel="1" x14ac:dyDescent="0.2">
      <c r="A1317" s="198" t="s">
        <v>1279</v>
      </c>
      <c r="B1317" s="224" t="s">
        <v>3765</v>
      </c>
      <c r="C1317" s="225" t="s">
        <v>3319</v>
      </c>
      <c r="D1317" s="226" t="s">
        <v>11</v>
      </c>
      <c r="E1317" s="227">
        <v>4.62</v>
      </c>
      <c r="F1317" s="227"/>
      <c r="J1317" s="480"/>
    </row>
    <row r="1318" spans="1:10" ht="38.25" hidden="1" customHeight="1" outlineLevel="1" x14ac:dyDescent="0.2">
      <c r="A1318" s="198" t="s">
        <v>1279</v>
      </c>
      <c r="B1318" s="228" t="s">
        <v>3766</v>
      </c>
      <c r="C1318" s="229" t="s">
        <v>3320</v>
      </c>
      <c r="D1318" s="230" t="s">
        <v>11</v>
      </c>
      <c r="E1318" s="231">
        <v>2.72</v>
      </c>
      <c r="F1318" s="231"/>
      <c r="J1318" s="480"/>
    </row>
    <row r="1319" spans="1:10" ht="38.25" hidden="1" customHeight="1" outlineLevel="1" x14ac:dyDescent="0.2">
      <c r="A1319" s="198" t="s">
        <v>1279</v>
      </c>
      <c r="B1319" s="224" t="s">
        <v>3767</v>
      </c>
      <c r="C1319" s="225" t="s">
        <v>3768</v>
      </c>
      <c r="D1319" s="226" t="s">
        <v>11</v>
      </c>
      <c r="E1319" s="227">
        <v>12.48</v>
      </c>
      <c r="F1319" s="227"/>
      <c r="J1319" s="480"/>
    </row>
    <row r="1320" spans="1:10" ht="25.5" hidden="1" customHeight="1" outlineLevel="1" x14ac:dyDescent="0.2">
      <c r="A1320" s="198" t="s">
        <v>1279</v>
      </c>
      <c r="B1320" s="228" t="s">
        <v>3769</v>
      </c>
      <c r="C1320" s="229" t="s">
        <v>3250</v>
      </c>
      <c r="D1320" s="230" t="s">
        <v>11</v>
      </c>
      <c r="E1320" s="231">
        <v>2.02</v>
      </c>
      <c r="F1320" s="231"/>
      <c r="J1320" s="480"/>
    </row>
    <row r="1321" spans="1:10" ht="25.5" hidden="1" customHeight="1" outlineLevel="1" x14ac:dyDescent="0.2">
      <c r="A1321" s="198" t="s">
        <v>1279</v>
      </c>
      <c r="B1321" s="224" t="s">
        <v>3770</v>
      </c>
      <c r="C1321" s="225" t="s">
        <v>3771</v>
      </c>
      <c r="D1321" s="226" t="s">
        <v>11</v>
      </c>
      <c r="E1321" s="227">
        <v>66.95</v>
      </c>
      <c r="F1321" s="227"/>
      <c r="J1321" s="480"/>
    </row>
    <row r="1322" spans="1:10" ht="38.25" hidden="1" customHeight="1" outlineLevel="1" x14ac:dyDescent="0.2">
      <c r="A1322" s="198" t="s">
        <v>1279</v>
      </c>
      <c r="B1322" s="228" t="s">
        <v>3772</v>
      </c>
      <c r="C1322" s="229" t="s">
        <v>3773</v>
      </c>
      <c r="D1322" s="230" t="s">
        <v>11</v>
      </c>
      <c r="E1322" s="231">
        <v>59.81</v>
      </c>
      <c r="F1322" s="231"/>
      <c r="J1322" s="480"/>
    </row>
    <row r="1323" spans="1:10" ht="25.5" hidden="1" customHeight="1" outlineLevel="1" x14ac:dyDescent="0.2">
      <c r="A1323" s="198" t="s">
        <v>1279</v>
      </c>
      <c r="B1323" s="224" t="s">
        <v>3774</v>
      </c>
      <c r="C1323" s="225" t="s">
        <v>3775</v>
      </c>
      <c r="D1323" s="226" t="s">
        <v>11</v>
      </c>
      <c r="E1323" s="227">
        <v>15.03</v>
      </c>
      <c r="F1323" s="227"/>
      <c r="J1323" s="480"/>
    </row>
    <row r="1324" spans="1:10" ht="25.5" hidden="1" customHeight="1" outlineLevel="1" x14ac:dyDescent="0.2">
      <c r="A1324" s="198" t="s">
        <v>1279</v>
      </c>
      <c r="B1324" s="228" t="s">
        <v>3776</v>
      </c>
      <c r="C1324" s="229" t="s">
        <v>3266</v>
      </c>
      <c r="D1324" s="230" t="s">
        <v>11</v>
      </c>
      <c r="E1324" s="231">
        <v>3.26</v>
      </c>
      <c r="F1324" s="231"/>
      <c r="J1324" s="480"/>
    </row>
    <row r="1325" spans="1:10" ht="25.5" hidden="1" customHeight="1" outlineLevel="1" x14ac:dyDescent="0.2">
      <c r="A1325" s="198" t="s">
        <v>1279</v>
      </c>
      <c r="B1325" s="224" t="s">
        <v>3777</v>
      </c>
      <c r="C1325" s="225" t="s">
        <v>3268</v>
      </c>
      <c r="D1325" s="226" t="s">
        <v>11</v>
      </c>
      <c r="E1325" s="227">
        <v>3.04</v>
      </c>
      <c r="F1325" s="227"/>
      <c r="J1325" s="480"/>
    </row>
    <row r="1326" spans="1:10" ht="18" hidden="1" customHeight="1" outlineLevel="1" x14ac:dyDescent="0.2">
      <c r="A1326" s="198" t="s">
        <v>1279</v>
      </c>
      <c r="B1326" s="228" t="s">
        <v>3778</v>
      </c>
      <c r="C1326" s="229" t="s">
        <v>3274</v>
      </c>
      <c r="D1326" s="230" t="s">
        <v>11</v>
      </c>
      <c r="E1326" s="231">
        <v>1.1299999999999999</v>
      </c>
      <c r="F1326" s="231"/>
      <c r="J1326" s="480"/>
    </row>
    <row r="1327" spans="1:10" ht="51" hidden="1" customHeight="1" outlineLevel="1" x14ac:dyDescent="0.2">
      <c r="A1327" s="198" t="s">
        <v>1279</v>
      </c>
      <c r="B1327" s="224" t="s">
        <v>3779</v>
      </c>
      <c r="C1327" s="225" t="s">
        <v>3803</v>
      </c>
      <c r="D1327" s="226" t="s">
        <v>11</v>
      </c>
      <c r="E1327" s="227">
        <v>55.15</v>
      </c>
      <c r="F1327" s="227"/>
      <c r="J1327" s="480"/>
    </row>
    <row r="1328" spans="1:10" ht="51" hidden="1" customHeight="1" outlineLevel="1" x14ac:dyDescent="0.2">
      <c r="A1328" s="198" t="s">
        <v>1279</v>
      </c>
      <c r="B1328" s="228" t="s">
        <v>3781</v>
      </c>
      <c r="C1328" s="229" t="s">
        <v>3804</v>
      </c>
      <c r="D1328" s="230" t="s">
        <v>11</v>
      </c>
      <c r="E1328" s="231">
        <v>19.649999999999999</v>
      </c>
      <c r="F1328" s="231"/>
      <c r="J1328" s="480"/>
    </row>
    <row r="1329" spans="1:10" ht="38.25" hidden="1" customHeight="1" outlineLevel="1" x14ac:dyDescent="0.2">
      <c r="A1329" s="198" t="s">
        <v>1279</v>
      </c>
      <c r="B1329" s="224" t="s">
        <v>3783</v>
      </c>
      <c r="C1329" s="225" t="s">
        <v>3680</v>
      </c>
      <c r="D1329" s="226" t="s">
        <v>11</v>
      </c>
      <c r="E1329" s="227">
        <v>8.56</v>
      </c>
      <c r="F1329" s="227"/>
      <c r="J1329" s="480"/>
    </row>
    <row r="1330" spans="1:10" ht="51" hidden="1" customHeight="1" outlineLevel="1" x14ac:dyDescent="0.2">
      <c r="A1330" s="198" t="s">
        <v>1279</v>
      </c>
      <c r="B1330" s="228" t="s">
        <v>3784</v>
      </c>
      <c r="C1330" s="229" t="s">
        <v>3780</v>
      </c>
      <c r="D1330" s="230" t="s">
        <v>11</v>
      </c>
      <c r="E1330" s="231">
        <v>50.04</v>
      </c>
      <c r="F1330" s="231"/>
      <c r="J1330" s="480"/>
    </row>
    <row r="1331" spans="1:10" ht="51" hidden="1" customHeight="1" outlineLevel="1" x14ac:dyDescent="0.2">
      <c r="A1331" s="198" t="s">
        <v>1279</v>
      </c>
      <c r="B1331" s="224" t="s">
        <v>3785</v>
      </c>
      <c r="C1331" s="225" t="s">
        <v>3786</v>
      </c>
      <c r="D1331" s="226" t="s">
        <v>11</v>
      </c>
      <c r="E1331" s="227">
        <v>3.64</v>
      </c>
      <c r="F1331" s="227"/>
      <c r="J1331" s="480"/>
    </row>
    <row r="1332" spans="1:10" ht="25.5" hidden="1" customHeight="1" outlineLevel="1" x14ac:dyDescent="0.2">
      <c r="A1332" s="198" t="s">
        <v>1279</v>
      </c>
      <c r="B1332" s="228" t="s">
        <v>3787</v>
      </c>
      <c r="C1332" s="229" t="s">
        <v>3775</v>
      </c>
      <c r="D1332" s="230" t="s">
        <v>11</v>
      </c>
      <c r="E1332" s="231">
        <v>4.4400000000000004</v>
      </c>
      <c r="F1332" s="231"/>
      <c r="J1332" s="480"/>
    </row>
    <row r="1333" spans="1:10" ht="38.25" hidden="1" customHeight="1" outlineLevel="1" x14ac:dyDescent="0.2">
      <c r="A1333" s="198" t="s">
        <v>1279</v>
      </c>
      <c r="B1333" s="224" t="s">
        <v>3788</v>
      </c>
      <c r="C1333" s="225" t="s">
        <v>3680</v>
      </c>
      <c r="D1333" s="226" t="s">
        <v>11</v>
      </c>
      <c r="E1333" s="227">
        <v>2.99</v>
      </c>
      <c r="F1333" s="227"/>
      <c r="J1333" s="480"/>
    </row>
    <row r="1334" spans="1:10" ht="25.5" hidden="1" customHeight="1" outlineLevel="1" x14ac:dyDescent="0.2">
      <c r="A1334" s="198" t="s">
        <v>1279</v>
      </c>
      <c r="B1334" s="228" t="s">
        <v>3789</v>
      </c>
      <c r="C1334" s="229" t="s">
        <v>3266</v>
      </c>
      <c r="D1334" s="230" t="s">
        <v>11</v>
      </c>
      <c r="E1334" s="231">
        <v>1.93</v>
      </c>
      <c r="F1334" s="231"/>
      <c r="J1334" s="480"/>
    </row>
    <row r="1335" spans="1:10" ht="25.5" hidden="1" customHeight="1" outlineLevel="1" x14ac:dyDescent="0.2">
      <c r="A1335" s="198" t="s">
        <v>1279</v>
      </c>
      <c r="B1335" s="224" t="s">
        <v>3790</v>
      </c>
      <c r="C1335" s="225" t="s">
        <v>3268</v>
      </c>
      <c r="D1335" s="226" t="s">
        <v>11</v>
      </c>
      <c r="E1335" s="227">
        <v>1.84</v>
      </c>
      <c r="F1335" s="227"/>
      <c r="J1335" s="480"/>
    </row>
    <row r="1336" spans="1:10" ht="18" hidden="1" customHeight="1" outlineLevel="1" x14ac:dyDescent="0.2">
      <c r="A1336" s="198" t="s">
        <v>1279</v>
      </c>
      <c r="B1336" s="216" t="s">
        <v>2310</v>
      </c>
      <c r="C1336" s="217" t="s">
        <v>2980</v>
      </c>
      <c r="D1336" s="218"/>
      <c r="E1336" s="219"/>
      <c r="F1336" s="219"/>
      <c r="J1336" s="480"/>
    </row>
    <row r="1337" spans="1:10" ht="25.5" hidden="1" customHeight="1" outlineLevel="1" x14ac:dyDescent="0.2">
      <c r="A1337" s="198" t="s">
        <v>1279</v>
      </c>
      <c r="B1337" s="228" t="s">
        <v>3791</v>
      </c>
      <c r="C1337" s="229" t="s">
        <v>3792</v>
      </c>
      <c r="D1337" s="230" t="s">
        <v>11</v>
      </c>
      <c r="E1337" s="231">
        <v>63.95</v>
      </c>
      <c r="F1337" s="231"/>
      <c r="J1337" s="480"/>
    </row>
    <row r="1338" spans="1:10" ht="25.5" hidden="1" customHeight="1" outlineLevel="1" x14ac:dyDescent="0.2">
      <c r="A1338" s="198" t="s">
        <v>1279</v>
      </c>
      <c r="B1338" s="224" t="s">
        <v>3793</v>
      </c>
      <c r="C1338" s="225" t="s">
        <v>3250</v>
      </c>
      <c r="D1338" s="226" t="s">
        <v>11</v>
      </c>
      <c r="E1338" s="227">
        <v>0.23</v>
      </c>
      <c r="F1338" s="227"/>
      <c r="J1338" s="480"/>
    </row>
    <row r="1339" spans="1:10" ht="25.5" hidden="1" customHeight="1" outlineLevel="1" x14ac:dyDescent="0.2">
      <c r="A1339" s="198" t="s">
        <v>1279</v>
      </c>
      <c r="B1339" s="228" t="s">
        <v>3794</v>
      </c>
      <c r="C1339" s="229" t="s">
        <v>3795</v>
      </c>
      <c r="D1339" s="230" t="s">
        <v>11</v>
      </c>
      <c r="E1339" s="231">
        <v>5.49</v>
      </c>
      <c r="F1339" s="231"/>
      <c r="J1339" s="480"/>
    </row>
    <row r="1340" spans="1:10" ht="18" hidden="1" customHeight="1" outlineLevel="1" x14ac:dyDescent="0.2">
      <c r="A1340" s="198" t="s">
        <v>1279</v>
      </c>
      <c r="B1340" s="224" t="s">
        <v>3796</v>
      </c>
      <c r="C1340" s="225" t="s">
        <v>3274</v>
      </c>
      <c r="D1340" s="226" t="s">
        <v>11</v>
      </c>
      <c r="E1340" s="227">
        <v>0.21</v>
      </c>
      <c r="F1340" s="227"/>
      <c r="J1340" s="480"/>
    </row>
    <row r="1341" spans="1:10" ht="18" hidden="1" customHeight="1" outlineLevel="1" x14ac:dyDescent="0.2">
      <c r="A1341" s="198" t="s">
        <v>1279</v>
      </c>
      <c r="B1341" s="216" t="s">
        <v>3797</v>
      </c>
      <c r="C1341" s="217" t="s">
        <v>2983</v>
      </c>
      <c r="D1341" s="218"/>
      <c r="E1341" s="219"/>
      <c r="F1341" s="219"/>
      <c r="J1341" s="480"/>
    </row>
    <row r="1342" spans="1:10" ht="25.5" hidden="1" customHeight="1" outlineLevel="1" x14ac:dyDescent="0.2">
      <c r="A1342" s="198" t="s">
        <v>1279</v>
      </c>
      <c r="B1342" s="228" t="s">
        <v>3798</v>
      </c>
      <c r="C1342" s="229" t="s">
        <v>3296</v>
      </c>
      <c r="D1342" s="230" t="s">
        <v>11</v>
      </c>
      <c r="E1342" s="231">
        <v>101.37</v>
      </c>
      <c r="F1342" s="231"/>
      <c r="J1342" s="480"/>
    </row>
    <row r="1343" spans="1:10" ht="18" hidden="1" customHeight="1" outlineLevel="1" x14ac:dyDescent="0.2">
      <c r="A1343" s="198" t="s">
        <v>1279</v>
      </c>
      <c r="B1343" s="216" t="s">
        <v>3799</v>
      </c>
      <c r="C1343" s="217" t="s">
        <v>3228</v>
      </c>
      <c r="D1343" s="218"/>
      <c r="E1343" s="219"/>
      <c r="F1343" s="219"/>
      <c r="J1343" s="480"/>
    </row>
    <row r="1344" spans="1:10" ht="38.25" hidden="1" customHeight="1" outlineLevel="1" x14ac:dyDescent="0.2">
      <c r="A1344" s="198" t="s">
        <v>1279</v>
      </c>
      <c r="B1344" s="224" t="s">
        <v>3800</v>
      </c>
      <c r="C1344" s="225" t="s">
        <v>3801</v>
      </c>
      <c r="D1344" s="226" t="s">
        <v>11</v>
      </c>
      <c r="E1344" s="227">
        <v>96.3</v>
      </c>
      <c r="F1344" s="227"/>
      <c r="J1344" s="480"/>
    </row>
    <row r="1345" spans="1:10" collapsed="1" x14ac:dyDescent="0.2">
      <c r="B1345" s="515" t="s">
        <v>1620</v>
      </c>
      <c r="C1345" s="516" t="s">
        <v>1579</v>
      </c>
      <c r="D1345" s="549"/>
      <c r="E1345" s="520">
        <f>SUM(E1347:E1351)</f>
        <v>204.2</v>
      </c>
      <c r="F1345" s="520"/>
      <c r="G1345" s="516"/>
      <c r="H1345" s="234">
        <f>SUM(H1346:H1351)</f>
        <v>204.2</v>
      </c>
      <c r="I1345" s="242" t="str">
        <f>IF(H1345=E1345,"OKAY","REVER")</f>
        <v>OKAY</v>
      </c>
      <c r="J1345" s="405"/>
    </row>
    <row r="1346" spans="1:10" ht="12.75" hidden="1" customHeight="1" outlineLevel="1" x14ac:dyDescent="0.2">
      <c r="A1346" s="198" t="s">
        <v>1278</v>
      </c>
      <c r="B1346" s="216" t="s">
        <v>1621</v>
      </c>
      <c r="C1346" s="217" t="s">
        <v>2955</v>
      </c>
      <c r="D1346" s="218"/>
      <c r="E1346" s="219"/>
      <c r="F1346" s="219"/>
      <c r="G1346" s="229" t="s">
        <v>3872</v>
      </c>
      <c r="H1346" s="235">
        <f t="shared" ref="H1346:H1351" si="36">SUMIF($C:$C,G1346,$E:$E)</f>
        <v>204.2</v>
      </c>
      <c r="J1346" s="215"/>
    </row>
    <row r="1347" spans="1:10" ht="12.75" hidden="1" customHeight="1" outlineLevel="1" x14ac:dyDescent="0.2">
      <c r="A1347" s="198" t="s">
        <v>1278</v>
      </c>
      <c r="B1347" s="228" t="s">
        <v>1622</v>
      </c>
      <c r="C1347" s="229" t="s">
        <v>3872</v>
      </c>
      <c r="D1347" s="230" t="s">
        <v>11</v>
      </c>
      <c r="E1347" s="231">
        <v>66.23</v>
      </c>
      <c r="F1347" s="231"/>
      <c r="G1347" s="229"/>
      <c r="H1347" s="235">
        <f t="shared" si="36"/>
        <v>0</v>
      </c>
      <c r="J1347" s="215"/>
    </row>
    <row r="1348" spans="1:10" ht="12.75" hidden="1" customHeight="1" outlineLevel="1" x14ac:dyDescent="0.2">
      <c r="A1348" s="198" t="s">
        <v>1279</v>
      </c>
      <c r="B1348" s="216" t="s">
        <v>1623</v>
      </c>
      <c r="C1348" s="217" t="s">
        <v>2980</v>
      </c>
      <c r="D1348" s="218"/>
      <c r="E1348" s="219"/>
      <c r="F1348" s="219"/>
      <c r="G1348" s="225"/>
      <c r="H1348" s="235">
        <f t="shared" si="36"/>
        <v>0</v>
      </c>
      <c r="J1348" s="215"/>
    </row>
    <row r="1349" spans="1:10" ht="12.75" hidden="1" customHeight="1" outlineLevel="1" x14ac:dyDescent="0.2">
      <c r="A1349" s="198" t="s">
        <v>1279</v>
      </c>
      <c r="B1349" s="224" t="s">
        <v>1624</v>
      </c>
      <c r="C1349" s="225" t="s">
        <v>3872</v>
      </c>
      <c r="D1349" s="226" t="s">
        <v>11</v>
      </c>
      <c r="E1349" s="227">
        <v>54.24</v>
      </c>
      <c r="F1349" s="227"/>
      <c r="G1349" s="229"/>
      <c r="H1349" s="235">
        <f t="shared" si="36"/>
        <v>0</v>
      </c>
      <c r="J1349" s="215"/>
    </row>
    <row r="1350" spans="1:10" ht="12.75" hidden="1" customHeight="1" outlineLevel="1" x14ac:dyDescent="0.2">
      <c r="A1350" s="198" t="s">
        <v>1279</v>
      </c>
      <c r="B1350" s="216" t="s">
        <v>1625</v>
      </c>
      <c r="C1350" s="217" t="s">
        <v>2983</v>
      </c>
      <c r="D1350" s="218"/>
      <c r="E1350" s="219"/>
      <c r="F1350" s="219"/>
      <c r="G1350" s="225"/>
      <c r="H1350" s="235">
        <f t="shared" si="36"/>
        <v>0</v>
      </c>
      <c r="J1350" s="215"/>
    </row>
    <row r="1351" spans="1:10" ht="12.75" hidden="1" customHeight="1" outlineLevel="1" x14ac:dyDescent="0.2">
      <c r="A1351" s="198" t="s">
        <v>1279</v>
      </c>
      <c r="B1351" s="228" t="s">
        <v>1626</v>
      </c>
      <c r="C1351" s="229" t="s">
        <v>3872</v>
      </c>
      <c r="D1351" s="230" t="s">
        <v>11</v>
      </c>
      <c r="E1351" s="231">
        <v>83.73</v>
      </c>
      <c r="F1351" s="231"/>
      <c r="G1351" s="229"/>
      <c r="H1351" s="235">
        <f t="shared" si="36"/>
        <v>0</v>
      </c>
      <c r="J1351" s="215"/>
    </row>
    <row r="1352" spans="1:10" collapsed="1" x14ac:dyDescent="0.2">
      <c r="B1352" s="515" t="s">
        <v>1627</v>
      </c>
      <c r="C1352" s="516" t="s">
        <v>1599</v>
      </c>
      <c r="D1352" s="515"/>
      <c r="E1352" s="520">
        <f>SUM(E1354:E1415)</f>
        <v>5542.8199999999988</v>
      </c>
      <c r="F1352" s="520"/>
      <c r="G1352" s="516"/>
      <c r="H1352" s="234">
        <f>SUM(H1353:H1358)</f>
        <v>5542.82</v>
      </c>
      <c r="I1352" s="242" t="str">
        <f>IF(H1352=E1352,"OKAY","REVER")</f>
        <v>OKAY</v>
      </c>
      <c r="J1352" s="405"/>
    </row>
    <row r="1353" spans="1:10" ht="12.75" hidden="1" customHeight="1" outlineLevel="1" x14ac:dyDescent="0.2">
      <c r="A1353" s="198" t="s">
        <v>1278</v>
      </c>
      <c r="B1353" s="216" t="s">
        <v>1628</v>
      </c>
      <c r="C1353" s="217" t="s">
        <v>2955</v>
      </c>
      <c r="D1353" s="218"/>
      <c r="E1353" s="219"/>
      <c r="F1353" s="219"/>
      <c r="G1353" s="225" t="s">
        <v>3873</v>
      </c>
      <c r="H1353" s="235">
        <f t="shared" ref="H1353:H1358" si="37">SUMIF($C:$C,G1353,$E:$E)</f>
        <v>172.95000000000002</v>
      </c>
      <c r="I1353" s="241" t="s">
        <v>6979</v>
      </c>
      <c r="J1353" s="215"/>
    </row>
    <row r="1354" spans="1:10" ht="12.75" hidden="1" customHeight="1" outlineLevel="1" x14ac:dyDescent="0.2">
      <c r="A1354" s="198" t="s">
        <v>1278</v>
      </c>
      <c r="B1354" s="224" t="s">
        <v>2335</v>
      </c>
      <c r="C1354" s="225" t="s">
        <v>3873</v>
      </c>
      <c r="D1354" s="226" t="s">
        <v>11</v>
      </c>
      <c r="E1354" s="227">
        <v>8.73</v>
      </c>
      <c r="F1354" s="227"/>
      <c r="G1354" s="229" t="s">
        <v>3874</v>
      </c>
      <c r="H1354" s="235">
        <f t="shared" si="37"/>
        <v>92.4</v>
      </c>
      <c r="J1354" s="215"/>
    </row>
    <row r="1355" spans="1:10" ht="12.75" hidden="1" customHeight="1" outlineLevel="1" x14ac:dyDescent="0.2">
      <c r="A1355" s="198" t="s">
        <v>1278</v>
      </c>
      <c r="B1355" s="228" t="s">
        <v>1629</v>
      </c>
      <c r="C1355" s="229" t="s">
        <v>3874</v>
      </c>
      <c r="D1355" s="230" t="s">
        <v>11</v>
      </c>
      <c r="E1355" s="231">
        <v>92.4</v>
      </c>
      <c r="F1355" s="231"/>
      <c r="G1355" s="225" t="s">
        <v>3875</v>
      </c>
      <c r="H1355" s="235">
        <f t="shared" si="37"/>
        <v>5277.4699999999993</v>
      </c>
      <c r="I1355" s="241" t="s">
        <v>3931</v>
      </c>
      <c r="J1355" s="215"/>
    </row>
    <row r="1356" spans="1:10" ht="12.75" hidden="1" customHeight="1" outlineLevel="1" x14ac:dyDescent="0.2">
      <c r="A1356" s="198" t="s">
        <v>1278</v>
      </c>
      <c r="B1356" s="224" t="s">
        <v>2678</v>
      </c>
      <c r="C1356" s="225" t="s">
        <v>3875</v>
      </c>
      <c r="D1356" s="226" t="s">
        <v>11</v>
      </c>
      <c r="E1356" s="227">
        <v>88.92</v>
      </c>
      <c r="F1356" s="227"/>
      <c r="G1356" s="229"/>
      <c r="H1356" s="235">
        <f t="shared" si="37"/>
        <v>0</v>
      </c>
      <c r="J1356" s="215"/>
    </row>
    <row r="1357" spans="1:10" ht="12.75" hidden="1" customHeight="1" outlineLevel="1" x14ac:dyDescent="0.2">
      <c r="A1357" s="198" t="s">
        <v>1278</v>
      </c>
      <c r="B1357" s="216" t="s">
        <v>1935</v>
      </c>
      <c r="C1357" s="217" t="s">
        <v>2958</v>
      </c>
      <c r="D1357" s="218"/>
      <c r="E1357" s="219"/>
      <c r="F1357" s="219"/>
      <c r="G1357" s="225"/>
      <c r="H1357" s="235">
        <f t="shared" si="37"/>
        <v>0</v>
      </c>
      <c r="J1357" s="215"/>
    </row>
    <row r="1358" spans="1:10" ht="12.75" hidden="1" customHeight="1" outlineLevel="1" x14ac:dyDescent="0.2">
      <c r="A1358" s="198" t="s">
        <v>1278</v>
      </c>
      <c r="B1358" s="228" t="s">
        <v>1936</v>
      </c>
      <c r="C1358" s="229" t="s">
        <v>3873</v>
      </c>
      <c r="D1358" s="230" t="s">
        <v>11</v>
      </c>
      <c r="E1358" s="231">
        <v>9.19</v>
      </c>
      <c r="F1358" s="231"/>
      <c r="G1358" s="229"/>
      <c r="H1358" s="235">
        <f t="shared" si="37"/>
        <v>0</v>
      </c>
      <c r="J1358" s="215"/>
    </row>
    <row r="1359" spans="1:10" ht="12.75" hidden="1" customHeight="1" outlineLevel="1" x14ac:dyDescent="0.2">
      <c r="A1359" s="198" t="s">
        <v>1278</v>
      </c>
      <c r="B1359" s="224" t="s">
        <v>3876</v>
      </c>
      <c r="C1359" s="225" t="s">
        <v>3875</v>
      </c>
      <c r="D1359" s="226" t="s">
        <v>11</v>
      </c>
      <c r="E1359" s="227">
        <v>292.89999999999998</v>
      </c>
      <c r="F1359" s="227"/>
      <c r="I1359" s="198"/>
      <c r="J1359" s="215"/>
    </row>
    <row r="1360" spans="1:10" ht="12.75" hidden="1" customHeight="1" outlineLevel="1" x14ac:dyDescent="0.2">
      <c r="A1360" s="198" t="s">
        <v>1279</v>
      </c>
      <c r="B1360" s="216" t="s">
        <v>1937</v>
      </c>
      <c r="C1360" s="217" t="s">
        <v>2960</v>
      </c>
      <c r="D1360" s="218"/>
      <c r="E1360" s="219"/>
      <c r="F1360" s="219"/>
      <c r="G1360" s="520" t="s">
        <v>1732</v>
      </c>
      <c r="H1360" s="234">
        <f>H1362+H1370</f>
        <v>5542.8199999999988</v>
      </c>
      <c r="I1360" s="242" t="str">
        <f>IF(H1360=H1352,"OKAY","REVER")</f>
        <v>OKAY</v>
      </c>
      <c r="J1360" s="215"/>
    </row>
    <row r="1361" spans="1:10" ht="12.75" hidden="1" customHeight="1" outlineLevel="1" x14ac:dyDescent="0.2">
      <c r="A1361" s="198" t="s">
        <v>1279</v>
      </c>
      <c r="B1361" s="228" t="s">
        <v>1938</v>
      </c>
      <c r="C1361" s="229" t="s">
        <v>3873</v>
      </c>
      <c r="D1361" s="230" t="s">
        <v>11</v>
      </c>
      <c r="E1361" s="231">
        <v>9.06</v>
      </c>
      <c r="F1361" s="231"/>
      <c r="G1361" s="232"/>
      <c r="H1361" s="232"/>
      <c r="I1361" s="242"/>
      <c r="J1361" s="215"/>
    </row>
    <row r="1362" spans="1:10" ht="12.75" hidden="1" customHeight="1" outlineLevel="1" x14ac:dyDescent="0.2">
      <c r="A1362" s="198" t="s">
        <v>1279</v>
      </c>
      <c r="B1362" s="224" t="s">
        <v>3877</v>
      </c>
      <c r="C1362" s="225" t="s">
        <v>3875</v>
      </c>
      <c r="D1362" s="226" t="s">
        <v>11</v>
      </c>
      <c r="E1362" s="227">
        <v>402.6</v>
      </c>
      <c r="F1362" s="227"/>
      <c r="G1362" s="520" t="str">
        <f>$A$1</f>
        <v>EMBASSAMENTO</v>
      </c>
      <c r="H1362" s="234">
        <f>SUM(H1363:H1368)</f>
        <v>492.14</v>
      </c>
      <c r="I1362" s="242"/>
      <c r="J1362" s="215"/>
    </row>
    <row r="1363" spans="1:10" ht="12.75" hidden="1" customHeight="1" outlineLevel="1" x14ac:dyDescent="0.2">
      <c r="A1363" s="198" t="s">
        <v>1279</v>
      </c>
      <c r="B1363" s="216" t="s">
        <v>3878</v>
      </c>
      <c r="C1363" s="217" t="s">
        <v>2961</v>
      </c>
      <c r="D1363" s="218"/>
      <c r="E1363" s="219"/>
      <c r="F1363" s="219"/>
      <c r="G1363" s="225" t="s">
        <v>3873</v>
      </c>
      <c r="H1363" s="235">
        <f t="shared" ref="H1363:H1368" si="38">SUMIFS($E:$E,$C:$C,G1363,$A:$A,$G$22)</f>
        <v>17.920000000000002</v>
      </c>
      <c r="I1363" s="242"/>
      <c r="J1363" s="215"/>
    </row>
    <row r="1364" spans="1:10" ht="12.75" hidden="1" customHeight="1" outlineLevel="1" x14ac:dyDescent="0.2">
      <c r="A1364" s="198" t="s">
        <v>1279</v>
      </c>
      <c r="B1364" s="228" t="s">
        <v>3879</v>
      </c>
      <c r="C1364" s="229" t="s">
        <v>3873</v>
      </c>
      <c r="D1364" s="230" t="s">
        <v>11</v>
      </c>
      <c r="E1364" s="231">
        <v>9.06</v>
      </c>
      <c r="F1364" s="231"/>
      <c r="G1364" s="229" t="s">
        <v>3874</v>
      </c>
      <c r="H1364" s="235">
        <f t="shared" si="38"/>
        <v>92.4</v>
      </c>
      <c r="J1364" s="215"/>
    </row>
    <row r="1365" spans="1:10" ht="12.75" hidden="1" customHeight="1" outlineLevel="1" x14ac:dyDescent="0.2">
      <c r="A1365" s="198" t="s">
        <v>1279</v>
      </c>
      <c r="B1365" s="224" t="s">
        <v>3880</v>
      </c>
      <c r="C1365" s="225" t="s">
        <v>3875</v>
      </c>
      <c r="D1365" s="226" t="s">
        <v>11</v>
      </c>
      <c r="E1365" s="227">
        <v>403.88</v>
      </c>
      <c r="F1365" s="227"/>
      <c r="G1365" s="225" t="s">
        <v>3875</v>
      </c>
      <c r="H1365" s="235">
        <f t="shared" si="38"/>
        <v>381.82</v>
      </c>
      <c r="J1365" s="215"/>
    </row>
    <row r="1366" spans="1:10" ht="12.75" hidden="1" customHeight="1" outlineLevel="1" x14ac:dyDescent="0.2">
      <c r="A1366" s="198" t="s">
        <v>1279</v>
      </c>
      <c r="B1366" s="216" t="s">
        <v>3881</v>
      </c>
      <c r="C1366" s="217" t="s">
        <v>2962</v>
      </c>
      <c r="D1366" s="218"/>
      <c r="E1366" s="219"/>
      <c r="F1366" s="219"/>
      <c r="G1366" s="229"/>
      <c r="H1366" s="235">
        <f t="shared" si="38"/>
        <v>0</v>
      </c>
      <c r="J1366" s="215"/>
    </row>
    <row r="1367" spans="1:10" ht="12.75" hidden="1" customHeight="1" outlineLevel="1" x14ac:dyDescent="0.2">
      <c r="A1367" s="198" t="s">
        <v>1279</v>
      </c>
      <c r="B1367" s="228" t="s">
        <v>3882</v>
      </c>
      <c r="C1367" s="229" t="s">
        <v>3873</v>
      </c>
      <c r="D1367" s="230" t="s">
        <v>11</v>
      </c>
      <c r="E1367" s="231">
        <v>8.2799999999999994</v>
      </c>
      <c r="F1367" s="231"/>
      <c r="G1367" s="225"/>
      <c r="H1367" s="235">
        <f t="shared" si="38"/>
        <v>0</v>
      </c>
      <c r="J1367" s="215"/>
    </row>
    <row r="1368" spans="1:10" ht="12.75" hidden="1" customHeight="1" outlineLevel="1" x14ac:dyDescent="0.2">
      <c r="A1368" s="198" t="s">
        <v>1279</v>
      </c>
      <c r="B1368" s="224" t="s">
        <v>3883</v>
      </c>
      <c r="C1368" s="225" t="s">
        <v>3875</v>
      </c>
      <c r="D1368" s="226" t="s">
        <v>11</v>
      </c>
      <c r="E1368" s="227">
        <v>284.33999999999997</v>
      </c>
      <c r="F1368" s="227"/>
      <c r="G1368" s="229"/>
      <c r="H1368" s="235">
        <f t="shared" si="38"/>
        <v>0</v>
      </c>
      <c r="J1368" s="215"/>
    </row>
    <row r="1369" spans="1:10" ht="12.75" hidden="1" customHeight="1" outlineLevel="1" x14ac:dyDescent="0.2">
      <c r="A1369" s="198" t="s">
        <v>1279</v>
      </c>
      <c r="B1369" s="216" t="s">
        <v>3884</v>
      </c>
      <c r="C1369" s="217" t="s">
        <v>2963</v>
      </c>
      <c r="D1369" s="218"/>
      <c r="E1369" s="219"/>
      <c r="F1369" s="219"/>
      <c r="J1369" s="215"/>
    </row>
    <row r="1370" spans="1:10" ht="12.75" hidden="1" customHeight="1" outlineLevel="1" x14ac:dyDescent="0.2">
      <c r="A1370" s="198" t="s">
        <v>1279</v>
      </c>
      <c r="B1370" s="228" t="s">
        <v>3885</v>
      </c>
      <c r="C1370" s="229" t="s">
        <v>3873</v>
      </c>
      <c r="D1370" s="230" t="s">
        <v>11</v>
      </c>
      <c r="E1370" s="231">
        <v>8.2799999999999994</v>
      </c>
      <c r="F1370" s="231"/>
      <c r="G1370" s="520" t="str">
        <f>$A$2</f>
        <v>TORRE</v>
      </c>
      <c r="H1370" s="234">
        <f>SUM(H1371:H1376)</f>
        <v>5050.6799999999985</v>
      </c>
      <c r="J1370" s="215"/>
    </row>
    <row r="1371" spans="1:10" ht="12.75" hidden="1" customHeight="1" outlineLevel="1" x14ac:dyDescent="0.2">
      <c r="A1371" s="198" t="s">
        <v>1279</v>
      </c>
      <c r="B1371" s="224" t="s">
        <v>3886</v>
      </c>
      <c r="C1371" s="225" t="s">
        <v>3875</v>
      </c>
      <c r="D1371" s="226" t="s">
        <v>11</v>
      </c>
      <c r="E1371" s="227">
        <v>343.18</v>
      </c>
      <c r="F1371" s="227"/>
      <c r="G1371" s="225" t="s">
        <v>3873</v>
      </c>
      <c r="H1371" s="235">
        <f>SUMIFS($E:$E,$C:$C,G1371,$A:$A,$G$30)</f>
        <v>155.03</v>
      </c>
      <c r="J1371" s="215"/>
    </row>
    <row r="1372" spans="1:10" ht="12.75" hidden="1" customHeight="1" outlineLevel="1" x14ac:dyDescent="0.2">
      <c r="A1372" s="198" t="s">
        <v>1279</v>
      </c>
      <c r="B1372" s="216" t="s">
        <v>3887</v>
      </c>
      <c r="C1372" s="217" t="s">
        <v>2964</v>
      </c>
      <c r="D1372" s="218"/>
      <c r="E1372" s="219"/>
      <c r="F1372" s="219"/>
      <c r="G1372" s="229" t="s">
        <v>3874</v>
      </c>
      <c r="H1372" s="235">
        <f>SUMIFS($E:$E,$C:$C,G1372,$A:$A,$G$30)</f>
        <v>0</v>
      </c>
      <c r="J1372" s="215"/>
    </row>
    <row r="1373" spans="1:10" ht="12.75" hidden="1" customHeight="1" outlineLevel="1" x14ac:dyDescent="0.2">
      <c r="A1373" s="198" t="s">
        <v>1279</v>
      </c>
      <c r="B1373" s="228" t="s">
        <v>3888</v>
      </c>
      <c r="C1373" s="229" t="s">
        <v>3873</v>
      </c>
      <c r="D1373" s="230" t="s">
        <v>11</v>
      </c>
      <c r="E1373" s="231">
        <v>8.2799999999999994</v>
      </c>
      <c r="F1373" s="231"/>
      <c r="G1373" s="225" t="s">
        <v>3875</v>
      </c>
      <c r="H1373" s="235">
        <f>SUMIFS($E:$E,$C:$C,G1373,$A:$A,$G$30)</f>
        <v>4895.6499999999987</v>
      </c>
      <c r="J1373" s="215"/>
    </row>
    <row r="1374" spans="1:10" ht="12.75" hidden="1" customHeight="1" outlineLevel="1" x14ac:dyDescent="0.2">
      <c r="A1374" s="198" t="s">
        <v>1279</v>
      </c>
      <c r="B1374" s="224" t="s">
        <v>3889</v>
      </c>
      <c r="C1374" s="225" t="s">
        <v>3875</v>
      </c>
      <c r="D1374" s="226" t="s">
        <v>11</v>
      </c>
      <c r="E1374" s="227">
        <v>285.60000000000002</v>
      </c>
      <c r="F1374" s="227"/>
      <c r="G1374" s="229"/>
      <c r="H1374" s="235">
        <f>SUMIFS($E:$E,$C:$C,G1374,$A:$A,$G$30)</f>
        <v>0</v>
      </c>
      <c r="J1374" s="215"/>
    </row>
    <row r="1375" spans="1:10" ht="12.75" hidden="1" customHeight="1" outlineLevel="1" x14ac:dyDescent="0.2">
      <c r="A1375" s="198" t="s">
        <v>1279</v>
      </c>
      <c r="B1375" s="216" t="s">
        <v>3890</v>
      </c>
      <c r="C1375" s="217" t="s">
        <v>2965</v>
      </c>
      <c r="D1375" s="218"/>
      <c r="E1375" s="219"/>
      <c r="F1375" s="219"/>
      <c r="G1375" s="225"/>
      <c r="H1375" s="235">
        <f>SUMIFS($E:$E,$C:$C,G1375,$A:$A,$G$30)</f>
        <v>0</v>
      </c>
      <c r="J1375" s="215"/>
    </row>
    <row r="1376" spans="1:10" ht="12.75" hidden="1" customHeight="1" outlineLevel="1" x14ac:dyDescent="0.2">
      <c r="A1376" s="198" t="s">
        <v>1279</v>
      </c>
      <c r="B1376" s="228" t="s">
        <v>3891</v>
      </c>
      <c r="C1376" s="229" t="s">
        <v>3873</v>
      </c>
      <c r="D1376" s="230" t="s">
        <v>11</v>
      </c>
      <c r="E1376" s="231">
        <v>8.2799999999999994</v>
      </c>
      <c r="F1376" s="231"/>
      <c r="J1376" s="215"/>
    </row>
    <row r="1377" spans="1:9" ht="12.75" hidden="1" customHeight="1" outlineLevel="1" x14ac:dyDescent="0.2">
      <c r="A1377" s="198" t="s">
        <v>1279</v>
      </c>
      <c r="B1377" s="224" t="s">
        <v>3892</v>
      </c>
      <c r="C1377" s="225" t="s">
        <v>3875</v>
      </c>
      <c r="D1377" s="226" t="s">
        <v>11</v>
      </c>
      <c r="E1377" s="227">
        <v>343.18</v>
      </c>
      <c r="F1377" s="227"/>
    </row>
    <row r="1378" spans="1:9" ht="12.75" hidden="1" customHeight="1" outlineLevel="1" x14ac:dyDescent="0.2">
      <c r="A1378" s="198" t="s">
        <v>1279</v>
      </c>
      <c r="B1378" s="216" t="s">
        <v>3893</v>
      </c>
      <c r="C1378" s="217" t="s">
        <v>2966</v>
      </c>
      <c r="D1378" s="218"/>
      <c r="E1378" s="219"/>
      <c r="F1378" s="219"/>
    </row>
    <row r="1379" spans="1:9" ht="12.75" hidden="1" customHeight="1" outlineLevel="1" x14ac:dyDescent="0.2">
      <c r="A1379" s="198" t="s">
        <v>1279</v>
      </c>
      <c r="B1379" s="228" t="s">
        <v>3894</v>
      </c>
      <c r="C1379" s="229" t="s">
        <v>3873</v>
      </c>
      <c r="D1379" s="230" t="s">
        <v>11</v>
      </c>
      <c r="E1379" s="231">
        <v>8.2799999999999994</v>
      </c>
      <c r="F1379" s="231"/>
    </row>
    <row r="1380" spans="1:9" ht="12.75" hidden="1" customHeight="1" outlineLevel="1" x14ac:dyDescent="0.2">
      <c r="A1380" s="198" t="s">
        <v>1279</v>
      </c>
      <c r="B1380" s="224" t="s">
        <v>3895</v>
      </c>
      <c r="C1380" s="225" t="s">
        <v>3875</v>
      </c>
      <c r="D1380" s="226" t="s">
        <v>11</v>
      </c>
      <c r="E1380" s="227">
        <v>285.60000000000002</v>
      </c>
      <c r="F1380" s="227"/>
    </row>
    <row r="1381" spans="1:9" ht="12.75" hidden="1" customHeight="1" outlineLevel="1" x14ac:dyDescent="0.2">
      <c r="A1381" s="198" t="s">
        <v>1279</v>
      </c>
      <c r="B1381" s="216" t="s">
        <v>3896</v>
      </c>
      <c r="C1381" s="217" t="s">
        <v>2967</v>
      </c>
      <c r="D1381" s="218"/>
      <c r="E1381" s="219"/>
      <c r="F1381" s="219"/>
    </row>
    <row r="1382" spans="1:9" ht="12.75" hidden="1" customHeight="1" outlineLevel="1" x14ac:dyDescent="0.2">
      <c r="A1382" s="198" t="s">
        <v>1279</v>
      </c>
      <c r="B1382" s="228" t="s">
        <v>3897</v>
      </c>
      <c r="C1382" s="229" t="s">
        <v>3873</v>
      </c>
      <c r="D1382" s="230" t="s">
        <v>11</v>
      </c>
      <c r="E1382" s="231">
        <v>8.2799999999999994</v>
      </c>
      <c r="F1382" s="231"/>
    </row>
    <row r="1383" spans="1:9" ht="12.75" hidden="1" customHeight="1" outlineLevel="1" x14ac:dyDescent="0.2">
      <c r="A1383" s="198" t="s">
        <v>1279</v>
      </c>
      <c r="B1383" s="224" t="s">
        <v>3898</v>
      </c>
      <c r="C1383" s="225" t="s">
        <v>3875</v>
      </c>
      <c r="D1383" s="226" t="s">
        <v>11</v>
      </c>
      <c r="E1383" s="227">
        <v>343.18</v>
      </c>
      <c r="F1383" s="227"/>
      <c r="G1383" s="242"/>
      <c r="H1383" s="242"/>
      <c r="I1383" s="242"/>
    </row>
    <row r="1384" spans="1:9" ht="12.75" hidden="1" customHeight="1" outlineLevel="1" x14ac:dyDescent="0.2">
      <c r="A1384" s="198" t="s">
        <v>1279</v>
      </c>
      <c r="B1384" s="216" t="s">
        <v>3899</v>
      </c>
      <c r="C1384" s="217" t="s">
        <v>2968</v>
      </c>
      <c r="D1384" s="218"/>
      <c r="E1384" s="219"/>
      <c r="F1384" s="219"/>
    </row>
    <row r="1385" spans="1:9" ht="12.75" hidden="1" customHeight="1" outlineLevel="1" x14ac:dyDescent="0.2">
      <c r="A1385" s="198" t="s">
        <v>1279</v>
      </c>
      <c r="B1385" s="228" t="s">
        <v>3900</v>
      </c>
      <c r="C1385" s="229" t="s">
        <v>3873</v>
      </c>
      <c r="D1385" s="230" t="s">
        <v>11</v>
      </c>
      <c r="E1385" s="231">
        <v>8.2799999999999994</v>
      </c>
      <c r="F1385" s="231"/>
    </row>
    <row r="1386" spans="1:9" ht="12.75" hidden="1" customHeight="1" outlineLevel="1" x14ac:dyDescent="0.2">
      <c r="A1386" s="198" t="s">
        <v>1279</v>
      </c>
      <c r="B1386" s="224" t="s">
        <v>3901</v>
      </c>
      <c r="C1386" s="225" t="s">
        <v>3875</v>
      </c>
      <c r="D1386" s="226" t="s">
        <v>11</v>
      </c>
      <c r="E1386" s="227">
        <v>285.60000000000002</v>
      </c>
      <c r="F1386" s="227"/>
    </row>
    <row r="1387" spans="1:9" ht="12.75" hidden="1" customHeight="1" outlineLevel="1" x14ac:dyDescent="0.2">
      <c r="A1387" s="198" t="s">
        <v>1279</v>
      </c>
      <c r="B1387" s="216" t="s">
        <v>3902</v>
      </c>
      <c r="C1387" s="217" t="s">
        <v>2969</v>
      </c>
      <c r="D1387" s="218"/>
      <c r="E1387" s="219"/>
      <c r="F1387" s="219"/>
    </row>
    <row r="1388" spans="1:9" ht="12.75" hidden="1" customHeight="1" outlineLevel="1" x14ac:dyDescent="0.2">
      <c r="A1388" s="198" t="s">
        <v>1279</v>
      </c>
      <c r="B1388" s="228" t="s">
        <v>3903</v>
      </c>
      <c r="C1388" s="229" t="s">
        <v>3873</v>
      </c>
      <c r="D1388" s="230" t="s">
        <v>11</v>
      </c>
      <c r="E1388" s="231">
        <v>8.2799999999999994</v>
      </c>
      <c r="F1388" s="231"/>
    </row>
    <row r="1389" spans="1:9" ht="12.75" hidden="1" customHeight="1" outlineLevel="1" x14ac:dyDescent="0.2">
      <c r="A1389" s="198" t="s">
        <v>1279</v>
      </c>
      <c r="B1389" s="224" t="s">
        <v>3904</v>
      </c>
      <c r="C1389" s="225" t="s">
        <v>3875</v>
      </c>
      <c r="D1389" s="226" t="s">
        <v>11</v>
      </c>
      <c r="E1389" s="227">
        <v>343.18</v>
      </c>
      <c r="F1389" s="227"/>
    </row>
    <row r="1390" spans="1:9" ht="12.75" hidden="1" customHeight="1" outlineLevel="1" x14ac:dyDescent="0.2">
      <c r="A1390" s="198" t="s">
        <v>1279</v>
      </c>
      <c r="B1390" s="216" t="s">
        <v>3905</v>
      </c>
      <c r="C1390" s="217" t="s">
        <v>2970</v>
      </c>
      <c r="D1390" s="218"/>
      <c r="E1390" s="219"/>
      <c r="F1390" s="219"/>
      <c r="G1390" s="242"/>
      <c r="H1390" s="242"/>
      <c r="I1390" s="242"/>
    </row>
    <row r="1391" spans="1:9" ht="12.75" hidden="1" customHeight="1" outlineLevel="1" x14ac:dyDescent="0.2">
      <c r="A1391" s="198" t="s">
        <v>1279</v>
      </c>
      <c r="B1391" s="228" t="s">
        <v>3906</v>
      </c>
      <c r="C1391" s="229" t="s">
        <v>3873</v>
      </c>
      <c r="D1391" s="230" t="s">
        <v>11</v>
      </c>
      <c r="E1391" s="231">
        <v>8.2799999999999994</v>
      </c>
      <c r="F1391" s="231"/>
    </row>
    <row r="1392" spans="1:9" ht="12.75" hidden="1" customHeight="1" outlineLevel="1" x14ac:dyDescent="0.2">
      <c r="A1392" s="198" t="s">
        <v>1279</v>
      </c>
      <c r="B1392" s="224" t="s">
        <v>3907</v>
      </c>
      <c r="C1392" s="225" t="s">
        <v>3875</v>
      </c>
      <c r="D1392" s="226" t="s">
        <v>11</v>
      </c>
      <c r="E1392" s="227">
        <v>285.60000000000002</v>
      </c>
      <c r="F1392" s="227"/>
    </row>
    <row r="1393" spans="1:9" ht="12.75" hidden="1" customHeight="1" outlineLevel="1" x14ac:dyDescent="0.2">
      <c r="A1393" s="198" t="s">
        <v>1279</v>
      </c>
      <c r="B1393" s="216" t="s">
        <v>3908</v>
      </c>
      <c r="C1393" s="217" t="s">
        <v>2971</v>
      </c>
      <c r="D1393" s="218"/>
      <c r="E1393" s="219"/>
      <c r="F1393" s="219"/>
    </row>
    <row r="1394" spans="1:9" ht="12.75" hidden="1" customHeight="1" outlineLevel="1" x14ac:dyDescent="0.2">
      <c r="A1394" s="198" t="s">
        <v>1279</v>
      </c>
      <c r="B1394" s="228" t="s">
        <v>3909</v>
      </c>
      <c r="C1394" s="229" t="s">
        <v>3873</v>
      </c>
      <c r="D1394" s="230" t="s">
        <v>11</v>
      </c>
      <c r="E1394" s="231">
        <v>8.2799999999999994</v>
      </c>
      <c r="F1394" s="231"/>
    </row>
    <row r="1395" spans="1:9" ht="12.75" hidden="1" customHeight="1" outlineLevel="1" x14ac:dyDescent="0.2">
      <c r="A1395" s="198" t="s">
        <v>1279</v>
      </c>
      <c r="B1395" s="224" t="s">
        <v>3910</v>
      </c>
      <c r="C1395" s="225" t="s">
        <v>3875</v>
      </c>
      <c r="D1395" s="226" t="s">
        <v>11</v>
      </c>
      <c r="E1395" s="227">
        <v>323.05</v>
      </c>
      <c r="F1395" s="227"/>
    </row>
    <row r="1396" spans="1:9" ht="12.75" hidden="1" customHeight="1" outlineLevel="1" x14ac:dyDescent="0.2">
      <c r="A1396" s="198" t="s">
        <v>1279</v>
      </c>
      <c r="B1396" s="216" t="s">
        <v>3911</v>
      </c>
      <c r="C1396" s="217" t="s">
        <v>2972</v>
      </c>
      <c r="D1396" s="218"/>
      <c r="E1396" s="219"/>
      <c r="F1396" s="219"/>
    </row>
    <row r="1397" spans="1:9" ht="12.75" hidden="1" customHeight="1" outlineLevel="1" x14ac:dyDescent="0.2">
      <c r="A1397" s="198" t="s">
        <v>1279</v>
      </c>
      <c r="B1397" s="228" t="s">
        <v>3912</v>
      </c>
      <c r="C1397" s="229" t="s">
        <v>3873</v>
      </c>
      <c r="D1397" s="230" t="s">
        <v>11</v>
      </c>
      <c r="E1397" s="231">
        <v>9.08</v>
      </c>
      <c r="F1397" s="231"/>
      <c r="G1397" s="242"/>
      <c r="H1397" s="242"/>
      <c r="I1397" s="242"/>
    </row>
    <row r="1398" spans="1:9" ht="12.75" hidden="1" customHeight="1" outlineLevel="1" x14ac:dyDescent="0.2">
      <c r="A1398" s="198" t="s">
        <v>1279</v>
      </c>
      <c r="B1398" s="224" t="s">
        <v>3913</v>
      </c>
      <c r="C1398" s="225" t="s">
        <v>3875</v>
      </c>
      <c r="D1398" s="226" t="s">
        <v>11</v>
      </c>
      <c r="E1398" s="227">
        <v>236.89</v>
      </c>
      <c r="F1398" s="227"/>
    </row>
    <row r="1399" spans="1:9" ht="12.75" hidden="1" customHeight="1" outlineLevel="1" x14ac:dyDescent="0.2">
      <c r="A1399" s="198" t="s">
        <v>1279</v>
      </c>
      <c r="B1399" s="216" t="s">
        <v>3914</v>
      </c>
      <c r="C1399" s="217" t="s">
        <v>2973</v>
      </c>
      <c r="D1399" s="218"/>
      <c r="E1399" s="219"/>
      <c r="F1399" s="219"/>
    </row>
    <row r="1400" spans="1:9" ht="12.75" hidden="1" customHeight="1" outlineLevel="1" x14ac:dyDescent="0.2">
      <c r="A1400" s="198" t="s">
        <v>1279</v>
      </c>
      <c r="B1400" s="228" t="s">
        <v>3915</v>
      </c>
      <c r="C1400" s="229" t="s">
        <v>3873</v>
      </c>
      <c r="D1400" s="230" t="s">
        <v>11</v>
      </c>
      <c r="E1400" s="231">
        <v>8.2799999999999994</v>
      </c>
      <c r="F1400" s="231"/>
    </row>
    <row r="1401" spans="1:9" ht="12.75" hidden="1" customHeight="1" outlineLevel="1" x14ac:dyDescent="0.2">
      <c r="A1401" s="198" t="s">
        <v>1279</v>
      </c>
      <c r="B1401" s="224" t="s">
        <v>3916</v>
      </c>
      <c r="C1401" s="225" t="s">
        <v>3875</v>
      </c>
      <c r="D1401" s="226" t="s">
        <v>11</v>
      </c>
      <c r="E1401" s="227">
        <v>150.99</v>
      </c>
      <c r="F1401" s="227"/>
    </row>
    <row r="1402" spans="1:9" ht="12.75" hidden="1" customHeight="1" outlineLevel="1" x14ac:dyDescent="0.2">
      <c r="A1402" s="198" t="s">
        <v>1279</v>
      </c>
      <c r="B1402" s="216" t="s">
        <v>3917</v>
      </c>
      <c r="C1402" s="217" t="s">
        <v>2974</v>
      </c>
      <c r="D1402" s="218"/>
      <c r="E1402" s="219"/>
      <c r="F1402" s="219"/>
    </row>
    <row r="1403" spans="1:9" ht="12.75" hidden="1" customHeight="1" outlineLevel="1" x14ac:dyDescent="0.2">
      <c r="A1403" s="198" t="s">
        <v>1279</v>
      </c>
      <c r="B1403" s="228" t="s">
        <v>3918</v>
      </c>
      <c r="C1403" s="229" t="s">
        <v>3873</v>
      </c>
      <c r="D1403" s="230" t="s">
        <v>11</v>
      </c>
      <c r="E1403" s="231">
        <v>8.2799999999999994</v>
      </c>
      <c r="F1403" s="231"/>
    </row>
    <row r="1404" spans="1:9" ht="12.75" hidden="1" customHeight="1" outlineLevel="1" x14ac:dyDescent="0.2">
      <c r="A1404" s="198" t="s">
        <v>1279</v>
      </c>
      <c r="B1404" s="224" t="s">
        <v>3919</v>
      </c>
      <c r="C1404" s="225" t="s">
        <v>3875</v>
      </c>
      <c r="D1404" s="226" t="s">
        <v>11</v>
      </c>
      <c r="E1404" s="227">
        <v>175.25</v>
      </c>
      <c r="F1404" s="227"/>
      <c r="G1404" s="242"/>
      <c r="H1404" s="242"/>
      <c r="I1404" s="242"/>
    </row>
    <row r="1405" spans="1:9" ht="12.75" hidden="1" customHeight="1" outlineLevel="1" x14ac:dyDescent="0.2">
      <c r="A1405" s="198" t="s">
        <v>1279</v>
      </c>
      <c r="B1405" s="216" t="s">
        <v>3920</v>
      </c>
      <c r="C1405" s="217" t="s">
        <v>2975</v>
      </c>
      <c r="D1405" s="218"/>
      <c r="E1405" s="219"/>
      <c r="F1405" s="219"/>
    </row>
    <row r="1406" spans="1:9" ht="12.75" hidden="1" customHeight="1" outlineLevel="1" x14ac:dyDescent="0.2">
      <c r="A1406" s="198" t="s">
        <v>1279</v>
      </c>
      <c r="B1406" s="228" t="s">
        <v>3921</v>
      </c>
      <c r="C1406" s="229" t="s">
        <v>3873</v>
      </c>
      <c r="D1406" s="230" t="s">
        <v>11</v>
      </c>
      <c r="E1406" s="231">
        <v>8.2799999999999994</v>
      </c>
      <c r="F1406" s="231"/>
    </row>
    <row r="1407" spans="1:9" ht="12.75" hidden="1" customHeight="1" outlineLevel="1" x14ac:dyDescent="0.2">
      <c r="A1407" s="198" t="s">
        <v>1279</v>
      </c>
      <c r="B1407" s="224" t="s">
        <v>3922</v>
      </c>
      <c r="C1407" s="225" t="s">
        <v>3875</v>
      </c>
      <c r="D1407" s="226" t="s">
        <v>11</v>
      </c>
      <c r="E1407" s="227">
        <v>154.41</v>
      </c>
      <c r="F1407" s="227"/>
    </row>
    <row r="1408" spans="1:9" ht="12.75" hidden="1" customHeight="1" outlineLevel="1" x14ac:dyDescent="0.2">
      <c r="A1408" s="198" t="s">
        <v>1279</v>
      </c>
      <c r="B1408" s="216" t="s">
        <v>3923</v>
      </c>
      <c r="C1408" s="217" t="s">
        <v>2976</v>
      </c>
      <c r="D1408" s="218"/>
      <c r="E1408" s="219"/>
      <c r="F1408" s="219"/>
    </row>
    <row r="1409" spans="1:10" ht="12.75" hidden="1" customHeight="1" outlineLevel="1" x14ac:dyDescent="0.2">
      <c r="A1409" s="198" t="s">
        <v>1279</v>
      </c>
      <c r="B1409" s="228" t="s">
        <v>3924</v>
      </c>
      <c r="C1409" s="229" t="s">
        <v>3873</v>
      </c>
      <c r="D1409" s="230" t="s">
        <v>11</v>
      </c>
      <c r="E1409" s="231">
        <v>8.7799999999999994</v>
      </c>
      <c r="F1409" s="231"/>
    </row>
    <row r="1410" spans="1:10" ht="12.75" hidden="1" customHeight="1" outlineLevel="1" x14ac:dyDescent="0.2">
      <c r="A1410" s="198" t="s">
        <v>1279</v>
      </c>
      <c r="B1410" s="224" t="s">
        <v>3925</v>
      </c>
      <c r="C1410" s="225" t="s">
        <v>3875</v>
      </c>
      <c r="D1410" s="226" t="s">
        <v>11</v>
      </c>
      <c r="E1410" s="227">
        <v>179.66</v>
      </c>
      <c r="F1410" s="227"/>
    </row>
    <row r="1411" spans="1:10" ht="12.75" hidden="1" customHeight="1" outlineLevel="1" x14ac:dyDescent="0.2">
      <c r="A1411" s="198" t="s">
        <v>1279</v>
      </c>
      <c r="B1411" s="216" t="s">
        <v>3926</v>
      </c>
      <c r="C1411" s="217" t="s">
        <v>2978</v>
      </c>
      <c r="D1411" s="218"/>
      <c r="E1411" s="219"/>
      <c r="F1411" s="219"/>
      <c r="G1411" s="242"/>
      <c r="H1411" s="242"/>
      <c r="I1411" s="242"/>
    </row>
    <row r="1412" spans="1:10" ht="12.75" hidden="1" customHeight="1" outlineLevel="1" x14ac:dyDescent="0.2">
      <c r="A1412" s="198" t="s">
        <v>1279</v>
      </c>
      <c r="B1412" s="228" t="s">
        <v>3927</v>
      </c>
      <c r="C1412" s="229" t="s">
        <v>3873</v>
      </c>
      <c r="D1412" s="230" t="s">
        <v>11</v>
      </c>
      <c r="E1412" s="231">
        <v>11.41</v>
      </c>
      <c r="F1412" s="231"/>
    </row>
    <row r="1413" spans="1:10" ht="12.75" hidden="1" customHeight="1" outlineLevel="1" x14ac:dyDescent="0.2">
      <c r="A1413" s="198" t="s">
        <v>1279</v>
      </c>
      <c r="B1413" s="224" t="s">
        <v>3928</v>
      </c>
      <c r="C1413" s="225" t="s">
        <v>3875</v>
      </c>
      <c r="D1413" s="226" t="s">
        <v>11</v>
      </c>
      <c r="E1413" s="227">
        <v>56.88</v>
      </c>
      <c r="F1413" s="227"/>
    </row>
    <row r="1414" spans="1:10" ht="12.75" hidden="1" customHeight="1" outlineLevel="1" x14ac:dyDescent="0.2">
      <c r="A1414" s="198" t="s">
        <v>1279</v>
      </c>
      <c r="B1414" s="216" t="s">
        <v>3929</v>
      </c>
      <c r="C1414" s="217" t="s">
        <v>2980</v>
      </c>
      <c r="D1414" s="218"/>
      <c r="E1414" s="219"/>
      <c r="F1414" s="219"/>
    </row>
    <row r="1415" spans="1:10" ht="12.75" hidden="1" customHeight="1" outlineLevel="1" x14ac:dyDescent="0.2">
      <c r="A1415" s="198" t="s">
        <v>1279</v>
      </c>
      <c r="B1415" s="228" t="s">
        <v>3930</v>
      </c>
      <c r="C1415" s="229" t="s">
        <v>3875</v>
      </c>
      <c r="D1415" s="230" t="s">
        <v>11</v>
      </c>
      <c r="E1415" s="231">
        <v>12.58</v>
      </c>
      <c r="F1415" s="231"/>
    </row>
    <row r="1416" spans="1:10" collapsed="1" x14ac:dyDescent="0.2">
      <c r="B1416" s="515" t="s">
        <v>1630</v>
      </c>
      <c r="C1416" s="516" t="s">
        <v>3935</v>
      </c>
      <c r="D1416" s="549"/>
      <c r="E1416" s="520">
        <f>SUM(E1418:E1459)</f>
        <v>8309.6699999999964</v>
      </c>
      <c r="F1416" s="520"/>
      <c r="G1416" s="516"/>
      <c r="H1416" s="234">
        <f>SUM(H1417:H1422)</f>
        <v>8309.6699999999983</v>
      </c>
      <c r="I1416" s="242" t="str">
        <f>IF(H1416=E1416,"OKAY","REVER")</f>
        <v>OKAY</v>
      </c>
      <c r="J1416" s="405"/>
    </row>
    <row r="1417" spans="1:10" ht="12.75" hidden="1" customHeight="1" outlineLevel="1" x14ac:dyDescent="0.2">
      <c r="A1417" s="198" t="s">
        <v>1278</v>
      </c>
      <c r="B1417" s="216" t="s">
        <v>2679</v>
      </c>
      <c r="C1417" s="217" t="s">
        <v>2955</v>
      </c>
      <c r="D1417" s="218"/>
      <c r="E1417" s="219"/>
      <c r="F1417" s="219"/>
      <c r="G1417" s="225" t="s">
        <v>3936</v>
      </c>
      <c r="H1417" s="235">
        <f t="shared" ref="H1417:H1422" si="39">SUMIF($C:$C,G1417,$E:$E)</f>
        <v>8226.3299999999981</v>
      </c>
      <c r="J1417" s="215"/>
    </row>
    <row r="1418" spans="1:10" ht="12.75" hidden="1" customHeight="1" outlineLevel="1" x14ac:dyDescent="0.2">
      <c r="A1418" s="198" t="s">
        <v>1278</v>
      </c>
      <c r="B1418" s="224" t="s">
        <v>2680</v>
      </c>
      <c r="C1418" s="225" t="s">
        <v>3936</v>
      </c>
      <c r="D1418" s="226" t="s">
        <v>3</v>
      </c>
      <c r="E1418" s="227">
        <v>151.16</v>
      </c>
      <c r="F1418" s="227"/>
      <c r="G1418" s="229" t="s">
        <v>3937</v>
      </c>
      <c r="H1418" s="235">
        <f t="shared" si="39"/>
        <v>83.34</v>
      </c>
      <c r="J1418" s="215"/>
    </row>
    <row r="1419" spans="1:10" ht="12.75" hidden="1" customHeight="1" outlineLevel="1" x14ac:dyDescent="0.2">
      <c r="A1419" s="198" t="s">
        <v>1278</v>
      </c>
      <c r="B1419" s="228" t="s">
        <v>2681</v>
      </c>
      <c r="C1419" s="229" t="s">
        <v>3937</v>
      </c>
      <c r="D1419" s="230" t="s">
        <v>3</v>
      </c>
      <c r="E1419" s="231">
        <v>83.34</v>
      </c>
      <c r="F1419" s="231"/>
      <c r="G1419" s="225"/>
      <c r="H1419" s="235">
        <f t="shared" si="39"/>
        <v>0</v>
      </c>
      <c r="J1419" s="215"/>
    </row>
    <row r="1420" spans="1:10" ht="12.75" hidden="1" customHeight="1" outlineLevel="1" x14ac:dyDescent="0.2">
      <c r="A1420" s="198" t="s">
        <v>1278</v>
      </c>
      <c r="B1420" s="216" t="s">
        <v>3938</v>
      </c>
      <c r="C1420" s="217" t="s">
        <v>2958</v>
      </c>
      <c r="D1420" s="218"/>
      <c r="E1420" s="219"/>
      <c r="F1420" s="219"/>
      <c r="G1420" s="229"/>
      <c r="H1420" s="235">
        <f t="shared" si="39"/>
        <v>0</v>
      </c>
      <c r="J1420" s="215"/>
    </row>
    <row r="1421" spans="1:10" ht="12.75" hidden="1" customHeight="1" outlineLevel="1" x14ac:dyDescent="0.2">
      <c r="A1421" s="198" t="s">
        <v>1278</v>
      </c>
      <c r="B1421" s="224" t="s">
        <v>3939</v>
      </c>
      <c r="C1421" s="225" t="s">
        <v>3936</v>
      </c>
      <c r="D1421" s="226" t="s">
        <v>3</v>
      </c>
      <c r="E1421" s="227">
        <v>335.44</v>
      </c>
      <c r="F1421" s="227"/>
      <c r="G1421" s="225"/>
      <c r="H1421" s="235">
        <f t="shared" si="39"/>
        <v>0</v>
      </c>
      <c r="J1421" s="215"/>
    </row>
    <row r="1422" spans="1:10" ht="12.75" hidden="1" customHeight="1" outlineLevel="1" x14ac:dyDescent="0.2">
      <c r="A1422" s="198" t="s">
        <v>1279</v>
      </c>
      <c r="B1422" s="216" t="s">
        <v>3940</v>
      </c>
      <c r="C1422" s="217" t="s">
        <v>2960</v>
      </c>
      <c r="D1422" s="218"/>
      <c r="E1422" s="219"/>
      <c r="F1422" s="219"/>
      <c r="G1422" s="229"/>
      <c r="H1422" s="235">
        <f t="shared" si="39"/>
        <v>0</v>
      </c>
      <c r="J1422" s="215"/>
    </row>
    <row r="1423" spans="1:10" ht="12.75" hidden="1" customHeight="1" outlineLevel="1" x14ac:dyDescent="0.2">
      <c r="A1423" s="198" t="s">
        <v>1279</v>
      </c>
      <c r="B1423" s="228" t="s">
        <v>3941</v>
      </c>
      <c r="C1423" s="229" t="s">
        <v>3936</v>
      </c>
      <c r="D1423" s="230" t="s">
        <v>3</v>
      </c>
      <c r="E1423" s="231">
        <v>458.31</v>
      </c>
      <c r="F1423" s="231"/>
      <c r="I1423" s="198"/>
      <c r="J1423" s="215"/>
    </row>
    <row r="1424" spans="1:10" ht="12.75" hidden="1" customHeight="1" outlineLevel="1" x14ac:dyDescent="0.2">
      <c r="A1424" s="198" t="s">
        <v>1279</v>
      </c>
      <c r="B1424" s="216" t="s">
        <v>3942</v>
      </c>
      <c r="C1424" s="217" t="s">
        <v>2961</v>
      </c>
      <c r="D1424" s="218"/>
      <c r="E1424" s="219"/>
      <c r="F1424" s="219"/>
      <c r="G1424" s="520" t="s">
        <v>1732</v>
      </c>
      <c r="H1424" s="234">
        <f>H1426+H1434</f>
        <v>8309.6699999999983</v>
      </c>
      <c r="I1424" s="242" t="str">
        <f>IF(H1424=H1416,"OKAY","REVER")</f>
        <v>OKAY</v>
      </c>
      <c r="J1424" s="215"/>
    </row>
    <row r="1425" spans="1:10" ht="12.75" hidden="1" customHeight="1" outlineLevel="1" x14ac:dyDescent="0.2">
      <c r="A1425" s="198" t="s">
        <v>1279</v>
      </c>
      <c r="B1425" s="224" t="s">
        <v>3943</v>
      </c>
      <c r="C1425" s="225" t="s">
        <v>3936</v>
      </c>
      <c r="D1425" s="226" t="s">
        <v>3</v>
      </c>
      <c r="E1425" s="227">
        <v>655.72</v>
      </c>
      <c r="F1425" s="227"/>
      <c r="G1425" s="232"/>
      <c r="H1425" s="232"/>
      <c r="I1425" s="242"/>
      <c r="J1425" s="215"/>
    </row>
    <row r="1426" spans="1:10" ht="12.75" hidden="1" customHeight="1" outlineLevel="1" x14ac:dyDescent="0.2">
      <c r="A1426" s="198" t="s">
        <v>1279</v>
      </c>
      <c r="B1426" s="216" t="s">
        <v>3944</v>
      </c>
      <c r="C1426" s="217" t="s">
        <v>2962</v>
      </c>
      <c r="D1426" s="218"/>
      <c r="E1426" s="219"/>
      <c r="F1426" s="219"/>
      <c r="G1426" s="520" t="str">
        <f>$A$1</f>
        <v>EMBASSAMENTO</v>
      </c>
      <c r="H1426" s="234">
        <f>SUM(H1427:H1432)</f>
        <v>569.94000000000005</v>
      </c>
      <c r="I1426" s="242"/>
      <c r="J1426" s="215"/>
    </row>
    <row r="1427" spans="1:10" ht="12.75" hidden="1" customHeight="1" outlineLevel="1" x14ac:dyDescent="0.2">
      <c r="A1427" s="198" t="s">
        <v>1279</v>
      </c>
      <c r="B1427" s="228" t="s">
        <v>3945</v>
      </c>
      <c r="C1427" s="229" t="s">
        <v>3936</v>
      </c>
      <c r="D1427" s="230" t="s">
        <v>3</v>
      </c>
      <c r="E1427" s="231">
        <v>481.43</v>
      </c>
      <c r="F1427" s="231"/>
      <c r="G1427" s="225" t="s">
        <v>3936</v>
      </c>
      <c r="H1427" s="235">
        <f t="shared" ref="H1427:H1432" si="40">SUMIFS($E:$E,$C:$C,G1427,$A:$A,$G$22)</f>
        <v>486.6</v>
      </c>
      <c r="I1427" s="242"/>
      <c r="J1427" s="215"/>
    </row>
    <row r="1428" spans="1:10" ht="12.75" hidden="1" customHeight="1" outlineLevel="1" x14ac:dyDescent="0.2">
      <c r="A1428" s="198" t="s">
        <v>1279</v>
      </c>
      <c r="B1428" s="216" t="s">
        <v>3946</v>
      </c>
      <c r="C1428" s="217" t="s">
        <v>2963</v>
      </c>
      <c r="D1428" s="218"/>
      <c r="E1428" s="219"/>
      <c r="F1428" s="219"/>
      <c r="G1428" s="229" t="s">
        <v>3937</v>
      </c>
      <c r="H1428" s="235">
        <f t="shared" si="40"/>
        <v>83.34</v>
      </c>
      <c r="J1428" s="215"/>
    </row>
    <row r="1429" spans="1:10" ht="12.75" hidden="1" customHeight="1" outlineLevel="1" x14ac:dyDescent="0.2">
      <c r="A1429" s="198" t="s">
        <v>1279</v>
      </c>
      <c r="B1429" s="224" t="s">
        <v>3947</v>
      </c>
      <c r="C1429" s="225" t="s">
        <v>3936</v>
      </c>
      <c r="D1429" s="226" t="s">
        <v>3</v>
      </c>
      <c r="E1429" s="227">
        <v>560.07000000000005</v>
      </c>
      <c r="F1429" s="227"/>
      <c r="G1429" s="225"/>
      <c r="H1429" s="235">
        <f t="shared" si="40"/>
        <v>0</v>
      </c>
      <c r="J1429" s="215"/>
    </row>
    <row r="1430" spans="1:10" ht="12.75" hidden="1" customHeight="1" outlineLevel="1" x14ac:dyDescent="0.2">
      <c r="A1430" s="198" t="s">
        <v>1279</v>
      </c>
      <c r="B1430" s="216" t="s">
        <v>3948</v>
      </c>
      <c r="C1430" s="217" t="s">
        <v>2964</v>
      </c>
      <c r="D1430" s="218"/>
      <c r="E1430" s="219"/>
      <c r="F1430" s="219"/>
      <c r="G1430" s="229"/>
      <c r="H1430" s="235">
        <f t="shared" si="40"/>
        <v>0</v>
      </c>
      <c r="J1430" s="215"/>
    </row>
    <row r="1431" spans="1:10" ht="12.75" hidden="1" customHeight="1" outlineLevel="1" x14ac:dyDescent="0.2">
      <c r="A1431" s="198" t="s">
        <v>1279</v>
      </c>
      <c r="B1431" s="228" t="s">
        <v>3949</v>
      </c>
      <c r="C1431" s="229" t="s">
        <v>3936</v>
      </c>
      <c r="D1431" s="230" t="s">
        <v>3</v>
      </c>
      <c r="E1431" s="231">
        <v>486.15</v>
      </c>
      <c r="F1431" s="231"/>
      <c r="G1431" s="225"/>
      <c r="H1431" s="235">
        <f t="shared" si="40"/>
        <v>0</v>
      </c>
      <c r="J1431" s="215"/>
    </row>
    <row r="1432" spans="1:10" ht="12.75" hidden="1" customHeight="1" outlineLevel="1" x14ac:dyDescent="0.2">
      <c r="A1432" s="198" t="s">
        <v>1279</v>
      </c>
      <c r="B1432" s="216" t="s">
        <v>3950</v>
      </c>
      <c r="C1432" s="217" t="s">
        <v>2965</v>
      </c>
      <c r="D1432" s="218"/>
      <c r="E1432" s="219"/>
      <c r="F1432" s="219"/>
      <c r="G1432" s="229"/>
      <c r="H1432" s="235">
        <f t="shared" si="40"/>
        <v>0</v>
      </c>
      <c r="J1432" s="215"/>
    </row>
    <row r="1433" spans="1:10" ht="12.75" hidden="1" customHeight="1" outlineLevel="1" x14ac:dyDescent="0.2">
      <c r="A1433" s="198" t="s">
        <v>1279</v>
      </c>
      <c r="B1433" s="224" t="s">
        <v>3951</v>
      </c>
      <c r="C1433" s="225" t="s">
        <v>3936</v>
      </c>
      <c r="D1433" s="226" t="s">
        <v>3</v>
      </c>
      <c r="E1433" s="227">
        <v>560.07000000000005</v>
      </c>
      <c r="F1433" s="227"/>
      <c r="J1433" s="215"/>
    </row>
    <row r="1434" spans="1:10" ht="12.75" hidden="1" customHeight="1" outlineLevel="1" x14ac:dyDescent="0.2">
      <c r="A1434" s="198" t="s">
        <v>1279</v>
      </c>
      <c r="B1434" s="216" t="s">
        <v>3952</v>
      </c>
      <c r="C1434" s="217" t="s">
        <v>2966</v>
      </c>
      <c r="D1434" s="218"/>
      <c r="E1434" s="219"/>
      <c r="F1434" s="219"/>
      <c r="G1434" s="520" t="str">
        <f>$A$2</f>
        <v>TORRE</v>
      </c>
      <c r="H1434" s="234">
        <f>SUM(H1435:H1440)</f>
        <v>7739.7299999999987</v>
      </c>
      <c r="J1434" s="215"/>
    </row>
    <row r="1435" spans="1:10" ht="12.75" hidden="1" customHeight="1" outlineLevel="1" x14ac:dyDescent="0.2">
      <c r="A1435" s="198" t="s">
        <v>1279</v>
      </c>
      <c r="B1435" s="228" t="s">
        <v>3953</v>
      </c>
      <c r="C1435" s="229" t="s">
        <v>3936</v>
      </c>
      <c r="D1435" s="230" t="s">
        <v>3</v>
      </c>
      <c r="E1435" s="231">
        <v>486.15</v>
      </c>
      <c r="F1435" s="231"/>
      <c r="G1435" s="225" t="s">
        <v>3936</v>
      </c>
      <c r="H1435" s="235">
        <f>SUMIFS($E:$E,$C:$C,G1435,$A:$A,$G$30)</f>
        <v>7739.7299999999987</v>
      </c>
      <c r="J1435" s="215"/>
    </row>
    <row r="1436" spans="1:10" ht="12.75" hidden="1" customHeight="1" outlineLevel="1" x14ac:dyDescent="0.2">
      <c r="A1436" s="198" t="s">
        <v>1279</v>
      </c>
      <c r="B1436" s="216" t="s">
        <v>3954</v>
      </c>
      <c r="C1436" s="217" t="s">
        <v>2967</v>
      </c>
      <c r="D1436" s="218"/>
      <c r="E1436" s="219"/>
      <c r="F1436" s="219"/>
      <c r="G1436" s="229" t="s">
        <v>3937</v>
      </c>
      <c r="H1436" s="235">
        <f>SUMIFS($E:$E,$C:$C,G1436,$A:$A,$G$30)</f>
        <v>0</v>
      </c>
      <c r="J1436" s="215"/>
    </row>
    <row r="1437" spans="1:10" ht="12.75" hidden="1" customHeight="1" outlineLevel="1" x14ac:dyDescent="0.2">
      <c r="A1437" s="198" t="s">
        <v>1279</v>
      </c>
      <c r="B1437" s="224" t="s">
        <v>3955</v>
      </c>
      <c r="C1437" s="225" t="s">
        <v>3936</v>
      </c>
      <c r="D1437" s="226" t="s">
        <v>3</v>
      </c>
      <c r="E1437" s="227">
        <v>560.07000000000005</v>
      </c>
      <c r="F1437" s="227"/>
      <c r="G1437" s="225"/>
      <c r="H1437" s="235">
        <f>SUMIFS($E:$E,$C:$C,G1437,$A:$A,$G$30)</f>
        <v>0</v>
      </c>
      <c r="J1437" s="215"/>
    </row>
    <row r="1438" spans="1:10" ht="12.75" hidden="1" customHeight="1" outlineLevel="1" x14ac:dyDescent="0.2">
      <c r="A1438" s="198" t="s">
        <v>1279</v>
      </c>
      <c r="B1438" s="216" t="s">
        <v>3956</v>
      </c>
      <c r="C1438" s="217" t="s">
        <v>2968</v>
      </c>
      <c r="D1438" s="218"/>
      <c r="E1438" s="219"/>
      <c r="F1438" s="219"/>
      <c r="G1438" s="229"/>
      <c r="H1438" s="235">
        <f>SUMIFS($E:$E,$C:$C,G1438,$A:$A,$G$30)</f>
        <v>0</v>
      </c>
      <c r="J1438" s="215"/>
    </row>
    <row r="1439" spans="1:10" ht="12.75" hidden="1" customHeight="1" outlineLevel="1" x14ac:dyDescent="0.2">
      <c r="A1439" s="198" t="s">
        <v>1279</v>
      </c>
      <c r="B1439" s="228" t="s">
        <v>3957</v>
      </c>
      <c r="C1439" s="229" t="s">
        <v>3936</v>
      </c>
      <c r="D1439" s="230" t="s">
        <v>3</v>
      </c>
      <c r="E1439" s="231">
        <v>486.15</v>
      </c>
      <c r="F1439" s="231"/>
      <c r="G1439" s="225"/>
      <c r="H1439" s="235">
        <f>SUMIFS($E:$E,$C:$C,G1439,$A:$A,$G$30)</f>
        <v>0</v>
      </c>
      <c r="J1439" s="215"/>
    </row>
    <row r="1440" spans="1:10" ht="12.75" hidden="1" customHeight="1" outlineLevel="1" x14ac:dyDescent="0.2">
      <c r="A1440" s="198" t="s">
        <v>1279</v>
      </c>
      <c r="B1440" s="216" t="s">
        <v>3958</v>
      </c>
      <c r="C1440" s="217" t="s">
        <v>2969</v>
      </c>
      <c r="D1440" s="218"/>
      <c r="E1440" s="219"/>
      <c r="F1440" s="219"/>
    </row>
    <row r="1441" spans="1:6" ht="12.75" hidden="1" customHeight="1" outlineLevel="1" x14ac:dyDescent="0.2">
      <c r="A1441" s="198" t="s">
        <v>1279</v>
      </c>
      <c r="B1441" s="224" t="s">
        <v>3959</v>
      </c>
      <c r="C1441" s="225" t="s">
        <v>3936</v>
      </c>
      <c r="D1441" s="226" t="s">
        <v>3</v>
      </c>
      <c r="E1441" s="227">
        <v>560.07000000000005</v>
      </c>
      <c r="F1441" s="227"/>
    </row>
    <row r="1442" spans="1:6" ht="12.75" hidden="1" customHeight="1" outlineLevel="1" x14ac:dyDescent="0.2">
      <c r="A1442" s="198" t="s">
        <v>1279</v>
      </c>
      <c r="B1442" s="216" t="s">
        <v>3960</v>
      </c>
      <c r="C1442" s="217" t="s">
        <v>2970</v>
      </c>
      <c r="D1442" s="218"/>
      <c r="E1442" s="219"/>
      <c r="F1442" s="219"/>
    </row>
    <row r="1443" spans="1:6" ht="12.75" hidden="1" customHeight="1" outlineLevel="1" x14ac:dyDescent="0.2">
      <c r="A1443" s="198" t="s">
        <v>1279</v>
      </c>
      <c r="B1443" s="228" t="s">
        <v>3961</v>
      </c>
      <c r="C1443" s="229" t="s">
        <v>3936</v>
      </c>
      <c r="D1443" s="230" t="s">
        <v>3</v>
      </c>
      <c r="E1443" s="231">
        <v>486.15</v>
      </c>
      <c r="F1443" s="231"/>
    </row>
    <row r="1444" spans="1:6" ht="12.75" hidden="1" customHeight="1" outlineLevel="1" x14ac:dyDescent="0.2">
      <c r="A1444" s="198" t="s">
        <v>1279</v>
      </c>
      <c r="B1444" s="216" t="s">
        <v>3962</v>
      </c>
      <c r="C1444" s="217" t="s">
        <v>2971</v>
      </c>
      <c r="D1444" s="218"/>
      <c r="E1444" s="219"/>
      <c r="F1444" s="219"/>
    </row>
    <row r="1445" spans="1:6" ht="12.75" hidden="1" customHeight="1" outlineLevel="1" x14ac:dyDescent="0.2">
      <c r="A1445" s="198" t="s">
        <v>1279</v>
      </c>
      <c r="B1445" s="224" t="s">
        <v>3963</v>
      </c>
      <c r="C1445" s="225" t="s">
        <v>3936</v>
      </c>
      <c r="D1445" s="226" t="s">
        <v>3</v>
      </c>
      <c r="E1445" s="227">
        <v>530.95000000000005</v>
      </c>
      <c r="F1445" s="227"/>
    </row>
    <row r="1446" spans="1:6" ht="12.75" hidden="1" customHeight="1" outlineLevel="1" x14ac:dyDescent="0.2">
      <c r="A1446" s="198" t="s">
        <v>1279</v>
      </c>
      <c r="B1446" s="216" t="s">
        <v>3964</v>
      </c>
      <c r="C1446" s="217" t="s">
        <v>2972</v>
      </c>
      <c r="D1446" s="218"/>
      <c r="E1446" s="219"/>
      <c r="F1446" s="219"/>
    </row>
    <row r="1447" spans="1:6" ht="12.75" hidden="1" customHeight="1" outlineLevel="1" x14ac:dyDescent="0.2">
      <c r="A1447" s="198" t="s">
        <v>1279</v>
      </c>
      <c r="B1447" s="228" t="s">
        <v>3965</v>
      </c>
      <c r="C1447" s="229" t="s">
        <v>3936</v>
      </c>
      <c r="D1447" s="230" t="s">
        <v>3</v>
      </c>
      <c r="E1447" s="231">
        <v>264.69</v>
      </c>
      <c r="F1447" s="231"/>
    </row>
    <row r="1448" spans="1:6" ht="12.75" hidden="1" customHeight="1" outlineLevel="1" x14ac:dyDescent="0.2">
      <c r="A1448" s="198" t="s">
        <v>1279</v>
      </c>
      <c r="B1448" s="216" t="s">
        <v>3966</v>
      </c>
      <c r="C1448" s="217" t="s">
        <v>2973</v>
      </c>
      <c r="D1448" s="218"/>
      <c r="E1448" s="219"/>
      <c r="F1448" s="219"/>
    </row>
    <row r="1449" spans="1:6" ht="12.75" hidden="1" customHeight="1" outlineLevel="1" x14ac:dyDescent="0.2">
      <c r="A1449" s="198" t="s">
        <v>1279</v>
      </c>
      <c r="B1449" s="224" t="s">
        <v>3967</v>
      </c>
      <c r="C1449" s="225" t="s">
        <v>3936</v>
      </c>
      <c r="D1449" s="226" t="s">
        <v>3</v>
      </c>
      <c r="E1449" s="227">
        <v>250.15</v>
      </c>
      <c r="F1449" s="227"/>
    </row>
    <row r="1450" spans="1:6" ht="12.75" hidden="1" customHeight="1" outlineLevel="1" x14ac:dyDescent="0.2">
      <c r="A1450" s="198" t="s">
        <v>1279</v>
      </c>
      <c r="B1450" s="216" t="s">
        <v>3968</v>
      </c>
      <c r="C1450" s="217" t="s">
        <v>2974</v>
      </c>
      <c r="D1450" s="218"/>
      <c r="E1450" s="219"/>
      <c r="F1450" s="219"/>
    </row>
    <row r="1451" spans="1:6" ht="12.75" hidden="1" customHeight="1" outlineLevel="1" x14ac:dyDescent="0.2">
      <c r="A1451" s="198" t="s">
        <v>1279</v>
      </c>
      <c r="B1451" s="228" t="s">
        <v>3969</v>
      </c>
      <c r="C1451" s="229" t="s">
        <v>3936</v>
      </c>
      <c r="D1451" s="230" t="s">
        <v>3</v>
      </c>
      <c r="E1451" s="231">
        <v>271.2</v>
      </c>
      <c r="F1451" s="231"/>
    </row>
    <row r="1452" spans="1:6" ht="12.75" hidden="1" customHeight="1" outlineLevel="1" x14ac:dyDescent="0.2">
      <c r="A1452" s="198" t="s">
        <v>1279</v>
      </c>
      <c r="B1452" s="216" t="s">
        <v>3970</v>
      </c>
      <c r="C1452" s="217" t="s">
        <v>2975</v>
      </c>
      <c r="D1452" s="218"/>
      <c r="E1452" s="219"/>
      <c r="F1452" s="219"/>
    </row>
    <row r="1453" spans="1:6" ht="12.75" hidden="1" customHeight="1" outlineLevel="1" x14ac:dyDescent="0.2">
      <c r="A1453" s="198" t="s">
        <v>1279</v>
      </c>
      <c r="B1453" s="224" t="s">
        <v>3971</v>
      </c>
      <c r="C1453" s="225" t="s">
        <v>3936</v>
      </c>
      <c r="D1453" s="226" t="s">
        <v>3</v>
      </c>
      <c r="E1453" s="227">
        <v>252.97</v>
      </c>
      <c r="F1453" s="227"/>
    </row>
    <row r="1454" spans="1:6" ht="12.75" hidden="1" customHeight="1" outlineLevel="1" x14ac:dyDescent="0.2">
      <c r="A1454" s="198" t="s">
        <v>1279</v>
      </c>
      <c r="B1454" s="216" t="s">
        <v>3972</v>
      </c>
      <c r="C1454" s="217" t="s">
        <v>2976</v>
      </c>
      <c r="D1454" s="218"/>
      <c r="E1454" s="219"/>
      <c r="F1454" s="219"/>
    </row>
    <row r="1455" spans="1:6" ht="12.75" hidden="1" customHeight="1" outlineLevel="1" x14ac:dyDescent="0.2">
      <c r="A1455" s="198" t="s">
        <v>1279</v>
      </c>
      <c r="B1455" s="228" t="s">
        <v>3973</v>
      </c>
      <c r="C1455" s="229" t="s">
        <v>3936</v>
      </c>
      <c r="D1455" s="230" t="s">
        <v>3</v>
      </c>
      <c r="E1455" s="231">
        <v>280.64</v>
      </c>
      <c r="F1455" s="231"/>
    </row>
    <row r="1456" spans="1:6" ht="12.75" hidden="1" customHeight="1" outlineLevel="1" x14ac:dyDescent="0.2">
      <c r="A1456" s="198" t="s">
        <v>1279</v>
      </c>
      <c r="B1456" s="216" t="s">
        <v>3974</v>
      </c>
      <c r="C1456" s="217" t="s">
        <v>2978</v>
      </c>
      <c r="D1456" s="218"/>
      <c r="E1456" s="219"/>
      <c r="F1456" s="219"/>
    </row>
    <row r="1457" spans="1:10" ht="12.75" hidden="1" customHeight="1" outlineLevel="1" x14ac:dyDescent="0.2">
      <c r="A1457" s="198" t="s">
        <v>1279</v>
      </c>
      <c r="B1457" s="224" t="s">
        <v>3975</v>
      </c>
      <c r="C1457" s="225" t="s">
        <v>3936</v>
      </c>
      <c r="D1457" s="226" t="s">
        <v>3</v>
      </c>
      <c r="E1457" s="227">
        <v>85.63</v>
      </c>
      <c r="F1457" s="227"/>
    </row>
    <row r="1458" spans="1:10" ht="12.75" hidden="1" customHeight="1" outlineLevel="1" x14ac:dyDescent="0.2">
      <c r="A1458" s="198" t="s">
        <v>1279</v>
      </c>
      <c r="B1458" s="216" t="s">
        <v>3976</v>
      </c>
      <c r="C1458" s="217" t="s">
        <v>2980</v>
      </c>
      <c r="D1458" s="218"/>
      <c r="E1458" s="219"/>
      <c r="F1458" s="219"/>
    </row>
    <row r="1459" spans="1:10" ht="12.75" hidden="1" customHeight="1" outlineLevel="1" x14ac:dyDescent="0.2">
      <c r="A1459" s="198" t="s">
        <v>1279</v>
      </c>
      <c r="B1459" s="228" t="s">
        <v>3977</v>
      </c>
      <c r="C1459" s="229" t="s">
        <v>3936</v>
      </c>
      <c r="D1459" s="230" t="s">
        <v>3</v>
      </c>
      <c r="E1459" s="231">
        <v>23.16</v>
      </c>
      <c r="F1459" s="231"/>
    </row>
    <row r="1460" spans="1:10" collapsed="1" x14ac:dyDescent="0.2">
      <c r="B1460" s="515" t="s">
        <v>1632</v>
      </c>
      <c r="C1460" s="516" t="s">
        <v>3979</v>
      </c>
      <c r="D1460" s="521"/>
      <c r="E1460" s="520">
        <f>SUM(E1462:E1463)</f>
        <v>15.36</v>
      </c>
      <c r="F1460" s="520"/>
      <c r="G1460" s="516"/>
      <c r="H1460" s="234">
        <f>SUM(H1461:H1463)</f>
        <v>15.36</v>
      </c>
      <c r="I1460" s="242" t="str">
        <f>IF(H1460=E1460,"OKAY","REVER")</f>
        <v>OKAY</v>
      </c>
      <c r="J1460" s="405"/>
    </row>
    <row r="1461" spans="1:10" ht="12.75" hidden="1" customHeight="1" outlineLevel="1" x14ac:dyDescent="0.2">
      <c r="A1461" s="198" t="s">
        <v>1278</v>
      </c>
      <c r="B1461" s="216" t="s">
        <v>1634</v>
      </c>
      <c r="C1461" s="217" t="s">
        <v>2978</v>
      </c>
      <c r="D1461" s="218"/>
      <c r="E1461" s="219"/>
      <c r="F1461" s="219"/>
      <c r="G1461" s="225" t="s">
        <v>3980</v>
      </c>
      <c r="H1461" s="235">
        <f>SUMIF($C:$C,G1461,$E:$E)</f>
        <v>5.0599999999999996</v>
      </c>
      <c r="J1461" s="215"/>
    </row>
    <row r="1462" spans="1:10" ht="12.75" hidden="1" customHeight="1" outlineLevel="1" x14ac:dyDescent="0.2">
      <c r="A1462" s="198" t="s">
        <v>1278</v>
      </c>
      <c r="B1462" s="224" t="s">
        <v>1635</v>
      </c>
      <c r="C1462" s="225" t="s">
        <v>3980</v>
      </c>
      <c r="D1462" s="226" t="s">
        <v>11</v>
      </c>
      <c r="E1462" s="227">
        <v>5.0599999999999996</v>
      </c>
      <c r="F1462" s="227" t="s">
        <v>2552</v>
      </c>
      <c r="G1462" s="229" t="s">
        <v>3981</v>
      </c>
      <c r="H1462" s="235">
        <f>SUMIF($C:$C,G1462,$E:$E)</f>
        <v>10.3</v>
      </c>
      <c r="J1462" s="215"/>
    </row>
    <row r="1463" spans="1:10" ht="12.75" hidden="1" customHeight="1" outlineLevel="1" x14ac:dyDescent="0.2">
      <c r="A1463" s="198" t="s">
        <v>1278</v>
      </c>
      <c r="B1463" s="228" t="s">
        <v>2392</v>
      </c>
      <c r="C1463" s="229" t="s">
        <v>3981</v>
      </c>
      <c r="D1463" s="230" t="s">
        <v>11</v>
      </c>
      <c r="E1463" s="231">
        <v>10.3</v>
      </c>
      <c r="F1463" s="231" t="s">
        <v>3982</v>
      </c>
      <c r="J1463" s="215"/>
    </row>
    <row r="1464" spans="1:10" collapsed="1" x14ac:dyDescent="0.2">
      <c r="B1464" s="515" t="s">
        <v>2336</v>
      </c>
      <c r="C1464" s="516" t="s">
        <v>57</v>
      </c>
      <c r="D1464" s="521"/>
      <c r="E1464" s="522">
        <f>SUM(E1466:E1595)</f>
        <v>7380.1999999999953</v>
      </c>
      <c r="F1464" s="522"/>
      <c r="G1464" s="516"/>
      <c r="H1464" s="234">
        <f>SUM(H1465:H1472)</f>
        <v>7380.2</v>
      </c>
      <c r="I1464" s="242" t="str">
        <f>IF(H1464=E1464,"OKAY","REVER")</f>
        <v>OKAY</v>
      </c>
      <c r="J1464" s="405"/>
    </row>
    <row r="1465" spans="1:10" ht="12.75" hidden="1" customHeight="1" outlineLevel="1" x14ac:dyDescent="0.2">
      <c r="A1465" s="198" t="s">
        <v>1278</v>
      </c>
      <c r="B1465" s="216" t="s">
        <v>1636</v>
      </c>
      <c r="C1465" s="217" t="s">
        <v>2955</v>
      </c>
      <c r="D1465" s="218"/>
      <c r="E1465" s="219"/>
      <c r="F1465" s="219"/>
      <c r="G1465" s="229" t="s">
        <v>3994</v>
      </c>
      <c r="H1465" s="235">
        <f t="shared" ref="H1465:H1472" si="41">SUMIF($C:$C,G1465,$E:$E)</f>
        <v>47.63</v>
      </c>
      <c r="I1465" s="241" t="s">
        <v>4090</v>
      </c>
      <c r="J1465" s="215"/>
    </row>
    <row r="1466" spans="1:10" ht="12.75" hidden="1" customHeight="1" outlineLevel="1" x14ac:dyDescent="0.2">
      <c r="A1466" s="198" t="s">
        <v>1278</v>
      </c>
      <c r="B1466" s="224" t="s">
        <v>1637</v>
      </c>
      <c r="C1466" s="225" t="s">
        <v>3983</v>
      </c>
      <c r="D1466" s="226" t="s">
        <v>11</v>
      </c>
      <c r="E1466" s="227">
        <v>118.39</v>
      </c>
      <c r="F1466" s="227"/>
      <c r="G1466" s="225" t="s">
        <v>3988</v>
      </c>
      <c r="H1466" s="235">
        <f t="shared" si="41"/>
        <v>950.45999999999992</v>
      </c>
      <c r="J1466" s="215"/>
    </row>
    <row r="1467" spans="1:10" ht="12.75" hidden="1" customHeight="1" outlineLevel="1" x14ac:dyDescent="0.2">
      <c r="A1467" s="198" t="s">
        <v>1278</v>
      </c>
      <c r="B1467" s="228" t="s">
        <v>2337</v>
      </c>
      <c r="C1467" s="229" t="s">
        <v>3984</v>
      </c>
      <c r="D1467" s="230" t="s">
        <v>11</v>
      </c>
      <c r="E1467" s="231">
        <v>111.83</v>
      </c>
      <c r="F1467" s="231"/>
      <c r="G1467" s="229" t="s">
        <v>3983</v>
      </c>
      <c r="H1467" s="235">
        <f t="shared" si="41"/>
        <v>2803.85</v>
      </c>
      <c r="J1467" s="215"/>
    </row>
    <row r="1468" spans="1:10" ht="12.75" hidden="1" customHeight="1" outlineLevel="1" x14ac:dyDescent="0.2">
      <c r="A1468" s="198" t="s">
        <v>1278</v>
      </c>
      <c r="B1468" s="224" t="s">
        <v>2338</v>
      </c>
      <c r="C1468" s="225" t="s">
        <v>3985</v>
      </c>
      <c r="D1468" s="226" t="s">
        <v>11</v>
      </c>
      <c r="E1468" s="227">
        <v>15.1</v>
      </c>
      <c r="F1468" s="227"/>
      <c r="G1468" s="225" t="s">
        <v>3984</v>
      </c>
      <c r="H1468" s="235">
        <f t="shared" si="41"/>
        <v>2009.1299999999997</v>
      </c>
      <c r="J1468" s="215"/>
    </row>
    <row r="1469" spans="1:10" ht="12.75" hidden="1" customHeight="1" outlineLevel="1" x14ac:dyDescent="0.2">
      <c r="A1469" s="198" t="s">
        <v>1278</v>
      </c>
      <c r="B1469" s="228" t="s">
        <v>2339</v>
      </c>
      <c r="C1469" s="229" t="s">
        <v>3986</v>
      </c>
      <c r="D1469" s="230" t="s">
        <v>11</v>
      </c>
      <c r="E1469" s="231">
        <v>3.81</v>
      </c>
      <c r="F1469" s="231"/>
      <c r="G1469" s="229" t="s">
        <v>3985</v>
      </c>
      <c r="H1469" s="235">
        <f t="shared" si="41"/>
        <v>1354.7299999999998</v>
      </c>
      <c r="J1469" s="215"/>
    </row>
    <row r="1470" spans="1:10" ht="12.75" hidden="1" customHeight="1" outlineLevel="1" x14ac:dyDescent="0.2">
      <c r="A1470" s="198" t="s">
        <v>1278</v>
      </c>
      <c r="B1470" s="224" t="s">
        <v>2340</v>
      </c>
      <c r="C1470" s="225" t="s">
        <v>3987</v>
      </c>
      <c r="D1470" s="226" t="s">
        <v>11</v>
      </c>
      <c r="E1470" s="227">
        <v>2.5099999999999998</v>
      </c>
      <c r="F1470" s="227"/>
      <c r="G1470" s="225" t="s">
        <v>3990</v>
      </c>
      <c r="H1470" s="235">
        <f t="shared" si="41"/>
        <v>7.02</v>
      </c>
      <c r="J1470" s="215"/>
    </row>
    <row r="1471" spans="1:10" ht="12.75" hidden="1" customHeight="1" outlineLevel="1" x14ac:dyDescent="0.2">
      <c r="A1471" s="198" t="s">
        <v>1278</v>
      </c>
      <c r="B1471" s="216" t="s">
        <v>1638</v>
      </c>
      <c r="C1471" s="217" t="s">
        <v>2958</v>
      </c>
      <c r="D1471" s="218"/>
      <c r="E1471" s="219"/>
      <c r="F1471" s="219"/>
      <c r="G1471" s="229" t="s">
        <v>3986</v>
      </c>
      <c r="H1471" s="235">
        <f t="shared" si="41"/>
        <v>72.78</v>
      </c>
      <c r="I1471" s="198"/>
      <c r="J1471" s="215"/>
    </row>
    <row r="1472" spans="1:10" ht="12.75" hidden="1" customHeight="1" outlineLevel="1" x14ac:dyDescent="0.2">
      <c r="A1472" s="198" t="s">
        <v>1278</v>
      </c>
      <c r="B1472" s="228" t="s">
        <v>1639</v>
      </c>
      <c r="C1472" s="229" t="s">
        <v>3988</v>
      </c>
      <c r="D1472" s="230" t="s">
        <v>11</v>
      </c>
      <c r="E1472" s="231">
        <v>847.68</v>
      </c>
      <c r="F1472" s="231"/>
      <c r="G1472" s="225" t="s">
        <v>3987</v>
      </c>
      <c r="H1472" s="235">
        <f t="shared" si="41"/>
        <v>134.60000000000002</v>
      </c>
      <c r="J1472" s="215"/>
    </row>
    <row r="1473" spans="1:10" ht="12.75" hidden="1" customHeight="1" outlineLevel="1" x14ac:dyDescent="0.2">
      <c r="A1473" s="198" t="s">
        <v>1278</v>
      </c>
      <c r="B1473" s="224" t="s">
        <v>2393</v>
      </c>
      <c r="C1473" s="225" t="s">
        <v>3983</v>
      </c>
      <c r="D1473" s="226" t="s">
        <v>11</v>
      </c>
      <c r="E1473" s="227">
        <v>199.19</v>
      </c>
      <c r="F1473" s="227"/>
      <c r="J1473" s="215"/>
    </row>
    <row r="1474" spans="1:10" ht="12.75" hidden="1" customHeight="1" outlineLevel="1" x14ac:dyDescent="0.2">
      <c r="A1474" s="198" t="s">
        <v>1278</v>
      </c>
      <c r="B1474" s="228" t="s">
        <v>2683</v>
      </c>
      <c r="C1474" s="229" t="s">
        <v>3984</v>
      </c>
      <c r="D1474" s="230" t="s">
        <v>11</v>
      </c>
      <c r="E1474" s="231">
        <v>243.42</v>
      </c>
      <c r="F1474" s="231"/>
      <c r="G1474" s="520" t="s">
        <v>1732</v>
      </c>
      <c r="H1474" s="234">
        <f>H1476+H1488</f>
        <v>7380.2</v>
      </c>
      <c r="I1474" s="242" t="str">
        <f>IF(H1474=H1464,"OKAY","REVER")</f>
        <v>OKAY</v>
      </c>
      <c r="J1474" s="215"/>
    </row>
    <row r="1475" spans="1:10" ht="12.75" hidden="1" customHeight="1" outlineLevel="1" x14ac:dyDescent="0.2">
      <c r="A1475" s="198" t="s">
        <v>1278</v>
      </c>
      <c r="B1475" s="224" t="s">
        <v>2684</v>
      </c>
      <c r="C1475" s="225" t="s">
        <v>3985</v>
      </c>
      <c r="D1475" s="226" t="s">
        <v>11</v>
      </c>
      <c r="E1475" s="227">
        <v>99.88</v>
      </c>
      <c r="F1475" s="227"/>
      <c r="G1475" s="232"/>
      <c r="H1475" s="232"/>
      <c r="I1475" s="242"/>
      <c r="J1475" s="215"/>
    </row>
    <row r="1476" spans="1:10" ht="12.75" hidden="1" customHeight="1" outlineLevel="1" x14ac:dyDescent="0.2">
      <c r="A1476" s="198" t="s">
        <v>1278</v>
      </c>
      <c r="B1476" s="228" t="s">
        <v>3989</v>
      </c>
      <c r="C1476" s="229" t="s">
        <v>3990</v>
      </c>
      <c r="D1476" s="230" t="s">
        <v>11</v>
      </c>
      <c r="E1476" s="231">
        <v>7.02</v>
      </c>
      <c r="F1476" s="231"/>
      <c r="G1476" s="520" t="str">
        <f>$A$1</f>
        <v>EMBASSAMENTO</v>
      </c>
      <c r="H1476" s="234">
        <f>SUM(H1477:H1484)</f>
        <v>1661.47</v>
      </c>
      <c r="I1476" s="242"/>
      <c r="J1476" s="215"/>
    </row>
    <row r="1477" spans="1:10" ht="12.75" hidden="1" customHeight="1" outlineLevel="1" x14ac:dyDescent="0.2">
      <c r="A1477" s="198" t="s">
        <v>1278</v>
      </c>
      <c r="B1477" s="224" t="s">
        <v>3991</v>
      </c>
      <c r="C1477" s="225" t="s">
        <v>3986</v>
      </c>
      <c r="D1477" s="226" t="s">
        <v>11</v>
      </c>
      <c r="E1477" s="227">
        <v>4.1399999999999997</v>
      </c>
      <c r="F1477" s="227"/>
      <c r="G1477" s="229" t="s">
        <v>3994</v>
      </c>
      <c r="H1477" s="235">
        <f t="shared" ref="H1477:H1484" si="42">SUMIFS($E:$E,$C:$C,G1477,$A:$A,$G$22)</f>
        <v>0</v>
      </c>
      <c r="I1477" s="242"/>
      <c r="J1477" s="215"/>
    </row>
    <row r="1478" spans="1:10" ht="12.75" hidden="1" customHeight="1" outlineLevel="1" x14ac:dyDescent="0.2">
      <c r="A1478" s="198" t="s">
        <v>1278</v>
      </c>
      <c r="B1478" s="228" t="s">
        <v>3992</v>
      </c>
      <c r="C1478" s="229" t="s">
        <v>3987</v>
      </c>
      <c r="D1478" s="230" t="s">
        <v>11</v>
      </c>
      <c r="E1478" s="231">
        <v>8.5</v>
      </c>
      <c r="F1478" s="231"/>
      <c r="G1478" s="225" t="s">
        <v>3988</v>
      </c>
      <c r="H1478" s="235">
        <f t="shared" si="42"/>
        <v>847.68</v>
      </c>
      <c r="J1478" s="215"/>
    </row>
    <row r="1479" spans="1:10" ht="12.75" hidden="1" customHeight="1" outlineLevel="1" x14ac:dyDescent="0.2">
      <c r="A1479" s="198" t="s">
        <v>1279</v>
      </c>
      <c r="B1479" s="216" t="s">
        <v>1939</v>
      </c>
      <c r="C1479" s="217" t="s">
        <v>2960</v>
      </c>
      <c r="D1479" s="218"/>
      <c r="E1479" s="219"/>
      <c r="F1479" s="219"/>
      <c r="G1479" s="229" t="s">
        <v>3983</v>
      </c>
      <c r="H1479" s="235">
        <f t="shared" si="42"/>
        <v>317.58</v>
      </c>
      <c r="J1479" s="215"/>
    </row>
    <row r="1480" spans="1:10" ht="12.75" hidden="1" customHeight="1" outlineLevel="1" x14ac:dyDescent="0.2">
      <c r="A1480" s="198" t="s">
        <v>1279</v>
      </c>
      <c r="B1480" s="224" t="s">
        <v>1940</v>
      </c>
      <c r="C1480" s="225" t="s">
        <v>3983</v>
      </c>
      <c r="D1480" s="226" t="s">
        <v>11</v>
      </c>
      <c r="E1480" s="227">
        <v>146.97999999999999</v>
      </c>
      <c r="F1480" s="227"/>
      <c r="G1480" s="225" t="s">
        <v>3984</v>
      </c>
      <c r="H1480" s="235">
        <f t="shared" si="42"/>
        <v>355.25</v>
      </c>
      <c r="J1480" s="215"/>
    </row>
    <row r="1481" spans="1:10" ht="12.75" hidden="1" customHeight="1" outlineLevel="1" x14ac:dyDescent="0.2">
      <c r="A1481" s="198" t="s">
        <v>1279</v>
      </c>
      <c r="B1481" s="228" t="s">
        <v>2394</v>
      </c>
      <c r="C1481" s="229" t="s">
        <v>3984</v>
      </c>
      <c r="D1481" s="230" t="s">
        <v>11</v>
      </c>
      <c r="E1481" s="231">
        <v>73.81</v>
      </c>
      <c r="F1481" s="231"/>
      <c r="G1481" s="229" t="s">
        <v>3985</v>
      </c>
      <c r="H1481" s="235">
        <f t="shared" si="42"/>
        <v>114.97999999999999</v>
      </c>
      <c r="J1481" s="215"/>
    </row>
    <row r="1482" spans="1:10" ht="12.75" hidden="1" customHeight="1" outlineLevel="1" x14ac:dyDescent="0.2">
      <c r="A1482" s="198" t="s">
        <v>1279</v>
      </c>
      <c r="B1482" s="224" t="s">
        <v>2685</v>
      </c>
      <c r="C1482" s="225" t="s">
        <v>3985</v>
      </c>
      <c r="D1482" s="226" t="s">
        <v>11</v>
      </c>
      <c r="E1482" s="227">
        <v>90.99</v>
      </c>
      <c r="F1482" s="227"/>
      <c r="G1482" s="225" t="s">
        <v>3990</v>
      </c>
      <c r="H1482" s="235">
        <f t="shared" si="42"/>
        <v>7.02</v>
      </c>
      <c r="J1482" s="215"/>
    </row>
    <row r="1483" spans="1:10" ht="12.75" hidden="1" customHeight="1" outlineLevel="1" x14ac:dyDescent="0.2">
      <c r="A1483" s="198" t="s">
        <v>1279</v>
      </c>
      <c r="B1483" s="228" t="s">
        <v>2686</v>
      </c>
      <c r="C1483" s="229" t="s">
        <v>3986</v>
      </c>
      <c r="D1483" s="230" t="s">
        <v>11</v>
      </c>
      <c r="E1483" s="231">
        <v>3.82</v>
      </c>
      <c r="F1483" s="231"/>
      <c r="G1483" s="229" t="s">
        <v>3986</v>
      </c>
      <c r="H1483" s="235">
        <f t="shared" si="42"/>
        <v>7.9499999999999993</v>
      </c>
      <c r="J1483" s="215"/>
    </row>
    <row r="1484" spans="1:10" ht="12.75" hidden="1" customHeight="1" outlineLevel="1" x14ac:dyDescent="0.2">
      <c r="A1484" s="198" t="s">
        <v>1279</v>
      </c>
      <c r="B1484" s="224" t="s">
        <v>3993</v>
      </c>
      <c r="C1484" s="225" t="s">
        <v>3987</v>
      </c>
      <c r="D1484" s="226" t="s">
        <v>11</v>
      </c>
      <c r="E1484" s="227">
        <v>7.57</v>
      </c>
      <c r="F1484" s="227"/>
      <c r="G1484" s="225" t="s">
        <v>3987</v>
      </c>
      <c r="H1484" s="235">
        <f t="shared" si="42"/>
        <v>11.01</v>
      </c>
    </row>
    <row r="1485" spans="1:10" ht="12.75" hidden="1" customHeight="1" outlineLevel="1" x14ac:dyDescent="0.2">
      <c r="A1485" s="198" t="s">
        <v>1279</v>
      </c>
      <c r="B1485" s="216" t="s">
        <v>1941</v>
      </c>
      <c r="C1485" s="217" t="s">
        <v>2961</v>
      </c>
      <c r="D1485" s="218"/>
      <c r="E1485" s="219"/>
      <c r="F1485" s="219"/>
    </row>
    <row r="1486" spans="1:10" ht="12.75" hidden="1" customHeight="1" outlineLevel="1" x14ac:dyDescent="0.2">
      <c r="A1486" s="198" t="s">
        <v>1279</v>
      </c>
      <c r="B1486" s="228" t="s">
        <v>1942</v>
      </c>
      <c r="C1486" s="229" t="s">
        <v>3994</v>
      </c>
      <c r="D1486" s="230" t="s">
        <v>11</v>
      </c>
      <c r="E1486" s="231">
        <v>47.63</v>
      </c>
      <c r="F1486" s="231"/>
    </row>
    <row r="1487" spans="1:10" ht="12.75" hidden="1" customHeight="1" outlineLevel="1" x14ac:dyDescent="0.2">
      <c r="A1487" s="198" t="s">
        <v>1279</v>
      </c>
      <c r="B1487" s="224" t="s">
        <v>2687</v>
      </c>
      <c r="C1487" s="225" t="s">
        <v>3988</v>
      </c>
      <c r="D1487" s="226" t="s">
        <v>11</v>
      </c>
      <c r="E1487" s="227">
        <v>1.41</v>
      </c>
      <c r="F1487" s="227"/>
    </row>
    <row r="1488" spans="1:10" ht="12.75" hidden="1" customHeight="1" outlineLevel="1" x14ac:dyDescent="0.2">
      <c r="A1488" s="198" t="s">
        <v>1279</v>
      </c>
      <c r="B1488" s="228" t="s">
        <v>2688</v>
      </c>
      <c r="C1488" s="229" t="s">
        <v>3983</v>
      </c>
      <c r="D1488" s="230" t="s">
        <v>11</v>
      </c>
      <c r="E1488" s="231">
        <v>200.37</v>
      </c>
      <c r="F1488" s="231"/>
      <c r="G1488" s="520" t="str">
        <f>$A$2</f>
        <v>TORRE</v>
      </c>
      <c r="H1488" s="234">
        <f>SUM(H1489:H1496)</f>
        <v>5718.73</v>
      </c>
      <c r="J1488" s="215"/>
    </row>
    <row r="1489" spans="1:10" ht="12.75" hidden="1" customHeight="1" outlineLevel="1" x14ac:dyDescent="0.2">
      <c r="A1489" s="198" t="s">
        <v>1279</v>
      </c>
      <c r="B1489" s="224" t="s">
        <v>2689</v>
      </c>
      <c r="C1489" s="225" t="s">
        <v>3984</v>
      </c>
      <c r="D1489" s="226" t="s">
        <v>11</v>
      </c>
      <c r="E1489" s="227">
        <v>90.29</v>
      </c>
      <c r="F1489" s="227"/>
      <c r="G1489" s="229" t="s">
        <v>3994</v>
      </c>
      <c r="H1489" s="235">
        <f t="shared" ref="H1489:H1496" si="43">SUMIFS($E:$E,$C:$C,G1489,$A:$A,$G$30)</f>
        <v>47.63</v>
      </c>
      <c r="J1489" s="215"/>
    </row>
    <row r="1490" spans="1:10" ht="12.75" hidden="1" customHeight="1" outlineLevel="1" x14ac:dyDescent="0.2">
      <c r="A1490" s="198" t="s">
        <v>1279</v>
      </c>
      <c r="B1490" s="228" t="s">
        <v>2690</v>
      </c>
      <c r="C1490" s="229" t="s">
        <v>3985</v>
      </c>
      <c r="D1490" s="230" t="s">
        <v>11</v>
      </c>
      <c r="E1490" s="231">
        <v>89.46</v>
      </c>
      <c r="F1490" s="231"/>
      <c r="G1490" s="225" t="s">
        <v>3988</v>
      </c>
      <c r="H1490" s="235">
        <f t="shared" si="43"/>
        <v>102.78</v>
      </c>
      <c r="J1490" s="215"/>
    </row>
    <row r="1491" spans="1:10" ht="12.75" hidden="1" customHeight="1" outlineLevel="1" x14ac:dyDescent="0.2">
      <c r="A1491" s="198" t="s">
        <v>1279</v>
      </c>
      <c r="B1491" s="224" t="s">
        <v>3995</v>
      </c>
      <c r="C1491" s="225" t="s">
        <v>3986</v>
      </c>
      <c r="D1491" s="226" t="s">
        <v>11</v>
      </c>
      <c r="E1491" s="227">
        <v>3.82</v>
      </c>
      <c r="F1491" s="227"/>
      <c r="G1491" s="229" t="s">
        <v>3983</v>
      </c>
      <c r="H1491" s="235">
        <f t="shared" si="43"/>
        <v>2486.27</v>
      </c>
      <c r="J1491" s="215"/>
    </row>
    <row r="1492" spans="1:10" ht="12.75" hidden="1" customHeight="1" outlineLevel="1" x14ac:dyDescent="0.2">
      <c r="A1492" s="198" t="s">
        <v>1279</v>
      </c>
      <c r="B1492" s="228" t="s">
        <v>3996</v>
      </c>
      <c r="C1492" s="229" t="s">
        <v>3987</v>
      </c>
      <c r="D1492" s="230" t="s">
        <v>11</v>
      </c>
      <c r="E1492" s="231">
        <v>10.82</v>
      </c>
      <c r="F1492" s="231"/>
      <c r="G1492" s="225" t="s">
        <v>3984</v>
      </c>
      <c r="H1492" s="235">
        <f t="shared" si="43"/>
        <v>1653.88</v>
      </c>
      <c r="J1492" s="215"/>
    </row>
    <row r="1493" spans="1:10" ht="12.75" hidden="1" customHeight="1" outlineLevel="1" x14ac:dyDescent="0.2">
      <c r="A1493" s="198" t="s">
        <v>1279</v>
      </c>
      <c r="B1493" s="216" t="s">
        <v>1943</v>
      </c>
      <c r="C1493" s="217" t="s">
        <v>2962</v>
      </c>
      <c r="D1493" s="218"/>
      <c r="E1493" s="219"/>
      <c r="F1493" s="219"/>
      <c r="G1493" s="229" t="s">
        <v>3985</v>
      </c>
      <c r="H1493" s="235">
        <f t="shared" si="43"/>
        <v>1239.75</v>
      </c>
      <c r="J1493" s="215"/>
    </row>
    <row r="1494" spans="1:10" ht="12.75" hidden="1" customHeight="1" outlineLevel="1" x14ac:dyDescent="0.2">
      <c r="A1494" s="198" t="s">
        <v>1279</v>
      </c>
      <c r="B1494" s="224" t="s">
        <v>1944</v>
      </c>
      <c r="C1494" s="225" t="s">
        <v>3988</v>
      </c>
      <c r="D1494" s="226" t="s">
        <v>11</v>
      </c>
      <c r="E1494" s="227">
        <v>5.07</v>
      </c>
      <c r="F1494" s="227"/>
      <c r="G1494" s="225" t="s">
        <v>3990</v>
      </c>
      <c r="H1494" s="235">
        <f t="shared" si="43"/>
        <v>0</v>
      </c>
      <c r="J1494" s="215"/>
    </row>
    <row r="1495" spans="1:10" ht="12.75" hidden="1" customHeight="1" outlineLevel="1" x14ac:dyDescent="0.2">
      <c r="A1495" s="198" t="s">
        <v>1279</v>
      </c>
      <c r="B1495" s="228" t="s">
        <v>2691</v>
      </c>
      <c r="C1495" s="229" t="s">
        <v>3983</v>
      </c>
      <c r="D1495" s="230" t="s">
        <v>11</v>
      </c>
      <c r="E1495" s="231">
        <v>196.67</v>
      </c>
      <c r="F1495" s="231">
        <v>19.309999999999999</v>
      </c>
      <c r="G1495" s="229" t="s">
        <v>3986</v>
      </c>
      <c r="H1495" s="235">
        <f t="shared" si="43"/>
        <v>64.829999999999984</v>
      </c>
      <c r="J1495" s="215"/>
    </row>
    <row r="1496" spans="1:10" ht="12.75" hidden="1" customHeight="1" outlineLevel="1" x14ac:dyDescent="0.2">
      <c r="A1496" s="198" t="s">
        <v>1279</v>
      </c>
      <c r="B1496" s="224" t="s">
        <v>2692</v>
      </c>
      <c r="C1496" s="225" t="s">
        <v>3984</v>
      </c>
      <c r="D1496" s="226" t="s">
        <v>11</v>
      </c>
      <c r="E1496" s="227">
        <v>81.349999999999994</v>
      </c>
      <c r="F1496" s="227"/>
      <c r="G1496" s="225" t="s">
        <v>3987</v>
      </c>
      <c r="H1496" s="235">
        <f t="shared" si="43"/>
        <v>123.59</v>
      </c>
      <c r="J1496" s="215"/>
    </row>
    <row r="1497" spans="1:10" ht="12.75" hidden="1" customHeight="1" outlineLevel="1" x14ac:dyDescent="0.2">
      <c r="A1497" s="198" t="s">
        <v>1279</v>
      </c>
      <c r="B1497" s="228" t="s">
        <v>2693</v>
      </c>
      <c r="C1497" s="229" t="s">
        <v>3985</v>
      </c>
      <c r="D1497" s="230" t="s">
        <v>11</v>
      </c>
      <c r="E1497" s="231">
        <v>126.89</v>
      </c>
      <c r="F1497" s="231">
        <v>76.28</v>
      </c>
      <c r="J1497" s="215"/>
    </row>
    <row r="1498" spans="1:10" ht="12.75" hidden="1" customHeight="1" outlineLevel="1" x14ac:dyDescent="0.2">
      <c r="A1498" s="198" t="s">
        <v>1279</v>
      </c>
      <c r="B1498" s="224" t="s">
        <v>3997</v>
      </c>
      <c r="C1498" s="225" t="s">
        <v>3986</v>
      </c>
      <c r="D1498" s="226" t="s">
        <v>11</v>
      </c>
      <c r="E1498" s="227">
        <v>3.4</v>
      </c>
      <c r="F1498" s="227"/>
      <c r="J1498" s="215"/>
    </row>
    <row r="1499" spans="1:10" ht="12.75" hidden="1" customHeight="1" outlineLevel="1" x14ac:dyDescent="0.2">
      <c r="A1499" s="198" t="s">
        <v>1279</v>
      </c>
      <c r="B1499" s="228" t="s">
        <v>3998</v>
      </c>
      <c r="C1499" s="229" t="s">
        <v>3987</v>
      </c>
      <c r="D1499" s="230" t="s">
        <v>11</v>
      </c>
      <c r="E1499" s="231">
        <v>8.81</v>
      </c>
      <c r="F1499" s="231"/>
      <c r="J1499" s="215"/>
    </row>
    <row r="1500" spans="1:10" ht="12.75" hidden="1" customHeight="1" outlineLevel="1" x14ac:dyDescent="0.2">
      <c r="A1500" s="198" t="s">
        <v>1279</v>
      </c>
      <c r="B1500" s="216" t="s">
        <v>1945</v>
      </c>
      <c r="C1500" s="217" t="s">
        <v>2963</v>
      </c>
      <c r="D1500" s="218"/>
      <c r="E1500" s="219"/>
      <c r="F1500" s="219"/>
      <c r="J1500" s="215"/>
    </row>
    <row r="1501" spans="1:10" ht="12.75" hidden="1" customHeight="1" outlineLevel="1" x14ac:dyDescent="0.2">
      <c r="A1501" s="198" t="s">
        <v>1279</v>
      </c>
      <c r="B1501" s="224" t="s">
        <v>1946</v>
      </c>
      <c r="C1501" s="225" t="s">
        <v>3983</v>
      </c>
      <c r="D1501" s="226" t="s">
        <v>11</v>
      </c>
      <c r="E1501" s="227">
        <v>164.9</v>
      </c>
      <c r="F1501" s="227"/>
      <c r="J1501" s="215"/>
    </row>
    <row r="1502" spans="1:10" ht="12.75" hidden="1" customHeight="1" outlineLevel="1" x14ac:dyDescent="0.2">
      <c r="A1502" s="198" t="s">
        <v>1279</v>
      </c>
      <c r="B1502" s="228" t="s">
        <v>2694</v>
      </c>
      <c r="C1502" s="229" t="s">
        <v>3984</v>
      </c>
      <c r="D1502" s="230" t="s">
        <v>11</v>
      </c>
      <c r="E1502" s="231">
        <v>79.8</v>
      </c>
      <c r="F1502" s="231"/>
      <c r="J1502" s="215"/>
    </row>
    <row r="1503" spans="1:10" ht="12.75" hidden="1" customHeight="1" outlineLevel="1" x14ac:dyDescent="0.2">
      <c r="A1503" s="198" t="s">
        <v>1279</v>
      </c>
      <c r="B1503" s="224" t="s">
        <v>2695</v>
      </c>
      <c r="C1503" s="225" t="s">
        <v>3985</v>
      </c>
      <c r="D1503" s="226" t="s">
        <v>11</v>
      </c>
      <c r="E1503" s="227">
        <v>45.17</v>
      </c>
      <c r="F1503" s="227"/>
      <c r="J1503" s="215"/>
    </row>
    <row r="1504" spans="1:10" ht="12.75" hidden="1" customHeight="1" outlineLevel="1" x14ac:dyDescent="0.2">
      <c r="A1504" s="198" t="s">
        <v>1279</v>
      </c>
      <c r="B1504" s="228" t="s">
        <v>2696</v>
      </c>
      <c r="C1504" s="229" t="s">
        <v>3986</v>
      </c>
      <c r="D1504" s="230" t="s">
        <v>11</v>
      </c>
      <c r="E1504" s="231">
        <v>3.4</v>
      </c>
      <c r="F1504" s="231"/>
      <c r="J1504" s="215"/>
    </row>
    <row r="1505" spans="1:10" ht="12.75" hidden="1" customHeight="1" outlineLevel="1" x14ac:dyDescent="0.2">
      <c r="A1505" s="198" t="s">
        <v>1279</v>
      </c>
      <c r="B1505" s="224" t="s">
        <v>3999</v>
      </c>
      <c r="C1505" s="225" t="s">
        <v>3987</v>
      </c>
      <c r="D1505" s="226" t="s">
        <v>11</v>
      </c>
      <c r="E1505" s="227">
        <v>7.73</v>
      </c>
      <c r="F1505" s="227"/>
      <c r="J1505" s="215"/>
    </row>
    <row r="1506" spans="1:10" ht="12.75" hidden="1" customHeight="1" outlineLevel="1" x14ac:dyDescent="0.2">
      <c r="A1506" s="198" t="s">
        <v>1279</v>
      </c>
      <c r="B1506" s="216" t="s">
        <v>4000</v>
      </c>
      <c r="C1506" s="217" t="s">
        <v>2964</v>
      </c>
      <c r="D1506" s="218"/>
      <c r="E1506" s="219"/>
      <c r="F1506" s="219"/>
      <c r="J1506" s="215"/>
    </row>
    <row r="1507" spans="1:10" ht="12.75" hidden="1" customHeight="1" outlineLevel="1" x14ac:dyDescent="0.2">
      <c r="A1507" s="198" t="s">
        <v>1279</v>
      </c>
      <c r="B1507" s="228" t="s">
        <v>4001</v>
      </c>
      <c r="C1507" s="229" t="s">
        <v>3983</v>
      </c>
      <c r="D1507" s="230" t="s">
        <v>11</v>
      </c>
      <c r="E1507" s="231">
        <v>196.57</v>
      </c>
      <c r="F1507" s="231">
        <v>19.309999999999999</v>
      </c>
      <c r="J1507" s="215"/>
    </row>
    <row r="1508" spans="1:10" ht="12.75" hidden="1" customHeight="1" outlineLevel="1" x14ac:dyDescent="0.2">
      <c r="A1508" s="198" t="s">
        <v>1279</v>
      </c>
      <c r="B1508" s="224" t="s">
        <v>4002</v>
      </c>
      <c r="C1508" s="225" t="s">
        <v>3984</v>
      </c>
      <c r="D1508" s="226" t="s">
        <v>11</v>
      </c>
      <c r="E1508" s="227">
        <v>81.349999999999994</v>
      </c>
      <c r="F1508" s="227"/>
      <c r="J1508" s="215"/>
    </row>
    <row r="1509" spans="1:10" ht="12.75" hidden="1" customHeight="1" outlineLevel="1" x14ac:dyDescent="0.2">
      <c r="A1509" s="198" t="s">
        <v>1279</v>
      </c>
      <c r="B1509" s="228" t="s">
        <v>4003</v>
      </c>
      <c r="C1509" s="229" t="s">
        <v>3985</v>
      </c>
      <c r="D1509" s="230" t="s">
        <v>11</v>
      </c>
      <c r="E1509" s="231">
        <v>56.52</v>
      </c>
      <c r="F1509" s="231"/>
      <c r="J1509" s="215"/>
    </row>
    <row r="1510" spans="1:10" ht="12.75" hidden="1" customHeight="1" outlineLevel="1" x14ac:dyDescent="0.2">
      <c r="A1510" s="198" t="s">
        <v>1279</v>
      </c>
      <c r="B1510" s="224" t="s">
        <v>4004</v>
      </c>
      <c r="C1510" s="225" t="s">
        <v>3986</v>
      </c>
      <c r="D1510" s="226" t="s">
        <v>11</v>
      </c>
      <c r="E1510" s="227">
        <v>3.4</v>
      </c>
      <c r="F1510" s="227"/>
      <c r="J1510" s="215"/>
    </row>
    <row r="1511" spans="1:10" ht="12.75" hidden="1" customHeight="1" outlineLevel="1" x14ac:dyDescent="0.2">
      <c r="A1511" s="198" t="s">
        <v>1279</v>
      </c>
      <c r="B1511" s="228" t="s">
        <v>4005</v>
      </c>
      <c r="C1511" s="229" t="s">
        <v>3987</v>
      </c>
      <c r="D1511" s="230" t="s">
        <v>11</v>
      </c>
      <c r="E1511" s="231">
        <v>8.51</v>
      </c>
      <c r="F1511" s="231"/>
      <c r="J1511" s="215"/>
    </row>
    <row r="1512" spans="1:10" ht="12.75" hidden="1" customHeight="1" outlineLevel="1" x14ac:dyDescent="0.2">
      <c r="A1512" s="198" t="s">
        <v>1279</v>
      </c>
      <c r="B1512" s="216" t="s">
        <v>4006</v>
      </c>
      <c r="C1512" s="217" t="s">
        <v>2965</v>
      </c>
      <c r="D1512" s="218"/>
      <c r="E1512" s="219"/>
      <c r="F1512" s="219"/>
      <c r="J1512" s="215"/>
    </row>
    <row r="1513" spans="1:10" ht="12.75" hidden="1" customHeight="1" outlineLevel="1" x14ac:dyDescent="0.2">
      <c r="A1513" s="198" t="s">
        <v>1279</v>
      </c>
      <c r="B1513" s="224" t="s">
        <v>4007</v>
      </c>
      <c r="C1513" s="225" t="s">
        <v>3983</v>
      </c>
      <c r="D1513" s="226" t="s">
        <v>11</v>
      </c>
      <c r="E1513" s="227">
        <v>164.9</v>
      </c>
      <c r="F1513" s="227"/>
      <c r="J1513" s="215"/>
    </row>
    <row r="1514" spans="1:10" ht="12.75" hidden="1" customHeight="1" outlineLevel="1" x14ac:dyDescent="0.2">
      <c r="A1514" s="198" t="s">
        <v>1279</v>
      </c>
      <c r="B1514" s="228" t="s">
        <v>4008</v>
      </c>
      <c r="C1514" s="229" t="s">
        <v>3984</v>
      </c>
      <c r="D1514" s="230" t="s">
        <v>11</v>
      </c>
      <c r="E1514" s="231">
        <v>79.8</v>
      </c>
      <c r="F1514" s="231"/>
      <c r="J1514" s="215"/>
    </row>
    <row r="1515" spans="1:10" ht="12.75" hidden="1" customHeight="1" outlineLevel="1" x14ac:dyDescent="0.2">
      <c r="A1515" s="198" t="s">
        <v>1279</v>
      </c>
      <c r="B1515" s="224" t="s">
        <v>4009</v>
      </c>
      <c r="C1515" s="225" t="s">
        <v>3985</v>
      </c>
      <c r="D1515" s="226" t="s">
        <v>11</v>
      </c>
      <c r="E1515" s="227">
        <v>45.17</v>
      </c>
      <c r="F1515" s="227"/>
      <c r="J1515" s="215"/>
    </row>
    <row r="1516" spans="1:10" ht="12.75" hidden="1" customHeight="1" outlineLevel="1" x14ac:dyDescent="0.2">
      <c r="A1516" s="198" t="s">
        <v>1279</v>
      </c>
      <c r="B1516" s="228" t="s">
        <v>4010</v>
      </c>
      <c r="C1516" s="229" t="s">
        <v>3986</v>
      </c>
      <c r="D1516" s="230" t="s">
        <v>11</v>
      </c>
      <c r="E1516" s="231">
        <v>3.4</v>
      </c>
      <c r="F1516" s="231"/>
      <c r="J1516" s="215"/>
    </row>
    <row r="1517" spans="1:10" ht="12.75" hidden="1" customHeight="1" outlineLevel="1" x14ac:dyDescent="0.2">
      <c r="A1517" s="198" t="s">
        <v>1279</v>
      </c>
      <c r="B1517" s="224" t="s">
        <v>4011</v>
      </c>
      <c r="C1517" s="225" t="s">
        <v>3987</v>
      </c>
      <c r="D1517" s="226" t="s">
        <v>11</v>
      </c>
      <c r="E1517" s="227">
        <v>7.73</v>
      </c>
      <c r="F1517" s="227"/>
      <c r="J1517" s="215"/>
    </row>
    <row r="1518" spans="1:10" ht="12.75" hidden="1" customHeight="1" outlineLevel="1" x14ac:dyDescent="0.2">
      <c r="A1518" s="198" t="s">
        <v>1279</v>
      </c>
      <c r="B1518" s="216" t="s">
        <v>4012</v>
      </c>
      <c r="C1518" s="217" t="s">
        <v>2966</v>
      </c>
      <c r="D1518" s="218"/>
      <c r="E1518" s="219"/>
      <c r="F1518" s="219"/>
      <c r="J1518" s="215"/>
    </row>
    <row r="1519" spans="1:10" ht="12.75" hidden="1" customHeight="1" outlineLevel="1" x14ac:dyDescent="0.2">
      <c r="A1519" s="198" t="s">
        <v>1279</v>
      </c>
      <c r="B1519" s="228" t="s">
        <v>4013</v>
      </c>
      <c r="C1519" s="229" t="s">
        <v>3983</v>
      </c>
      <c r="D1519" s="230" t="s">
        <v>11</v>
      </c>
      <c r="E1519" s="231">
        <v>196.57</v>
      </c>
      <c r="F1519" s="231">
        <v>19.309999999999999</v>
      </c>
      <c r="J1519" s="215"/>
    </row>
    <row r="1520" spans="1:10" ht="12.75" hidden="1" customHeight="1" outlineLevel="1" x14ac:dyDescent="0.2">
      <c r="A1520" s="198" t="s">
        <v>1279</v>
      </c>
      <c r="B1520" s="224" t="s">
        <v>4014</v>
      </c>
      <c r="C1520" s="225" t="s">
        <v>3984</v>
      </c>
      <c r="D1520" s="226" t="s">
        <v>11</v>
      </c>
      <c r="E1520" s="227">
        <v>81.349999999999994</v>
      </c>
      <c r="F1520" s="227"/>
      <c r="J1520" s="215"/>
    </row>
    <row r="1521" spans="1:10" ht="12.75" hidden="1" customHeight="1" outlineLevel="1" x14ac:dyDescent="0.2">
      <c r="A1521" s="198" t="s">
        <v>1279</v>
      </c>
      <c r="B1521" s="228" t="s">
        <v>4015</v>
      </c>
      <c r="C1521" s="229" t="s">
        <v>3985</v>
      </c>
      <c r="D1521" s="230" t="s">
        <v>11</v>
      </c>
      <c r="E1521" s="231">
        <v>56.52</v>
      </c>
      <c r="F1521" s="231"/>
      <c r="J1521" s="215"/>
    </row>
    <row r="1522" spans="1:10" ht="12.75" hidden="1" customHeight="1" outlineLevel="1" x14ac:dyDescent="0.2">
      <c r="A1522" s="198" t="s">
        <v>1279</v>
      </c>
      <c r="B1522" s="224" t="s">
        <v>4016</v>
      </c>
      <c r="C1522" s="225" t="s">
        <v>3986</v>
      </c>
      <c r="D1522" s="226" t="s">
        <v>11</v>
      </c>
      <c r="E1522" s="227">
        <v>3.41</v>
      </c>
      <c r="F1522" s="227"/>
      <c r="J1522" s="215"/>
    </row>
    <row r="1523" spans="1:10" ht="12.75" hidden="1" customHeight="1" outlineLevel="1" x14ac:dyDescent="0.2">
      <c r="A1523" s="198" t="s">
        <v>1279</v>
      </c>
      <c r="B1523" s="228" t="s">
        <v>4017</v>
      </c>
      <c r="C1523" s="229" t="s">
        <v>3987</v>
      </c>
      <c r="D1523" s="230" t="s">
        <v>11</v>
      </c>
      <c r="E1523" s="231">
        <v>8.51</v>
      </c>
      <c r="F1523" s="231"/>
      <c r="J1523" s="215"/>
    </row>
    <row r="1524" spans="1:10" ht="12.75" hidden="1" customHeight="1" outlineLevel="1" x14ac:dyDescent="0.2">
      <c r="A1524" s="198" t="s">
        <v>1279</v>
      </c>
      <c r="B1524" s="216" t="s">
        <v>4018</v>
      </c>
      <c r="C1524" s="217" t="s">
        <v>2967</v>
      </c>
      <c r="D1524" s="218"/>
      <c r="E1524" s="219"/>
      <c r="F1524" s="219"/>
      <c r="J1524" s="215"/>
    </row>
    <row r="1525" spans="1:10" ht="12.75" hidden="1" customHeight="1" outlineLevel="1" x14ac:dyDescent="0.2">
      <c r="A1525" s="198" t="s">
        <v>1279</v>
      </c>
      <c r="B1525" s="224" t="s">
        <v>4019</v>
      </c>
      <c r="C1525" s="225" t="s">
        <v>3983</v>
      </c>
      <c r="D1525" s="226" t="s">
        <v>11</v>
      </c>
      <c r="E1525" s="227">
        <v>164.9</v>
      </c>
      <c r="F1525" s="227"/>
      <c r="J1525" s="215"/>
    </row>
    <row r="1526" spans="1:10" ht="12.75" hidden="1" customHeight="1" outlineLevel="1" x14ac:dyDescent="0.2">
      <c r="A1526" s="198" t="s">
        <v>1279</v>
      </c>
      <c r="B1526" s="228" t="s">
        <v>4020</v>
      </c>
      <c r="C1526" s="229" t="s">
        <v>3984</v>
      </c>
      <c r="D1526" s="230" t="s">
        <v>11</v>
      </c>
      <c r="E1526" s="231">
        <v>79.8</v>
      </c>
      <c r="F1526" s="231"/>
      <c r="J1526" s="215"/>
    </row>
    <row r="1527" spans="1:10" ht="12.75" hidden="1" customHeight="1" outlineLevel="1" x14ac:dyDescent="0.2">
      <c r="A1527" s="198" t="s">
        <v>1279</v>
      </c>
      <c r="B1527" s="224" t="s">
        <v>4021</v>
      </c>
      <c r="C1527" s="225" t="s">
        <v>3985</v>
      </c>
      <c r="D1527" s="226" t="s">
        <v>11</v>
      </c>
      <c r="E1527" s="227">
        <v>45.17</v>
      </c>
      <c r="F1527" s="227"/>
      <c r="J1527" s="215"/>
    </row>
    <row r="1528" spans="1:10" ht="12.75" hidden="1" customHeight="1" outlineLevel="1" x14ac:dyDescent="0.2">
      <c r="A1528" s="198" t="s">
        <v>1279</v>
      </c>
      <c r="B1528" s="228" t="s">
        <v>4022</v>
      </c>
      <c r="C1528" s="229" t="s">
        <v>3986</v>
      </c>
      <c r="D1528" s="230" t="s">
        <v>11</v>
      </c>
      <c r="E1528" s="231">
        <v>3.4</v>
      </c>
      <c r="F1528" s="231"/>
      <c r="J1528" s="215"/>
    </row>
    <row r="1529" spans="1:10" ht="12.75" hidden="1" customHeight="1" outlineLevel="1" x14ac:dyDescent="0.2">
      <c r="A1529" s="198" t="s">
        <v>1279</v>
      </c>
      <c r="B1529" s="224" t="s">
        <v>4023</v>
      </c>
      <c r="C1529" s="225" t="s">
        <v>3987</v>
      </c>
      <c r="D1529" s="226" t="s">
        <v>11</v>
      </c>
      <c r="E1529" s="227">
        <v>7.73</v>
      </c>
      <c r="F1529" s="227"/>
      <c r="J1529" s="215"/>
    </row>
    <row r="1530" spans="1:10" ht="12.75" hidden="1" customHeight="1" outlineLevel="1" x14ac:dyDescent="0.2">
      <c r="A1530" s="198" t="s">
        <v>1279</v>
      </c>
      <c r="B1530" s="216" t="s">
        <v>4024</v>
      </c>
      <c r="C1530" s="217" t="s">
        <v>2968</v>
      </c>
      <c r="D1530" s="218"/>
      <c r="E1530" s="219"/>
      <c r="F1530" s="219"/>
      <c r="J1530" s="215"/>
    </row>
    <row r="1531" spans="1:10" ht="12.75" hidden="1" customHeight="1" outlineLevel="1" x14ac:dyDescent="0.2">
      <c r="A1531" s="198" t="s">
        <v>1279</v>
      </c>
      <c r="B1531" s="228" t="s">
        <v>4025</v>
      </c>
      <c r="C1531" s="229" t="s">
        <v>3983</v>
      </c>
      <c r="D1531" s="230" t="s">
        <v>11</v>
      </c>
      <c r="E1531" s="231">
        <v>196.57</v>
      </c>
      <c r="F1531" s="231">
        <v>19.309999999999999</v>
      </c>
      <c r="J1531" s="215"/>
    </row>
    <row r="1532" spans="1:10" ht="12.75" hidden="1" customHeight="1" outlineLevel="1" x14ac:dyDescent="0.2">
      <c r="A1532" s="198" t="s">
        <v>1279</v>
      </c>
      <c r="B1532" s="224" t="s">
        <v>4026</v>
      </c>
      <c r="C1532" s="225" t="s">
        <v>3984</v>
      </c>
      <c r="D1532" s="226" t="s">
        <v>11</v>
      </c>
      <c r="E1532" s="227">
        <v>81.349999999999994</v>
      </c>
      <c r="F1532" s="227"/>
      <c r="J1532" s="215"/>
    </row>
    <row r="1533" spans="1:10" ht="12.75" hidden="1" customHeight="1" outlineLevel="1" x14ac:dyDescent="0.2">
      <c r="A1533" s="198" t="s">
        <v>1279</v>
      </c>
      <c r="B1533" s="228" t="s">
        <v>4027</v>
      </c>
      <c r="C1533" s="229" t="s">
        <v>3985</v>
      </c>
      <c r="D1533" s="230" t="s">
        <v>11</v>
      </c>
      <c r="E1533" s="231">
        <v>56.52</v>
      </c>
      <c r="F1533" s="231"/>
      <c r="J1533" s="215"/>
    </row>
    <row r="1534" spans="1:10" ht="12.75" hidden="1" customHeight="1" outlineLevel="1" x14ac:dyDescent="0.2">
      <c r="A1534" s="198" t="s">
        <v>1279</v>
      </c>
      <c r="B1534" s="224" t="s">
        <v>4028</v>
      </c>
      <c r="C1534" s="225" t="s">
        <v>3986</v>
      </c>
      <c r="D1534" s="226" t="s">
        <v>11</v>
      </c>
      <c r="E1534" s="227">
        <v>3.41</v>
      </c>
      <c r="F1534" s="227"/>
      <c r="J1534" s="215"/>
    </row>
    <row r="1535" spans="1:10" ht="12.75" hidden="1" customHeight="1" outlineLevel="1" x14ac:dyDescent="0.2">
      <c r="A1535" s="198" t="s">
        <v>1279</v>
      </c>
      <c r="B1535" s="228" t="s">
        <v>4029</v>
      </c>
      <c r="C1535" s="229" t="s">
        <v>3987</v>
      </c>
      <c r="D1535" s="230" t="s">
        <v>11</v>
      </c>
      <c r="E1535" s="231">
        <v>8.51</v>
      </c>
      <c r="F1535" s="231"/>
      <c r="J1535" s="215"/>
    </row>
    <row r="1536" spans="1:10" ht="12.75" hidden="1" customHeight="1" outlineLevel="1" x14ac:dyDescent="0.2">
      <c r="A1536" s="198" t="s">
        <v>1279</v>
      </c>
      <c r="B1536" s="216" t="s">
        <v>4030</v>
      </c>
      <c r="C1536" s="217" t="s">
        <v>2969</v>
      </c>
      <c r="D1536" s="218"/>
      <c r="E1536" s="219"/>
      <c r="F1536" s="219"/>
      <c r="J1536" s="215"/>
    </row>
    <row r="1537" spans="1:10" ht="12.75" hidden="1" customHeight="1" outlineLevel="1" x14ac:dyDescent="0.2">
      <c r="A1537" s="198" t="s">
        <v>1279</v>
      </c>
      <c r="B1537" s="224" t="s">
        <v>4031</v>
      </c>
      <c r="C1537" s="225" t="s">
        <v>3983</v>
      </c>
      <c r="D1537" s="226" t="s">
        <v>11</v>
      </c>
      <c r="E1537" s="227">
        <v>164.9</v>
      </c>
      <c r="F1537" s="227"/>
      <c r="J1537" s="215"/>
    </row>
    <row r="1538" spans="1:10" ht="12.75" hidden="1" customHeight="1" outlineLevel="1" x14ac:dyDescent="0.2">
      <c r="A1538" s="198" t="s">
        <v>1279</v>
      </c>
      <c r="B1538" s="228" t="s">
        <v>4032</v>
      </c>
      <c r="C1538" s="229" t="s">
        <v>3984</v>
      </c>
      <c r="D1538" s="230" t="s">
        <v>11</v>
      </c>
      <c r="E1538" s="231">
        <v>79.8</v>
      </c>
      <c r="F1538" s="231"/>
      <c r="J1538" s="215"/>
    </row>
    <row r="1539" spans="1:10" ht="12.75" hidden="1" customHeight="1" outlineLevel="1" x14ac:dyDescent="0.2">
      <c r="A1539" s="198" t="s">
        <v>1279</v>
      </c>
      <c r="B1539" s="224" t="s">
        <v>4033</v>
      </c>
      <c r="C1539" s="225" t="s">
        <v>3985</v>
      </c>
      <c r="D1539" s="226" t="s">
        <v>11</v>
      </c>
      <c r="E1539" s="227">
        <v>45.17</v>
      </c>
      <c r="F1539" s="227"/>
      <c r="J1539" s="215"/>
    </row>
    <row r="1540" spans="1:10" ht="12.75" hidden="1" customHeight="1" outlineLevel="1" x14ac:dyDescent="0.2">
      <c r="A1540" s="198" t="s">
        <v>1279</v>
      </c>
      <c r="B1540" s="228" t="s">
        <v>4034</v>
      </c>
      <c r="C1540" s="229" t="s">
        <v>3986</v>
      </c>
      <c r="D1540" s="230" t="s">
        <v>11</v>
      </c>
      <c r="E1540" s="231">
        <v>3.4</v>
      </c>
      <c r="F1540" s="231"/>
      <c r="J1540" s="215"/>
    </row>
    <row r="1541" spans="1:10" ht="12.75" hidden="1" customHeight="1" outlineLevel="1" x14ac:dyDescent="0.2">
      <c r="A1541" s="198" t="s">
        <v>1279</v>
      </c>
      <c r="B1541" s="224" t="s">
        <v>4035</v>
      </c>
      <c r="C1541" s="225" t="s">
        <v>3987</v>
      </c>
      <c r="D1541" s="226" t="s">
        <v>11</v>
      </c>
      <c r="E1541" s="227">
        <v>7.73</v>
      </c>
      <c r="F1541" s="227"/>
      <c r="J1541" s="215"/>
    </row>
    <row r="1542" spans="1:10" ht="12.75" hidden="1" customHeight="1" outlineLevel="1" x14ac:dyDescent="0.2">
      <c r="A1542" s="198" t="s">
        <v>1279</v>
      </c>
      <c r="B1542" s="216" t="s">
        <v>4036</v>
      </c>
      <c r="C1542" s="217" t="s">
        <v>2970</v>
      </c>
      <c r="D1542" s="218"/>
      <c r="E1542" s="219"/>
      <c r="F1542" s="219"/>
      <c r="J1542" s="215"/>
    </row>
    <row r="1543" spans="1:10" ht="12.75" hidden="1" customHeight="1" outlineLevel="1" x14ac:dyDescent="0.2">
      <c r="A1543" s="198" t="s">
        <v>1279</v>
      </c>
      <c r="B1543" s="228" t="s">
        <v>4037</v>
      </c>
      <c r="C1543" s="229" t="s">
        <v>3983</v>
      </c>
      <c r="D1543" s="230" t="s">
        <v>11</v>
      </c>
      <c r="E1543" s="231">
        <v>196.57</v>
      </c>
      <c r="F1543" s="231">
        <v>19.309999999999999</v>
      </c>
      <c r="J1543" s="215"/>
    </row>
    <row r="1544" spans="1:10" ht="12.75" hidden="1" customHeight="1" outlineLevel="1" x14ac:dyDescent="0.2">
      <c r="A1544" s="198" t="s">
        <v>1279</v>
      </c>
      <c r="B1544" s="224" t="s">
        <v>4038</v>
      </c>
      <c r="C1544" s="225" t="s">
        <v>3984</v>
      </c>
      <c r="D1544" s="226" t="s">
        <v>11</v>
      </c>
      <c r="E1544" s="227">
        <v>81.349999999999994</v>
      </c>
      <c r="F1544" s="227"/>
      <c r="J1544" s="215"/>
    </row>
    <row r="1545" spans="1:10" ht="12.75" hidden="1" customHeight="1" outlineLevel="1" x14ac:dyDescent="0.2">
      <c r="A1545" s="198" t="s">
        <v>1279</v>
      </c>
      <c r="B1545" s="228" t="s">
        <v>4039</v>
      </c>
      <c r="C1545" s="229" t="s">
        <v>3985</v>
      </c>
      <c r="D1545" s="230" t="s">
        <v>11</v>
      </c>
      <c r="E1545" s="231">
        <v>56.52</v>
      </c>
      <c r="F1545" s="231"/>
      <c r="J1545" s="215"/>
    </row>
    <row r="1546" spans="1:10" ht="12.75" hidden="1" customHeight="1" outlineLevel="1" x14ac:dyDescent="0.2">
      <c r="A1546" s="198" t="s">
        <v>1279</v>
      </c>
      <c r="B1546" s="224" t="s">
        <v>4040</v>
      </c>
      <c r="C1546" s="225" t="s">
        <v>3986</v>
      </c>
      <c r="D1546" s="226" t="s">
        <v>11</v>
      </c>
      <c r="E1546" s="227">
        <v>3.41</v>
      </c>
      <c r="F1546" s="227"/>
      <c r="J1546" s="215"/>
    </row>
    <row r="1547" spans="1:10" ht="12.75" hidden="1" customHeight="1" outlineLevel="1" x14ac:dyDescent="0.2">
      <c r="A1547" s="198" t="s">
        <v>1279</v>
      </c>
      <c r="B1547" s="228" t="s">
        <v>4041</v>
      </c>
      <c r="C1547" s="229" t="s">
        <v>3987</v>
      </c>
      <c r="D1547" s="230" t="s">
        <v>11</v>
      </c>
      <c r="E1547" s="231">
        <v>8.51</v>
      </c>
      <c r="F1547" s="231"/>
      <c r="J1547" s="215"/>
    </row>
    <row r="1548" spans="1:10" ht="12.75" hidden="1" customHeight="1" outlineLevel="1" x14ac:dyDescent="0.2">
      <c r="A1548" s="198" t="s">
        <v>1279</v>
      </c>
      <c r="B1548" s="216" t="s">
        <v>4042</v>
      </c>
      <c r="C1548" s="217" t="s">
        <v>2971</v>
      </c>
      <c r="D1548" s="218"/>
      <c r="E1548" s="219"/>
      <c r="F1548" s="219"/>
      <c r="J1548" s="215"/>
    </row>
    <row r="1549" spans="1:10" ht="12.75" hidden="1" customHeight="1" outlineLevel="1" x14ac:dyDescent="0.2">
      <c r="A1549" s="198" t="s">
        <v>1279</v>
      </c>
      <c r="B1549" s="224" t="s">
        <v>4043</v>
      </c>
      <c r="C1549" s="225" t="s">
        <v>3983</v>
      </c>
      <c r="D1549" s="226" t="s">
        <v>11</v>
      </c>
      <c r="E1549" s="227">
        <v>164.9</v>
      </c>
      <c r="F1549" s="227"/>
      <c r="J1549" s="215"/>
    </row>
    <row r="1550" spans="1:10" ht="12.75" hidden="1" customHeight="1" outlineLevel="1" x14ac:dyDescent="0.2">
      <c r="A1550" s="198" t="s">
        <v>1279</v>
      </c>
      <c r="B1550" s="228" t="s">
        <v>4044</v>
      </c>
      <c r="C1550" s="229" t="s">
        <v>3984</v>
      </c>
      <c r="D1550" s="230" t="s">
        <v>11</v>
      </c>
      <c r="E1550" s="231">
        <v>80.19</v>
      </c>
      <c r="F1550" s="231"/>
      <c r="J1550" s="215"/>
    </row>
    <row r="1551" spans="1:10" ht="12.75" hidden="1" customHeight="1" outlineLevel="1" x14ac:dyDescent="0.2">
      <c r="A1551" s="198" t="s">
        <v>1279</v>
      </c>
      <c r="B1551" s="224" t="s">
        <v>4045</v>
      </c>
      <c r="C1551" s="225" t="s">
        <v>3985</v>
      </c>
      <c r="D1551" s="226" t="s">
        <v>11</v>
      </c>
      <c r="E1551" s="227">
        <v>45.17</v>
      </c>
      <c r="F1551" s="227"/>
      <c r="J1551" s="215"/>
    </row>
    <row r="1552" spans="1:10" ht="12.75" hidden="1" customHeight="1" outlineLevel="1" x14ac:dyDescent="0.2">
      <c r="A1552" s="198" t="s">
        <v>1279</v>
      </c>
      <c r="B1552" s="228" t="s">
        <v>4046</v>
      </c>
      <c r="C1552" s="229" t="s">
        <v>3986</v>
      </c>
      <c r="D1552" s="230" t="s">
        <v>11</v>
      </c>
      <c r="E1552" s="231">
        <v>3.4</v>
      </c>
      <c r="F1552" s="231"/>
      <c r="J1552" s="215"/>
    </row>
    <row r="1553" spans="1:10" ht="12.75" hidden="1" customHeight="1" outlineLevel="1" x14ac:dyDescent="0.2">
      <c r="A1553" s="198" t="s">
        <v>1279</v>
      </c>
      <c r="B1553" s="224" t="s">
        <v>4047</v>
      </c>
      <c r="C1553" s="225" t="s">
        <v>3987</v>
      </c>
      <c r="D1553" s="226" t="s">
        <v>11</v>
      </c>
      <c r="E1553" s="227">
        <v>7.73</v>
      </c>
      <c r="F1553" s="227"/>
      <c r="J1553" s="215"/>
    </row>
    <row r="1554" spans="1:10" ht="12.75" hidden="1" customHeight="1" outlineLevel="1" x14ac:dyDescent="0.2">
      <c r="A1554" s="198" t="s">
        <v>1279</v>
      </c>
      <c r="B1554" s="216" t="s">
        <v>4048</v>
      </c>
      <c r="C1554" s="217" t="s">
        <v>2972</v>
      </c>
      <c r="D1554" s="218"/>
      <c r="E1554" s="219"/>
      <c r="F1554" s="219"/>
      <c r="J1554" s="215"/>
    </row>
    <row r="1555" spans="1:10" ht="12.75" hidden="1" customHeight="1" outlineLevel="1" x14ac:dyDescent="0.2">
      <c r="A1555" s="198" t="s">
        <v>1279</v>
      </c>
      <c r="B1555" s="228" t="s">
        <v>4049</v>
      </c>
      <c r="C1555" s="229" t="s">
        <v>3984</v>
      </c>
      <c r="D1555" s="230" t="s">
        <v>11</v>
      </c>
      <c r="E1555" s="231">
        <v>207.02</v>
      </c>
      <c r="F1555" s="231">
        <f>70.59+108.12</f>
        <v>178.71</v>
      </c>
      <c r="J1555" s="215"/>
    </row>
    <row r="1556" spans="1:10" ht="12.75" hidden="1" customHeight="1" outlineLevel="1" x14ac:dyDescent="0.2">
      <c r="A1556" s="198" t="s">
        <v>1279</v>
      </c>
      <c r="B1556" s="224" t="s">
        <v>4050</v>
      </c>
      <c r="C1556" s="225" t="s">
        <v>3985</v>
      </c>
      <c r="D1556" s="226" t="s">
        <v>11</v>
      </c>
      <c r="E1556" s="227">
        <v>153.56</v>
      </c>
      <c r="F1556" s="227">
        <v>109.07</v>
      </c>
      <c r="J1556" s="215"/>
    </row>
    <row r="1557" spans="1:10" ht="12.75" hidden="1" customHeight="1" outlineLevel="1" x14ac:dyDescent="0.2">
      <c r="A1557" s="198" t="s">
        <v>1279</v>
      </c>
      <c r="B1557" s="228" t="s">
        <v>4051</v>
      </c>
      <c r="C1557" s="229" t="s">
        <v>3986</v>
      </c>
      <c r="D1557" s="230" t="s">
        <v>11</v>
      </c>
      <c r="E1557" s="231">
        <v>3.82</v>
      </c>
      <c r="F1557" s="231"/>
      <c r="J1557" s="215"/>
    </row>
    <row r="1558" spans="1:10" ht="12.75" hidden="1" customHeight="1" outlineLevel="1" x14ac:dyDescent="0.2">
      <c r="A1558" s="198" t="s">
        <v>1279</v>
      </c>
      <c r="B1558" s="224" t="s">
        <v>4052</v>
      </c>
      <c r="C1558" s="225" t="s">
        <v>3987</v>
      </c>
      <c r="D1558" s="226" t="s">
        <v>11</v>
      </c>
      <c r="E1558" s="227">
        <v>5.5</v>
      </c>
      <c r="F1558" s="227"/>
      <c r="J1558" s="215"/>
    </row>
    <row r="1559" spans="1:10" ht="12.75" hidden="1" customHeight="1" outlineLevel="1" x14ac:dyDescent="0.2">
      <c r="A1559" s="198" t="s">
        <v>1279</v>
      </c>
      <c r="B1559" s="216" t="s">
        <v>4053</v>
      </c>
      <c r="C1559" s="217" t="s">
        <v>2973</v>
      </c>
      <c r="D1559" s="218"/>
      <c r="E1559" s="219"/>
      <c r="F1559" s="219"/>
      <c r="J1559" s="215"/>
    </row>
    <row r="1560" spans="1:10" ht="12.75" hidden="1" customHeight="1" outlineLevel="1" x14ac:dyDescent="0.2">
      <c r="A1560" s="198" t="s">
        <v>1279</v>
      </c>
      <c r="B1560" s="228" t="s">
        <v>4054</v>
      </c>
      <c r="C1560" s="229" t="s">
        <v>3983</v>
      </c>
      <c r="D1560" s="230" t="s">
        <v>11</v>
      </c>
      <c r="E1560" s="231">
        <v>92.69</v>
      </c>
      <c r="F1560" s="231"/>
      <c r="J1560" s="215"/>
    </row>
    <row r="1561" spans="1:10" ht="12.75" hidden="1" customHeight="1" outlineLevel="1" x14ac:dyDescent="0.2">
      <c r="A1561" s="198" t="s">
        <v>1279</v>
      </c>
      <c r="B1561" s="224" t="s">
        <v>4055</v>
      </c>
      <c r="C1561" s="225" t="s">
        <v>3984</v>
      </c>
      <c r="D1561" s="226" t="s">
        <v>11</v>
      </c>
      <c r="E1561" s="227">
        <v>43.49</v>
      </c>
      <c r="F1561" s="227"/>
      <c r="J1561" s="215"/>
    </row>
    <row r="1562" spans="1:10" ht="12.75" hidden="1" customHeight="1" outlineLevel="1" x14ac:dyDescent="0.2">
      <c r="A1562" s="198" t="s">
        <v>1279</v>
      </c>
      <c r="B1562" s="228" t="s">
        <v>4056</v>
      </c>
      <c r="C1562" s="229" t="s">
        <v>3985</v>
      </c>
      <c r="D1562" s="230" t="s">
        <v>11</v>
      </c>
      <c r="E1562" s="231">
        <v>109.07</v>
      </c>
      <c r="F1562" s="231"/>
      <c r="J1562" s="215"/>
    </row>
    <row r="1563" spans="1:10" ht="12.75" hidden="1" customHeight="1" outlineLevel="1" x14ac:dyDescent="0.2">
      <c r="A1563" s="198" t="s">
        <v>1279</v>
      </c>
      <c r="B1563" s="224" t="s">
        <v>4057</v>
      </c>
      <c r="C1563" s="225" t="s">
        <v>3986</v>
      </c>
      <c r="D1563" s="226" t="s">
        <v>11</v>
      </c>
      <c r="E1563" s="227">
        <v>3.4</v>
      </c>
      <c r="F1563" s="227"/>
      <c r="J1563" s="215"/>
    </row>
    <row r="1564" spans="1:10" ht="12.75" hidden="1" customHeight="1" outlineLevel="1" x14ac:dyDescent="0.2">
      <c r="A1564" s="198" t="s">
        <v>1279</v>
      </c>
      <c r="B1564" s="228" t="s">
        <v>4058</v>
      </c>
      <c r="C1564" s="229" t="s">
        <v>3987</v>
      </c>
      <c r="D1564" s="230" t="s">
        <v>11</v>
      </c>
      <c r="E1564" s="231">
        <v>4.3600000000000003</v>
      </c>
      <c r="F1564" s="231"/>
      <c r="J1564" s="215"/>
    </row>
    <row r="1565" spans="1:10" ht="12.75" hidden="1" customHeight="1" outlineLevel="1" x14ac:dyDescent="0.2">
      <c r="A1565" s="198" t="s">
        <v>1279</v>
      </c>
      <c r="B1565" s="216" t="s">
        <v>4059</v>
      </c>
      <c r="C1565" s="217" t="s">
        <v>2974</v>
      </c>
      <c r="D1565" s="218"/>
      <c r="E1565" s="219"/>
      <c r="F1565" s="219"/>
      <c r="J1565" s="215"/>
    </row>
    <row r="1566" spans="1:10" ht="12.75" hidden="1" customHeight="1" outlineLevel="1" x14ac:dyDescent="0.2">
      <c r="A1566" s="198" t="s">
        <v>1279</v>
      </c>
      <c r="B1566" s="224" t="s">
        <v>4060</v>
      </c>
      <c r="C1566" s="225" t="s">
        <v>3983</v>
      </c>
      <c r="D1566" s="226" t="s">
        <v>11</v>
      </c>
      <c r="E1566" s="227">
        <v>73.040000000000006</v>
      </c>
      <c r="F1566" s="227"/>
      <c r="J1566" s="215"/>
    </row>
    <row r="1567" spans="1:10" ht="12.75" hidden="1" customHeight="1" outlineLevel="1" x14ac:dyDescent="0.2">
      <c r="A1567" s="198" t="s">
        <v>1279</v>
      </c>
      <c r="B1567" s="228" t="s">
        <v>4061</v>
      </c>
      <c r="C1567" s="229" t="s">
        <v>3984</v>
      </c>
      <c r="D1567" s="230" t="s">
        <v>11</v>
      </c>
      <c r="E1567" s="231">
        <v>46.22</v>
      </c>
      <c r="F1567" s="231"/>
      <c r="J1567" s="215"/>
    </row>
    <row r="1568" spans="1:10" ht="12.75" hidden="1" customHeight="1" outlineLevel="1" x14ac:dyDescent="0.2">
      <c r="A1568" s="198" t="s">
        <v>1279</v>
      </c>
      <c r="B1568" s="224" t="s">
        <v>4062</v>
      </c>
      <c r="C1568" s="225" t="s">
        <v>3985</v>
      </c>
      <c r="D1568" s="226" t="s">
        <v>11</v>
      </c>
      <c r="E1568" s="227">
        <v>40.18</v>
      </c>
      <c r="F1568" s="227"/>
      <c r="J1568" s="215"/>
    </row>
    <row r="1569" spans="1:10" ht="12.75" hidden="1" customHeight="1" outlineLevel="1" x14ac:dyDescent="0.2">
      <c r="A1569" s="198" t="s">
        <v>1279</v>
      </c>
      <c r="B1569" s="228" t="s">
        <v>4063</v>
      </c>
      <c r="C1569" s="229" t="s">
        <v>3986</v>
      </c>
      <c r="D1569" s="230" t="s">
        <v>11</v>
      </c>
      <c r="E1569" s="231">
        <v>3.4</v>
      </c>
      <c r="F1569" s="231"/>
      <c r="J1569" s="215"/>
    </row>
    <row r="1570" spans="1:10" ht="12.75" hidden="1" customHeight="1" outlineLevel="1" x14ac:dyDescent="0.2">
      <c r="A1570" s="198" t="s">
        <v>1279</v>
      </c>
      <c r="B1570" s="224" t="s">
        <v>4064</v>
      </c>
      <c r="C1570" s="225" t="s">
        <v>3987</v>
      </c>
      <c r="D1570" s="226" t="s">
        <v>11</v>
      </c>
      <c r="E1570" s="227">
        <v>3.74</v>
      </c>
      <c r="F1570" s="227"/>
      <c r="J1570" s="215"/>
    </row>
    <row r="1571" spans="1:10" ht="12.75" hidden="1" customHeight="1" outlineLevel="1" x14ac:dyDescent="0.2">
      <c r="A1571" s="198" t="s">
        <v>1279</v>
      </c>
      <c r="B1571" s="216" t="s">
        <v>4065</v>
      </c>
      <c r="C1571" s="217" t="s">
        <v>2975</v>
      </c>
      <c r="D1571" s="218"/>
      <c r="E1571" s="219"/>
      <c r="F1571" s="219"/>
      <c r="J1571" s="215"/>
    </row>
    <row r="1572" spans="1:10" ht="12.75" hidden="1" customHeight="1" outlineLevel="1" x14ac:dyDescent="0.2">
      <c r="A1572" s="198" t="s">
        <v>1279</v>
      </c>
      <c r="B1572" s="228" t="s">
        <v>4066</v>
      </c>
      <c r="C1572" s="229" t="s">
        <v>3983</v>
      </c>
      <c r="D1572" s="230" t="s">
        <v>11</v>
      </c>
      <c r="E1572" s="231">
        <v>92.7</v>
      </c>
      <c r="F1572" s="231">
        <v>39.61</v>
      </c>
      <c r="J1572" s="215"/>
    </row>
    <row r="1573" spans="1:10" ht="12.75" hidden="1" customHeight="1" outlineLevel="1" x14ac:dyDescent="0.2">
      <c r="A1573" s="198" t="s">
        <v>1279</v>
      </c>
      <c r="B1573" s="224" t="s">
        <v>4067</v>
      </c>
      <c r="C1573" s="225" t="s">
        <v>3984</v>
      </c>
      <c r="D1573" s="226" t="s">
        <v>11</v>
      </c>
      <c r="E1573" s="227">
        <v>46.87</v>
      </c>
      <c r="F1573" s="227"/>
      <c r="J1573" s="215"/>
    </row>
    <row r="1574" spans="1:10" ht="12.75" hidden="1" customHeight="1" outlineLevel="1" x14ac:dyDescent="0.2">
      <c r="A1574" s="198" t="s">
        <v>1279</v>
      </c>
      <c r="B1574" s="228" t="s">
        <v>4068</v>
      </c>
      <c r="C1574" s="229" t="s">
        <v>3985</v>
      </c>
      <c r="D1574" s="230" t="s">
        <v>11</v>
      </c>
      <c r="E1574" s="231">
        <v>47.19</v>
      </c>
      <c r="F1574" s="231"/>
      <c r="J1574" s="215"/>
    </row>
    <row r="1575" spans="1:10" ht="12.75" hidden="1" customHeight="1" outlineLevel="1" x14ac:dyDescent="0.2">
      <c r="A1575" s="198" t="s">
        <v>1279</v>
      </c>
      <c r="B1575" s="224" t="s">
        <v>4069</v>
      </c>
      <c r="C1575" s="225" t="s">
        <v>3986</v>
      </c>
      <c r="D1575" s="226" t="s">
        <v>11</v>
      </c>
      <c r="E1575" s="227">
        <v>3.4</v>
      </c>
      <c r="F1575" s="227"/>
      <c r="J1575" s="215"/>
    </row>
    <row r="1576" spans="1:10" ht="12.75" hidden="1" customHeight="1" outlineLevel="1" x14ac:dyDescent="0.2">
      <c r="A1576" s="198" t="s">
        <v>1279</v>
      </c>
      <c r="B1576" s="228" t="s">
        <v>4070</v>
      </c>
      <c r="C1576" s="229" t="s">
        <v>3987</v>
      </c>
      <c r="D1576" s="230" t="s">
        <v>11</v>
      </c>
      <c r="E1576" s="231">
        <v>4.42</v>
      </c>
      <c r="F1576" s="231"/>
      <c r="J1576" s="215"/>
    </row>
    <row r="1577" spans="1:10" ht="12.75" hidden="1" customHeight="1" outlineLevel="1" x14ac:dyDescent="0.2">
      <c r="A1577" s="198" t="s">
        <v>1279</v>
      </c>
      <c r="B1577" s="216" t="s">
        <v>4071</v>
      </c>
      <c r="C1577" s="217" t="s">
        <v>2976</v>
      </c>
      <c r="D1577" s="218"/>
      <c r="E1577" s="219"/>
      <c r="F1577" s="219"/>
      <c r="J1577" s="215"/>
    </row>
    <row r="1578" spans="1:10" ht="12.75" hidden="1" customHeight="1" outlineLevel="1" x14ac:dyDescent="0.2">
      <c r="A1578" s="198" t="s">
        <v>1279</v>
      </c>
      <c r="B1578" s="224" t="s">
        <v>4072</v>
      </c>
      <c r="C1578" s="225" t="s">
        <v>3983</v>
      </c>
      <c r="D1578" s="226" t="s">
        <v>11</v>
      </c>
      <c r="E1578" s="227">
        <v>73.040000000000006</v>
      </c>
      <c r="F1578" s="227"/>
      <c r="J1578" s="215"/>
    </row>
    <row r="1579" spans="1:10" ht="12.75" hidden="1" customHeight="1" outlineLevel="1" x14ac:dyDescent="0.2">
      <c r="A1579" s="198" t="s">
        <v>1279</v>
      </c>
      <c r="B1579" s="228" t="s">
        <v>4073</v>
      </c>
      <c r="C1579" s="229" t="s">
        <v>3984</v>
      </c>
      <c r="D1579" s="230" t="s">
        <v>11</v>
      </c>
      <c r="E1579" s="231">
        <v>46.95</v>
      </c>
      <c r="F1579" s="231"/>
      <c r="J1579" s="215"/>
    </row>
    <row r="1580" spans="1:10" ht="12.75" hidden="1" customHeight="1" outlineLevel="1" x14ac:dyDescent="0.2">
      <c r="A1580" s="198" t="s">
        <v>1279</v>
      </c>
      <c r="B1580" s="224" t="s">
        <v>4074</v>
      </c>
      <c r="C1580" s="225" t="s">
        <v>3985</v>
      </c>
      <c r="D1580" s="226" t="s">
        <v>11</v>
      </c>
      <c r="E1580" s="227">
        <v>40.159999999999997</v>
      </c>
      <c r="F1580" s="227"/>
      <c r="J1580" s="215"/>
    </row>
    <row r="1581" spans="1:10" ht="12.75" hidden="1" customHeight="1" outlineLevel="1" x14ac:dyDescent="0.2">
      <c r="A1581" s="198" t="s">
        <v>1279</v>
      </c>
      <c r="B1581" s="228" t="s">
        <v>4075</v>
      </c>
      <c r="C1581" s="229" t="s">
        <v>3986</v>
      </c>
      <c r="D1581" s="230" t="s">
        <v>11</v>
      </c>
      <c r="E1581" s="231">
        <v>3.82</v>
      </c>
      <c r="F1581" s="231"/>
      <c r="J1581" s="215"/>
    </row>
    <row r="1582" spans="1:10" ht="12.75" hidden="1" customHeight="1" outlineLevel="1" x14ac:dyDescent="0.2">
      <c r="A1582" s="198" t="s">
        <v>1279</v>
      </c>
      <c r="B1582" s="224" t="s">
        <v>4076</v>
      </c>
      <c r="C1582" s="225" t="s">
        <v>3987</v>
      </c>
      <c r="D1582" s="226" t="s">
        <v>11</v>
      </c>
      <c r="E1582" s="227">
        <v>3.74</v>
      </c>
      <c r="F1582" s="227"/>
      <c r="J1582" s="215"/>
    </row>
    <row r="1583" spans="1:10" ht="12.75" hidden="1" customHeight="1" outlineLevel="1" x14ac:dyDescent="0.2">
      <c r="A1583" s="198" t="s">
        <v>1279</v>
      </c>
      <c r="B1583" s="216" t="s">
        <v>4077</v>
      </c>
      <c r="C1583" s="217" t="s">
        <v>2978</v>
      </c>
      <c r="D1583" s="218"/>
      <c r="E1583" s="219"/>
      <c r="F1583" s="219"/>
      <c r="G1583" s="198" t="s">
        <v>6970</v>
      </c>
      <c r="J1583" s="215"/>
    </row>
    <row r="1584" spans="1:10" ht="12.75" hidden="1" customHeight="1" outlineLevel="1" x14ac:dyDescent="0.2">
      <c r="A1584" s="198" t="s">
        <v>1279</v>
      </c>
      <c r="B1584" s="228" t="s">
        <v>4078</v>
      </c>
      <c r="C1584" s="229" t="s">
        <v>3984</v>
      </c>
      <c r="D1584" s="230" t="s">
        <v>11</v>
      </c>
      <c r="E1584" s="231">
        <v>30.74</v>
      </c>
      <c r="F1584" s="231">
        <v>10.11</v>
      </c>
      <c r="G1584" s="198">
        <v>4.0999999999999996</v>
      </c>
      <c r="J1584" s="215"/>
    </row>
    <row r="1585" spans="1:10" ht="12.75" hidden="1" customHeight="1" outlineLevel="1" x14ac:dyDescent="0.2">
      <c r="A1585" s="198" t="s">
        <v>1279</v>
      </c>
      <c r="B1585" s="224" t="s">
        <v>4079</v>
      </c>
      <c r="C1585" s="225" t="s">
        <v>3985</v>
      </c>
      <c r="D1585" s="226" t="s">
        <v>11</v>
      </c>
      <c r="E1585" s="227">
        <v>88.84</v>
      </c>
      <c r="F1585" s="227">
        <v>46.07</v>
      </c>
      <c r="G1585" s="198">
        <v>80.849999999999994</v>
      </c>
      <c r="J1585" s="215"/>
    </row>
    <row r="1586" spans="1:10" ht="12.75" hidden="1" customHeight="1" outlineLevel="1" x14ac:dyDescent="0.2">
      <c r="A1586" s="198" t="s">
        <v>1279</v>
      </c>
      <c r="B1586" s="228" t="s">
        <v>4080</v>
      </c>
      <c r="C1586" s="229" t="s">
        <v>3986</v>
      </c>
      <c r="D1586" s="230" t="s">
        <v>11</v>
      </c>
      <c r="E1586" s="231">
        <v>5.32</v>
      </c>
      <c r="F1586" s="231"/>
      <c r="J1586" s="215"/>
    </row>
    <row r="1587" spans="1:10" ht="12.75" hidden="1" customHeight="1" outlineLevel="1" x14ac:dyDescent="0.2">
      <c r="A1587" s="198" t="s">
        <v>1279</v>
      </c>
      <c r="B1587" s="224" t="s">
        <v>4081</v>
      </c>
      <c r="C1587" s="225" t="s">
        <v>3987</v>
      </c>
      <c r="D1587" s="226" t="s">
        <v>11</v>
      </c>
      <c r="E1587" s="227">
        <v>1.62</v>
      </c>
      <c r="F1587" s="227"/>
      <c r="J1587" s="215"/>
    </row>
    <row r="1588" spans="1:10" ht="12.75" hidden="1" customHeight="1" outlineLevel="1" x14ac:dyDescent="0.2">
      <c r="A1588" s="198" t="s">
        <v>1279</v>
      </c>
      <c r="B1588" s="216" t="s">
        <v>4082</v>
      </c>
      <c r="C1588" s="217" t="s">
        <v>2980</v>
      </c>
      <c r="D1588" s="218"/>
      <c r="E1588" s="219"/>
      <c r="F1588" s="219"/>
      <c r="J1588" s="215"/>
    </row>
    <row r="1589" spans="1:10" ht="12.75" hidden="1" customHeight="1" outlineLevel="1" x14ac:dyDescent="0.2">
      <c r="A1589" s="198" t="s">
        <v>1279</v>
      </c>
      <c r="B1589" s="228" t="s">
        <v>4083</v>
      </c>
      <c r="C1589" s="229" t="s">
        <v>3984</v>
      </c>
      <c r="D1589" s="230" t="s">
        <v>11</v>
      </c>
      <c r="E1589" s="231">
        <v>178.62</v>
      </c>
      <c r="F1589" s="231"/>
      <c r="J1589" s="215"/>
    </row>
    <row r="1590" spans="1:10" ht="12.75" hidden="1" customHeight="1" outlineLevel="1" x14ac:dyDescent="0.2">
      <c r="A1590" s="198" t="s">
        <v>1279</v>
      </c>
      <c r="B1590" s="224" t="s">
        <v>4084</v>
      </c>
      <c r="C1590" s="225" t="s">
        <v>3985</v>
      </c>
      <c r="D1590" s="226" t="s">
        <v>11</v>
      </c>
      <c r="E1590" s="227">
        <v>1.48</v>
      </c>
      <c r="F1590" s="227"/>
      <c r="J1590" s="215"/>
    </row>
    <row r="1591" spans="1:10" ht="12.75" hidden="1" customHeight="1" outlineLevel="1" x14ac:dyDescent="0.2">
      <c r="A1591" s="198" t="s">
        <v>1279</v>
      </c>
      <c r="B1591" s="228" t="s">
        <v>4085</v>
      </c>
      <c r="C1591" s="229" t="s">
        <v>3987</v>
      </c>
      <c r="D1591" s="230" t="s">
        <v>11</v>
      </c>
      <c r="E1591" s="231">
        <v>0.32</v>
      </c>
      <c r="F1591" s="231"/>
      <c r="J1591" s="215"/>
    </row>
    <row r="1592" spans="1:10" ht="12.75" hidden="1" customHeight="1" outlineLevel="1" x14ac:dyDescent="0.2">
      <c r="A1592" s="198" t="s">
        <v>1279</v>
      </c>
      <c r="B1592" s="216" t="s">
        <v>4086</v>
      </c>
      <c r="C1592" s="217" t="s">
        <v>2983</v>
      </c>
      <c r="D1592" s="218"/>
      <c r="E1592" s="219"/>
      <c r="F1592" s="219"/>
      <c r="J1592" s="215"/>
    </row>
    <row r="1593" spans="1:10" ht="12.75" hidden="1" customHeight="1" outlineLevel="1" x14ac:dyDescent="0.2">
      <c r="A1593" s="198" t="s">
        <v>1279</v>
      </c>
      <c r="B1593" s="224" t="s">
        <v>4087</v>
      </c>
      <c r="C1593" s="225" t="s">
        <v>3984</v>
      </c>
      <c r="D1593" s="226" t="s">
        <v>11</v>
      </c>
      <c r="E1593" s="227">
        <v>83.73</v>
      </c>
      <c r="F1593" s="227"/>
      <c r="J1593" s="215"/>
    </row>
    <row r="1594" spans="1:10" ht="12.75" hidden="1" customHeight="1" outlineLevel="1" x14ac:dyDescent="0.2">
      <c r="A1594" s="198" t="s">
        <v>1279</v>
      </c>
      <c r="B1594" s="216" t="s">
        <v>4088</v>
      </c>
      <c r="C1594" s="217" t="s">
        <v>3228</v>
      </c>
      <c r="D1594" s="218"/>
      <c r="E1594" s="219"/>
      <c r="F1594" s="219"/>
      <c r="J1594" s="215"/>
    </row>
    <row r="1595" spans="1:10" ht="12.75" hidden="1" customHeight="1" outlineLevel="1" x14ac:dyDescent="0.2">
      <c r="A1595" s="198" t="s">
        <v>1279</v>
      </c>
      <c r="B1595" s="228" t="s">
        <v>4089</v>
      </c>
      <c r="C1595" s="229" t="s">
        <v>3988</v>
      </c>
      <c r="D1595" s="230" t="s">
        <v>11</v>
      </c>
      <c r="E1595" s="231">
        <v>96.3</v>
      </c>
      <c r="F1595" s="231"/>
      <c r="J1595" s="215"/>
    </row>
    <row r="1596" spans="1:10" collapsed="1" x14ac:dyDescent="0.2">
      <c r="B1596" s="515" t="s">
        <v>1640</v>
      </c>
      <c r="C1596" s="516" t="s">
        <v>4093</v>
      </c>
      <c r="D1596" s="521"/>
      <c r="E1596" s="520">
        <f>SUM(E1598:E1599)</f>
        <v>12.75</v>
      </c>
      <c r="F1596" s="520"/>
      <c r="G1596" s="516"/>
      <c r="H1596" s="234">
        <f>SUM(H1597:H1599)</f>
        <v>12.75</v>
      </c>
      <c r="I1596" s="242" t="str">
        <f>IF(H1596=E1596,"OKAY","REVER")</f>
        <v>OKAY</v>
      </c>
      <c r="J1596" s="405"/>
    </row>
    <row r="1597" spans="1:10" ht="25.5" hidden="1" customHeight="1" outlineLevel="1" x14ac:dyDescent="0.2">
      <c r="A1597" s="198" t="s">
        <v>1278</v>
      </c>
      <c r="B1597" s="216" t="s">
        <v>1642</v>
      </c>
      <c r="C1597" s="217" t="s">
        <v>2955</v>
      </c>
      <c r="D1597" s="218"/>
      <c r="E1597" s="219"/>
      <c r="F1597" s="219"/>
      <c r="G1597" s="225" t="s">
        <v>4094</v>
      </c>
      <c r="H1597" s="235">
        <f>SUMIF($C:$C,G1597,$E:$E)</f>
        <v>5.38</v>
      </c>
      <c r="J1597" s="215"/>
    </row>
    <row r="1598" spans="1:10" ht="25.5" hidden="1" customHeight="1" outlineLevel="1" x14ac:dyDescent="0.2">
      <c r="A1598" s="198" t="s">
        <v>1278</v>
      </c>
      <c r="B1598" s="224" t="s">
        <v>1643</v>
      </c>
      <c r="C1598" s="225" t="s">
        <v>4094</v>
      </c>
      <c r="D1598" s="226" t="s">
        <v>11</v>
      </c>
      <c r="E1598" s="227">
        <v>5.38</v>
      </c>
      <c r="F1598" s="227" t="s">
        <v>4096</v>
      </c>
      <c r="G1598" s="229" t="s">
        <v>4095</v>
      </c>
      <c r="H1598" s="235">
        <f>SUMIF($C:$C,G1598,$E:$E)</f>
        <v>7.37</v>
      </c>
      <c r="J1598" s="215"/>
    </row>
    <row r="1599" spans="1:10" ht="25.5" hidden="1" customHeight="1" outlineLevel="1" x14ac:dyDescent="0.2">
      <c r="A1599" s="198" t="s">
        <v>1278</v>
      </c>
      <c r="B1599" s="228" t="s">
        <v>2057</v>
      </c>
      <c r="C1599" s="229" t="s">
        <v>4095</v>
      </c>
      <c r="D1599" s="230" t="s">
        <v>11</v>
      </c>
      <c r="E1599" s="231">
        <v>7.37</v>
      </c>
      <c r="F1599" s="231" t="s">
        <v>4096</v>
      </c>
      <c r="J1599" s="215"/>
    </row>
    <row r="1600" spans="1:10" collapsed="1" x14ac:dyDescent="0.2">
      <c r="B1600" s="515" t="s">
        <v>1644</v>
      </c>
      <c r="C1600" s="516" t="s">
        <v>1633</v>
      </c>
      <c r="D1600" s="515"/>
      <c r="E1600" s="520">
        <f>SUM(E1602:E1730)</f>
        <v>2750.0499999999988</v>
      </c>
      <c r="F1600" s="520"/>
      <c r="G1600" s="516"/>
      <c r="H1600" s="234">
        <f>SUM(H1601:H1640)</f>
        <v>2750.05</v>
      </c>
      <c r="I1600" s="242" t="str">
        <f>IF(H1600=E1600,"OKAY","REVER")</f>
        <v>OKAY</v>
      </c>
      <c r="J1600" s="405"/>
    </row>
    <row r="1601" spans="1:10" ht="12.75" hidden="1" customHeight="1" outlineLevel="1" x14ac:dyDescent="0.2">
      <c r="A1601" s="198" t="s">
        <v>1278</v>
      </c>
      <c r="B1601" s="216" t="s">
        <v>1646</v>
      </c>
      <c r="C1601" s="217" t="s">
        <v>2955</v>
      </c>
      <c r="D1601" s="218"/>
      <c r="E1601" s="219"/>
      <c r="F1601" s="219"/>
      <c r="G1601" s="229" t="s">
        <v>4099</v>
      </c>
      <c r="H1601" s="235">
        <f t="shared" ref="H1601:H1640" si="44">SUMIF($C:$C,G1601,$E:$E)</f>
        <v>5.84</v>
      </c>
      <c r="I1601" s="241" t="s">
        <v>1727</v>
      </c>
      <c r="J1601" s="552"/>
    </row>
    <row r="1602" spans="1:10" ht="12.75" hidden="1" customHeight="1" outlineLevel="1" x14ac:dyDescent="0.2">
      <c r="A1602" s="198" t="s">
        <v>1278</v>
      </c>
      <c r="B1602" s="224" t="s">
        <v>1647</v>
      </c>
      <c r="C1602" s="225" t="s">
        <v>4099</v>
      </c>
      <c r="D1602" s="226" t="s">
        <v>11</v>
      </c>
      <c r="E1602" s="227">
        <v>5.84</v>
      </c>
      <c r="F1602" s="227"/>
      <c r="G1602" s="225" t="s">
        <v>4213</v>
      </c>
      <c r="H1602" s="235">
        <f t="shared" si="44"/>
        <v>10.36</v>
      </c>
      <c r="I1602" s="241" t="s">
        <v>3182</v>
      </c>
      <c r="J1602" s="553" t="s">
        <v>4232</v>
      </c>
    </row>
    <row r="1603" spans="1:10" ht="25.5" hidden="1" customHeight="1" outlineLevel="1" x14ac:dyDescent="0.2">
      <c r="A1603" s="198" t="s">
        <v>1278</v>
      </c>
      <c r="B1603" s="228" t="s">
        <v>1947</v>
      </c>
      <c r="C1603" s="229" t="s">
        <v>4100</v>
      </c>
      <c r="D1603" s="230" t="s">
        <v>11</v>
      </c>
      <c r="E1603" s="231">
        <v>93.92</v>
      </c>
      <c r="F1603" s="231"/>
      <c r="G1603" s="229" t="s">
        <v>4133</v>
      </c>
      <c r="H1603" s="235">
        <f t="shared" si="44"/>
        <v>327.84</v>
      </c>
      <c r="I1603" s="241" t="s">
        <v>1727</v>
      </c>
      <c r="J1603" s="553" t="s">
        <v>4233</v>
      </c>
    </row>
    <row r="1604" spans="1:10" ht="25.5" hidden="1" customHeight="1" outlineLevel="1" x14ac:dyDescent="0.2">
      <c r="A1604" s="198" t="s">
        <v>1278</v>
      </c>
      <c r="B1604" s="224" t="s">
        <v>1951</v>
      </c>
      <c r="C1604" s="225" t="s">
        <v>4101</v>
      </c>
      <c r="D1604" s="226" t="s">
        <v>11</v>
      </c>
      <c r="E1604" s="227">
        <v>4.17</v>
      </c>
      <c r="F1604" s="227"/>
      <c r="G1604" s="225" t="s">
        <v>4141</v>
      </c>
      <c r="H1604" s="235">
        <f t="shared" si="44"/>
        <v>76.449999999999989</v>
      </c>
      <c r="I1604" s="241" t="s">
        <v>1727</v>
      </c>
      <c r="J1604" s="553" t="s">
        <v>4233</v>
      </c>
    </row>
    <row r="1605" spans="1:10" ht="25.5" hidden="1" customHeight="1" outlineLevel="1" x14ac:dyDescent="0.2">
      <c r="A1605" s="198" t="s">
        <v>1278</v>
      </c>
      <c r="B1605" s="228" t="s">
        <v>1952</v>
      </c>
      <c r="C1605" s="229" t="s">
        <v>4102</v>
      </c>
      <c r="D1605" s="230" t="s">
        <v>11</v>
      </c>
      <c r="E1605" s="231">
        <v>5.38</v>
      </c>
      <c r="F1605" s="231"/>
      <c r="G1605" s="229" t="s">
        <v>4108</v>
      </c>
      <c r="H1605" s="235">
        <f t="shared" si="44"/>
        <v>12.54</v>
      </c>
      <c r="I1605" s="241" t="s">
        <v>1727</v>
      </c>
      <c r="J1605" s="553" t="s">
        <v>4237</v>
      </c>
    </row>
    <row r="1606" spans="1:10" ht="25.5" hidden="1" customHeight="1" outlineLevel="1" x14ac:dyDescent="0.2">
      <c r="A1606" s="198" t="s">
        <v>1278</v>
      </c>
      <c r="B1606" s="224" t="s">
        <v>2697</v>
      </c>
      <c r="C1606" s="225" t="s">
        <v>4103</v>
      </c>
      <c r="D1606" s="226" t="s">
        <v>11</v>
      </c>
      <c r="E1606" s="227">
        <v>34.75</v>
      </c>
      <c r="F1606" s="227"/>
      <c r="G1606" s="225" t="s">
        <v>4100</v>
      </c>
      <c r="H1606" s="235">
        <f t="shared" si="44"/>
        <v>93.92</v>
      </c>
      <c r="I1606" s="241" t="s">
        <v>1727</v>
      </c>
      <c r="J1606" s="553"/>
    </row>
    <row r="1607" spans="1:10" ht="25.5" hidden="1" customHeight="1" outlineLevel="1" x14ac:dyDescent="0.2">
      <c r="A1607" s="198" t="s">
        <v>1278</v>
      </c>
      <c r="B1607" s="228" t="s">
        <v>4104</v>
      </c>
      <c r="C1607" s="229" t="s">
        <v>4105</v>
      </c>
      <c r="D1607" s="230" t="s">
        <v>11</v>
      </c>
      <c r="E1607" s="231">
        <v>14.45</v>
      </c>
      <c r="F1607" s="231"/>
      <c r="G1607" s="229" t="s">
        <v>4110</v>
      </c>
      <c r="H1607" s="235">
        <f t="shared" si="44"/>
        <v>5.36</v>
      </c>
      <c r="I1607" s="241" t="s">
        <v>1727</v>
      </c>
      <c r="J1607" s="553" t="s">
        <v>4237</v>
      </c>
    </row>
    <row r="1608" spans="1:10" ht="25.5" hidden="1" customHeight="1" outlineLevel="1" x14ac:dyDescent="0.2">
      <c r="A1608" s="198" t="s">
        <v>1278</v>
      </c>
      <c r="B1608" s="224" t="s">
        <v>4106</v>
      </c>
      <c r="C1608" s="225" t="s">
        <v>4107</v>
      </c>
      <c r="D1608" s="226" t="s">
        <v>11</v>
      </c>
      <c r="E1608" s="227">
        <v>7.37</v>
      </c>
      <c r="F1608" s="227"/>
      <c r="G1608" s="225" t="s">
        <v>4182</v>
      </c>
      <c r="H1608" s="235">
        <f t="shared" si="44"/>
        <v>15.84</v>
      </c>
      <c r="I1608" s="241" t="s">
        <v>1727</v>
      </c>
      <c r="J1608" s="553" t="s">
        <v>4237</v>
      </c>
    </row>
    <row r="1609" spans="1:10" ht="12.75" hidden="1" customHeight="1" outlineLevel="1" x14ac:dyDescent="0.2">
      <c r="A1609" s="198" t="s">
        <v>1278</v>
      </c>
      <c r="B1609" s="216" t="s">
        <v>1648</v>
      </c>
      <c r="C1609" s="217" t="s">
        <v>2958</v>
      </c>
      <c r="D1609" s="218"/>
      <c r="E1609" s="219"/>
      <c r="F1609" s="219"/>
      <c r="G1609" s="229" t="s">
        <v>4101</v>
      </c>
      <c r="H1609" s="235">
        <f t="shared" si="44"/>
        <v>4.17</v>
      </c>
      <c r="I1609" s="241" t="s">
        <v>1727</v>
      </c>
      <c r="J1609" s="553"/>
    </row>
    <row r="1610" spans="1:10" ht="25.5" hidden="1" customHeight="1" outlineLevel="1" x14ac:dyDescent="0.2">
      <c r="A1610" s="198" t="s">
        <v>1278</v>
      </c>
      <c r="B1610" s="228" t="s">
        <v>1649</v>
      </c>
      <c r="C1610" s="229" t="s">
        <v>4108</v>
      </c>
      <c r="D1610" s="230" t="s">
        <v>11</v>
      </c>
      <c r="E1610" s="231">
        <v>12.54</v>
      </c>
      <c r="F1610" s="231"/>
      <c r="G1610" s="225" t="s">
        <v>4215</v>
      </c>
      <c r="H1610" s="235">
        <f t="shared" si="44"/>
        <v>50.08</v>
      </c>
      <c r="I1610" s="241" t="s">
        <v>1734</v>
      </c>
      <c r="J1610" s="553" t="s">
        <v>4238</v>
      </c>
    </row>
    <row r="1611" spans="1:10" ht="25.5" hidden="1" customHeight="1" outlineLevel="1" x14ac:dyDescent="0.2">
      <c r="A1611" s="198" t="s">
        <v>1278</v>
      </c>
      <c r="B1611" s="224" t="s">
        <v>4109</v>
      </c>
      <c r="C1611" s="225" t="s">
        <v>4110</v>
      </c>
      <c r="D1611" s="226" t="s">
        <v>11</v>
      </c>
      <c r="E1611" s="227">
        <v>5.36</v>
      </c>
      <c r="F1611" s="227"/>
      <c r="G1611" s="229" t="s">
        <v>4102</v>
      </c>
      <c r="H1611" s="235">
        <f t="shared" si="44"/>
        <v>5.38</v>
      </c>
      <c r="I1611" s="241" t="s">
        <v>1727</v>
      </c>
      <c r="J1611" s="553"/>
    </row>
    <row r="1612" spans="1:10" ht="25.5" hidden="1" customHeight="1" outlineLevel="1" x14ac:dyDescent="0.2">
      <c r="A1612" s="198" t="s">
        <v>1278</v>
      </c>
      <c r="B1612" s="228" t="s">
        <v>4111</v>
      </c>
      <c r="C1612" s="229" t="s">
        <v>4112</v>
      </c>
      <c r="D1612" s="230" t="s">
        <v>11</v>
      </c>
      <c r="E1612" s="231">
        <v>63.34</v>
      </c>
      <c r="F1612" s="231"/>
      <c r="G1612" s="404" t="s">
        <v>4217</v>
      </c>
      <c r="H1612" s="235">
        <f t="shared" si="44"/>
        <v>3</v>
      </c>
      <c r="I1612" s="241" t="s">
        <v>1734</v>
      </c>
      <c r="J1612" s="553" t="s">
        <v>4238</v>
      </c>
    </row>
    <row r="1613" spans="1:10" ht="25.5" hidden="1" customHeight="1" outlineLevel="1" x14ac:dyDescent="0.2">
      <c r="A1613" s="198" t="s">
        <v>1278</v>
      </c>
      <c r="B1613" s="224" t="s">
        <v>4113</v>
      </c>
      <c r="C1613" s="225" t="s">
        <v>4114</v>
      </c>
      <c r="D1613" s="226" t="s">
        <v>11</v>
      </c>
      <c r="E1613" s="227">
        <v>10.4</v>
      </c>
      <c r="F1613" s="227"/>
      <c r="G1613" s="229" t="s">
        <v>4184</v>
      </c>
      <c r="H1613" s="235">
        <f t="shared" si="44"/>
        <v>54.88</v>
      </c>
      <c r="I1613" s="241" t="s">
        <v>1727</v>
      </c>
      <c r="J1613" s="553" t="s">
        <v>4237</v>
      </c>
    </row>
    <row r="1614" spans="1:10" ht="25.5" hidden="1" customHeight="1" outlineLevel="1" x14ac:dyDescent="0.2">
      <c r="A1614" s="198" t="s">
        <v>1278</v>
      </c>
      <c r="B1614" s="228" t="s">
        <v>4115</v>
      </c>
      <c r="C1614" s="229" t="s">
        <v>4116</v>
      </c>
      <c r="D1614" s="230" t="s">
        <v>11</v>
      </c>
      <c r="E1614" s="231">
        <v>14.79</v>
      </c>
      <c r="F1614" s="231"/>
      <c r="G1614" s="225" t="s">
        <v>4103</v>
      </c>
      <c r="H1614" s="235">
        <f t="shared" si="44"/>
        <v>34.75</v>
      </c>
      <c r="I1614" s="241" t="s">
        <v>1727</v>
      </c>
      <c r="J1614" s="553" t="s">
        <v>4237</v>
      </c>
    </row>
    <row r="1615" spans="1:10" ht="25.5" hidden="1" customHeight="1" outlineLevel="1" x14ac:dyDescent="0.2">
      <c r="A1615" s="198" t="s">
        <v>1278</v>
      </c>
      <c r="B1615" s="224" t="s">
        <v>4117</v>
      </c>
      <c r="C1615" s="225" t="s">
        <v>4118</v>
      </c>
      <c r="D1615" s="226" t="s">
        <v>11</v>
      </c>
      <c r="E1615" s="227">
        <v>91.63</v>
      </c>
      <c r="F1615" s="227"/>
      <c r="G1615" s="229" t="s">
        <v>4112</v>
      </c>
      <c r="H1615" s="235">
        <f t="shared" si="44"/>
        <v>63.34</v>
      </c>
      <c r="I1615" s="241" t="s">
        <v>1727</v>
      </c>
      <c r="J1615" s="553" t="s">
        <v>4237</v>
      </c>
    </row>
    <row r="1616" spans="1:10" ht="25.5" hidden="1" customHeight="1" outlineLevel="1" x14ac:dyDescent="0.2">
      <c r="A1616" s="198" t="s">
        <v>1278</v>
      </c>
      <c r="B1616" s="228" t="s">
        <v>4119</v>
      </c>
      <c r="C1616" s="229" t="s">
        <v>4120</v>
      </c>
      <c r="D1616" s="230" t="s">
        <v>11</v>
      </c>
      <c r="E1616" s="231">
        <v>6.45</v>
      </c>
      <c r="F1616" s="231"/>
      <c r="G1616" s="225" t="s">
        <v>4134</v>
      </c>
      <c r="H1616" s="235">
        <f t="shared" si="44"/>
        <v>51.97</v>
      </c>
      <c r="I1616" s="241" t="s">
        <v>1727</v>
      </c>
      <c r="J1616" s="553" t="s">
        <v>4237</v>
      </c>
    </row>
    <row r="1617" spans="1:10" ht="25.5" hidden="1" customHeight="1" outlineLevel="1" x14ac:dyDescent="0.2">
      <c r="A1617" s="198" t="s">
        <v>1278</v>
      </c>
      <c r="B1617" s="224" t="s">
        <v>4121</v>
      </c>
      <c r="C1617" s="225" t="s">
        <v>4122</v>
      </c>
      <c r="D1617" s="226" t="s">
        <v>11</v>
      </c>
      <c r="E1617" s="227">
        <v>17.010000000000002</v>
      </c>
      <c r="F1617" s="227"/>
      <c r="G1617" s="229" t="s">
        <v>4135</v>
      </c>
      <c r="H1617" s="235">
        <f t="shared" si="44"/>
        <v>686.29000000000008</v>
      </c>
      <c r="I1617" s="241" t="s">
        <v>1727</v>
      </c>
      <c r="J1617" s="553" t="s">
        <v>4237</v>
      </c>
    </row>
    <row r="1618" spans="1:10" ht="25.5" hidden="1" customHeight="1" outlineLevel="1" x14ac:dyDescent="0.2">
      <c r="A1618" s="198" t="s">
        <v>1278</v>
      </c>
      <c r="B1618" s="228" t="s">
        <v>4123</v>
      </c>
      <c r="C1618" s="229" t="s">
        <v>4124</v>
      </c>
      <c r="D1618" s="230" t="s">
        <v>11</v>
      </c>
      <c r="E1618" s="231">
        <v>78.7</v>
      </c>
      <c r="F1618" s="231"/>
      <c r="G1618" s="225" t="s">
        <v>4114</v>
      </c>
      <c r="H1618" s="235">
        <f t="shared" si="44"/>
        <v>10.4</v>
      </c>
      <c r="I1618" s="241" t="s">
        <v>1727</v>
      </c>
      <c r="J1618" s="553" t="s">
        <v>4237</v>
      </c>
    </row>
    <row r="1619" spans="1:10" ht="25.5" hidden="1" customHeight="1" outlineLevel="1" x14ac:dyDescent="0.2">
      <c r="A1619" s="198" t="s">
        <v>1278</v>
      </c>
      <c r="B1619" s="224" t="s">
        <v>4125</v>
      </c>
      <c r="C1619" s="225" t="s">
        <v>4126</v>
      </c>
      <c r="D1619" s="226" t="s">
        <v>11</v>
      </c>
      <c r="E1619" s="227">
        <v>9.81</v>
      </c>
      <c r="F1619" s="227"/>
      <c r="G1619" s="229" t="s">
        <v>4116</v>
      </c>
      <c r="H1619" s="235">
        <f t="shared" si="44"/>
        <v>14.79</v>
      </c>
      <c r="I1619" s="241" t="s">
        <v>1727</v>
      </c>
      <c r="J1619" s="553" t="s">
        <v>4237</v>
      </c>
    </row>
    <row r="1620" spans="1:10" ht="25.5" hidden="1" customHeight="1" outlineLevel="1" x14ac:dyDescent="0.2">
      <c r="A1620" s="198" t="s">
        <v>1278</v>
      </c>
      <c r="B1620" s="228" t="s">
        <v>4127</v>
      </c>
      <c r="C1620" s="229" t="s">
        <v>4128</v>
      </c>
      <c r="D1620" s="230" t="s">
        <v>11</v>
      </c>
      <c r="E1620" s="231">
        <v>6.42</v>
      </c>
      <c r="F1620" s="231"/>
      <c r="G1620" s="225" t="s">
        <v>4143</v>
      </c>
      <c r="H1620" s="235">
        <f t="shared" si="44"/>
        <v>12.6</v>
      </c>
      <c r="I1620" s="241" t="s">
        <v>1727</v>
      </c>
      <c r="J1620" s="553" t="s">
        <v>4234</v>
      </c>
    </row>
    <row r="1621" spans="1:10" ht="25.5" hidden="1" customHeight="1" outlineLevel="1" x14ac:dyDescent="0.2">
      <c r="A1621" s="198" t="s">
        <v>1278</v>
      </c>
      <c r="B1621" s="224" t="s">
        <v>4129</v>
      </c>
      <c r="C1621" s="225" t="s">
        <v>4130</v>
      </c>
      <c r="D1621" s="226" t="s">
        <v>11</v>
      </c>
      <c r="E1621" s="227">
        <v>3.04</v>
      </c>
      <c r="F1621" s="227"/>
      <c r="G1621" s="229" t="s">
        <v>4118</v>
      </c>
      <c r="H1621" s="235">
        <f t="shared" si="44"/>
        <v>91.63</v>
      </c>
      <c r="I1621" s="241" t="s">
        <v>1727</v>
      </c>
      <c r="J1621" s="553" t="s">
        <v>4237</v>
      </c>
    </row>
    <row r="1622" spans="1:10" ht="25.5" hidden="1" customHeight="1" outlineLevel="1" x14ac:dyDescent="0.2">
      <c r="A1622" s="198" t="s">
        <v>1278</v>
      </c>
      <c r="B1622" s="228" t="s">
        <v>4131</v>
      </c>
      <c r="C1622" s="229" t="s">
        <v>4132</v>
      </c>
      <c r="D1622" s="230" t="s">
        <v>11</v>
      </c>
      <c r="E1622" s="231">
        <v>1.82</v>
      </c>
      <c r="F1622" s="231"/>
      <c r="G1622" s="225" t="s">
        <v>4220</v>
      </c>
      <c r="H1622" s="235">
        <f t="shared" si="44"/>
        <v>2.0099999999999998</v>
      </c>
      <c r="I1622" s="241" t="s">
        <v>1734</v>
      </c>
      <c r="J1622" s="553" t="s">
        <v>4238</v>
      </c>
    </row>
    <row r="1623" spans="1:10" ht="12.75" hidden="1" customHeight="1" outlineLevel="1" x14ac:dyDescent="0.2">
      <c r="A1623" s="198" t="s">
        <v>1279</v>
      </c>
      <c r="B1623" s="216" t="s">
        <v>1650</v>
      </c>
      <c r="C1623" s="217" t="s">
        <v>2960</v>
      </c>
      <c r="D1623" s="218"/>
      <c r="E1623" s="219"/>
      <c r="F1623" s="219"/>
      <c r="G1623" s="229" t="s">
        <v>4222</v>
      </c>
      <c r="H1623" s="235">
        <f t="shared" si="44"/>
        <v>55.83</v>
      </c>
      <c r="I1623" s="241" t="s">
        <v>3182</v>
      </c>
      <c r="J1623" s="553" t="s">
        <v>4239</v>
      </c>
    </row>
    <row r="1624" spans="1:10" ht="25.5" hidden="1" customHeight="1" outlineLevel="1" x14ac:dyDescent="0.2">
      <c r="A1624" s="198" t="s">
        <v>1279</v>
      </c>
      <c r="B1624" s="224" t="s">
        <v>1651</v>
      </c>
      <c r="C1624" s="225" t="s">
        <v>4133</v>
      </c>
      <c r="D1624" s="226" t="s">
        <v>11</v>
      </c>
      <c r="E1624" s="227">
        <v>17.649999999999999</v>
      </c>
      <c r="F1624" s="227"/>
      <c r="G1624" s="225" t="s">
        <v>4224</v>
      </c>
      <c r="H1624" s="235">
        <f t="shared" si="44"/>
        <v>6.65</v>
      </c>
      <c r="I1624" s="241" t="s">
        <v>1734</v>
      </c>
      <c r="J1624" s="553" t="s">
        <v>4238</v>
      </c>
    </row>
    <row r="1625" spans="1:10" ht="25.5" hidden="1" customHeight="1" outlineLevel="1" x14ac:dyDescent="0.2">
      <c r="A1625" s="198" t="s">
        <v>1279</v>
      </c>
      <c r="B1625" s="228" t="s">
        <v>1652</v>
      </c>
      <c r="C1625" s="229" t="s">
        <v>4134</v>
      </c>
      <c r="D1625" s="230" t="s">
        <v>11</v>
      </c>
      <c r="E1625" s="231">
        <v>4.29</v>
      </c>
      <c r="F1625" s="231"/>
      <c r="G1625" s="229" t="s">
        <v>4120</v>
      </c>
      <c r="H1625" s="235">
        <f t="shared" si="44"/>
        <v>6.45</v>
      </c>
      <c r="I1625" s="241" t="s">
        <v>1727</v>
      </c>
      <c r="J1625" s="553" t="s">
        <v>4237</v>
      </c>
    </row>
    <row r="1626" spans="1:10" ht="25.5" hidden="1" customHeight="1" outlineLevel="1" x14ac:dyDescent="0.2">
      <c r="A1626" s="198" t="s">
        <v>1279</v>
      </c>
      <c r="B1626" s="224" t="s">
        <v>1953</v>
      </c>
      <c r="C1626" s="225" t="s">
        <v>4135</v>
      </c>
      <c r="D1626" s="226" t="s">
        <v>11</v>
      </c>
      <c r="E1626" s="227">
        <v>23.54</v>
      </c>
      <c r="F1626" s="227"/>
      <c r="G1626" s="225" t="s">
        <v>4226</v>
      </c>
      <c r="H1626" s="235">
        <f t="shared" si="44"/>
        <v>19.579999999999998</v>
      </c>
      <c r="I1626" s="241" t="s">
        <v>3182</v>
      </c>
      <c r="J1626" s="553" t="s">
        <v>4239</v>
      </c>
    </row>
    <row r="1627" spans="1:10" ht="12.75" hidden="1" customHeight="1" outlineLevel="1" x14ac:dyDescent="0.2">
      <c r="A1627" s="198" t="s">
        <v>1279</v>
      </c>
      <c r="B1627" s="228" t="s">
        <v>2698</v>
      </c>
      <c r="C1627" s="229" t="s">
        <v>4136</v>
      </c>
      <c r="D1627" s="230" t="s">
        <v>11</v>
      </c>
      <c r="E1627" s="231">
        <v>28.57</v>
      </c>
      <c r="F1627" s="231"/>
      <c r="G1627" s="229" t="s">
        <v>4105</v>
      </c>
      <c r="H1627" s="235">
        <f t="shared" si="44"/>
        <v>14.45</v>
      </c>
      <c r="I1627" s="241" t="s">
        <v>1727</v>
      </c>
      <c r="J1627" s="553"/>
    </row>
    <row r="1628" spans="1:10" ht="25.5" hidden="1" customHeight="1" outlineLevel="1" x14ac:dyDescent="0.2">
      <c r="A1628" s="198" t="s">
        <v>1279</v>
      </c>
      <c r="B1628" s="224" t="s">
        <v>4137</v>
      </c>
      <c r="C1628" s="225" t="s">
        <v>4138</v>
      </c>
      <c r="D1628" s="226" t="s">
        <v>11</v>
      </c>
      <c r="E1628" s="227">
        <v>44.68</v>
      </c>
      <c r="F1628" s="227"/>
      <c r="G1628" s="225" t="s">
        <v>4122</v>
      </c>
      <c r="H1628" s="235">
        <f t="shared" si="44"/>
        <v>17.010000000000002</v>
      </c>
      <c r="I1628" s="241" t="s">
        <v>1727</v>
      </c>
      <c r="J1628" s="553" t="s">
        <v>4237</v>
      </c>
    </row>
    <row r="1629" spans="1:10" ht="25.5" hidden="1" customHeight="1" outlineLevel="1" x14ac:dyDescent="0.2">
      <c r="A1629" s="198" t="s">
        <v>1279</v>
      </c>
      <c r="B1629" s="228" t="s">
        <v>4139</v>
      </c>
      <c r="C1629" s="229" t="s">
        <v>4140</v>
      </c>
      <c r="D1629" s="230" t="s">
        <v>11</v>
      </c>
      <c r="E1629" s="231">
        <v>3.05</v>
      </c>
      <c r="F1629" s="231"/>
      <c r="G1629" s="229" t="s">
        <v>4136</v>
      </c>
      <c r="H1629" s="235">
        <f t="shared" si="44"/>
        <v>793.92000000000007</v>
      </c>
      <c r="I1629" s="241" t="s">
        <v>1727</v>
      </c>
      <c r="J1629" s="553"/>
    </row>
    <row r="1630" spans="1:10" ht="25.5" hidden="1" customHeight="1" outlineLevel="1" x14ac:dyDescent="0.2">
      <c r="A1630" s="198" t="s">
        <v>1279</v>
      </c>
      <c r="B1630" s="216" t="s">
        <v>1653</v>
      </c>
      <c r="C1630" s="217" t="s">
        <v>2961</v>
      </c>
      <c r="D1630" s="218"/>
      <c r="E1630" s="219"/>
      <c r="F1630" s="219"/>
      <c r="G1630" s="225" t="s">
        <v>4228</v>
      </c>
      <c r="H1630" s="235">
        <f t="shared" si="44"/>
        <v>14.2</v>
      </c>
      <c r="I1630" s="241" t="s">
        <v>1727</v>
      </c>
      <c r="J1630" s="553" t="s">
        <v>4237</v>
      </c>
    </row>
    <row r="1631" spans="1:10" ht="25.5" hidden="1" customHeight="1" outlineLevel="1" x14ac:dyDescent="0.2">
      <c r="A1631" s="198" t="s">
        <v>1279</v>
      </c>
      <c r="B1631" s="224" t="s">
        <v>1654</v>
      </c>
      <c r="C1631" s="225" t="s">
        <v>4133</v>
      </c>
      <c r="D1631" s="226" t="s">
        <v>11</v>
      </c>
      <c r="E1631" s="227">
        <v>26.43</v>
      </c>
      <c r="F1631" s="227"/>
      <c r="G1631" s="229" t="s">
        <v>4138</v>
      </c>
      <c r="H1631" s="235">
        <f t="shared" si="44"/>
        <v>63.33</v>
      </c>
      <c r="I1631" s="241" t="s">
        <v>1727</v>
      </c>
      <c r="J1631" s="553" t="s">
        <v>4237</v>
      </c>
    </row>
    <row r="1632" spans="1:10" ht="25.5" hidden="1" customHeight="1" outlineLevel="1" x14ac:dyDescent="0.2">
      <c r="A1632" s="198" t="s">
        <v>1279</v>
      </c>
      <c r="B1632" s="228" t="s">
        <v>1948</v>
      </c>
      <c r="C1632" s="229" t="s">
        <v>4141</v>
      </c>
      <c r="D1632" s="230" t="s">
        <v>11</v>
      </c>
      <c r="E1632" s="231">
        <v>13.69</v>
      </c>
      <c r="F1632" s="231"/>
      <c r="G1632" s="225" t="s">
        <v>4124</v>
      </c>
      <c r="H1632" s="235">
        <f t="shared" si="44"/>
        <v>78.7</v>
      </c>
      <c r="I1632" s="241" t="s">
        <v>1727</v>
      </c>
      <c r="J1632" s="553" t="s">
        <v>4237</v>
      </c>
    </row>
    <row r="1633" spans="1:10" ht="25.5" hidden="1" customHeight="1" outlineLevel="1" x14ac:dyDescent="0.2">
      <c r="A1633" s="198" t="s">
        <v>1279</v>
      </c>
      <c r="B1633" s="224" t="s">
        <v>1954</v>
      </c>
      <c r="C1633" s="225" t="s">
        <v>4135</v>
      </c>
      <c r="D1633" s="226" t="s">
        <v>11</v>
      </c>
      <c r="E1633" s="227">
        <v>50.16</v>
      </c>
      <c r="F1633" s="227"/>
      <c r="G1633" s="229" t="s">
        <v>4126</v>
      </c>
      <c r="H1633" s="235">
        <f t="shared" si="44"/>
        <v>9.81</v>
      </c>
      <c r="I1633" s="241" t="s">
        <v>1727</v>
      </c>
      <c r="J1633" s="553" t="s">
        <v>4237</v>
      </c>
    </row>
    <row r="1634" spans="1:10" ht="25.5" hidden="1" customHeight="1" outlineLevel="1" x14ac:dyDescent="0.2">
      <c r="A1634" s="198" t="s">
        <v>1279</v>
      </c>
      <c r="B1634" s="228" t="s">
        <v>2699</v>
      </c>
      <c r="C1634" s="229" t="s">
        <v>4136</v>
      </c>
      <c r="D1634" s="230" t="s">
        <v>11</v>
      </c>
      <c r="E1634" s="231">
        <v>61.87</v>
      </c>
      <c r="F1634" s="231"/>
      <c r="G1634" s="225" t="s">
        <v>4107</v>
      </c>
      <c r="H1634" s="235">
        <f t="shared" si="44"/>
        <v>7.37</v>
      </c>
      <c r="I1634" s="241" t="s">
        <v>1727</v>
      </c>
      <c r="J1634" s="553"/>
    </row>
    <row r="1635" spans="1:10" ht="25.5" hidden="1" customHeight="1" outlineLevel="1" x14ac:dyDescent="0.2">
      <c r="A1635" s="198" t="s">
        <v>1279</v>
      </c>
      <c r="B1635" s="224" t="s">
        <v>4142</v>
      </c>
      <c r="C1635" s="225" t="s">
        <v>4138</v>
      </c>
      <c r="D1635" s="226" t="s">
        <v>11</v>
      </c>
      <c r="E1635" s="227">
        <v>9.85</v>
      </c>
      <c r="F1635" s="227"/>
      <c r="G1635" s="229" t="s">
        <v>4188</v>
      </c>
      <c r="H1635" s="235">
        <f t="shared" si="44"/>
        <v>8.66</v>
      </c>
      <c r="I1635" s="241" t="s">
        <v>1727</v>
      </c>
      <c r="J1635" s="553" t="s">
        <v>4237</v>
      </c>
    </row>
    <row r="1636" spans="1:10" ht="25.5" hidden="1" customHeight="1" outlineLevel="1" x14ac:dyDescent="0.2">
      <c r="A1636" s="198" t="s">
        <v>1279</v>
      </c>
      <c r="B1636" s="216" t="s">
        <v>1655</v>
      </c>
      <c r="C1636" s="217" t="s">
        <v>2962</v>
      </c>
      <c r="D1636" s="218"/>
      <c r="E1636" s="219"/>
      <c r="F1636" s="219"/>
      <c r="G1636" s="225" t="s">
        <v>4128</v>
      </c>
      <c r="H1636" s="235">
        <f t="shared" si="44"/>
        <v>6.42</v>
      </c>
      <c r="I1636" s="241" t="s">
        <v>1727</v>
      </c>
      <c r="J1636" s="553" t="s">
        <v>4237</v>
      </c>
    </row>
    <row r="1637" spans="1:10" ht="25.5" hidden="1" customHeight="1" outlineLevel="1" x14ac:dyDescent="0.2">
      <c r="A1637" s="198" t="s">
        <v>1279</v>
      </c>
      <c r="B1637" s="228" t="s">
        <v>1656</v>
      </c>
      <c r="C1637" s="229" t="s">
        <v>4133</v>
      </c>
      <c r="D1637" s="230" t="s">
        <v>11</v>
      </c>
      <c r="E1637" s="231">
        <v>23.61</v>
      </c>
      <c r="F1637" s="231"/>
      <c r="G1637" s="229" t="s">
        <v>4231</v>
      </c>
      <c r="H1637" s="235">
        <f t="shared" si="44"/>
        <v>6.32</v>
      </c>
      <c r="I1637" s="241" t="s">
        <v>1727</v>
      </c>
      <c r="J1637" s="553" t="s">
        <v>4237</v>
      </c>
    </row>
    <row r="1638" spans="1:10" ht="25.5" hidden="1" customHeight="1" outlineLevel="1" x14ac:dyDescent="0.2">
      <c r="A1638" s="198" t="s">
        <v>1279</v>
      </c>
      <c r="B1638" s="224" t="s">
        <v>1955</v>
      </c>
      <c r="C1638" s="225" t="s">
        <v>4141</v>
      </c>
      <c r="D1638" s="226" t="s">
        <v>11</v>
      </c>
      <c r="E1638" s="227">
        <v>6.28</v>
      </c>
      <c r="F1638" s="227"/>
      <c r="G1638" s="225" t="s">
        <v>4130</v>
      </c>
      <c r="H1638" s="235">
        <f t="shared" si="44"/>
        <v>3.04</v>
      </c>
      <c r="I1638" s="241" t="s">
        <v>1727</v>
      </c>
      <c r="J1638" s="553"/>
    </row>
    <row r="1639" spans="1:10" ht="25.5" hidden="1" customHeight="1" outlineLevel="1" x14ac:dyDescent="0.2">
      <c r="A1639" s="198" t="s">
        <v>1279</v>
      </c>
      <c r="B1639" s="228" t="s">
        <v>1956</v>
      </c>
      <c r="C1639" s="229" t="s">
        <v>4135</v>
      </c>
      <c r="D1639" s="230" t="s">
        <v>11</v>
      </c>
      <c r="E1639" s="231">
        <v>50.16</v>
      </c>
      <c r="F1639" s="231"/>
      <c r="G1639" s="229" t="s">
        <v>4140</v>
      </c>
      <c r="H1639" s="235">
        <f t="shared" si="44"/>
        <v>3.05</v>
      </c>
      <c r="I1639" s="241" t="s">
        <v>1727</v>
      </c>
      <c r="J1639" s="553" t="s">
        <v>4233</v>
      </c>
    </row>
    <row r="1640" spans="1:10" ht="25.5" hidden="1" customHeight="1" outlineLevel="1" x14ac:dyDescent="0.2">
      <c r="A1640" s="198" t="s">
        <v>1279</v>
      </c>
      <c r="B1640" s="224" t="s">
        <v>1957</v>
      </c>
      <c r="C1640" s="225" t="s">
        <v>4143</v>
      </c>
      <c r="D1640" s="226" t="s">
        <v>11</v>
      </c>
      <c r="E1640" s="227">
        <v>1.3</v>
      </c>
      <c r="F1640" s="227"/>
      <c r="G1640" s="225" t="s">
        <v>4132</v>
      </c>
      <c r="H1640" s="235">
        <f t="shared" si="44"/>
        <v>1.82</v>
      </c>
      <c r="I1640" s="241" t="s">
        <v>1727</v>
      </c>
      <c r="J1640" s="553" t="s">
        <v>4237</v>
      </c>
    </row>
    <row r="1641" spans="1:10" ht="12.75" hidden="1" customHeight="1" outlineLevel="1" x14ac:dyDescent="0.2">
      <c r="A1641" s="198" t="s">
        <v>1279</v>
      </c>
      <c r="B1641" s="228" t="s">
        <v>4144</v>
      </c>
      <c r="C1641" s="229" t="s">
        <v>4136</v>
      </c>
      <c r="D1641" s="230" t="s">
        <v>11</v>
      </c>
      <c r="E1641" s="231">
        <v>109.52</v>
      </c>
      <c r="F1641" s="231">
        <v>76.28</v>
      </c>
      <c r="J1641" s="215"/>
    </row>
    <row r="1642" spans="1:10" ht="12.75" hidden="1" customHeight="1" outlineLevel="1" x14ac:dyDescent="0.2">
      <c r="A1642" s="198" t="s">
        <v>1279</v>
      </c>
      <c r="B1642" s="216" t="s">
        <v>1657</v>
      </c>
      <c r="C1642" s="217" t="s">
        <v>2963</v>
      </c>
      <c r="D1642" s="218"/>
      <c r="E1642" s="219"/>
      <c r="F1642" s="219"/>
      <c r="J1642" s="215"/>
    </row>
    <row r="1643" spans="1:10" ht="25.5" hidden="1" customHeight="1" outlineLevel="1" x14ac:dyDescent="0.2">
      <c r="A1643" s="198" t="s">
        <v>1279</v>
      </c>
      <c r="B1643" s="224" t="s">
        <v>1658</v>
      </c>
      <c r="C1643" s="225" t="s">
        <v>4133</v>
      </c>
      <c r="D1643" s="226" t="s">
        <v>11</v>
      </c>
      <c r="E1643" s="227">
        <v>23.36</v>
      </c>
      <c r="F1643" s="227"/>
      <c r="J1643" s="215"/>
    </row>
    <row r="1644" spans="1:10" ht="25.5" hidden="1" customHeight="1" outlineLevel="1" x14ac:dyDescent="0.2">
      <c r="A1644" s="198" t="s">
        <v>1279</v>
      </c>
      <c r="B1644" s="228" t="s">
        <v>1949</v>
      </c>
      <c r="C1644" s="229" t="s">
        <v>4141</v>
      </c>
      <c r="D1644" s="230" t="s">
        <v>11</v>
      </c>
      <c r="E1644" s="231">
        <v>6.28</v>
      </c>
      <c r="F1644" s="231"/>
      <c r="J1644" s="215"/>
    </row>
    <row r="1645" spans="1:10" ht="25.5" hidden="1" customHeight="1" outlineLevel="1" x14ac:dyDescent="0.2">
      <c r="A1645" s="198" t="s">
        <v>1279</v>
      </c>
      <c r="B1645" s="224" t="s">
        <v>1958</v>
      </c>
      <c r="C1645" s="225" t="s">
        <v>4135</v>
      </c>
      <c r="D1645" s="226" t="s">
        <v>11</v>
      </c>
      <c r="E1645" s="227">
        <v>50.16</v>
      </c>
      <c r="F1645" s="227"/>
      <c r="J1645" s="215"/>
    </row>
    <row r="1646" spans="1:10" ht="12.75" hidden="1" customHeight="1" outlineLevel="1" x14ac:dyDescent="0.2">
      <c r="A1646" s="198" t="s">
        <v>1279</v>
      </c>
      <c r="B1646" s="228" t="s">
        <v>1959</v>
      </c>
      <c r="C1646" s="229" t="s">
        <v>4136</v>
      </c>
      <c r="D1646" s="230" t="s">
        <v>11</v>
      </c>
      <c r="E1646" s="231">
        <v>27.45</v>
      </c>
      <c r="F1646" s="231"/>
      <c r="J1646" s="215"/>
    </row>
    <row r="1647" spans="1:10" ht="12.75" hidden="1" customHeight="1" outlineLevel="1" x14ac:dyDescent="0.2">
      <c r="A1647" s="198" t="s">
        <v>1279</v>
      </c>
      <c r="B1647" s="216" t="s">
        <v>1659</v>
      </c>
      <c r="C1647" s="217" t="s">
        <v>2964</v>
      </c>
      <c r="D1647" s="218"/>
      <c r="E1647" s="219"/>
      <c r="F1647" s="219"/>
      <c r="J1647" s="215"/>
    </row>
    <row r="1648" spans="1:10" ht="25.5" hidden="1" customHeight="1" outlineLevel="1" x14ac:dyDescent="0.2">
      <c r="A1648" s="198" t="s">
        <v>1279</v>
      </c>
      <c r="B1648" s="224" t="s">
        <v>1660</v>
      </c>
      <c r="C1648" s="225" t="s">
        <v>4133</v>
      </c>
      <c r="D1648" s="226" t="s">
        <v>11</v>
      </c>
      <c r="E1648" s="227">
        <v>23.6</v>
      </c>
      <c r="F1648" s="227"/>
      <c r="J1648" s="215"/>
    </row>
    <row r="1649" spans="1:10" ht="25.5" hidden="1" customHeight="1" outlineLevel="1" x14ac:dyDescent="0.2">
      <c r="A1649" s="198" t="s">
        <v>1279</v>
      </c>
      <c r="B1649" s="228" t="s">
        <v>1661</v>
      </c>
      <c r="C1649" s="229" t="s">
        <v>4141</v>
      </c>
      <c r="D1649" s="230" t="s">
        <v>11</v>
      </c>
      <c r="E1649" s="231">
        <v>6.27</v>
      </c>
      <c r="F1649" s="231"/>
      <c r="J1649" s="215"/>
    </row>
    <row r="1650" spans="1:10" ht="25.5" hidden="1" customHeight="1" outlineLevel="1" x14ac:dyDescent="0.2">
      <c r="A1650" s="198" t="s">
        <v>1279</v>
      </c>
      <c r="B1650" s="224" t="s">
        <v>1662</v>
      </c>
      <c r="C1650" s="225" t="s">
        <v>4135</v>
      </c>
      <c r="D1650" s="226" t="s">
        <v>11</v>
      </c>
      <c r="E1650" s="227">
        <v>50.17</v>
      </c>
      <c r="F1650" s="227"/>
      <c r="J1650" s="215"/>
    </row>
    <row r="1651" spans="1:10" ht="25.5" hidden="1" customHeight="1" outlineLevel="1" x14ac:dyDescent="0.2">
      <c r="A1651" s="198" t="s">
        <v>1279</v>
      </c>
      <c r="B1651" s="228" t="s">
        <v>1663</v>
      </c>
      <c r="C1651" s="229" t="s">
        <v>4143</v>
      </c>
      <c r="D1651" s="230" t="s">
        <v>11</v>
      </c>
      <c r="E1651" s="231">
        <v>1.3</v>
      </c>
      <c r="F1651" s="231"/>
      <c r="J1651" s="215"/>
    </row>
    <row r="1652" spans="1:10" ht="12.75" hidden="1" customHeight="1" outlineLevel="1" x14ac:dyDescent="0.2">
      <c r="A1652" s="198" t="s">
        <v>1279</v>
      </c>
      <c r="B1652" s="224" t="s">
        <v>4145</v>
      </c>
      <c r="C1652" s="225" t="s">
        <v>4136</v>
      </c>
      <c r="D1652" s="226" t="s">
        <v>11</v>
      </c>
      <c r="E1652" s="227">
        <v>38.799999999999997</v>
      </c>
      <c r="F1652" s="227"/>
      <c r="J1652" s="215"/>
    </row>
    <row r="1653" spans="1:10" ht="12.75" hidden="1" customHeight="1" outlineLevel="1" x14ac:dyDescent="0.2">
      <c r="A1653" s="198" t="s">
        <v>1279</v>
      </c>
      <c r="B1653" s="216" t="s">
        <v>1664</v>
      </c>
      <c r="C1653" s="217" t="s">
        <v>2965</v>
      </c>
      <c r="D1653" s="218"/>
      <c r="E1653" s="219"/>
      <c r="F1653" s="219"/>
      <c r="J1653" s="215"/>
    </row>
    <row r="1654" spans="1:10" ht="25.5" hidden="1" customHeight="1" outlineLevel="1" x14ac:dyDescent="0.2">
      <c r="A1654" s="198" t="s">
        <v>1279</v>
      </c>
      <c r="B1654" s="228" t="s">
        <v>1665</v>
      </c>
      <c r="C1654" s="229" t="s">
        <v>4133</v>
      </c>
      <c r="D1654" s="230" t="s">
        <v>11</v>
      </c>
      <c r="E1654" s="231">
        <v>23.36</v>
      </c>
      <c r="F1654" s="231"/>
      <c r="J1654" s="215"/>
    </row>
    <row r="1655" spans="1:10" ht="25.5" hidden="1" customHeight="1" outlineLevel="1" x14ac:dyDescent="0.2">
      <c r="A1655" s="198" t="s">
        <v>1279</v>
      </c>
      <c r="B1655" s="224" t="s">
        <v>4146</v>
      </c>
      <c r="C1655" s="225" t="s">
        <v>4141</v>
      </c>
      <c r="D1655" s="226" t="s">
        <v>11</v>
      </c>
      <c r="E1655" s="227">
        <v>6.28</v>
      </c>
      <c r="F1655" s="227"/>
      <c r="J1655" s="215"/>
    </row>
    <row r="1656" spans="1:10" ht="25.5" hidden="1" customHeight="1" outlineLevel="1" x14ac:dyDescent="0.2">
      <c r="A1656" s="198" t="s">
        <v>1279</v>
      </c>
      <c r="B1656" s="228" t="s">
        <v>4147</v>
      </c>
      <c r="C1656" s="229" t="s">
        <v>4135</v>
      </c>
      <c r="D1656" s="230" t="s">
        <v>11</v>
      </c>
      <c r="E1656" s="231">
        <v>50.16</v>
      </c>
      <c r="F1656" s="231"/>
      <c r="J1656" s="215"/>
    </row>
    <row r="1657" spans="1:10" ht="12.75" hidden="1" customHeight="1" outlineLevel="1" x14ac:dyDescent="0.2">
      <c r="A1657" s="198" t="s">
        <v>1279</v>
      </c>
      <c r="B1657" s="224" t="s">
        <v>4148</v>
      </c>
      <c r="C1657" s="225" t="s">
        <v>4136</v>
      </c>
      <c r="D1657" s="226" t="s">
        <v>11</v>
      </c>
      <c r="E1657" s="227">
        <v>27.45</v>
      </c>
      <c r="F1657" s="227"/>
      <c r="G1657" s="520" t="s">
        <v>1732</v>
      </c>
      <c r="H1657" s="234">
        <f ca="1">H1659+H1667</f>
        <v>1862117690.103765</v>
      </c>
      <c r="I1657" s="242" t="str">
        <f ca="1">IF(H1657=H1600,"OKAY","REVER")</f>
        <v>REVER</v>
      </c>
      <c r="J1657" s="215"/>
    </row>
    <row r="1658" spans="1:10" ht="12.75" hidden="1" customHeight="1" outlineLevel="1" x14ac:dyDescent="0.2">
      <c r="A1658" s="198" t="s">
        <v>1279</v>
      </c>
      <c r="B1658" s="216" t="s">
        <v>1666</v>
      </c>
      <c r="C1658" s="217" t="s">
        <v>2966</v>
      </c>
      <c r="D1658" s="218"/>
      <c r="E1658" s="219"/>
      <c r="F1658" s="219"/>
      <c r="G1658" s="232"/>
      <c r="H1658" s="232"/>
      <c r="I1658" s="242"/>
      <c r="J1658" s="215"/>
    </row>
    <row r="1659" spans="1:10" ht="25.5" hidden="1" customHeight="1" outlineLevel="1" x14ac:dyDescent="0.2">
      <c r="A1659" s="198" t="s">
        <v>1279</v>
      </c>
      <c r="B1659" s="228" t="s">
        <v>1667</v>
      </c>
      <c r="C1659" s="229" t="s">
        <v>4133</v>
      </c>
      <c r="D1659" s="230" t="s">
        <v>11</v>
      </c>
      <c r="E1659" s="231">
        <v>23.6</v>
      </c>
      <c r="F1659" s="231"/>
      <c r="G1659" s="520" t="str">
        <f>$A$1</f>
        <v>EMBASSAMENTO</v>
      </c>
      <c r="H1659" s="234">
        <f>SUM(H1660:H1665)</f>
        <v>569.94000000000005</v>
      </c>
      <c r="I1659" s="242"/>
      <c r="J1659" s="215"/>
    </row>
    <row r="1660" spans="1:10" ht="25.5" hidden="1" customHeight="1" outlineLevel="1" x14ac:dyDescent="0.2">
      <c r="A1660" s="198" t="s">
        <v>1279</v>
      </c>
      <c r="B1660" s="224" t="s">
        <v>4149</v>
      </c>
      <c r="C1660" s="225" t="s">
        <v>4141</v>
      </c>
      <c r="D1660" s="226" t="s">
        <v>11</v>
      </c>
      <c r="E1660" s="227">
        <v>6.27</v>
      </c>
      <c r="F1660" s="227"/>
      <c r="G1660" s="225" t="s">
        <v>3936</v>
      </c>
      <c r="H1660" s="235">
        <f t="shared" ref="H1660:H1665" si="45">SUMIFS($E:$E,$C:$C,G1660,$A:$A,$G$22)</f>
        <v>486.6</v>
      </c>
      <c r="I1660" s="242"/>
      <c r="J1660" s="215"/>
    </row>
    <row r="1661" spans="1:10" ht="25.5" hidden="1" customHeight="1" outlineLevel="1" x14ac:dyDescent="0.2">
      <c r="A1661" s="198" t="s">
        <v>1279</v>
      </c>
      <c r="B1661" s="228" t="s">
        <v>4150</v>
      </c>
      <c r="C1661" s="229" t="s">
        <v>4135</v>
      </c>
      <c r="D1661" s="230" t="s">
        <v>11</v>
      </c>
      <c r="E1661" s="231">
        <v>50.17</v>
      </c>
      <c r="F1661" s="231"/>
      <c r="G1661" s="229" t="s">
        <v>3937</v>
      </c>
      <c r="H1661" s="235">
        <f t="shared" si="45"/>
        <v>83.34</v>
      </c>
      <c r="J1661" s="215"/>
    </row>
    <row r="1662" spans="1:10" ht="25.5" hidden="1" customHeight="1" outlineLevel="1" x14ac:dyDescent="0.2">
      <c r="A1662" s="198" t="s">
        <v>1279</v>
      </c>
      <c r="B1662" s="224" t="s">
        <v>4151</v>
      </c>
      <c r="C1662" s="225" t="s">
        <v>4143</v>
      </c>
      <c r="D1662" s="226" t="s">
        <v>11</v>
      </c>
      <c r="E1662" s="227">
        <v>1.3</v>
      </c>
      <c r="F1662" s="227"/>
      <c r="G1662" s="225"/>
      <c r="H1662" s="235">
        <f t="shared" si="45"/>
        <v>0</v>
      </c>
      <c r="J1662" s="215"/>
    </row>
    <row r="1663" spans="1:10" ht="12.75" hidden="1" customHeight="1" outlineLevel="1" x14ac:dyDescent="0.2">
      <c r="A1663" s="198" t="s">
        <v>1279</v>
      </c>
      <c r="B1663" s="228" t="s">
        <v>4152</v>
      </c>
      <c r="C1663" s="229" t="s">
        <v>4136</v>
      </c>
      <c r="D1663" s="230" t="s">
        <v>11</v>
      </c>
      <c r="E1663" s="231">
        <v>38.799999999999997</v>
      </c>
      <c r="F1663" s="231"/>
      <c r="G1663" s="229"/>
      <c r="H1663" s="235">
        <f t="shared" si="45"/>
        <v>0</v>
      </c>
      <c r="J1663" s="215"/>
    </row>
    <row r="1664" spans="1:10" ht="12.75" hidden="1" customHeight="1" outlineLevel="1" x14ac:dyDescent="0.2">
      <c r="A1664" s="198" t="s">
        <v>1279</v>
      </c>
      <c r="B1664" s="216" t="s">
        <v>4153</v>
      </c>
      <c r="C1664" s="217" t="s">
        <v>2967</v>
      </c>
      <c r="D1664" s="218"/>
      <c r="E1664" s="219"/>
      <c r="F1664" s="219"/>
      <c r="G1664" s="225"/>
      <c r="H1664" s="235">
        <f t="shared" si="45"/>
        <v>0</v>
      </c>
      <c r="J1664" s="215"/>
    </row>
    <row r="1665" spans="1:10" ht="25.5" hidden="1" customHeight="1" outlineLevel="1" x14ac:dyDescent="0.2">
      <c r="A1665" s="198" t="s">
        <v>1279</v>
      </c>
      <c r="B1665" s="224" t="s">
        <v>4154</v>
      </c>
      <c r="C1665" s="225" t="s">
        <v>4133</v>
      </c>
      <c r="D1665" s="226" t="s">
        <v>11</v>
      </c>
      <c r="E1665" s="227">
        <v>23.36</v>
      </c>
      <c r="F1665" s="227"/>
      <c r="G1665" s="229"/>
      <c r="H1665" s="235">
        <f t="shared" si="45"/>
        <v>0</v>
      </c>
      <c r="J1665" s="215"/>
    </row>
    <row r="1666" spans="1:10" ht="25.5" hidden="1" customHeight="1" outlineLevel="1" x14ac:dyDescent="0.2">
      <c r="A1666" s="198" t="s">
        <v>1279</v>
      </c>
      <c r="B1666" s="228" t="s">
        <v>4155</v>
      </c>
      <c r="C1666" s="229" t="s">
        <v>4141</v>
      </c>
      <c r="D1666" s="230" t="s">
        <v>11</v>
      </c>
      <c r="E1666" s="231">
        <v>6.28</v>
      </c>
      <c r="F1666" s="231"/>
      <c r="J1666" s="215"/>
    </row>
    <row r="1667" spans="1:10" ht="25.5" hidden="1" customHeight="1" outlineLevel="1" x14ac:dyDescent="0.2">
      <c r="A1667" s="198" t="s">
        <v>1279</v>
      </c>
      <c r="B1667" s="224" t="s">
        <v>4156</v>
      </c>
      <c r="C1667" s="225" t="s">
        <v>4135</v>
      </c>
      <c r="D1667" s="226" t="s">
        <v>11</v>
      </c>
      <c r="E1667" s="227">
        <v>50.16</v>
      </c>
      <c r="F1667" s="227"/>
      <c r="G1667" s="520" t="str">
        <f>$A$2</f>
        <v>TORRE</v>
      </c>
      <c r="H1667" s="234">
        <f ca="1">SUM(H1665:H1672)</f>
        <v>1862124859.893765</v>
      </c>
      <c r="J1667" s="215"/>
    </row>
    <row r="1668" spans="1:10" ht="12.75" hidden="1" customHeight="1" outlineLevel="1" x14ac:dyDescent="0.2">
      <c r="A1668" s="198" t="s">
        <v>1279</v>
      </c>
      <c r="B1668" s="228" t="s">
        <v>4157</v>
      </c>
      <c r="C1668" s="229" t="s">
        <v>4136</v>
      </c>
      <c r="D1668" s="230" t="s">
        <v>11</v>
      </c>
      <c r="E1668" s="231">
        <v>27.45</v>
      </c>
      <c r="F1668" s="231"/>
      <c r="G1668" s="225" t="s">
        <v>3936</v>
      </c>
      <c r="H1668" s="235">
        <f>SUMIFS($E:$E,$C:$C,G1668,$A:$A,$G$30)</f>
        <v>7739.7299999999987</v>
      </c>
      <c r="J1668" s="215"/>
    </row>
    <row r="1669" spans="1:10" ht="12.75" hidden="1" customHeight="1" outlineLevel="1" x14ac:dyDescent="0.2">
      <c r="A1669" s="198" t="s">
        <v>1279</v>
      </c>
      <c r="B1669" s="216" t="s">
        <v>4158</v>
      </c>
      <c r="C1669" s="217" t="s">
        <v>2968</v>
      </c>
      <c r="D1669" s="218"/>
      <c r="E1669" s="219"/>
      <c r="F1669" s="219"/>
      <c r="G1669" s="229" t="s">
        <v>3937</v>
      </c>
      <c r="H1669" s="235">
        <f>SUMIFS($E:$E,$C:$C,G1669,$A:$A,$G$30)</f>
        <v>0</v>
      </c>
      <c r="J1669" s="215"/>
    </row>
    <row r="1670" spans="1:10" ht="25.5" hidden="1" customHeight="1" outlineLevel="1" x14ac:dyDescent="0.2">
      <c r="A1670" s="198" t="s">
        <v>1279</v>
      </c>
      <c r="B1670" s="224" t="s">
        <v>4159</v>
      </c>
      <c r="C1670" s="225" t="s">
        <v>4133</v>
      </c>
      <c r="D1670" s="226" t="s">
        <v>11</v>
      </c>
      <c r="E1670" s="227">
        <v>23.6</v>
      </c>
      <c r="F1670" s="227"/>
      <c r="G1670" s="225"/>
      <c r="H1670" s="235">
        <f>SUMIFS($E:$E,$C:$C,G1670,$A:$A,$G$30)</f>
        <v>0</v>
      </c>
      <c r="J1670" s="215"/>
    </row>
    <row r="1671" spans="1:10" ht="25.5" hidden="1" customHeight="1" outlineLevel="1" x14ac:dyDescent="0.2">
      <c r="A1671" s="198" t="s">
        <v>1279</v>
      </c>
      <c r="B1671" s="228" t="s">
        <v>4160</v>
      </c>
      <c r="C1671" s="229" t="s">
        <v>4141</v>
      </c>
      <c r="D1671" s="230" t="s">
        <v>11</v>
      </c>
      <c r="E1671" s="231">
        <v>6.27</v>
      </c>
      <c r="F1671" s="231"/>
      <c r="G1671" s="229"/>
      <c r="H1671" s="235">
        <f>SUMIFS($E:$E,$C:$C,G1671,$A:$A,$G$30)</f>
        <v>0</v>
      </c>
      <c r="J1671" s="215"/>
    </row>
    <row r="1672" spans="1:10" ht="25.5" hidden="1" customHeight="1" outlineLevel="1" x14ac:dyDescent="0.2">
      <c r="A1672" s="198" t="s">
        <v>1279</v>
      </c>
      <c r="B1672" s="224" t="s">
        <v>4161</v>
      </c>
      <c r="C1672" s="225" t="s">
        <v>4135</v>
      </c>
      <c r="D1672" s="226" t="s">
        <v>11</v>
      </c>
      <c r="E1672" s="227">
        <v>50.17</v>
      </c>
      <c r="F1672" s="227"/>
      <c r="G1672" s="225"/>
      <c r="H1672" s="235">
        <f>SUMIFS($E:$E,$C:$C,G1672,$A:$A,$G$30)</f>
        <v>0</v>
      </c>
      <c r="J1672" s="215"/>
    </row>
    <row r="1673" spans="1:10" ht="25.5" hidden="1" customHeight="1" outlineLevel="1" x14ac:dyDescent="0.2">
      <c r="A1673" s="198" t="s">
        <v>1279</v>
      </c>
      <c r="B1673" s="228" t="s">
        <v>4162</v>
      </c>
      <c r="C1673" s="229" t="s">
        <v>4143</v>
      </c>
      <c r="D1673" s="230" t="s">
        <v>11</v>
      </c>
      <c r="E1673" s="231">
        <v>1.3</v>
      </c>
      <c r="F1673" s="231"/>
      <c r="J1673" s="215"/>
    </row>
    <row r="1674" spans="1:10" ht="12.75" hidden="1" customHeight="1" outlineLevel="1" x14ac:dyDescent="0.2">
      <c r="A1674" s="198" t="s">
        <v>1279</v>
      </c>
      <c r="B1674" s="224" t="s">
        <v>4163</v>
      </c>
      <c r="C1674" s="225" t="s">
        <v>4136</v>
      </c>
      <c r="D1674" s="226" t="s">
        <v>11</v>
      </c>
      <c r="E1674" s="227">
        <v>38.799999999999997</v>
      </c>
      <c r="F1674" s="227"/>
      <c r="J1674" s="215"/>
    </row>
    <row r="1675" spans="1:10" ht="12.75" hidden="1" customHeight="1" outlineLevel="1" x14ac:dyDescent="0.2">
      <c r="A1675" s="198" t="s">
        <v>1279</v>
      </c>
      <c r="B1675" s="216" t="s">
        <v>4164</v>
      </c>
      <c r="C1675" s="217" t="s">
        <v>2969</v>
      </c>
      <c r="D1675" s="218"/>
      <c r="E1675" s="219"/>
      <c r="F1675" s="219"/>
      <c r="J1675" s="215"/>
    </row>
    <row r="1676" spans="1:10" ht="25.5" hidden="1" customHeight="1" outlineLevel="1" x14ac:dyDescent="0.2">
      <c r="A1676" s="198" t="s">
        <v>1279</v>
      </c>
      <c r="B1676" s="228" t="s">
        <v>4165</v>
      </c>
      <c r="C1676" s="229" t="s">
        <v>4133</v>
      </c>
      <c r="D1676" s="230" t="s">
        <v>11</v>
      </c>
      <c r="E1676" s="231">
        <v>23.36</v>
      </c>
      <c r="F1676" s="231"/>
      <c r="J1676" s="215"/>
    </row>
    <row r="1677" spans="1:10" ht="25.5" hidden="1" customHeight="1" outlineLevel="1" x14ac:dyDescent="0.2">
      <c r="A1677" s="198" t="s">
        <v>1279</v>
      </c>
      <c r="B1677" s="224" t="s">
        <v>4166</v>
      </c>
      <c r="C1677" s="225" t="s">
        <v>4141</v>
      </c>
      <c r="D1677" s="226" t="s">
        <v>11</v>
      </c>
      <c r="E1677" s="227">
        <v>6.28</v>
      </c>
      <c r="F1677" s="227"/>
      <c r="J1677" s="215"/>
    </row>
    <row r="1678" spans="1:10" ht="25.5" hidden="1" customHeight="1" outlineLevel="1" x14ac:dyDescent="0.2">
      <c r="A1678" s="198" t="s">
        <v>1279</v>
      </c>
      <c r="B1678" s="228" t="s">
        <v>4167</v>
      </c>
      <c r="C1678" s="229" t="s">
        <v>4135</v>
      </c>
      <c r="D1678" s="230" t="s">
        <v>11</v>
      </c>
      <c r="E1678" s="231">
        <v>50.16</v>
      </c>
      <c r="F1678" s="231"/>
      <c r="J1678" s="215"/>
    </row>
    <row r="1679" spans="1:10" ht="12.75" hidden="1" customHeight="1" outlineLevel="1" x14ac:dyDescent="0.2">
      <c r="A1679" s="198" t="s">
        <v>1279</v>
      </c>
      <c r="B1679" s="224" t="s">
        <v>4168</v>
      </c>
      <c r="C1679" s="225" t="s">
        <v>4136</v>
      </c>
      <c r="D1679" s="226" t="s">
        <v>11</v>
      </c>
      <c r="E1679" s="227">
        <v>27.45</v>
      </c>
      <c r="F1679" s="227"/>
      <c r="J1679" s="215"/>
    </row>
    <row r="1680" spans="1:10" ht="12.75" hidden="1" customHeight="1" outlineLevel="1" x14ac:dyDescent="0.2">
      <c r="A1680" s="198" t="s">
        <v>1279</v>
      </c>
      <c r="B1680" s="216" t="s">
        <v>4169</v>
      </c>
      <c r="C1680" s="217" t="s">
        <v>2970</v>
      </c>
      <c r="D1680" s="218"/>
      <c r="E1680" s="219"/>
      <c r="F1680" s="219"/>
      <c r="J1680" s="215"/>
    </row>
    <row r="1681" spans="1:10" ht="25.5" hidden="1" customHeight="1" outlineLevel="1" x14ac:dyDescent="0.2">
      <c r="A1681" s="198" t="s">
        <v>1279</v>
      </c>
      <c r="B1681" s="228" t="s">
        <v>4170</v>
      </c>
      <c r="C1681" s="229" t="s">
        <v>4133</v>
      </c>
      <c r="D1681" s="230" t="s">
        <v>11</v>
      </c>
      <c r="E1681" s="231">
        <v>23.6</v>
      </c>
      <c r="F1681" s="231"/>
      <c r="J1681" s="215"/>
    </row>
    <row r="1682" spans="1:10" ht="25.5" hidden="1" customHeight="1" outlineLevel="1" x14ac:dyDescent="0.2">
      <c r="A1682" s="198" t="s">
        <v>1279</v>
      </c>
      <c r="B1682" s="224" t="s">
        <v>4171</v>
      </c>
      <c r="C1682" s="225" t="s">
        <v>4141</v>
      </c>
      <c r="D1682" s="226" t="s">
        <v>11</v>
      </c>
      <c r="E1682" s="227">
        <v>6.27</v>
      </c>
      <c r="F1682" s="227"/>
      <c r="J1682" s="215"/>
    </row>
    <row r="1683" spans="1:10" ht="25.5" hidden="1" customHeight="1" outlineLevel="1" x14ac:dyDescent="0.2">
      <c r="A1683" s="198" t="s">
        <v>1279</v>
      </c>
      <c r="B1683" s="228" t="s">
        <v>4172</v>
      </c>
      <c r="C1683" s="229" t="s">
        <v>4135</v>
      </c>
      <c r="D1683" s="230" t="s">
        <v>11</v>
      </c>
      <c r="E1683" s="231">
        <v>50.17</v>
      </c>
      <c r="F1683" s="231"/>
      <c r="J1683" s="215"/>
    </row>
    <row r="1684" spans="1:10" ht="25.5" hidden="1" customHeight="1" outlineLevel="1" x14ac:dyDescent="0.2">
      <c r="A1684" s="198" t="s">
        <v>1279</v>
      </c>
      <c r="B1684" s="224" t="s">
        <v>4173</v>
      </c>
      <c r="C1684" s="225" t="s">
        <v>4143</v>
      </c>
      <c r="D1684" s="226" t="s">
        <v>11</v>
      </c>
      <c r="E1684" s="227">
        <v>1.3</v>
      </c>
      <c r="F1684" s="227"/>
      <c r="J1684" s="215"/>
    </row>
    <row r="1685" spans="1:10" ht="12.75" hidden="1" customHeight="1" outlineLevel="1" x14ac:dyDescent="0.2">
      <c r="A1685" s="198" t="s">
        <v>1279</v>
      </c>
      <c r="B1685" s="228" t="s">
        <v>4174</v>
      </c>
      <c r="C1685" s="229" t="s">
        <v>4136</v>
      </c>
      <c r="D1685" s="230" t="s">
        <v>11</v>
      </c>
      <c r="E1685" s="231">
        <v>38.799999999999997</v>
      </c>
      <c r="F1685" s="231"/>
      <c r="J1685" s="215"/>
    </row>
    <row r="1686" spans="1:10" ht="12.75" hidden="1" customHeight="1" outlineLevel="1" x14ac:dyDescent="0.2">
      <c r="A1686" s="198" t="s">
        <v>1279</v>
      </c>
      <c r="B1686" s="216" t="s">
        <v>4175</v>
      </c>
      <c r="C1686" s="217" t="s">
        <v>2971</v>
      </c>
      <c r="D1686" s="218"/>
      <c r="E1686" s="219"/>
      <c r="F1686" s="219"/>
      <c r="J1686" s="215"/>
    </row>
    <row r="1687" spans="1:10" ht="25.5" hidden="1" customHeight="1" outlineLevel="1" x14ac:dyDescent="0.2">
      <c r="A1687" s="198" t="s">
        <v>1279</v>
      </c>
      <c r="B1687" s="224" t="s">
        <v>4176</v>
      </c>
      <c r="C1687" s="225" t="s">
        <v>4133</v>
      </c>
      <c r="D1687" s="226" t="s">
        <v>11</v>
      </c>
      <c r="E1687" s="227">
        <v>23.36</v>
      </c>
      <c r="F1687" s="227"/>
      <c r="J1687" s="215"/>
    </row>
    <row r="1688" spans="1:10" ht="25.5" hidden="1" customHeight="1" outlineLevel="1" x14ac:dyDescent="0.2">
      <c r="A1688" s="198" t="s">
        <v>1279</v>
      </c>
      <c r="B1688" s="228" t="s">
        <v>4177</v>
      </c>
      <c r="C1688" s="229" t="s">
        <v>4141</v>
      </c>
      <c r="D1688" s="230" t="s">
        <v>11</v>
      </c>
      <c r="E1688" s="231">
        <v>6.28</v>
      </c>
      <c r="F1688" s="231"/>
      <c r="J1688" s="215"/>
    </row>
    <row r="1689" spans="1:10" ht="25.5" hidden="1" customHeight="1" outlineLevel="1" x14ac:dyDescent="0.2">
      <c r="A1689" s="198" t="s">
        <v>1279</v>
      </c>
      <c r="B1689" s="224" t="s">
        <v>4178</v>
      </c>
      <c r="C1689" s="225" t="s">
        <v>4135</v>
      </c>
      <c r="D1689" s="226" t="s">
        <v>11</v>
      </c>
      <c r="E1689" s="227">
        <v>50.55</v>
      </c>
      <c r="F1689" s="227"/>
      <c r="J1689" s="215"/>
    </row>
    <row r="1690" spans="1:10" ht="12.75" hidden="1" customHeight="1" outlineLevel="1" x14ac:dyDescent="0.2">
      <c r="A1690" s="198" t="s">
        <v>1279</v>
      </c>
      <c r="B1690" s="228" t="s">
        <v>4179</v>
      </c>
      <c r="C1690" s="229" t="s">
        <v>4136</v>
      </c>
      <c r="D1690" s="230" t="s">
        <v>11</v>
      </c>
      <c r="E1690" s="231">
        <v>27.45</v>
      </c>
      <c r="F1690" s="231"/>
      <c r="J1690" s="215"/>
    </row>
    <row r="1691" spans="1:10" ht="12.75" hidden="1" customHeight="1" outlineLevel="1" x14ac:dyDescent="0.2">
      <c r="A1691" s="198" t="s">
        <v>1279</v>
      </c>
      <c r="B1691" s="216" t="s">
        <v>4180</v>
      </c>
      <c r="C1691" s="217" t="s">
        <v>2972</v>
      </c>
      <c r="D1691" s="218"/>
      <c r="E1691" s="219"/>
      <c r="F1691" s="219"/>
      <c r="J1691" s="215"/>
    </row>
    <row r="1692" spans="1:10" ht="25.5" hidden="1" customHeight="1" outlineLevel="1" x14ac:dyDescent="0.2">
      <c r="A1692" s="198" t="s">
        <v>1279</v>
      </c>
      <c r="B1692" s="224" t="s">
        <v>4181</v>
      </c>
      <c r="C1692" s="225" t="s">
        <v>4182</v>
      </c>
      <c r="D1692" s="226" t="s">
        <v>11</v>
      </c>
      <c r="E1692" s="227">
        <v>15.84</v>
      </c>
      <c r="F1692" s="227"/>
      <c r="J1692" s="215"/>
    </row>
    <row r="1693" spans="1:10" ht="25.5" hidden="1" customHeight="1" outlineLevel="1" x14ac:dyDescent="0.2">
      <c r="A1693" s="198" t="s">
        <v>1279</v>
      </c>
      <c r="B1693" s="228" t="s">
        <v>4183</v>
      </c>
      <c r="C1693" s="229" t="s">
        <v>4184</v>
      </c>
      <c r="D1693" s="230" t="s">
        <v>11</v>
      </c>
      <c r="E1693" s="231">
        <v>54.88</v>
      </c>
      <c r="F1693" s="231"/>
      <c r="J1693" s="215"/>
    </row>
    <row r="1694" spans="1:10" ht="25.5" hidden="1" customHeight="1" outlineLevel="1" x14ac:dyDescent="0.2">
      <c r="A1694" s="198" t="s">
        <v>1279</v>
      </c>
      <c r="B1694" s="224" t="s">
        <v>4185</v>
      </c>
      <c r="C1694" s="225" t="s">
        <v>4134</v>
      </c>
      <c r="D1694" s="226" t="s">
        <v>11</v>
      </c>
      <c r="E1694" s="227">
        <v>19.53</v>
      </c>
      <c r="F1694" s="227"/>
      <c r="J1694" s="215"/>
    </row>
    <row r="1695" spans="1:10" ht="12.75" hidden="1" customHeight="1" outlineLevel="1" x14ac:dyDescent="0.2">
      <c r="A1695" s="198" t="s">
        <v>1279</v>
      </c>
      <c r="B1695" s="228" t="s">
        <v>4186</v>
      </c>
      <c r="C1695" s="229" t="s">
        <v>4136</v>
      </c>
      <c r="D1695" s="230" t="s">
        <v>11</v>
      </c>
      <c r="E1695" s="231">
        <v>135.81</v>
      </c>
      <c r="F1695" s="231"/>
      <c r="J1695" s="215"/>
    </row>
    <row r="1696" spans="1:10" ht="25.5" hidden="1" customHeight="1" outlineLevel="1" x14ac:dyDescent="0.2">
      <c r="A1696" s="198" t="s">
        <v>1279</v>
      </c>
      <c r="B1696" s="224" t="s">
        <v>4187</v>
      </c>
      <c r="C1696" s="225" t="s">
        <v>4188</v>
      </c>
      <c r="D1696" s="226" t="s">
        <v>11</v>
      </c>
      <c r="E1696" s="227">
        <v>8.66</v>
      </c>
      <c r="F1696" s="227"/>
      <c r="J1696" s="215"/>
    </row>
    <row r="1697" spans="1:10" ht="12.75" hidden="1" customHeight="1" outlineLevel="1" x14ac:dyDescent="0.2">
      <c r="A1697" s="198" t="s">
        <v>1279</v>
      </c>
      <c r="B1697" s="216" t="s">
        <v>4189</v>
      </c>
      <c r="C1697" s="217" t="s">
        <v>2973</v>
      </c>
      <c r="D1697" s="218"/>
      <c r="E1697" s="219"/>
      <c r="F1697" s="219"/>
      <c r="J1697" s="215"/>
    </row>
    <row r="1698" spans="1:10" ht="25.5" hidden="1" customHeight="1" outlineLevel="1" x14ac:dyDescent="0.2">
      <c r="A1698" s="198" t="s">
        <v>1279</v>
      </c>
      <c r="B1698" s="228" t="s">
        <v>4190</v>
      </c>
      <c r="C1698" s="229" t="s">
        <v>4133</v>
      </c>
      <c r="D1698" s="230" t="s">
        <v>11</v>
      </c>
      <c r="E1698" s="231">
        <v>9.35</v>
      </c>
      <c r="F1698" s="231"/>
      <c r="J1698" s="215"/>
    </row>
    <row r="1699" spans="1:10" ht="25.5" hidden="1" customHeight="1" outlineLevel="1" x14ac:dyDescent="0.2">
      <c r="A1699" s="198" t="s">
        <v>1279</v>
      </c>
      <c r="B1699" s="224" t="s">
        <v>4191</v>
      </c>
      <c r="C1699" s="225" t="s">
        <v>4134</v>
      </c>
      <c r="D1699" s="226" t="s">
        <v>11</v>
      </c>
      <c r="E1699" s="227">
        <v>4.4800000000000004</v>
      </c>
      <c r="F1699" s="227"/>
      <c r="J1699" s="215"/>
    </row>
    <row r="1700" spans="1:10" ht="25.5" hidden="1" customHeight="1" outlineLevel="1" x14ac:dyDescent="0.2">
      <c r="A1700" s="198" t="s">
        <v>1279</v>
      </c>
      <c r="B1700" s="228" t="s">
        <v>4192</v>
      </c>
      <c r="C1700" s="229" t="s">
        <v>4135</v>
      </c>
      <c r="D1700" s="230" t="s">
        <v>11</v>
      </c>
      <c r="E1700" s="231">
        <v>26.62</v>
      </c>
      <c r="F1700" s="231"/>
      <c r="J1700" s="215"/>
    </row>
    <row r="1701" spans="1:10" ht="25.5" hidden="1" customHeight="1" outlineLevel="1" x14ac:dyDescent="0.2">
      <c r="A1701" s="198" t="s">
        <v>1279</v>
      </c>
      <c r="B1701" s="224" t="s">
        <v>4193</v>
      </c>
      <c r="C1701" s="225" t="s">
        <v>4143</v>
      </c>
      <c r="D1701" s="226" t="s">
        <v>11</v>
      </c>
      <c r="E1701" s="227">
        <v>3.04</v>
      </c>
      <c r="F1701" s="227"/>
      <c r="J1701" s="215"/>
    </row>
    <row r="1702" spans="1:10" ht="12.75" hidden="1" customHeight="1" outlineLevel="1" x14ac:dyDescent="0.2">
      <c r="A1702" s="198" t="s">
        <v>1279</v>
      </c>
      <c r="B1702" s="228" t="s">
        <v>4194</v>
      </c>
      <c r="C1702" s="229" t="s">
        <v>4136</v>
      </c>
      <c r="D1702" s="230" t="s">
        <v>11</v>
      </c>
      <c r="E1702" s="231">
        <v>91.65</v>
      </c>
      <c r="F1702" s="231"/>
      <c r="J1702" s="215"/>
    </row>
    <row r="1703" spans="1:10" ht="12.75" hidden="1" customHeight="1" outlineLevel="1" x14ac:dyDescent="0.2">
      <c r="A1703" s="198" t="s">
        <v>1279</v>
      </c>
      <c r="B1703" s="216" t="s">
        <v>4195</v>
      </c>
      <c r="C1703" s="217" t="s">
        <v>2974</v>
      </c>
      <c r="D1703" s="218"/>
      <c r="E1703" s="219"/>
      <c r="F1703" s="219"/>
      <c r="J1703" s="215"/>
    </row>
    <row r="1704" spans="1:10" ht="25.5" hidden="1" customHeight="1" outlineLevel="1" x14ac:dyDescent="0.2">
      <c r="A1704" s="198" t="s">
        <v>1279</v>
      </c>
      <c r="B1704" s="224" t="s">
        <v>4196</v>
      </c>
      <c r="C1704" s="225" t="s">
        <v>4133</v>
      </c>
      <c r="D1704" s="226" t="s">
        <v>11</v>
      </c>
      <c r="E1704" s="227">
        <v>15.12</v>
      </c>
      <c r="F1704" s="227"/>
      <c r="J1704" s="215"/>
    </row>
    <row r="1705" spans="1:10" ht="25.5" hidden="1" customHeight="1" outlineLevel="1" x14ac:dyDescent="0.2">
      <c r="A1705" s="198" t="s">
        <v>1279</v>
      </c>
      <c r="B1705" s="228" t="s">
        <v>4197</v>
      </c>
      <c r="C1705" s="229" t="s">
        <v>4134</v>
      </c>
      <c r="D1705" s="230" t="s">
        <v>11</v>
      </c>
      <c r="E1705" s="231">
        <v>4.4800000000000004</v>
      </c>
      <c r="F1705" s="231"/>
      <c r="J1705" s="215"/>
    </row>
    <row r="1706" spans="1:10" ht="25.5" hidden="1" customHeight="1" outlineLevel="1" x14ac:dyDescent="0.2">
      <c r="A1706" s="198" t="s">
        <v>1279</v>
      </c>
      <c r="B1706" s="224" t="s">
        <v>4198</v>
      </c>
      <c r="C1706" s="225" t="s">
        <v>4135</v>
      </c>
      <c r="D1706" s="226" t="s">
        <v>11</v>
      </c>
      <c r="E1706" s="227">
        <v>26.62</v>
      </c>
      <c r="F1706" s="227"/>
      <c r="J1706" s="215"/>
    </row>
    <row r="1707" spans="1:10" ht="12.75" hidden="1" customHeight="1" outlineLevel="1" x14ac:dyDescent="0.2">
      <c r="A1707" s="198" t="s">
        <v>1279</v>
      </c>
      <c r="B1707" s="228" t="s">
        <v>4199</v>
      </c>
      <c r="C1707" s="229" t="s">
        <v>4136</v>
      </c>
      <c r="D1707" s="230" t="s">
        <v>11</v>
      </c>
      <c r="E1707" s="231">
        <v>22.47</v>
      </c>
      <c r="F1707" s="231"/>
      <c r="J1707" s="215"/>
    </row>
    <row r="1708" spans="1:10" ht="12.75" hidden="1" customHeight="1" outlineLevel="1" x14ac:dyDescent="0.2">
      <c r="A1708" s="198" t="s">
        <v>1279</v>
      </c>
      <c r="B1708" s="216" t="s">
        <v>4200</v>
      </c>
      <c r="C1708" s="217" t="s">
        <v>2975</v>
      </c>
      <c r="D1708" s="218"/>
      <c r="E1708" s="219"/>
      <c r="F1708" s="219"/>
      <c r="J1708" s="215"/>
    </row>
    <row r="1709" spans="1:10" ht="25.5" hidden="1" customHeight="1" outlineLevel="1" x14ac:dyDescent="0.2">
      <c r="A1709" s="198" t="s">
        <v>1279</v>
      </c>
      <c r="B1709" s="224" t="s">
        <v>4201</v>
      </c>
      <c r="C1709" s="225" t="s">
        <v>4133</v>
      </c>
      <c r="D1709" s="226" t="s">
        <v>11</v>
      </c>
      <c r="E1709" s="227">
        <v>9.35</v>
      </c>
      <c r="F1709" s="227"/>
      <c r="J1709" s="215"/>
    </row>
    <row r="1710" spans="1:10" ht="25.5" hidden="1" customHeight="1" outlineLevel="1" x14ac:dyDescent="0.2">
      <c r="A1710" s="198" t="s">
        <v>1279</v>
      </c>
      <c r="B1710" s="228" t="s">
        <v>4202</v>
      </c>
      <c r="C1710" s="229" t="s">
        <v>4134</v>
      </c>
      <c r="D1710" s="230" t="s">
        <v>11</v>
      </c>
      <c r="E1710" s="231">
        <v>4.49</v>
      </c>
      <c r="F1710" s="231"/>
      <c r="J1710" s="215"/>
    </row>
    <row r="1711" spans="1:10" ht="25.5" hidden="1" customHeight="1" outlineLevel="1" x14ac:dyDescent="0.2">
      <c r="A1711" s="198" t="s">
        <v>1279</v>
      </c>
      <c r="B1711" s="224" t="s">
        <v>4203</v>
      </c>
      <c r="C1711" s="225" t="s">
        <v>4135</v>
      </c>
      <c r="D1711" s="226" t="s">
        <v>11</v>
      </c>
      <c r="E1711" s="227">
        <v>29.98</v>
      </c>
      <c r="F1711" s="227"/>
      <c r="J1711" s="215"/>
    </row>
    <row r="1712" spans="1:10" ht="25.5" hidden="1" customHeight="1" outlineLevel="1" x14ac:dyDescent="0.2">
      <c r="A1712" s="198" t="s">
        <v>1279</v>
      </c>
      <c r="B1712" s="228" t="s">
        <v>4204</v>
      </c>
      <c r="C1712" s="229" t="s">
        <v>4143</v>
      </c>
      <c r="D1712" s="230" t="s">
        <v>11</v>
      </c>
      <c r="E1712" s="231">
        <v>3.06</v>
      </c>
      <c r="F1712" s="231"/>
      <c r="J1712" s="215"/>
    </row>
    <row r="1713" spans="1:10" ht="12.75" hidden="1" customHeight="1" outlineLevel="1" x14ac:dyDescent="0.2">
      <c r="A1713" s="198" t="s">
        <v>1279</v>
      </c>
      <c r="B1713" s="224" t="s">
        <v>4205</v>
      </c>
      <c r="C1713" s="225" t="s">
        <v>4136</v>
      </c>
      <c r="D1713" s="226" t="s">
        <v>11</v>
      </c>
      <c r="E1713" s="227">
        <v>29.14</v>
      </c>
      <c r="F1713" s="227"/>
      <c r="J1713" s="215"/>
    </row>
    <row r="1714" spans="1:10" ht="12.75" hidden="1" customHeight="1" outlineLevel="1" x14ac:dyDescent="0.2">
      <c r="A1714" s="198" t="s">
        <v>1279</v>
      </c>
      <c r="B1714" s="216" t="s">
        <v>4206</v>
      </c>
      <c r="C1714" s="217" t="s">
        <v>2976</v>
      </c>
      <c r="D1714" s="218"/>
      <c r="E1714" s="219"/>
      <c r="F1714" s="219"/>
      <c r="J1714" s="215"/>
    </row>
    <row r="1715" spans="1:10" ht="25.5" hidden="1" customHeight="1" outlineLevel="1" x14ac:dyDescent="0.2">
      <c r="A1715" s="198" t="s">
        <v>1279</v>
      </c>
      <c r="B1715" s="228" t="s">
        <v>4207</v>
      </c>
      <c r="C1715" s="229" t="s">
        <v>4133</v>
      </c>
      <c r="D1715" s="230" t="s">
        <v>11</v>
      </c>
      <c r="E1715" s="231">
        <v>15.13</v>
      </c>
      <c r="F1715" s="231"/>
      <c r="J1715" s="215"/>
    </row>
    <row r="1716" spans="1:10" ht="25.5" hidden="1" customHeight="1" outlineLevel="1" x14ac:dyDescent="0.2">
      <c r="A1716" s="198" t="s">
        <v>1279</v>
      </c>
      <c r="B1716" s="224" t="s">
        <v>4208</v>
      </c>
      <c r="C1716" s="225" t="s">
        <v>4134</v>
      </c>
      <c r="D1716" s="226" t="s">
        <v>11</v>
      </c>
      <c r="E1716" s="227">
        <v>4.4800000000000004</v>
      </c>
      <c r="F1716" s="227"/>
      <c r="J1716" s="215"/>
    </row>
    <row r="1717" spans="1:10" ht="25.5" hidden="1" customHeight="1" outlineLevel="1" x14ac:dyDescent="0.2">
      <c r="A1717" s="198" t="s">
        <v>1279</v>
      </c>
      <c r="B1717" s="228" t="s">
        <v>4209</v>
      </c>
      <c r="C1717" s="229" t="s">
        <v>4135</v>
      </c>
      <c r="D1717" s="230" t="s">
        <v>11</v>
      </c>
      <c r="E1717" s="231">
        <v>27.34</v>
      </c>
      <c r="F1717" s="231"/>
      <c r="J1717" s="215"/>
    </row>
    <row r="1718" spans="1:10" ht="12.75" hidden="1" customHeight="1" outlineLevel="1" x14ac:dyDescent="0.2">
      <c r="A1718" s="198" t="s">
        <v>1279</v>
      </c>
      <c r="B1718" s="224" t="s">
        <v>4210</v>
      </c>
      <c r="C1718" s="225" t="s">
        <v>4136</v>
      </c>
      <c r="D1718" s="226" t="s">
        <v>11</v>
      </c>
      <c r="E1718" s="227">
        <v>22.44</v>
      </c>
      <c r="F1718" s="227"/>
      <c r="J1718" s="215"/>
    </row>
    <row r="1719" spans="1:10" ht="12.75" hidden="1" customHeight="1" outlineLevel="1" x14ac:dyDescent="0.2">
      <c r="A1719" s="198" t="s">
        <v>1279</v>
      </c>
      <c r="B1719" s="216" t="s">
        <v>4211</v>
      </c>
      <c r="C1719" s="217" t="s">
        <v>2978</v>
      </c>
      <c r="D1719" s="218"/>
      <c r="E1719" s="219"/>
      <c r="F1719" s="219"/>
      <c r="J1719" s="215"/>
    </row>
    <row r="1720" spans="1:10" ht="12.75" hidden="1" customHeight="1" outlineLevel="1" x14ac:dyDescent="0.2">
      <c r="A1720" s="198" t="s">
        <v>1279</v>
      </c>
      <c r="B1720" s="228" t="s">
        <v>4212</v>
      </c>
      <c r="C1720" s="229" t="s">
        <v>4213</v>
      </c>
      <c r="D1720" s="230" t="s">
        <v>11</v>
      </c>
      <c r="E1720" s="231">
        <v>10.36</v>
      </c>
      <c r="F1720" s="231"/>
      <c r="J1720" s="215"/>
    </row>
    <row r="1721" spans="1:10" ht="25.5" hidden="1" customHeight="1" outlineLevel="1" x14ac:dyDescent="0.2">
      <c r="A1721" s="198" t="s">
        <v>1279</v>
      </c>
      <c r="B1721" s="224" t="s">
        <v>4214</v>
      </c>
      <c r="C1721" s="225" t="s">
        <v>4215</v>
      </c>
      <c r="D1721" s="226" t="s">
        <v>11</v>
      </c>
      <c r="E1721" s="227">
        <v>50.08</v>
      </c>
      <c r="F1721" s="227"/>
      <c r="J1721" s="215"/>
    </row>
    <row r="1722" spans="1:10" ht="25.5" hidden="1" customHeight="1" outlineLevel="1" x14ac:dyDescent="0.2">
      <c r="A1722" s="198" t="s">
        <v>1279</v>
      </c>
      <c r="B1722" s="228" t="s">
        <v>4216</v>
      </c>
      <c r="C1722" s="229" t="s">
        <v>4217</v>
      </c>
      <c r="D1722" s="230" t="s">
        <v>11</v>
      </c>
      <c r="E1722" s="231">
        <v>3</v>
      </c>
      <c r="F1722" s="231"/>
      <c r="J1722" s="215"/>
    </row>
    <row r="1723" spans="1:10" ht="25.5" hidden="1" customHeight="1" outlineLevel="1" x14ac:dyDescent="0.2">
      <c r="A1723" s="198" t="s">
        <v>1279</v>
      </c>
      <c r="B1723" s="224" t="s">
        <v>4218</v>
      </c>
      <c r="C1723" s="225" t="s">
        <v>4134</v>
      </c>
      <c r="D1723" s="226" t="s">
        <v>11</v>
      </c>
      <c r="E1723" s="227">
        <v>10.220000000000001</v>
      </c>
      <c r="F1723" s="227"/>
      <c r="J1723" s="215"/>
    </row>
    <row r="1724" spans="1:10" ht="25.5" hidden="1" customHeight="1" outlineLevel="1" x14ac:dyDescent="0.2">
      <c r="A1724" s="198" t="s">
        <v>1279</v>
      </c>
      <c r="B1724" s="228" t="s">
        <v>4219</v>
      </c>
      <c r="C1724" s="229" t="s">
        <v>4220</v>
      </c>
      <c r="D1724" s="230" t="s">
        <v>11</v>
      </c>
      <c r="E1724" s="231">
        <v>2.0099999999999998</v>
      </c>
      <c r="F1724" s="231"/>
      <c r="J1724" s="215"/>
    </row>
    <row r="1725" spans="1:10" ht="12.75" hidden="1" customHeight="1" outlineLevel="1" x14ac:dyDescent="0.2">
      <c r="A1725" s="198" t="s">
        <v>1279</v>
      </c>
      <c r="B1725" s="224" t="s">
        <v>4221</v>
      </c>
      <c r="C1725" s="225" t="s">
        <v>4222</v>
      </c>
      <c r="D1725" s="226" t="s">
        <v>11</v>
      </c>
      <c r="E1725" s="227">
        <v>55.83</v>
      </c>
      <c r="F1725" s="227"/>
      <c r="J1725" s="215"/>
    </row>
    <row r="1726" spans="1:10" ht="25.5" hidden="1" customHeight="1" outlineLevel="1" x14ac:dyDescent="0.2">
      <c r="A1726" s="198" t="s">
        <v>1279</v>
      </c>
      <c r="B1726" s="228" t="s">
        <v>4223</v>
      </c>
      <c r="C1726" s="229" t="s">
        <v>4224</v>
      </c>
      <c r="D1726" s="230" t="s">
        <v>11</v>
      </c>
      <c r="E1726" s="231">
        <v>6.65</v>
      </c>
      <c r="F1726" s="231"/>
      <c r="J1726" s="215"/>
    </row>
    <row r="1727" spans="1:10" ht="12.75" hidden="1" customHeight="1" outlineLevel="1" x14ac:dyDescent="0.2">
      <c r="A1727" s="198" t="s">
        <v>1279</v>
      </c>
      <c r="B1727" s="224" t="s">
        <v>4225</v>
      </c>
      <c r="C1727" s="225" t="s">
        <v>4226</v>
      </c>
      <c r="D1727" s="226" t="s">
        <v>11</v>
      </c>
      <c r="E1727" s="227">
        <v>19.579999999999998</v>
      </c>
      <c r="F1727" s="227"/>
      <c r="J1727" s="215"/>
    </row>
    <row r="1728" spans="1:10" ht="25.5" hidden="1" customHeight="1" outlineLevel="1" x14ac:dyDescent="0.2">
      <c r="A1728" s="198" t="s">
        <v>1279</v>
      </c>
      <c r="B1728" s="228" t="s">
        <v>4227</v>
      </c>
      <c r="C1728" s="229" t="s">
        <v>4228</v>
      </c>
      <c r="D1728" s="230" t="s">
        <v>11</v>
      </c>
      <c r="E1728" s="231">
        <v>14.2</v>
      </c>
      <c r="F1728" s="231"/>
      <c r="J1728" s="215"/>
    </row>
    <row r="1729" spans="1:10" ht="25.5" hidden="1" customHeight="1" outlineLevel="1" x14ac:dyDescent="0.2">
      <c r="A1729" s="198" t="s">
        <v>1279</v>
      </c>
      <c r="B1729" s="224" t="s">
        <v>4229</v>
      </c>
      <c r="C1729" s="225" t="s">
        <v>4138</v>
      </c>
      <c r="D1729" s="226" t="s">
        <v>11</v>
      </c>
      <c r="E1729" s="227">
        <v>8.8000000000000007</v>
      </c>
      <c r="F1729" s="227"/>
      <c r="J1729" s="215"/>
    </row>
    <row r="1730" spans="1:10" ht="25.5" hidden="1" customHeight="1" outlineLevel="1" x14ac:dyDescent="0.2">
      <c r="A1730" s="198" t="s">
        <v>1279</v>
      </c>
      <c r="B1730" s="228" t="s">
        <v>4230</v>
      </c>
      <c r="C1730" s="229" t="s">
        <v>4231</v>
      </c>
      <c r="D1730" s="230" t="s">
        <v>11</v>
      </c>
      <c r="E1730" s="231">
        <v>6.32</v>
      </c>
      <c r="F1730" s="231"/>
      <c r="J1730" s="215"/>
    </row>
    <row r="1731" spans="1:10" collapsed="1" x14ac:dyDescent="0.2">
      <c r="B1731" s="515" t="s">
        <v>1668</v>
      </c>
      <c r="C1731" s="516" t="s">
        <v>1641</v>
      </c>
      <c r="D1731" s="515"/>
      <c r="E1731" s="520">
        <f>SUM(E1733:E1733)</f>
        <v>7.69</v>
      </c>
      <c r="F1731" s="520"/>
      <c r="G1731" s="516"/>
      <c r="H1731" s="234">
        <f>SUM(H1732:H1733)</f>
        <v>7.69</v>
      </c>
      <c r="I1731" s="242" t="str">
        <f>IF(H1731=E1731,"OKAY","REVER")</f>
        <v>OKAY</v>
      </c>
    </row>
    <row r="1732" spans="1:10" ht="25.5" hidden="1" customHeight="1" outlineLevel="1" x14ac:dyDescent="0.2">
      <c r="A1732" s="198" t="s">
        <v>1278</v>
      </c>
      <c r="B1732" s="216" t="s">
        <v>1669</v>
      </c>
      <c r="C1732" s="217" t="s">
        <v>2955</v>
      </c>
      <c r="D1732" s="218"/>
      <c r="E1732" s="219"/>
      <c r="F1732" s="219"/>
      <c r="G1732" s="225" t="s">
        <v>4252</v>
      </c>
      <c r="H1732" s="235">
        <f>SUMIF($C:$C,G1732,$E:$E)</f>
        <v>7.69</v>
      </c>
      <c r="J1732" s="238"/>
    </row>
    <row r="1733" spans="1:10" ht="25.5" hidden="1" customHeight="1" outlineLevel="1" x14ac:dyDescent="0.2">
      <c r="A1733" s="198" t="s">
        <v>1278</v>
      </c>
      <c r="B1733" s="224" t="s">
        <v>1670</v>
      </c>
      <c r="C1733" s="225" t="s">
        <v>4252</v>
      </c>
      <c r="D1733" s="226" t="s">
        <v>11</v>
      </c>
      <c r="E1733" s="227">
        <v>7.69</v>
      </c>
      <c r="F1733" s="227"/>
      <c r="G1733" s="225"/>
      <c r="H1733" s="235">
        <f>SUMIF($C:$C,G1733,$E:$E)</f>
        <v>0</v>
      </c>
    </row>
    <row r="1734" spans="1:10" collapsed="1" x14ac:dyDescent="0.2">
      <c r="B1734" s="515" t="s">
        <v>1671</v>
      </c>
      <c r="C1734" s="516" t="s">
        <v>1645</v>
      </c>
      <c r="D1734" s="516"/>
      <c r="E1734" s="520">
        <f>SUM(E1736:E1738)</f>
        <v>111.59</v>
      </c>
      <c r="F1734" s="520"/>
      <c r="G1734" s="516"/>
      <c r="H1734" s="234">
        <f>SUM(H1735:H1736)</f>
        <v>111.59</v>
      </c>
      <c r="I1734" s="242" t="str">
        <f>IF(H1734=E1734,"OKAY","REVER")</f>
        <v>OKAY</v>
      </c>
    </row>
    <row r="1735" spans="1:10" ht="25.5" hidden="1" customHeight="1" outlineLevel="1" x14ac:dyDescent="0.2">
      <c r="A1735" s="198" t="s">
        <v>1279</v>
      </c>
      <c r="B1735" s="216" t="s">
        <v>2700</v>
      </c>
      <c r="C1735" s="217" t="s">
        <v>2972</v>
      </c>
      <c r="D1735" s="218"/>
      <c r="E1735" s="219"/>
      <c r="F1735" s="219"/>
      <c r="G1735" s="229" t="s">
        <v>4254</v>
      </c>
      <c r="H1735" s="235">
        <f>SUMIF($C:$C,G1735,$E:$E)</f>
        <v>108.12</v>
      </c>
      <c r="J1735" s="238"/>
    </row>
    <row r="1736" spans="1:10" ht="25.5" hidden="1" customHeight="1" outlineLevel="1" x14ac:dyDescent="0.2">
      <c r="A1736" s="198" t="s">
        <v>1279</v>
      </c>
      <c r="B1736" s="228" t="s">
        <v>2701</v>
      </c>
      <c r="C1736" s="240" t="s">
        <v>4254</v>
      </c>
      <c r="D1736" s="230" t="s">
        <v>11</v>
      </c>
      <c r="E1736" s="231">
        <v>108.12</v>
      </c>
      <c r="F1736" s="231"/>
      <c r="G1736" s="225" t="s">
        <v>4255</v>
      </c>
      <c r="H1736" s="235">
        <f>SUMIF($C:$C,G1736,$E:$E)</f>
        <v>3.47</v>
      </c>
      <c r="J1736" s="238"/>
    </row>
    <row r="1737" spans="1:10" ht="12.75" hidden="1" customHeight="1" outlineLevel="1" x14ac:dyDescent="0.2">
      <c r="A1737" s="198" t="s">
        <v>1279</v>
      </c>
      <c r="B1737" s="216" t="s">
        <v>2702</v>
      </c>
      <c r="C1737" s="217" t="s">
        <v>2978</v>
      </c>
      <c r="D1737" s="218"/>
      <c r="E1737" s="219"/>
      <c r="F1737" s="219"/>
      <c r="G1737" s="241"/>
      <c r="H1737" s="241"/>
    </row>
    <row r="1738" spans="1:10" ht="12.75" hidden="1" customHeight="1" outlineLevel="1" x14ac:dyDescent="0.2">
      <c r="A1738" s="198" t="s">
        <v>1279</v>
      </c>
      <c r="B1738" s="224" t="s">
        <v>2703</v>
      </c>
      <c r="C1738" s="225" t="s">
        <v>4255</v>
      </c>
      <c r="D1738" s="226" t="s">
        <v>11</v>
      </c>
      <c r="E1738" s="227">
        <v>3.47</v>
      </c>
      <c r="F1738" s="227" t="s">
        <v>4256</v>
      </c>
      <c r="G1738" s="241"/>
      <c r="H1738" s="241"/>
    </row>
    <row r="1739" spans="1:10" collapsed="1" x14ac:dyDescent="0.2">
      <c r="B1739" s="515" t="s">
        <v>2704</v>
      </c>
      <c r="C1739" s="516" t="s">
        <v>1682</v>
      </c>
      <c r="D1739" s="515"/>
      <c r="E1739" s="516">
        <f>SUM(E1741:E1779)</f>
        <v>491.31000000000006</v>
      </c>
      <c r="F1739" s="516"/>
      <c r="G1739" s="516"/>
      <c r="H1739" s="234">
        <f>SUM(H1740:H1747)</f>
        <v>491.31000000000006</v>
      </c>
      <c r="I1739" s="242" t="str">
        <f>IF(H1739=E1739,"OKAY","REVER")</f>
        <v>OKAY</v>
      </c>
      <c r="J1739" s="405"/>
    </row>
    <row r="1740" spans="1:10" ht="12.75" hidden="1" customHeight="1" outlineLevel="1" x14ac:dyDescent="0.2">
      <c r="A1740" s="198" t="s">
        <v>1278</v>
      </c>
      <c r="B1740" s="216" t="s">
        <v>2705</v>
      </c>
      <c r="C1740" s="217" t="s">
        <v>2958</v>
      </c>
      <c r="D1740" s="218"/>
      <c r="E1740" s="219"/>
      <c r="F1740" s="219"/>
      <c r="G1740" s="229" t="s">
        <v>4263</v>
      </c>
      <c r="H1740" s="235">
        <f t="shared" ref="H1740:H1747" si="46">SUMIF($C:$C,G1740,$E:$E)</f>
        <v>491.31000000000006</v>
      </c>
      <c r="J1740" s="215"/>
    </row>
    <row r="1741" spans="1:10" ht="12.75" hidden="1" customHeight="1" outlineLevel="1" x14ac:dyDescent="0.2">
      <c r="A1741" s="198" t="s">
        <v>1278</v>
      </c>
      <c r="B1741" s="228" t="s">
        <v>4262</v>
      </c>
      <c r="C1741" s="229" t="s">
        <v>4263</v>
      </c>
      <c r="D1741" s="230" t="s">
        <v>11</v>
      </c>
      <c r="E1741" s="231">
        <v>22.01</v>
      </c>
      <c r="F1741" s="231"/>
      <c r="G1741" s="225"/>
      <c r="H1741" s="235">
        <f t="shared" si="46"/>
        <v>0</v>
      </c>
      <c r="J1741" s="215"/>
    </row>
    <row r="1742" spans="1:10" ht="12.75" hidden="1" customHeight="1" outlineLevel="1" x14ac:dyDescent="0.2">
      <c r="A1742" s="198" t="s">
        <v>1278</v>
      </c>
      <c r="B1742" s="216" t="s">
        <v>2711</v>
      </c>
      <c r="C1742" s="217" t="s">
        <v>2960</v>
      </c>
      <c r="D1742" s="218"/>
      <c r="E1742" s="219"/>
      <c r="F1742" s="219"/>
      <c r="G1742" s="229"/>
      <c r="H1742" s="235">
        <f t="shared" si="46"/>
        <v>0</v>
      </c>
      <c r="J1742" s="215"/>
    </row>
    <row r="1743" spans="1:10" ht="12.75" hidden="1" customHeight="1" outlineLevel="1" x14ac:dyDescent="0.2">
      <c r="A1743" s="198" t="s">
        <v>1278</v>
      </c>
      <c r="B1743" s="224" t="s">
        <v>4264</v>
      </c>
      <c r="C1743" s="225" t="s">
        <v>4263</v>
      </c>
      <c r="D1743" s="226" t="s">
        <v>11</v>
      </c>
      <c r="E1743" s="227">
        <v>14.31</v>
      </c>
      <c r="F1743" s="227"/>
      <c r="G1743" s="225"/>
      <c r="H1743" s="235">
        <f t="shared" si="46"/>
        <v>0</v>
      </c>
      <c r="J1743" s="215"/>
    </row>
    <row r="1744" spans="1:10" ht="12.75" hidden="1" customHeight="1" outlineLevel="1" x14ac:dyDescent="0.2">
      <c r="A1744" s="198" t="s">
        <v>1278</v>
      </c>
      <c r="B1744" s="216" t="s">
        <v>2718</v>
      </c>
      <c r="C1744" s="217" t="s">
        <v>2961</v>
      </c>
      <c r="D1744" s="218"/>
      <c r="E1744" s="219"/>
      <c r="F1744" s="219"/>
      <c r="G1744" s="229"/>
      <c r="H1744" s="235">
        <f t="shared" si="46"/>
        <v>0</v>
      </c>
      <c r="J1744" s="215"/>
    </row>
    <row r="1745" spans="1:10" ht="12.75" hidden="1" customHeight="1" outlineLevel="1" x14ac:dyDescent="0.2">
      <c r="A1745" s="198" t="s">
        <v>1279</v>
      </c>
      <c r="B1745" s="228" t="s">
        <v>4265</v>
      </c>
      <c r="C1745" s="229" t="s">
        <v>4263</v>
      </c>
      <c r="D1745" s="230" t="s">
        <v>11</v>
      </c>
      <c r="E1745" s="231">
        <v>28.33</v>
      </c>
      <c r="F1745" s="231"/>
      <c r="G1745" s="225"/>
      <c r="H1745" s="235">
        <f t="shared" si="46"/>
        <v>0</v>
      </c>
      <c r="J1745" s="215"/>
    </row>
    <row r="1746" spans="1:10" ht="12.75" hidden="1" customHeight="1" outlineLevel="1" x14ac:dyDescent="0.2">
      <c r="A1746" s="198" t="s">
        <v>1279</v>
      </c>
      <c r="B1746" s="216" t="s">
        <v>2723</v>
      </c>
      <c r="C1746" s="217" t="s">
        <v>2962</v>
      </c>
      <c r="D1746" s="218"/>
      <c r="E1746" s="219"/>
      <c r="F1746" s="219"/>
      <c r="G1746" s="229"/>
      <c r="H1746" s="235">
        <f t="shared" si="46"/>
        <v>0</v>
      </c>
      <c r="I1746" s="198"/>
      <c r="J1746" s="215"/>
    </row>
    <row r="1747" spans="1:10" ht="12.75" hidden="1" customHeight="1" outlineLevel="1" x14ac:dyDescent="0.2">
      <c r="A1747" s="198" t="s">
        <v>1279</v>
      </c>
      <c r="B1747" s="224" t="s">
        <v>4266</v>
      </c>
      <c r="C1747" s="225" t="s">
        <v>4263</v>
      </c>
      <c r="D1747" s="226" t="s">
        <v>11</v>
      </c>
      <c r="E1747" s="227">
        <v>32.67</v>
      </c>
      <c r="F1747" s="227"/>
      <c r="G1747" s="225"/>
      <c r="H1747" s="235">
        <f t="shared" si="46"/>
        <v>0</v>
      </c>
      <c r="J1747" s="215"/>
    </row>
    <row r="1748" spans="1:10" ht="12.75" hidden="1" customHeight="1" outlineLevel="1" x14ac:dyDescent="0.2">
      <c r="A1748" s="198" t="s">
        <v>1279</v>
      </c>
      <c r="B1748" s="216" t="s">
        <v>2727</v>
      </c>
      <c r="C1748" s="217" t="s">
        <v>2963</v>
      </c>
      <c r="D1748" s="218"/>
      <c r="E1748" s="219"/>
      <c r="F1748" s="219"/>
      <c r="J1748" s="215"/>
    </row>
    <row r="1749" spans="1:10" ht="12.75" hidden="1" customHeight="1" outlineLevel="1" x14ac:dyDescent="0.2">
      <c r="A1749" s="198" t="s">
        <v>1279</v>
      </c>
      <c r="B1749" s="228" t="s">
        <v>4267</v>
      </c>
      <c r="C1749" s="229" t="s">
        <v>4263</v>
      </c>
      <c r="D1749" s="230" t="s">
        <v>11</v>
      </c>
      <c r="E1749" s="231">
        <v>21.44</v>
      </c>
      <c r="F1749" s="231"/>
      <c r="G1749" s="520" t="s">
        <v>1732</v>
      </c>
      <c r="H1749" s="234">
        <f>H1751+H1763</f>
        <v>491.31</v>
      </c>
      <c r="I1749" s="242" t="str">
        <f>IF(H1749=H1739,"OKAY","REVER")</f>
        <v>OKAY</v>
      </c>
      <c r="J1749" s="215"/>
    </row>
    <row r="1750" spans="1:10" ht="12.75" hidden="1" customHeight="1" outlineLevel="1" x14ac:dyDescent="0.2">
      <c r="A1750" s="198" t="s">
        <v>1279</v>
      </c>
      <c r="B1750" s="216" t="s">
        <v>2731</v>
      </c>
      <c r="C1750" s="217" t="s">
        <v>2964</v>
      </c>
      <c r="D1750" s="218"/>
      <c r="E1750" s="219"/>
      <c r="F1750" s="219"/>
      <c r="G1750" s="232"/>
      <c r="H1750" s="232"/>
      <c r="I1750" s="242"/>
      <c r="J1750" s="215"/>
    </row>
    <row r="1751" spans="1:10" ht="12.75" hidden="1" customHeight="1" outlineLevel="1" x14ac:dyDescent="0.2">
      <c r="A1751" s="198" t="s">
        <v>1279</v>
      </c>
      <c r="B1751" s="224" t="s">
        <v>4268</v>
      </c>
      <c r="C1751" s="225" t="s">
        <v>4263</v>
      </c>
      <c r="D1751" s="226" t="s">
        <v>11</v>
      </c>
      <c r="E1751" s="227">
        <v>26.54</v>
      </c>
      <c r="F1751" s="227"/>
      <c r="G1751" s="520" t="str">
        <f>$A$1</f>
        <v>EMBASSAMENTO</v>
      </c>
      <c r="H1751" s="234">
        <f>SUM(H1752:H1759)</f>
        <v>36.32</v>
      </c>
      <c r="I1751" s="242"/>
      <c r="J1751" s="215"/>
    </row>
    <row r="1752" spans="1:10" ht="12.75" hidden="1" customHeight="1" outlineLevel="1" x14ac:dyDescent="0.2">
      <c r="A1752" s="198" t="s">
        <v>1279</v>
      </c>
      <c r="B1752" s="216" t="s">
        <v>4269</v>
      </c>
      <c r="C1752" s="217" t="s">
        <v>2965</v>
      </c>
      <c r="D1752" s="218"/>
      <c r="E1752" s="219"/>
      <c r="F1752" s="219"/>
      <c r="G1752" s="229" t="s">
        <v>4263</v>
      </c>
      <c r="H1752" s="235">
        <f t="shared" ref="H1752:H1759" si="47">SUMIFS($E:$E,$C:$C,G1752,$A:$A,$G$22)</f>
        <v>36.32</v>
      </c>
      <c r="I1752" s="242"/>
      <c r="J1752" s="215"/>
    </row>
    <row r="1753" spans="1:10" ht="12.75" hidden="1" customHeight="1" outlineLevel="1" x14ac:dyDescent="0.2">
      <c r="A1753" s="198" t="s">
        <v>1279</v>
      </c>
      <c r="B1753" s="228" t="s">
        <v>4270</v>
      </c>
      <c r="C1753" s="229" t="s">
        <v>4263</v>
      </c>
      <c r="D1753" s="230" t="s">
        <v>11</v>
      </c>
      <c r="E1753" s="231">
        <v>21.44</v>
      </c>
      <c r="F1753" s="231"/>
      <c r="G1753" s="225"/>
      <c r="H1753" s="235">
        <f t="shared" si="47"/>
        <v>0</v>
      </c>
      <c r="J1753" s="215"/>
    </row>
    <row r="1754" spans="1:10" ht="12.75" hidden="1" customHeight="1" outlineLevel="1" x14ac:dyDescent="0.2">
      <c r="A1754" s="198" t="s">
        <v>1279</v>
      </c>
      <c r="B1754" s="216" t="s">
        <v>4271</v>
      </c>
      <c r="C1754" s="217" t="s">
        <v>2966</v>
      </c>
      <c r="D1754" s="218"/>
      <c r="E1754" s="219"/>
      <c r="F1754" s="219"/>
      <c r="G1754" s="229"/>
      <c r="H1754" s="235">
        <f t="shared" si="47"/>
        <v>0</v>
      </c>
      <c r="J1754" s="215"/>
    </row>
    <row r="1755" spans="1:10" ht="12.75" hidden="1" customHeight="1" outlineLevel="1" x14ac:dyDescent="0.2">
      <c r="A1755" s="198" t="s">
        <v>1279</v>
      </c>
      <c r="B1755" s="224" t="s">
        <v>4272</v>
      </c>
      <c r="C1755" s="225" t="s">
        <v>4263</v>
      </c>
      <c r="D1755" s="226" t="s">
        <v>11</v>
      </c>
      <c r="E1755" s="227">
        <v>26.54</v>
      </c>
      <c r="F1755" s="227"/>
      <c r="G1755" s="225"/>
      <c r="H1755" s="235">
        <f t="shared" si="47"/>
        <v>0</v>
      </c>
      <c r="J1755" s="215"/>
    </row>
    <row r="1756" spans="1:10" ht="12.75" hidden="1" customHeight="1" outlineLevel="1" x14ac:dyDescent="0.2">
      <c r="A1756" s="198" t="s">
        <v>1279</v>
      </c>
      <c r="B1756" s="216" t="s">
        <v>4273</v>
      </c>
      <c r="C1756" s="217" t="s">
        <v>2967</v>
      </c>
      <c r="D1756" s="218"/>
      <c r="E1756" s="219"/>
      <c r="F1756" s="219"/>
      <c r="G1756" s="229"/>
      <c r="H1756" s="235">
        <f t="shared" si="47"/>
        <v>0</v>
      </c>
      <c r="J1756" s="215"/>
    </row>
    <row r="1757" spans="1:10" ht="12.75" hidden="1" customHeight="1" outlineLevel="1" x14ac:dyDescent="0.2">
      <c r="A1757" s="198" t="s">
        <v>1279</v>
      </c>
      <c r="B1757" s="228" t="s">
        <v>4274</v>
      </c>
      <c r="C1757" s="229" t="s">
        <v>4263</v>
      </c>
      <c r="D1757" s="230" t="s">
        <v>11</v>
      </c>
      <c r="E1757" s="231">
        <v>21.44</v>
      </c>
      <c r="F1757" s="231"/>
      <c r="G1757" s="225"/>
      <c r="H1757" s="235">
        <f t="shared" si="47"/>
        <v>0</v>
      </c>
      <c r="J1757" s="215"/>
    </row>
    <row r="1758" spans="1:10" ht="12.75" hidden="1" customHeight="1" outlineLevel="1" x14ac:dyDescent="0.2">
      <c r="A1758" s="198" t="s">
        <v>1279</v>
      </c>
      <c r="B1758" s="216" t="s">
        <v>4275</v>
      </c>
      <c r="C1758" s="217" t="s">
        <v>2968</v>
      </c>
      <c r="D1758" s="218"/>
      <c r="E1758" s="219"/>
      <c r="F1758" s="219"/>
      <c r="G1758" s="229"/>
      <c r="H1758" s="235">
        <f t="shared" si="47"/>
        <v>0</v>
      </c>
      <c r="J1758" s="215"/>
    </row>
    <row r="1759" spans="1:10" ht="12.75" hidden="1" customHeight="1" outlineLevel="1" x14ac:dyDescent="0.2">
      <c r="A1759" s="198" t="s">
        <v>1279</v>
      </c>
      <c r="B1759" s="224" t="s">
        <v>4276</v>
      </c>
      <c r="C1759" s="225" t="s">
        <v>4263</v>
      </c>
      <c r="D1759" s="226" t="s">
        <v>11</v>
      </c>
      <c r="E1759" s="227">
        <v>26.54</v>
      </c>
      <c r="F1759" s="227"/>
      <c r="G1759" s="225"/>
      <c r="H1759" s="235">
        <f t="shared" si="47"/>
        <v>0</v>
      </c>
    </row>
    <row r="1760" spans="1:10" ht="12.75" hidden="1" customHeight="1" outlineLevel="1" x14ac:dyDescent="0.2">
      <c r="A1760" s="198" t="s">
        <v>1279</v>
      </c>
      <c r="B1760" s="216" t="s">
        <v>4277</v>
      </c>
      <c r="C1760" s="217" t="s">
        <v>2969</v>
      </c>
      <c r="D1760" s="218"/>
      <c r="E1760" s="219"/>
      <c r="F1760" s="219"/>
    </row>
    <row r="1761" spans="1:10" ht="12.75" hidden="1" customHeight="1" outlineLevel="1" x14ac:dyDescent="0.2">
      <c r="A1761" s="198" t="s">
        <v>1279</v>
      </c>
      <c r="B1761" s="228" t="s">
        <v>4278</v>
      </c>
      <c r="C1761" s="229" t="s">
        <v>4263</v>
      </c>
      <c r="D1761" s="230" t="s">
        <v>11</v>
      </c>
      <c r="E1761" s="231">
        <v>21.44</v>
      </c>
      <c r="F1761" s="231"/>
    </row>
    <row r="1762" spans="1:10" ht="12.75" hidden="1" customHeight="1" outlineLevel="1" x14ac:dyDescent="0.2">
      <c r="A1762" s="198" t="s">
        <v>1279</v>
      </c>
      <c r="B1762" s="216" t="s">
        <v>4279</v>
      </c>
      <c r="C1762" s="217" t="s">
        <v>2970</v>
      </c>
      <c r="D1762" s="218"/>
      <c r="E1762" s="219"/>
      <c r="F1762" s="219"/>
    </row>
    <row r="1763" spans="1:10" ht="12.75" hidden="1" customHeight="1" outlineLevel="1" x14ac:dyDescent="0.2">
      <c r="A1763" s="198" t="s">
        <v>1279</v>
      </c>
      <c r="B1763" s="224" t="s">
        <v>4280</v>
      </c>
      <c r="C1763" s="225" t="s">
        <v>4263</v>
      </c>
      <c r="D1763" s="226" t="s">
        <v>11</v>
      </c>
      <c r="E1763" s="227">
        <v>26.54</v>
      </c>
      <c r="F1763" s="227"/>
      <c r="G1763" s="520" t="str">
        <f>$A$2</f>
        <v>TORRE</v>
      </c>
      <c r="H1763" s="234">
        <f>SUM(H1764:H1771)</f>
        <v>454.99</v>
      </c>
      <c r="J1763" s="215"/>
    </row>
    <row r="1764" spans="1:10" ht="12.75" hidden="1" customHeight="1" outlineLevel="1" x14ac:dyDescent="0.2">
      <c r="A1764" s="198" t="s">
        <v>1279</v>
      </c>
      <c r="B1764" s="216" t="s">
        <v>4281</v>
      </c>
      <c r="C1764" s="217" t="s">
        <v>2971</v>
      </c>
      <c r="D1764" s="218"/>
      <c r="E1764" s="219"/>
      <c r="F1764" s="219"/>
      <c r="G1764" s="229" t="s">
        <v>4263</v>
      </c>
      <c r="H1764" s="235">
        <f t="shared" ref="H1764:H1771" si="48">SUMIFS($E:$E,$C:$C,G1764,$A:$A,$G$30)</f>
        <v>454.99</v>
      </c>
      <c r="J1764" s="215"/>
    </row>
    <row r="1765" spans="1:10" ht="12.75" hidden="1" customHeight="1" outlineLevel="1" x14ac:dyDescent="0.2">
      <c r="A1765" s="198" t="s">
        <v>1279</v>
      </c>
      <c r="B1765" s="228" t="s">
        <v>4282</v>
      </c>
      <c r="C1765" s="229" t="s">
        <v>4263</v>
      </c>
      <c r="D1765" s="230" t="s">
        <v>11</v>
      </c>
      <c r="E1765" s="231">
        <v>21.44</v>
      </c>
      <c r="F1765" s="231"/>
      <c r="G1765" s="225"/>
      <c r="H1765" s="235">
        <f t="shared" si="48"/>
        <v>0</v>
      </c>
      <c r="J1765" s="215"/>
    </row>
    <row r="1766" spans="1:10" ht="12.75" hidden="1" customHeight="1" outlineLevel="1" x14ac:dyDescent="0.2">
      <c r="A1766" s="198" t="s">
        <v>1279</v>
      </c>
      <c r="B1766" s="216" t="s">
        <v>4283</v>
      </c>
      <c r="C1766" s="217" t="s">
        <v>2972</v>
      </c>
      <c r="D1766" s="218"/>
      <c r="E1766" s="219"/>
      <c r="F1766" s="219"/>
      <c r="G1766" s="229"/>
      <c r="H1766" s="235">
        <f t="shared" si="48"/>
        <v>0</v>
      </c>
      <c r="J1766" s="215"/>
    </row>
    <row r="1767" spans="1:10" ht="12.75" hidden="1" customHeight="1" outlineLevel="1" x14ac:dyDescent="0.2">
      <c r="A1767" s="198" t="s">
        <v>1279</v>
      </c>
      <c r="B1767" s="224" t="s">
        <v>4284</v>
      </c>
      <c r="C1767" s="225" t="s">
        <v>4263</v>
      </c>
      <c r="D1767" s="226" t="s">
        <v>11</v>
      </c>
      <c r="E1767" s="227">
        <v>35.53</v>
      </c>
      <c r="F1767" s="227"/>
      <c r="G1767" s="225"/>
      <c r="H1767" s="235">
        <f t="shared" si="48"/>
        <v>0</v>
      </c>
      <c r="J1767" s="215"/>
    </row>
    <row r="1768" spans="1:10" ht="12.75" hidden="1" customHeight="1" outlineLevel="1" x14ac:dyDescent="0.2">
      <c r="A1768" s="198" t="s">
        <v>1279</v>
      </c>
      <c r="B1768" s="216" t="s">
        <v>4285</v>
      </c>
      <c r="C1768" s="217" t="s">
        <v>2973</v>
      </c>
      <c r="D1768" s="218"/>
      <c r="E1768" s="219"/>
      <c r="F1768" s="219"/>
      <c r="G1768" s="229"/>
      <c r="H1768" s="235">
        <f t="shared" si="48"/>
        <v>0</v>
      </c>
      <c r="J1768" s="215"/>
    </row>
    <row r="1769" spans="1:10" ht="12.75" hidden="1" customHeight="1" outlineLevel="1" x14ac:dyDescent="0.2">
      <c r="A1769" s="198" t="s">
        <v>1279</v>
      </c>
      <c r="B1769" s="228" t="s">
        <v>4286</v>
      </c>
      <c r="C1769" s="229" t="s">
        <v>4263</v>
      </c>
      <c r="D1769" s="230" t="s">
        <v>11</v>
      </c>
      <c r="E1769" s="231">
        <v>32.07</v>
      </c>
      <c r="F1769" s="231"/>
      <c r="G1769" s="225"/>
      <c r="H1769" s="235">
        <f t="shared" si="48"/>
        <v>0</v>
      </c>
      <c r="J1769" s="215"/>
    </row>
    <row r="1770" spans="1:10" ht="12.75" hidden="1" customHeight="1" outlineLevel="1" x14ac:dyDescent="0.2">
      <c r="A1770" s="198" t="s">
        <v>1279</v>
      </c>
      <c r="B1770" s="216" t="s">
        <v>4287</v>
      </c>
      <c r="C1770" s="217" t="s">
        <v>2974</v>
      </c>
      <c r="D1770" s="218"/>
      <c r="E1770" s="219"/>
      <c r="F1770" s="219"/>
      <c r="G1770" s="229"/>
      <c r="H1770" s="235">
        <f t="shared" si="48"/>
        <v>0</v>
      </c>
      <c r="J1770" s="215"/>
    </row>
    <row r="1771" spans="1:10" ht="12.75" hidden="1" customHeight="1" outlineLevel="1" x14ac:dyDescent="0.2">
      <c r="A1771" s="198" t="s">
        <v>1279</v>
      </c>
      <c r="B1771" s="224" t="s">
        <v>4288</v>
      </c>
      <c r="C1771" s="225" t="s">
        <v>4263</v>
      </c>
      <c r="D1771" s="226" t="s">
        <v>11</v>
      </c>
      <c r="E1771" s="227">
        <v>20.68</v>
      </c>
      <c r="F1771" s="227"/>
      <c r="G1771" s="225"/>
      <c r="H1771" s="235">
        <f t="shared" si="48"/>
        <v>0</v>
      </c>
      <c r="J1771" s="215"/>
    </row>
    <row r="1772" spans="1:10" ht="12.75" hidden="1" customHeight="1" outlineLevel="1" x14ac:dyDescent="0.2">
      <c r="A1772" s="198" t="s">
        <v>1279</v>
      </c>
      <c r="B1772" s="216" t="s">
        <v>4289</v>
      </c>
      <c r="C1772" s="217" t="s">
        <v>2975</v>
      </c>
      <c r="D1772" s="218"/>
      <c r="E1772" s="219"/>
      <c r="F1772" s="219"/>
      <c r="G1772" s="241"/>
      <c r="H1772" s="241"/>
    </row>
    <row r="1773" spans="1:10" ht="12.75" hidden="1" customHeight="1" outlineLevel="1" x14ac:dyDescent="0.2">
      <c r="A1773" s="198" t="s">
        <v>1279</v>
      </c>
      <c r="B1773" s="228" t="s">
        <v>4290</v>
      </c>
      <c r="C1773" s="229" t="s">
        <v>4263</v>
      </c>
      <c r="D1773" s="230" t="s">
        <v>11</v>
      </c>
      <c r="E1773" s="231">
        <v>24.97</v>
      </c>
      <c r="F1773" s="231"/>
      <c r="G1773" s="241"/>
      <c r="H1773" s="241"/>
    </row>
    <row r="1774" spans="1:10" ht="12.75" hidden="1" customHeight="1" outlineLevel="1" x14ac:dyDescent="0.2">
      <c r="A1774" s="198" t="s">
        <v>1279</v>
      </c>
      <c r="B1774" s="216" t="s">
        <v>4291</v>
      </c>
      <c r="C1774" s="217" t="s">
        <v>2976</v>
      </c>
      <c r="D1774" s="218"/>
      <c r="E1774" s="219"/>
      <c r="F1774" s="219"/>
      <c r="G1774" s="241"/>
      <c r="H1774" s="241"/>
    </row>
    <row r="1775" spans="1:10" ht="12.75" hidden="1" customHeight="1" outlineLevel="1" x14ac:dyDescent="0.2">
      <c r="A1775" s="198" t="s">
        <v>1279</v>
      </c>
      <c r="B1775" s="224" t="s">
        <v>4292</v>
      </c>
      <c r="C1775" s="225" t="s">
        <v>4263</v>
      </c>
      <c r="D1775" s="226" t="s">
        <v>11</v>
      </c>
      <c r="E1775" s="227">
        <v>20.68</v>
      </c>
      <c r="F1775" s="227"/>
      <c r="G1775" s="241"/>
      <c r="H1775" s="241"/>
    </row>
    <row r="1776" spans="1:10" ht="12.75" hidden="1" customHeight="1" outlineLevel="1" x14ac:dyDescent="0.2">
      <c r="A1776" s="198" t="s">
        <v>1279</v>
      </c>
      <c r="B1776" s="216" t="s">
        <v>4293</v>
      </c>
      <c r="C1776" s="217" t="s">
        <v>2978</v>
      </c>
      <c r="D1776" s="218"/>
      <c r="E1776" s="219"/>
      <c r="F1776" s="219"/>
      <c r="G1776" s="241"/>
      <c r="H1776" s="241"/>
    </row>
    <row r="1777" spans="1:10" ht="12.75" hidden="1" customHeight="1" outlineLevel="1" x14ac:dyDescent="0.2">
      <c r="A1777" s="198" t="s">
        <v>1279</v>
      </c>
      <c r="B1777" s="228" t="s">
        <v>4294</v>
      </c>
      <c r="C1777" s="229" t="s">
        <v>4263</v>
      </c>
      <c r="D1777" s="230" t="s">
        <v>11</v>
      </c>
      <c r="E1777" s="231">
        <v>46.42</v>
      </c>
      <c r="F1777" s="231"/>
      <c r="G1777" s="241"/>
      <c r="H1777" s="241"/>
    </row>
    <row r="1778" spans="1:10" ht="12.75" hidden="1" customHeight="1" outlineLevel="1" x14ac:dyDescent="0.2">
      <c r="A1778" s="198" t="s">
        <v>1279</v>
      </c>
      <c r="B1778" s="216" t="s">
        <v>4295</v>
      </c>
      <c r="C1778" s="217" t="s">
        <v>2980</v>
      </c>
      <c r="D1778" s="218"/>
      <c r="E1778" s="219"/>
      <c r="F1778" s="219"/>
      <c r="G1778" s="241"/>
      <c r="H1778" s="241"/>
    </row>
    <row r="1779" spans="1:10" ht="12.75" hidden="1" customHeight="1" outlineLevel="1" x14ac:dyDescent="0.2">
      <c r="A1779" s="198" t="s">
        <v>1279</v>
      </c>
      <c r="B1779" s="224" t="s">
        <v>4296</v>
      </c>
      <c r="C1779" s="225" t="s">
        <v>4263</v>
      </c>
      <c r="D1779" s="226" t="s">
        <v>11</v>
      </c>
      <c r="E1779" s="227">
        <v>0.28000000000000003</v>
      </c>
      <c r="F1779" s="227"/>
      <c r="G1779" s="241"/>
      <c r="H1779" s="241"/>
    </row>
    <row r="1780" spans="1:10" collapsed="1" x14ac:dyDescent="0.2">
      <c r="B1780" s="515" t="s">
        <v>1672</v>
      </c>
      <c r="C1780" s="516" t="s">
        <v>4298</v>
      </c>
      <c r="D1780" s="515"/>
      <c r="E1780" s="520">
        <f>SUM(E1782:E1871)</f>
        <v>7150.649999999996</v>
      </c>
      <c r="F1780" s="520"/>
      <c r="G1780" s="516"/>
      <c r="H1780" s="234">
        <f>SUM(H1781:H1788)</f>
        <v>7150.65</v>
      </c>
      <c r="I1780" s="242" t="str">
        <f>IF(H1780=E1780,"OKAY","REVER")</f>
        <v>OKAY</v>
      </c>
      <c r="J1780" s="405"/>
    </row>
    <row r="1781" spans="1:10" ht="12.75" hidden="1" customHeight="1" outlineLevel="1" x14ac:dyDescent="0.2">
      <c r="A1781" s="198" t="s">
        <v>1278</v>
      </c>
      <c r="B1781" s="216" t="s">
        <v>2735</v>
      </c>
      <c r="C1781" s="217" t="s">
        <v>2955</v>
      </c>
      <c r="D1781" s="218"/>
      <c r="E1781" s="219"/>
      <c r="F1781" s="219"/>
      <c r="G1781" s="229" t="s">
        <v>4300</v>
      </c>
      <c r="H1781" s="235">
        <f t="shared" ref="H1781:H1788" si="49">SUMIF($C:$C,G1781,$E:$E)</f>
        <v>3458.6</v>
      </c>
      <c r="J1781" s="215"/>
    </row>
    <row r="1782" spans="1:10" ht="12.75" hidden="1" customHeight="1" outlineLevel="1" x14ac:dyDescent="0.2">
      <c r="A1782" s="198" t="s">
        <v>1278</v>
      </c>
      <c r="B1782" s="228" t="s">
        <v>4299</v>
      </c>
      <c r="C1782" s="229" t="s">
        <v>4300</v>
      </c>
      <c r="D1782" s="230" t="s">
        <v>3</v>
      </c>
      <c r="E1782" s="231">
        <v>21.92</v>
      </c>
      <c r="F1782" s="231"/>
      <c r="G1782" s="225" t="s">
        <v>4389</v>
      </c>
      <c r="H1782" s="235">
        <f t="shared" si="49"/>
        <v>52.91</v>
      </c>
      <c r="J1782" s="215"/>
    </row>
    <row r="1783" spans="1:10" ht="12.75" hidden="1" customHeight="1" outlineLevel="1" x14ac:dyDescent="0.2">
      <c r="A1783" s="198" t="s">
        <v>1278</v>
      </c>
      <c r="B1783" s="224" t="s">
        <v>4301</v>
      </c>
      <c r="C1783" s="225" t="s">
        <v>4302</v>
      </c>
      <c r="D1783" s="226" t="s">
        <v>3</v>
      </c>
      <c r="E1783" s="227">
        <v>30.8</v>
      </c>
      <c r="F1783" s="227"/>
      <c r="G1783" s="229" t="s">
        <v>4310</v>
      </c>
      <c r="H1783" s="235">
        <f t="shared" si="49"/>
        <v>124.22999999999999</v>
      </c>
      <c r="J1783" s="215"/>
    </row>
    <row r="1784" spans="1:10" ht="12.75" hidden="1" customHeight="1" outlineLevel="1" x14ac:dyDescent="0.2">
      <c r="A1784" s="198" t="s">
        <v>1278</v>
      </c>
      <c r="B1784" s="228" t="s">
        <v>4303</v>
      </c>
      <c r="C1784" s="229" t="s">
        <v>4304</v>
      </c>
      <c r="D1784" s="230" t="s">
        <v>3</v>
      </c>
      <c r="E1784" s="231">
        <v>138.59</v>
      </c>
      <c r="F1784" s="231"/>
      <c r="G1784" s="225" t="s">
        <v>4302</v>
      </c>
      <c r="H1784" s="235">
        <f t="shared" si="49"/>
        <v>553.24</v>
      </c>
      <c r="J1784" s="215"/>
    </row>
    <row r="1785" spans="1:10" ht="12.75" hidden="1" customHeight="1" outlineLevel="1" x14ac:dyDescent="0.2">
      <c r="A1785" s="198" t="s">
        <v>1278</v>
      </c>
      <c r="B1785" s="224" t="s">
        <v>4305</v>
      </c>
      <c r="C1785" s="225" t="s">
        <v>4306</v>
      </c>
      <c r="D1785" s="226" t="s">
        <v>3</v>
      </c>
      <c r="E1785" s="227">
        <v>50.97</v>
      </c>
      <c r="F1785" s="227"/>
      <c r="G1785" s="229" t="s">
        <v>4304</v>
      </c>
      <c r="H1785" s="235">
        <f t="shared" si="49"/>
        <v>138.59</v>
      </c>
      <c r="J1785" s="215"/>
    </row>
    <row r="1786" spans="1:10" ht="12.75" hidden="1" customHeight="1" outlineLevel="1" x14ac:dyDescent="0.2">
      <c r="A1786" s="198" t="s">
        <v>1278</v>
      </c>
      <c r="B1786" s="216" t="s">
        <v>4307</v>
      </c>
      <c r="C1786" s="217" t="s">
        <v>2958</v>
      </c>
      <c r="D1786" s="218"/>
      <c r="E1786" s="219"/>
      <c r="F1786" s="219"/>
      <c r="G1786" s="225" t="s">
        <v>4306</v>
      </c>
      <c r="H1786" s="235">
        <f t="shared" si="49"/>
        <v>2823.08</v>
      </c>
      <c r="J1786" s="215"/>
    </row>
    <row r="1787" spans="1:10" ht="12.75" hidden="1" customHeight="1" outlineLevel="1" x14ac:dyDescent="0.2">
      <c r="A1787" s="198" t="s">
        <v>1278</v>
      </c>
      <c r="B1787" s="228" t="s">
        <v>4308</v>
      </c>
      <c r="C1787" s="229" t="s">
        <v>4300</v>
      </c>
      <c r="D1787" s="230" t="s">
        <v>3</v>
      </c>
      <c r="E1787" s="231">
        <v>11.14</v>
      </c>
      <c r="F1787" s="231"/>
      <c r="G1787" s="229"/>
      <c r="H1787" s="235">
        <f t="shared" si="49"/>
        <v>0</v>
      </c>
      <c r="I1787" s="198"/>
      <c r="J1787" s="215"/>
    </row>
    <row r="1788" spans="1:10" ht="12.75" hidden="1" customHeight="1" outlineLevel="1" x14ac:dyDescent="0.2">
      <c r="A1788" s="198" t="s">
        <v>1278</v>
      </c>
      <c r="B1788" s="224" t="s">
        <v>4309</v>
      </c>
      <c r="C1788" s="225" t="s">
        <v>4310</v>
      </c>
      <c r="D1788" s="226" t="s">
        <v>3</v>
      </c>
      <c r="E1788" s="227">
        <v>81.13</v>
      </c>
      <c r="F1788" s="227"/>
      <c r="G1788" s="225"/>
      <c r="H1788" s="235">
        <f t="shared" si="49"/>
        <v>0</v>
      </c>
      <c r="J1788" s="215"/>
    </row>
    <row r="1789" spans="1:10" ht="12.75" hidden="1" customHeight="1" outlineLevel="1" x14ac:dyDescent="0.2">
      <c r="A1789" s="198" t="s">
        <v>1278</v>
      </c>
      <c r="B1789" s="228" t="s">
        <v>4311</v>
      </c>
      <c r="C1789" s="229" t="s">
        <v>4302</v>
      </c>
      <c r="D1789" s="230" t="s">
        <v>3</v>
      </c>
      <c r="E1789" s="231">
        <v>24.39</v>
      </c>
      <c r="F1789" s="231"/>
      <c r="J1789" s="215"/>
    </row>
    <row r="1790" spans="1:10" ht="12.75" hidden="1" customHeight="1" outlineLevel="1" x14ac:dyDescent="0.2">
      <c r="A1790" s="198" t="s">
        <v>1278</v>
      </c>
      <c r="B1790" s="224" t="s">
        <v>4312</v>
      </c>
      <c r="C1790" s="225" t="s">
        <v>4306</v>
      </c>
      <c r="D1790" s="226" t="s">
        <v>3</v>
      </c>
      <c r="E1790" s="227">
        <v>158.08000000000001</v>
      </c>
      <c r="F1790" s="227"/>
      <c r="G1790" s="520" t="s">
        <v>1732</v>
      </c>
      <c r="H1790" s="234">
        <f>H1792+H1804</f>
        <v>7150.65</v>
      </c>
      <c r="I1790" s="242" t="str">
        <f>IF(H1790=H1780,"OKAY","REVER")</f>
        <v>OKAY</v>
      </c>
      <c r="J1790" s="215"/>
    </row>
    <row r="1791" spans="1:10" ht="12.75" hidden="1" customHeight="1" outlineLevel="1" x14ac:dyDescent="0.2">
      <c r="A1791" s="198" t="s">
        <v>1279</v>
      </c>
      <c r="B1791" s="216" t="s">
        <v>4313</v>
      </c>
      <c r="C1791" s="217" t="s">
        <v>2960</v>
      </c>
      <c r="D1791" s="218"/>
      <c r="E1791" s="219"/>
      <c r="F1791" s="219"/>
      <c r="G1791" s="232"/>
      <c r="H1791" s="232"/>
      <c r="I1791" s="242"/>
      <c r="J1791" s="215"/>
    </row>
    <row r="1792" spans="1:10" ht="12.75" hidden="1" customHeight="1" outlineLevel="1" x14ac:dyDescent="0.2">
      <c r="A1792" s="198" t="s">
        <v>1279</v>
      </c>
      <c r="B1792" s="228" t="s">
        <v>4314</v>
      </c>
      <c r="C1792" s="229" t="s">
        <v>4300</v>
      </c>
      <c r="D1792" s="230" t="s">
        <v>3</v>
      </c>
      <c r="E1792" s="231">
        <v>184.61</v>
      </c>
      <c r="F1792" s="231"/>
      <c r="G1792" s="520" t="str">
        <f>$A$1</f>
        <v>EMBASSAMENTO</v>
      </c>
      <c r="H1792" s="234">
        <f>SUM(H1793:H1800)</f>
        <v>517.02</v>
      </c>
      <c r="I1792" s="242"/>
      <c r="J1792" s="215"/>
    </row>
    <row r="1793" spans="1:10" ht="12.75" hidden="1" customHeight="1" outlineLevel="1" x14ac:dyDescent="0.2">
      <c r="A1793" s="198" t="s">
        <v>1279</v>
      </c>
      <c r="B1793" s="224" t="s">
        <v>4315</v>
      </c>
      <c r="C1793" s="225" t="s">
        <v>4302</v>
      </c>
      <c r="D1793" s="226" t="s">
        <v>3</v>
      </c>
      <c r="E1793" s="227">
        <v>27.47</v>
      </c>
      <c r="F1793" s="227"/>
      <c r="G1793" s="229" t="s">
        <v>4300</v>
      </c>
      <c r="H1793" s="235">
        <f t="shared" ref="H1793:H1800" si="50">SUMIFS($E:$E,$C:$C,G1793,$A:$A,$G$22)</f>
        <v>33.06</v>
      </c>
      <c r="I1793" s="242"/>
      <c r="J1793" s="215"/>
    </row>
    <row r="1794" spans="1:10" ht="12.75" hidden="1" customHeight="1" outlineLevel="1" x14ac:dyDescent="0.2">
      <c r="A1794" s="198" t="s">
        <v>1279</v>
      </c>
      <c r="B1794" s="228" t="s">
        <v>4316</v>
      </c>
      <c r="C1794" s="229" t="s">
        <v>4306</v>
      </c>
      <c r="D1794" s="230" t="s">
        <v>3</v>
      </c>
      <c r="E1794" s="231">
        <v>143.74</v>
      </c>
      <c r="F1794" s="231"/>
      <c r="G1794" s="225" t="s">
        <v>4389</v>
      </c>
      <c r="H1794" s="235">
        <f t="shared" si="50"/>
        <v>0</v>
      </c>
      <c r="J1794" s="215"/>
    </row>
    <row r="1795" spans="1:10" ht="12.75" hidden="1" customHeight="1" outlineLevel="1" x14ac:dyDescent="0.2">
      <c r="A1795" s="198" t="s">
        <v>1279</v>
      </c>
      <c r="B1795" s="216" t="s">
        <v>4317</v>
      </c>
      <c r="C1795" s="217" t="s">
        <v>2961</v>
      </c>
      <c r="D1795" s="218"/>
      <c r="E1795" s="219"/>
      <c r="F1795" s="219"/>
      <c r="G1795" s="229" t="s">
        <v>4310</v>
      </c>
      <c r="H1795" s="235">
        <f t="shared" si="50"/>
        <v>81.13</v>
      </c>
      <c r="J1795" s="215"/>
    </row>
    <row r="1796" spans="1:10" ht="12.75" hidden="1" customHeight="1" outlineLevel="1" x14ac:dyDescent="0.2">
      <c r="A1796" s="198" t="s">
        <v>1279</v>
      </c>
      <c r="B1796" s="224" t="s">
        <v>4318</v>
      </c>
      <c r="C1796" s="225" t="s">
        <v>4300</v>
      </c>
      <c r="D1796" s="226" t="s">
        <v>3</v>
      </c>
      <c r="E1796" s="227">
        <v>316.97000000000003</v>
      </c>
      <c r="F1796" s="227"/>
      <c r="G1796" s="225" t="s">
        <v>4302</v>
      </c>
      <c r="H1796" s="235">
        <f t="shared" si="50"/>
        <v>55.19</v>
      </c>
      <c r="J1796" s="215"/>
    </row>
    <row r="1797" spans="1:10" ht="12.75" hidden="1" customHeight="1" outlineLevel="1" x14ac:dyDescent="0.2">
      <c r="A1797" s="198" t="s">
        <v>1279</v>
      </c>
      <c r="B1797" s="228" t="s">
        <v>4319</v>
      </c>
      <c r="C1797" s="229" t="s">
        <v>4302</v>
      </c>
      <c r="D1797" s="230" t="s">
        <v>3</v>
      </c>
      <c r="E1797" s="231">
        <v>27.46</v>
      </c>
      <c r="F1797" s="231"/>
      <c r="G1797" s="229" t="s">
        <v>4304</v>
      </c>
      <c r="H1797" s="235">
        <f t="shared" si="50"/>
        <v>138.59</v>
      </c>
      <c r="J1797" s="215"/>
    </row>
    <row r="1798" spans="1:10" ht="12.75" hidden="1" customHeight="1" outlineLevel="1" x14ac:dyDescent="0.2">
      <c r="A1798" s="198" t="s">
        <v>1279</v>
      </c>
      <c r="B1798" s="224" t="s">
        <v>4320</v>
      </c>
      <c r="C1798" s="225" t="s">
        <v>4306</v>
      </c>
      <c r="D1798" s="226" t="s">
        <v>3</v>
      </c>
      <c r="E1798" s="227">
        <v>167.67</v>
      </c>
      <c r="F1798" s="227"/>
      <c r="G1798" s="225" t="s">
        <v>4306</v>
      </c>
      <c r="H1798" s="235">
        <f t="shared" si="50"/>
        <v>209.05</v>
      </c>
      <c r="J1798" s="215"/>
    </row>
    <row r="1799" spans="1:10" ht="12.75" hidden="1" customHeight="1" outlineLevel="1" x14ac:dyDescent="0.2">
      <c r="A1799" s="198" t="s">
        <v>1279</v>
      </c>
      <c r="B1799" s="216" t="s">
        <v>4321</v>
      </c>
      <c r="C1799" s="217" t="s">
        <v>2962</v>
      </c>
      <c r="D1799" s="218"/>
      <c r="E1799" s="219"/>
      <c r="F1799" s="219"/>
      <c r="G1799" s="229"/>
      <c r="H1799" s="235">
        <f t="shared" si="50"/>
        <v>0</v>
      </c>
      <c r="J1799" s="215"/>
    </row>
    <row r="1800" spans="1:10" ht="12.75" hidden="1" customHeight="1" outlineLevel="1" x14ac:dyDescent="0.2">
      <c r="A1800" s="198" t="s">
        <v>1279</v>
      </c>
      <c r="B1800" s="228" t="s">
        <v>4322</v>
      </c>
      <c r="C1800" s="229" t="s">
        <v>4300</v>
      </c>
      <c r="D1800" s="230" t="s">
        <v>3</v>
      </c>
      <c r="E1800" s="231">
        <v>266.23</v>
      </c>
      <c r="F1800" s="231"/>
      <c r="G1800" s="225"/>
      <c r="H1800" s="235">
        <f t="shared" si="50"/>
        <v>0</v>
      </c>
    </row>
    <row r="1801" spans="1:10" ht="12.75" hidden="1" customHeight="1" outlineLevel="1" x14ac:dyDescent="0.2">
      <c r="A1801" s="198" t="s">
        <v>1279</v>
      </c>
      <c r="B1801" s="224" t="s">
        <v>4323</v>
      </c>
      <c r="C1801" s="225" t="s">
        <v>4310</v>
      </c>
      <c r="D1801" s="226" t="s">
        <v>3</v>
      </c>
      <c r="E1801" s="227">
        <v>4.66</v>
      </c>
      <c r="F1801" s="227"/>
    </row>
    <row r="1802" spans="1:10" ht="12.75" hidden="1" customHeight="1" outlineLevel="1" x14ac:dyDescent="0.2">
      <c r="A1802" s="198" t="s">
        <v>1279</v>
      </c>
      <c r="B1802" s="228" t="s">
        <v>4324</v>
      </c>
      <c r="C1802" s="229" t="s">
        <v>4302</v>
      </c>
      <c r="D1802" s="230" t="s">
        <v>3</v>
      </c>
      <c r="E1802" s="231">
        <v>26.61</v>
      </c>
      <c r="F1802" s="231"/>
    </row>
    <row r="1803" spans="1:10" ht="12.75" hidden="1" customHeight="1" outlineLevel="1" x14ac:dyDescent="0.2">
      <c r="A1803" s="198" t="s">
        <v>1279</v>
      </c>
      <c r="B1803" s="224" t="s">
        <v>4325</v>
      </c>
      <c r="C1803" s="225" t="s">
        <v>4306</v>
      </c>
      <c r="D1803" s="226" t="s">
        <v>3</v>
      </c>
      <c r="E1803" s="227">
        <v>172.07</v>
      </c>
      <c r="F1803" s="227"/>
    </row>
    <row r="1804" spans="1:10" ht="12.75" hidden="1" customHeight="1" outlineLevel="1" x14ac:dyDescent="0.2">
      <c r="A1804" s="198" t="s">
        <v>1279</v>
      </c>
      <c r="B1804" s="216" t="s">
        <v>4326</v>
      </c>
      <c r="C1804" s="217" t="s">
        <v>2963</v>
      </c>
      <c r="D1804" s="218"/>
      <c r="E1804" s="219"/>
      <c r="F1804" s="219"/>
      <c r="G1804" s="520" t="str">
        <f>$A$2</f>
        <v>TORRE</v>
      </c>
      <c r="H1804" s="234">
        <f>SUM(H1805:H1812)</f>
        <v>6633.63</v>
      </c>
      <c r="J1804" s="215"/>
    </row>
    <row r="1805" spans="1:10" ht="12.75" hidden="1" customHeight="1" outlineLevel="1" x14ac:dyDescent="0.2">
      <c r="A1805" s="198" t="s">
        <v>1279</v>
      </c>
      <c r="B1805" s="228" t="s">
        <v>4327</v>
      </c>
      <c r="C1805" s="229" t="s">
        <v>4300</v>
      </c>
      <c r="D1805" s="230" t="s">
        <v>3</v>
      </c>
      <c r="E1805" s="231">
        <v>222.98</v>
      </c>
      <c r="F1805" s="231"/>
      <c r="G1805" s="229" t="s">
        <v>4300</v>
      </c>
      <c r="H1805" s="235">
        <f t="shared" ref="H1805:H1812" si="51">SUMIFS($E:$E,$C:$C,G1805,$A:$A,$G$30)</f>
        <v>3425.54</v>
      </c>
      <c r="J1805" s="215"/>
    </row>
    <row r="1806" spans="1:10" ht="12.75" hidden="1" customHeight="1" outlineLevel="1" x14ac:dyDescent="0.2">
      <c r="A1806" s="198" t="s">
        <v>1279</v>
      </c>
      <c r="B1806" s="224" t="s">
        <v>4328</v>
      </c>
      <c r="C1806" s="225" t="s">
        <v>4302</v>
      </c>
      <c r="D1806" s="226" t="s">
        <v>3</v>
      </c>
      <c r="E1806" s="227">
        <v>27.13</v>
      </c>
      <c r="F1806" s="227"/>
      <c r="G1806" s="225" t="s">
        <v>4389</v>
      </c>
      <c r="H1806" s="235">
        <f t="shared" si="51"/>
        <v>52.91</v>
      </c>
      <c r="J1806" s="215"/>
    </row>
    <row r="1807" spans="1:10" ht="12.75" hidden="1" customHeight="1" outlineLevel="1" x14ac:dyDescent="0.2">
      <c r="A1807" s="198" t="s">
        <v>1279</v>
      </c>
      <c r="B1807" s="228" t="s">
        <v>4329</v>
      </c>
      <c r="C1807" s="229" t="s">
        <v>4306</v>
      </c>
      <c r="D1807" s="230" t="s">
        <v>3</v>
      </c>
      <c r="E1807" s="231">
        <v>148.56</v>
      </c>
      <c r="F1807" s="231"/>
      <c r="G1807" s="229" t="s">
        <v>4310</v>
      </c>
      <c r="H1807" s="235">
        <f t="shared" si="51"/>
        <v>43.1</v>
      </c>
      <c r="J1807" s="215"/>
    </row>
    <row r="1808" spans="1:10" ht="12.75" hidden="1" customHeight="1" outlineLevel="1" x14ac:dyDescent="0.2">
      <c r="A1808" s="198" t="s">
        <v>1279</v>
      </c>
      <c r="B1808" s="216" t="s">
        <v>4330</v>
      </c>
      <c r="C1808" s="217" t="s">
        <v>2964</v>
      </c>
      <c r="D1808" s="218"/>
      <c r="E1808" s="219"/>
      <c r="F1808" s="219"/>
      <c r="G1808" s="225" t="s">
        <v>4302</v>
      </c>
      <c r="H1808" s="235">
        <f t="shared" si="51"/>
        <v>498.05</v>
      </c>
      <c r="J1808" s="215"/>
    </row>
    <row r="1809" spans="1:10" ht="12.75" hidden="1" customHeight="1" outlineLevel="1" x14ac:dyDescent="0.2">
      <c r="A1809" s="198" t="s">
        <v>1279</v>
      </c>
      <c r="B1809" s="224" t="s">
        <v>4331</v>
      </c>
      <c r="C1809" s="225" t="s">
        <v>4300</v>
      </c>
      <c r="D1809" s="226" t="s">
        <v>3</v>
      </c>
      <c r="E1809" s="227">
        <v>266.11</v>
      </c>
      <c r="F1809" s="227"/>
      <c r="G1809" s="229" t="s">
        <v>4304</v>
      </c>
      <c r="H1809" s="235">
        <f t="shared" si="51"/>
        <v>0</v>
      </c>
      <c r="J1809" s="215"/>
    </row>
    <row r="1810" spans="1:10" ht="12.75" hidden="1" customHeight="1" outlineLevel="1" x14ac:dyDescent="0.2">
      <c r="A1810" s="198" t="s">
        <v>1279</v>
      </c>
      <c r="B1810" s="228" t="s">
        <v>4332</v>
      </c>
      <c r="C1810" s="229" t="s">
        <v>4310</v>
      </c>
      <c r="D1810" s="230" t="s">
        <v>3</v>
      </c>
      <c r="E1810" s="231">
        <v>4.66</v>
      </c>
      <c r="F1810" s="231"/>
      <c r="G1810" s="225" t="s">
        <v>4306</v>
      </c>
      <c r="H1810" s="235">
        <f t="shared" si="51"/>
        <v>2614.0300000000002</v>
      </c>
      <c r="J1810" s="215"/>
    </row>
    <row r="1811" spans="1:10" ht="12.75" hidden="1" customHeight="1" outlineLevel="1" x14ac:dyDescent="0.2">
      <c r="A1811" s="198" t="s">
        <v>1279</v>
      </c>
      <c r="B1811" s="224" t="s">
        <v>4333</v>
      </c>
      <c r="C1811" s="225" t="s">
        <v>4302</v>
      </c>
      <c r="D1811" s="226" t="s">
        <v>3</v>
      </c>
      <c r="E1811" s="227">
        <v>27.18</v>
      </c>
      <c r="F1811" s="227"/>
      <c r="G1811" s="229"/>
      <c r="H1811" s="235">
        <f t="shared" si="51"/>
        <v>0</v>
      </c>
      <c r="J1811" s="215"/>
    </row>
    <row r="1812" spans="1:10" ht="12.75" hidden="1" customHeight="1" outlineLevel="1" x14ac:dyDescent="0.2">
      <c r="A1812" s="198" t="s">
        <v>1279</v>
      </c>
      <c r="B1812" s="228" t="s">
        <v>4334</v>
      </c>
      <c r="C1812" s="229" t="s">
        <v>4306</v>
      </c>
      <c r="D1812" s="230" t="s">
        <v>3</v>
      </c>
      <c r="E1812" s="231">
        <v>173.25</v>
      </c>
      <c r="F1812" s="231"/>
      <c r="G1812" s="225"/>
      <c r="H1812" s="235">
        <f t="shared" si="51"/>
        <v>0</v>
      </c>
      <c r="J1812" s="215"/>
    </row>
    <row r="1813" spans="1:10" ht="12.75" hidden="1" customHeight="1" outlineLevel="1" x14ac:dyDescent="0.2">
      <c r="A1813" s="198" t="s">
        <v>1279</v>
      </c>
      <c r="B1813" s="216" t="s">
        <v>4335</v>
      </c>
      <c r="C1813" s="217" t="s">
        <v>2965</v>
      </c>
      <c r="D1813" s="218"/>
      <c r="E1813" s="219"/>
      <c r="F1813" s="219"/>
      <c r="G1813" s="241"/>
      <c r="H1813" s="241"/>
    </row>
    <row r="1814" spans="1:10" ht="12.75" hidden="1" customHeight="1" outlineLevel="1" x14ac:dyDescent="0.2">
      <c r="A1814" s="198" t="s">
        <v>1279</v>
      </c>
      <c r="B1814" s="224" t="s">
        <v>4336</v>
      </c>
      <c r="C1814" s="225" t="s">
        <v>4300</v>
      </c>
      <c r="D1814" s="226" t="s">
        <v>3</v>
      </c>
      <c r="E1814" s="227">
        <v>222.98</v>
      </c>
      <c r="F1814" s="227"/>
      <c r="G1814" s="241"/>
      <c r="H1814" s="241"/>
    </row>
    <row r="1815" spans="1:10" ht="12.75" hidden="1" customHeight="1" outlineLevel="1" x14ac:dyDescent="0.2">
      <c r="A1815" s="198" t="s">
        <v>1279</v>
      </c>
      <c r="B1815" s="228" t="s">
        <v>4337</v>
      </c>
      <c r="C1815" s="229" t="s">
        <v>4302</v>
      </c>
      <c r="D1815" s="230" t="s">
        <v>3</v>
      </c>
      <c r="E1815" s="231">
        <v>27.19</v>
      </c>
      <c r="F1815" s="231"/>
      <c r="G1815" s="241"/>
      <c r="H1815" s="241"/>
    </row>
    <row r="1816" spans="1:10" ht="12.75" hidden="1" customHeight="1" outlineLevel="1" x14ac:dyDescent="0.2">
      <c r="A1816" s="198" t="s">
        <v>1279</v>
      </c>
      <c r="B1816" s="224" t="s">
        <v>4338</v>
      </c>
      <c r="C1816" s="225" t="s">
        <v>4306</v>
      </c>
      <c r="D1816" s="226" t="s">
        <v>3</v>
      </c>
      <c r="E1816" s="227">
        <v>148.56</v>
      </c>
      <c r="F1816" s="227"/>
      <c r="G1816" s="241"/>
      <c r="H1816" s="241"/>
    </row>
    <row r="1817" spans="1:10" ht="12.75" hidden="1" customHeight="1" outlineLevel="1" x14ac:dyDescent="0.2">
      <c r="A1817" s="198" t="s">
        <v>1279</v>
      </c>
      <c r="B1817" s="216" t="s">
        <v>4339</v>
      </c>
      <c r="C1817" s="217" t="s">
        <v>2966</v>
      </c>
      <c r="D1817" s="218"/>
      <c r="E1817" s="219"/>
      <c r="F1817" s="219"/>
      <c r="G1817" s="241"/>
      <c r="H1817" s="241"/>
    </row>
    <row r="1818" spans="1:10" ht="12.75" hidden="1" customHeight="1" outlineLevel="1" x14ac:dyDescent="0.2">
      <c r="A1818" s="198" t="s">
        <v>1279</v>
      </c>
      <c r="B1818" s="228" t="s">
        <v>4340</v>
      </c>
      <c r="C1818" s="229" t="s">
        <v>4300</v>
      </c>
      <c r="D1818" s="230" t="s">
        <v>3</v>
      </c>
      <c r="E1818" s="231">
        <v>266.11</v>
      </c>
      <c r="F1818" s="231"/>
      <c r="G1818" s="241"/>
      <c r="H1818" s="241"/>
    </row>
    <row r="1819" spans="1:10" ht="12.75" hidden="1" customHeight="1" outlineLevel="1" x14ac:dyDescent="0.2">
      <c r="A1819" s="198" t="s">
        <v>1279</v>
      </c>
      <c r="B1819" s="224" t="s">
        <v>4341</v>
      </c>
      <c r="C1819" s="225" t="s">
        <v>4310</v>
      </c>
      <c r="D1819" s="226" t="s">
        <v>3</v>
      </c>
      <c r="E1819" s="227">
        <v>4.66</v>
      </c>
      <c r="F1819" s="227"/>
      <c r="G1819" s="241"/>
      <c r="H1819" s="241"/>
    </row>
    <row r="1820" spans="1:10" ht="12.75" hidden="1" customHeight="1" outlineLevel="1" x14ac:dyDescent="0.2">
      <c r="A1820" s="198" t="s">
        <v>1279</v>
      </c>
      <c r="B1820" s="228" t="s">
        <v>4342</v>
      </c>
      <c r="C1820" s="229" t="s">
        <v>4302</v>
      </c>
      <c r="D1820" s="230" t="s">
        <v>3</v>
      </c>
      <c r="E1820" s="231">
        <v>27.2</v>
      </c>
      <c r="F1820" s="231"/>
      <c r="G1820" s="241"/>
      <c r="H1820" s="241"/>
    </row>
    <row r="1821" spans="1:10" ht="12.75" hidden="1" customHeight="1" outlineLevel="1" x14ac:dyDescent="0.2">
      <c r="A1821" s="198" t="s">
        <v>1279</v>
      </c>
      <c r="B1821" s="224" t="s">
        <v>4343</v>
      </c>
      <c r="C1821" s="225" t="s">
        <v>4306</v>
      </c>
      <c r="D1821" s="226" t="s">
        <v>3</v>
      </c>
      <c r="E1821" s="227">
        <v>173.25</v>
      </c>
      <c r="F1821" s="227"/>
      <c r="G1821" s="241"/>
      <c r="H1821" s="241"/>
    </row>
    <row r="1822" spans="1:10" ht="12.75" hidden="1" customHeight="1" outlineLevel="1" x14ac:dyDescent="0.2">
      <c r="A1822" s="198" t="s">
        <v>1279</v>
      </c>
      <c r="B1822" s="216" t="s">
        <v>4344</v>
      </c>
      <c r="C1822" s="217" t="s">
        <v>2967</v>
      </c>
      <c r="D1822" s="218"/>
      <c r="E1822" s="219"/>
      <c r="F1822" s="219"/>
      <c r="G1822" s="241"/>
      <c r="H1822" s="241"/>
    </row>
    <row r="1823" spans="1:10" ht="12.75" hidden="1" customHeight="1" outlineLevel="1" x14ac:dyDescent="0.2">
      <c r="A1823" s="198" t="s">
        <v>1279</v>
      </c>
      <c r="B1823" s="228" t="s">
        <v>4345</v>
      </c>
      <c r="C1823" s="229" t="s">
        <v>4300</v>
      </c>
      <c r="D1823" s="230" t="s">
        <v>3</v>
      </c>
      <c r="E1823" s="231">
        <v>222.98</v>
      </c>
      <c r="F1823" s="231"/>
      <c r="G1823" s="241"/>
      <c r="H1823" s="241"/>
    </row>
    <row r="1824" spans="1:10" ht="12.75" hidden="1" customHeight="1" outlineLevel="1" x14ac:dyDescent="0.2">
      <c r="A1824" s="198" t="s">
        <v>1279</v>
      </c>
      <c r="B1824" s="224" t="s">
        <v>4346</v>
      </c>
      <c r="C1824" s="225" t="s">
        <v>4302</v>
      </c>
      <c r="D1824" s="226" t="s">
        <v>3</v>
      </c>
      <c r="E1824" s="227">
        <v>27.19</v>
      </c>
      <c r="F1824" s="227"/>
      <c r="G1824" s="241"/>
      <c r="H1824" s="241"/>
    </row>
    <row r="1825" spans="1:8" ht="12.75" hidden="1" customHeight="1" outlineLevel="1" x14ac:dyDescent="0.2">
      <c r="A1825" s="198" t="s">
        <v>1279</v>
      </c>
      <c r="B1825" s="228" t="s">
        <v>4347</v>
      </c>
      <c r="C1825" s="229" t="s">
        <v>4306</v>
      </c>
      <c r="D1825" s="230" t="s">
        <v>3</v>
      </c>
      <c r="E1825" s="231">
        <v>148.56</v>
      </c>
      <c r="F1825" s="231"/>
      <c r="G1825" s="241"/>
      <c r="H1825" s="241"/>
    </row>
    <row r="1826" spans="1:8" ht="12.75" hidden="1" customHeight="1" outlineLevel="1" x14ac:dyDescent="0.2">
      <c r="A1826" s="198" t="s">
        <v>1279</v>
      </c>
      <c r="B1826" s="216" t="s">
        <v>4348</v>
      </c>
      <c r="C1826" s="217" t="s">
        <v>2968</v>
      </c>
      <c r="D1826" s="218"/>
      <c r="E1826" s="219"/>
      <c r="F1826" s="219"/>
      <c r="G1826" s="241"/>
      <c r="H1826" s="241"/>
    </row>
    <row r="1827" spans="1:8" ht="12.75" hidden="1" customHeight="1" outlineLevel="1" x14ac:dyDescent="0.2">
      <c r="A1827" s="198" t="s">
        <v>1279</v>
      </c>
      <c r="B1827" s="224" t="s">
        <v>4349</v>
      </c>
      <c r="C1827" s="225" t="s">
        <v>4300</v>
      </c>
      <c r="D1827" s="226" t="s">
        <v>3</v>
      </c>
      <c r="E1827" s="227">
        <v>266.11</v>
      </c>
      <c r="F1827" s="227"/>
      <c r="G1827" s="241"/>
      <c r="H1827" s="241"/>
    </row>
    <row r="1828" spans="1:8" ht="12.75" hidden="1" customHeight="1" outlineLevel="1" x14ac:dyDescent="0.2">
      <c r="A1828" s="198" t="s">
        <v>1279</v>
      </c>
      <c r="B1828" s="228" t="s">
        <v>4350</v>
      </c>
      <c r="C1828" s="229" t="s">
        <v>4310</v>
      </c>
      <c r="D1828" s="230" t="s">
        <v>3</v>
      </c>
      <c r="E1828" s="231">
        <v>4.66</v>
      </c>
      <c r="F1828" s="231"/>
      <c r="G1828" s="241"/>
      <c r="H1828" s="241"/>
    </row>
    <row r="1829" spans="1:8" ht="12.75" hidden="1" customHeight="1" outlineLevel="1" x14ac:dyDescent="0.2">
      <c r="A1829" s="198" t="s">
        <v>1279</v>
      </c>
      <c r="B1829" s="224" t="s">
        <v>4351</v>
      </c>
      <c r="C1829" s="225" t="s">
        <v>4302</v>
      </c>
      <c r="D1829" s="226" t="s">
        <v>3</v>
      </c>
      <c r="E1829" s="227">
        <v>27.2</v>
      </c>
      <c r="F1829" s="227"/>
      <c r="G1829" s="241"/>
      <c r="H1829" s="241"/>
    </row>
    <row r="1830" spans="1:8" ht="12.75" hidden="1" customHeight="1" outlineLevel="1" x14ac:dyDescent="0.2">
      <c r="A1830" s="198" t="s">
        <v>1279</v>
      </c>
      <c r="B1830" s="228" t="s">
        <v>4352</v>
      </c>
      <c r="C1830" s="229" t="s">
        <v>4306</v>
      </c>
      <c r="D1830" s="230" t="s">
        <v>3</v>
      </c>
      <c r="E1830" s="231">
        <v>173.25</v>
      </c>
      <c r="F1830" s="231"/>
      <c r="G1830" s="241"/>
      <c r="H1830" s="241"/>
    </row>
    <row r="1831" spans="1:8" ht="12.75" hidden="1" customHeight="1" outlineLevel="1" x14ac:dyDescent="0.2">
      <c r="A1831" s="198" t="s">
        <v>1279</v>
      </c>
      <c r="B1831" s="216" t="s">
        <v>4353</v>
      </c>
      <c r="C1831" s="217" t="s">
        <v>2969</v>
      </c>
      <c r="D1831" s="218"/>
      <c r="E1831" s="219"/>
      <c r="F1831" s="219"/>
      <c r="G1831" s="241"/>
      <c r="H1831" s="241"/>
    </row>
    <row r="1832" spans="1:8" ht="12.75" hidden="1" customHeight="1" outlineLevel="1" x14ac:dyDescent="0.2">
      <c r="A1832" s="198" t="s">
        <v>1279</v>
      </c>
      <c r="B1832" s="224" t="s">
        <v>4354</v>
      </c>
      <c r="C1832" s="225" t="s">
        <v>4300</v>
      </c>
      <c r="D1832" s="226" t="s">
        <v>3</v>
      </c>
      <c r="E1832" s="227">
        <v>222.98</v>
      </c>
      <c r="F1832" s="227"/>
      <c r="G1832" s="241"/>
      <c r="H1832" s="241"/>
    </row>
    <row r="1833" spans="1:8" ht="12.75" hidden="1" customHeight="1" outlineLevel="1" x14ac:dyDescent="0.2">
      <c r="A1833" s="198" t="s">
        <v>1279</v>
      </c>
      <c r="B1833" s="228" t="s">
        <v>4355</v>
      </c>
      <c r="C1833" s="229" t="s">
        <v>4302</v>
      </c>
      <c r="D1833" s="230" t="s">
        <v>3</v>
      </c>
      <c r="E1833" s="231">
        <v>27.19</v>
      </c>
      <c r="F1833" s="231"/>
      <c r="G1833" s="241"/>
      <c r="H1833" s="241"/>
    </row>
    <row r="1834" spans="1:8" ht="12.75" hidden="1" customHeight="1" outlineLevel="1" x14ac:dyDescent="0.2">
      <c r="A1834" s="198" t="s">
        <v>1279</v>
      </c>
      <c r="B1834" s="224" t="s">
        <v>4356</v>
      </c>
      <c r="C1834" s="225" t="s">
        <v>4306</v>
      </c>
      <c r="D1834" s="226" t="s">
        <v>3</v>
      </c>
      <c r="E1834" s="227">
        <v>148.56</v>
      </c>
      <c r="F1834" s="227"/>
      <c r="G1834" s="241"/>
      <c r="H1834" s="241"/>
    </row>
    <row r="1835" spans="1:8" ht="12.75" hidden="1" customHeight="1" outlineLevel="1" x14ac:dyDescent="0.2">
      <c r="A1835" s="198" t="s">
        <v>1279</v>
      </c>
      <c r="B1835" s="216" t="s">
        <v>4357</v>
      </c>
      <c r="C1835" s="217" t="s">
        <v>2970</v>
      </c>
      <c r="D1835" s="218"/>
      <c r="E1835" s="219"/>
      <c r="F1835" s="219"/>
      <c r="G1835" s="241"/>
      <c r="H1835" s="241"/>
    </row>
    <row r="1836" spans="1:8" ht="12.75" hidden="1" customHeight="1" outlineLevel="1" x14ac:dyDescent="0.2">
      <c r="A1836" s="198" t="s">
        <v>1279</v>
      </c>
      <c r="B1836" s="228" t="s">
        <v>4358</v>
      </c>
      <c r="C1836" s="229" t="s">
        <v>4300</v>
      </c>
      <c r="D1836" s="230" t="s">
        <v>3</v>
      </c>
      <c r="E1836" s="231">
        <v>266.11</v>
      </c>
      <c r="F1836" s="231"/>
      <c r="G1836" s="241"/>
      <c r="H1836" s="241"/>
    </row>
    <row r="1837" spans="1:8" ht="12.75" hidden="1" customHeight="1" outlineLevel="1" x14ac:dyDescent="0.2">
      <c r="A1837" s="198" t="s">
        <v>1279</v>
      </c>
      <c r="B1837" s="224" t="s">
        <v>4359</v>
      </c>
      <c r="C1837" s="225" t="s">
        <v>4310</v>
      </c>
      <c r="D1837" s="226" t="s">
        <v>3</v>
      </c>
      <c r="E1837" s="227">
        <v>4.66</v>
      </c>
      <c r="F1837" s="227"/>
      <c r="G1837" s="241"/>
      <c r="H1837" s="241"/>
    </row>
    <row r="1838" spans="1:8" ht="12.75" hidden="1" customHeight="1" outlineLevel="1" x14ac:dyDescent="0.2">
      <c r="A1838" s="198" t="s">
        <v>1279</v>
      </c>
      <c r="B1838" s="228" t="s">
        <v>4360</v>
      </c>
      <c r="C1838" s="229" t="s">
        <v>4302</v>
      </c>
      <c r="D1838" s="230" t="s">
        <v>3</v>
      </c>
      <c r="E1838" s="231">
        <v>27.2</v>
      </c>
      <c r="F1838" s="231"/>
      <c r="G1838" s="241"/>
      <c r="H1838" s="241"/>
    </row>
    <row r="1839" spans="1:8" ht="12.75" hidden="1" customHeight="1" outlineLevel="1" x14ac:dyDescent="0.2">
      <c r="A1839" s="198" t="s">
        <v>1279</v>
      </c>
      <c r="B1839" s="224" t="s">
        <v>4361</v>
      </c>
      <c r="C1839" s="225" t="s">
        <v>4306</v>
      </c>
      <c r="D1839" s="226" t="s">
        <v>3</v>
      </c>
      <c r="E1839" s="227">
        <v>173.27</v>
      </c>
      <c r="F1839" s="227"/>
      <c r="G1839" s="241"/>
      <c r="H1839" s="241"/>
    </row>
    <row r="1840" spans="1:8" ht="12.75" hidden="1" customHeight="1" outlineLevel="1" x14ac:dyDescent="0.2">
      <c r="A1840" s="198" t="s">
        <v>1279</v>
      </c>
      <c r="B1840" s="216" t="s">
        <v>4362</v>
      </c>
      <c r="C1840" s="217" t="s">
        <v>2971</v>
      </c>
      <c r="D1840" s="218"/>
      <c r="E1840" s="219"/>
      <c r="F1840" s="219"/>
      <c r="G1840" s="241"/>
      <c r="H1840" s="241"/>
    </row>
    <row r="1841" spans="1:8" ht="12.75" hidden="1" customHeight="1" outlineLevel="1" x14ac:dyDescent="0.2">
      <c r="A1841" s="198" t="s">
        <v>1279</v>
      </c>
      <c r="B1841" s="228" t="s">
        <v>4363</v>
      </c>
      <c r="C1841" s="229" t="s">
        <v>4300</v>
      </c>
      <c r="D1841" s="230" t="s">
        <v>3</v>
      </c>
      <c r="E1841" s="231">
        <v>222.98</v>
      </c>
      <c r="F1841" s="231"/>
      <c r="G1841" s="241"/>
      <c r="H1841" s="241"/>
    </row>
    <row r="1842" spans="1:8" ht="12.75" hidden="1" customHeight="1" outlineLevel="1" x14ac:dyDescent="0.2">
      <c r="A1842" s="198" t="s">
        <v>1279</v>
      </c>
      <c r="B1842" s="224" t="s">
        <v>4364</v>
      </c>
      <c r="C1842" s="225" t="s">
        <v>4302</v>
      </c>
      <c r="D1842" s="226" t="s">
        <v>3</v>
      </c>
      <c r="E1842" s="227">
        <v>27.21</v>
      </c>
      <c r="F1842" s="227"/>
      <c r="G1842" s="241"/>
      <c r="H1842" s="241"/>
    </row>
    <row r="1843" spans="1:8" ht="12.75" hidden="1" customHeight="1" outlineLevel="1" x14ac:dyDescent="0.2">
      <c r="A1843" s="198" t="s">
        <v>1279</v>
      </c>
      <c r="B1843" s="228" t="s">
        <v>4365</v>
      </c>
      <c r="C1843" s="229" t="s">
        <v>4306</v>
      </c>
      <c r="D1843" s="230" t="s">
        <v>3</v>
      </c>
      <c r="E1843" s="231">
        <v>152.15</v>
      </c>
      <c r="F1843" s="231"/>
      <c r="G1843" s="241"/>
      <c r="H1843" s="241"/>
    </row>
    <row r="1844" spans="1:8" ht="12.75" hidden="1" customHeight="1" outlineLevel="1" x14ac:dyDescent="0.2">
      <c r="A1844" s="198" t="s">
        <v>1279</v>
      </c>
      <c r="B1844" s="216" t="s">
        <v>4366</v>
      </c>
      <c r="C1844" s="217" t="s">
        <v>2972</v>
      </c>
      <c r="D1844" s="218"/>
      <c r="E1844" s="219"/>
      <c r="F1844" s="219"/>
      <c r="G1844" s="241"/>
      <c r="H1844" s="241"/>
    </row>
    <row r="1845" spans="1:8" ht="12.75" hidden="1" customHeight="1" outlineLevel="1" x14ac:dyDescent="0.2">
      <c r="A1845" s="198" t="s">
        <v>1279</v>
      </c>
      <c r="B1845" s="224" t="s">
        <v>4367</v>
      </c>
      <c r="C1845" s="225" t="s">
        <v>4302</v>
      </c>
      <c r="D1845" s="226" t="s">
        <v>3</v>
      </c>
      <c r="E1845" s="227">
        <v>27.51</v>
      </c>
      <c r="F1845" s="227"/>
      <c r="G1845" s="241"/>
      <c r="H1845" s="241"/>
    </row>
    <row r="1846" spans="1:8" ht="12.75" hidden="1" customHeight="1" outlineLevel="1" x14ac:dyDescent="0.2">
      <c r="A1846" s="198" t="s">
        <v>1279</v>
      </c>
      <c r="B1846" s="228" t="s">
        <v>4368</v>
      </c>
      <c r="C1846" s="229" t="s">
        <v>4306</v>
      </c>
      <c r="D1846" s="230" t="s">
        <v>3</v>
      </c>
      <c r="E1846" s="231">
        <v>214.33</v>
      </c>
      <c r="F1846" s="231"/>
      <c r="G1846" s="241"/>
      <c r="H1846" s="241"/>
    </row>
    <row r="1847" spans="1:8" ht="12.75" hidden="1" customHeight="1" outlineLevel="1" x14ac:dyDescent="0.2">
      <c r="A1847" s="198" t="s">
        <v>1279</v>
      </c>
      <c r="B1847" s="216" t="s">
        <v>4369</v>
      </c>
      <c r="C1847" s="217" t="s">
        <v>2973</v>
      </c>
      <c r="D1847" s="218"/>
      <c r="E1847" s="219"/>
      <c r="F1847" s="219"/>
      <c r="G1847" s="241"/>
      <c r="H1847" s="241"/>
    </row>
    <row r="1848" spans="1:8" ht="12.75" hidden="1" customHeight="1" outlineLevel="1" x14ac:dyDescent="0.2">
      <c r="A1848" s="198" t="s">
        <v>1279</v>
      </c>
      <c r="B1848" s="224" t="s">
        <v>4370</v>
      </c>
      <c r="C1848" s="225" t="s">
        <v>4300</v>
      </c>
      <c r="D1848" s="226" t="s">
        <v>3</v>
      </c>
      <c r="E1848" s="227">
        <v>119.72</v>
      </c>
      <c r="F1848" s="227"/>
      <c r="G1848" s="241"/>
      <c r="H1848" s="241"/>
    </row>
    <row r="1849" spans="1:8" ht="12.75" hidden="1" customHeight="1" outlineLevel="1" x14ac:dyDescent="0.2">
      <c r="A1849" s="198" t="s">
        <v>1279</v>
      </c>
      <c r="B1849" s="228" t="s">
        <v>4371</v>
      </c>
      <c r="C1849" s="229" t="s">
        <v>4310</v>
      </c>
      <c r="D1849" s="230" t="s">
        <v>3</v>
      </c>
      <c r="E1849" s="231">
        <v>9.9</v>
      </c>
      <c r="F1849" s="231"/>
      <c r="G1849" s="241"/>
      <c r="H1849" s="241"/>
    </row>
    <row r="1850" spans="1:8" ht="12.75" hidden="1" customHeight="1" outlineLevel="1" x14ac:dyDescent="0.2">
      <c r="A1850" s="198" t="s">
        <v>1279</v>
      </c>
      <c r="B1850" s="224" t="s">
        <v>4372</v>
      </c>
      <c r="C1850" s="225" t="s">
        <v>4302</v>
      </c>
      <c r="D1850" s="226" t="s">
        <v>3</v>
      </c>
      <c r="E1850" s="227">
        <v>26.67</v>
      </c>
      <c r="F1850" s="227"/>
      <c r="G1850" s="241"/>
      <c r="H1850" s="241"/>
    </row>
    <row r="1851" spans="1:8" ht="12.75" hidden="1" customHeight="1" outlineLevel="1" x14ac:dyDescent="0.2">
      <c r="A1851" s="198" t="s">
        <v>1279</v>
      </c>
      <c r="B1851" s="228" t="s">
        <v>4373</v>
      </c>
      <c r="C1851" s="229" t="s">
        <v>4306</v>
      </c>
      <c r="D1851" s="230" t="s">
        <v>3</v>
      </c>
      <c r="E1851" s="231">
        <v>131.78</v>
      </c>
      <c r="F1851" s="231"/>
      <c r="G1851" s="241"/>
      <c r="H1851" s="241"/>
    </row>
    <row r="1852" spans="1:8" ht="12.75" hidden="1" customHeight="1" outlineLevel="1" x14ac:dyDescent="0.2">
      <c r="A1852" s="198" t="s">
        <v>1279</v>
      </c>
      <c r="B1852" s="216" t="s">
        <v>4374</v>
      </c>
      <c r="C1852" s="217" t="s">
        <v>2974</v>
      </c>
      <c r="D1852" s="218"/>
      <c r="E1852" s="219"/>
      <c r="F1852" s="219"/>
      <c r="G1852" s="241"/>
      <c r="H1852" s="241"/>
    </row>
    <row r="1853" spans="1:8" ht="12.75" hidden="1" customHeight="1" outlineLevel="1" x14ac:dyDescent="0.2">
      <c r="A1853" s="198" t="s">
        <v>1279</v>
      </c>
      <c r="B1853" s="224" t="s">
        <v>4375</v>
      </c>
      <c r="C1853" s="225" t="s">
        <v>4300</v>
      </c>
      <c r="D1853" s="226" t="s">
        <v>3</v>
      </c>
      <c r="E1853" s="227">
        <v>92.12</v>
      </c>
      <c r="F1853" s="227"/>
      <c r="G1853" s="241"/>
      <c r="H1853" s="241"/>
    </row>
    <row r="1854" spans="1:8" ht="12.75" hidden="1" customHeight="1" outlineLevel="1" x14ac:dyDescent="0.2">
      <c r="A1854" s="198" t="s">
        <v>1279</v>
      </c>
      <c r="B1854" s="228" t="s">
        <v>4376</v>
      </c>
      <c r="C1854" s="229" t="s">
        <v>4302</v>
      </c>
      <c r="D1854" s="230" t="s">
        <v>3</v>
      </c>
      <c r="E1854" s="231">
        <v>27.19</v>
      </c>
      <c r="F1854" s="231"/>
      <c r="G1854" s="241"/>
      <c r="H1854" s="241"/>
    </row>
    <row r="1855" spans="1:8" ht="12.75" hidden="1" customHeight="1" outlineLevel="1" x14ac:dyDescent="0.2">
      <c r="A1855" s="198" t="s">
        <v>1279</v>
      </c>
      <c r="B1855" s="224" t="s">
        <v>4377</v>
      </c>
      <c r="C1855" s="225" t="s">
        <v>4306</v>
      </c>
      <c r="D1855" s="226" t="s">
        <v>3</v>
      </c>
      <c r="E1855" s="227">
        <v>93.87</v>
      </c>
      <c r="F1855" s="227"/>
      <c r="G1855" s="241"/>
      <c r="H1855" s="241"/>
    </row>
    <row r="1856" spans="1:8" ht="12.75" hidden="1" customHeight="1" outlineLevel="1" x14ac:dyDescent="0.2">
      <c r="A1856" s="198" t="s">
        <v>1279</v>
      </c>
      <c r="B1856" s="216" t="s">
        <v>4378</v>
      </c>
      <c r="C1856" s="217" t="s">
        <v>2975</v>
      </c>
      <c r="D1856" s="218"/>
      <c r="E1856" s="219"/>
      <c r="F1856" s="219"/>
      <c r="G1856" s="241"/>
      <c r="H1856" s="241"/>
    </row>
    <row r="1857" spans="1:10" ht="12.75" hidden="1" customHeight="1" outlineLevel="1" x14ac:dyDescent="0.2">
      <c r="A1857" s="198" t="s">
        <v>1279</v>
      </c>
      <c r="B1857" s="228" t="s">
        <v>4379</v>
      </c>
      <c r="C1857" s="229" t="s">
        <v>4300</v>
      </c>
      <c r="D1857" s="230" t="s">
        <v>3</v>
      </c>
      <c r="E1857" s="231">
        <v>119.74</v>
      </c>
      <c r="F1857" s="231"/>
      <c r="G1857" s="241"/>
      <c r="H1857" s="241"/>
    </row>
    <row r="1858" spans="1:10" ht="12.75" hidden="1" customHeight="1" outlineLevel="1" x14ac:dyDescent="0.2">
      <c r="A1858" s="198" t="s">
        <v>1279</v>
      </c>
      <c r="B1858" s="224" t="s">
        <v>4380</v>
      </c>
      <c r="C1858" s="225" t="s">
        <v>4310</v>
      </c>
      <c r="D1858" s="226" t="s">
        <v>3</v>
      </c>
      <c r="E1858" s="227">
        <v>9.9</v>
      </c>
      <c r="F1858" s="227"/>
      <c r="G1858" s="241"/>
      <c r="H1858" s="241"/>
    </row>
    <row r="1859" spans="1:10" ht="12.75" hidden="1" customHeight="1" outlineLevel="1" x14ac:dyDescent="0.2">
      <c r="A1859" s="198" t="s">
        <v>1279</v>
      </c>
      <c r="B1859" s="228" t="s">
        <v>4381</v>
      </c>
      <c r="C1859" s="229" t="s">
        <v>4302</v>
      </c>
      <c r="D1859" s="230" t="s">
        <v>3</v>
      </c>
      <c r="E1859" s="231">
        <v>27.24</v>
      </c>
      <c r="F1859" s="231"/>
      <c r="G1859" s="241"/>
      <c r="H1859" s="241"/>
    </row>
    <row r="1860" spans="1:10" ht="12.75" hidden="1" customHeight="1" outlineLevel="1" x14ac:dyDescent="0.2">
      <c r="A1860" s="198" t="s">
        <v>1279</v>
      </c>
      <c r="B1860" s="224" t="s">
        <v>4382</v>
      </c>
      <c r="C1860" s="225" t="s">
        <v>4306</v>
      </c>
      <c r="D1860" s="226" t="s">
        <v>3</v>
      </c>
      <c r="E1860" s="227">
        <v>110.85</v>
      </c>
      <c r="F1860" s="227"/>
      <c r="G1860" s="241"/>
      <c r="H1860" s="241"/>
    </row>
    <row r="1861" spans="1:10" ht="12.75" hidden="1" customHeight="1" outlineLevel="1" x14ac:dyDescent="0.2">
      <c r="A1861" s="198" t="s">
        <v>1279</v>
      </c>
      <c r="B1861" s="216" t="s">
        <v>4383</v>
      </c>
      <c r="C1861" s="217" t="s">
        <v>2976</v>
      </c>
      <c r="D1861" s="218"/>
      <c r="E1861" s="219"/>
      <c r="F1861" s="219"/>
      <c r="G1861" s="241"/>
      <c r="H1861" s="241"/>
    </row>
    <row r="1862" spans="1:10" ht="12.75" hidden="1" customHeight="1" outlineLevel="1" x14ac:dyDescent="0.2">
      <c r="A1862" s="198" t="s">
        <v>1279</v>
      </c>
      <c r="B1862" s="228" t="s">
        <v>4384</v>
      </c>
      <c r="C1862" s="229" t="s">
        <v>4300</v>
      </c>
      <c r="D1862" s="230" t="s">
        <v>3</v>
      </c>
      <c r="E1862" s="231">
        <v>92.63</v>
      </c>
      <c r="F1862" s="231"/>
      <c r="G1862" s="241"/>
      <c r="H1862" s="241"/>
    </row>
    <row r="1863" spans="1:10" ht="12.75" hidden="1" customHeight="1" outlineLevel="1" x14ac:dyDescent="0.2">
      <c r="A1863" s="198" t="s">
        <v>1279</v>
      </c>
      <c r="B1863" s="224" t="s">
        <v>4385</v>
      </c>
      <c r="C1863" s="225" t="s">
        <v>4302</v>
      </c>
      <c r="D1863" s="226" t="s">
        <v>3</v>
      </c>
      <c r="E1863" s="227">
        <v>27.66</v>
      </c>
      <c r="F1863" s="227"/>
      <c r="G1863" s="241"/>
      <c r="H1863" s="241"/>
    </row>
    <row r="1864" spans="1:10" ht="12.75" hidden="1" customHeight="1" outlineLevel="1" x14ac:dyDescent="0.2">
      <c r="A1864" s="198" t="s">
        <v>1279</v>
      </c>
      <c r="B1864" s="228" t="s">
        <v>4386</v>
      </c>
      <c r="C1864" s="229" t="s">
        <v>4306</v>
      </c>
      <c r="D1864" s="230" t="s">
        <v>3</v>
      </c>
      <c r="E1864" s="231">
        <v>95.03</v>
      </c>
      <c r="F1864" s="231"/>
      <c r="G1864" s="241"/>
      <c r="H1864" s="241"/>
    </row>
    <row r="1865" spans="1:10" ht="12.75" hidden="1" customHeight="1" outlineLevel="1" x14ac:dyDescent="0.2">
      <c r="A1865" s="198" t="s">
        <v>1279</v>
      </c>
      <c r="B1865" s="216" t="s">
        <v>4387</v>
      </c>
      <c r="C1865" s="217" t="s">
        <v>2978</v>
      </c>
      <c r="D1865" s="218"/>
      <c r="E1865" s="219"/>
      <c r="F1865" s="219"/>
      <c r="G1865" s="241"/>
      <c r="H1865" s="241"/>
    </row>
    <row r="1866" spans="1:10" ht="12.75" hidden="1" customHeight="1" outlineLevel="1" x14ac:dyDescent="0.2">
      <c r="A1866" s="198" t="s">
        <v>1279</v>
      </c>
      <c r="B1866" s="224" t="s">
        <v>4388</v>
      </c>
      <c r="C1866" s="225" t="s">
        <v>4389</v>
      </c>
      <c r="D1866" s="226" t="s">
        <v>3</v>
      </c>
      <c r="E1866" s="227">
        <v>52.91</v>
      </c>
      <c r="F1866" s="227"/>
      <c r="G1866" s="241"/>
      <c r="H1866" s="241"/>
    </row>
    <row r="1867" spans="1:10" ht="12.75" hidden="1" customHeight="1" outlineLevel="1" x14ac:dyDescent="0.2">
      <c r="A1867" s="198" t="s">
        <v>1279</v>
      </c>
      <c r="B1867" s="228" t="s">
        <v>4390</v>
      </c>
      <c r="C1867" s="229" t="s">
        <v>4302</v>
      </c>
      <c r="D1867" s="230" t="s">
        <v>3</v>
      </c>
      <c r="E1867" s="231">
        <v>31.95</v>
      </c>
      <c r="F1867" s="231"/>
      <c r="G1867" s="241"/>
      <c r="H1867" s="241"/>
    </row>
    <row r="1868" spans="1:10" ht="12.75" hidden="1" customHeight="1" outlineLevel="1" x14ac:dyDescent="0.2">
      <c r="A1868" s="198" t="s">
        <v>1279</v>
      </c>
      <c r="B1868" s="224" t="s">
        <v>4391</v>
      </c>
      <c r="C1868" s="225" t="s">
        <v>4306</v>
      </c>
      <c r="D1868" s="226" t="s">
        <v>3</v>
      </c>
      <c r="E1868" s="227">
        <v>45.28</v>
      </c>
      <c r="F1868" s="227"/>
      <c r="G1868" s="241"/>
      <c r="H1868" s="241"/>
    </row>
    <row r="1869" spans="1:10" ht="12.75" hidden="1" customHeight="1" outlineLevel="1" x14ac:dyDescent="0.2">
      <c r="A1869" s="198" t="s">
        <v>1279</v>
      </c>
      <c r="B1869" s="216" t="s">
        <v>4392</v>
      </c>
      <c r="C1869" s="217" t="s">
        <v>2980</v>
      </c>
      <c r="D1869" s="218"/>
      <c r="E1869" s="219"/>
      <c r="F1869" s="219"/>
      <c r="G1869" s="241"/>
      <c r="H1869" s="241"/>
    </row>
    <row r="1870" spans="1:10" ht="12.75" hidden="1" customHeight="1" outlineLevel="1" x14ac:dyDescent="0.2">
      <c r="A1870" s="198" t="s">
        <v>1279</v>
      </c>
      <c r="B1870" s="228" t="s">
        <v>4393</v>
      </c>
      <c r="C1870" s="229" t="s">
        <v>4300</v>
      </c>
      <c r="D1870" s="230" t="s">
        <v>3</v>
      </c>
      <c r="E1870" s="231">
        <v>54.18</v>
      </c>
      <c r="F1870" s="231"/>
      <c r="G1870" s="241"/>
      <c r="H1870" s="241"/>
    </row>
    <row r="1871" spans="1:10" ht="12.75" hidden="1" customHeight="1" outlineLevel="1" x14ac:dyDescent="0.2">
      <c r="A1871" s="198" t="s">
        <v>1279</v>
      </c>
      <c r="B1871" s="224" t="s">
        <v>4394</v>
      </c>
      <c r="C1871" s="225" t="s">
        <v>4302</v>
      </c>
      <c r="D1871" s="226" t="s">
        <v>3</v>
      </c>
      <c r="E1871" s="227">
        <v>3.6</v>
      </c>
      <c r="F1871" s="227"/>
      <c r="G1871" s="241"/>
      <c r="H1871" s="241"/>
    </row>
    <row r="1872" spans="1:10" collapsed="1" x14ac:dyDescent="0.2">
      <c r="B1872" s="515" t="s">
        <v>1674</v>
      </c>
      <c r="C1872" s="516" t="s">
        <v>2682</v>
      </c>
      <c r="D1872" s="549"/>
      <c r="E1872" s="520">
        <f>SUM(E1874:E1914)</f>
        <v>134.60000000000002</v>
      </c>
      <c r="F1872" s="520"/>
      <c r="G1872" s="516"/>
      <c r="H1872" s="234">
        <f>SUM(H1873:H1880)</f>
        <v>134.60000000000002</v>
      </c>
      <c r="I1872" s="242" t="str">
        <f>IF(H1872=E1872,"OKAY","REVER")</f>
        <v>OKAY</v>
      </c>
      <c r="J1872" s="405"/>
    </row>
    <row r="1873" spans="1:10" ht="12.75" hidden="1" customHeight="1" outlineLevel="1" x14ac:dyDescent="0.2">
      <c r="A1873" s="198" t="s">
        <v>1278</v>
      </c>
      <c r="B1873" s="216" t="s">
        <v>2736</v>
      </c>
      <c r="C1873" s="217" t="s">
        <v>2955</v>
      </c>
      <c r="D1873" s="218"/>
      <c r="E1873" s="219"/>
      <c r="F1873" s="219"/>
      <c r="G1873" s="229" t="s">
        <v>4399</v>
      </c>
      <c r="H1873" s="235">
        <f t="shared" ref="H1873:H1880" si="52">SUMIF($C:$C,G1873,$E:$E)</f>
        <v>134.60000000000002</v>
      </c>
      <c r="J1873" s="215"/>
    </row>
    <row r="1874" spans="1:10" ht="12.75" hidden="1" customHeight="1" outlineLevel="1" x14ac:dyDescent="0.2">
      <c r="A1874" s="198" t="s">
        <v>1278</v>
      </c>
      <c r="B1874" s="228" t="s">
        <v>4398</v>
      </c>
      <c r="C1874" s="229" t="s">
        <v>4399</v>
      </c>
      <c r="D1874" s="230" t="s">
        <v>11</v>
      </c>
      <c r="E1874" s="231">
        <v>2.5099999999999998</v>
      </c>
      <c r="F1874" s="231"/>
      <c r="G1874" s="225"/>
      <c r="H1874" s="235">
        <f t="shared" si="52"/>
        <v>0</v>
      </c>
      <c r="J1874" s="215"/>
    </row>
    <row r="1875" spans="1:10" ht="12.75" hidden="1" customHeight="1" outlineLevel="1" x14ac:dyDescent="0.2">
      <c r="A1875" s="198" t="s">
        <v>1278</v>
      </c>
      <c r="B1875" s="216" t="s">
        <v>4400</v>
      </c>
      <c r="C1875" s="217" t="s">
        <v>2958</v>
      </c>
      <c r="D1875" s="218"/>
      <c r="E1875" s="219"/>
      <c r="F1875" s="219"/>
      <c r="G1875" s="225"/>
      <c r="H1875" s="235">
        <f t="shared" si="52"/>
        <v>0</v>
      </c>
      <c r="J1875" s="215"/>
    </row>
    <row r="1876" spans="1:10" ht="12.75" hidden="1" customHeight="1" outlineLevel="1" x14ac:dyDescent="0.2">
      <c r="A1876" s="198" t="s">
        <v>1278</v>
      </c>
      <c r="B1876" s="224" t="s">
        <v>4401</v>
      </c>
      <c r="C1876" s="225" t="s">
        <v>4399</v>
      </c>
      <c r="D1876" s="226" t="s">
        <v>11</v>
      </c>
      <c r="E1876" s="227">
        <v>8.5</v>
      </c>
      <c r="F1876" s="227"/>
      <c r="G1876" s="225"/>
      <c r="H1876" s="235">
        <f t="shared" si="52"/>
        <v>0</v>
      </c>
      <c r="J1876" s="215"/>
    </row>
    <row r="1877" spans="1:10" ht="12.75" hidden="1" customHeight="1" outlineLevel="1" x14ac:dyDescent="0.2">
      <c r="A1877" s="198" t="s">
        <v>1279</v>
      </c>
      <c r="B1877" s="216" t="s">
        <v>4402</v>
      </c>
      <c r="C1877" s="217" t="s">
        <v>2960</v>
      </c>
      <c r="D1877" s="218"/>
      <c r="E1877" s="219"/>
      <c r="F1877" s="219"/>
      <c r="G1877" s="225"/>
      <c r="H1877" s="235">
        <f t="shared" si="52"/>
        <v>0</v>
      </c>
      <c r="J1877" s="215"/>
    </row>
    <row r="1878" spans="1:10" ht="12.75" hidden="1" customHeight="1" outlineLevel="1" x14ac:dyDescent="0.2">
      <c r="A1878" s="198" t="s">
        <v>1279</v>
      </c>
      <c r="B1878" s="228" t="s">
        <v>4403</v>
      </c>
      <c r="C1878" s="229" t="s">
        <v>4399</v>
      </c>
      <c r="D1878" s="230" t="s">
        <v>11</v>
      </c>
      <c r="E1878" s="231">
        <v>7.57</v>
      </c>
      <c r="F1878" s="231"/>
      <c r="G1878" s="225"/>
      <c r="H1878" s="235">
        <f t="shared" si="52"/>
        <v>0</v>
      </c>
      <c r="J1878" s="215"/>
    </row>
    <row r="1879" spans="1:10" ht="12.75" hidden="1" customHeight="1" outlineLevel="1" x14ac:dyDescent="0.2">
      <c r="A1879" s="198" t="s">
        <v>1279</v>
      </c>
      <c r="B1879" s="216" t="s">
        <v>4404</v>
      </c>
      <c r="C1879" s="217" t="s">
        <v>2961</v>
      </c>
      <c r="D1879" s="218"/>
      <c r="E1879" s="219"/>
      <c r="F1879" s="219"/>
      <c r="G1879" s="225"/>
      <c r="H1879" s="235">
        <f t="shared" si="52"/>
        <v>0</v>
      </c>
      <c r="I1879" s="198"/>
      <c r="J1879" s="215"/>
    </row>
    <row r="1880" spans="1:10" ht="12.75" hidden="1" customHeight="1" outlineLevel="1" x14ac:dyDescent="0.2">
      <c r="A1880" s="198" t="s">
        <v>1279</v>
      </c>
      <c r="B1880" s="224" t="s">
        <v>4405</v>
      </c>
      <c r="C1880" s="225" t="s">
        <v>4399</v>
      </c>
      <c r="D1880" s="226" t="s">
        <v>11</v>
      </c>
      <c r="E1880" s="227">
        <v>10.82</v>
      </c>
      <c r="F1880" s="227"/>
      <c r="G1880" s="225"/>
      <c r="H1880" s="235">
        <f t="shared" si="52"/>
        <v>0</v>
      </c>
      <c r="J1880" s="215"/>
    </row>
    <row r="1881" spans="1:10" ht="12.75" hidden="1" customHeight="1" outlineLevel="1" x14ac:dyDescent="0.2">
      <c r="A1881" s="198" t="s">
        <v>1279</v>
      </c>
      <c r="B1881" s="216" t="s">
        <v>4406</v>
      </c>
      <c r="C1881" s="217" t="s">
        <v>2962</v>
      </c>
      <c r="D1881" s="218"/>
      <c r="E1881" s="219"/>
      <c r="F1881" s="219"/>
      <c r="J1881" s="215"/>
    </row>
    <row r="1882" spans="1:10" ht="12.75" hidden="1" customHeight="1" outlineLevel="1" x14ac:dyDescent="0.2">
      <c r="A1882" s="198" t="s">
        <v>1279</v>
      </c>
      <c r="B1882" s="228" t="s">
        <v>4407</v>
      </c>
      <c r="C1882" s="229" t="s">
        <v>4399</v>
      </c>
      <c r="D1882" s="230" t="s">
        <v>11</v>
      </c>
      <c r="E1882" s="231">
        <v>8.81</v>
      </c>
      <c r="F1882" s="231"/>
      <c r="G1882" s="520" t="s">
        <v>1732</v>
      </c>
      <c r="H1882" s="234">
        <f>H1884+H1896</f>
        <v>134.6</v>
      </c>
      <c r="I1882" s="242" t="str">
        <f>IF(H1882=H1872,"OKAY","REVER")</f>
        <v>OKAY</v>
      </c>
      <c r="J1882" s="215"/>
    </row>
    <row r="1883" spans="1:10" ht="12.75" hidden="1" customHeight="1" outlineLevel="1" x14ac:dyDescent="0.2">
      <c r="A1883" s="198" t="s">
        <v>1279</v>
      </c>
      <c r="B1883" s="216" t="s">
        <v>4408</v>
      </c>
      <c r="C1883" s="217" t="s">
        <v>2963</v>
      </c>
      <c r="D1883" s="218"/>
      <c r="E1883" s="219"/>
      <c r="F1883" s="219"/>
      <c r="G1883" s="232"/>
      <c r="H1883" s="232"/>
      <c r="I1883" s="242"/>
      <c r="J1883" s="215"/>
    </row>
    <row r="1884" spans="1:10" ht="12.75" hidden="1" customHeight="1" outlineLevel="1" x14ac:dyDescent="0.2">
      <c r="A1884" s="198" t="s">
        <v>1279</v>
      </c>
      <c r="B1884" s="224" t="s">
        <v>4409</v>
      </c>
      <c r="C1884" s="225" t="s">
        <v>4399</v>
      </c>
      <c r="D1884" s="226" t="s">
        <v>11</v>
      </c>
      <c r="E1884" s="227">
        <v>7.73</v>
      </c>
      <c r="F1884" s="227"/>
      <c r="G1884" s="520" t="str">
        <f>$A$1</f>
        <v>EMBASSAMENTO</v>
      </c>
      <c r="H1884" s="234">
        <f>SUM(H1885:H1892)</f>
        <v>11.01</v>
      </c>
      <c r="I1884" s="242"/>
      <c r="J1884" s="215"/>
    </row>
    <row r="1885" spans="1:10" ht="12.75" hidden="1" customHeight="1" outlineLevel="1" x14ac:dyDescent="0.2">
      <c r="A1885" s="198" t="s">
        <v>1279</v>
      </c>
      <c r="B1885" s="216" t="s">
        <v>4410</v>
      </c>
      <c r="C1885" s="217" t="s">
        <v>2964</v>
      </c>
      <c r="D1885" s="218"/>
      <c r="E1885" s="219"/>
      <c r="F1885" s="219"/>
      <c r="G1885" s="229" t="s">
        <v>4399</v>
      </c>
      <c r="H1885" s="235">
        <f t="shared" ref="H1885:H1892" si="53">SUMIFS($E:$E,$C:$C,G1885,$A:$A,$G$22)</f>
        <v>11.01</v>
      </c>
      <c r="I1885" s="242"/>
      <c r="J1885" s="215"/>
    </row>
    <row r="1886" spans="1:10" ht="12.75" hidden="1" customHeight="1" outlineLevel="1" x14ac:dyDescent="0.2">
      <c r="A1886" s="198" t="s">
        <v>1279</v>
      </c>
      <c r="B1886" s="228" t="s">
        <v>4411</v>
      </c>
      <c r="C1886" s="229" t="s">
        <v>4399</v>
      </c>
      <c r="D1886" s="230" t="s">
        <v>11</v>
      </c>
      <c r="E1886" s="231">
        <v>8.51</v>
      </c>
      <c r="F1886" s="231"/>
      <c r="G1886" s="225"/>
      <c r="H1886" s="235">
        <f t="shared" si="53"/>
        <v>0</v>
      </c>
      <c r="J1886" s="215"/>
    </row>
    <row r="1887" spans="1:10" ht="12.75" hidden="1" customHeight="1" outlineLevel="1" x14ac:dyDescent="0.2">
      <c r="A1887" s="198" t="s">
        <v>1279</v>
      </c>
      <c r="B1887" s="216" t="s">
        <v>4412</v>
      </c>
      <c r="C1887" s="217" t="s">
        <v>2965</v>
      </c>
      <c r="D1887" s="218"/>
      <c r="E1887" s="219"/>
      <c r="F1887" s="219"/>
      <c r="G1887" s="225"/>
      <c r="H1887" s="235">
        <f t="shared" si="53"/>
        <v>0</v>
      </c>
      <c r="J1887" s="215"/>
    </row>
    <row r="1888" spans="1:10" ht="12.75" hidden="1" customHeight="1" outlineLevel="1" x14ac:dyDescent="0.2">
      <c r="A1888" s="198" t="s">
        <v>1279</v>
      </c>
      <c r="B1888" s="224" t="s">
        <v>4413</v>
      </c>
      <c r="C1888" s="225" t="s">
        <v>4399</v>
      </c>
      <c r="D1888" s="226" t="s">
        <v>11</v>
      </c>
      <c r="E1888" s="227">
        <v>7.73</v>
      </c>
      <c r="F1888" s="227"/>
      <c r="G1888" s="225"/>
      <c r="H1888" s="235">
        <f t="shared" si="53"/>
        <v>0</v>
      </c>
      <c r="J1888" s="215"/>
    </row>
    <row r="1889" spans="1:10" ht="12.75" hidden="1" customHeight="1" outlineLevel="1" x14ac:dyDescent="0.2">
      <c r="A1889" s="198" t="s">
        <v>1279</v>
      </c>
      <c r="B1889" s="216" t="s">
        <v>4414</v>
      </c>
      <c r="C1889" s="217" t="s">
        <v>2966</v>
      </c>
      <c r="D1889" s="218"/>
      <c r="E1889" s="219"/>
      <c r="F1889" s="219"/>
      <c r="G1889" s="225"/>
      <c r="H1889" s="235">
        <f t="shared" si="53"/>
        <v>0</v>
      </c>
      <c r="J1889" s="215"/>
    </row>
    <row r="1890" spans="1:10" ht="12.75" hidden="1" customHeight="1" outlineLevel="1" x14ac:dyDescent="0.2">
      <c r="A1890" s="198" t="s">
        <v>1279</v>
      </c>
      <c r="B1890" s="228" t="s">
        <v>4415</v>
      </c>
      <c r="C1890" s="229" t="s">
        <v>4399</v>
      </c>
      <c r="D1890" s="230" t="s">
        <v>11</v>
      </c>
      <c r="E1890" s="231">
        <v>8.51</v>
      </c>
      <c r="F1890" s="231"/>
      <c r="G1890" s="225"/>
      <c r="H1890" s="235">
        <f t="shared" si="53"/>
        <v>0</v>
      </c>
      <c r="J1890" s="215"/>
    </row>
    <row r="1891" spans="1:10" ht="12.75" hidden="1" customHeight="1" outlineLevel="1" x14ac:dyDescent="0.2">
      <c r="A1891" s="198" t="s">
        <v>1279</v>
      </c>
      <c r="B1891" s="216" t="s">
        <v>4416</v>
      </c>
      <c r="C1891" s="217" t="s">
        <v>2967</v>
      </c>
      <c r="D1891" s="218"/>
      <c r="E1891" s="219"/>
      <c r="F1891" s="219"/>
      <c r="G1891" s="225"/>
      <c r="H1891" s="235">
        <f t="shared" si="53"/>
        <v>0</v>
      </c>
      <c r="J1891" s="215"/>
    </row>
    <row r="1892" spans="1:10" ht="12.75" hidden="1" customHeight="1" outlineLevel="1" x14ac:dyDescent="0.2">
      <c r="A1892" s="198" t="s">
        <v>1279</v>
      </c>
      <c r="B1892" s="224" t="s">
        <v>4417</v>
      </c>
      <c r="C1892" s="225" t="s">
        <v>4399</v>
      </c>
      <c r="D1892" s="226" t="s">
        <v>11</v>
      </c>
      <c r="E1892" s="227">
        <v>7.73</v>
      </c>
      <c r="F1892" s="227"/>
      <c r="G1892" s="225"/>
      <c r="H1892" s="235">
        <f t="shared" si="53"/>
        <v>0</v>
      </c>
    </row>
    <row r="1893" spans="1:10" ht="12.75" hidden="1" customHeight="1" outlineLevel="1" x14ac:dyDescent="0.2">
      <c r="A1893" s="198" t="s">
        <v>1279</v>
      </c>
      <c r="B1893" s="216" t="s">
        <v>4418</v>
      </c>
      <c r="C1893" s="217" t="s">
        <v>2968</v>
      </c>
      <c r="D1893" s="218"/>
      <c r="E1893" s="219"/>
      <c r="F1893" s="219"/>
    </row>
    <row r="1894" spans="1:10" ht="12.75" hidden="1" customHeight="1" outlineLevel="1" x14ac:dyDescent="0.2">
      <c r="A1894" s="198" t="s">
        <v>1279</v>
      </c>
      <c r="B1894" s="228" t="s">
        <v>4419</v>
      </c>
      <c r="C1894" s="229" t="s">
        <v>4399</v>
      </c>
      <c r="D1894" s="230" t="s">
        <v>11</v>
      </c>
      <c r="E1894" s="231">
        <v>8.51</v>
      </c>
      <c r="F1894" s="231"/>
    </row>
    <row r="1895" spans="1:10" ht="12.75" hidden="1" customHeight="1" outlineLevel="1" x14ac:dyDescent="0.2">
      <c r="A1895" s="198" t="s">
        <v>1279</v>
      </c>
      <c r="B1895" s="216" t="s">
        <v>4420</v>
      </c>
      <c r="C1895" s="217" t="s">
        <v>2969</v>
      </c>
      <c r="D1895" s="218"/>
      <c r="E1895" s="219"/>
      <c r="F1895" s="219"/>
    </row>
    <row r="1896" spans="1:10" ht="12.75" hidden="1" customHeight="1" outlineLevel="1" x14ac:dyDescent="0.2">
      <c r="A1896" s="198" t="s">
        <v>1279</v>
      </c>
      <c r="B1896" s="224" t="s">
        <v>4421</v>
      </c>
      <c r="C1896" s="225" t="s">
        <v>4399</v>
      </c>
      <c r="D1896" s="226" t="s">
        <v>11</v>
      </c>
      <c r="E1896" s="227">
        <v>7.73</v>
      </c>
      <c r="F1896" s="227"/>
      <c r="G1896" s="520" t="str">
        <f>$A$2</f>
        <v>TORRE</v>
      </c>
      <c r="H1896" s="234">
        <f>SUM(H1897:H1904)</f>
        <v>123.59</v>
      </c>
      <c r="J1896" s="215"/>
    </row>
    <row r="1897" spans="1:10" ht="12.75" hidden="1" customHeight="1" outlineLevel="1" x14ac:dyDescent="0.2">
      <c r="A1897" s="198" t="s">
        <v>1279</v>
      </c>
      <c r="B1897" s="216" t="s">
        <v>4422</v>
      </c>
      <c r="C1897" s="217" t="s">
        <v>2970</v>
      </c>
      <c r="D1897" s="218"/>
      <c r="E1897" s="219"/>
      <c r="F1897" s="219"/>
      <c r="G1897" s="229" t="s">
        <v>4399</v>
      </c>
      <c r="H1897" s="235">
        <f t="shared" ref="H1897:H1904" si="54">SUMIFS($E:$E,$C:$C,G1897,$A:$A,$G$30)</f>
        <v>123.59</v>
      </c>
      <c r="J1897" s="215"/>
    </row>
    <row r="1898" spans="1:10" ht="12.75" hidden="1" customHeight="1" outlineLevel="1" x14ac:dyDescent="0.2">
      <c r="A1898" s="198" t="s">
        <v>1279</v>
      </c>
      <c r="B1898" s="228" t="s">
        <v>4423</v>
      </c>
      <c r="C1898" s="229" t="s">
        <v>4399</v>
      </c>
      <c r="D1898" s="230" t="s">
        <v>11</v>
      </c>
      <c r="E1898" s="231">
        <v>8.51</v>
      </c>
      <c r="F1898" s="231"/>
      <c r="G1898" s="225"/>
      <c r="H1898" s="235">
        <f t="shared" si="54"/>
        <v>0</v>
      </c>
      <c r="J1898" s="215"/>
    </row>
    <row r="1899" spans="1:10" ht="12.75" hidden="1" customHeight="1" outlineLevel="1" x14ac:dyDescent="0.2">
      <c r="A1899" s="198" t="s">
        <v>1279</v>
      </c>
      <c r="B1899" s="216" t="s">
        <v>4424</v>
      </c>
      <c r="C1899" s="217" t="s">
        <v>2971</v>
      </c>
      <c r="D1899" s="218"/>
      <c r="E1899" s="219"/>
      <c r="F1899" s="219"/>
      <c r="G1899" s="225"/>
      <c r="H1899" s="235">
        <f t="shared" si="54"/>
        <v>0</v>
      </c>
      <c r="J1899" s="215"/>
    </row>
    <row r="1900" spans="1:10" ht="12.75" hidden="1" customHeight="1" outlineLevel="1" x14ac:dyDescent="0.2">
      <c r="A1900" s="198" t="s">
        <v>1279</v>
      </c>
      <c r="B1900" s="224" t="s">
        <v>4425</v>
      </c>
      <c r="C1900" s="225" t="s">
        <v>4399</v>
      </c>
      <c r="D1900" s="226" t="s">
        <v>11</v>
      </c>
      <c r="E1900" s="227">
        <v>7.73</v>
      </c>
      <c r="F1900" s="227"/>
      <c r="G1900" s="225"/>
      <c r="H1900" s="235">
        <f t="shared" si="54"/>
        <v>0</v>
      </c>
      <c r="J1900" s="215"/>
    </row>
    <row r="1901" spans="1:10" ht="12.75" hidden="1" customHeight="1" outlineLevel="1" x14ac:dyDescent="0.2">
      <c r="A1901" s="198" t="s">
        <v>1279</v>
      </c>
      <c r="B1901" s="216" t="s">
        <v>4426</v>
      </c>
      <c r="C1901" s="217" t="s">
        <v>2972</v>
      </c>
      <c r="D1901" s="218"/>
      <c r="E1901" s="219"/>
      <c r="F1901" s="219"/>
      <c r="G1901" s="225"/>
      <c r="H1901" s="235">
        <f t="shared" si="54"/>
        <v>0</v>
      </c>
      <c r="J1901" s="215"/>
    </row>
    <row r="1902" spans="1:10" ht="12.75" hidden="1" customHeight="1" outlineLevel="1" x14ac:dyDescent="0.2">
      <c r="A1902" s="198" t="s">
        <v>1279</v>
      </c>
      <c r="B1902" s="228" t="s">
        <v>4427</v>
      </c>
      <c r="C1902" s="229" t="s">
        <v>4399</v>
      </c>
      <c r="D1902" s="230" t="s">
        <v>11</v>
      </c>
      <c r="E1902" s="231">
        <v>5.5</v>
      </c>
      <c r="F1902" s="231"/>
      <c r="G1902" s="225"/>
      <c r="H1902" s="235">
        <f t="shared" si="54"/>
        <v>0</v>
      </c>
      <c r="J1902" s="215"/>
    </row>
    <row r="1903" spans="1:10" ht="12.75" hidden="1" customHeight="1" outlineLevel="1" x14ac:dyDescent="0.2">
      <c r="A1903" s="198" t="s">
        <v>1279</v>
      </c>
      <c r="B1903" s="216" t="s">
        <v>4428</v>
      </c>
      <c r="C1903" s="217" t="s">
        <v>2973</v>
      </c>
      <c r="D1903" s="218"/>
      <c r="E1903" s="219"/>
      <c r="F1903" s="219"/>
      <c r="G1903" s="225"/>
      <c r="H1903" s="235">
        <f t="shared" si="54"/>
        <v>0</v>
      </c>
      <c r="J1903" s="215"/>
    </row>
    <row r="1904" spans="1:10" ht="12.75" hidden="1" customHeight="1" outlineLevel="1" x14ac:dyDescent="0.2">
      <c r="A1904" s="198" t="s">
        <v>1279</v>
      </c>
      <c r="B1904" s="224" t="s">
        <v>4429</v>
      </c>
      <c r="C1904" s="225" t="s">
        <v>4399</v>
      </c>
      <c r="D1904" s="226" t="s">
        <v>11</v>
      </c>
      <c r="E1904" s="227">
        <v>4.3600000000000003</v>
      </c>
      <c r="F1904" s="227"/>
      <c r="G1904" s="225"/>
      <c r="H1904" s="235">
        <f t="shared" si="54"/>
        <v>0</v>
      </c>
      <c r="J1904" s="215"/>
    </row>
    <row r="1905" spans="1:10" ht="12.75" hidden="1" customHeight="1" outlineLevel="1" x14ac:dyDescent="0.2">
      <c r="A1905" s="198" t="s">
        <v>1279</v>
      </c>
      <c r="B1905" s="216" t="s">
        <v>4430</v>
      </c>
      <c r="C1905" s="217" t="s">
        <v>2974</v>
      </c>
      <c r="D1905" s="218"/>
      <c r="E1905" s="219"/>
      <c r="F1905" s="219"/>
      <c r="G1905" s="241"/>
      <c r="H1905" s="241"/>
    </row>
    <row r="1906" spans="1:10" ht="12.75" hidden="1" customHeight="1" outlineLevel="1" x14ac:dyDescent="0.2">
      <c r="A1906" s="198" t="s">
        <v>1279</v>
      </c>
      <c r="B1906" s="228" t="s">
        <v>4431</v>
      </c>
      <c r="C1906" s="229" t="s">
        <v>4399</v>
      </c>
      <c r="D1906" s="230" t="s">
        <v>11</v>
      </c>
      <c r="E1906" s="231">
        <v>3.74</v>
      </c>
      <c r="F1906" s="231"/>
      <c r="G1906" s="241"/>
      <c r="H1906" s="241"/>
    </row>
    <row r="1907" spans="1:10" ht="12.75" hidden="1" customHeight="1" outlineLevel="1" x14ac:dyDescent="0.2">
      <c r="A1907" s="198" t="s">
        <v>1279</v>
      </c>
      <c r="B1907" s="216" t="s">
        <v>4432</v>
      </c>
      <c r="C1907" s="217" t="s">
        <v>2975</v>
      </c>
      <c r="D1907" s="218"/>
      <c r="E1907" s="219"/>
      <c r="F1907" s="219"/>
      <c r="G1907" s="241"/>
      <c r="H1907" s="241"/>
    </row>
    <row r="1908" spans="1:10" ht="12.75" hidden="1" customHeight="1" outlineLevel="1" x14ac:dyDescent="0.2">
      <c r="A1908" s="198" t="s">
        <v>1279</v>
      </c>
      <c r="B1908" s="224" t="s">
        <v>4433</v>
      </c>
      <c r="C1908" s="225" t="s">
        <v>4399</v>
      </c>
      <c r="D1908" s="226" t="s">
        <v>11</v>
      </c>
      <c r="E1908" s="227">
        <v>4.42</v>
      </c>
      <c r="F1908" s="227"/>
      <c r="G1908" s="241"/>
      <c r="H1908" s="241"/>
    </row>
    <row r="1909" spans="1:10" ht="12.75" hidden="1" customHeight="1" outlineLevel="1" x14ac:dyDescent="0.2">
      <c r="A1909" s="198" t="s">
        <v>1279</v>
      </c>
      <c r="B1909" s="216" t="s">
        <v>4434</v>
      </c>
      <c r="C1909" s="217" t="s">
        <v>2976</v>
      </c>
      <c r="D1909" s="218"/>
      <c r="E1909" s="219"/>
      <c r="F1909" s="219"/>
      <c r="G1909" s="241"/>
      <c r="H1909" s="241"/>
    </row>
    <row r="1910" spans="1:10" ht="12.75" hidden="1" customHeight="1" outlineLevel="1" x14ac:dyDescent="0.2">
      <c r="A1910" s="198" t="s">
        <v>1279</v>
      </c>
      <c r="B1910" s="228" t="s">
        <v>4435</v>
      </c>
      <c r="C1910" s="229" t="s">
        <v>4399</v>
      </c>
      <c r="D1910" s="230" t="s">
        <v>11</v>
      </c>
      <c r="E1910" s="231">
        <v>3.74</v>
      </c>
      <c r="F1910" s="231"/>
      <c r="G1910" s="241"/>
      <c r="H1910" s="241"/>
    </row>
    <row r="1911" spans="1:10" ht="12.75" hidden="1" customHeight="1" outlineLevel="1" x14ac:dyDescent="0.2">
      <c r="A1911" s="198" t="s">
        <v>1279</v>
      </c>
      <c r="B1911" s="216" t="s">
        <v>4436</v>
      </c>
      <c r="C1911" s="217" t="s">
        <v>2978</v>
      </c>
      <c r="D1911" s="218"/>
      <c r="E1911" s="219"/>
      <c r="F1911" s="219"/>
      <c r="G1911" s="241"/>
      <c r="H1911" s="241"/>
    </row>
    <row r="1912" spans="1:10" ht="12.75" hidden="1" customHeight="1" outlineLevel="1" x14ac:dyDescent="0.2">
      <c r="A1912" s="198" t="s">
        <v>1279</v>
      </c>
      <c r="B1912" s="224" t="s">
        <v>4437</v>
      </c>
      <c r="C1912" s="225" t="s">
        <v>4399</v>
      </c>
      <c r="D1912" s="226" t="s">
        <v>11</v>
      </c>
      <c r="E1912" s="227">
        <v>1.62</v>
      </c>
      <c r="F1912" s="227"/>
      <c r="G1912" s="241"/>
      <c r="H1912" s="241"/>
    </row>
    <row r="1913" spans="1:10" ht="12.75" hidden="1" customHeight="1" outlineLevel="1" x14ac:dyDescent="0.2">
      <c r="A1913" s="198" t="s">
        <v>1279</v>
      </c>
      <c r="B1913" s="216" t="s">
        <v>4438</v>
      </c>
      <c r="C1913" s="217" t="s">
        <v>2980</v>
      </c>
      <c r="D1913" s="218"/>
      <c r="E1913" s="219"/>
      <c r="F1913" s="219"/>
      <c r="G1913" s="241"/>
      <c r="H1913" s="241"/>
    </row>
    <row r="1914" spans="1:10" ht="12.75" hidden="1" customHeight="1" outlineLevel="1" x14ac:dyDescent="0.2">
      <c r="A1914" s="198" t="s">
        <v>1279</v>
      </c>
      <c r="B1914" s="228" t="s">
        <v>4439</v>
      </c>
      <c r="C1914" s="229" t="s">
        <v>4399</v>
      </c>
      <c r="D1914" s="230" t="s">
        <v>11</v>
      </c>
      <c r="E1914" s="231">
        <v>0.32</v>
      </c>
      <c r="F1914" s="231"/>
      <c r="G1914" s="241"/>
      <c r="H1914" s="241"/>
    </row>
    <row r="1915" spans="1:10" collapsed="1" x14ac:dyDescent="0.2">
      <c r="B1915" s="515" t="s">
        <v>1676</v>
      </c>
      <c r="C1915" s="516" t="s">
        <v>4441</v>
      </c>
      <c r="D1915" s="549"/>
      <c r="E1915" s="524">
        <f>SUM(E1917:E1957)</f>
        <v>4230.9599999999991</v>
      </c>
      <c r="F1915" s="524"/>
      <c r="G1915" s="516"/>
      <c r="H1915" s="234">
        <f>SUM(H1916:H1923)</f>
        <v>4230.9599999999991</v>
      </c>
      <c r="I1915" s="242" t="str">
        <f>IF(H1915=E1915,"OKAY","REVER")</f>
        <v>OKAY</v>
      </c>
      <c r="J1915" s="405"/>
    </row>
    <row r="1916" spans="1:10" ht="12.75" hidden="1" customHeight="1" outlineLevel="1" x14ac:dyDescent="0.2">
      <c r="A1916" s="198" t="s">
        <v>1278</v>
      </c>
      <c r="B1916" s="216" t="s">
        <v>1677</v>
      </c>
      <c r="C1916" s="217" t="s">
        <v>2955</v>
      </c>
      <c r="D1916" s="218"/>
      <c r="E1916" s="219"/>
      <c r="F1916" s="219"/>
      <c r="G1916" s="404" t="s">
        <v>4479</v>
      </c>
      <c r="H1916" s="235">
        <f t="shared" ref="H1916:H1923" si="55">SUMIF($C:$C,G1916,$E:$E)</f>
        <v>4230.9599999999991</v>
      </c>
      <c r="J1916" s="215"/>
    </row>
    <row r="1917" spans="1:10" ht="12.75" hidden="1" customHeight="1" outlineLevel="1" x14ac:dyDescent="0.2">
      <c r="A1917" s="198" t="s">
        <v>1278</v>
      </c>
      <c r="B1917" s="224" t="s">
        <v>4442</v>
      </c>
      <c r="C1917" s="404" t="s">
        <v>4479</v>
      </c>
      <c r="D1917" s="226" t="s">
        <v>3</v>
      </c>
      <c r="E1917" s="227">
        <v>58.54</v>
      </c>
      <c r="F1917" s="227"/>
      <c r="G1917" s="225"/>
      <c r="H1917" s="235">
        <f t="shared" si="55"/>
        <v>0</v>
      </c>
      <c r="J1917" s="215"/>
    </row>
    <row r="1918" spans="1:10" ht="12.75" hidden="1" customHeight="1" outlineLevel="1" x14ac:dyDescent="0.2">
      <c r="A1918" s="198" t="s">
        <v>1278</v>
      </c>
      <c r="B1918" s="216" t="s">
        <v>1678</v>
      </c>
      <c r="C1918" s="217" t="s">
        <v>2958</v>
      </c>
      <c r="D1918" s="218"/>
      <c r="E1918" s="219"/>
      <c r="F1918" s="219"/>
      <c r="G1918" s="225"/>
      <c r="H1918" s="235">
        <f t="shared" si="55"/>
        <v>0</v>
      </c>
      <c r="J1918" s="215"/>
    </row>
    <row r="1919" spans="1:10" ht="12.75" hidden="1" customHeight="1" outlineLevel="1" x14ac:dyDescent="0.2">
      <c r="A1919" s="198" t="s">
        <v>1278</v>
      </c>
      <c r="B1919" s="228" t="s">
        <v>4443</v>
      </c>
      <c r="C1919" s="229" t="s">
        <v>4479</v>
      </c>
      <c r="D1919" s="230" t="s">
        <v>3</v>
      </c>
      <c r="E1919" s="231">
        <v>508.21</v>
      </c>
      <c r="F1919" s="231"/>
      <c r="G1919" s="225"/>
      <c r="H1919" s="235">
        <f t="shared" si="55"/>
        <v>0</v>
      </c>
      <c r="J1919" s="215"/>
    </row>
    <row r="1920" spans="1:10" ht="12.75" hidden="1" customHeight="1" outlineLevel="1" x14ac:dyDescent="0.2">
      <c r="A1920" s="198" t="s">
        <v>1279</v>
      </c>
      <c r="B1920" s="216" t="s">
        <v>1679</v>
      </c>
      <c r="C1920" s="217" t="s">
        <v>2960</v>
      </c>
      <c r="D1920" s="218"/>
      <c r="E1920" s="219"/>
      <c r="F1920" s="219"/>
      <c r="G1920" s="225"/>
      <c r="H1920" s="235">
        <f t="shared" si="55"/>
        <v>0</v>
      </c>
      <c r="J1920" s="215"/>
    </row>
    <row r="1921" spans="1:10" ht="12.75" hidden="1" customHeight="1" outlineLevel="1" x14ac:dyDescent="0.2">
      <c r="A1921" s="198" t="s">
        <v>1279</v>
      </c>
      <c r="B1921" s="224" t="s">
        <v>4444</v>
      </c>
      <c r="C1921" s="225" t="s">
        <v>4479</v>
      </c>
      <c r="D1921" s="226" t="s">
        <v>3</v>
      </c>
      <c r="E1921" s="227">
        <v>122.28</v>
      </c>
      <c r="F1921" s="227"/>
      <c r="G1921" s="225"/>
      <c r="H1921" s="235">
        <f t="shared" si="55"/>
        <v>0</v>
      </c>
      <c r="J1921" s="215"/>
    </row>
    <row r="1922" spans="1:10" ht="12.75" hidden="1" customHeight="1" outlineLevel="1" x14ac:dyDescent="0.2">
      <c r="A1922" s="198" t="s">
        <v>1279</v>
      </c>
      <c r="B1922" s="216" t="s">
        <v>1680</v>
      </c>
      <c r="C1922" s="217" t="s">
        <v>2961</v>
      </c>
      <c r="D1922" s="218"/>
      <c r="E1922" s="219"/>
      <c r="F1922" s="219"/>
      <c r="G1922" s="225"/>
      <c r="H1922" s="235">
        <f t="shared" si="55"/>
        <v>0</v>
      </c>
      <c r="I1922" s="198"/>
      <c r="J1922" s="215"/>
    </row>
    <row r="1923" spans="1:10" ht="12.75" hidden="1" customHeight="1" outlineLevel="1" x14ac:dyDescent="0.2">
      <c r="A1923" s="198" t="s">
        <v>1279</v>
      </c>
      <c r="B1923" s="228" t="s">
        <v>4445</v>
      </c>
      <c r="C1923" s="229" t="s">
        <v>4479</v>
      </c>
      <c r="D1923" s="230" t="s">
        <v>3</v>
      </c>
      <c r="E1923" s="231">
        <v>215.81</v>
      </c>
      <c r="F1923" s="231"/>
      <c r="G1923" s="225"/>
      <c r="H1923" s="235">
        <f t="shared" si="55"/>
        <v>0</v>
      </c>
      <c r="J1923" s="215"/>
    </row>
    <row r="1924" spans="1:10" ht="12.75" hidden="1" customHeight="1" outlineLevel="1" x14ac:dyDescent="0.2">
      <c r="A1924" s="198" t="s">
        <v>1279</v>
      </c>
      <c r="B1924" s="216" t="s">
        <v>1681</v>
      </c>
      <c r="C1924" s="217" t="s">
        <v>2962</v>
      </c>
      <c r="D1924" s="218"/>
      <c r="E1924" s="219"/>
      <c r="F1924" s="219"/>
      <c r="J1924" s="215"/>
    </row>
    <row r="1925" spans="1:10" ht="12.75" hidden="1" customHeight="1" outlineLevel="1" x14ac:dyDescent="0.2">
      <c r="A1925" s="198" t="s">
        <v>1279</v>
      </c>
      <c r="B1925" s="224" t="s">
        <v>4446</v>
      </c>
      <c r="C1925" s="225" t="s">
        <v>4479</v>
      </c>
      <c r="D1925" s="226" t="s">
        <v>3</v>
      </c>
      <c r="E1925" s="227">
        <v>231.86</v>
      </c>
      <c r="F1925" s="227"/>
      <c r="G1925" s="520" t="s">
        <v>1732</v>
      </c>
      <c r="H1925" s="234">
        <f>H1927+H1939</f>
        <v>4230.96</v>
      </c>
      <c r="I1925" s="242" t="str">
        <f>IF(H1925=H1915,"OKAY","REVER")</f>
        <v>OKAY</v>
      </c>
      <c r="J1925" s="215"/>
    </row>
    <row r="1926" spans="1:10" ht="12.75" hidden="1" customHeight="1" outlineLevel="1" x14ac:dyDescent="0.2">
      <c r="A1926" s="198" t="s">
        <v>1279</v>
      </c>
      <c r="B1926" s="216" t="s">
        <v>4447</v>
      </c>
      <c r="C1926" s="217" t="s">
        <v>2963</v>
      </c>
      <c r="D1926" s="218"/>
      <c r="E1926" s="219"/>
      <c r="F1926" s="219"/>
      <c r="G1926" s="232"/>
      <c r="H1926" s="232"/>
      <c r="I1926" s="242"/>
      <c r="J1926" s="215"/>
    </row>
    <row r="1927" spans="1:10" ht="12.75" hidden="1" customHeight="1" outlineLevel="1" x14ac:dyDescent="0.2">
      <c r="A1927" s="198" t="s">
        <v>1279</v>
      </c>
      <c r="B1927" s="228" t="s">
        <v>4448</v>
      </c>
      <c r="C1927" s="229" t="s">
        <v>4479</v>
      </c>
      <c r="D1927" s="230" t="s">
        <v>3</v>
      </c>
      <c r="E1927" s="231">
        <v>240.29</v>
      </c>
      <c r="F1927" s="231"/>
      <c r="G1927" s="520" t="str">
        <f>$A$1</f>
        <v>EMBASSAMENTO</v>
      </c>
      <c r="H1927" s="234">
        <f>SUM(H1928:H1935)</f>
        <v>566.75</v>
      </c>
      <c r="I1927" s="242"/>
      <c r="J1927" s="215"/>
    </row>
    <row r="1928" spans="1:10" ht="12.75" hidden="1" customHeight="1" outlineLevel="1" x14ac:dyDescent="0.2">
      <c r="A1928" s="198" t="s">
        <v>1279</v>
      </c>
      <c r="B1928" s="216" t="s">
        <v>4449</v>
      </c>
      <c r="C1928" s="217" t="s">
        <v>2964</v>
      </c>
      <c r="D1928" s="218"/>
      <c r="E1928" s="219"/>
      <c r="F1928" s="219"/>
      <c r="G1928" s="404" t="s">
        <v>4479</v>
      </c>
      <c r="H1928" s="235">
        <f t="shared" ref="H1928:H1935" si="56">SUMIFS($E:$E,$C:$C,G1928,$A:$A,$G$22)</f>
        <v>566.75</v>
      </c>
      <c r="I1928" s="242"/>
      <c r="J1928" s="215"/>
    </row>
    <row r="1929" spans="1:10" ht="12.75" hidden="1" customHeight="1" outlineLevel="1" x14ac:dyDescent="0.2">
      <c r="A1929" s="198" t="s">
        <v>1279</v>
      </c>
      <c r="B1929" s="224" t="s">
        <v>4450</v>
      </c>
      <c r="C1929" s="225" t="s">
        <v>4479</v>
      </c>
      <c r="D1929" s="226" t="s">
        <v>3</v>
      </c>
      <c r="E1929" s="227">
        <v>255.43</v>
      </c>
      <c r="F1929" s="227"/>
      <c r="G1929" s="225"/>
      <c r="H1929" s="235">
        <f t="shared" si="56"/>
        <v>0</v>
      </c>
      <c r="J1929" s="215"/>
    </row>
    <row r="1930" spans="1:10" ht="12.75" hidden="1" customHeight="1" outlineLevel="1" x14ac:dyDescent="0.2">
      <c r="A1930" s="198" t="s">
        <v>1279</v>
      </c>
      <c r="B1930" s="216" t="s">
        <v>4451</v>
      </c>
      <c r="C1930" s="217" t="s">
        <v>2965</v>
      </c>
      <c r="D1930" s="218"/>
      <c r="E1930" s="219"/>
      <c r="F1930" s="219"/>
      <c r="G1930" s="225"/>
      <c r="H1930" s="235">
        <f t="shared" si="56"/>
        <v>0</v>
      </c>
      <c r="J1930" s="215"/>
    </row>
    <row r="1931" spans="1:10" ht="12.75" hidden="1" customHeight="1" outlineLevel="1" x14ac:dyDescent="0.2">
      <c r="A1931" s="198" t="s">
        <v>1279</v>
      </c>
      <c r="B1931" s="228" t="s">
        <v>4452</v>
      </c>
      <c r="C1931" s="229" t="s">
        <v>4479</v>
      </c>
      <c r="D1931" s="230" t="s">
        <v>3</v>
      </c>
      <c r="E1931" s="231">
        <v>240.29</v>
      </c>
      <c r="F1931" s="231"/>
      <c r="G1931" s="225"/>
      <c r="H1931" s="235">
        <f t="shared" si="56"/>
        <v>0</v>
      </c>
      <c r="J1931" s="215"/>
    </row>
    <row r="1932" spans="1:10" ht="12.75" hidden="1" customHeight="1" outlineLevel="1" x14ac:dyDescent="0.2">
      <c r="A1932" s="198" t="s">
        <v>1279</v>
      </c>
      <c r="B1932" s="216" t="s">
        <v>4453</v>
      </c>
      <c r="C1932" s="217" t="s">
        <v>2966</v>
      </c>
      <c r="D1932" s="218"/>
      <c r="E1932" s="219"/>
      <c r="F1932" s="219"/>
      <c r="G1932" s="225"/>
      <c r="H1932" s="235">
        <f t="shared" si="56"/>
        <v>0</v>
      </c>
      <c r="J1932" s="215"/>
    </row>
    <row r="1933" spans="1:10" ht="12.75" hidden="1" customHeight="1" outlineLevel="1" x14ac:dyDescent="0.2">
      <c r="A1933" s="198" t="s">
        <v>1279</v>
      </c>
      <c r="B1933" s="224" t="s">
        <v>4454</v>
      </c>
      <c r="C1933" s="225" t="s">
        <v>4479</v>
      </c>
      <c r="D1933" s="226" t="s">
        <v>3</v>
      </c>
      <c r="E1933" s="227">
        <v>255.43</v>
      </c>
      <c r="F1933" s="227"/>
      <c r="G1933" s="225"/>
      <c r="H1933" s="235">
        <f t="shared" si="56"/>
        <v>0</v>
      </c>
      <c r="J1933" s="215"/>
    </row>
    <row r="1934" spans="1:10" ht="12.75" hidden="1" customHeight="1" outlineLevel="1" x14ac:dyDescent="0.2">
      <c r="A1934" s="198" t="s">
        <v>1279</v>
      </c>
      <c r="B1934" s="216" t="s">
        <v>4455</v>
      </c>
      <c r="C1934" s="217" t="s">
        <v>2967</v>
      </c>
      <c r="D1934" s="218"/>
      <c r="E1934" s="219"/>
      <c r="F1934" s="219"/>
      <c r="G1934" s="225"/>
      <c r="H1934" s="235">
        <f t="shared" si="56"/>
        <v>0</v>
      </c>
      <c r="J1934" s="215"/>
    </row>
    <row r="1935" spans="1:10" ht="12.75" hidden="1" customHeight="1" outlineLevel="1" x14ac:dyDescent="0.2">
      <c r="A1935" s="198" t="s">
        <v>1279</v>
      </c>
      <c r="B1935" s="228" t="s">
        <v>4456</v>
      </c>
      <c r="C1935" s="229" t="s">
        <v>4479</v>
      </c>
      <c r="D1935" s="230" t="s">
        <v>3</v>
      </c>
      <c r="E1935" s="231">
        <v>240.29</v>
      </c>
      <c r="F1935" s="231"/>
      <c r="G1935" s="225"/>
      <c r="H1935" s="235">
        <f t="shared" si="56"/>
        <v>0</v>
      </c>
    </row>
    <row r="1936" spans="1:10" ht="12.75" hidden="1" customHeight="1" outlineLevel="1" x14ac:dyDescent="0.2">
      <c r="A1936" s="198" t="s">
        <v>1279</v>
      </c>
      <c r="B1936" s="216" t="s">
        <v>4457</v>
      </c>
      <c r="C1936" s="217" t="s">
        <v>2968</v>
      </c>
      <c r="D1936" s="218"/>
      <c r="E1936" s="219"/>
      <c r="F1936" s="219"/>
    </row>
    <row r="1937" spans="1:10" ht="12.75" hidden="1" customHeight="1" outlineLevel="1" x14ac:dyDescent="0.2">
      <c r="A1937" s="198" t="s">
        <v>1279</v>
      </c>
      <c r="B1937" s="224" t="s">
        <v>4458</v>
      </c>
      <c r="C1937" s="225" t="s">
        <v>4479</v>
      </c>
      <c r="D1937" s="226" t="s">
        <v>3</v>
      </c>
      <c r="E1937" s="227">
        <v>255.43</v>
      </c>
      <c r="F1937" s="227"/>
    </row>
    <row r="1938" spans="1:10" ht="12.75" hidden="1" customHeight="1" outlineLevel="1" x14ac:dyDescent="0.2">
      <c r="A1938" s="198" t="s">
        <v>1279</v>
      </c>
      <c r="B1938" s="216" t="s">
        <v>4459</v>
      </c>
      <c r="C1938" s="217" t="s">
        <v>2969</v>
      </c>
      <c r="D1938" s="218"/>
      <c r="E1938" s="219"/>
      <c r="F1938" s="219"/>
    </row>
    <row r="1939" spans="1:10" ht="12.75" hidden="1" customHeight="1" outlineLevel="1" x14ac:dyDescent="0.2">
      <c r="A1939" s="198" t="s">
        <v>1279</v>
      </c>
      <c r="B1939" s="228" t="s">
        <v>4460</v>
      </c>
      <c r="C1939" s="229" t="s">
        <v>4479</v>
      </c>
      <c r="D1939" s="230" t="s">
        <v>3</v>
      </c>
      <c r="E1939" s="231">
        <v>240.29</v>
      </c>
      <c r="F1939" s="231"/>
      <c r="G1939" s="520" t="str">
        <f>$A$2</f>
        <v>TORRE</v>
      </c>
      <c r="H1939" s="234">
        <f>SUM(H1940:H1947)</f>
        <v>3664.21</v>
      </c>
      <c r="J1939" s="215"/>
    </row>
    <row r="1940" spans="1:10" ht="12.75" hidden="1" customHeight="1" outlineLevel="1" x14ac:dyDescent="0.2">
      <c r="A1940" s="198" t="s">
        <v>1279</v>
      </c>
      <c r="B1940" s="216" t="s">
        <v>4461</v>
      </c>
      <c r="C1940" s="217" t="s">
        <v>2970</v>
      </c>
      <c r="D1940" s="218"/>
      <c r="E1940" s="219"/>
      <c r="F1940" s="219"/>
      <c r="G1940" s="404" t="s">
        <v>4479</v>
      </c>
      <c r="H1940" s="235">
        <f t="shared" ref="H1940:H1947" si="57">SUMIFS($E:$E,$C:$C,G1940,$A:$A,$G$30)</f>
        <v>3664.21</v>
      </c>
      <c r="J1940" s="215"/>
    </row>
    <row r="1941" spans="1:10" ht="12.75" hidden="1" customHeight="1" outlineLevel="1" x14ac:dyDescent="0.2">
      <c r="A1941" s="198" t="s">
        <v>1279</v>
      </c>
      <c r="B1941" s="224" t="s">
        <v>4462</v>
      </c>
      <c r="C1941" s="225" t="s">
        <v>4479</v>
      </c>
      <c r="D1941" s="226" t="s">
        <v>3</v>
      </c>
      <c r="E1941" s="227">
        <v>255.43</v>
      </c>
      <c r="F1941" s="227"/>
      <c r="G1941" s="225"/>
      <c r="H1941" s="235">
        <f t="shared" si="57"/>
        <v>0</v>
      </c>
      <c r="J1941" s="215"/>
    </row>
    <row r="1942" spans="1:10" ht="12.75" hidden="1" customHeight="1" outlineLevel="1" x14ac:dyDescent="0.2">
      <c r="A1942" s="198" t="s">
        <v>1279</v>
      </c>
      <c r="B1942" s="216" t="s">
        <v>4463</v>
      </c>
      <c r="C1942" s="217" t="s">
        <v>2971</v>
      </c>
      <c r="D1942" s="218"/>
      <c r="E1942" s="219"/>
      <c r="F1942" s="219"/>
      <c r="G1942" s="225"/>
      <c r="H1942" s="235">
        <f t="shared" si="57"/>
        <v>0</v>
      </c>
      <c r="J1942" s="215"/>
    </row>
    <row r="1943" spans="1:10" ht="12.75" hidden="1" customHeight="1" outlineLevel="1" x14ac:dyDescent="0.2">
      <c r="A1943" s="198" t="s">
        <v>1279</v>
      </c>
      <c r="B1943" s="228" t="s">
        <v>4464</v>
      </c>
      <c r="C1943" s="229" t="s">
        <v>4479</v>
      </c>
      <c r="D1943" s="230" t="s">
        <v>3</v>
      </c>
      <c r="E1943" s="231">
        <v>240.29</v>
      </c>
      <c r="F1943" s="231"/>
      <c r="G1943" s="225"/>
      <c r="H1943" s="235">
        <f t="shared" si="57"/>
        <v>0</v>
      </c>
      <c r="J1943" s="215"/>
    </row>
    <row r="1944" spans="1:10" ht="12.75" hidden="1" customHeight="1" outlineLevel="1" x14ac:dyDescent="0.2">
      <c r="A1944" s="198" t="s">
        <v>1279</v>
      </c>
      <c r="B1944" s="216" t="s">
        <v>4465</v>
      </c>
      <c r="C1944" s="217" t="s">
        <v>2972</v>
      </c>
      <c r="D1944" s="218"/>
      <c r="E1944" s="219"/>
      <c r="F1944" s="219"/>
      <c r="G1944" s="225"/>
      <c r="H1944" s="235">
        <f t="shared" si="57"/>
        <v>0</v>
      </c>
      <c r="J1944" s="215"/>
    </row>
    <row r="1945" spans="1:10" ht="12.75" hidden="1" customHeight="1" outlineLevel="1" x14ac:dyDescent="0.2">
      <c r="A1945" s="198" t="s">
        <v>1279</v>
      </c>
      <c r="B1945" s="224" t="s">
        <v>4466</v>
      </c>
      <c r="C1945" s="225" t="s">
        <v>4479</v>
      </c>
      <c r="D1945" s="226" t="s">
        <v>3</v>
      </c>
      <c r="E1945" s="227">
        <v>203.32</v>
      </c>
      <c r="F1945" s="227"/>
      <c r="G1945" s="225"/>
      <c r="H1945" s="235">
        <f t="shared" si="57"/>
        <v>0</v>
      </c>
      <c r="J1945" s="215"/>
    </row>
    <row r="1946" spans="1:10" ht="12.75" hidden="1" customHeight="1" outlineLevel="1" x14ac:dyDescent="0.2">
      <c r="A1946" s="198" t="s">
        <v>1279</v>
      </c>
      <c r="B1946" s="216" t="s">
        <v>4467</v>
      </c>
      <c r="C1946" s="217" t="s">
        <v>2973</v>
      </c>
      <c r="D1946" s="218"/>
      <c r="E1946" s="219"/>
      <c r="F1946" s="219"/>
      <c r="G1946" s="225"/>
      <c r="H1946" s="235">
        <f t="shared" si="57"/>
        <v>0</v>
      </c>
      <c r="J1946" s="215"/>
    </row>
    <row r="1947" spans="1:10" ht="12.75" hidden="1" customHeight="1" outlineLevel="1" x14ac:dyDescent="0.2">
      <c r="A1947" s="198" t="s">
        <v>1279</v>
      </c>
      <c r="B1947" s="228" t="s">
        <v>4468</v>
      </c>
      <c r="C1947" s="229" t="s">
        <v>4479</v>
      </c>
      <c r="D1947" s="230" t="s">
        <v>3</v>
      </c>
      <c r="E1947" s="231">
        <v>187.81</v>
      </c>
      <c r="F1947" s="231"/>
      <c r="G1947" s="225"/>
      <c r="H1947" s="235">
        <f t="shared" si="57"/>
        <v>0</v>
      </c>
      <c r="J1947" s="215"/>
    </row>
    <row r="1948" spans="1:10" ht="12.75" hidden="1" customHeight="1" outlineLevel="1" x14ac:dyDescent="0.2">
      <c r="A1948" s="198" t="s">
        <v>1279</v>
      </c>
      <c r="B1948" s="216" t="s">
        <v>4469</v>
      </c>
      <c r="C1948" s="217" t="s">
        <v>2974</v>
      </c>
      <c r="D1948" s="218"/>
      <c r="E1948" s="219"/>
      <c r="F1948" s="219"/>
      <c r="G1948" s="241"/>
      <c r="H1948" s="241"/>
    </row>
    <row r="1949" spans="1:10" ht="12.75" hidden="1" customHeight="1" outlineLevel="1" x14ac:dyDescent="0.2">
      <c r="A1949" s="198" t="s">
        <v>1279</v>
      </c>
      <c r="B1949" s="224" t="s">
        <v>4470</v>
      </c>
      <c r="C1949" s="225" t="s">
        <v>4479</v>
      </c>
      <c r="D1949" s="226" t="s">
        <v>3</v>
      </c>
      <c r="E1949" s="227">
        <v>112.04</v>
      </c>
      <c r="F1949" s="227"/>
      <c r="G1949" s="241"/>
      <c r="H1949" s="241"/>
    </row>
    <row r="1950" spans="1:10" ht="12.75" hidden="1" customHeight="1" outlineLevel="1" x14ac:dyDescent="0.2">
      <c r="A1950" s="198" t="s">
        <v>1279</v>
      </c>
      <c r="B1950" s="216" t="s">
        <v>4471</v>
      </c>
      <c r="C1950" s="217" t="s">
        <v>2975</v>
      </c>
      <c r="D1950" s="218"/>
      <c r="E1950" s="219"/>
      <c r="F1950" s="219"/>
      <c r="G1950" s="241"/>
      <c r="H1950" s="241"/>
    </row>
    <row r="1951" spans="1:10" ht="12.75" hidden="1" customHeight="1" outlineLevel="1" x14ac:dyDescent="0.2">
      <c r="A1951" s="198" t="s">
        <v>1279</v>
      </c>
      <c r="B1951" s="228" t="s">
        <v>4472</v>
      </c>
      <c r="C1951" s="229" t="s">
        <v>4479</v>
      </c>
      <c r="D1951" s="230" t="s">
        <v>3</v>
      </c>
      <c r="E1951" s="231">
        <v>175.95</v>
      </c>
      <c r="F1951" s="231"/>
      <c r="G1951" s="241"/>
      <c r="H1951" s="241"/>
    </row>
    <row r="1952" spans="1:10" ht="12.75" hidden="1" customHeight="1" outlineLevel="1" x14ac:dyDescent="0.2">
      <c r="A1952" s="198" t="s">
        <v>1279</v>
      </c>
      <c r="B1952" s="216" t="s">
        <v>4473</v>
      </c>
      <c r="C1952" s="217" t="s">
        <v>2976</v>
      </c>
      <c r="D1952" s="218"/>
      <c r="E1952" s="219"/>
      <c r="F1952" s="219"/>
      <c r="G1952" s="241"/>
      <c r="H1952" s="241"/>
    </row>
    <row r="1953" spans="1:10" ht="12.75" hidden="1" customHeight="1" outlineLevel="1" x14ac:dyDescent="0.2">
      <c r="A1953" s="198" t="s">
        <v>1279</v>
      </c>
      <c r="B1953" s="224" t="s">
        <v>4474</v>
      </c>
      <c r="C1953" s="225" t="s">
        <v>4479</v>
      </c>
      <c r="D1953" s="226" t="s">
        <v>3</v>
      </c>
      <c r="E1953" s="227">
        <v>132.05000000000001</v>
      </c>
      <c r="F1953" s="227"/>
      <c r="G1953" s="241"/>
      <c r="H1953" s="241"/>
    </row>
    <row r="1954" spans="1:10" ht="12.75" hidden="1" customHeight="1" outlineLevel="1" x14ac:dyDescent="0.2">
      <c r="A1954" s="198" t="s">
        <v>1279</v>
      </c>
      <c r="B1954" s="216" t="s">
        <v>4475</v>
      </c>
      <c r="C1954" s="217" t="s">
        <v>2978</v>
      </c>
      <c r="D1954" s="218"/>
      <c r="E1954" s="219"/>
      <c r="F1954" s="219"/>
      <c r="G1954" s="241"/>
      <c r="H1954" s="241"/>
    </row>
    <row r="1955" spans="1:10" ht="12.75" hidden="1" customHeight="1" outlineLevel="1" x14ac:dyDescent="0.2">
      <c r="A1955" s="198" t="s">
        <v>1279</v>
      </c>
      <c r="B1955" s="228" t="s">
        <v>4476</v>
      </c>
      <c r="C1955" s="229" t="s">
        <v>4479</v>
      </c>
      <c r="D1955" s="230" t="s">
        <v>3</v>
      </c>
      <c r="E1955" s="231">
        <v>52.62</v>
      </c>
      <c r="F1955" s="231"/>
      <c r="G1955" s="241"/>
      <c r="H1955" s="241"/>
    </row>
    <row r="1956" spans="1:10" ht="12.75" hidden="1" customHeight="1" outlineLevel="1" x14ac:dyDescent="0.2">
      <c r="A1956" s="198" t="s">
        <v>1279</v>
      </c>
      <c r="B1956" s="216" t="s">
        <v>4477</v>
      </c>
      <c r="C1956" s="217" t="s">
        <v>2980</v>
      </c>
      <c r="D1956" s="218"/>
      <c r="E1956" s="219"/>
      <c r="F1956" s="219"/>
      <c r="G1956" s="241"/>
      <c r="H1956" s="241"/>
    </row>
    <row r="1957" spans="1:10" ht="12.75" hidden="1" customHeight="1" outlineLevel="1" x14ac:dyDescent="0.2">
      <c r="A1957" s="198" t="s">
        <v>1279</v>
      </c>
      <c r="B1957" s="224" t="s">
        <v>4478</v>
      </c>
      <c r="C1957" s="225" t="s">
        <v>4479</v>
      </c>
      <c r="D1957" s="226" t="s">
        <v>3</v>
      </c>
      <c r="E1957" s="227">
        <v>7.3</v>
      </c>
      <c r="F1957" s="227"/>
      <c r="G1957" s="241"/>
      <c r="H1957" s="241"/>
    </row>
    <row r="1958" spans="1:10" collapsed="1" x14ac:dyDescent="0.2">
      <c r="B1958" s="515" t="s">
        <v>2556</v>
      </c>
      <c r="C1958" s="516" t="s">
        <v>62</v>
      </c>
      <c r="D1958" s="515"/>
      <c r="E1958" s="520">
        <f>SUM(E1960:E2222)</f>
        <v>2196.5899999999997</v>
      </c>
      <c r="F1958" s="520"/>
      <c r="G1958" s="516"/>
      <c r="H1958" s="234">
        <f>SUM(H1959:H2035)</f>
        <v>2196.5899999999988</v>
      </c>
      <c r="I1958" s="242" t="str">
        <f>IF(H1958=E1958,"OKAY","REVER")</f>
        <v>OKAY</v>
      </c>
      <c r="J1958" s="405"/>
    </row>
    <row r="1959" spans="1:10" ht="12.75" hidden="1" customHeight="1" outlineLevel="1" x14ac:dyDescent="0.2">
      <c r="A1959" s="198" t="s">
        <v>1278</v>
      </c>
      <c r="B1959" s="216" t="s">
        <v>1683</v>
      </c>
      <c r="C1959" s="217" t="s">
        <v>2955</v>
      </c>
      <c r="D1959" s="218"/>
      <c r="E1959" s="219"/>
      <c r="F1959" s="219"/>
      <c r="G1959" s="229" t="s">
        <v>4483</v>
      </c>
      <c r="H1959" s="235">
        <f t="shared" ref="H1959:H1990" si="58">SUMIF($C:$C,G1959,$E:$E)</f>
        <v>3.42</v>
      </c>
      <c r="I1959" s="241" t="s">
        <v>1731</v>
      </c>
      <c r="J1959" s="552"/>
    </row>
    <row r="1960" spans="1:10" ht="12.75" hidden="1" customHeight="1" outlineLevel="1" x14ac:dyDescent="0.2">
      <c r="A1960" s="198" t="s">
        <v>1278</v>
      </c>
      <c r="B1960" s="228" t="s">
        <v>2557</v>
      </c>
      <c r="C1960" s="229" t="s">
        <v>4480</v>
      </c>
      <c r="D1960" s="230" t="s">
        <v>11</v>
      </c>
      <c r="E1960" s="231">
        <v>15.46</v>
      </c>
      <c r="F1960" s="231"/>
      <c r="G1960" s="225" t="s">
        <v>4484</v>
      </c>
      <c r="H1960" s="235">
        <f t="shared" si="58"/>
        <v>3.42</v>
      </c>
      <c r="I1960" s="241" t="s">
        <v>1731</v>
      </c>
      <c r="J1960" s="553"/>
    </row>
    <row r="1961" spans="1:10" ht="25.5" hidden="1" customHeight="1" outlineLevel="1" x14ac:dyDescent="0.2">
      <c r="A1961" s="198" t="s">
        <v>1278</v>
      </c>
      <c r="B1961" s="224" t="s">
        <v>2558</v>
      </c>
      <c r="C1961" s="225" t="s">
        <v>4481</v>
      </c>
      <c r="D1961" s="226" t="s">
        <v>11</v>
      </c>
      <c r="E1961" s="227">
        <v>3.93</v>
      </c>
      <c r="F1961" s="227"/>
      <c r="G1961" s="229" t="s">
        <v>4485</v>
      </c>
      <c r="H1961" s="235">
        <f t="shared" si="58"/>
        <v>5.77</v>
      </c>
      <c r="I1961" s="241" t="s">
        <v>1731</v>
      </c>
      <c r="J1961" s="553"/>
    </row>
    <row r="1962" spans="1:10" ht="25.5" hidden="1" customHeight="1" outlineLevel="1" x14ac:dyDescent="0.2">
      <c r="A1962" s="198" t="s">
        <v>1278</v>
      </c>
      <c r="B1962" s="228" t="s">
        <v>2559</v>
      </c>
      <c r="C1962" s="229" t="s">
        <v>4482</v>
      </c>
      <c r="D1962" s="230" t="s">
        <v>11</v>
      </c>
      <c r="E1962" s="231">
        <v>1.47</v>
      </c>
      <c r="F1962" s="231"/>
      <c r="G1962" s="225" t="s">
        <v>4486</v>
      </c>
      <c r="H1962" s="235">
        <f t="shared" si="58"/>
        <v>2.42</v>
      </c>
      <c r="I1962" s="241" t="s">
        <v>1731</v>
      </c>
      <c r="J1962" s="553"/>
    </row>
    <row r="1963" spans="1:10" ht="25.5" hidden="1" customHeight="1" outlineLevel="1" x14ac:dyDescent="0.2">
      <c r="A1963" s="198" t="s">
        <v>1278</v>
      </c>
      <c r="B1963" s="216" t="s">
        <v>1684</v>
      </c>
      <c r="C1963" s="217" t="s">
        <v>2958</v>
      </c>
      <c r="D1963" s="218"/>
      <c r="E1963" s="219"/>
      <c r="F1963" s="219"/>
      <c r="G1963" s="229" t="s">
        <v>4487</v>
      </c>
      <c r="H1963" s="235">
        <f t="shared" si="58"/>
        <v>5.4</v>
      </c>
      <c r="I1963" s="241" t="s">
        <v>1731</v>
      </c>
      <c r="J1963" s="553"/>
    </row>
    <row r="1964" spans="1:10" ht="25.5" hidden="1" customHeight="1" outlineLevel="1" x14ac:dyDescent="0.2">
      <c r="A1964" s="198" t="s">
        <v>1279</v>
      </c>
      <c r="B1964" s="224" t="s">
        <v>2560</v>
      </c>
      <c r="C1964" s="225" t="s">
        <v>4772</v>
      </c>
      <c r="D1964" s="226" t="s">
        <v>2</v>
      </c>
      <c r="E1964" s="227">
        <v>2</v>
      </c>
      <c r="F1964" s="227"/>
      <c r="G1964" s="225" t="s">
        <v>4488</v>
      </c>
      <c r="H1964" s="235">
        <f t="shared" si="58"/>
        <v>11.11</v>
      </c>
      <c r="I1964" s="241" t="s">
        <v>1731</v>
      </c>
      <c r="J1964" s="553"/>
    </row>
    <row r="1965" spans="1:10" ht="25.5" hidden="1" customHeight="1" outlineLevel="1" x14ac:dyDescent="0.2">
      <c r="A1965" s="198" t="s">
        <v>1279</v>
      </c>
      <c r="B1965" s="228" t="s">
        <v>2561</v>
      </c>
      <c r="C1965" s="229" t="s">
        <v>4483</v>
      </c>
      <c r="D1965" s="230" t="s">
        <v>11</v>
      </c>
      <c r="E1965" s="231">
        <v>3.42</v>
      </c>
      <c r="F1965" s="231"/>
      <c r="G1965" s="229" t="s">
        <v>4489</v>
      </c>
      <c r="H1965" s="235">
        <f t="shared" si="58"/>
        <v>16.47</v>
      </c>
      <c r="I1965" s="241" t="s">
        <v>1731</v>
      </c>
      <c r="J1965" s="553"/>
    </row>
    <row r="1966" spans="1:10" ht="25.5" hidden="1" customHeight="1" outlineLevel="1" x14ac:dyDescent="0.2">
      <c r="A1966" s="198" t="s">
        <v>1279</v>
      </c>
      <c r="B1966" s="224" t="s">
        <v>2562</v>
      </c>
      <c r="C1966" s="225" t="s">
        <v>4484</v>
      </c>
      <c r="D1966" s="226" t="s">
        <v>11</v>
      </c>
      <c r="E1966" s="227">
        <v>3.42</v>
      </c>
      <c r="F1966" s="227"/>
      <c r="G1966" s="225" t="s">
        <v>4490</v>
      </c>
      <c r="H1966" s="235">
        <f t="shared" si="58"/>
        <v>21.36</v>
      </c>
      <c r="I1966" s="241" t="s">
        <v>1731</v>
      </c>
      <c r="J1966" s="553"/>
    </row>
    <row r="1967" spans="1:10" ht="12.75" hidden="1" customHeight="1" outlineLevel="1" x14ac:dyDescent="0.2">
      <c r="A1967" s="198" t="s">
        <v>1279</v>
      </c>
      <c r="B1967" s="228" t="s">
        <v>2563</v>
      </c>
      <c r="C1967" s="229" t="s">
        <v>4485</v>
      </c>
      <c r="D1967" s="230" t="s">
        <v>11</v>
      </c>
      <c r="E1967" s="231">
        <v>5.77</v>
      </c>
      <c r="F1967" s="231"/>
      <c r="G1967" s="229" t="s">
        <v>4491</v>
      </c>
      <c r="H1967" s="235">
        <f t="shared" si="58"/>
        <v>13.81</v>
      </c>
      <c r="I1967" s="241" t="s">
        <v>1731</v>
      </c>
      <c r="J1967" s="553"/>
    </row>
    <row r="1968" spans="1:10" ht="25.5" hidden="1" customHeight="1" outlineLevel="1" x14ac:dyDescent="0.2">
      <c r="A1968" s="198" t="s">
        <v>1279</v>
      </c>
      <c r="B1968" s="224" t="s">
        <v>2564</v>
      </c>
      <c r="C1968" s="225" t="s">
        <v>4486</v>
      </c>
      <c r="D1968" s="226" t="s">
        <v>11</v>
      </c>
      <c r="E1968" s="227">
        <v>2.42</v>
      </c>
      <c r="F1968" s="227"/>
      <c r="G1968" s="225" t="s">
        <v>4492</v>
      </c>
      <c r="H1968" s="235">
        <f t="shared" si="58"/>
        <v>3.07</v>
      </c>
      <c r="I1968" s="241" t="s">
        <v>1731</v>
      </c>
      <c r="J1968" s="553"/>
    </row>
    <row r="1969" spans="1:10" ht="25.5" hidden="1" customHeight="1" outlineLevel="1" x14ac:dyDescent="0.2">
      <c r="A1969" s="198" t="s">
        <v>1279</v>
      </c>
      <c r="B1969" s="228" t="s">
        <v>2565</v>
      </c>
      <c r="C1969" s="229" t="s">
        <v>4487</v>
      </c>
      <c r="D1969" s="230" t="s">
        <v>11</v>
      </c>
      <c r="E1969" s="231">
        <v>5.4</v>
      </c>
      <c r="F1969" s="231"/>
      <c r="G1969" s="229" t="s">
        <v>4493</v>
      </c>
      <c r="H1969" s="235">
        <f t="shared" si="58"/>
        <v>10.130000000000001</v>
      </c>
      <c r="I1969" s="241" t="s">
        <v>1731</v>
      </c>
      <c r="J1969" s="553"/>
    </row>
    <row r="1970" spans="1:10" ht="25.5" hidden="1" customHeight="1" outlineLevel="1" x14ac:dyDescent="0.2">
      <c r="A1970" s="198" t="s">
        <v>1279</v>
      </c>
      <c r="B1970" s="224" t="s">
        <v>2566</v>
      </c>
      <c r="C1970" s="225" t="s">
        <v>4488</v>
      </c>
      <c r="D1970" s="226" t="s">
        <v>11</v>
      </c>
      <c r="E1970" s="227">
        <v>11.11</v>
      </c>
      <c r="F1970" s="227"/>
      <c r="G1970" s="225" t="s">
        <v>4494</v>
      </c>
      <c r="H1970" s="235">
        <f t="shared" si="58"/>
        <v>10.34</v>
      </c>
      <c r="I1970" s="241" t="s">
        <v>1731</v>
      </c>
      <c r="J1970" s="553"/>
    </row>
    <row r="1971" spans="1:10" ht="25.5" hidden="1" customHeight="1" outlineLevel="1" x14ac:dyDescent="0.2">
      <c r="A1971" s="198" t="s">
        <v>1279</v>
      </c>
      <c r="B1971" s="228" t="s">
        <v>2567</v>
      </c>
      <c r="C1971" s="229" t="s">
        <v>4489</v>
      </c>
      <c r="D1971" s="230" t="s">
        <v>11</v>
      </c>
      <c r="E1971" s="231">
        <v>16.47</v>
      </c>
      <c r="F1971" s="231"/>
      <c r="G1971" s="229" t="s">
        <v>4496</v>
      </c>
      <c r="H1971" s="235">
        <f t="shared" si="58"/>
        <v>21.82</v>
      </c>
      <c r="I1971" s="241" t="s">
        <v>1731</v>
      </c>
      <c r="J1971" s="553"/>
    </row>
    <row r="1972" spans="1:10" ht="25.5" hidden="1" customHeight="1" outlineLevel="1" x14ac:dyDescent="0.2">
      <c r="A1972" s="198" t="s">
        <v>1279</v>
      </c>
      <c r="B1972" s="224" t="s">
        <v>2568</v>
      </c>
      <c r="C1972" s="225" t="s">
        <v>4490</v>
      </c>
      <c r="D1972" s="226" t="s">
        <v>11</v>
      </c>
      <c r="E1972" s="227">
        <v>21.36</v>
      </c>
      <c r="F1972" s="227"/>
      <c r="G1972" s="225" t="s">
        <v>4498</v>
      </c>
      <c r="H1972" s="235">
        <f t="shared" si="58"/>
        <v>7.48</v>
      </c>
      <c r="I1972" s="241" t="s">
        <v>1731</v>
      </c>
      <c r="J1972" s="553"/>
    </row>
    <row r="1973" spans="1:10" ht="25.5" hidden="1" customHeight="1" outlineLevel="1" x14ac:dyDescent="0.2">
      <c r="A1973" s="198" t="s">
        <v>1279</v>
      </c>
      <c r="B1973" s="228" t="s">
        <v>2569</v>
      </c>
      <c r="C1973" s="229" t="s">
        <v>4491</v>
      </c>
      <c r="D1973" s="230" t="s">
        <v>11</v>
      </c>
      <c r="E1973" s="231">
        <v>13.81</v>
      </c>
      <c r="F1973" s="231"/>
      <c r="G1973" s="229" t="s">
        <v>4500</v>
      </c>
      <c r="H1973" s="235">
        <f t="shared" si="58"/>
        <v>2.57</v>
      </c>
      <c r="I1973" s="241" t="s">
        <v>1731</v>
      </c>
      <c r="J1973" s="553"/>
    </row>
    <row r="1974" spans="1:10" ht="25.5" hidden="1" customHeight="1" outlineLevel="1" x14ac:dyDescent="0.2">
      <c r="A1974" s="198" t="s">
        <v>1279</v>
      </c>
      <c r="B1974" s="224" t="s">
        <v>2570</v>
      </c>
      <c r="C1974" s="225" t="s">
        <v>4492</v>
      </c>
      <c r="D1974" s="226" t="s">
        <v>11</v>
      </c>
      <c r="E1974" s="227">
        <v>3.07</v>
      </c>
      <c r="F1974" s="227"/>
      <c r="G1974" s="225" t="s">
        <v>4502</v>
      </c>
      <c r="H1974" s="235">
        <f t="shared" si="58"/>
        <v>3.97</v>
      </c>
      <c r="I1974" s="241" t="s">
        <v>1731</v>
      </c>
      <c r="J1974" s="553"/>
    </row>
    <row r="1975" spans="1:10" ht="25.5" hidden="1" customHeight="1" outlineLevel="1" x14ac:dyDescent="0.2">
      <c r="A1975" s="198" t="s">
        <v>1279</v>
      </c>
      <c r="B1975" s="228" t="s">
        <v>2572</v>
      </c>
      <c r="C1975" s="229" t="s">
        <v>4493</v>
      </c>
      <c r="D1975" s="230" t="s">
        <v>11</v>
      </c>
      <c r="E1975" s="231">
        <v>10.130000000000001</v>
      </c>
      <c r="F1975" s="231"/>
      <c r="G1975" s="229" t="s">
        <v>4504</v>
      </c>
      <c r="H1975" s="235">
        <f t="shared" si="58"/>
        <v>79.37</v>
      </c>
      <c r="I1975" s="241" t="s">
        <v>1731</v>
      </c>
      <c r="J1975" s="553"/>
    </row>
    <row r="1976" spans="1:10" ht="25.5" hidden="1" customHeight="1" outlineLevel="1" x14ac:dyDescent="0.2">
      <c r="A1976" s="198" t="s">
        <v>1279</v>
      </c>
      <c r="B1976" s="224" t="s">
        <v>4495</v>
      </c>
      <c r="C1976" s="225" t="s">
        <v>4494</v>
      </c>
      <c r="D1976" s="226" t="s">
        <v>11</v>
      </c>
      <c r="E1976" s="227">
        <v>10.34</v>
      </c>
      <c r="F1976" s="227"/>
      <c r="G1976" s="225" t="s">
        <v>4506</v>
      </c>
      <c r="H1976" s="235">
        <f t="shared" si="58"/>
        <v>38.200000000000003</v>
      </c>
      <c r="I1976" s="241" t="s">
        <v>1731</v>
      </c>
      <c r="J1976" s="553"/>
    </row>
    <row r="1977" spans="1:10" ht="25.5" hidden="1" customHeight="1" outlineLevel="1" x14ac:dyDescent="0.2">
      <c r="A1977" s="198" t="s">
        <v>1279</v>
      </c>
      <c r="B1977" s="228" t="s">
        <v>4497</v>
      </c>
      <c r="C1977" s="229" t="s">
        <v>4496</v>
      </c>
      <c r="D1977" s="230" t="s">
        <v>11</v>
      </c>
      <c r="E1977" s="231">
        <v>21.82</v>
      </c>
      <c r="F1977" s="231"/>
      <c r="G1977" s="229" t="s">
        <v>4508</v>
      </c>
      <c r="H1977" s="235">
        <f t="shared" si="58"/>
        <v>23.81</v>
      </c>
      <c r="I1977" s="241" t="s">
        <v>1731</v>
      </c>
      <c r="J1977" s="553"/>
    </row>
    <row r="1978" spans="1:10" ht="25.5" hidden="1" customHeight="1" outlineLevel="1" x14ac:dyDescent="0.2">
      <c r="A1978" s="198" t="s">
        <v>1279</v>
      </c>
      <c r="B1978" s="224" t="s">
        <v>4499</v>
      </c>
      <c r="C1978" s="225" t="s">
        <v>4498</v>
      </c>
      <c r="D1978" s="226" t="s">
        <v>11</v>
      </c>
      <c r="E1978" s="227">
        <v>4.99</v>
      </c>
      <c r="F1978" s="227"/>
      <c r="G1978" s="225" t="s">
        <v>4511</v>
      </c>
      <c r="H1978" s="235">
        <f t="shared" si="58"/>
        <v>49.090000000000018</v>
      </c>
      <c r="I1978" s="241" t="s">
        <v>1731</v>
      </c>
      <c r="J1978" s="553"/>
    </row>
    <row r="1979" spans="1:10" ht="25.5" hidden="1" customHeight="1" outlineLevel="1" x14ac:dyDescent="0.2">
      <c r="A1979" s="198" t="s">
        <v>1279</v>
      </c>
      <c r="B1979" s="228" t="s">
        <v>4501</v>
      </c>
      <c r="C1979" s="229" t="s">
        <v>4500</v>
      </c>
      <c r="D1979" s="230" t="s">
        <v>11</v>
      </c>
      <c r="E1979" s="231">
        <v>2.57</v>
      </c>
      <c r="F1979" s="231"/>
      <c r="G1979" s="229" t="s">
        <v>4512</v>
      </c>
      <c r="H1979" s="235">
        <f t="shared" si="58"/>
        <v>577.40999999999985</v>
      </c>
      <c r="I1979" s="241" t="s">
        <v>1731</v>
      </c>
      <c r="J1979" s="553"/>
    </row>
    <row r="1980" spans="1:10" ht="25.5" hidden="1" customHeight="1" outlineLevel="1" x14ac:dyDescent="0.2">
      <c r="A1980" s="198" t="s">
        <v>1279</v>
      </c>
      <c r="B1980" s="224" t="s">
        <v>4503</v>
      </c>
      <c r="C1980" s="225" t="s">
        <v>4502</v>
      </c>
      <c r="D1980" s="226" t="s">
        <v>11</v>
      </c>
      <c r="E1980" s="227">
        <v>3.97</v>
      </c>
      <c r="F1980" s="227"/>
      <c r="G1980" s="225" t="s">
        <v>4513</v>
      </c>
      <c r="H1980" s="235">
        <f t="shared" si="58"/>
        <v>24.320000000000004</v>
      </c>
      <c r="I1980" s="241" t="s">
        <v>1731</v>
      </c>
      <c r="J1980" s="553"/>
    </row>
    <row r="1981" spans="1:10" ht="12.75" hidden="1" customHeight="1" outlineLevel="1" x14ac:dyDescent="0.2">
      <c r="A1981" s="198" t="s">
        <v>1279</v>
      </c>
      <c r="B1981" s="228" t="s">
        <v>4505</v>
      </c>
      <c r="C1981" s="229" t="s">
        <v>4504</v>
      </c>
      <c r="D1981" s="230" t="s">
        <v>11</v>
      </c>
      <c r="E1981" s="231">
        <v>79.37</v>
      </c>
      <c r="F1981" s="231"/>
      <c r="G1981" s="229" t="s">
        <v>4514</v>
      </c>
      <c r="H1981" s="235">
        <f t="shared" si="58"/>
        <v>5.81</v>
      </c>
      <c r="I1981" s="241" t="s">
        <v>1731</v>
      </c>
      <c r="J1981" s="553"/>
    </row>
    <row r="1982" spans="1:10" ht="25.5" hidden="1" customHeight="1" outlineLevel="1" x14ac:dyDescent="0.2">
      <c r="A1982" s="198" t="s">
        <v>1279</v>
      </c>
      <c r="B1982" s="224" t="s">
        <v>4507</v>
      </c>
      <c r="C1982" s="225" t="s">
        <v>4506</v>
      </c>
      <c r="D1982" s="226" t="s">
        <v>11</v>
      </c>
      <c r="E1982" s="227">
        <v>38.200000000000003</v>
      </c>
      <c r="F1982" s="227"/>
      <c r="G1982" s="225" t="s">
        <v>4515</v>
      </c>
      <c r="H1982" s="235">
        <f t="shared" si="58"/>
        <v>3.98</v>
      </c>
      <c r="I1982" s="241" t="s">
        <v>1731</v>
      </c>
      <c r="J1982" s="553"/>
    </row>
    <row r="1983" spans="1:10" ht="25.5" hidden="1" customHeight="1" outlineLevel="1" x14ac:dyDescent="0.2">
      <c r="A1983" s="198" t="s">
        <v>1279</v>
      </c>
      <c r="B1983" s="228" t="s">
        <v>4509</v>
      </c>
      <c r="C1983" s="229" t="s">
        <v>4508</v>
      </c>
      <c r="D1983" s="230" t="s">
        <v>11</v>
      </c>
      <c r="E1983" s="231">
        <v>23.81</v>
      </c>
      <c r="F1983" s="231"/>
      <c r="G1983" s="229" t="s">
        <v>4516</v>
      </c>
      <c r="H1983" s="235">
        <f t="shared" si="58"/>
        <v>2.77</v>
      </c>
      <c r="I1983" s="241" t="s">
        <v>1731</v>
      </c>
      <c r="J1983" s="553"/>
    </row>
    <row r="1984" spans="1:10" ht="25.5" hidden="1" customHeight="1" outlineLevel="1" x14ac:dyDescent="0.2">
      <c r="A1984" s="198" t="s">
        <v>1279</v>
      </c>
      <c r="B1984" s="224" t="s">
        <v>4773</v>
      </c>
      <c r="C1984" s="225" t="s">
        <v>4510</v>
      </c>
      <c r="D1984" s="226" t="s">
        <v>11</v>
      </c>
      <c r="E1984" s="227">
        <v>1.1200000000000001</v>
      </c>
      <c r="F1984" s="227"/>
      <c r="G1984" s="225" t="s">
        <v>4517</v>
      </c>
      <c r="H1984" s="235">
        <f t="shared" si="58"/>
        <v>344.13999999999993</v>
      </c>
      <c r="I1984" s="241" t="s">
        <v>1731</v>
      </c>
      <c r="J1984" s="553"/>
    </row>
    <row r="1985" spans="1:10" ht="12.75" hidden="1" customHeight="1" outlineLevel="1" x14ac:dyDescent="0.2">
      <c r="A1985" s="198" t="s">
        <v>1279</v>
      </c>
      <c r="B1985" s="216" t="s">
        <v>1685</v>
      </c>
      <c r="C1985" s="217" t="s">
        <v>2960</v>
      </c>
      <c r="D1985" s="218"/>
      <c r="E1985" s="219"/>
      <c r="F1985" s="219"/>
      <c r="G1985" s="229" t="s">
        <v>4518</v>
      </c>
      <c r="H1985" s="235">
        <f t="shared" si="58"/>
        <v>5.32</v>
      </c>
      <c r="I1985" s="241" t="s">
        <v>1731</v>
      </c>
      <c r="J1985" s="553"/>
    </row>
    <row r="1986" spans="1:10" ht="25.5" hidden="1" customHeight="1" outlineLevel="1" x14ac:dyDescent="0.2">
      <c r="A1986" s="198" t="s">
        <v>1279</v>
      </c>
      <c r="B1986" s="228" t="s">
        <v>2574</v>
      </c>
      <c r="C1986" s="229" t="s">
        <v>4511</v>
      </c>
      <c r="D1986" s="230" t="s">
        <v>11</v>
      </c>
      <c r="E1986" s="231">
        <v>24.55</v>
      </c>
      <c r="F1986" s="231"/>
      <c r="G1986" s="225" t="s">
        <v>4520</v>
      </c>
      <c r="H1986" s="235">
        <f t="shared" si="58"/>
        <v>1.95</v>
      </c>
      <c r="I1986" s="241" t="s">
        <v>1731</v>
      </c>
      <c r="J1986" s="553"/>
    </row>
    <row r="1987" spans="1:10" ht="25.5" hidden="1" customHeight="1" outlineLevel="1" x14ac:dyDescent="0.2">
      <c r="A1987" s="198" t="s">
        <v>1279</v>
      </c>
      <c r="B1987" s="224" t="s">
        <v>2575</v>
      </c>
      <c r="C1987" s="225" t="s">
        <v>4512</v>
      </c>
      <c r="D1987" s="226" t="s">
        <v>11</v>
      </c>
      <c r="E1987" s="227">
        <v>29.36</v>
      </c>
      <c r="F1987" s="227"/>
      <c r="G1987" s="229" t="s">
        <v>4522</v>
      </c>
      <c r="H1987" s="235">
        <f t="shared" si="58"/>
        <v>73.63</v>
      </c>
      <c r="I1987" s="241" t="s">
        <v>1731</v>
      </c>
      <c r="J1987" s="553"/>
    </row>
    <row r="1988" spans="1:10" ht="25.5" hidden="1" customHeight="1" outlineLevel="1" x14ac:dyDescent="0.2">
      <c r="A1988" s="198" t="s">
        <v>1279</v>
      </c>
      <c r="B1988" s="228" t="s">
        <v>2576</v>
      </c>
      <c r="C1988" s="229" t="s">
        <v>4513</v>
      </c>
      <c r="D1988" s="230" t="s">
        <v>11</v>
      </c>
      <c r="E1988" s="231">
        <v>1.52</v>
      </c>
      <c r="F1988" s="231"/>
      <c r="G1988" s="225" t="s">
        <v>4524</v>
      </c>
      <c r="H1988" s="235">
        <f t="shared" si="58"/>
        <v>7.81</v>
      </c>
      <c r="I1988" s="241" t="s">
        <v>1731</v>
      </c>
      <c r="J1988" s="553"/>
    </row>
    <row r="1989" spans="1:10" ht="25.5" hidden="1" customHeight="1" outlineLevel="1" x14ac:dyDescent="0.2">
      <c r="A1989" s="198" t="s">
        <v>1279</v>
      </c>
      <c r="B1989" s="224" t="s">
        <v>2577</v>
      </c>
      <c r="C1989" s="225" t="s">
        <v>4514</v>
      </c>
      <c r="D1989" s="226" t="s">
        <v>11</v>
      </c>
      <c r="E1989" s="227">
        <v>5.81</v>
      </c>
      <c r="F1989" s="227"/>
      <c r="G1989" s="229" t="s">
        <v>4525</v>
      </c>
      <c r="H1989" s="235">
        <f t="shared" si="58"/>
        <v>38.99</v>
      </c>
      <c r="I1989" s="241" t="s">
        <v>1731</v>
      </c>
      <c r="J1989" s="553"/>
    </row>
    <row r="1990" spans="1:10" ht="25.5" hidden="1" customHeight="1" outlineLevel="1" x14ac:dyDescent="0.2">
      <c r="A1990" s="198" t="s">
        <v>1279</v>
      </c>
      <c r="B1990" s="216" t="s">
        <v>1686</v>
      </c>
      <c r="C1990" s="217" t="s">
        <v>2961</v>
      </c>
      <c r="D1990" s="218"/>
      <c r="E1990" s="219"/>
      <c r="F1990" s="219"/>
      <c r="G1990" s="225" t="s">
        <v>4526</v>
      </c>
      <c r="H1990" s="235">
        <f t="shared" si="58"/>
        <v>50.47</v>
      </c>
      <c r="I1990" s="241" t="s">
        <v>1731</v>
      </c>
      <c r="J1990" s="553"/>
    </row>
    <row r="1991" spans="1:10" ht="25.5" hidden="1" customHeight="1" outlineLevel="1" x14ac:dyDescent="0.2">
      <c r="A1991" s="198" t="s">
        <v>1279</v>
      </c>
      <c r="B1991" s="228" t="s">
        <v>2578</v>
      </c>
      <c r="C1991" s="229" t="s">
        <v>4511</v>
      </c>
      <c r="D1991" s="230" t="s">
        <v>11</v>
      </c>
      <c r="E1991" s="231">
        <v>8.18</v>
      </c>
      <c r="F1991" s="231"/>
      <c r="G1991" s="229" t="s">
        <v>4527</v>
      </c>
      <c r="H1991" s="235">
        <f t="shared" ref="H1991:H2022" si="59">SUMIF($C:$C,G1991,$E:$E)</f>
        <v>13.75</v>
      </c>
      <c r="I1991" s="241" t="s">
        <v>1731</v>
      </c>
      <c r="J1991" s="553"/>
    </row>
    <row r="1992" spans="1:10" ht="25.5" hidden="1" customHeight="1" outlineLevel="1" x14ac:dyDescent="0.2">
      <c r="A1992" s="198" t="s">
        <v>1279</v>
      </c>
      <c r="B1992" s="224" t="s">
        <v>2579</v>
      </c>
      <c r="C1992" s="225" t="s">
        <v>4512</v>
      </c>
      <c r="D1992" s="226" t="s">
        <v>11</v>
      </c>
      <c r="E1992" s="227">
        <v>48.93</v>
      </c>
      <c r="F1992" s="227"/>
      <c r="G1992" s="225" t="s">
        <v>4700</v>
      </c>
      <c r="H1992" s="235">
        <f t="shared" si="59"/>
        <v>7.88</v>
      </c>
      <c r="I1992" s="241" t="s">
        <v>1731</v>
      </c>
      <c r="J1992" s="553"/>
    </row>
    <row r="1993" spans="1:10" ht="25.5" hidden="1" customHeight="1" outlineLevel="1" x14ac:dyDescent="0.2">
      <c r="A1993" s="198" t="s">
        <v>1279</v>
      </c>
      <c r="B1993" s="228" t="s">
        <v>2580</v>
      </c>
      <c r="C1993" s="229" t="s">
        <v>4513</v>
      </c>
      <c r="D1993" s="230" t="s">
        <v>11</v>
      </c>
      <c r="E1993" s="231">
        <v>1.52</v>
      </c>
      <c r="F1993" s="231"/>
      <c r="G1993" s="229" t="s">
        <v>4539</v>
      </c>
      <c r="H1993" s="235">
        <f t="shared" si="59"/>
        <v>35.419999999999995</v>
      </c>
      <c r="I1993" s="241" t="s">
        <v>1731</v>
      </c>
      <c r="J1993" s="553"/>
    </row>
    <row r="1994" spans="1:10" ht="25.5" hidden="1" customHeight="1" outlineLevel="1" x14ac:dyDescent="0.2">
      <c r="A1994" s="198" t="s">
        <v>1279</v>
      </c>
      <c r="B1994" s="224" t="s">
        <v>2581</v>
      </c>
      <c r="C1994" s="225" t="s">
        <v>4515</v>
      </c>
      <c r="D1994" s="226" t="s">
        <v>11</v>
      </c>
      <c r="E1994" s="227">
        <v>3.98</v>
      </c>
      <c r="F1994" s="227"/>
      <c r="G1994" s="225" t="s">
        <v>4541</v>
      </c>
      <c r="H1994" s="235">
        <f t="shared" si="59"/>
        <v>22.349999999999998</v>
      </c>
      <c r="I1994" s="241" t="s">
        <v>1731</v>
      </c>
      <c r="J1994" s="553"/>
    </row>
    <row r="1995" spans="1:10" ht="25.5" hidden="1" customHeight="1" outlineLevel="1" x14ac:dyDescent="0.2">
      <c r="A1995" s="198" t="s">
        <v>1279</v>
      </c>
      <c r="B1995" s="228" t="s">
        <v>2582</v>
      </c>
      <c r="C1995" s="229" t="s">
        <v>4516</v>
      </c>
      <c r="D1995" s="230" t="s">
        <v>11</v>
      </c>
      <c r="E1995" s="231">
        <v>2.77</v>
      </c>
      <c r="F1995" s="231"/>
      <c r="G1995" s="229" t="s">
        <v>4703</v>
      </c>
      <c r="H1995" s="235">
        <f t="shared" si="59"/>
        <v>17.96</v>
      </c>
      <c r="I1995" s="241" t="s">
        <v>1731</v>
      </c>
      <c r="J1995" s="553"/>
    </row>
    <row r="1996" spans="1:10" ht="25.5" hidden="1" customHeight="1" outlineLevel="1" x14ac:dyDescent="0.2">
      <c r="A1996" s="198" t="s">
        <v>1279</v>
      </c>
      <c r="B1996" s="224" t="s">
        <v>2583</v>
      </c>
      <c r="C1996" s="225" t="s">
        <v>4517</v>
      </c>
      <c r="D1996" s="226" t="s">
        <v>11</v>
      </c>
      <c r="E1996" s="227">
        <v>25.18</v>
      </c>
      <c r="F1996" s="227"/>
      <c r="G1996" s="225" t="s">
        <v>4528</v>
      </c>
      <c r="H1996" s="235">
        <f t="shared" si="59"/>
        <v>22.349999999999998</v>
      </c>
      <c r="I1996" s="241" t="s">
        <v>1731</v>
      </c>
      <c r="J1996" s="553"/>
    </row>
    <row r="1997" spans="1:10" ht="25.5" hidden="1" customHeight="1" outlineLevel="1" x14ac:dyDescent="0.2">
      <c r="A1997" s="198" t="s">
        <v>1279</v>
      </c>
      <c r="B1997" s="228" t="s">
        <v>2584</v>
      </c>
      <c r="C1997" s="229" t="s">
        <v>4518</v>
      </c>
      <c r="D1997" s="230" t="s">
        <v>11</v>
      </c>
      <c r="E1997" s="231">
        <v>5.32</v>
      </c>
      <c r="F1997" s="231"/>
      <c r="G1997" s="229" t="s">
        <v>4705</v>
      </c>
      <c r="H1997" s="235">
        <f t="shared" si="59"/>
        <v>13.68</v>
      </c>
      <c r="I1997" s="241" t="s">
        <v>1731</v>
      </c>
      <c r="J1997" s="553"/>
    </row>
    <row r="1998" spans="1:10" ht="25.5" hidden="1" customHeight="1" outlineLevel="1" x14ac:dyDescent="0.2">
      <c r="A1998" s="198" t="s">
        <v>1279</v>
      </c>
      <c r="B1998" s="224" t="s">
        <v>4519</v>
      </c>
      <c r="C1998" s="225" t="s">
        <v>4520</v>
      </c>
      <c r="D1998" s="226" t="s">
        <v>11</v>
      </c>
      <c r="E1998" s="227">
        <v>1.95</v>
      </c>
      <c r="F1998" s="227"/>
      <c r="G1998" s="225" t="s">
        <v>4543</v>
      </c>
      <c r="H1998" s="235">
        <f t="shared" si="59"/>
        <v>13.75</v>
      </c>
      <c r="I1998" s="241" t="s">
        <v>1731</v>
      </c>
      <c r="J1998" s="553"/>
    </row>
    <row r="1999" spans="1:10" ht="12.75" hidden="1" customHeight="1" outlineLevel="1" x14ac:dyDescent="0.2">
      <c r="A1999" s="198" t="s">
        <v>1279</v>
      </c>
      <c r="B1999" s="228" t="s">
        <v>4521</v>
      </c>
      <c r="C1999" s="229" t="s">
        <v>4522</v>
      </c>
      <c r="D1999" s="230" t="s">
        <v>11</v>
      </c>
      <c r="E1999" s="231">
        <v>3.35</v>
      </c>
      <c r="F1999" s="231"/>
      <c r="G1999" s="229" t="s">
        <v>4529</v>
      </c>
      <c r="H1999" s="235">
        <f t="shared" si="59"/>
        <v>18.100000000000001</v>
      </c>
      <c r="I1999" s="241" t="s">
        <v>1731</v>
      </c>
      <c r="J1999" s="215"/>
    </row>
    <row r="2000" spans="1:10" ht="12.75" hidden="1" customHeight="1" outlineLevel="1" x14ac:dyDescent="0.2">
      <c r="A2000" s="198" t="s">
        <v>1279</v>
      </c>
      <c r="B2000" s="224" t="s">
        <v>4523</v>
      </c>
      <c r="C2000" s="225" t="s">
        <v>4524</v>
      </c>
      <c r="D2000" s="226" t="s">
        <v>11</v>
      </c>
      <c r="E2000" s="227">
        <v>7.81</v>
      </c>
      <c r="F2000" s="227"/>
      <c r="G2000" s="225" t="s">
        <v>4545</v>
      </c>
      <c r="H2000" s="235">
        <f t="shared" si="59"/>
        <v>14.1</v>
      </c>
      <c r="I2000" s="241" t="s">
        <v>1731</v>
      </c>
      <c r="J2000" s="215"/>
    </row>
    <row r="2001" spans="1:10" ht="25.5" hidden="1" customHeight="1" outlineLevel="1" x14ac:dyDescent="0.2">
      <c r="A2001" s="198" t="s">
        <v>1279</v>
      </c>
      <c r="B2001" s="216" t="s">
        <v>1687</v>
      </c>
      <c r="C2001" s="217" t="s">
        <v>2962</v>
      </c>
      <c r="D2001" s="218"/>
      <c r="E2001" s="219"/>
      <c r="F2001" s="219"/>
      <c r="G2001" s="229" t="s">
        <v>4707</v>
      </c>
      <c r="H2001" s="235">
        <f t="shared" si="59"/>
        <v>13.1</v>
      </c>
      <c r="I2001" s="241" t="s">
        <v>1731</v>
      </c>
      <c r="J2001" s="215"/>
    </row>
    <row r="2002" spans="1:10" ht="25.5" hidden="1" customHeight="1" outlineLevel="1" x14ac:dyDescent="0.2">
      <c r="A2002" s="198" t="s">
        <v>1279</v>
      </c>
      <c r="B2002" s="228" t="s">
        <v>2585</v>
      </c>
      <c r="C2002" s="229" t="s">
        <v>4511</v>
      </c>
      <c r="D2002" s="230" t="s">
        <v>11</v>
      </c>
      <c r="E2002" s="231">
        <v>4.09</v>
      </c>
      <c r="F2002" s="231"/>
      <c r="G2002" s="225" t="s">
        <v>4531</v>
      </c>
      <c r="H2002" s="235">
        <f t="shared" si="59"/>
        <v>18.5</v>
      </c>
      <c r="I2002" s="241" t="s">
        <v>1731</v>
      </c>
      <c r="J2002" s="215"/>
    </row>
    <row r="2003" spans="1:10" ht="25.5" hidden="1" customHeight="1" outlineLevel="1" x14ac:dyDescent="0.2">
      <c r="A2003" s="198" t="s">
        <v>1279</v>
      </c>
      <c r="B2003" s="224" t="s">
        <v>2586</v>
      </c>
      <c r="C2003" s="225" t="s">
        <v>4512</v>
      </c>
      <c r="D2003" s="226" t="s">
        <v>11</v>
      </c>
      <c r="E2003" s="227">
        <v>44.04</v>
      </c>
      <c r="F2003" s="227"/>
      <c r="G2003" s="229" t="s">
        <v>4719</v>
      </c>
      <c r="H2003" s="235">
        <f t="shared" si="59"/>
        <v>6.32</v>
      </c>
      <c r="I2003" s="241" t="s">
        <v>1731</v>
      </c>
      <c r="J2003" s="215"/>
    </row>
    <row r="2004" spans="1:10" ht="12.75" hidden="1" customHeight="1" outlineLevel="1" x14ac:dyDescent="0.2">
      <c r="A2004" s="198" t="s">
        <v>1279</v>
      </c>
      <c r="B2004" s="228" t="s">
        <v>2587</v>
      </c>
      <c r="C2004" s="229" t="s">
        <v>4513</v>
      </c>
      <c r="D2004" s="230" t="s">
        <v>11</v>
      </c>
      <c r="E2004" s="231">
        <v>1.52</v>
      </c>
      <c r="F2004" s="231"/>
      <c r="G2004" s="225" t="s">
        <v>4547</v>
      </c>
      <c r="H2004" s="235">
        <f t="shared" si="59"/>
        <v>16.899999999999999</v>
      </c>
      <c r="I2004" s="241" t="s">
        <v>1731</v>
      </c>
      <c r="J2004" s="215"/>
    </row>
    <row r="2005" spans="1:10" ht="12.75" hidden="1" customHeight="1" outlineLevel="1" x14ac:dyDescent="0.2">
      <c r="A2005" s="198" t="s">
        <v>1279</v>
      </c>
      <c r="B2005" s="224" t="s">
        <v>2588</v>
      </c>
      <c r="C2005" s="225" t="s">
        <v>4517</v>
      </c>
      <c r="D2005" s="226" t="s">
        <v>11</v>
      </c>
      <c r="E2005" s="227">
        <v>27.98</v>
      </c>
      <c r="F2005" s="227"/>
      <c r="G2005" s="229" t="s">
        <v>4663</v>
      </c>
      <c r="H2005" s="235">
        <f t="shared" si="59"/>
        <v>3.2</v>
      </c>
      <c r="I2005" s="241" t="s">
        <v>1731</v>
      </c>
      <c r="J2005" s="215"/>
    </row>
    <row r="2006" spans="1:10" ht="25.5" hidden="1" customHeight="1" outlineLevel="1" x14ac:dyDescent="0.2">
      <c r="A2006" s="198" t="s">
        <v>1279</v>
      </c>
      <c r="B2006" s="228" t="s">
        <v>2589</v>
      </c>
      <c r="C2006" s="229" t="s">
        <v>4522</v>
      </c>
      <c r="D2006" s="230" t="s">
        <v>11</v>
      </c>
      <c r="E2006" s="231">
        <v>6.69</v>
      </c>
      <c r="F2006" s="231"/>
      <c r="G2006" s="225" t="s">
        <v>4533</v>
      </c>
      <c r="H2006" s="235">
        <f t="shared" si="59"/>
        <v>78.399999999999991</v>
      </c>
      <c r="I2006" s="241" t="s">
        <v>1731</v>
      </c>
      <c r="J2006" s="215"/>
    </row>
    <row r="2007" spans="1:10" ht="25.5" hidden="1" customHeight="1" outlineLevel="1" x14ac:dyDescent="0.2">
      <c r="A2007" s="198" t="s">
        <v>1279</v>
      </c>
      <c r="B2007" s="224" t="s">
        <v>2590</v>
      </c>
      <c r="C2007" s="225" t="s">
        <v>4525</v>
      </c>
      <c r="D2007" s="226" t="s">
        <v>11</v>
      </c>
      <c r="E2007" s="227">
        <v>5.57</v>
      </c>
      <c r="F2007" s="227"/>
      <c r="G2007" s="229" t="s">
        <v>4666</v>
      </c>
      <c r="H2007" s="235">
        <f t="shared" si="59"/>
        <v>11</v>
      </c>
      <c r="I2007" s="241" t="s">
        <v>1731</v>
      </c>
      <c r="J2007" s="215"/>
    </row>
    <row r="2008" spans="1:10" ht="25.5" hidden="1" customHeight="1" outlineLevel="1" x14ac:dyDescent="0.2">
      <c r="A2008" s="198" t="s">
        <v>1279</v>
      </c>
      <c r="B2008" s="228" t="s">
        <v>2591</v>
      </c>
      <c r="C2008" s="229" t="s">
        <v>4526</v>
      </c>
      <c r="D2008" s="230" t="s">
        <v>11</v>
      </c>
      <c r="E2008" s="231">
        <v>7.21</v>
      </c>
      <c r="F2008" s="231"/>
      <c r="G2008" s="225" t="s">
        <v>4550</v>
      </c>
      <c r="H2008" s="235">
        <f t="shared" si="59"/>
        <v>130.14000000000001</v>
      </c>
      <c r="I2008" s="241" t="s">
        <v>1731</v>
      </c>
      <c r="J2008" s="215"/>
    </row>
    <row r="2009" spans="1:10" ht="25.5" hidden="1" customHeight="1" outlineLevel="1" x14ac:dyDescent="0.2">
      <c r="A2009" s="198" t="s">
        <v>1279</v>
      </c>
      <c r="B2009" s="224" t="s">
        <v>2592</v>
      </c>
      <c r="C2009" s="225" t="s">
        <v>4527</v>
      </c>
      <c r="D2009" s="226" t="s">
        <v>11</v>
      </c>
      <c r="E2009" s="227">
        <v>2.75</v>
      </c>
      <c r="F2009" s="227"/>
      <c r="G2009" s="229" t="s">
        <v>4669</v>
      </c>
      <c r="H2009" s="235">
        <f t="shared" si="59"/>
        <v>3.18</v>
      </c>
      <c r="I2009" s="241" t="s">
        <v>1731</v>
      </c>
      <c r="J2009" s="215"/>
    </row>
    <row r="2010" spans="1:10" ht="12.75" hidden="1" customHeight="1" outlineLevel="1" x14ac:dyDescent="0.2">
      <c r="A2010" s="198" t="s">
        <v>1279</v>
      </c>
      <c r="B2010" s="228" t="s">
        <v>2593</v>
      </c>
      <c r="C2010" s="229" t="s">
        <v>4528</v>
      </c>
      <c r="D2010" s="230" t="s">
        <v>11</v>
      </c>
      <c r="E2010" s="231">
        <v>4.47</v>
      </c>
      <c r="F2010" s="231"/>
      <c r="G2010" s="225" t="s">
        <v>4671</v>
      </c>
      <c r="H2010" s="235">
        <f t="shared" si="59"/>
        <v>9.27</v>
      </c>
      <c r="I2010" s="241" t="s">
        <v>1731</v>
      </c>
      <c r="J2010" s="215"/>
    </row>
    <row r="2011" spans="1:10" ht="12.75" hidden="1" customHeight="1" outlineLevel="1" x14ac:dyDescent="0.2">
      <c r="A2011" s="198" t="s">
        <v>1279</v>
      </c>
      <c r="B2011" s="224" t="s">
        <v>2594</v>
      </c>
      <c r="C2011" s="225" t="s">
        <v>4529</v>
      </c>
      <c r="D2011" s="226" t="s">
        <v>11</v>
      </c>
      <c r="E2011" s="227">
        <v>3.62</v>
      </c>
      <c r="F2011" s="227"/>
      <c r="G2011" s="229" t="s">
        <v>4673</v>
      </c>
      <c r="H2011" s="235">
        <f t="shared" si="59"/>
        <v>12.15</v>
      </c>
      <c r="I2011" s="241" t="s">
        <v>1731</v>
      </c>
      <c r="J2011" s="215"/>
    </row>
    <row r="2012" spans="1:10" ht="25.5" hidden="1" customHeight="1" outlineLevel="1" x14ac:dyDescent="0.2">
      <c r="A2012" s="198" t="s">
        <v>1279</v>
      </c>
      <c r="B2012" s="228" t="s">
        <v>4530</v>
      </c>
      <c r="C2012" s="229" t="s">
        <v>4531</v>
      </c>
      <c r="D2012" s="230" t="s">
        <v>11</v>
      </c>
      <c r="E2012" s="231">
        <v>3.7</v>
      </c>
      <c r="F2012" s="231"/>
      <c r="G2012" s="225" t="s">
        <v>4675</v>
      </c>
      <c r="H2012" s="235">
        <f t="shared" si="59"/>
        <v>5.25</v>
      </c>
      <c r="I2012" s="241" t="s">
        <v>1731</v>
      </c>
      <c r="J2012" s="215"/>
    </row>
    <row r="2013" spans="1:10" ht="25.5" hidden="1" customHeight="1" outlineLevel="1" x14ac:dyDescent="0.2">
      <c r="A2013" s="198" t="s">
        <v>1279</v>
      </c>
      <c r="B2013" s="224" t="s">
        <v>4532</v>
      </c>
      <c r="C2013" s="225" t="s">
        <v>4533</v>
      </c>
      <c r="D2013" s="226" t="s">
        <v>11</v>
      </c>
      <c r="E2013" s="227">
        <v>2.8</v>
      </c>
      <c r="F2013" s="227"/>
      <c r="G2013" s="229" t="s">
        <v>4677</v>
      </c>
      <c r="H2013" s="235">
        <f t="shared" si="59"/>
        <v>19.64</v>
      </c>
      <c r="I2013" s="241" t="s">
        <v>1731</v>
      </c>
      <c r="J2013" s="215"/>
    </row>
    <row r="2014" spans="1:10" ht="25.5" hidden="1" customHeight="1" outlineLevel="1" x14ac:dyDescent="0.2">
      <c r="A2014" s="198" t="s">
        <v>1279</v>
      </c>
      <c r="B2014" s="228" t="s">
        <v>4534</v>
      </c>
      <c r="C2014" s="229" t="s">
        <v>4535</v>
      </c>
      <c r="D2014" s="230" t="s">
        <v>11</v>
      </c>
      <c r="E2014" s="231">
        <v>3.93</v>
      </c>
      <c r="F2014" s="231"/>
      <c r="G2014" s="225" t="s">
        <v>4679</v>
      </c>
      <c r="H2014" s="235">
        <f t="shared" si="59"/>
        <v>10.25</v>
      </c>
      <c r="I2014" s="241" t="s">
        <v>1731</v>
      </c>
      <c r="J2014" s="215"/>
    </row>
    <row r="2015" spans="1:10" ht="12.75" hidden="1" customHeight="1" outlineLevel="1" x14ac:dyDescent="0.2">
      <c r="A2015" s="198" t="s">
        <v>1279</v>
      </c>
      <c r="B2015" s="216" t="s">
        <v>1688</v>
      </c>
      <c r="C2015" s="217" t="s">
        <v>2963</v>
      </c>
      <c r="D2015" s="218"/>
      <c r="E2015" s="219"/>
      <c r="F2015" s="219"/>
      <c r="G2015" s="229" t="s">
        <v>4681</v>
      </c>
      <c r="H2015" s="235">
        <f t="shared" si="59"/>
        <v>3.64</v>
      </c>
      <c r="I2015" s="241" t="s">
        <v>1731</v>
      </c>
      <c r="J2015" s="215"/>
    </row>
    <row r="2016" spans="1:10" ht="12.75" hidden="1" customHeight="1" outlineLevel="1" x14ac:dyDescent="0.2">
      <c r="A2016" s="198" t="s">
        <v>1279</v>
      </c>
      <c r="B2016" s="224" t="s">
        <v>2595</v>
      </c>
      <c r="C2016" s="225" t="s">
        <v>4512</v>
      </c>
      <c r="D2016" s="226" t="s">
        <v>11</v>
      </c>
      <c r="E2016" s="227">
        <v>44.04</v>
      </c>
      <c r="F2016" s="227"/>
      <c r="G2016" s="225" t="s">
        <v>4683</v>
      </c>
      <c r="H2016" s="235">
        <f t="shared" si="59"/>
        <v>2.27</v>
      </c>
      <c r="I2016" s="241" t="s">
        <v>1731</v>
      </c>
      <c r="J2016" s="215"/>
    </row>
    <row r="2017" spans="1:10" ht="25.5" hidden="1" customHeight="1" outlineLevel="1" x14ac:dyDescent="0.2">
      <c r="A2017" s="198" t="s">
        <v>1279</v>
      </c>
      <c r="B2017" s="228" t="s">
        <v>2597</v>
      </c>
      <c r="C2017" s="229" t="s">
        <v>4513</v>
      </c>
      <c r="D2017" s="230" t="s">
        <v>11</v>
      </c>
      <c r="E2017" s="231">
        <v>2.2799999999999998</v>
      </c>
      <c r="F2017" s="231"/>
      <c r="G2017" s="229" t="s">
        <v>4685</v>
      </c>
      <c r="H2017" s="235">
        <f t="shared" si="59"/>
        <v>3.37</v>
      </c>
      <c r="I2017" s="241" t="s">
        <v>1731</v>
      </c>
      <c r="J2017" s="215"/>
    </row>
    <row r="2018" spans="1:10" ht="25.5" hidden="1" customHeight="1" outlineLevel="1" x14ac:dyDescent="0.2">
      <c r="A2018" s="198" t="s">
        <v>1279</v>
      </c>
      <c r="B2018" s="224" t="s">
        <v>4536</v>
      </c>
      <c r="C2018" s="225" t="s">
        <v>4517</v>
      </c>
      <c r="D2018" s="226" t="s">
        <v>11</v>
      </c>
      <c r="E2018" s="227">
        <v>27.98</v>
      </c>
      <c r="F2018" s="227"/>
      <c r="G2018" s="225" t="s">
        <v>4687</v>
      </c>
      <c r="H2018" s="235">
        <f t="shared" si="59"/>
        <v>7.35</v>
      </c>
      <c r="I2018" s="241" t="s">
        <v>1731</v>
      </c>
      <c r="J2018" s="215"/>
    </row>
    <row r="2019" spans="1:10" ht="25.5" hidden="1" customHeight="1" outlineLevel="1" x14ac:dyDescent="0.2">
      <c r="A2019" s="198" t="s">
        <v>1279</v>
      </c>
      <c r="B2019" s="228" t="s">
        <v>4537</v>
      </c>
      <c r="C2019" s="229" t="s">
        <v>4522</v>
      </c>
      <c r="D2019" s="230" t="s">
        <v>11</v>
      </c>
      <c r="E2019" s="231">
        <v>3.35</v>
      </c>
      <c r="F2019" s="231"/>
      <c r="G2019" s="229" t="s">
        <v>4755</v>
      </c>
      <c r="H2019" s="235">
        <f t="shared" si="59"/>
        <v>1.23</v>
      </c>
      <c r="I2019" s="241" t="s">
        <v>1731</v>
      </c>
      <c r="J2019" s="215"/>
    </row>
    <row r="2020" spans="1:10" ht="25.5" hidden="1" customHeight="1" outlineLevel="1" x14ac:dyDescent="0.2">
      <c r="A2020" s="198" t="s">
        <v>1279</v>
      </c>
      <c r="B2020" s="224" t="s">
        <v>4538</v>
      </c>
      <c r="C2020" s="225" t="s">
        <v>4539</v>
      </c>
      <c r="D2020" s="226" t="s">
        <v>11</v>
      </c>
      <c r="E2020" s="227">
        <v>5.0599999999999996</v>
      </c>
      <c r="F2020" s="227"/>
      <c r="G2020" s="225" t="s">
        <v>4757</v>
      </c>
      <c r="H2020" s="235">
        <f t="shared" si="59"/>
        <v>2</v>
      </c>
      <c r="I2020" s="241" t="s">
        <v>1731</v>
      </c>
      <c r="J2020" s="215"/>
    </row>
    <row r="2021" spans="1:10" ht="12.75" hidden="1" customHeight="1" outlineLevel="1" x14ac:dyDescent="0.2">
      <c r="A2021" s="198" t="s">
        <v>1279</v>
      </c>
      <c r="B2021" s="228" t="s">
        <v>4540</v>
      </c>
      <c r="C2021" s="229" t="s">
        <v>4541</v>
      </c>
      <c r="D2021" s="230" t="s">
        <v>11</v>
      </c>
      <c r="E2021" s="231">
        <v>4.47</v>
      </c>
      <c r="F2021" s="231"/>
      <c r="G2021" s="229" t="s">
        <v>4759</v>
      </c>
      <c r="H2021" s="235">
        <f t="shared" si="59"/>
        <v>2.85</v>
      </c>
      <c r="I2021" s="241" t="s">
        <v>1731</v>
      </c>
      <c r="J2021" s="215"/>
    </row>
    <row r="2022" spans="1:10" ht="12.75" hidden="1" customHeight="1" outlineLevel="1" x14ac:dyDescent="0.2">
      <c r="A2022" s="198" t="s">
        <v>1279</v>
      </c>
      <c r="B2022" s="224" t="s">
        <v>4542</v>
      </c>
      <c r="C2022" s="225" t="s">
        <v>4543</v>
      </c>
      <c r="D2022" s="226" t="s">
        <v>11</v>
      </c>
      <c r="E2022" s="227">
        <v>2.75</v>
      </c>
      <c r="F2022" s="227"/>
      <c r="G2022" s="225" t="s">
        <v>4723</v>
      </c>
      <c r="H2022" s="235">
        <f t="shared" si="59"/>
        <v>7.08</v>
      </c>
      <c r="I2022" s="241" t="s">
        <v>1731</v>
      </c>
      <c r="J2022" s="215"/>
    </row>
    <row r="2023" spans="1:10" ht="25.5" hidden="1" customHeight="1" outlineLevel="1" x14ac:dyDescent="0.2">
      <c r="A2023" s="198" t="s">
        <v>1279</v>
      </c>
      <c r="B2023" s="228" t="s">
        <v>4544</v>
      </c>
      <c r="C2023" s="229" t="s">
        <v>4545</v>
      </c>
      <c r="D2023" s="230" t="s">
        <v>11</v>
      </c>
      <c r="E2023" s="231">
        <v>2.82</v>
      </c>
      <c r="F2023" s="231"/>
      <c r="G2023" s="229" t="s">
        <v>4761</v>
      </c>
      <c r="H2023" s="235">
        <f t="shared" ref="H2023:H2035" si="60">SUMIF($C:$C,G2023,$E:$E)</f>
        <v>9.6300000000000008</v>
      </c>
      <c r="I2023" s="241" t="s">
        <v>1731</v>
      </c>
      <c r="J2023" s="215"/>
    </row>
    <row r="2024" spans="1:10" ht="25.5" hidden="1" customHeight="1" outlineLevel="1" x14ac:dyDescent="0.2">
      <c r="A2024" s="198" t="s">
        <v>1279</v>
      </c>
      <c r="B2024" s="224" t="s">
        <v>4546</v>
      </c>
      <c r="C2024" s="225" t="s">
        <v>4547</v>
      </c>
      <c r="D2024" s="226" t="s">
        <v>11</v>
      </c>
      <c r="E2024" s="227">
        <v>3.38</v>
      </c>
      <c r="F2024" s="227"/>
      <c r="G2024" s="225" t="s">
        <v>4763</v>
      </c>
      <c r="H2024" s="235">
        <f t="shared" si="60"/>
        <v>2.6</v>
      </c>
      <c r="I2024" s="241" t="s">
        <v>1731</v>
      </c>
      <c r="J2024" s="215"/>
    </row>
    <row r="2025" spans="1:10" ht="25.5" hidden="1" customHeight="1" outlineLevel="1" x14ac:dyDescent="0.2">
      <c r="A2025" s="198" t="s">
        <v>1279</v>
      </c>
      <c r="B2025" s="228" t="s">
        <v>4548</v>
      </c>
      <c r="C2025" s="229" t="s">
        <v>4533</v>
      </c>
      <c r="D2025" s="230" t="s">
        <v>11</v>
      </c>
      <c r="E2025" s="231">
        <v>5.6</v>
      </c>
      <c r="F2025" s="231"/>
      <c r="G2025" s="229" t="s">
        <v>4765</v>
      </c>
      <c r="H2025" s="235">
        <f t="shared" si="60"/>
        <v>4.4800000000000004</v>
      </c>
      <c r="I2025" s="241" t="s">
        <v>1731</v>
      </c>
      <c r="J2025" s="215"/>
    </row>
    <row r="2026" spans="1:10" ht="12.75" hidden="1" customHeight="1" outlineLevel="1" x14ac:dyDescent="0.2">
      <c r="A2026" s="198" t="s">
        <v>1279</v>
      </c>
      <c r="B2026" s="224" t="s">
        <v>4549</v>
      </c>
      <c r="C2026" s="225" t="s">
        <v>4550</v>
      </c>
      <c r="D2026" s="226" t="s">
        <v>11</v>
      </c>
      <c r="E2026" s="227">
        <v>9.64</v>
      </c>
      <c r="F2026" s="227"/>
      <c r="G2026" s="225" t="s">
        <v>4689</v>
      </c>
      <c r="H2026" s="235">
        <f t="shared" si="60"/>
        <v>1.98</v>
      </c>
      <c r="I2026" s="241" t="s">
        <v>1731</v>
      </c>
      <c r="J2026" s="215"/>
    </row>
    <row r="2027" spans="1:10" ht="12.75" hidden="1" customHeight="1" outlineLevel="1" x14ac:dyDescent="0.2">
      <c r="A2027" s="198" t="s">
        <v>1279</v>
      </c>
      <c r="B2027" s="228" t="s">
        <v>4551</v>
      </c>
      <c r="C2027" s="229" t="s">
        <v>4535</v>
      </c>
      <c r="D2027" s="230" t="s">
        <v>11</v>
      </c>
      <c r="E2027" s="231">
        <v>10.43</v>
      </c>
      <c r="F2027" s="231"/>
      <c r="G2027" s="229" t="s">
        <v>4480</v>
      </c>
      <c r="H2027" s="235">
        <f t="shared" si="60"/>
        <v>15.46</v>
      </c>
      <c r="I2027" s="241" t="s">
        <v>1731</v>
      </c>
      <c r="J2027" s="215"/>
    </row>
    <row r="2028" spans="1:10" ht="25.5" hidden="1" customHeight="1" outlineLevel="1" x14ac:dyDescent="0.2">
      <c r="A2028" s="198" t="s">
        <v>1279</v>
      </c>
      <c r="B2028" s="216" t="s">
        <v>4552</v>
      </c>
      <c r="C2028" s="217" t="s">
        <v>2964</v>
      </c>
      <c r="D2028" s="218"/>
      <c r="E2028" s="219"/>
      <c r="F2028" s="219"/>
      <c r="G2028" s="225" t="s">
        <v>4481</v>
      </c>
      <c r="H2028" s="235">
        <f t="shared" si="60"/>
        <v>3.93</v>
      </c>
      <c r="I2028" s="241" t="s">
        <v>1731</v>
      </c>
      <c r="J2028" s="215"/>
    </row>
    <row r="2029" spans="1:10" ht="25.5" hidden="1" customHeight="1" outlineLevel="1" x14ac:dyDescent="0.2">
      <c r="A2029" s="198" t="s">
        <v>1279</v>
      </c>
      <c r="B2029" s="224" t="s">
        <v>4553</v>
      </c>
      <c r="C2029" s="225" t="s">
        <v>4512</v>
      </c>
      <c r="D2029" s="226" t="s">
        <v>11</v>
      </c>
      <c r="E2029" s="227">
        <v>44.04</v>
      </c>
      <c r="F2029" s="227"/>
      <c r="G2029" s="229" t="s">
        <v>4482</v>
      </c>
      <c r="H2029" s="235">
        <f t="shared" si="60"/>
        <v>1.47</v>
      </c>
      <c r="I2029" s="241" t="s">
        <v>1731</v>
      </c>
      <c r="J2029" s="215"/>
    </row>
    <row r="2030" spans="1:10" ht="25.5" hidden="1" customHeight="1" outlineLevel="1" x14ac:dyDescent="0.2">
      <c r="A2030" s="198" t="s">
        <v>1279</v>
      </c>
      <c r="B2030" s="228" t="s">
        <v>4554</v>
      </c>
      <c r="C2030" s="229" t="s">
        <v>4513</v>
      </c>
      <c r="D2030" s="230" t="s">
        <v>11</v>
      </c>
      <c r="E2030" s="231">
        <v>1.52</v>
      </c>
      <c r="F2030" s="231"/>
      <c r="G2030" s="225" t="s">
        <v>4691</v>
      </c>
      <c r="H2030" s="235">
        <f t="shared" si="60"/>
        <v>6.46</v>
      </c>
      <c r="I2030" s="241" t="s">
        <v>1731</v>
      </c>
      <c r="J2030" s="215"/>
    </row>
    <row r="2031" spans="1:10" ht="25.5" hidden="1" customHeight="1" outlineLevel="1" x14ac:dyDescent="0.2">
      <c r="A2031" s="198" t="s">
        <v>1279</v>
      </c>
      <c r="B2031" s="224" t="s">
        <v>4555</v>
      </c>
      <c r="C2031" s="225" t="s">
        <v>4517</v>
      </c>
      <c r="D2031" s="226" t="s">
        <v>11</v>
      </c>
      <c r="E2031" s="227">
        <v>27.98</v>
      </c>
      <c r="F2031" s="227"/>
      <c r="G2031" s="229" t="s">
        <v>4535</v>
      </c>
      <c r="H2031" s="235">
        <f t="shared" si="60"/>
        <v>90.390000000000015</v>
      </c>
      <c r="I2031" s="241" t="s">
        <v>4771</v>
      </c>
      <c r="J2031" s="215"/>
    </row>
    <row r="2032" spans="1:10" ht="12.75" hidden="1" customHeight="1" outlineLevel="1" x14ac:dyDescent="0.2">
      <c r="A2032" s="198" t="s">
        <v>1279</v>
      </c>
      <c r="B2032" s="228" t="s">
        <v>4556</v>
      </c>
      <c r="C2032" s="229" t="s">
        <v>4522</v>
      </c>
      <c r="D2032" s="230" t="s">
        <v>11</v>
      </c>
      <c r="E2032" s="231">
        <v>6.69</v>
      </c>
      <c r="F2032" s="231"/>
      <c r="G2032" s="225" t="s">
        <v>4767</v>
      </c>
      <c r="H2032" s="235">
        <f t="shared" si="60"/>
        <v>33.619999999999997</v>
      </c>
      <c r="I2032" s="241" t="s">
        <v>4771</v>
      </c>
      <c r="J2032" s="215"/>
    </row>
    <row r="2033" spans="1:10" ht="12.75" hidden="1" customHeight="1" outlineLevel="1" x14ac:dyDescent="0.2">
      <c r="A2033" s="198" t="s">
        <v>1279</v>
      </c>
      <c r="B2033" s="224" t="s">
        <v>4557</v>
      </c>
      <c r="C2033" s="225" t="s">
        <v>4525</v>
      </c>
      <c r="D2033" s="226" t="s">
        <v>11</v>
      </c>
      <c r="E2033" s="227">
        <v>5.57</v>
      </c>
      <c r="F2033" s="227"/>
      <c r="G2033" s="229" t="s">
        <v>4510</v>
      </c>
      <c r="H2033" s="235">
        <f t="shared" si="60"/>
        <v>1.1200000000000001</v>
      </c>
      <c r="I2033" s="241" t="s">
        <v>1731</v>
      </c>
      <c r="J2033" s="215"/>
    </row>
    <row r="2034" spans="1:10" ht="25.5" hidden="1" customHeight="1" outlineLevel="1" x14ac:dyDescent="0.2">
      <c r="A2034" s="198" t="s">
        <v>1279</v>
      </c>
      <c r="B2034" s="228" t="s">
        <v>4558</v>
      </c>
      <c r="C2034" s="229" t="s">
        <v>4526</v>
      </c>
      <c r="D2034" s="230" t="s">
        <v>11</v>
      </c>
      <c r="E2034" s="231">
        <v>7.21</v>
      </c>
      <c r="F2034" s="231"/>
      <c r="G2034" s="225" t="s">
        <v>4712</v>
      </c>
      <c r="H2034" s="235">
        <f t="shared" si="60"/>
        <v>3.39</v>
      </c>
      <c r="I2034" s="241" t="s">
        <v>1731</v>
      </c>
      <c r="J2034" s="215"/>
    </row>
    <row r="2035" spans="1:10" ht="25.5" hidden="1" customHeight="1" outlineLevel="1" x14ac:dyDescent="0.2">
      <c r="A2035" s="198" t="s">
        <v>1279</v>
      </c>
      <c r="B2035" s="224" t="s">
        <v>4559</v>
      </c>
      <c r="C2035" s="225" t="s">
        <v>4527</v>
      </c>
      <c r="D2035" s="226" t="s">
        <v>11</v>
      </c>
      <c r="E2035" s="227">
        <v>2.75</v>
      </c>
      <c r="F2035" s="227"/>
      <c r="G2035" s="225" t="s">
        <v>4772</v>
      </c>
      <c r="H2035" s="235">
        <f t="shared" si="60"/>
        <v>6</v>
      </c>
      <c r="J2035" s="215"/>
    </row>
    <row r="2036" spans="1:10" ht="25.5" hidden="1" customHeight="1" outlineLevel="1" x14ac:dyDescent="0.2">
      <c r="A2036" s="198" t="s">
        <v>1279</v>
      </c>
      <c r="B2036" s="228" t="s">
        <v>4560</v>
      </c>
      <c r="C2036" s="229" t="s">
        <v>4528</v>
      </c>
      <c r="D2036" s="230" t="s">
        <v>11</v>
      </c>
      <c r="E2036" s="231">
        <v>4.47</v>
      </c>
      <c r="F2036" s="231"/>
      <c r="J2036" s="215"/>
    </row>
    <row r="2037" spans="1:10" ht="12.75" hidden="1" customHeight="1" outlineLevel="1" x14ac:dyDescent="0.2">
      <c r="A2037" s="198" t="s">
        <v>1279</v>
      </c>
      <c r="B2037" s="224" t="s">
        <v>4561</v>
      </c>
      <c r="C2037" s="225" t="s">
        <v>4529</v>
      </c>
      <c r="D2037" s="226" t="s">
        <v>11</v>
      </c>
      <c r="E2037" s="227">
        <v>3.62</v>
      </c>
      <c r="F2037" s="227"/>
      <c r="J2037" s="215"/>
    </row>
    <row r="2038" spans="1:10" ht="25.5" hidden="1" customHeight="1" outlineLevel="1" x14ac:dyDescent="0.2">
      <c r="A2038" s="198" t="s">
        <v>1279</v>
      </c>
      <c r="B2038" s="228" t="s">
        <v>4562</v>
      </c>
      <c r="C2038" s="229" t="s">
        <v>4531</v>
      </c>
      <c r="D2038" s="230" t="s">
        <v>11</v>
      </c>
      <c r="E2038" s="231">
        <v>3.7</v>
      </c>
      <c r="F2038" s="231"/>
      <c r="G2038" s="520" t="s">
        <v>1732</v>
      </c>
      <c r="H2038" s="234">
        <f>H2040+H2119</f>
        <v>2196.5899999999997</v>
      </c>
      <c r="I2038" s="242" t="str">
        <f>IF(H2038=H1958,"OKAY","REVER")</f>
        <v>OKAY</v>
      </c>
      <c r="J2038" s="215"/>
    </row>
    <row r="2039" spans="1:10" ht="25.5" hidden="1" customHeight="1" outlineLevel="1" x14ac:dyDescent="0.2">
      <c r="A2039" s="198" t="s">
        <v>1279</v>
      </c>
      <c r="B2039" s="224" t="s">
        <v>4563</v>
      </c>
      <c r="C2039" s="225" t="s">
        <v>4533</v>
      </c>
      <c r="D2039" s="226" t="s">
        <v>11</v>
      </c>
      <c r="E2039" s="227">
        <v>5.6</v>
      </c>
      <c r="F2039" s="227"/>
      <c r="G2039" s="232"/>
      <c r="H2039" s="232"/>
      <c r="I2039" s="242"/>
      <c r="J2039" s="215"/>
    </row>
    <row r="2040" spans="1:10" ht="12.75" hidden="1" customHeight="1" outlineLevel="1" x14ac:dyDescent="0.2">
      <c r="A2040" s="198" t="s">
        <v>1279</v>
      </c>
      <c r="B2040" s="228" t="s">
        <v>4564</v>
      </c>
      <c r="C2040" s="229" t="s">
        <v>4550</v>
      </c>
      <c r="D2040" s="230" t="s">
        <v>11</v>
      </c>
      <c r="E2040" s="231">
        <v>9.64</v>
      </c>
      <c r="F2040" s="231"/>
      <c r="G2040" s="520" t="str">
        <f>$A$1</f>
        <v>EMBASSAMENTO</v>
      </c>
      <c r="H2040" s="234">
        <f>SUM(H2041:H2117)</f>
        <v>20.86</v>
      </c>
      <c r="I2040" s="242"/>
      <c r="J2040" s="215"/>
    </row>
    <row r="2041" spans="1:10" ht="25.5" hidden="1" customHeight="1" outlineLevel="1" x14ac:dyDescent="0.2">
      <c r="A2041" s="198" t="s">
        <v>1279</v>
      </c>
      <c r="B2041" s="224" t="s">
        <v>4565</v>
      </c>
      <c r="C2041" s="225" t="s">
        <v>4535</v>
      </c>
      <c r="D2041" s="226" t="s">
        <v>11</v>
      </c>
      <c r="E2041" s="227">
        <v>3.93</v>
      </c>
      <c r="F2041" s="227"/>
      <c r="G2041" s="229" t="s">
        <v>4483</v>
      </c>
      <c r="H2041" s="235">
        <f t="shared" ref="H2041:H2072" si="61">SUMIFS($E:$E,$C:$C,G2041,$A:$A,$G$22)</f>
        <v>0</v>
      </c>
      <c r="I2041" s="242"/>
      <c r="J2041" s="215"/>
    </row>
    <row r="2042" spans="1:10" ht="25.5" hidden="1" customHeight="1" outlineLevel="1" x14ac:dyDescent="0.2">
      <c r="A2042" s="198" t="s">
        <v>1279</v>
      </c>
      <c r="B2042" s="216" t="s">
        <v>4566</v>
      </c>
      <c r="C2042" s="217" t="s">
        <v>2965</v>
      </c>
      <c r="D2042" s="218"/>
      <c r="E2042" s="219"/>
      <c r="F2042" s="219"/>
      <c r="G2042" s="225" t="s">
        <v>4484</v>
      </c>
      <c r="H2042" s="235">
        <f t="shared" si="61"/>
        <v>0</v>
      </c>
      <c r="J2042" s="215"/>
    </row>
    <row r="2043" spans="1:10" ht="12.75" hidden="1" customHeight="1" outlineLevel="1" x14ac:dyDescent="0.2">
      <c r="A2043" s="198" t="s">
        <v>1279</v>
      </c>
      <c r="B2043" s="228" t="s">
        <v>4567</v>
      </c>
      <c r="C2043" s="229" t="s">
        <v>4512</v>
      </c>
      <c r="D2043" s="230" t="s">
        <v>11</v>
      </c>
      <c r="E2043" s="231">
        <v>44.04</v>
      </c>
      <c r="F2043" s="231"/>
      <c r="G2043" s="229" t="s">
        <v>4485</v>
      </c>
      <c r="H2043" s="235">
        <f t="shared" si="61"/>
        <v>0</v>
      </c>
      <c r="J2043" s="215"/>
    </row>
    <row r="2044" spans="1:10" ht="12.75" hidden="1" customHeight="1" outlineLevel="1" x14ac:dyDescent="0.2">
      <c r="A2044" s="198" t="s">
        <v>1279</v>
      </c>
      <c r="B2044" s="224" t="s">
        <v>4568</v>
      </c>
      <c r="C2044" s="225" t="s">
        <v>4513</v>
      </c>
      <c r="D2044" s="226" t="s">
        <v>11</v>
      </c>
      <c r="E2044" s="227">
        <v>2.2799999999999998</v>
      </c>
      <c r="F2044" s="227"/>
      <c r="G2044" s="225" t="s">
        <v>4486</v>
      </c>
      <c r="H2044" s="235">
        <f t="shared" si="61"/>
        <v>0</v>
      </c>
      <c r="J2044" s="215"/>
    </row>
    <row r="2045" spans="1:10" ht="25.5" hidden="1" customHeight="1" outlineLevel="1" x14ac:dyDescent="0.2">
      <c r="A2045" s="198" t="s">
        <v>1279</v>
      </c>
      <c r="B2045" s="228" t="s">
        <v>4569</v>
      </c>
      <c r="C2045" s="229" t="s">
        <v>4517</v>
      </c>
      <c r="D2045" s="230" t="s">
        <v>11</v>
      </c>
      <c r="E2045" s="231">
        <v>27.98</v>
      </c>
      <c r="F2045" s="231"/>
      <c r="G2045" s="229" t="s">
        <v>4487</v>
      </c>
      <c r="H2045" s="235">
        <f t="shared" si="61"/>
        <v>0</v>
      </c>
      <c r="J2045" s="215"/>
    </row>
    <row r="2046" spans="1:10" ht="25.5" hidden="1" customHeight="1" outlineLevel="1" x14ac:dyDescent="0.2">
      <c r="A2046" s="198" t="s">
        <v>1279</v>
      </c>
      <c r="B2046" s="224" t="s">
        <v>4570</v>
      </c>
      <c r="C2046" s="225" t="s">
        <v>4522</v>
      </c>
      <c r="D2046" s="226" t="s">
        <v>11</v>
      </c>
      <c r="E2046" s="227">
        <v>3.35</v>
      </c>
      <c r="F2046" s="227"/>
      <c r="G2046" s="225" t="s">
        <v>4488</v>
      </c>
      <c r="H2046" s="235">
        <f t="shared" si="61"/>
        <v>0</v>
      </c>
      <c r="J2046" s="215"/>
    </row>
    <row r="2047" spans="1:10" ht="25.5" hidden="1" customHeight="1" outlineLevel="1" x14ac:dyDescent="0.2">
      <c r="A2047" s="198" t="s">
        <v>1279</v>
      </c>
      <c r="B2047" s="228" t="s">
        <v>4571</v>
      </c>
      <c r="C2047" s="229" t="s">
        <v>4539</v>
      </c>
      <c r="D2047" s="230" t="s">
        <v>11</v>
      </c>
      <c r="E2047" s="231">
        <v>5.0599999999999996</v>
      </c>
      <c r="F2047" s="231"/>
      <c r="G2047" s="229" t="s">
        <v>4489</v>
      </c>
      <c r="H2047" s="235">
        <f t="shared" si="61"/>
        <v>0</v>
      </c>
      <c r="J2047" s="215"/>
    </row>
    <row r="2048" spans="1:10" ht="25.5" hidden="1" customHeight="1" outlineLevel="1" x14ac:dyDescent="0.2">
      <c r="A2048" s="198" t="s">
        <v>1279</v>
      </c>
      <c r="B2048" s="224" t="s">
        <v>4572</v>
      </c>
      <c r="C2048" s="225" t="s">
        <v>4541</v>
      </c>
      <c r="D2048" s="226" t="s">
        <v>11</v>
      </c>
      <c r="E2048" s="227">
        <v>4.47</v>
      </c>
      <c r="F2048" s="227"/>
      <c r="G2048" s="225" t="s">
        <v>4490</v>
      </c>
      <c r="H2048" s="235">
        <f t="shared" si="61"/>
        <v>0</v>
      </c>
      <c r="J2048" s="215"/>
    </row>
    <row r="2049" spans="1:10" ht="12.75" hidden="1" customHeight="1" outlineLevel="1" x14ac:dyDescent="0.2">
      <c r="A2049" s="198" t="s">
        <v>1279</v>
      </c>
      <c r="B2049" s="228" t="s">
        <v>4573</v>
      </c>
      <c r="C2049" s="229" t="s">
        <v>4543</v>
      </c>
      <c r="D2049" s="230" t="s">
        <v>11</v>
      </c>
      <c r="E2049" s="231">
        <v>2.75</v>
      </c>
      <c r="F2049" s="231"/>
      <c r="G2049" s="229" t="s">
        <v>4491</v>
      </c>
      <c r="H2049" s="235">
        <f t="shared" si="61"/>
        <v>0</v>
      </c>
      <c r="J2049" s="215"/>
    </row>
    <row r="2050" spans="1:10" ht="12.75" hidden="1" customHeight="1" outlineLevel="1" x14ac:dyDescent="0.2">
      <c r="A2050" s="198" t="s">
        <v>1279</v>
      </c>
      <c r="B2050" s="224" t="s">
        <v>4574</v>
      </c>
      <c r="C2050" s="225" t="s">
        <v>4545</v>
      </c>
      <c r="D2050" s="226" t="s">
        <v>11</v>
      </c>
      <c r="E2050" s="227">
        <v>2.82</v>
      </c>
      <c r="F2050" s="227"/>
      <c r="G2050" s="225" t="s">
        <v>4492</v>
      </c>
      <c r="H2050" s="235">
        <f t="shared" si="61"/>
        <v>0</v>
      </c>
      <c r="J2050" s="215"/>
    </row>
    <row r="2051" spans="1:10" ht="25.5" hidden="1" customHeight="1" outlineLevel="1" x14ac:dyDescent="0.2">
      <c r="A2051" s="198" t="s">
        <v>1279</v>
      </c>
      <c r="B2051" s="228" t="s">
        <v>4575</v>
      </c>
      <c r="C2051" s="229" t="s">
        <v>4547</v>
      </c>
      <c r="D2051" s="230" t="s">
        <v>11</v>
      </c>
      <c r="E2051" s="231">
        <v>3.38</v>
      </c>
      <c r="F2051" s="231"/>
      <c r="G2051" s="229" t="s">
        <v>4493</v>
      </c>
      <c r="H2051" s="235">
        <f t="shared" si="61"/>
        <v>0</v>
      </c>
      <c r="J2051" s="215"/>
    </row>
    <row r="2052" spans="1:10" ht="25.5" hidden="1" customHeight="1" outlineLevel="1" x14ac:dyDescent="0.2">
      <c r="A2052" s="198" t="s">
        <v>1279</v>
      </c>
      <c r="B2052" s="224" t="s">
        <v>4576</v>
      </c>
      <c r="C2052" s="225" t="s">
        <v>4533</v>
      </c>
      <c r="D2052" s="226" t="s">
        <v>11</v>
      </c>
      <c r="E2052" s="227">
        <v>5.6</v>
      </c>
      <c r="F2052" s="227"/>
      <c r="G2052" s="225" t="s">
        <v>4494</v>
      </c>
      <c r="H2052" s="235">
        <f t="shared" si="61"/>
        <v>0</v>
      </c>
      <c r="J2052" s="215"/>
    </row>
    <row r="2053" spans="1:10" ht="25.5" hidden="1" customHeight="1" outlineLevel="1" x14ac:dyDescent="0.2">
      <c r="A2053" s="198" t="s">
        <v>1279</v>
      </c>
      <c r="B2053" s="228" t="s">
        <v>4577</v>
      </c>
      <c r="C2053" s="229" t="s">
        <v>4550</v>
      </c>
      <c r="D2053" s="230" t="s">
        <v>11</v>
      </c>
      <c r="E2053" s="231">
        <v>9.64</v>
      </c>
      <c r="F2053" s="231"/>
      <c r="G2053" s="229" t="s">
        <v>4496</v>
      </c>
      <c r="H2053" s="235">
        <f t="shared" si="61"/>
        <v>0</v>
      </c>
      <c r="J2053" s="215"/>
    </row>
    <row r="2054" spans="1:10" ht="12.75" hidden="1" customHeight="1" outlineLevel="1" x14ac:dyDescent="0.2">
      <c r="A2054" s="198" t="s">
        <v>1279</v>
      </c>
      <c r="B2054" s="224" t="s">
        <v>4578</v>
      </c>
      <c r="C2054" s="225" t="s">
        <v>4535</v>
      </c>
      <c r="D2054" s="226" t="s">
        <v>11</v>
      </c>
      <c r="E2054" s="227">
        <v>5.2</v>
      </c>
      <c r="F2054" s="227"/>
      <c r="G2054" s="225" t="s">
        <v>4498</v>
      </c>
      <c r="H2054" s="235">
        <f t="shared" si="61"/>
        <v>0</v>
      </c>
      <c r="J2054" s="215"/>
    </row>
    <row r="2055" spans="1:10" ht="12.75" hidden="1" customHeight="1" outlineLevel="1" x14ac:dyDescent="0.2">
      <c r="A2055" s="198" t="s">
        <v>1279</v>
      </c>
      <c r="B2055" s="216" t="s">
        <v>4579</v>
      </c>
      <c r="C2055" s="217" t="s">
        <v>2966</v>
      </c>
      <c r="D2055" s="218"/>
      <c r="E2055" s="219"/>
      <c r="F2055" s="219"/>
      <c r="G2055" s="229" t="s">
        <v>4500</v>
      </c>
      <c r="H2055" s="235">
        <f t="shared" si="61"/>
        <v>0</v>
      </c>
      <c r="J2055" s="215"/>
    </row>
    <row r="2056" spans="1:10" ht="25.5" hidden="1" customHeight="1" outlineLevel="1" x14ac:dyDescent="0.2">
      <c r="A2056" s="198" t="s">
        <v>1279</v>
      </c>
      <c r="B2056" s="228" t="s">
        <v>4580</v>
      </c>
      <c r="C2056" s="229" t="s">
        <v>4512</v>
      </c>
      <c r="D2056" s="230" t="s">
        <v>11</v>
      </c>
      <c r="E2056" s="231">
        <v>44.04</v>
      </c>
      <c r="F2056" s="231"/>
      <c r="G2056" s="225" t="s">
        <v>4502</v>
      </c>
      <c r="H2056" s="235">
        <f t="shared" si="61"/>
        <v>0</v>
      </c>
      <c r="J2056" s="215"/>
    </row>
    <row r="2057" spans="1:10" ht="25.5" hidden="1" customHeight="1" outlineLevel="1" x14ac:dyDescent="0.2">
      <c r="A2057" s="198" t="s">
        <v>1279</v>
      </c>
      <c r="B2057" s="224" t="s">
        <v>4581</v>
      </c>
      <c r="C2057" s="225" t="s">
        <v>4513</v>
      </c>
      <c r="D2057" s="226" t="s">
        <v>11</v>
      </c>
      <c r="E2057" s="227">
        <v>1.52</v>
      </c>
      <c r="F2057" s="227"/>
      <c r="G2057" s="229" t="s">
        <v>4504</v>
      </c>
      <c r="H2057" s="235">
        <f t="shared" si="61"/>
        <v>0</v>
      </c>
      <c r="J2057" s="215"/>
    </row>
    <row r="2058" spans="1:10" ht="25.5" hidden="1" customHeight="1" outlineLevel="1" x14ac:dyDescent="0.2">
      <c r="A2058" s="198" t="s">
        <v>1279</v>
      </c>
      <c r="B2058" s="228" t="s">
        <v>4582</v>
      </c>
      <c r="C2058" s="229" t="s">
        <v>4517</v>
      </c>
      <c r="D2058" s="230" t="s">
        <v>11</v>
      </c>
      <c r="E2058" s="231">
        <v>27.98</v>
      </c>
      <c r="F2058" s="231"/>
      <c r="G2058" s="225" t="s">
        <v>4506</v>
      </c>
      <c r="H2058" s="235">
        <f t="shared" si="61"/>
        <v>0</v>
      </c>
      <c r="J2058" s="215"/>
    </row>
    <row r="2059" spans="1:10" ht="25.5" hidden="1" customHeight="1" outlineLevel="1" x14ac:dyDescent="0.2">
      <c r="A2059" s="198" t="s">
        <v>1279</v>
      </c>
      <c r="B2059" s="224" t="s">
        <v>4583</v>
      </c>
      <c r="C2059" s="225" t="s">
        <v>4522</v>
      </c>
      <c r="D2059" s="226" t="s">
        <v>11</v>
      </c>
      <c r="E2059" s="227">
        <v>6.69</v>
      </c>
      <c r="F2059" s="227"/>
      <c r="G2059" s="229" t="s">
        <v>4508</v>
      </c>
      <c r="H2059" s="235">
        <f t="shared" si="61"/>
        <v>0</v>
      </c>
      <c r="J2059" s="215"/>
    </row>
    <row r="2060" spans="1:10" ht="12.75" hidden="1" customHeight="1" outlineLevel="1" x14ac:dyDescent="0.2">
      <c r="A2060" s="198" t="s">
        <v>1279</v>
      </c>
      <c r="B2060" s="228" t="s">
        <v>4584</v>
      </c>
      <c r="C2060" s="229" t="s">
        <v>4525</v>
      </c>
      <c r="D2060" s="230" t="s">
        <v>11</v>
      </c>
      <c r="E2060" s="231">
        <v>5.57</v>
      </c>
      <c r="F2060" s="231"/>
      <c r="G2060" s="225" t="s">
        <v>4511</v>
      </c>
      <c r="H2060" s="235">
        <f t="shared" si="61"/>
        <v>0</v>
      </c>
      <c r="J2060" s="215"/>
    </row>
    <row r="2061" spans="1:10" ht="12.75" hidden="1" customHeight="1" outlineLevel="1" x14ac:dyDescent="0.2">
      <c r="A2061" s="198" t="s">
        <v>1279</v>
      </c>
      <c r="B2061" s="224" t="s">
        <v>4585</v>
      </c>
      <c r="C2061" s="225" t="s">
        <v>4526</v>
      </c>
      <c r="D2061" s="226" t="s">
        <v>11</v>
      </c>
      <c r="E2061" s="227">
        <v>7.21</v>
      </c>
      <c r="F2061" s="227"/>
      <c r="G2061" s="229" t="s">
        <v>4512</v>
      </c>
      <c r="H2061" s="235">
        <f t="shared" si="61"/>
        <v>0</v>
      </c>
      <c r="J2061" s="215"/>
    </row>
    <row r="2062" spans="1:10" ht="25.5" hidden="1" customHeight="1" outlineLevel="1" x14ac:dyDescent="0.2">
      <c r="A2062" s="198" t="s">
        <v>1279</v>
      </c>
      <c r="B2062" s="228" t="s">
        <v>4586</v>
      </c>
      <c r="C2062" s="229" t="s">
        <v>4527</v>
      </c>
      <c r="D2062" s="230" t="s">
        <v>11</v>
      </c>
      <c r="E2062" s="231">
        <v>2.75</v>
      </c>
      <c r="F2062" s="231"/>
      <c r="G2062" s="225" t="s">
        <v>4513</v>
      </c>
      <c r="H2062" s="235">
        <f t="shared" si="61"/>
        <v>0</v>
      </c>
      <c r="J2062" s="215"/>
    </row>
    <row r="2063" spans="1:10" ht="25.5" hidden="1" customHeight="1" outlineLevel="1" x14ac:dyDescent="0.2">
      <c r="A2063" s="198" t="s">
        <v>1279</v>
      </c>
      <c r="B2063" s="224" t="s">
        <v>4587</v>
      </c>
      <c r="C2063" s="225" t="s">
        <v>4528</v>
      </c>
      <c r="D2063" s="226" t="s">
        <v>11</v>
      </c>
      <c r="E2063" s="227">
        <v>4.47</v>
      </c>
      <c r="F2063" s="227"/>
      <c r="G2063" s="229" t="s">
        <v>4514</v>
      </c>
      <c r="H2063" s="235">
        <f t="shared" si="61"/>
        <v>0</v>
      </c>
      <c r="J2063" s="215"/>
    </row>
    <row r="2064" spans="1:10" ht="25.5" hidden="1" customHeight="1" outlineLevel="1" x14ac:dyDescent="0.2">
      <c r="A2064" s="198" t="s">
        <v>1279</v>
      </c>
      <c r="B2064" s="228" t="s">
        <v>4588</v>
      </c>
      <c r="C2064" s="229" t="s">
        <v>4529</v>
      </c>
      <c r="D2064" s="230" t="s">
        <v>11</v>
      </c>
      <c r="E2064" s="231">
        <v>3.62</v>
      </c>
      <c r="F2064" s="231"/>
      <c r="G2064" s="225" t="s">
        <v>4515</v>
      </c>
      <c r="H2064" s="235">
        <f t="shared" si="61"/>
        <v>0</v>
      </c>
      <c r="J2064" s="215"/>
    </row>
    <row r="2065" spans="1:10" ht="12.75" hidden="1" customHeight="1" outlineLevel="1" x14ac:dyDescent="0.2">
      <c r="A2065" s="198" t="s">
        <v>1279</v>
      </c>
      <c r="B2065" s="224" t="s">
        <v>4589</v>
      </c>
      <c r="C2065" s="225" t="s">
        <v>4531</v>
      </c>
      <c r="D2065" s="226" t="s">
        <v>11</v>
      </c>
      <c r="E2065" s="227">
        <v>3.7</v>
      </c>
      <c r="F2065" s="227"/>
      <c r="G2065" s="229" t="s">
        <v>4516</v>
      </c>
      <c r="H2065" s="235">
        <f t="shared" si="61"/>
        <v>0</v>
      </c>
      <c r="J2065" s="215"/>
    </row>
    <row r="2066" spans="1:10" ht="12.75" hidden="1" customHeight="1" outlineLevel="1" x14ac:dyDescent="0.2">
      <c r="A2066" s="198" t="s">
        <v>1279</v>
      </c>
      <c r="B2066" s="228" t="s">
        <v>4590</v>
      </c>
      <c r="C2066" s="229" t="s">
        <v>4533</v>
      </c>
      <c r="D2066" s="230" t="s">
        <v>11</v>
      </c>
      <c r="E2066" s="231">
        <v>5.6</v>
      </c>
      <c r="F2066" s="231"/>
      <c r="G2066" s="225" t="s">
        <v>4517</v>
      </c>
      <c r="H2066" s="235">
        <f t="shared" si="61"/>
        <v>0</v>
      </c>
      <c r="J2066" s="215"/>
    </row>
    <row r="2067" spans="1:10" ht="25.5" hidden="1" customHeight="1" outlineLevel="1" x14ac:dyDescent="0.2">
      <c r="A2067" s="198" t="s">
        <v>1279</v>
      </c>
      <c r="B2067" s="224" t="s">
        <v>4591</v>
      </c>
      <c r="C2067" s="225" t="s">
        <v>4550</v>
      </c>
      <c r="D2067" s="226" t="s">
        <v>11</v>
      </c>
      <c r="E2067" s="227">
        <v>9.64</v>
      </c>
      <c r="F2067" s="227"/>
      <c r="G2067" s="229" t="s">
        <v>4518</v>
      </c>
      <c r="H2067" s="235">
        <f t="shared" si="61"/>
        <v>0</v>
      </c>
      <c r="J2067" s="215"/>
    </row>
    <row r="2068" spans="1:10" ht="25.5" hidden="1" customHeight="1" outlineLevel="1" x14ac:dyDescent="0.2">
      <c r="A2068" s="198" t="s">
        <v>1279</v>
      </c>
      <c r="B2068" s="228" t="s">
        <v>4592</v>
      </c>
      <c r="C2068" s="229" t="s">
        <v>4535</v>
      </c>
      <c r="D2068" s="230" t="s">
        <v>11</v>
      </c>
      <c r="E2068" s="231">
        <v>3.85</v>
      </c>
      <c r="F2068" s="231"/>
      <c r="G2068" s="225" t="s">
        <v>4520</v>
      </c>
      <c r="H2068" s="235">
        <f t="shared" si="61"/>
        <v>0</v>
      </c>
      <c r="J2068" s="215"/>
    </row>
    <row r="2069" spans="1:10" ht="25.5" hidden="1" customHeight="1" outlineLevel="1" x14ac:dyDescent="0.2">
      <c r="A2069" s="198" t="s">
        <v>1279</v>
      </c>
      <c r="B2069" s="216" t="s">
        <v>4593</v>
      </c>
      <c r="C2069" s="217" t="s">
        <v>2967</v>
      </c>
      <c r="D2069" s="218"/>
      <c r="E2069" s="219"/>
      <c r="F2069" s="219"/>
      <c r="G2069" s="229" t="s">
        <v>4522</v>
      </c>
      <c r="H2069" s="235">
        <f t="shared" si="61"/>
        <v>0</v>
      </c>
      <c r="J2069" s="215"/>
    </row>
    <row r="2070" spans="1:10" ht="12.75" hidden="1" customHeight="1" outlineLevel="1" x14ac:dyDescent="0.2">
      <c r="A2070" s="198" t="s">
        <v>1279</v>
      </c>
      <c r="B2070" s="224" t="s">
        <v>4594</v>
      </c>
      <c r="C2070" s="225" t="s">
        <v>4512</v>
      </c>
      <c r="D2070" s="226" t="s">
        <v>11</v>
      </c>
      <c r="E2070" s="227">
        <v>44.04</v>
      </c>
      <c r="F2070" s="227"/>
      <c r="G2070" s="225" t="s">
        <v>4524</v>
      </c>
      <c r="H2070" s="235">
        <f t="shared" si="61"/>
        <v>0</v>
      </c>
      <c r="J2070" s="215"/>
    </row>
    <row r="2071" spans="1:10" ht="25.5" hidden="1" customHeight="1" outlineLevel="1" x14ac:dyDescent="0.2">
      <c r="A2071" s="198" t="s">
        <v>1279</v>
      </c>
      <c r="B2071" s="228" t="s">
        <v>4595</v>
      </c>
      <c r="C2071" s="229" t="s">
        <v>4513</v>
      </c>
      <c r="D2071" s="230" t="s">
        <v>11</v>
      </c>
      <c r="E2071" s="231">
        <v>2.2799999999999998</v>
      </c>
      <c r="F2071" s="231"/>
      <c r="G2071" s="229" t="s">
        <v>4525</v>
      </c>
      <c r="H2071" s="235">
        <f t="shared" si="61"/>
        <v>0</v>
      </c>
      <c r="J2071" s="215"/>
    </row>
    <row r="2072" spans="1:10" ht="12.75" hidden="1" customHeight="1" outlineLevel="1" x14ac:dyDescent="0.2">
      <c r="A2072" s="198" t="s">
        <v>1279</v>
      </c>
      <c r="B2072" s="224" t="s">
        <v>4596</v>
      </c>
      <c r="C2072" s="225" t="s">
        <v>4517</v>
      </c>
      <c r="D2072" s="226" t="s">
        <v>11</v>
      </c>
      <c r="E2072" s="227">
        <v>27.98</v>
      </c>
      <c r="F2072" s="227"/>
      <c r="G2072" s="225" t="s">
        <v>4526</v>
      </c>
      <c r="H2072" s="235">
        <f t="shared" si="61"/>
        <v>0</v>
      </c>
      <c r="J2072" s="215"/>
    </row>
    <row r="2073" spans="1:10" ht="25.5" hidden="1" customHeight="1" outlineLevel="1" x14ac:dyDescent="0.2">
      <c r="A2073" s="198" t="s">
        <v>1279</v>
      </c>
      <c r="B2073" s="228" t="s">
        <v>4597</v>
      </c>
      <c r="C2073" s="229" t="s">
        <v>4522</v>
      </c>
      <c r="D2073" s="230" t="s">
        <v>11</v>
      </c>
      <c r="E2073" s="231">
        <v>3.35</v>
      </c>
      <c r="F2073" s="231"/>
      <c r="G2073" s="229" t="s">
        <v>4527</v>
      </c>
      <c r="H2073" s="235">
        <f t="shared" ref="H2073:H2104" si="62">SUMIFS($E:$E,$C:$C,G2073,$A:$A,$G$22)</f>
        <v>0</v>
      </c>
      <c r="J2073" s="215"/>
    </row>
    <row r="2074" spans="1:10" ht="25.5" hidden="1" customHeight="1" outlineLevel="1" x14ac:dyDescent="0.2">
      <c r="A2074" s="198" t="s">
        <v>1279</v>
      </c>
      <c r="B2074" s="224" t="s">
        <v>4598</v>
      </c>
      <c r="C2074" s="225" t="s">
        <v>4539</v>
      </c>
      <c r="D2074" s="226" t="s">
        <v>11</v>
      </c>
      <c r="E2074" s="227">
        <v>5.0599999999999996</v>
      </c>
      <c r="F2074" s="227"/>
      <c r="G2074" s="225" t="s">
        <v>4700</v>
      </c>
      <c r="H2074" s="235">
        <f t="shared" si="62"/>
        <v>0</v>
      </c>
      <c r="J2074" s="215"/>
    </row>
    <row r="2075" spans="1:10" ht="25.5" hidden="1" customHeight="1" outlineLevel="1" x14ac:dyDescent="0.2">
      <c r="A2075" s="198" t="s">
        <v>1279</v>
      </c>
      <c r="B2075" s="228" t="s">
        <v>4599</v>
      </c>
      <c r="C2075" s="229" t="s">
        <v>4541</v>
      </c>
      <c r="D2075" s="230" t="s">
        <v>11</v>
      </c>
      <c r="E2075" s="231">
        <v>4.47</v>
      </c>
      <c r="F2075" s="231"/>
      <c r="G2075" s="229" t="s">
        <v>4539</v>
      </c>
      <c r="H2075" s="235">
        <f t="shared" si="62"/>
        <v>0</v>
      </c>
      <c r="J2075" s="215"/>
    </row>
    <row r="2076" spans="1:10" ht="25.5" hidden="1" customHeight="1" outlineLevel="1" x14ac:dyDescent="0.2">
      <c r="A2076" s="198" t="s">
        <v>1279</v>
      </c>
      <c r="B2076" s="224" t="s">
        <v>4600</v>
      </c>
      <c r="C2076" s="225" t="s">
        <v>4543</v>
      </c>
      <c r="D2076" s="226" t="s">
        <v>11</v>
      </c>
      <c r="E2076" s="227">
        <v>2.75</v>
      </c>
      <c r="F2076" s="227"/>
      <c r="G2076" s="225" t="s">
        <v>4541</v>
      </c>
      <c r="H2076" s="235">
        <f t="shared" si="62"/>
        <v>0</v>
      </c>
      <c r="J2076" s="215"/>
    </row>
    <row r="2077" spans="1:10" ht="12.75" hidden="1" customHeight="1" outlineLevel="1" x14ac:dyDescent="0.2">
      <c r="A2077" s="198" t="s">
        <v>1279</v>
      </c>
      <c r="B2077" s="228" t="s">
        <v>4601</v>
      </c>
      <c r="C2077" s="229" t="s">
        <v>4545</v>
      </c>
      <c r="D2077" s="230" t="s">
        <v>11</v>
      </c>
      <c r="E2077" s="231">
        <v>2.82</v>
      </c>
      <c r="F2077" s="231"/>
      <c r="G2077" s="229" t="s">
        <v>4703</v>
      </c>
      <c r="H2077" s="235">
        <f t="shared" si="62"/>
        <v>0</v>
      </c>
      <c r="J2077" s="215"/>
    </row>
    <row r="2078" spans="1:10" ht="12.75" hidden="1" customHeight="1" outlineLevel="1" x14ac:dyDescent="0.2">
      <c r="A2078" s="198" t="s">
        <v>1279</v>
      </c>
      <c r="B2078" s="224" t="s">
        <v>4602</v>
      </c>
      <c r="C2078" s="225" t="s">
        <v>4547</v>
      </c>
      <c r="D2078" s="226" t="s">
        <v>11</v>
      </c>
      <c r="E2078" s="227">
        <v>3.38</v>
      </c>
      <c r="F2078" s="227"/>
      <c r="G2078" s="225" t="s">
        <v>4528</v>
      </c>
      <c r="H2078" s="235">
        <f t="shared" si="62"/>
        <v>0</v>
      </c>
      <c r="J2078" s="215"/>
    </row>
    <row r="2079" spans="1:10" ht="25.5" hidden="1" customHeight="1" outlineLevel="1" x14ac:dyDescent="0.2">
      <c r="A2079" s="198" t="s">
        <v>1279</v>
      </c>
      <c r="B2079" s="228" t="s">
        <v>4603</v>
      </c>
      <c r="C2079" s="229" t="s">
        <v>4533</v>
      </c>
      <c r="D2079" s="230" t="s">
        <v>11</v>
      </c>
      <c r="E2079" s="231">
        <v>5.6</v>
      </c>
      <c r="F2079" s="231"/>
      <c r="G2079" s="229" t="s">
        <v>4705</v>
      </c>
      <c r="H2079" s="235">
        <f t="shared" si="62"/>
        <v>0</v>
      </c>
      <c r="J2079" s="215"/>
    </row>
    <row r="2080" spans="1:10" ht="25.5" hidden="1" customHeight="1" outlineLevel="1" x14ac:dyDescent="0.2">
      <c r="A2080" s="198" t="s">
        <v>1279</v>
      </c>
      <c r="B2080" s="224" t="s">
        <v>4604</v>
      </c>
      <c r="C2080" s="225" t="s">
        <v>4550</v>
      </c>
      <c r="D2080" s="226" t="s">
        <v>11</v>
      </c>
      <c r="E2080" s="227">
        <v>9.64</v>
      </c>
      <c r="F2080" s="227"/>
      <c r="G2080" s="225" t="s">
        <v>4543</v>
      </c>
      <c r="H2080" s="235">
        <f t="shared" si="62"/>
        <v>0</v>
      </c>
      <c r="J2080" s="215"/>
    </row>
    <row r="2081" spans="1:10" ht="25.5" hidden="1" customHeight="1" outlineLevel="1" x14ac:dyDescent="0.2">
      <c r="A2081" s="198" t="s">
        <v>1279</v>
      </c>
      <c r="B2081" s="228" t="s">
        <v>4605</v>
      </c>
      <c r="C2081" s="229" t="s">
        <v>4535</v>
      </c>
      <c r="D2081" s="230" t="s">
        <v>11</v>
      </c>
      <c r="E2081" s="231">
        <v>5.2</v>
      </c>
      <c r="F2081" s="231"/>
      <c r="G2081" s="229" t="s">
        <v>4529</v>
      </c>
      <c r="H2081" s="235">
        <f t="shared" si="62"/>
        <v>0</v>
      </c>
      <c r="J2081" s="215"/>
    </row>
    <row r="2082" spans="1:10" ht="12.75" hidden="1" customHeight="1" outlineLevel="1" x14ac:dyDescent="0.2">
      <c r="A2082" s="198" t="s">
        <v>1279</v>
      </c>
      <c r="B2082" s="216" t="s">
        <v>4606</v>
      </c>
      <c r="C2082" s="217" t="s">
        <v>2968</v>
      </c>
      <c r="D2082" s="218"/>
      <c r="E2082" s="219"/>
      <c r="F2082" s="219"/>
      <c r="G2082" s="225" t="s">
        <v>4545</v>
      </c>
      <c r="H2082" s="235">
        <f t="shared" si="62"/>
        <v>0</v>
      </c>
      <c r="J2082" s="215"/>
    </row>
    <row r="2083" spans="1:10" ht="12.75" hidden="1" customHeight="1" outlineLevel="1" x14ac:dyDescent="0.2">
      <c r="A2083" s="198" t="s">
        <v>1279</v>
      </c>
      <c r="B2083" s="224" t="s">
        <v>4607</v>
      </c>
      <c r="C2083" s="225" t="s">
        <v>4512</v>
      </c>
      <c r="D2083" s="226" t="s">
        <v>11</v>
      </c>
      <c r="E2083" s="227">
        <v>44.04</v>
      </c>
      <c r="F2083" s="227"/>
      <c r="G2083" s="229" t="s">
        <v>4707</v>
      </c>
      <c r="H2083" s="235">
        <f t="shared" si="62"/>
        <v>0</v>
      </c>
      <c r="J2083" s="215"/>
    </row>
    <row r="2084" spans="1:10" ht="25.5" hidden="1" customHeight="1" outlineLevel="1" x14ac:dyDescent="0.2">
      <c r="A2084" s="198" t="s">
        <v>1279</v>
      </c>
      <c r="B2084" s="228" t="s">
        <v>4608</v>
      </c>
      <c r="C2084" s="229" t="s">
        <v>4513</v>
      </c>
      <c r="D2084" s="230" t="s">
        <v>11</v>
      </c>
      <c r="E2084" s="231">
        <v>1.52</v>
      </c>
      <c r="F2084" s="231"/>
      <c r="G2084" s="225" t="s">
        <v>4531</v>
      </c>
      <c r="H2084" s="235">
        <f t="shared" si="62"/>
        <v>0</v>
      </c>
      <c r="J2084" s="215"/>
    </row>
    <row r="2085" spans="1:10" ht="25.5" hidden="1" customHeight="1" outlineLevel="1" x14ac:dyDescent="0.2">
      <c r="A2085" s="198" t="s">
        <v>1279</v>
      </c>
      <c r="B2085" s="224" t="s">
        <v>4609</v>
      </c>
      <c r="C2085" s="225" t="s">
        <v>4517</v>
      </c>
      <c r="D2085" s="226" t="s">
        <v>11</v>
      </c>
      <c r="E2085" s="227">
        <v>27.98</v>
      </c>
      <c r="F2085" s="227"/>
      <c r="G2085" s="229" t="s">
        <v>4719</v>
      </c>
      <c r="H2085" s="235">
        <f t="shared" si="62"/>
        <v>0</v>
      </c>
      <c r="J2085" s="215"/>
    </row>
    <row r="2086" spans="1:10" ht="25.5" hidden="1" customHeight="1" outlineLevel="1" x14ac:dyDescent="0.2">
      <c r="A2086" s="198" t="s">
        <v>1279</v>
      </c>
      <c r="B2086" s="228" t="s">
        <v>4610</v>
      </c>
      <c r="C2086" s="229" t="s">
        <v>4522</v>
      </c>
      <c r="D2086" s="230" t="s">
        <v>11</v>
      </c>
      <c r="E2086" s="231">
        <v>6.69</v>
      </c>
      <c r="F2086" s="231"/>
      <c r="G2086" s="225" t="s">
        <v>4547</v>
      </c>
      <c r="H2086" s="235">
        <f t="shared" si="62"/>
        <v>0</v>
      </c>
      <c r="J2086" s="215"/>
    </row>
    <row r="2087" spans="1:10" ht="25.5" hidden="1" customHeight="1" outlineLevel="1" x14ac:dyDescent="0.2">
      <c r="A2087" s="198" t="s">
        <v>1279</v>
      </c>
      <c r="B2087" s="224" t="s">
        <v>4611</v>
      </c>
      <c r="C2087" s="225" t="s">
        <v>4525</v>
      </c>
      <c r="D2087" s="226" t="s">
        <v>11</v>
      </c>
      <c r="E2087" s="227">
        <v>5.57</v>
      </c>
      <c r="F2087" s="227"/>
      <c r="G2087" s="229" t="s">
        <v>4663</v>
      </c>
      <c r="H2087" s="235">
        <f t="shared" si="62"/>
        <v>0</v>
      </c>
      <c r="J2087" s="215"/>
    </row>
    <row r="2088" spans="1:10" ht="12.75" hidden="1" customHeight="1" outlineLevel="1" x14ac:dyDescent="0.2">
      <c r="A2088" s="198" t="s">
        <v>1279</v>
      </c>
      <c r="B2088" s="228" t="s">
        <v>4612</v>
      </c>
      <c r="C2088" s="229" t="s">
        <v>4526</v>
      </c>
      <c r="D2088" s="230" t="s">
        <v>11</v>
      </c>
      <c r="E2088" s="231">
        <v>7.21</v>
      </c>
      <c r="F2088" s="231"/>
      <c r="G2088" s="225" t="s">
        <v>4533</v>
      </c>
      <c r="H2088" s="235">
        <f t="shared" si="62"/>
        <v>0</v>
      </c>
      <c r="J2088" s="215"/>
    </row>
    <row r="2089" spans="1:10" ht="12.75" hidden="1" customHeight="1" outlineLevel="1" x14ac:dyDescent="0.2">
      <c r="A2089" s="198" t="s">
        <v>1279</v>
      </c>
      <c r="B2089" s="224" t="s">
        <v>4613</v>
      </c>
      <c r="C2089" s="225" t="s">
        <v>4527</v>
      </c>
      <c r="D2089" s="226" t="s">
        <v>11</v>
      </c>
      <c r="E2089" s="227">
        <v>2.75</v>
      </c>
      <c r="F2089" s="227"/>
      <c r="G2089" s="229" t="s">
        <v>4666</v>
      </c>
      <c r="H2089" s="235">
        <f t="shared" si="62"/>
        <v>0</v>
      </c>
      <c r="J2089" s="215"/>
    </row>
    <row r="2090" spans="1:10" ht="25.5" hidden="1" customHeight="1" outlineLevel="1" x14ac:dyDescent="0.2">
      <c r="A2090" s="198" t="s">
        <v>1279</v>
      </c>
      <c r="B2090" s="228" t="s">
        <v>4614</v>
      </c>
      <c r="C2090" s="229" t="s">
        <v>4528</v>
      </c>
      <c r="D2090" s="230" t="s">
        <v>11</v>
      </c>
      <c r="E2090" s="231">
        <v>4.47</v>
      </c>
      <c r="F2090" s="231"/>
      <c r="G2090" s="225" t="s">
        <v>4550</v>
      </c>
      <c r="H2090" s="235">
        <f t="shared" si="62"/>
        <v>0</v>
      </c>
      <c r="J2090" s="215"/>
    </row>
    <row r="2091" spans="1:10" ht="25.5" hidden="1" customHeight="1" outlineLevel="1" x14ac:dyDescent="0.2">
      <c r="A2091" s="198" t="s">
        <v>1279</v>
      </c>
      <c r="B2091" s="224" t="s">
        <v>4615</v>
      </c>
      <c r="C2091" s="225" t="s">
        <v>4529</v>
      </c>
      <c r="D2091" s="226" t="s">
        <v>11</v>
      </c>
      <c r="E2091" s="227">
        <v>3.62</v>
      </c>
      <c r="F2091" s="227"/>
      <c r="G2091" s="229" t="s">
        <v>4669</v>
      </c>
      <c r="H2091" s="235">
        <f t="shared" si="62"/>
        <v>0</v>
      </c>
      <c r="J2091" s="215"/>
    </row>
    <row r="2092" spans="1:10" ht="25.5" hidden="1" customHeight="1" outlineLevel="1" x14ac:dyDescent="0.2">
      <c r="A2092" s="198" t="s">
        <v>1279</v>
      </c>
      <c r="B2092" s="228" t="s">
        <v>4616</v>
      </c>
      <c r="C2092" s="229" t="s">
        <v>4531</v>
      </c>
      <c r="D2092" s="230" t="s">
        <v>11</v>
      </c>
      <c r="E2092" s="231">
        <v>3.7</v>
      </c>
      <c r="F2092" s="231"/>
      <c r="G2092" s="225" t="s">
        <v>4671</v>
      </c>
      <c r="H2092" s="235">
        <f t="shared" si="62"/>
        <v>0</v>
      </c>
      <c r="J2092" s="215"/>
    </row>
    <row r="2093" spans="1:10" ht="12.75" hidden="1" customHeight="1" outlineLevel="1" x14ac:dyDescent="0.2">
      <c r="A2093" s="198" t="s">
        <v>1279</v>
      </c>
      <c r="B2093" s="224" t="s">
        <v>4617</v>
      </c>
      <c r="C2093" s="225" t="s">
        <v>4533</v>
      </c>
      <c r="D2093" s="226" t="s">
        <v>11</v>
      </c>
      <c r="E2093" s="227">
        <v>5.6</v>
      </c>
      <c r="F2093" s="227"/>
      <c r="G2093" s="229" t="s">
        <v>4673</v>
      </c>
      <c r="H2093" s="235">
        <f t="shared" si="62"/>
        <v>0</v>
      </c>
      <c r="J2093" s="215"/>
    </row>
    <row r="2094" spans="1:10" ht="12.75" hidden="1" customHeight="1" outlineLevel="1" x14ac:dyDescent="0.2">
      <c r="A2094" s="198" t="s">
        <v>1279</v>
      </c>
      <c r="B2094" s="228" t="s">
        <v>4618</v>
      </c>
      <c r="C2094" s="229" t="s">
        <v>4550</v>
      </c>
      <c r="D2094" s="230" t="s">
        <v>11</v>
      </c>
      <c r="E2094" s="231">
        <v>9.64</v>
      </c>
      <c r="F2094" s="231"/>
      <c r="G2094" s="225" t="s">
        <v>4675</v>
      </c>
      <c r="H2094" s="235">
        <f t="shared" si="62"/>
        <v>0</v>
      </c>
      <c r="J2094" s="215"/>
    </row>
    <row r="2095" spans="1:10" ht="25.5" hidden="1" customHeight="1" outlineLevel="1" x14ac:dyDescent="0.2">
      <c r="A2095" s="198" t="s">
        <v>1279</v>
      </c>
      <c r="B2095" s="224" t="s">
        <v>4619</v>
      </c>
      <c r="C2095" s="225" t="s">
        <v>4535</v>
      </c>
      <c r="D2095" s="226" t="s">
        <v>11</v>
      </c>
      <c r="E2095" s="227">
        <v>3.85</v>
      </c>
      <c r="F2095" s="227"/>
      <c r="G2095" s="229" t="s">
        <v>4677</v>
      </c>
      <c r="H2095" s="235">
        <f t="shared" si="62"/>
        <v>0</v>
      </c>
      <c r="J2095" s="215"/>
    </row>
    <row r="2096" spans="1:10" ht="25.5" hidden="1" customHeight="1" outlineLevel="1" x14ac:dyDescent="0.2">
      <c r="A2096" s="198" t="s">
        <v>1279</v>
      </c>
      <c r="B2096" s="216" t="s">
        <v>4620</v>
      </c>
      <c r="C2096" s="217" t="s">
        <v>2969</v>
      </c>
      <c r="D2096" s="218"/>
      <c r="E2096" s="219"/>
      <c r="F2096" s="219"/>
      <c r="G2096" s="225" t="s">
        <v>4679</v>
      </c>
      <c r="H2096" s="235">
        <f t="shared" si="62"/>
        <v>0</v>
      </c>
      <c r="J2096" s="215"/>
    </row>
    <row r="2097" spans="1:10" ht="25.5" hidden="1" customHeight="1" outlineLevel="1" x14ac:dyDescent="0.2">
      <c r="A2097" s="198" t="s">
        <v>1279</v>
      </c>
      <c r="B2097" s="228" t="s">
        <v>4621</v>
      </c>
      <c r="C2097" s="229" t="s">
        <v>4512</v>
      </c>
      <c r="D2097" s="230" t="s">
        <v>11</v>
      </c>
      <c r="E2097" s="231">
        <v>44.04</v>
      </c>
      <c r="F2097" s="231"/>
      <c r="G2097" s="229" t="s">
        <v>4681</v>
      </c>
      <c r="H2097" s="235">
        <f t="shared" si="62"/>
        <v>0</v>
      </c>
      <c r="J2097" s="215"/>
    </row>
    <row r="2098" spans="1:10" ht="25.5" hidden="1" customHeight="1" outlineLevel="1" x14ac:dyDescent="0.2">
      <c r="A2098" s="198" t="s">
        <v>1279</v>
      </c>
      <c r="B2098" s="224" t="s">
        <v>4622</v>
      </c>
      <c r="C2098" s="225" t="s">
        <v>4513</v>
      </c>
      <c r="D2098" s="226" t="s">
        <v>11</v>
      </c>
      <c r="E2098" s="227">
        <v>2.2799999999999998</v>
      </c>
      <c r="F2098" s="227"/>
      <c r="G2098" s="225" t="s">
        <v>4683</v>
      </c>
      <c r="H2098" s="235">
        <f t="shared" si="62"/>
        <v>0</v>
      </c>
      <c r="J2098" s="215"/>
    </row>
    <row r="2099" spans="1:10" ht="12.75" hidden="1" customHeight="1" outlineLevel="1" x14ac:dyDescent="0.2">
      <c r="A2099" s="198" t="s">
        <v>1279</v>
      </c>
      <c r="B2099" s="228" t="s">
        <v>4623</v>
      </c>
      <c r="C2099" s="229" t="s">
        <v>4517</v>
      </c>
      <c r="D2099" s="230" t="s">
        <v>11</v>
      </c>
      <c r="E2099" s="231">
        <v>27.98</v>
      </c>
      <c r="F2099" s="231"/>
      <c r="G2099" s="229" t="s">
        <v>4685</v>
      </c>
      <c r="H2099" s="235">
        <f t="shared" si="62"/>
        <v>0</v>
      </c>
      <c r="J2099" s="215"/>
    </row>
    <row r="2100" spans="1:10" ht="12.75" hidden="1" customHeight="1" outlineLevel="1" x14ac:dyDescent="0.2">
      <c r="A2100" s="198" t="s">
        <v>1279</v>
      </c>
      <c r="B2100" s="224" t="s">
        <v>4624</v>
      </c>
      <c r="C2100" s="225" t="s">
        <v>4522</v>
      </c>
      <c r="D2100" s="226" t="s">
        <v>11</v>
      </c>
      <c r="E2100" s="227">
        <v>3.35</v>
      </c>
      <c r="F2100" s="227"/>
      <c r="G2100" s="225" t="s">
        <v>4687</v>
      </c>
      <c r="H2100" s="235">
        <f t="shared" si="62"/>
        <v>0</v>
      </c>
      <c r="J2100" s="215"/>
    </row>
    <row r="2101" spans="1:10" ht="25.5" hidden="1" customHeight="1" outlineLevel="1" x14ac:dyDescent="0.2">
      <c r="A2101" s="198" t="s">
        <v>1279</v>
      </c>
      <c r="B2101" s="228" t="s">
        <v>4625</v>
      </c>
      <c r="C2101" s="229" t="s">
        <v>4539</v>
      </c>
      <c r="D2101" s="230" t="s">
        <v>11</v>
      </c>
      <c r="E2101" s="231">
        <v>5.0599999999999996</v>
      </c>
      <c r="F2101" s="231"/>
      <c r="G2101" s="229" t="s">
        <v>4755</v>
      </c>
      <c r="H2101" s="235">
        <f t="shared" si="62"/>
        <v>0</v>
      </c>
      <c r="J2101" s="215"/>
    </row>
    <row r="2102" spans="1:10" ht="25.5" hidden="1" customHeight="1" outlineLevel="1" x14ac:dyDescent="0.2">
      <c r="A2102" s="198" t="s">
        <v>1279</v>
      </c>
      <c r="B2102" s="224" t="s">
        <v>4626</v>
      </c>
      <c r="C2102" s="225" t="s">
        <v>4541</v>
      </c>
      <c r="D2102" s="226" t="s">
        <v>11</v>
      </c>
      <c r="E2102" s="227">
        <v>4.47</v>
      </c>
      <c r="F2102" s="227"/>
      <c r="G2102" s="225" t="s">
        <v>4757</v>
      </c>
      <c r="H2102" s="235">
        <f t="shared" si="62"/>
        <v>0</v>
      </c>
      <c r="J2102" s="215"/>
    </row>
    <row r="2103" spans="1:10" ht="25.5" hidden="1" customHeight="1" outlineLevel="1" x14ac:dyDescent="0.2">
      <c r="A2103" s="198" t="s">
        <v>1279</v>
      </c>
      <c r="B2103" s="228" t="s">
        <v>4627</v>
      </c>
      <c r="C2103" s="229" t="s">
        <v>4543</v>
      </c>
      <c r="D2103" s="230" t="s">
        <v>11</v>
      </c>
      <c r="E2103" s="231">
        <v>2.75</v>
      </c>
      <c r="F2103" s="231"/>
      <c r="G2103" s="229" t="s">
        <v>4759</v>
      </c>
      <c r="H2103" s="235">
        <f t="shared" si="62"/>
        <v>0</v>
      </c>
      <c r="J2103" s="215"/>
    </row>
    <row r="2104" spans="1:10" ht="12.75" hidden="1" customHeight="1" outlineLevel="1" x14ac:dyDescent="0.2">
      <c r="A2104" s="198" t="s">
        <v>1279</v>
      </c>
      <c r="B2104" s="224" t="s">
        <v>4628</v>
      </c>
      <c r="C2104" s="225" t="s">
        <v>4545</v>
      </c>
      <c r="D2104" s="226" t="s">
        <v>11</v>
      </c>
      <c r="E2104" s="227">
        <v>2.82</v>
      </c>
      <c r="F2104" s="227"/>
      <c r="G2104" s="225" t="s">
        <v>4723</v>
      </c>
      <c r="H2104" s="235">
        <f t="shared" si="62"/>
        <v>0</v>
      </c>
      <c r="J2104" s="215"/>
    </row>
    <row r="2105" spans="1:10" ht="12.75" hidden="1" customHeight="1" outlineLevel="1" x14ac:dyDescent="0.2">
      <c r="A2105" s="198" t="s">
        <v>1279</v>
      </c>
      <c r="B2105" s="228" t="s">
        <v>4629</v>
      </c>
      <c r="C2105" s="229" t="s">
        <v>4547</v>
      </c>
      <c r="D2105" s="230" t="s">
        <v>11</v>
      </c>
      <c r="E2105" s="231">
        <v>3.38</v>
      </c>
      <c r="F2105" s="231"/>
      <c r="G2105" s="229" t="s">
        <v>4761</v>
      </c>
      <c r="H2105" s="235">
        <f t="shared" ref="H2105:H2117" si="63">SUMIFS($E:$E,$C:$C,G2105,$A:$A,$G$22)</f>
        <v>0</v>
      </c>
      <c r="J2105" s="215"/>
    </row>
    <row r="2106" spans="1:10" ht="25.5" hidden="1" customHeight="1" outlineLevel="1" x14ac:dyDescent="0.2">
      <c r="A2106" s="198" t="s">
        <v>1279</v>
      </c>
      <c r="B2106" s="224" t="s">
        <v>4630</v>
      </c>
      <c r="C2106" s="225" t="s">
        <v>4533</v>
      </c>
      <c r="D2106" s="226" t="s">
        <v>11</v>
      </c>
      <c r="E2106" s="227">
        <v>5.6</v>
      </c>
      <c r="F2106" s="227"/>
      <c r="G2106" s="225" t="s">
        <v>4763</v>
      </c>
      <c r="H2106" s="235">
        <f t="shared" si="63"/>
        <v>0</v>
      </c>
      <c r="J2106" s="215"/>
    </row>
    <row r="2107" spans="1:10" ht="25.5" hidden="1" customHeight="1" outlineLevel="1" x14ac:dyDescent="0.2">
      <c r="A2107" s="198" t="s">
        <v>1279</v>
      </c>
      <c r="B2107" s="228" t="s">
        <v>4631</v>
      </c>
      <c r="C2107" s="229" t="s">
        <v>4550</v>
      </c>
      <c r="D2107" s="230" t="s">
        <v>11</v>
      </c>
      <c r="E2107" s="231">
        <v>9.64</v>
      </c>
      <c r="F2107" s="231"/>
      <c r="G2107" s="229" t="s">
        <v>4765</v>
      </c>
      <c r="H2107" s="235">
        <f t="shared" si="63"/>
        <v>0</v>
      </c>
      <c r="J2107" s="215"/>
    </row>
    <row r="2108" spans="1:10" ht="25.5" hidden="1" customHeight="1" outlineLevel="1" x14ac:dyDescent="0.2">
      <c r="A2108" s="198" t="s">
        <v>1279</v>
      </c>
      <c r="B2108" s="224" t="s">
        <v>4632</v>
      </c>
      <c r="C2108" s="225" t="s">
        <v>4535</v>
      </c>
      <c r="D2108" s="226" t="s">
        <v>11</v>
      </c>
      <c r="E2108" s="227">
        <v>5.2</v>
      </c>
      <c r="F2108" s="227"/>
      <c r="G2108" s="225" t="s">
        <v>4689</v>
      </c>
      <c r="H2108" s="235">
        <f t="shared" si="63"/>
        <v>0</v>
      </c>
      <c r="J2108" s="215"/>
    </row>
    <row r="2109" spans="1:10" ht="12.75" hidden="1" customHeight="1" outlineLevel="1" x14ac:dyDescent="0.2">
      <c r="A2109" s="198" t="s">
        <v>1279</v>
      </c>
      <c r="B2109" s="216" t="s">
        <v>4633</v>
      </c>
      <c r="C2109" s="217" t="s">
        <v>2970</v>
      </c>
      <c r="D2109" s="218"/>
      <c r="E2109" s="219"/>
      <c r="F2109" s="219"/>
      <c r="G2109" s="229" t="s">
        <v>4480</v>
      </c>
      <c r="H2109" s="235">
        <f t="shared" si="63"/>
        <v>15.46</v>
      </c>
      <c r="J2109" s="215"/>
    </row>
    <row r="2110" spans="1:10" ht="25.5" hidden="1" customHeight="1" outlineLevel="1" x14ac:dyDescent="0.2">
      <c r="A2110" s="198" t="s">
        <v>1279</v>
      </c>
      <c r="B2110" s="228" t="s">
        <v>4634</v>
      </c>
      <c r="C2110" s="229" t="s">
        <v>4512</v>
      </c>
      <c r="D2110" s="230" t="s">
        <v>11</v>
      </c>
      <c r="E2110" s="231">
        <v>44.04</v>
      </c>
      <c r="F2110" s="231"/>
      <c r="G2110" s="225" t="s">
        <v>4481</v>
      </c>
      <c r="H2110" s="235">
        <f t="shared" si="63"/>
        <v>3.93</v>
      </c>
      <c r="J2110" s="215"/>
    </row>
    <row r="2111" spans="1:10" ht="12.75" hidden="1" customHeight="1" outlineLevel="1" x14ac:dyDescent="0.2">
      <c r="A2111" s="198" t="s">
        <v>1279</v>
      </c>
      <c r="B2111" s="224" t="s">
        <v>4635</v>
      </c>
      <c r="C2111" s="225" t="s">
        <v>4513</v>
      </c>
      <c r="D2111" s="226" t="s">
        <v>11</v>
      </c>
      <c r="E2111" s="227">
        <v>1.52</v>
      </c>
      <c r="F2111" s="227"/>
      <c r="G2111" s="229" t="s">
        <v>4482</v>
      </c>
      <c r="H2111" s="235">
        <f t="shared" si="63"/>
        <v>1.47</v>
      </c>
      <c r="J2111" s="215"/>
    </row>
    <row r="2112" spans="1:10" ht="25.5" hidden="1" customHeight="1" outlineLevel="1" x14ac:dyDescent="0.2">
      <c r="A2112" s="198" t="s">
        <v>1279</v>
      </c>
      <c r="B2112" s="228" t="s">
        <v>4636</v>
      </c>
      <c r="C2112" s="229" t="s">
        <v>4517</v>
      </c>
      <c r="D2112" s="230" t="s">
        <v>11</v>
      </c>
      <c r="E2112" s="231">
        <v>27.98</v>
      </c>
      <c r="F2112" s="231"/>
      <c r="G2112" s="225" t="s">
        <v>4691</v>
      </c>
      <c r="H2112" s="235">
        <f t="shared" si="63"/>
        <v>0</v>
      </c>
      <c r="J2112" s="215"/>
    </row>
    <row r="2113" spans="1:10" ht="25.5" hidden="1" customHeight="1" outlineLevel="1" x14ac:dyDescent="0.2">
      <c r="A2113" s="198" t="s">
        <v>1279</v>
      </c>
      <c r="B2113" s="224" t="s">
        <v>4637</v>
      </c>
      <c r="C2113" s="225" t="s">
        <v>4522</v>
      </c>
      <c r="D2113" s="226" t="s">
        <v>11</v>
      </c>
      <c r="E2113" s="227">
        <v>6.69</v>
      </c>
      <c r="F2113" s="227"/>
      <c r="G2113" s="229" t="s">
        <v>4535</v>
      </c>
      <c r="H2113" s="235">
        <f t="shared" si="63"/>
        <v>0</v>
      </c>
      <c r="J2113" s="215"/>
    </row>
    <row r="2114" spans="1:10" ht="25.5" hidden="1" customHeight="1" outlineLevel="1" x14ac:dyDescent="0.2">
      <c r="A2114" s="198" t="s">
        <v>1279</v>
      </c>
      <c r="B2114" s="228" t="s">
        <v>4638</v>
      </c>
      <c r="C2114" s="229" t="s">
        <v>4525</v>
      </c>
      <c r="D2114" s="230" t="s">
        <v>11</v>
      </c>
      <c r="E2114" s="231">
        <v>5.57</v>
      </c>
      <c r="F2114" s="231"/>
      <c r="G2114" s="225" t="s">
        <v>4767</v>
      </c>
      <c r="H2114" s="235">
        <f t="shared" si="63"/>
        <v>0</v>
      </c>
      <c r="J2114" s="215"/>
    </row>
    <row r="2115" spans="1:10" ht="25.5" hidden="1" customHeight="1" outlineLevel="1" x14ac:dyDescent="0.2">
      <c r="A2115" s="198" t="s">
        <v>1279</v>
      </c>
      <c r="B2115" s="224" t="s">
        <v>4639</v>
      </c>
      <c r="C2115" s="225" t="s">
        <v>4526</v>
      </c>
      <c r="D2115" s="226" t="s">
        <v>11</v>
      </c>
      <c r="E2115" s="227">
        <v>7.21</v>
      </c>
      <c r="F2115" s="227"/>
      <c r="G2115" s="229" t="s">
        <v>4510</v>
      </c>
      <c r="H2115" s="235">
        <f t="shared" si="63"/>
        <v>0</v>
      </c>
      <c r="J2115" s="215"/>
    </row>
    <row r="2116" spans="1:10" ht="12.75" hidden="1" customHeight="1" outlineLevel="1" x14ac:dyDescent="0.2">
      <c r="A2116" s="198" t="s">
        <v>1279</v>
      </c>
      <c r="B2116" s="228" t="s">
        <v>4640</v>
      </c>
      <c r="C2116" s="229" t="s">
        <v>4527</v>
      </c>
      <c r="D2116" s="230" t="s">
        <v>11</v>
      </c>
      <c r="E2116" s="231">
        <v>2.75</v>
      </c>
      <c r="F2116" s="231"/>
      <c r="G2116" s="225" t="s">
        <v>4712</v>
      </c>
      <c r="H2116" s="235">
        <f t="shared" si="63"/>
        <v>0</v>
      </c>
      <c r="J2116" s="215"/>
    </row>
    <row r="2117" spans="1:10" ht="12.75" hidden="1" customHeight="1" outlineLevel="1" x14ac:dyDescent="0.2">
      <c r="A2117" s="198" t="s">
        <v>1279</v>
      </c>
      <c r="B2117" s="224" t="s">
        <v>4641</v>
      </c>
      <c r="C2117" s="225" t="s">
        <v>4528</v>
      </c>
      <c r="D2117" s="226" t="s">
        <v>11</v>
      </c>
      <c r="E2117" s="227">
        <v>4.47</v>
      </c>
      <c r="F2117" s="227"/>
      <c r="G2117" s="225" t="s">
        <v>4772</v>
      </c>
      <c r="H2117" s="235">
        <f t="shared" si="63"/>
        <v>0</v>
      </c>
      <c r="J2117" s="215"/>
    </row>
    <row r="2118" spans="1:10" ht="25.5" hidden="1" customHeight="1" outlineLevel="1" x14ac:dyDescent="0.2">
      <c r="A2118" s="198" t="s">
        <v>1279</v>
      </c>
      <c r="B2118" s="228" t="s">
        <v>4642</v>
      </c>
      <c r="C2118" s="229" t="s">
        <v>4529</v>
      </c>
      <c r="D2118" s="230" t="s">
        <v>11</v>
      </c>
      <c r="E2118" s="231">
        <v>3.62</v>
      </c>
      <c r="F2118" s="231"/>
      <c r="J2118" s="215"/>
    </row>
    <row r="2119" spans="1:10" ht="25.5" hidden="1" customHeight="1" outlineLevel="1" x14ac:dyDescent="0.2">
      <c r="A2119" s="198" t="s">
        <v>1279</v>
      </c>
      <c r="B2119" s="224" t="s">
        <v>4643</v>
      </c>
      <c r="C2119" s="225" t="s">
        <v>4531</v>
      </c>
      <c r="D2119" s="226" t="s">
        <v>11</v>
      </c>
      <c r="E2119" s="227">
        <v>3.7</v>
      </c>
      <c r="F2119" s="227"/>
      <c r="G2119" s="520" t="str">
        <f>$A$2</f>
        <v>TORRE</v>
      </c>
      <c r="H2119" s="234">
        <f>SUM(H2120:H2196)</f>
        <v>2175.7299999999996</v>
      </c>
      <c r="J2119" s="215"/>
    </row>
    <row r="2120" spans="1:10" ht="25.5" hidden="1" customHeight="1" outlineLevel="1" x14ac:dyDescent="0.2">
      <c r="A2120" s="198" t="s">
        <v>1279</v>
      </c>
      <c r="B2120" s="228" t="s">
        <v>4644</v>
      </c>
      <c r="C2120" s="229" t="s">
        <v>4533</v>
      </c>
      <c r="D2120" s="230" t="s">
        <v>11</v>
      </c>
      <c r="E2120" s="231">
        <v>5.6</v>
      </c>
      <c r="F2120" s="231"/>
      <c r="G2120" s="229" t="s">
        <v>4483</v>
      </c>
      <c r="H2120" s="235">
        <f t="shared" ref="H2120:H2151" si="64">SUMIFS($E:$E,$C:$C,G2120,$A:$A,$G$30)</f>
        <v>3.42</v>
      </c>
      <c r="J2120" s="215"/>
    </row>
    <row r="2121" spans="1:10" ht="12.75" hidden="1" customHeight="1" outlineLevel="1" x14ac:dyDescent="0.2">
      <c r="A2121" s="198" t="s">
        <v>1279</v>
      </c>
      <c r="B2121" s="224" t="s">
        <v>4645</v>
      </c>
      <c r="C2121" s="225" t="s">
        <v>4550</v>
      </c>
      <c r="D2121" s="226" t="s">
        <v>11</v>
      </c>
      <c r="E2121" s="227">
        <v>9.64</v>
      </c>
      <c r="F2121" s="227"/>
      <c r="G2121" s="225" t="s">
        <v>4484</v>
      </c>
      <c r="H2121" s="235">
        <f t="shared" si="64"/>
        <v>3.42</v>
      </c>
      <c r="J2121" s="215"/>
    </row>
    <row r="2122" spans="1:10" ht="12.75" hidden="1" customHeight="1" outlineLevel="1" x14ac:dyDescent="0.2">
      <c r="A2122" s="198" t="s">
        <v>1279</v>
      </c>
      <c r="B2122" s="228" t="s">
        <v>4646</v>
      </c>
      <c r="C2122" s="229" t="s">
        <v>4535</v>
      </c>
      <c r="D2122" s="230" t="s">
        <v>11</v>
      </c>
      <c r="E2122" s="231">
        <v>3.85</v>
      </c>
      <c r="F2122" s="231"/>
      <c r="G2122" s="229" t="s">
        <v>4485</v>
      </c>
      <c r="H2122" s="235">
        <f t="shared" si="64"/>
        <v>5.77</v>
      </c>
      <c r="J2122" s="215"/>
    </row>
    <row r="2123" spans="1:10" ht="25.5" hidden="1" customHeight="1" outlineLevel="1" x14ac:dyDescent="0.2">
      <c r="A2123" s="198" t="s">
        <v>1279</v>
      </c>
      <c r="B2123" s="216" t="s">
        <v>4647</v>
      </c>
      <c r="C2123" s="217" t="s">
        <v>2971</v>
      </c>
      <c r="D2123" s="218"/>
      <c r="E2123" s="219"/>
      <c r="F2123" s="219"/>
      <c r="G2123" s="225" t="s">
        <v>4486</v>
      </c>
      <c r="H2123" s="235">
        <f t="shared" si="64"/>
        <v>2.42</v>
      </c>
      <c r="J2123" s="215"/>
    </row>
    <row r="2124" spans="1:10" ht="25.5" hidden="1" customHeight="1" outlineLevel="1" x14ac:dyDescent="0.2">
      <c r="A2124" s="198" t="s">
        <v>1279</v>
      </c>
      <c r="B2124" s="224" t="s">
        <v>4648</v>
      </c>
      <c r="C2124" s="225" t="s">
        <v>4512</v>
      </c>
      <c r="D2124" s="226" t="s">
        <v>11</v>
      </c>
      <c r="E2124" s="227">
        <v>44.04</v>
      </c>
      <c r="F2124" s="227"/>
      <c r="G2124" s="229" t="s">
        <v>4487</v>
      </c>
      <c r="H2124" s="235">
        <f t="shared" si="64"/>
        <v>5.4</v>
      </c>
      <c r="J2124" s="215"/>
    </row>
    <row r="2125" spans="1:10" ht="25.5" hidden="1" customHeight="1" outlineLevel="1" x14ac:dyDescent="0.2">
      <c r="A2125" s="198" t="s">
        <v>1279</v>
      </c>
      <c r="B2125" s="228" t="s">
        <v>4649</v>
      </c>
      <c r="C2125" s="229" t="s">
        <v>4513</v>
      </c>
      <c r="D2125" s="230" t="s">
        <v>11</v>
      </c>
      <c r="E2125" s="231">
        <v>2.2799999999999998</v>
      </c>
      <c r="F2125" s="231"/>
      <c r="G2125" s="225" t="s">
        <v>4488</v>
      </c>
      <c r="H2125" s="235">
        <f t="shared" si="64"/>
        <v>11.11</v>
      </c>
      <c r="J2125" s="215"/>
    </row>
    <row r="2126" spans="1:10" ht="25.5" hidden="1" customHeight="1" outlineLevel="1" x14ac:dyDescent="0.2">
      <c r="A2126" s="198" t="s">
        <v>1279</v>
      </c>
      <c r="B2126" s="224" t="s">
        <v>4650</v>
      </c>
      <c r="C2126" s="225" t="s">
        <v>4517</v>
      </c>
      <c r="D2126" s="226" t="s">
        <v>11</v>
      </c>
      <c r="E2126" s="227">
        <v>27.98</v>
      </c>
      <c r="F2126" s="227"/>
      <c r="G2126" s="229" t="s">
        <v>4489</v>
      </c>
      <c r="H2126" s="235">
        <f t="shared" si="64"/>
        <v>16.47</v>
      </c>
      <c r="J2126" s="215"/>
    </row>
    <row r="2127" spans="1:10" ht="12.75" hidden="1" customHeight="1" outlineLevel="1" x14ac:dyDescent="0.2">
      <c r="A2127" s="198" t="s">
        <v>1279</v>
      </c>
      <c r="B2127" s="228" t="s">
        <v>4651</v>
      </c>
      <c r="C2127" s="229" t="s">
        <v>4522</v>
      </c>
      <c r="D2127" s="230" t="s">
        <v>11</v>
      </c>
      <c r="E2127" s="231">
        <v>3.35</v>
      </c>
      <c r="F2127" s="231"/>
      <c r="G2127" s="225" t="s">
        <v>4490</v>
      </c>
      <c r="H2127" s="235">
        <f t="shared" si="64"/>
        <v>21.36</v>
      </c>
      <c r="J2127" s="215"/>
    </row>
    <row r="2128" spans="1:10" ht="12.75" hidden="1" customHeight="1" outlineLevel="1" x14ac:dyDescent="0.2">
      <c r="A2128" s="198" t="s">
        <v>1279</v>
      </c>
      <c r="B2128" s="224" t="s">
        <v>4652</v>
      </c>
      <c r="C2128" s="225" t="s">
        <v>4539</v>
      </c>
      <c r="D2128" s="226" t="s">
        <v>11</v>
      </c>
      <c r="E2128" s="227">
        <v>5.0599999999999996</v>
      </c>
      <c r="F2128" s="227"/>
      <c r="G2128" s="229" t="s">
        <v>4491</v>
      </c>
      <c r="H2128" s="235">
        <f t="shared" si="64"/>
        <v>13.81</v>
      </c>
      <c r="J2128" s="215"/>
    </row>
    <row r="2129" spans="1:10" ht="25.5" hidden="1" customHeight="1" outlineLevel="1" x14ac:dyDescent="0.2">
      <c r="A2129" s="198" t="s">
        <v>1279</v>
      </c>
      <c r="B2129" s="228" t="s">
        <v>4653</v>
      </c>
      <c r="C2129" s="229" t="s">
        <v>4541</v>
      </c>
      <c r="D2129" s="230" t="s">
        <v>11</v>
      </c>
      <c r="E2129" s="231">
        <v>4.47</v>
      </c>
      <c r="F2129" s="231"/>
      <c r="G2129" s="225" t="s">
        <v>4492</v>
      </c>
      <c r="H2129" s="235">
        <f t="shared" si="64"/>
        <v>3.07</v>
      </c>
      <c r="J2129" s="215"/>
    </row>
    <row r="2130" spans="1:10" ht="25.5" hidden="1" customHeight="1" outlineLevel="1" x14ac:dyDescent="0.2">
      <c r="A2130" s="198" t="s">
        <v>1279</v>
      </c>
      <c r="B2130" s="224" t="s">
        <v>4654</v>
      </c>
      <c r="C2130" s="225" t="s">
        <v>4543</v>
      </c>
      <c r="D2130" s="226" t="s">
        <v>11</v>
      </c>
      <c r="E2130" s="227">
        <v>2.75</v>
      </c>
      <c r="F2130" s="227"/>
      <c r="G2130" s="229" t="s">
        <v>4493</v>
      </c>
      <c r="H2130" s="235">
        <f t="shared" si="64"/>
        <v>10.130000000000001</v>
      </c>
      <c r="J2130" s="215"/>
    </row>
    <row r="2131" spans="1:10" ht="25.5" hidden="1" customHeight="1" outlineLevel="1" x14ac:dyDescent="0.2">
      <c r="A2131" s="198" t="s">
        <v>1279</v>
      </c>
      <c r="B2131" s="228" t="s">
        <v>4655</v>
      </c>
      <c r="C2131" s="229" t="s">
        <v>4545</v>
      </c>
      <c r="D2131" s="230" t="s">
        <v>11</v>
      </c>
      <c r="E2131" s="231">
        <v>2.82</v>
      </c>
      <c r="F2131" s="231"/>
      <c r="G2131" s="225" t="s">
        <v>4494</v>
      </c>
      <c r="H2131" s="235">
        <f t="shared" si="64"/>
        <v>10.34</v>
      </c>
      <c r="J2131" s="215"/>
    </row>
    <row r="2132" spans="1:10" ht="12.75" hidden="1" customHeight="1" outlineLevel="1" x14ac:dyDescent="0.2">
      <c r="A2132" s="198" t="s">
        <v>1279</v>
      </c>
      <c r="B2132" s="224" t="s">
        <v>4656</v>
      </c>
      <c r="C2132" s="225" t="s">
        <v>4547</v>
      </c>
      <c r="D2132" s="226" t="s">
        <v>11</v>
      </c>
      <c r="E2132" s="227">
        <v>3.38</v>
      </c>
      <c r="F2132" s="227"/>
      <c r="G2132" s="229" t="s">
        <v>4496</v>
      </c>
      <c r="H2132" s="235">
        <f t="shared" si="64"/>
        <v>21.82</v>
      </c>
      <c r="J2132" s="215"/>
    </row>
    <row r="2133" spans="1:10" ht="12.75" hidden="1" customHeight="1" outlineLevel="1" x14ac:dyDescent="0.2">
      <c r="A2133" s="198" t="s">
        <v>1279</v>
      </c>
      <c r="B2133" s="228" t="s">
        <v>4657</v>
      </c>
      <c r="C2133" s="229" t="s">
        <v>4533</v>
      </c>
      <c r="D2133" s="230" t="s">
        <v>11</v>
      </c>
      <c r="E2133" s="231">
        <v>5.6</v>
      </c>
      <c r="F2133" s="231"/>
      <c r="G2133" s="225" t="s">
        <v>4498</v>
      </c>
      <c r="H2133" s="235">
        <f t="shared" si="64"/>
        <v>7.48</v>
      </c>
      <c r="J2133" s="215"/>
    </row>
    <row r="2134" spans="1:10" ht="25.5" hidden="1" customHeight="1" outlineLevel="1" x14ac:dyDescent="0.2">
      <c r="A2134" s="198" t="s">
        <v>1279</v>
      </c>
      <c r="B2134" s="224" t="s">
        <v>4658</v>
      </c>
      <c r="C2134" s="225" t="s">
        <v>4550</v>
      </c>
      <c r="D2134" s="226" t="s">
        <v>11</v>
      </c>
      <c r="E2134" s="227">
        <v>9.64</v>
      </c>
      <c r="F2134" s="227"/>
      <c r="G2134" s="229" t="s">
        <v>4500</v>
      </c>
      <c r="H2134" s="235">
        <f t="shared" si="64"/>
        <v>2.57</v>
      </c>
      <c r="J2134" s="215"/>
    </row>
    <row r="2135" spans="1:10" ht="25.5" hidden="1" customHeight="1" outlineLevel="1" x14ac:dyDescent="0.2">
      <c r="A2135" s="198" t="s">
        <v>1279</v>
      </c>
      <c r="B2135" s="228" t="s">
        <v>4659</v>
      </c>
      <c r="C2135" s="229" t="s">
        <v>4535</v>
      </c>
      <c r="D2135" s="230" t="s">
        <v>11</v>
      </c>
      <c r="E2135" s="231">
        <v>5.2</v>
      </c>
      <c r="F2135" s="231"/>
      <c r="G2135" s="225" t="s">
        <v>4502</v>
      </c>
      <c r="H2135" s="235">
        <f t="shared" si="64"/>
        <v>3.97</v>
      </c>
      <c r="J2135" s="215"/>
    </row>
    <row r="2136" spans="1:10" ht="25.5" hidden="1" customHeight="1" outlineLevel="1" x14ac:dyDescent="0.2">
      <c r="A2136" s="198" t="s">
        <v>1279</v>
      </c>
      <c r="B2136" s="216" t="s">
        <v>4660</v>
      </c>
      <c r="C2136" s="217" t="s">
        <v>2972</v>
      </c>
      <c r="D2136" s="218"/>
      <c r="E2136" s="219"/>
      <c r="F2136" s="219"/>
      <c r="G2136" s="229" t="s">
        <v>4504</v>
      </c>
      <c r="H2136" s="235">
        <f t="shared" si="64"/>
        <v>79.37</v>
      </c>
      <c r="J2136" s="215"/>
    </row>
    <row r="2137" spans="1:10" ht="25.5" hidden="1" customHeight="1" outlineLevel="1" x14ac:dyDescent="0.2">
      <c r="A2137" s="198" t="s">
        <v>1279</v>
      </c>
      <c r="B2137" s="224" t="s">
        <v>4661</v>
      </c>
      <c r="C2137" s="225" t="s">
        <v>4498</v>
      </c>
      <c r="D2137" s="226" t="s">
        <v>11</v>
      </c>
      <c r="E2137" s="227">
        <v>2.4900000000000002</v>
      </c>
      <c r="F2137" s="227"/>
      <c r="G2137" s="225" t="s">
        <v>4506</v>
      </c>
      <c r="H2137" s="235">
        <f t="shared" si="64"/>
        <v>38.200000000000003</v>
      </c>
      <c r="J2137" s="215"/>
    </row>
    <row r="2138" spans="1:10" ht="12.75" hidden="1" customHeight="1" outlineLevel="1" x14ac:dyDescent="0.2">
      <c r="A2138" s="198" t="s">
        <v>1279</v>
      </c>
      <c r="B2138" s="228" t="s">
        <v>4662</v>
      </c>
      <c r="C2138" s="229" t="s">
        <v>4663</v>
      </c>
      <c r="D2138" s="230" t="s">
        <v>11</v>
      </c>
      <c r="E2138" s="231">
        <v>3.2</v>
      </c>
      <c r="F2138" s="231"/>
      <c r="G2138" s="229" t="s">
        <v>4508</v>
      </c>
      <c r="H2138" s="235">
        <f t="shared" si="64"/>
        <v>23.81</v>
      </c>
      <c r="J2138" s="215"/>
    </row>
    <row r="2139" spans="1:10" ht="12.75" hidden="1" customHeight="1" outlineLevel="1" x14ac:dyDescent="0.2">
      <c r="A2139" s="198" t="s">
        <v>1279</v>
      </c>
      <c r="B2139" s="224" t="s">
        <v>4664</v>
      </c>
      <c r="C2139" s="225" t="s">
        <v>4533</v>
      </c>
      <c r="D2139" s="226" t="s">
        <v>11</v>
      </c>
      <c r="E2139" s="227">
        <v>2.8</v>
      </c>
      <c r="F2139" s="227"/>
      <c r="G2139" s="225" t="s">
        <v>4511</v>
      </c>
      <c r="H2139" s="235">
        <f t="shared" si="64"/>
        <v>49.090000000000018</v>
      </c>
      <c r="J2139" s="215"/>
    </row>
    <row r="2140" spans="1:10" ht="25.5" hidden="1" customHeight="1" outlineLevel="1" x14ac:dyDescent="0.2">
      <c r="A2140" s="198" t="s">
        <v>1279</v>
      </c>
      <c r="B2140" s="228" t="s">
        <v>4665</v>
      </c>
      <c r="C2140" s="229" t="s">
        <v>4666</v>
      </c>
      <c r="D2140" s="230" t="s">
        <v>11</v>
      </c>
      <c r="E2140" s="231">
        <v>11</v>
      </c>
      <c r="F2140" s="231"/>
      <c r="G2140" s="229" t="s">
        <v>4512</v>
      </c>
      <c r="H2140" s="235">
        <f t="shared" si="64"/>
        <v>577.40999999999985</v>
      </c>
      <c r="J2140" s="215"/>
    </row>
    <row r="2141" spans="1:10" ht="25.5" hidden="1" customHeight="1" outlineLevel="1" x14ac:dyDescent="0.2">
      <c r="A2141" s="198" t="s">
        <v>1279</v>
      </c>
      <c r="B2141" s="224" t="s">
        <v>4667</v>
      </c>
      <c r="C2141" s="225" t="s">
        <v>4550</v>
      </c>
      <c r="D2141" s="226" t="s">
        <v>11</v>
      </c>
      <c r="E2141" s="227">
        <v>4.82</v>
      </c>
      <c r="F2141" s="227"/>
      <c r="G2141" s="225" t="s">
        <v>4513</v>
      </c>
      <c r="H2141" s="235">
        <f t="shared" si="64"/>
        <v>24.320000000000004</v>
      </c>
      <c r="J2141" s="215"/>
    </row>
    <row r="2142" spans="1:10" ht="25.5" hidden="1" customHeight="1" outlineLevel="1" x14ac:dyDescent="0.2">
      <c r="A2142" s="198" t="s">
        <v>1279</v>
      </c>
      <c r="B2142" s="228" t="s">
        <v>4668</v>
      </c>
      <c r="C2142" s="229" t="s">
        <v>4669</v>
      </c>
      <c r="D2142" s="230" t="s">
        <v>11</v>
      </c>
      <c r="E2142" s="231">
        <v>3.18</v>
      </c>
      <c r="F2142" s="231"/>
      <c r="G2142" s="229" t="s">
        <v>4514</v>
      </c>
      <c r="H2142" s="235">
        <f t="shared" si="64"/>
        <v>5.81</v>
      </c>
      <c r="J2142" s="215"/>
    </row>
    <row r="2143" spans="1:10" ht="12.75" hidden="1" customHeight="1" outlineLevel="1" x14ac:dyDescent="0.2">
      <c r="A2143" s="198" t="s">
        <v>1279</v>
      </c>
      <c r="B2143" s="224" t="s">
        <v>4670</v>
      </c>
      <c r="C2143" s="225" t="s">
        <v>4671</v>
      </c>
      <c r="D2143" s="226" t="s">
        <v>11</v>
      </c>
      <c r="E2143" s="227">
        <v>9.27</v>
      </c>
      <c r="F2143" s="227"/>
      <c r="G2143" s="225" t="s">
        <v>4515</v>
      </c>
      <c r="H2143" s="235">
        <f t="shared" si="64"/>
        <v>3.98</v>
      </c>
      <c r="J2143" s="215"/>
    </row>
    <row r="2144" spans="1:10" ht="12.75" hidden="1" customHeight="1" outlineLevel="1" x14ac:dyDescent="0.2">
      <c r="A2144" s="198" t="s">
        <v>1279</v>
      </c>
      <c r="B2144" s="228" t="s">
        <v>4672</v>
      </c>
      <c r="C2144" s="229" t="s">
        <v>4673</v>
      </c>
      <c r="D2144" s="230" t="s">
        <v>11</v>
      </c>
      <c r="E2144" s="231">
        <v>12.15</v>
      </c>
      <c r="F2144" s="231"/>
      <c r="G2144" s="229" t="s">
        <v>4516</v>
      </c>
      <c r="H2144" s="235">
        <f t="shared" si="64"/>
        <v>2.77</v>
      </c>
      <c r="J2144" s="215"/>
    </row>
    <row r="2145" spans="1:10" ht="25.5" hidden="1" customHeight="1" outlineLevel="1" x14ac:dyDescent="0.2">
      <c r="A2145" s="198" t="s">
        <v>1279</v>
      </c>
      <c r="B2145" s="224" t="s">
        <v>4674</v>
      </c>
      <c r="C2145" s="225" t="s">
        <v>4675</v>
      </c>
      <c r="D2145" s="226" t="s">
        <v>11</v>
      </c>
      <c r="E2145" s="227">
        <v>5.25</v>
      </c>
      <c r="F2145" s="227"/>
      <c r="G2145" s="225" t="s">
        <v>4517</v>
      </c>
      <c r="H2145" s="235">
        <f t="shared" si="64"/>
        <v>344.13999999999993</v>
      </c>
      <c r="J2145" s="215"/>
    </row>
    <row r="2146" spans="1:10" ht="25.5" hidden="1" customHeight="1" outlineLevel="1" x14ac:dyDescent="0.2">
      <c r="A2146" s="198" t="s">
        <v>1279</v>
      </c>
      <c r="B2146" s="228" t="s">
        <v>4676</v>
      </c>
      <c r="C2146" s="229" t="s">
        <v>4677</v>
      </c>
      <c r="D2146" s="230" t="s">
        <v>11</v>
      </c>
      <c r="E2146" s="231">
        <v>19.64</v>
      </c>
      <c r="F2146" s="231"/>
      <c r="G2146" s="229" t="s">
        <v>4518</v>
      </c>
      <c r="H2146" s="235">
        <f t="shared" si="64"/>
        <v>5.32</v>
      </c>
      <c r="J2146" s="215"/>
    </row>
    <row r="2147" spans="1:10" ht="25.5" hidden="1" customHeight="1" outlineLevel="1" x14ac:dyDescent="0.2">
      <c r="A2147" s="198" t="s">
        <v>1279</v>
      </c>
      <c r="B2147" s="224" t="s">
        <v>4678</v>
      </c>
      <c r="C2147" s="225" t="s">
        <v>4679</v>
      </c>
      <c r="D2147" s="226" t="s">
        <v>11</v>
      </c>
      <c r="E2147" s="227">
        <v>10.25</v>
      </c>
      <c r="F2147" s="227"/>
      <c r="G2147" s="225" t="s">
        <v>4520</v>
      </c>
      <c r="H2147" s="235">
        <f t="shared" si="64"/>
        <v>1.95</v>
      </c>
      <c r="J2147" s="215"/>
    </row>
    <row r="2148" spans="1:10" ht="12.75" hidden="1" customHeight="1" outlineLevel="1" x14ac:dyDescent="0.2">
      <c r="A2148" s="198" t="s">
        <v>1279</v>
      </c>
      <c r="B2148" s="228" t="s">
        <v>4680</v>
      </c>
      <c r="C2148" s="229" t="s">
        <v>4681</v>
      </c>
      <c r="D2148" s="230" t="s">
        <v>11</v>
      </c>
      <c r="E2148" s="231">
        <v>3.64</v>
      </c>
      <c r="F2148" s="231"/>
      <c r="G2148" s="229" t="s">
        <v>4522</v>
      </c>
      <c r="H2148" s="235">
        <f t="shared" si="64"/>
        <v>73.63</v>
      </c>
      <c r="J2148" s="215"/>
    </row>
    <row r="2149" spans="1:10" ht="25.5" hidden="1" customHeight="1" outlineLevel="1" x14ac:dyDescent="0.2">
      <c r="A2149" s="198" t="s">
        <v>1279</v>
      </c>
      <c r="B2149" s="224" t="s">
        <v>4682</v>
      </c>
      <c r="C2149" s="225" t="s">
        <v>4683</v>
      </c>
      <c r="D2149" s="226" t="s">
        <v>11</v>
      </c>
      <c r="E2149" s="227">
        <v>2.27</v>
      </c>
      <c r="F2149" s="227"/>
      <c r="G2149" s="225" t="s">
        <v>4524</v>
      </c>
      <c r="H2149" s="235">
        <f t="shared" si="64"/>
        <v>7.81</v>
      </c>
      <c r="J2149" s="215"/>
    </row>
    <row r="2150" spans="1:10" ht="12.75" hidden="1" customHeight="1" outlineLevel="1" x14ac:dyDescent="0.2">
      <c r="A2150" s="198" t="s">
        <v>1279</v>
      </c>
      <c r="B2150" s="228" t="s">
        <v>4684</v>
      </c>
      <c r="C2150" s="229" t="s">
        <v>4685</v>
      </c>
      <c r="D2150" s="230" t="s">
        <v>11</v>
      </c>
      <c r="E2150" s="231">
        <v>3.37</v>
      </c>
      <c r="F2150" s="231"/>
      <c r="G2150" s="229" t="s">
        <v>4525</v>
      </c>
      <c r="H2150" s="235">
        <f t="shared" si="64"/>
        <v>38.99</v>
      </c>
      <c r="J2150" s="215"/>
    </row>
    <row r="2151" spans="1:10" ht="25.5" hidden="1" customHeight="1" outlineLevel="1" x14ac:dyDescent="0.2">
      <c r="A2151" s="198" t="s">
        <v>1279</v>
      </c>
      <c r="B2151" s="224" t="s">
        <v>4686</v>
      </c>
      <c r="C2151" s="225" t="s">
        <v>4687</v>
      </c>
      <c r="D2151" s="226" t="s">
        <v>11</v>
      </c>
      <c r="E2151" s="227">
        <v>7.35</v>
      </c>
      <c r="F2151" s="227"/>
      <c r="G2151" s="225" t="s">
        <v>4526</v>
      </c>
      <c r="H2151" s="235">
        <f t="shared" si="64"/>
        <v>50.47</v>
      </c>
      <c r="J2151" s="215"/>
    </row>
    <row r="2152" spans="1:10" ht="25.5" hidden="1" customHeight="1" outlineLevel="1" x14ac:dyDescent="0.2">
      <c r="A2152" s="198" t="s">
        <v>1279</v>
      </c>
      <c r="B2152" s="228" t="s">
        <v>4688</v>
      </c>
      <c r="C2152" s="229" t="s">
        <v>4689</v>
      </c>
      <c r="D2152" s="230" t="s">
        <v>11</v>
      </c>
      <c r="E2152" s="231">
        <v>0.66</v>
      </c>
      <c r="F2152" s="231"/>
      <c r="G2152" s="229" t="s">
        <v>4527</v>
      </c>
      <c r="H2152" s="235">
        <f t="shared" ref="H2152:H2183" si="65">SUMIFS($E:$E,$C:$C,G2152,$A:$A,$G$30)</f>
        <v>13.75</v>
      </c>
      <c r="J2152" s="215"/>
    </row>
    <row r="2153" spans="1:10" ht="25.5" hidden="1" customHeight="1" outlineLevel="1" x14ac:dyDescent="0.2">
      <c r="A2153" s="198" t="s">
        <v>1279</v>
      </c>
      <c r="B2153" s="224" t="s">
        <v>4690</v>
      </c>
      <c r="C2153" s="225" t="s">
        <v>4691</v>
      </c>
      <c r="D2153" s="226" t="s">
        <v>11</v>
      </c>
      <c r="E2153" s="227">
        <v>6.46</v>
      </c>
      <c r="F2153" s="227"/>
      <c r="G2153" s="225" t="s">
        <v>4700</v>
      </c>
      <c r="H2153" s="235">
        <f t="shared" si="65"/>
        <v>7.88</v>
      </c>
      <c r="J2153" s="215"/>
    </row>
    <row r="2154" spans="1:10" ht="25.5" hidden="1" customHeight="1" outlineLevel="1" x14ac:dyDescent="0.2">
      <c r="A2154" s="198" t="s">
        <v>1279</v>
      </c>
      <c r="B2154" s="216" t="s">
        <v>4692</v>
      </c>
      <c r="C2154" s="217" t="s">
        <v>2973</v>
      </c>
      <c r="D2154" s="218"/>
      <c r="E2154" s="219"/>
      <c r="F2154" s="219"/>
      <c r="G2154" s="229" t="s">
        <v>4539</v>
      </c>
      <c r="H2154" s="235">
        <f t="shared" si="65"/>
        <v>35.419999999999995</v>
      </c>
      <c r="J2154" s="215"/>
    </row>
    <row r="2155" spans="1:10" ht="12.75" hidden="1" customHeight="1" outlineLevel="1" x14ac:dyDescent="0.2">
      <c r="A2155" s="198" t="s">
        <v>1279</v>
      </c>
      <c r="B2155" s="228" t="s">
        <v>4693</v>
      </c>
      <c r="C2155" s="229" t="s">
        <v>4512</v>
      </c>
      <c r="D2155" s="230" t="s">
        <v>11</v>
      </c>
      <c r="E2155" s="231">
        <v>14.68</v>
      </c>
      <c r="F2155" s="231"/>
      <c r="G2155" s="225" t="s">
        <v>4541</v>
      </c>
      <c r="H2155" s="235">
        <f t="shared" si="65"/>
        <v>22.349999999999998</v>
      </c>
      <c r="J2155" s="215"/>
    </row>
    <row r="2156" spans="1:10" ht="12.75" hidden="1" customHeight="1" outlineLevel="1" x14ac:dyDescent="0.2">
      <c r="A2156" s="198" t="s">
        <v>1279</v>
      </c>
      <c r="B2156" s="224" t="s">
        <v>4694</v>
      </c>
      <c r="C2156" s="225" t="s">
        <v>4513</v>
      </c>
      <c r="D2156" s="226" t="s">
        <v>11</v>
      </c>
      <c r="E2156" s="227">
        <v>0.76</v>
      </c>
      <c r="F2156" s="227"/>
      <c r="G2156" s="229" t="s">
        <v>4703</v>
      </c>
      <c r="H2156" s="235">
        <f t="shared" si="65"/>
        <v>17.96</v>
      </c>
      <c r="J2156" s="215"/>
    </row>
    <row r="2157" spans="1:10" ht="25.5" hidden="1" customHeight="1" outlineLevel="1" x14ac:dyDescent="0.2">
      <c r="A2157" s="198" t="s">
        <v>1279</v>
      </c>
      <c r="B2157" s="228" t="s">
        <v>4695</v>
      </c>
      <c r="C2157" s="229" t="s">
        <v>4517</v>
      </c>
      <c r="D2157" s="230" t="s">
        <v>11</v>
      </c>
      <c r="E2157" s="231">
        <v>11.19</v>
      </c>
      <c r="F2157" s="231"/>
      <c r="G2157" s="225" t="s">
        <v>4528</v>
      </c>
      <c r="H2157" s="235">
        <f t="shared" si="65"/>
        <v>22.349999999999998</v>
      </c>
      <c r="J2157" s="215"/>
    </row>
    <row r="2158" spans="1:10" ht="25.5" hidden="1" customHeight="1" outlineLevel="1" x14ac:dyDescent="0.2">
      <c r="A2158" s="198" t="s">
        <v>1279</v>
      </c>
      <c r="B2158" s="224" t="s">
        <v>4696</v>
      </c>
      <c r="C2158" s="577" t="s">
        <v>4522</v>
      </c>
      <c r="D2158" s="578" t="s">
        <v>11</v>
      </c>
      <c r="E2158" s="579">
        <v>6.69</v>
      </c>
      <c r="F2158" s="579"/>
      <c r="G2158" s="229" t="s">
        <v>4705</v>
      </c>
      <c r="H2158" s="235">
        <f t="shared" si="65"/>
        <v>13.68</v>
      </c>
      <c r="J2158" s="215"/>
    </row>
    <row r="2159" spans="1:10" ht="25.5" hidden="1" customHeight="1" outlineLevel="1" x14ac:dyDescent="0.2">
      <c r="A2159" s="198" t="s">
        <v>1279</v>
      </c>
      <c r="B2159" s="228" t="s">
        <v>4697</v>
      </c>
      <c r="C2159" s="580" t="s">
        <v>4525</v>
      </c>
      <c r="D2159" s="581" t="s">
        <v>11</v>
      </c>
      <c r="E2159" s="582">
        <v>5.57</v>
      </c>
      <c r="F2159" s="582"/>
      <c r="G2159" s="225" t="s">
        <v>4543</v>
      </c>
      <c r="H2159" s="235">
        <f t="shared" si="65"/>
        <v>13.75</v>
      </c>
      <c r="J2159" s="215"/>
    </row>
    <row r="2160" spans="1:10" ht="12.75" hidden="1" customHeight="1" outlineLevel="1" x14ac:dyDescent="0.2">
      <c r="A2160" s="198" t="s">
        <v>1279</v>
      </c>
      <c r="B2160" s="224" t="s">
        <v>4698</v>
      </c>
      <c r="C2160" s="577" t="s">
        <v>4526</v>
      </c>
      <c r="D2160" s="578" t="s">
        <v>11</v>
      </c>
      <c r="E2160" s="579">
        <v>7.21</v>
      </c>
      <c r="F2160" s="579"/>
      <c r="G2160" s="229" t="s">
        <v>4529</v>
      </c>
      <c r="H2160" s="235">
        <f t="shared" si="65"/>
        <v>18.100000000000001</v>
      </c>
      <c r="J2160" s="215"/>
    </row>
    <row r="2161" spans="1:10" ht="12.75" hidden="1" customHeight="1" outlineLevel="1" x14ac:dyDescent="0.2">
      <c r="A2161" s="198" t="s">
        <v>1279</v>
      </c>
      <c r="B2161" s="228" t="s">
        <v>4699</v>
      </c>
      <c r="C2161" s="580" t="s">
        <v>4700</v>
      </c>
      <c r="D2161" s="581" t="s">
        <v>11</v>
      </c>
      <c r="E2161" s="582">
        <v>3.94</v>
      </c>
      <c r="F2161" s="582"/>
      <c r="G2161" s="225" t="s">
        <v>4545</v>
      </c>
      <c r="H2161" s="235">
        <f t="shared" si="65"/>
        <v>14.1</v>
      </c>
      <c r="J2161" s="215"/>
    </row>
    <row r="2162" spans="1:10" ht="25.5" hidden="1" customHeight="1" outlineLevel="1" x14ac:dyDescent="0.2">
      <c r="A2162" s="198" t="s">
        <v>1279</v>
      </c>
      <c r="B2162" s="224" t="s">
        <v>4701</v>
      </c>
      <c r="C2162" s="577" t="s">
        <v>4539</v>
      </c>
      <c r="D2162" s="578" t="s">
        <v>11</v>
      </c>
      <c r="E2162" s="579">
        <v>5.0599999999999996</v>
      </c>
      <c r="F2162" s="579"/>
      <c r="G2162" s="229" t="s">
        <v>4707</v>
      </c>
      <c r="H2162" s="235">
        <f t="shared" si="65"/>
        <v>13.1</v>
      </c>
      <c r="J2162" s="215"/>
    </row>
    <row r="2163" spans="1:10" ht="25.5" hidden="1" customHeight="1" outlineLevel="1" x14ac:dyDescent="0.2">
      <c r="A2163" s="198" t="s">
        <v>1279</v>
      </c>
      <c r="B2163" s="228" t="s">
        <v>4702</v>
      </c>
      <c r="C2163" s="580" t="s">
        <v>4703</v>
      </c>
      <c r="D2163" s="581" t="s">
        <v>11</v>
      </c>
      <c r="E2163" s="582">
        <v>8.98</v>
      </c>
      <c r="F2163" s="582"/>
      <c r="G2163" s="225" t="s">
        <v>4531</v>
      </c>
      <c r="H2163" s="235">
        <f t="shared" si="65"/>
        <v>18.5</v>
      </c>
      <c r="J2163" s="215"/>
    </row>
    <row r="2164" spans="1:10" ht="25.5" hidden="1" customHeight="1" outlineLevel="1" x14ac:dyDescent="0.2">
      <c r="A2164" s="198" t="s">
        <v>1279</v>
      </c>
      <c r="B2164" s="224" t="s">
        <v>4704</v>
      </c>
      <c r="C2164" s="577" t="s">
        <v>4705</v>
      </c>
      <c r="D2164" s="578" t="s">
        <v>11</v>
      </c>
      <c r="E2164" s="579">
        <v>6.84</v>
      </c>
      <c r="F2164" s="579"/>
      <c r="G2164" s="229" t="s">
        <v>4719</v>
      </c>
      <c r="H2164" s="235">
        <f t="shared" si="65"/>
        <v>6.32</v>
      </c>
      <c r="J2164" s="215"/>
    </row>
    <row r="2165" spans="1:10" ht="25.5" hidden="1" customHeight="1" outlineLevel="1" x14ac:dyDescent="0.2">
      <c r="A2165" s="198" t="s">
        <v>1279</v>
      </c>
      <c r="B2165" s="228" t="s">
        <v>4706</v>
      </c>
      <c r="C2165" s="580" t="s">
        <v>4707</v>
      </c>
      <c r="D2165" s="581" t="s">
        <v>11</v>
      </c>
      <c r="E2165" s="582">
        <v>6.55</v>
      </c>
      <c r="F2165" s="582"/>
      <c r="G2165" s="225" t="s">
        <v>4547</v>
      </c>
      <c r="H2165" s="235">
        <f t="shared" si="65"/>
        <v>16.899999999999999</v>
      </c>
      <c r="J2165" s="215"/>
    </row>
    <row r="2166" spans="1:10" ht="12.75" hidden="1" customHeight="1" outlineLevel="1" x14ac:dyDescent="0.2">
      <c r="A2166" s="198" t="s">
        <v>1279</v>
      </c>
      <c r="B2166" s="224" t="s">
        <v>4708</v>
      </c>
      <c r="C2166" s="225" t="s">
        <v>4533</v>
      </c>
      <c r="D2166" s="226" t="s">
        <v>11</v>
      </c>
      <c r="E2166" s="227">
        <v>5.6</v>
      </c>
      <c r="F2166" s="227"/>
      <c r="G2166" s="229" t="s">
        <v>4663</v>
      </c>
      <c r="H2166" s="235">
        <f t="shared" si="65"/>
        <v>3.2</v>
      </c>
      <c r="J2166" s="215"/>
    </row>
    <row r="2167" spans="1:10" ht="12.75" hidden="1" customHeight="1" outlineLevel="1" x14ac:dyDescent="0.2">
      <c r="A2167" s="198" t="s">
        <v>1279</v>
      </c>
      <c r="B2167" s="228" t="s">
        <v>4709</v>
      </c>
      <c r="C2167" s="229" t="s">
        <v>4550</v>
      </c>
      <c r="D2167" s="230" t="s">
        <v>11</v>
      </c>
      <c r="E2167" s="231">
        <v>9.64</v>
      </c>
      <c r="F2167" s="231"/>
      <c r="G2167" s="225" t="s">
        <v>4533</v>
      </c>
      <c r="H2167" s="235">
        <f t="shared" si="65"/>
        <v>78.399999999999991</v>
      </c>
      <c r="J2167" s="215"/>
    </row>
    <row r="2168" spans="1:10" ht="25.5" hidden="1" customHeight="1" outlineLevel="1" x14ac:dyDescent="0.2">
      <c r="A2168" s="198" t="s">
        <v>1279</v>
      </c>
      <c r="B2168" s="224" t="s">
        <v>4710</v>
      </c>
      <c r="C2168" s="225" t="s">
        <v>4535</v>
      </c>
      <c r="D2168" s="226" t="s">
        <v>11</v>
      </c>
      <c r="E2168" s="227">
        <v>6.85</v>
      </c>
      <c r="F2168" s="227"/>
      <c r="G2168" s="229" t="s">
        <v>4666</v>
      </c>
      <c r="H2168" s="235">
        <f t="shared" si="65"/>
        <v>11</v>
      </c>
      <c r="J2168" s="215"/>
    </row>
    <row r="2169" spans="1:10" ht="25.5" hidden="1" customHeight="1" outlineLevel="1" x14ac:dyDescent="0.2">
      <c r="A2169" s="198" t="s">
        <v>1279</v>
      </c>
      <c r="B2169" s="228" t="s">
        <v>4711</v>
      </c>
      <c r="C2169" s="229" t="s">
        <v>4712</v>
      </c>
      <c r="D2169" s="230" t="s">
        <v>11</v>
      </c>
      <c r="E2169" s="231">
        <v>3.39</v>
      </c>
      <c r="F2169" s="231"/>
      <c r="G2169" s="225" t="s">
        <v>4550</v>
      </c>
      <c r="H2169" s="235">
        <f t="shared" si="65"/>
        <v>130.14000000000001</v>
      </c>
      <c r="J2169" s="215"/>
    </row>
    <row r="2170" spans="1:10" ht="25.5" hidden="1" customHeight="1" outlineLevel="1" x14ac:dyDescent="0.2">
      <c r="A2170" s="198" t="s">
        <v>1279</v>
      </c>
      <c r="B2170" s="216" t="s">
        <v>4713</v>
      </c>
      <c r="C2170" s="217" t="s">
        <v>2974</v>
      </c>
      <c r="D2170" s="218"/>
      <c r="E2170" s="219"/>
      <c r="F2170" s="219"/>
      <c r="G2170" s="229" t="s">
        <v>4669</v>
      </c>
      <c r="H2170" s="235">
        <f t="shared" si="65"/>
        <v>3.18</v>
      </c>
      <c r="J2170" s="215"/>
    </row>
    <row r="2171" spans="1:10" ht="12.75" hidden="1" customHeight="1" outlineLevel="1" x14ac:dyDescent="0.2">
      <c r="A2171" s="198" t="s">
        <v>1279</v>
      </c>
      <c r="B2171" s="224" t="s">
        <v>4714</v>
      </c>
      <c r="C2171" s="225" t="s">
        <v>4511</v>
      </c>
      <c r="D2171" s="226" t="s">
        <v>11</v>
      </c>
      <c r="E2171" s="227">
        <v>4.09</v>
      </c>
      <c r="F2171" s="227"/>
      <c r="G2171" s="225" t="s">
        <v>4671</v>
      </c>
      <c r="H2171" s="235">
        <f t="shared" si="65"/>
        <v>9.27</v>
      </c>
      <c r="J2171" s="215"/>
    </row>
    <row r="2172" spans="1:10" ht="12.75" hidden="1" customHeight="1" outlineLevel="1" x14ac:dyDescent="0.2">
      <c r="A2172" s="198" t="s">
        <v>1279</v>
      </c>
      <c r="B2172" s="228" t="s">
        <v>4715</v>
      </c>
      <c r="C2172" s="229" t="s">
        <v>4512</v>
      </c>
      <c r="D2172" s="230" t="s">
        <v>11</v>
      </c>
      <c r="E2172" s="231">
        <v>14.68</v>
      </c>
      <c r="F2172" s="231"/>
      <c r="G2172" s="229" t="s">
        <v>4673</v>
      </c>
      <c r="H2172" s="235">
        <f t="shared" si="65"/>
        <v>12.15</v>
      </c>
      <c r="J2172" s="215"/>
    </row>
    <row r="2173" spans="1:10" ht="25.5" hidden="1" customHeight="1" outlineLevel="1" x14ac:dyDescent="0.2">
      <c r="A2173" s="198" t="s">
        <v>1279</v>
      </c>
      <c r="B2173" s="224" t="s">
        <v>4716</v>
      </c>
      <c r="C2173" s="225" t="s">
        <v>4517</v>
      </c>
      <c r="D2173" s="226" t="s">
        <v>11</v>
      </c>
      <c r="E2173" s="227">
        <v>8.39</v>
      </c>
      <c r="F2173" s="227"/>
      <c r="G2173" s="225" t="s">
        <v>4675</v>
      </c>
      <c r="H2173" s="235">
        <f t="shared" si="65"/>
        <v>5.25</v>
      </c>
      <c r="J2173" s="215"/>
    </row>
    <row r="2174" spans="1:10" ht="25.5" hidden="1" customHeight="1" outlineLevel="1" x14ac:dyDescent="0.2">
      <c r="A2174" s="198" t="s">
        <v>1279</v>
      </c>
      <c r="B2174" s="228" t="s">
        <v>4717</v>
      </c>
      <c r="C2174" s="580" t="s">
        <v>4522</v>
      </c>
      <c r="D2174" s="581" t="s">
        <v>11</v>
      </c>
      <c r="E2174" s="582">
        <v>3.35</v>
      </c>
      <c r="F2174" s="582"/>
      <c r="G2174" s="229" t="s">
        <v>4677</v>
      </c>
      <c r="H2174" s="235">
        <f t="shared" si="65"/>
        <v>19.64</v>
      </c>
      <c r="J2174" s="215"/>
    </row>
    <row r="2175" spans="1:10" ht="25.5" hidden="1" customHeight="1" outlineLevel="1" x14ac:dyDescent="0.2">
      <c r="A2175" s="198" t="s">
        <v>1279</v>
      </c>
      <c r="B2175" s="224" t="s">
        <v>4718</v>
      </c>
      <c r="C2175" s="577" t="s">
        <v>4719</v>
      </c>
      <c r="D2175" s="578" t="s">
        <v>11</v>
      </c>
      <c r="E2175" s="579">
        <v>3.16</v>
      </c>
      <c r="F2175" s="579"/>
      <c r="G2175" s="225" t="s">
        <v>4679</v>
      </c>
      <c r="H2175" s="235">
        <f t="shared" si="65"/>
        <v>10.25</v>
      </c>
      <c r="J2175" s="215"/>
    </row>
    <row r="2176" spans="1:10" ht="25.5" hidden="1" customHeight="1" outlineLevel="1" x14ac:dyDescent="0.2">
      <c r="A2176" s="198" t="s">
        <v>1279</v>
      </c>
      <c r="B2176" s="228" t="s">
        <v>4720</v>
      </c>
      <c r="C2176" s="229" t="s">
        <v>4533</v>
      </c>
      <c r="D2176" s="230" t="s">
        <v>11</v>
      </c>
      <c r="E2176" s="231">
        <v>5.6</v>
      </c>
      <c r="F2176" s="231"/>
      <c r="G2176" s="229" t="s">
        <v>4681</v>
      </c>
      <c r="H2176" s="235">
        <f t="shared" si="65"/>
        <v>3.64</v>
      </c>
      <c r="J2176" s="215"/>
    </row>
    <row r="2177" spans="1:10" ht="12.75" hidden="1" customHeight="1" outlineLevel="1" x14ac:dyDescent="0.2">
      <c r="A2177" s="198" t="s">
        <v>1279</v>
      </c>
      <c r="B2177" s="224" t="s">
        <v>4721</v>
      </c>
      <c r="C2177" s="225" t="s">
        <v>4550</v>
      </c>
      <c r="D2177" s="226" t="s">
        <v>11</v>
      </c>
      <c r="E2177" s="227">
        <v>9.64</v>
      </c>
      <c r="F2177" s="227"/>
      <c r="G2177" s="225" t="s">
        <v>4683</v>
      </c>
      <c r="H2177" s="235">
        <f t="shared" si="65"/>
        <v>2.27</v>
      </c>
      <c r="J2177" s="215"/>
    </row>
    <row r="2178" spans="1:10" ht="12.75" hidden="1" customHeight="1" outlineLevel="1" x14ac:dyDescent="0.2">
      <c r="A2178" s="198" t="s">
        <v>1279</v>
      </c>
      <c r="B2178" s="228" t="s">
        <v>4722</v>
      </c>
      <c r="C2178" s="229" t="s">
        <v>4723</v>
      </c>
      <c r="D2178" s="230" t="s">
        <v>11</v>
      </c>
      <c r="E2178" s="231">
        <v>2.36</v>
      </c>
      <c r="F2178" s="231"/>
      <c r="G2178" s="229" t="s">
        <v>4685</v>
      </c>
      <c r="H2178" s="235">
        <f t="shared" si="65"/>
        <v>3.37</v>
      </c>
      <c r="J2178" s="215"/>
    </row>
    <row r="2179" spans="1:10" ht="25.5" hidden="1" customHeight="1" outlineLevel="1" x14ac:dyDescent="0.2">
      <c r="A2179" s="198" t="s">
        <v>1279</v>
      </c>
      <c r="B2179" s="224" t="s">
        <v>4724</v>
      </c>
      <c r="C2179" s="225" t="s">
        <v>4535</v>
      </c>
      <c r="D2179" s="226" t="s">
        <v>11</v>
      </c>
      <c r="E2179" s="227">
        <v>11.19</v>
      </c>
      <c r="F2179" s="227"/>
      <c r="G2179" s="225" t="s">
        <v>4687</v>
      </c>
      <c r="H2179" s="235">
        <f t="shared" si="65"/>
        <v>7.35</v>
      </c>
      <c r="J2179" s="215"/>
    </row>
    <row r="2180" spans="1:10" ht="25.5" hidden="1" customHeight="1" outlineLevel="1" x14ac:dyDescent="0.2">
      <c r="A2180" s="198" t="s">
        <v>1279</v>
      </c>
      <c r="B2180" s="216" t="s">
        <v>4725</v>
      </c>
      <c r="C2180" s="217" t="s">
        <v>2975</v>
      </c>
      <c r="D2180" s="218"/>
      <c r="E2180" s="219"/>
      <c r="F2180" s="219"/>
      <c r="G2180" s="229" t="s">
        <v>4755</v>
      </c>
      <c r="H2180" s="235">
        <f t="shared" si="65"/>
        <v>1.23</v>
      </c>
      <c r="J2180" s="215"/>
    </row>
    <row r="2181" spans="1:10" ht="25.5" hidden="1" customHeight="1" outlineLevel="1" x14ac:dyDescent="0.2">
      <c r="A2181" s="198" t="s">
        <v>1279</v>
      </c>
      <c r="B2181" s="228" t="s">
        <v>4726</v>
      </c>
      <c r="C2181" s="229" t="s">
        <v>4511</v>
      </c>
      <c r="D2181" s="230" t="s">
        <v>11</v>
      </c>
      <c r="E2181" s="231">
        <v>4.09</v>
      </c>
      <c r="F2181" s="231"/>
      <c r="G2181" s="225" t="s">
        <v>4757</v>
      </c>
      <c r="H2181" s="235">
        <f t="shared" si="65"/>
        <v>2</v>
      </c>
      <c r="J2181" s="215"/>
    </row>
    <row r="2182" spans="1:10" ht="12.75" hidden="1" customHeight="1" outlineLevel="1" x14ac:dyDescent="0.2">
      <c r="A2182" s="198" t="s">
        <v>1279</v>
      </c>
      <c r="B2182" s="224" t="s">
        <v>4727</v>
      </c>
      <c r="C2182" s="225" t="s">
        <v>4512</v>
      </c>
      <c r="D2182" s="226" t="s">
        <v>11</v>
      </c>
      <c r="E2182" s="227">
        <v>14.68</v>
      </c>
      <c r="F2182" s="227"/>
      <c r="G2182" s="229" t="s">
        <v>4759</v>
      </c>
      <c r="H2182" s="235">
        <f t="shared" si="65"/>
        <v>2.85</v>
      </c>
      <c r="J2182" s="215"/>
    </row>
    <row r="2183" spans="1:10" ht="12.75" hidden="1" customHeight="1" outlineLevel="1" x14ac:dyDescent="0.2">
      <c r="A2183" s="198" t="s">
        <v>1279</v>
      </c>
      <c r="B2183" s="228" t="s">
        <v>4728</v>
      </c>
      <c r="C2183" s="229" t="s">
        <v>4513</v>
      </c>
      <c r="D2183" s="230" t="s">
        <v>11</v>
      </c>
      <c r="E2183" s="231">
        <v>0.76</v>
      </c>
      <c r="F2183" s="231"/>
      <c r="G2183" s="225" t="s">
        <v>4723</v>
      </c>
      <c r="H2183" s="235">
        <f t="shared" si="65"/>
        <v>7.08</v>
      </c>
      <c r="J2183" s="215"/>
    </row>
    <row r="2184" spans="1:10" ht="25.5" hidden="1" customHeight="1" outlineLevel="1" x14ac:dyDescent="0.2">
      <c r="A2184" s="198" t="s">
        <v>1279</v>
      </c>
      <c r="B2184" s="224" t="s">
        <v>4729</v>
      </c>
      <c r="C2184" s="225" t="s">
        <v>4517</v>
      </c>
      <c r="D2184" s="226" t="s">
        <v>11</v>
      </c>
      <c r="E2184" s="227">
        <v>11.19</v>
      </c>
      <c r="F2184" s="227"/>
      <c r="G2184" s="229" t="s">
        <v>4761</v>
      </c>
      <c r="H2184" s="235">
        <f t="shared" ref="H2184:H2196" si="66">SUMIFS($E:$E,$C:$C,G2184,$A:$A,$G$30)</f>
        <v>9.6300000000000008</v>
      </c>
      <c r="J2184" s="215"/>
    </row>
    <row r="2185" spans="1:10" ht="25.5" hidden="1" customHeight="1" outlineLevel="1" x14ac:dyDescent="0.2">
      <c r="A2185" s="198" t="s">
        <v>1279</v>
      </c>
      <c r="B2185" s="228" t="s">
        <v>4730</v>
      </c>
      <c r="C2185" s="580" t="s">
        <v>4522</v>
      </c>
      <c r="D2185" s="581" t="s">
        <v>11</v>
      </c>
      <c r="E2185" s="582">
        <v>6.69</v>
      </c>
      <c r="F2185" s="582"/>
      <c r="G2185" s="225" t="s">
        <v>4763</v>
      </c>
      <c r="H2185" s="235">
        <f t="shared" si="66"/>
        <v>2.6</v>
      </c>
      <c r="J2185" s="215"/>
    </row>
    <row r="2186" spans="1:10" ht="25.5" hidden="1" customHeight="1" outlineLevel="1" x14ac:dyDescent="0.2">
      <c r="A2186" s="198" t="s">
        <v>1279</v>
      </c>
      <c r="B2186" s="224" t="s">
        <v>4731</v>
      </c>
      <c r="C2186" s="577" t="s">
        <v>4525</v>
      </c>
      <c r="D2186" s="578" t="s">
        <v>11</v>
      </c>
      <c r="E2186" s="579">
        <v>5.57</v>
      </c>
      <c r="F2186" s="579"/>
      <c r="G2186" s="229" t="s">
        <v>4765</v>
      </c>
      <c r="H2186" s="235">
        <f t="shared" si="66"/>
        <v>4.4800000000000004</v>
      </c>
      <c r="J2186" s="215"/>
    </row>
    <row r="2187" spans="1:10" ht="12.75" hidden="1" customHeight="1" outlineLevel="1" x14ac:dyDescent="0.2">
      <c r="A2187" s="198" t="s">
        <v>1279</v>
      </c>
      <c r="B2187" s="228" t="s">
        <v>4732</v>
      </c>
      <c r="C2187" s="580" t="s">
        <v>4700</v>
      </c>
      <c r="D2187" s="581" t="s">
        <v>11</v>
      </c>
      <c r="E2187" s="582">
        <v>3.94</v>
      </c>
      <c r="F2187" s="582"/>
      <c r="G2187" s="225" t="s">
        <v>4689</v>
      </c>
      <c r="H2187" s="235">
        <f t="shared" si="66"/>
        <v>1.98</v>
      </c>
      <c r="J2187" s="215"/>
    </row>
    <row r="2188" spans="1:10" ht="25.5" hidden="1" customHeight="1" outlineLevel="1" x14ac:dyDescent="0.2">
      <c r="A2188" s="198" t="s">
        <v>1279</v>
      </c>
      <c r="B2188" s="224" t="s">
        <v>4733</v>
      </c>
      <c r="C2188" s="577" t="s">
        <v>4703</v>
      </c>
      <c r="D2188" s="578" t="s">
        <v>11</v>
      </c>
      <c r="E2188" s="579">
        <v>8.98</v>
      </c>
      <c r="F2188" s="579"/>
      <c r="G2188" s="229" t="s">
        <v>4480</v>
      </c>
      <c r="H2188" s="235">
        <f t="shared" si="66"/>
        <v>0</v>
      </c>
      <c r="J2188" s="215"/>
    </row>
    <row r="2189" spans="1:10" ht="12.75" hidden="1" customHeight="1" outlineLevel="1" x14ac:dyDescent="0.2">
      <c r="A2189" s="198" t="s">
        <v>1279</v>
      </c>
      <c r="B2189" s="228" t="s">
        <v>4734</v>
      </c>
      <c r="C2189" s="580" t="s">
        <v>4705</v>
      </c>
      <c r="D2189" s="581" t="s">
        <v>11</v>
      </c>
      <c r="E2189" s="582">
        <v>6.84</v>
      </c>
      <c r="F2189" s="582"/>
      <c r="G2189" s="225" t="s">
        <v>4481</v>
      </c>
      <c r="H2189" s="235">
        <f t="shared" si="66"/>
        <v>0</v>
      </c>
      <c r="J2189" s="215"/>
    </row>
    <row r="2190" spans="1:10" ht="25.5" hidden="1" customHeight="1" outlineLevel="1" x14ac:dyDescent="0.2">
      <c r="A2190" s="198" t="s">
        <v>1279</v>
      </c>
      <c r="B2190" s="224" t="s">
        <v>4735</v>
      </c>
      <c r="C2190" s="577" t="s">
        <v>4707</v>
      </c>
      <c r="D2190" s="578" t="s">
        <v>11</v>
      </c>
      <c r="E2190" s="579">
        <v>6.55</v>
      </c>
      <c r="F2190" s="579"/>
      <c r="G2190" s="229" t="s">
        <v>4482</v>
      </c>
      <c r="H2190" s="235">
        <f t="shared" si="66"/>
        <v>0</v>
      </c>
      <c r="J2190" s="215"/>
    </row>
    <row r="2191" spans="1:10" ht="25.5" hidden="1" customHeight="1" outlineLevel="1" x14ac:dyDescent="0.2">
      <c r="A2191" s="198" t="s">
        <v>1279</v>
      </c>
      <c r="B2191" s="228" t="s">
        <v>4736</v>
      </c>
      <c r="C2191" s="229" t="s">
        <v>4533</v>
      </c>
      <c r="D2191" s="230" t="s">
        <v>11</v>
      </c>
      <c r="E2191" s="231">
        <v>5.6</v>
      </c>
      <c r="F2191" s="231"/>
      <c r="G2191" s="225" t="s">
        <v>4691</v>
      </c>
      <c r="H2191" s="235">
        <f t="shared" si="66"/>
        <v>6.46</v>
      </c>
      <c r="J2191" s="215"/>
    </row>
    <row r="2192" spans="1:10" ht="25.5" hidden="1" customHeight="1" outlineLevel="1" x14ac:dyDescent="0.2">
      <c r="A2192" s="198" t="s">
        <v>1279</v>
      </c>
      <c r="B2192" s="224" t="s">
        <v>4737</v>
      </c>
      <c r="C2192" s="225" t="s">
        <v>4550</v>
      </c>
      <c r="D2192" s="226" t="s">
        <v>11</v>
      </c>
      <c r="E2192" s="227">
        <v>9.64</v>
      </c>
      <c r="F2192" s="227"/>
      <c r="G2192" s="229" t="s">
        <v>4535</v>
      </c>
      <c r="H2192" s="235">
        <f t="shared" si="66"/>
        <v>90.390000000000015</v>
      </c>
      <c r="J2192" s="215"/>
    </row>
    <row r="2193" spans="1:10" ht="25.5" hidden="1" customHeight="1" outlineLevel="1" x14ac:dyDescent="0.2">
      <c r="A2193" s="198" t="s">
        <v>1279</v>
      </c>
      <c r="B2193" s="228" t="s">
        <v>4738</v>
      </c>
      <c r="C2193" s="229" t="s">
        <v>4723</v>
      </c>
      <c r="D2193" s="230" t="s">
        <v>11</v>
      </c>
      <c r="E2193" s="231">
        <v>2.36</v>
      </c>
      <c r="F2193" s="231"/>
      <c r="G2193" s="225" t="s">
        <v>4767</v>
      </c>
      <c r="H2193" s="235">
        <f t="shared" si="66"/>
        <v>33.619999999999997</v>
      </c>
      <c r="J2193" s="215"/>
    </row>
    <row r="2194" spans="1:10" ht="12.75" hidden="1" customHeight="1" outlineLevel="1" x14ac:dyDescent="0.2">
      <c r="A2194" s="198" t="s">
        <v>1279</v>
      </c>
      <c r="B2194" s="224" t="s">
        <v>4739</v>
      </c>
      <c r="C2194" s="225" t="s">
        <v>4535</v>
      </c>
      <c r="D2194" s="226" t="s">
        <v>11</v>
      </c>
      <c r="E2194" s="227">
        <v>10.48</v>
      </c>
      <c r="F2194" s="227"/>
      <c r="G2194" s="229" t="s">
        <v>4510</v>
      </c>
      <c r="H2194" s="235">
        <f t="shared" si="66"/>
        <v>1.1200000000000001</v>
      </c>
      <c r="J2194" s="215"/>
    </row>
    <row r="2195" spans="1:10" ht="12.75" hidden="1" customHeight="1" outlineLevel="1" x14ac:dyDescent="0.2">
      <c r="A2195" s="198" t="s">
        <v>1279</v>
      </c>
      <c r="B2195" s="216" t="s">
        <v>4740</v>
      </c>
      <c r="C2195" s="217" t="s">
        <v>2976</v>
      </c>
      <c r="D2195" s="218"/>
      <c r="E2195" s="219"/>
      <c r="F2195" s="219"/>
      <c r="G2195" s="225" t="s">
        <v>4712</v>
      </c>
      <c r="H2195" s="235">
        <f t="shared" si="66"/>
        <v>3.39</v>
      </c>
      <c r="J2195" s="215"/>
    </row>
    <row r="2196" spans="1:10" ht="25.5" hidden="1" customHeight="1" outlineLevel="1" x14ac:dyDescent="0.2">
      <c r="A2196" s="198" t="s">
        <v>1279</v>
      </c>
      <c r="B2196" s="228" t="s">
        <v>4741</v>
      </c>
      <c r="C2196" s="229" t="s">
        <v>4511</v>
      </c>
      <c r="D2196" s="230" t="s">
        <v>11</v>
      </c>
      <c r="E2196" s="231">
        <v>4.09</v>
      </c>
      <c r="F2196" s="231"/>
      <c r="G2196" s="225" t="s">
        <v>4772</v>
      </c>
      <c r="H2196" s="235">
        <f t="shared" si="66"/>
        <v>6</v>
      </c>
      <c r="J2196" s="215"/>
    </row>
    <row r="2197" spans="1:10" ht="25.5" hidden="1" customHeight="1" outlineLevel="1" x14ac:dyDescent="0.2">
      <c r="A2197" s="198" t="s">
        <v>1279</v>
      </c>
      <c r="B2197" s="224" t="s">
        <v>4742</v>
      </c>
      <c r="C2197" s="225" t="s">
        <v>4512</v>
      </c>
      <c r="D2197" s="226" t="s">
        <v>11</v>
      </c>
      <c r="E2197" s="227">
        <v>14.68</v>
      </c>
      <c r="F2197" s="227"/>
      <c r="J2197" s="215"/>
    </row>
    <row r="2198" spans="1:10" ht="25.5" hidden="1" customHeight="1" outlineLevel="1" x14ac:dyDescent="0.2">
      <c r="A2198" s="198" t="s">
        <v>1279</v>
      </c>
      <c r="B2198" s="228" t="s">
        <v>4743</v>
      </c>
      <c r="C2198" s="229" t="s">
        <v>4517</v>
      </c>
      <c r="D2198" s="230" t="s">
        <v>11</v>
      </c>
      <c r="E2198" s="231">
        <v>8.39</v>
      </c>
      <c r="F2198" s="231"/>
      <c r="J2198" s="215"/>
    </row>
    <row r="2199" spans="1:10" ht="12.75" hidden="1" customHeight="1" outlineLevel="1" x14ac:dyDescent="0.2">
      <c r="A2199" s="198" t="s">
        <v>1279</v>
      </c>
      <c r="B2199" s="224" t="s">
        <v>4744</v>
      </c>
      <c r="C2199" s="577" t="s">
        <v>4522</v>
      </c>
      <c r="D2199" s="578" t="s">
        <v>11</v>
      </c>
      <c r="E2199" s="579">
        <v>3.35</v>
      </c>
      <c r="F2199" s="579"/>
      <c r="J2199" s="215"/>
    </row>
    <row r="2200" spans="1:10" ht="12.75" hidden="1" customHeight="1" outlineLevel="1" x14ac:dyDescent="0.2">
      <c r="A2200" s="198" t="s">
        <v>1279</v>
      </c>
      <c r="B2200" s="228" t="s">
        <v>4745</v>
      </c>
      <c r="C2200" s="580" t="s">
        <v>4526</v>
      </c>
      <c r="D2200" s="581" t="s">
        <v>11</v>
      </c>
      <c r="E2200" s="582">
        <v>7.21</v>
      </c>
      <c r="F2200" s="582"/>
      <c r="J2200" s="215"/>
    </row>
    <row r="2201" spans="1:10" ht="25.5" hidden="1" customHeight="1" outlineLevel="1" x14ac:dyDescent="0.2">
      <c r="A2201" s="198" t="s">
        <v>1279</v>
      </c>
      <c r="B2201" s="224" t="s">
        <v>4746</v>
      </c>
      <c r="C2201" s="577" t="s">
        <v>4539</v>
      </c>
      <c r="D2201" s="578" t="s">
        <v>11</v>
      </c>
      <c r="E2201" s="579">
        <v>5.0599999999999996</v>
      </c>
      <c r="F2201" s="579"/>
      <c r="J2201" s="215"/>
    </row>
    <row r="2202" spans="1:10" ht="25.5" hidden="1" customHeight="1" outlineLevel="1" x14ac:dyDescent="0.2">
      <c r="A2202" s="198" t="s">
        <v>1279</v>
      </c>
      <c r="B2202" s="228" t="s">
        <v>4747</v>
      </c>
      <c r="C2202" s="580" t="s">
        <v>4719</v>
      </c>
      <c r="D2202" s="581" t="s">
        <v>11</v>
      </c>
      <c r="E2202" s="582">
        <v>3.16</v>
      </c>
      <c r="F2202" s="582"/>
      <c r="J2202" s="215"/>
    </row>
    <row r="2203" spans="1:10" ht="25.5" hidden="1" customHeight="1" outlineLevel="1" x14ac:dyDescent="0.2">
      <c r="A2203" s="198" t="s">
        <v>1279</v>
      </c>
      <c r="B2203" s="224" t="s">
        <v>4748</v>
      </c>
      <c r="C2203" s="225" t="s">
        <v>4533</v>
      </c>
      <c r="D2203" s="226" t="s">
        <v>11</v>
      </c>
      <c r="E2203" s="227">
        <v>5.6</v>
      </c>
      <c r="F2203" s="227"/>
      <c r="J2203" s="215"/>
    </row>
    <row r="2204" spans="1:10" ht="25.5" hidden="1" customHeight="1" outlineLevel="1" x14ac:dyDescent="0.2">
      <c r="A2204" s="198" t="s">
        <v>1279</v>
      </c>
      <c r="B2204" s="228" t="s">
        <v>4749</v>
      </c>
      <c r="C2204" s="229" t="s">
        <v>4550</v>
      </c>
      <c r="D2204" s="230" t="s">
        <v>11</v>
      </c>
      <c r="E2204" s="231">
        <v>9.64</v>
      </c>
      <c r="F2204" s="231"/>
      <c r="J2204" s="215"/>
    </row>
    <row r="2205" spans="1:10" ht="12.75" hidden="1" customHeight="1" outlineLevel="1" x14ac:dyDescent="0.2">
      <c r="A2205" s="198" t="s">
        <v>1279</v>
      </c>
      <c r="B2205" s="224" t="s">
        <v>4750</v>
      </c>
      <c r="C2205" s="225" t="s">
        <v>4723</v>
      </c>
      <c r="D2205" s="226" t="s">
        <v>11</v>
      </c>
      <c r="E2205" s="227">
        <v>2.36</v>
      </c>
      <c r="F2205" s="227"/>
      <c r="J2205" s="215"/>
    </row>
    <row r="2206" spans="1:10" ht="12.75" hidden="1" customHeight="1" outlineLevel="1" x14ac:dyDescent="0.2">
      <c r="A2206" s="198" t="s">
        <v>1279</v>
      </c>
      <c r="B2206" s="228" t="s">
        <v>4751</v>
      </c>
      <c r="C2206" s="229" t="s">
        <v>4535</v>
      </c>
      <c r="D2206" s="230" t="s">
        <v>11</v>
      </c>
      <c r="E2206" s="231">
        <v>11.23</v>
      </c>
      <c r="F2206" s="231"/>
      <c r="J2206" s="215"/>
    </row>
    <row r="2207" spans="1:10" ht="25.5" hidden="1" customHeight="1" outlineLevel="1" x14ac:dyDescent="0.2">
      <c r="A2207" s="198" t="s">
        <v>1279</v>
      </c>
      <c r="B2207" s="216" t="s">
        <v>4752</v>
      </c>
      <c r="C2207" s="217" t="s">
        <v>2978</v>
      </c>
      <c r="D2207" s="218"/>
      <c r="E2207" s="219"/>
      <c r="F2207" s="219"/>
      <c r="J2207" s="215"/>
    </row>
    <row r="2208" spans="1:10" ht="25.5" hidden="1" customHeight="1" outlineLevel="1" x14ac:dyDescent="0.2">
      <c r="A2208" s="198" t="s">
        <v>1279</v>
      </c>
      <c r="B2208" s="224" t="s">
        <v>4753</v>
      </c>
      <c r="C2208" s="225" t="s">
        <v>4513</v>
      </c>
      <c r="D2208" s="226" t="s">
        <v>11</v>
      </c>
      <c r="E2208" s="227">
        <v>0.76</v>
      </c>
      <c r="F2208" s="227"/>
      <c r="J2208" s="215"/>
    </row>
    <row r="2209" spans="1:10" ht="25.5" hidden="1" customHeight="1" outlineLevel="1" x14ac:dyDescent="0.2">
      <c r="A2209" s="198" t="s">
        <v>1279</v>
      </c>
      <c r="B2209" s="228" t="s">
        <v>4754</v>
      </c>
      <c r="C2209" s="229" t="s">
        <v>4755</v>
      </c>
      <c r="D2209" s="230" t="s">
        <v>11</v>
      </c>
      <c r="E2209" s="231">
        <v>1.23</v>
      </c>
      <c r="F2209" s="231"/>
      <c r="J2209" s="215"/>
    </row>
    <row r="2210" spans="1:10" ht="12.75" hidden="1" customHeight="1" outlineLevel="1" x14ac:dyDescent="0.2">
      <c r="A2210" s="198" t="s">
        <v>1279</v>
      </c>
      <c r="B2210" s="224" t="s">
        <v>4756</v>
      </c>
      <c r="C2210" s="225" t="s">
        <v>4757</v>
      </c>
      <c r="D2210" s="226" t="s">
        <v>11</v>
      </c>
      <c r="E2210" s="227">
        <v>2</v>
      </c>
      <c r="F2210" s="227"/>
      <c r="J2210" s="215"/>
    </row>
    <row r="2211" spans="1:10" ht="12.75" hidden="1" customHeight="1" outlineLevel="1" x14ac:dyDescent="0.2">
      <c r="A2211" s="198" t="s">
        <v>1279</v>
      </c>
      <c r="B2211" s="228" t="s">
        <v>4758</v>
      </c>
      <c r="C2211" s="229" t="s">
        <v>4759</v>
      </c>
      <c r="D2211" s="230" t="s">
        <v>11</v>
      </c>
      <c r="E2211" s="231">
        <v>2.85</v>
      </c>
      <c r="F2211" s="231"/>
      <c r="J2211" s="215"/>
    </row>
    <row r="2212" spans="1:10" ht="12.75" hidden="1" customHeight="1" outlineLevel="1" x14ac:dyDescent="0.2">
      <c r="A2212" s="198" t="s">
        <v>1279</v>
      </c>
      <c r="B2212" s="224" t="s">
        <v>4760</v>
      </c>
      <c r="C2212" s="225" t="s">
        <v>4761</v>
      </c>
      <c r="D2212" s="226" t="s">
        <v>11</v>
      </c>
      <c r="E2212" s="227">
        <v>9.6300000000000008</v>
      </c>
      <c r="F2212" s="227"/>
      <c r="J2212" s="215"/>
    </row>
    <row r="2213" spans="1:10" ht="25.5" hidden="1" customHeight="1" outlineLevel="1" x14ac:dyDescent="0.2">
      <c r="A2213" s="198" t="s">
        <v>1279</v>
      </c>
      <c r="B2213" s="228" t="s">
        <v>4762</v>
      </c>
      <c r="C2213" s="229" t="s">
        <v>4763</v>
      </c>
      <c r="D2213" s="230" t="s">
        <v>11</v>
      </c>
      <c r="E2213" s="231">
        <v>2.6</v>
      </c>
      <c r="F2213" s="231"/>
      <c r="J2213" s="215"/>
    </row>
    <row r="2214" spans="1:10" ht="25.5" hidden="1" customHeight="1" outlineLevel="1" x14ac:dyDescent="0.2">
      <c r="A2214" s="198" t="s">
        <v>1279</v>
      </c>
      <c r="B2214" s="224" t="s">
        <v>4764</v>
      </c>
      <c r="C2214" s="225" t="s">
        <v>4765</v>
      </c>
      <c r="D2214" s="226" t="s">
        <v>11</v>
      </c>
      <c r="E2214" s="227">
        <v>4.4800000000000004</v>
      </c>
      <c r="F2214" s="227"/>
      <c r="J2214" s="215"/>
    </row>
    <row r="2215" spans="1:10" ht="25.5" hidden="1" customHeight="1" outlineLevel="1" x14ac:dyDescent="0.2">
      <c r="A2215" s="198" t="s">
        <v>1279</v>
      </c>
      <c r="B2215" s="228" t="s">
        <v>4766</v>
      </c>
      <c r="C2215" s="229" t="s">
        <v>4767</v>
      </c>
      <c r="D2215" s="230" t="s">
        <v>11</v>
      </c>
      <c r="E2215" s="231">
        <v>33.619999999999997</v>
      </c>
      <c r="F2215" s="231"/>
      <c r="J2215" s="215"/>
    </row>
    <row r="2216" spans="1:10" ht="25.5" hidden="1" customHeight="1" outlineLevel="1" x14ac:dyDescent="0.2">
      <c r="A2216" s="198" t="s">
        <v>1279</v>
      </c>
      <c r="B2216" s="216" t="s">
        <v>4768</v>
      </c>
      <c r="C2216" s="217" t="s">
        <v>2980</v>
      </c>
      <c r="D2216" s="218"/>
      <c r="E2216" s="219"/>
      <c r="F2216" s="219"/>
      <c r="J2216" s="215"/>
    </row>
    <row r="2217" spans="1:10" ht="12.75" hidden="1" customHeight="1" outlineLevel="1" x14ac:dyDescent="0.2">
      <c r="A2217" s="198" t="s">
        <v>1279</v>
      </c>
      <c r="B2217" s="224" t="s">
        <v>4769</v>
      </c>
      <c r="C2217" s="225" t="s">
        <v>4772</v>
      </c>
      <c r="D2217" s="226" t="s">
        <v>2</v>
      </c>
      <c r="E2217" s="227">
        <v>1</v>
      </c>
      <c r="F2217" s="227"/>
      <c r="J2217" s="215"/>
    </row>
    <row r="2218" spans="1:10" ht="25.5" hidden="1" customHeight="1" outlineLevel="1" x14ac:dyDescent="0.2">
      <c r="A2218" s="198" t="s">
        <v>1279</v>
      </c>
      <c r="B2218" s="228" t="s">
        <v>4774</v>
      </c>
      <c r="C2218" s="229" t="s">
        <v>4689</v>
      </c>
      <c r="D2218" s="230" t="s">
        <v>11</v>
      </c>
      <c r="E2218" s="231">
        <v>1.32</v>
      </c>
      <c r="F2218" s="231"/>
      <c r="J2218" s="215"/>
    </row>
    <row r="2219" spans="1:10" ht="12.75" hidden="1" customHeight="1" outlineLevel="1" x14ac:dyDescent="0.2">
      <c r="A2219" s="198" t="s">
        <v>1279</v>
      </c>
      <c r="B2219" s="216" t="s">
        <v>4775</v>
      </c>
      <c r="C2219" s="217" t="s">
        <v>2983</v>
      </c>
      <c r="D2219" s="218"/>
      <c r="E2219" s="219"/>
      <c r="F2219" s="219"/>
      <c r="J2219" s="215"/>
    </row>
    <row r="2220" spans="1:10" ht="25.5" hidden="1" customHeight="1" outlineLevel="1" x14ac:dyDescent="0.2">
      <c r="A2220" s="198" t="s">
        <v>1279</v>
      </c>
      <c r="B2220" s="224" t="s">
        <v>4776</v>
      </c>
      <c r="C2220" s="225" t="s">
        <v>4772</v>
      </c>
      <c r="D2220" s="226" t="s">
        <v>2</v>
      </c>
      <c r="E2220" s="227">
        <v>2</v>
      </c>
      <c r="F2220" s="227"/>
      <c r="J2220" s="215"/>
    </row>
    <row r="2221" spans="1:10" ht="25.5" hidden="1" customHeight="1" outlineLevel="1" x14ac:dyDescent="0.2">
      <c r="A2221" s="198" t="s">
        <v>1279</v>
      </c>
      <c r="B2221" s="216" t="s">
        <v>4777</v>
      </c>
      <c r="C2221" s="217" t="s">
        <v>3228</v>
      </c>
      <c r="D2221" s="218"/>
      <c r="E2221" s="219"/>
      <c r="F2221" s="219"/>
      <c r="J2221" s="215"/>
    </row>
    <row r="2222" spans="1:10" ht="25.5" hidden="1" customHeight="1" outlineLevel="1" x14ac:dyDescent="0.2">
      <c r="A2222" s="198" t="s">
        <v>1279</v>
      </c>
      <c r="B2222" s="228" t="s">
        <v>4778</v>
      </c>
      <c r="C2222" s="229" t="s">
        <v>4772</v>
      </c>
      <c r="D2222" s="230" t="s">
        <v>2</v>
      </c>
      <c r="E2222" s="231">
        <v>1</v>
      </c>
      <c r="F2222" s="231"/>
      <c r="J2222" s="215"/>
    </row>
    <row r="2223" spans="1:10" collapsed="1" x14ac:dyDescent="0.2">
      <c r="B2223" s="515" t="s">
        <v>2599</v>
      </c>
      <c r="C2223" s="516" t="s">
        <v>1673</v>
      </c>
      <c r="D2223" s="515"/>
      <c r="E2223" s="520">
        <f>SUM(E2225:E2300)</f>
        <v>422</v>
      </c>
      <c r="F2223" s="520"/>
      <c r="G2223" s="516"/>
      <c r="H2223" s="234">
        <f>SUM(H2224:H2231)</f>
        <v>422</v>
      </c>
      <c r="I2223" s="242" t="str">
        <f>IF(H2223=E2223,"OKAY","REVER")</f>
        <v>OKAY</v>
      </c>
      <c r="J2223" s="405"/>
    </row>
    <row r="2224" spans="1:10" ht="12.75" hidden="1" customHeight="1" outlineLevel="1" x14ac:dyDescent="0.2">
      <c r="A2224" s="198" t="s">
        <v>1278</v>
      </c>
      <c r="B2224" s="216" t="s">
        <v>1689</v>
      </c>
      <c r="C2224" s="217" t="s">
        <v>2958</v>
      </c>
      <c r="D2224" s="218"/>
      <c r="E2224" s="219"/>
      <c r="F2224" s="219"/>
      <c r="G2224" s="225" t="s">
        <v>4780</v>
      </c>
      <c r="H2224" s="235">
        <f t="shared" ref="H2224:H2231" si="67">SUMIF($C:$C,G2224,$E:$E)</f>
        <v>2</v>
      </c>
      <c r="J2224" s="215"/>
    </row>
    <row r="2225" spans="1:10" ht="12.75" hidden="1" customHeight="1" outlineLevel="1" x14ac:dyDescent="0.2">
      <c r="A2225" s="198" t="s">
        <v>1278</v>
      </c>
      <c r="B2225" s="224" t="s">
        <v>2600</v>
      </c>
      <c r="C2225" s="225" t="s">
        <v>4780</v>
      </c>
      <c r="D2225" s="226" t="s">
        <v>2</v>
      </c>
      <c r="E2225" s="227">
        <v>2</v>
      </c>
      <c r="F2225" s="227"/>
      <c r="G2225" s="229" t="s">
        <v>4783</v>
      </c>
      <c r="H2225" s="235">
        <f t="shared" si="67"/>
        <v>138</v>
      </c>
      <c r="J2225" s="215"/>
    </row>
    <row r="2226" spans="1:10" ht="12.75" hidden="1" customHeight="1" outlineLevel="1" x14ac:dyDescent="0.2">
      <c r="A2226" s="198" t="s">
        <v>1278</v>
      </c>
      <c r="B2226" s="228" t="s">
        <v>2602</v>
      </c>
      <c r="C2226" s="229" t="s">
        <v>4781</v>
      </c>
      <c r="D2226" s="230" t="s">
        <v>2</v>
      </c>
      <c r="E2226" s="231">
        <v>5</v>
      </c>
      <c r="F2226" s="231"/>
      <c r="G2226" s="225" t="s">
        <v>4784</v>
      </c>
      <c r="H2226" s="235">
        <f t="shared" si="67"/>
        <v>124</v>
      </c>
      <c r="J2226" s="215"/>
    </row>
    <row r="2227" spans="1:10" ht="12.75" hidden="1" customHeight="1" outlineLevel="1" x14ac:dyDescent="0.2">
      <c r="A2227" s="198" t="s">
        <v>1278</v>
      </c>
      <c r="B2227" s="224" t="s">
        <v>2604</v>
      </c>
      <c r="C2227" s="225" t="s">
        <v>4782</v>
      </c>
      <c r="D2227" s="226" t="s">
        <v>2</v>
      </c>
      <c r="E2227" s="227">
        <v>2</v>
      </c>
      <c r="F2227" s="227"/>
      <c r="G2227" s="229" t="s">
        <v>4781</v>
      </c>
      <c r="H2227" s="235">
        <f t="shared" si="67"/>
        <v>152</v>
      </c>
      <c r="J2227" s="215"/>
    </row>
    <row r="2228" spans="1:10" ht="12.75" hidden="1" customHeight="1" outlineLevel="1" x14ac:dyDescent="0.2">
      <c r="A2228" s="198" t="s">
        <v>1279</v>
      </c>
      <c r="B2228" s="216" t="s">
        <v>1717</v>
      </c>
      <c r="C2228" s="217" t="s">
        <v>2960</v>
      </c>
      <c r="D2228" s="218"/>
      <c r="E2228" s="219"/>
      <c r="F2228" s="219"/>
      <c r="G2228" s="225" t="s">
        <v>4815</v>
      </c>
      <c r="H2228" s="235">
        <f t="shared" si="67"/>
        <v>1</v>
      </c>
      <c r="J2228" s="215"/>
    </row>
    <row r="2229" spans="1:10" ht="12.75" hidden="1" customHeight="1" outlineLevel="1" x14ac:dyDescent="0.2">
      <c r="A2229" s="198" t="s">
        <v>1279</v>
      </c>
      <c r="B2229" s="228" t="s">
        <v>2608</v>
      </c>
      <c r="C2229" s="229" t="s">
        <v>4783</v>
      </c>
      <c r="D2229" s="230" t="s">
        <v>2</v>
      </c>
      <c r="E2229" s="231">
        <v>6</v>
      </c>
      <c r="F2229" s="231"/>
      <c r="G2229" s="229" t="s">
        <v>4817</v>
      </c>
      <c r="H2229" s="235">
        <f t="shared" si="67"/>
        <v>1</v>
      </c>
      <c r="J2229" s="215"/>
    </row>
    <row r="2230" spans="1:10" ht="12.75" hidden="1" customHeight="1" outlineLevel="1" x14ac:dyDescent="0.2">
      <c r="A2230" s="198" t="s">
        <v>1279</v>
      </c>
      <c r="B2230" s="224" t="s">
        <v>2610</v>
      </c>
      <c r="C2230" s="225" t="s">
        <v>4784</v>
      </c>
      <c r="D2230" s="226" t="s">
        <v>2</v>
      </c>
      <c r="E2230" s="227">
        <v>6</v>
      </c>
      <c r="F2230" s="227"/>
      <c r="G2230" s="225" t="s">
        <v>4782</v>
      </c>
      <c r="H2230" s="235">
        <f t="shared" si="67"/>
        <v>2</v>
      </c>
      <c r="I2230" s="198"/>
      <c r="J2230" s="215"/>
    </row>
    <row r="2231" spans="1:10" ht="12.75" hidden="1" customHeight="1" outlineLevel="1" x14ac:dyDescent="0.2">
      <c r="A2231" s="198" t="s">
        <v>1279</v>
      </c>
      <c r="B2231" s="228" t="s">
        <v>2612</v>
      </c>
      <c r="C2231" s="229" t="s">
        <v>4781</v>
      </c>
      <c r="D2231" s="230" t="s">
        <v>2</v>
      </c>
      <c r="E2231" s="231">
        <v>8</v>
      </c>
      <c r="F2231" s="231"/>
      <c r="G2231" s="229" t="s">
        <v>4785</v>
      </c>
      <c r="H2231" s="235">
        <f t="shared" si="67"/>
        <v>2</v>
      </c>
      <c r="J2231" s="215"/>
    </row>
    <row r="2232" spans="1:10" ht="12.75" hidden="1" customHeight="1" outlineLevel="1" x14ac:dyDescent="0.2">
      <c r="A2232" s="198" t="s">
        <v>1279</v>
      </c>
      <c r="B2232" s="216" t="s">
        <v>1718</v>
      </c>
      <c r="C2232" s="217" t="s">
        <v>2961</v>
      </c>
      <c r="D2232" s="218"/>
      <c r="E2232" s="219"/>
      <c r="F2232" s="219"/>
      <c r="J2232" s="215"/>
    </row>
    <row r="2233" spans="1:10" ht="12.75" hidden="1" customHeight="1" outlineLevel="1" x14ac:dyDescent="0.2">
      <c r="A2233" s="198" t="s">
        <v>1279</v>
      </c>
      <c r="B2233" s="224" t="s">
        <v>2616</v>
      </c>
      <c r="C2233" s="225" t="s">
        <v>4783</v>
      </c>
      <c r="D2233" s="226" t="s">
        <v>2</v>
      </c>
      <c r="E2233" s="227">
        <v>12</v>
      </c>
      <c r="F2233" s="227"/>
      <c r="G2233" s="520" t="s">
        <v>1732</v>
      </c>
      <c r="H2233" s="234">
        <f>H2235+H2247</f>
        <v>422</v>
      </c>
      <c r="I2233" s="242" t="str">
        <f>IF(H2233=H2223,"OKAY","REVER")</f>
        <v>OKAY</v>
      </c>
      <c r="J2233" s="215"/>
    </row>
    <row r="2234" spans="1:10" ht="12.75" hidden="1" customHeight="1" outlineLevel="1" x14ac:dyDescent="0.2">
      <c r="A2234" s="198" t="s">
        <v>1279</v>
      </c>
      <c r="B2234" s="228" t="s">
        <v>2617</v>
      </c>
      <c r="C2234" s="229" t="s">
        <v>4784</v>
      </c>
      <c r="D2234" s="230" t="s">
        <v>2</v>
      </c>
      <c r="E2234" s="231">
        <v>11</v>
      </c>
      <c r="F2234" s="231"/>
      <c r="G2234" s="232"/>
      <c r="H2234" s="232"/>
      <c r="I2234" s="242"/>
      <c r="J2234" s="215"/>
    </row>
    <row r="2235" spans="1:10" ht="12.75" hidden="1" customHeight="1" outlineLevel="1" x14ac:dyDescent="0.2">
      <c r="A2235" s="198" t="s">
        <v>1279</v>
      </c>
      <c r="B2235" s="224" t="s">
        <v>2618</v>
      </c>
      <c r="C2235" s="225" t="s">
        <v>4781</v>
      </c>
      <c r="D2235" s="226" t="s">
        <v>2</v>
      </c>
      <c r="E2235" s="227">
        <v>13</v>
      </c>
      <c r="F2235" s="227"/>
      <c r="G2235" s="520" t="str">
        <f>$A$1</f>
        <v>EMBASSAMENTO</v>
      </c>
      <c r="H2235" s="234">
        <f>SUM(H2236:H2243)</f>
        <v>9</v>
      </c>
      <c r="I2235" s="242"/>
      <c r="J2235" s="215"/>
    </row>
    <row r="2236" spans="1:10" ht="12.75" hidden="1" customHeight="1" outlineLevel="1" x14ac:dyDescent="0.2">
      <c r="A2236" s="198" t="s">
        <v>1279</v>
      </c>
      <c r="B2236" s="228" t="s">
        <v>2619</v>
      </c>
      <c r="C2236" s="229" t="s">
        <v>4785</v>
      </c>
      <c r="D2236" s="230" t="s">
        <v>2</v>
      </c>
      <c r="E2236" s="231">
        <v>1</v>
      </c>
      <c r="F2236" s="231"/>
      <c r="G2236" s="225" t="s">
        <v>4780</v>
      </c>
      <c r="H2236" s="235">
        <f t="shared" ref="H2236:H2243" si="68">SUMIFS($E:$E,$C:$C,G2236,$A:$A,$G$22)</f>
        <v>2</v>
      </c>
      <c r="I2236" s="242"/>
      <c r="J2236" s="215"/>
    </row>
    <row r="2237" spans="1:10" ht="12.75" hidden="1" customHeight="1" outlineLevel="1" x14ac:dyDescent="0.2">
      <c r="A2237" s="198" t="s">
        <v>1279</v>
      </c>
      <c r="B2237" s="216" t="s">
        <v>1719</v>
      </c>
      <c r="C2237" s="217" t="s">
        <v>2962</v>
      </c>
      <c r="D2237" s="218"/>
      <c r="E2237" s="219"/>
      <c r="F2237" s="219"/>
      <c r="G2237" s="229" t="s">
        <v>4783</v>
      </c>
      <c r="H2237" s="235">
        <f t="shared" si="68"/>
        <v>0</v>
      </c>
      <c r="J2237" s="215"/>
    </row>
    <row r="2238" spans="1:10" ht="12.75" hidden="1" customHeight="1" outlineLevel="1" x14ac:dyDescent="0.2">
      <c r="A2238" s="198" t="s">
        <v>1279</v>
      </c>
      <c r="B2238" s="224" t="s">
        <v>2620</v>
      </c>
      <c r="C2238" s="225" t="s">
        <v>4783</v>
      </c>
      <c r="D2238" s="226" t="s">
        <v>2</v>
      </c>
      <c r="E2238" s="227">
        <v>10</v>
      </c>
      <c r="F2238" s="227"/>
      <c r="G2238" s="225" t="s">
        <v>4784</v>
      </c>
      <c r="H2238" s="235">
        <f t="shared" si="68"/>
        <v>0</v>
      </c>
      <c r="J2238" s="215"/>
    </row>
    <row r="2239" spans="1:10" ht="12.75" hidden="1" customHeight="1" outlineLevel="1" x14ac:dyDescent="0.2">
      <c r="A2239" s="198" t="s">
        <v>1279</v>
      </c>
      <c r="B2239" s="228" t="s">
        <v>2621</v>
      </c>
      <c r="C2239" s="229" t="s">
        <v>4784</v>
      </c>
      <c r="D2239" s="230" t="s">
        <v>2</v>
      </c>
      <c r="E2239" s="231">
        <v>10</v>
      </c>
      <c r="F2239" s="231"/>
      <c r="G2239" s="229" t="s">
        <v>4781</v>
      </c>
      <c r="H2239" s="235">
        <f t="shared" si="68"/>
        <v>5</v>
      </c>
      <c r="J2239" s="215"/>
    </row>
    <row r="2240" spans="1:10" ht="12.75" hidden="1" customHeight="1" outlineLevel="1" x14ac:dyDescent="0.2">
      <c r="A2240" s="198" t="s">
        <v>1279</v>
      </c>
      <c r="B2240" s="224" t="s">
        <v>2622</v>
      </c>
      <c r="C2240" s="225" t="s">
        <v>4781</v>
      </c>
      <c r="D2240" s="226" t="s">
        <v>2</v>
      </c>
      <c r="E2240" s="227">
        <v>11</v>
      </c>
      <c r="F2240" s="227"/>
      <c r="G2240" s="225" t="s">
        <v>4815</v>
      </c>
      <c r="H2240" s="235">
        <f t="shared" si="68"/>
        <v>0</v>
      </c>
      <c r="J2240" s="215"/>
    </row>
    <row r="2241" spans="1:10" ht="12.75" hidden="1" customHeight="1" outlineLevel="1" x14ac:dyDescent="0.2">
      <c r="A2241" s="198" t="s">
        <v>1279</v>
      </c>
      <c r="B2241" s="216" t="s">
        <v>1720</v>
      </c>
      <c r="C2241" s="217" t="s">
        <v>2963</v>
      </c>
      <c r="D2241" s="218"/>
      <c r="E2241" s="219"/>
      <c r="F2241" s="219"/>
      <c r="G2241" s="229" t="s">
        <v>4817</v>
      </c>
      <c r="H2241" s="235">
        <f t="shared" si="68"/>
        <v>0</v>
      </c>
      <c r="J2241" s="215"/>
    </row>
    <row r="2242" spans="1:10" ht="12.75" hidden="1" customHeight="1" outlineLevel="1" x14ac:dyDescent="0.2">
      <c r="A2242" s="198" t="s">
        <v>1279</v>
      </c>
      <c r="B2242" s="228" t="s">
        <v>2623</v>
      </c>
      <c r="C2242" s="229" t="s">
        <v>4783</v>
      </c>
      <c r="D2242" s="230" t="s">
        <v>2</v>
      </c>
      <c r="E2242" s="231">
        <v>9</v>
      </c>
      <c r="F2242" s="231"/>
      <c r="G2242" s="225" t="s">
        <v>4782</v>
      </c>
      <c r="H2242" s="235">
        <f t="shared" si="68"/>
        <v>2</v>
      </c>
      <c r="J2242" s="215"/>
    </row>
    <row r="2243" spans="1:10" ht="12.75" hidden="1" customHeight="1" outlineLevel="1" x14ac:dyDescent="0.2">
      <c r="A2243" s="198" t="s">
        <v>1279</v>
      </c>
      <c r="B2243" s="224" t="s">
        <v>2624</v>
      </c>
      <c r="C2243" s="225" t="s">
        <v>4784</v>
      </c>
      <c r="D2243" s="226" t="s">
        <v>2</v>
      </c>
      <c r="E2243" s="227">
        <v>9</v>
      </c>
      <c r="F2243" s="227"/>
      <c r="G2243" s="229" t="s">
        <v>4785</v>
      </c>
      <c r="H2243" s="235">
        <f t="shared" si="68"/>
        <v>0</v>
      </c>
    </row>
    <row r="2244" spans="1:10" ht="12.75" hidden="1" customHeight="1" outlineLevel="1" x14ac:dyDescent="0.2">
      <c r="A2244" s="198" t="s">
        <v>1279</v>
      </c>
      <c r="B2244" s="228" t="s">
        <v>2625</v>
      </c>
      <c r="C2244" s="229" t="s">
        <v>4781</v>
      </c>
      <c r="D2244" s="230" t="s">
        <v>2</v>
      </c>
      <c r="E2244" s="231">
        <v>10</v>
      </c>
      <c r="F2244" s="231"/>
    </row>
    <row r="2245" spans="1:10" ht="12.75" hidden="1" customHeight="1" outlineLevel="1" x14ac:dyDescent="0.2">
      <c r="A2245" s="198" t="s">
        <v>1279</v>
      </c>
      <c r="B2245" s="216" t="s">
        <v>1721</v>
      </c>
      <c r="C2245" s="217" t="s">
        <v>2964</v>
      </c>
      <c r="D2245" s="218"/>
      <c r="E2245" s="219"/>
      <c r="F2245" s="219"/>
    </row>
    <row r="2246" spans="1:10" ht="12.75" hidden="1" customHeight="1" outlineLevel="1" x14ac:dyDescent="0.2">
      <c r="A2246" s="198" t="s">
        <v>1279</v>
      </c>
      <c r="B2246" s="224" t="s">
        <v>2626</v>
      </c>
      <c r="C2246" s="225" t="s">
        <v>4783</v>
      </c>
      <c r="D2246" s="226" t="s">
        <v>2</v>
      </c>
      <c r="E2246" s="227">
        <v>11</v>
      </c>
      <c r="F2246" s="227"/>
    </row>
    <row r="2247" spans="1:10" ht="12.75" hidden="1" customHeight="1" outlineLevel="1" x14ac:dyDescent="0.2">
      <c r="A2247" s="198" t="s">
        <v>1279</v>
      </c>
      <c r="B2247" s="228" t="s">
        <v>4786</v>
      </c>
      <c r="C2247" s="229" t="s">
        <v>4784</v>
      </c>
      <c r="D2247" s="230" t="s">
        <v>2</v>
      </c>
      <c r="E2247" s="231">
        <v>10</v>
      </c>
      <c r="F2247" s="231"/>
      <c r="G2247" s="520" t="str">
        <f>$A$2</f>
        <v>TORRE</v>
      </c>
      <c r="H2247" s="234">
        <f>SUM(H2248:H2255)</f>
        <v>413</v>
      </c>
      <c r="J2247" s="215"/>
    </row>
    <row r="2248" spans="1:10" ht="12.75" hidden="1" customHeight="1" outlineLevel="1" x14ac:dyDescent="0.2">
      <c r="A2248" s="198" t="s">
        <v>1279</v>
      </c>
      <c r="B2248" s="224" t="s">
        <v>4787</v>
      </c>
      <c r="C2248" s="225" t="s">
        <v>4781</v>
      </c>
      <c r="D2248" s="226" t="s">
        <v>2</v>
      </c>
      <c r="E2248" s="227">
        <v>11</v>
      </c>
      <c r="F2248" s="227"/>
      <c r="G2248" s="225" t="s">
        <v>4780</v>
      </c>
      <c r="H2248" s="235">
        <f t="shared" ref="H2248:H2255" si="69">SUMIFS($E:$E,$C:$C,G2248,$A:$A,$G$30)</f>
        <v>0</v>
      </c>
      <c r="J2248" s="215"/>
    </row>
    <row r="2249" spans="1:10" ht="12.75" hidden="1" customHeight="1" outlineLevel="1" x14ac:dyDescent="0.2">
      <c r="A2249" s="198" t="s">
        <v>1279</v>
      </c>
      <c r="B2249" s="216" t="s">
        <v>1722</v>
      </c>
      <c r="C2249" s="217" t="s">
        <v>2965</v>
      </c>
      <c r="D2249" s="218"/>
      <c r="E2249" s="219"/>
      <c r="F2249" s="219"/>
      <c r="G2249" s="229" t="s">
        <v>4783</v>
      </c>
      <c r="H2249" s="235">
        <f t="shared" si="69"/>
        <v>138</v>
      </c>
      <c r="J2249" s="215"/>
    </row>
    <row r="2250" spans="1:10" ht="12.75" hidden="1" customHeight="1" outlineLevel="1" x14ac:dyDescent="0.2">
      <c r="A2250" s="198" t="s">
        <v>1279</v>
      </c>
      <c r="B2250" s="228" t="s">
        <v>2628</v>
      </c>
      <c r="C2250" s="229" t="s">
        <v>4783</v>
      </c>
      <c r="D2250" s="230" t="s">
        <v>2</v>
      </c>
      <c r="E2250" s="231">
        <v>9</v>
      </c>
      <c r="F2250" s="231"/>
      <c r="G2250" s="225" t="s">
        <v>4784</v>
      </c>
      <c r="H2250" s="235">
        <f t="shared" si="69"/>
        <v>124</v>
      </c>
      <c r="J2250" s="215"/>
    </row>
    <row r="2251" spans="1:10" ht="12.75" hidden="1" customHeight="1" outlineLevel="1" x14ac:dyDescent="0.2">
      <c r="A2251" s="198" t="s">
        <v>1279</v>
      </c>
      <c r="B2251" s="224" t="s">
        <v>2629</v>
      </c>
      <c r="C2251" s="225" t="s">
        <v>4784</v>
      </c>
      <c r="D2251" s="226" t="s">
        <v>2</v>
      </c>
      <c r="E2251" s="227">
        <v>9</v>
      </c>
      <c r="F2251" s="227"/>
      <c r="G2251" s="229" t="s">
        <v>4781</v>
      </c>
      <c r="H2251" s="235">
        <f t="shared" si="69"/>
        <v>147</v>
      </c>
      <c r="J2251" s="215"/>
    </row>
    <row r="2252" spans="1:10" ht="12.75" hidden="1" customHeight="1" outlineLevel="1" x14ac:dyDescent="0.2">
      <c r="A2252" s="198" t="s">
        <v>1279</v>
      </c>
      <c r="B2252" s="228" t="s">
        <v>4788</v>
      </c>
      <c r="C2252" s="229" t="s">
        <v>4781</v>
      </c>
      <c r="D2252" s="230" t="s">
        <v>2</v>
      </c>
      <c r="E2252" s="231">
        <v>10</v>
      </c>
      <c r="F2252" s="231"/>
      <c r="G2252" s="225" t="s">
        <v>4815</v>
      </c>
      <c r="H2252" s="235">
        <f t="shared" si="69"/>
        <v>1</v>
      </c>
      <c r="J2252" s="215"/>
    </row>
    <row r="2253" spans="1:10" ht="12.75" hidden="1" customHeight="1" outlineLevel="1" x14ac:dyDescent="0.2">
      <c r="A2253" s="198" t="s">
        <v>1279</v>
      </c>
      <c r="B2253" s="216" t="s">
        <v>1723</v>
      </c>
      <c r="C2253" s="217" t="s">
        <v>2966</v>
      </c>
      <c r="D2253" s="218"/>
      <c r="E2253" s="219"/>
      <c r="F2253" s="219"/>
      <c r="G2253" s="229" t="s">
        <v>4817</v>
      </c>
      <c r="H2253" s="235">
        <f t="shared" si="69"/>
        <v>1</v>
      </c>
      <c r="J2253" s="215"/>
    </row>
    <row r="2254" spans="1:10" ht="12.75" hidden="1" customHeight="1" outlineLevel="1" x14ac:dyDescent="0.2">
      <c r="A2254" s="198" t="s">
        <v>1279</v>
      </c>
      <c r="B2254" s="224" t="s">
        <v>2631</v>
      </c>
      <c r="C2254" s="225" t="s">
        <v>4783</v>
      </c>
      <c r="D2254" s="226" t="s">
        <v>2</v>
      </c>
      <c r="E2254" s="227">
        <v>11</v>
      </c>
      <c r="F2254" s="227"/>
      <c r="G2254" s="225" t="s">
        <v>4782</v>
      </c>
      <c r="H2254" s="235">
        <f t="shared" si="69"/>
        <v>0</v>
      </c>
      <c r="J2254" s="215"/>
    </row>
    <row r="2255" spans="1:10" ht="12.75" hidden="1" customHeight="1" outlineLevel="1" x14ac:dyDescent="0.2">
      <c r="A2255" s="198" t="s">
        <v>1279</v>
      </c>
      <c r="B2255" s="228" t="s">
        <v>4789</v>
      </c>
      <c r="C2255" s="229" t="s">
        <v>4784</v>
      </c>
      <c r="D2255" s="230" t="s">
        <v>2</v>
      </c>
      <c r="E2255" s="231">
        <v>10</v>
      </c>
      <c r="F2255" s="231"/>
      <c r="G2255" s="229" t="s">
        <v>4785</v>
      </c>
      <c r="H2255" s="235">
        <f t="shared" si="69"/>
        <v>2</v>
      </c>
      <c r="J2255" s="215"/>
    </row>
    <row r="2256" spans="1:10" ht="12.75" hidden="1" customHeight="1" outlineLevel="1" x14ac:dyDescent="0.2">
      <c r="A2256" s="198" t="s">
        <v>1279</v>
      </c>
      <c r="B2256" s="224" t="s">
        <v>4790</v>
      </c>
      <c r="C2256" s="225" t="s">
        <v>4781</v>
      </c>
      <c r="D2256" s="226" t="s">
        <v>2</v>
      </c>
      <c r="E2256" s="227">
        <v>11</v>
      </c>
      <c r="F2256" s="227"/>
      <c r="G2256" s="241"/>
      <c r="H2256" s="241"/>
    </row>
    <row r="2257" spans="1:8" ht="12.75" hidden="1" customHeight="1" outlineLevel="1" x14ac:dyDescent="0.2">
      <c r="A2257" s="198" t="s">
        <v>1279</v>
      </c>
      <c r="B2257" s="216" t="s">
        <v>4791</v>
      </c>
      <c r="C2257" s="217" t="s">
        <v>2967</v>
      </c>
      <c r="D2257" s="218"/>
      <c r="E2257" s="219"/>
      <c r="F2257" s="219"/>
      <c r="G2257" s="241"/>
      <c r="H2257" s="241"/>
    </row>
    <row r="2258" spans="1:8" ht="12.75" hidden="1" customHeight="1" outlineLevel="1" x14ac:dyDescent="0.2">
      <c r="A2258" s="198" t="s">
        <v>1279</v>
      </c>
      <c r="B2258" s="228" t="s">
        <v>4792</v>
      </c>
      <c r="C2258" s="229" t="s">
        <v>4783</v>
      </c>
      <c r="D2258" s="230" t="s">
        <v>2</v>
      </c>
      <c r="E2258" s="231">
        <v>9</v>
      </c>
      <c r="F2258" s="231"/>
      <c r="G2258" s="241"/>
      <c r="H2258" s="241"/>
    </row>
    <row r="2259" spans="1:8" ht="12.75" hidden="1" customHeight="1" outlineLevel="1" x14ac:dyDescent="0.2">
      <c r="A2259" s="198" t="s">
        <v>1279</v>
      </c>
      <c r="B2259" s="224" t="s">
        <v>4793</v>
      </c>
      <c r="C2259" s="225" t="s">
        <v>4784</v>
      </c>
      <c r="D2259" s="226" t="s">
        <v>2</v>
      </c>
      <c r="E2259" s="227">
        <v>9</v>
      </c>
      <c r="F2259" s="227"/>
      <c r="G2259" s="241"/>
      <c r="H2259" s="241"/>
    </row>
    <row r="2260" spans="1:8" ht="12.75" hidden="1" customHeight="1" outlineLevel="1" x14ac:dyDescent="0.2">
      <c r="A2260" s="198" t="s">
        <v>1279</v>
      </c>
      <c r="B2260" s="228" t="s">
        <v>4794</v>
      </c>
      <c r="C2260" s="229" t="s">
        <v>4781</v>
      </c>
      <c r="D2260" s="230" t="s">
        <v>2</v>
      </c>
      <c r="E2260" s="231">
        <v>10</v>
      </c>
      <c r="F2260" s="231"/>
      <c r="G2260" s="241"/>
      <c r="H2260" s="241"/>
    </row>
    <row r="2261" spans="1:8" ht="12.75" hidden="1" customHeight="1" outlineLevel="1" x14ac:dyDescent="0.2">
      <c r="A2261" s="198" t="s">
        <v>1279</v>
      </c>
      <c r="B2261" s="216" t="s">
        <v>4795</v>
      </c>
      <c r="C2261" s="217" t="s">
        <v>2968</v>
      </c>
      <c r="D2261" s="218"/>
      <c r="E2261" s="219"/>
      <c r="F2261" s="219"/>
      <c r="G2261" s="241"/>
      <c r="H2261" s="241"/>
    </row>
    <row r="2262" spans="1:8" ht="12.75" hidden="1" customHeight="1" outlineLevel="1" x14ac:dyDescent="0.2">
      <c r="A2262" s="198" t="s">
        <v>1279</v>
      </c>
      <c r="B2262" s="224" t="s">
        <v>4796</v>
      </c>
      <c r="C2262" s="225" t="s">
        <v>4783</v>
      </c>
      <c r="D2262" s="226" t="s">
        <v>2</v>
      </c>
      <c r="E2262" s="227">
        <v>11</v>
      </c>
      <c r="F2262" s="227"/>
      <c r="G2262" s="241"/>
      <c r="H2262" s="241"/>
    </row>
    <row r="2263" spans="1:8" ht="12.75" hidden="1" customHeight="1" outlineLevel="1" x14ac:dyDescent="0.2">
      <c r="A2263" s="198" t="s">
        <v>1279</v>
      </c>
      <c r="B2263" s="228" t="s">
        <v>4797</v>
      </c>
      <c r="C2263" s="229" t="s">
        <v>4784</v>
      </c>
      <c r="D2263" s="230" t="s">
        <v>2</v>
      </c>
      <c r="E2263" s="231">
        <v>10</v>
      </c>
      <c r="F2263" s="231"/>
      <c r="G2263" s="241"/>
      <c r="H2263" s="241"/>
    </row>
    <row r="2264" spans="1:8" ht="12.75" hidden="1" customHeight="1" outlineLevel="1" x14ac:dyDescent="0.2">
      <c r="A2264" s="198" t="s">
        <v>1279</v>
      </c>
      <c r="B2264" s="224" t="s">
        <v>4798</v>
      </c>
      <c r="C2264" s="225" t="s">
        <v>4781</v>
      </c>
      <c r="D2264" s="226" t="s">
        <v>2</v>
      </c>
      <c r="E2264" s="227">
        <v>11</v>
      </c>
      <c r="F2264" s="227"/>
      <c r="G2264" s="241"/>
      <c r="H2264" s="241"/>
    </row>
    <row r="2265" spans="1:8" ht="12.75" hidden="1" customHeight="1" outlineLevel="1" x14ac:dyDescent="0.2">
      <c r="A2265" s="198" t="s">
        <v>1279</v>
      </c>
      <c r="B2265" s="216" t="s">
        <v>4799</v>
      </c>
      <c r="C2265" s="217" t="s">
        <v>2969</v>
      </c>
      <c r="D2265" s="218"/>
      <c r="E2265" s="219"/>
      <c r="F2265" s="219"/>
      <c r="G2265" s="241"/>
      <c r="H2265" s="241"/>
    </row>
    <row r="2266" spans="1:8" ht="12.75" hidden="1" customHeight="1" outlineLevel="1" x14ac:dyDescent="0.2">
      <c r="A2266" s="198" t="s">
        <v>1279</v>
      </c>
      <c r="B2266" s="228" t="s">
        <v>4800</v>
      </c>
      <c r="C2266" s="229" t="s">
        <v>4783</v>
      </c>
      <c r="D2266" s="230" t="s">
        <v>2</v>
      </c>
      <c r="E2266" s="231">
        <v>9</v>
      </c>
      <c r="F2266" s="231"/>
      <c r="G2266" s="241"/>
      <c r="H2266" s="241"/>
    </row>
    <row r="2267" spans="1:8" ht="12.75" hidden="1" customHeight="1" outlineLevel="1" x14ac:dyDescent="0.2">
      <c r="A2267" s="198" t="s">
        <v>1279</v>
      </c>
      <c r="B2267" s="224" t="s">
        <v>4801</v>
      </c>
      <c r="C2267" s="225" t="s">
        <v>4784</v>
      </c>
      <c r="D2267" s="226" t="s">
        <v>2</v>
      </c>
      <c r="E2267" s="227">
        <v>9</v>
      </c>
      <c r="F2267" s="227"/>
      <c r="G2267" s="241"/>
      <c r="H2267" s="241"/>
    </row>
    <row r="2268" spans="1:8" ht="12.75" hidden="1" customHeight="1" outlineLevel="1" x14ac:dyDescent="0.2">
      <c r="A2268" s="198" t="s">
        <v>1279</v>
      </c>
      <c r="B2268" s="228" t="s">
        <v>4802</v>
      </c>
      <c r="C2268" s="229" t="s">
        <v>4781</v>
      </c>
      <c r="D2268" s="230" t="s">
        <v>2</v>
      </c>
      <c r="E2268" s="231">
        <v>10</v>
      </c>
      <c r="F2268" s="231"/>
      <c r="G2268" s="241"/>
      <c r="H2268" s="241"/>
    </row>
    <row r="2269" spans="1:8" ht="12.75" hidden="1" customHeight="1" outlineLevel="1" x14ac:dyDescent="0.2">
      <c r="A2269" s="198" t="s">
        <v>1279</v>
      </c>
      <c r="B2269" s="216" t="s">
        <v>4803</v>
      </c>
      <c r="C2269" s="217" t="s">
        <v>2970</v>
      </c>
      <c r="D2269" s="218"/>
      <c r="E2269" s="219"/>
      <c r="F2269" s="219"/>
      <c r="G2269" s="241"/>
      <c r="H2269" s="241"/>
    </row>
    <row r="2270" spans="1:8" ht="12.75" hidden="1" customHeight="1" outlineLevel="1" x14ac:dyDescent="0.2">
      <c r="A2270" s="198" t="s">
        <v>1279</v>
      </c>
      <c r="B2270" s="224" t="s">
        <v>4804</v>
      </c>
      <c r="C2270" s="225" t="s">
        <v>4783</v>
      </c>
      <c r="D2270" s="226" t="s">
        <v>2</v>
      </c>
      <c r="E2270" s="227">
        <v>11</v>
      </c>
      <c r="F2270" s="227"/>
      <c r="G2270" s="241"/>
      <c r="H2270" s="241"/>
    </row>
    <row r="2271" spans="1:8" ht="12.75" hidden="1" customHeight="1" outlineLevel="1" x14ac:dyDescent="0.2">
      <c r="A2271" s="198" t="s">
        <v>1279</v>
      </c>
      <c r="B2271" s="228" t="s">
        <v>4805</v>
      </c>
      <c r="C2271" s="229" t="s">
        <v>4784</v>
      </c>
      <c r="D2271" s="230" t="s">
        <v>2</v>
      </c>
      <c r="E2271" s="231">
        <v>10</v>
      </c>
      <c r="F2271" s="231"/>
      <c r="G2271" s="241"/>
      <c r="H2271" s="241"/>
    </row>
    <row r="2272" spans="1:8" ht="12.75" hidden="1" customHeight="1" outlineLevel="1" x14ac:dyDescent="0.2">
      <c r="A2272" s="198" t="s">
        <v>1279</v>
      </c>
      <c r="B2272" s="224" t="s">
        <v>4806</v>
      </c>
      <c r="C2272" s="225" t="s">
        <v>4781</v>
      </c>
      <c r="D2272" s="226" t="s">
        <v>2</v>
      </c>
      <c r="E2272" s="227">
        <v>11</v>
      </c>
      <c r="F2272" s="227"/>
      <c r="G2272" s="241"/>
      <c r="H2272" s="241"/>
    </row>
    <row r="2273" spans="1:8" ht="12.75" hidden="1" customHeight="1" outlineLevel="1" x14ac:dyDescent="0.2">
      <c r="A2273" s="198" t="s">
        <v>1279</v>
      </c>
      <c r="B2273" s="216" t="s">
        <v>4807</v>
      </c>
      <c r="C2273" s="217" t="s">
        <v>2971</v>
      </c>
      <c r="D2273" s="218"/>
      <c r="E2273" s="219"/>
      <c r="F2273" s="219"/>
      <c r="G2273" s="241"/>
      <c r="H2273" s="241"/>
    </row>
    <row r="2274" spans="1:8" ht="12.75" hidden="1" customHeight="1" outlineLevel="1" x14ac:dyDescent="0.2">
      <c r="A2274" s="198" t="s">
        <v>1279</v>
      </c>
      <c r="B2274" s="228" t="s">
        <v>4808</v>
      </c>
      <c r="C2274" s="229" t="s">
        <v>4783</v>
      </c>
      <c r="D2274" s="230" t="s">
        <v>2</v>
      </c>
      <c r="E2274" s="231">
        <v>9</v>
      </c>
      <c r="F2274" s="231"/>
      <c r="G2274" s="241"/>
      <c r="H2274" s="241"/>
    </row>
    <row r="2275" spans="1:8" ht="12.75" hidden="1" customHeight="1" outlineLevel="1" x14ac:dyDescent="0.2">
      <c r="A2275" s="198" t="s">
        <v>1279</v>
      </c>
      <c r="B2275" s="224" t="s">
        <v>4809</v>
      </c>
      <c r="C2275" s="225" t="s">
        <v>4784</v>
      </c>
      <c r="D2275" s="226" t="s">
        <v>2</v>
      </c>
      <c r="E2275" s="227">
        <v>9</v>
      </c>
      <c r="F2275" s="227"/>
      <c r="G2275" s="241"/>
      <c r="H2275" s="241"/>
    </row>
    <row r="2276" spans="1:8" ht="12.75" hidden="1" customHeight="1" outlineLevel="1" x14ac:dyDescent="0.2">
      <c r="A2276" s="198" t="s">
        <v>1279</v>
      </c>
      <c r="B2276" s="228" t="s">
        <v>4810</v>
      </c>
      <c r="C2276" s="229" t="s">
        <v>4781</v>
      </c>
      <c r="D2276" s="230" t="s">
        <v>2</v>
      </c>
      <c r="E2276" s="231">
        <v>10</v>
      </c>
      <c r="F2276" s="231"/>
      <c r="G2276" s="241"/>
      <c r="H2276" s="241"/>
    </row>
    <row r="2277" spans="1:8" ht="12.75" hidden="1" customHeight="1" outlineLevel="1" x14ac:dyDescent="0.2">
      <c r="A2277" s="198" t="s">
        <v>1279</v>
      </c>
      <c r="B2277" s="216" t="s">
        <v>4811</v>
      </c>
      <c r="C2277" s="217" t="s">
        <v>2972</v>
      </c>
      <c r="D2277" s="218"/>
      <c r="E2277" s="219"/>
      <c r="F2277" s="219"/>
      <c r="G2277" s="241"/>
      <c r="H2277" s="241"/>
    </row>
    <row r="2278" spans="1:8" ht="12.75" hidden="1" customHeight="1" outlineLevel="1" x14ac:dyDescent="0.2">
      <c r="A2278" s="198" t="s">
        <v>1279</v>
      </c>
      <c r="B2278" s="224" t="s">
        <v>4812</v>
      </c>
      <c r="C2278" s="225" t="s">
        <v>4783</v>
      </c>
      <c r="D2278" s="226" t="s">
        <v>2</v>
      </c>
      <c r="E2278" s="227">
        <v>1</v>
      </c>
      <c r="F2278" s="227"/>
      <c r="G2278" s="241"/>
      <c r="H2278" s="241"/>
    </row>
    <row r="2279" spans="1:8" ht="12.75" hidden="1" customHeight="1" outlineLevel="1" x14ac:dyDescent="0.2">
      <c r="A2279" s="198" t="s">
        <v>1279</v>
      </c>
      <c r="B2279" s="228" t="s">
        <v>4813</v>
      </c>
      <c r="C2279" s="229" t="s">
        <v>4781</v>
      </c>
      <c r="D2279" s="230" t="s">
        <v>2</v>
      </c>
      <c r="E2279" s="231">
        <v>2</v>
      </c>
      <c r="F2279" s="231"/>
      <c r="G2279" s="241"/>
      <c r="H2279" s="241"/>
    </row>
    <row r="2280" spans="1:8" ht="12.75" hidden="1" customHeight="1" outlineLevel="1" x14ac:dyDescent="0.2">
      <c r="A2280" s="198" t="s">
        <v>1279</v>
      </c>
      <c r="B2280" s="224" t="s">
        <v>4814</v>
      </c>
      <c r="C2280" s="225" t="s">
        <v>4815</v>
      </c>
      <c r="D2280" s="226" t="s">
        <v>2</v>
      </c>
      <c r="E2280" s="227">
        <v>1</v>
      </c>
      <c r="F2280" s="227"/>
      <c r="G2280" s="241"/>
      <c r="H2280" s="241"/>
    </row>
    <row r="2281" spans="1:8" ht="12.75" hidden="1" customHeight="1" outlineLevel="1" x14ac:dyDescent="0.2">
      <c r="A2281" s="198" t="s">
        <v>1279</v>
      </c>
      <c r="B2281" s="228" t="s">
        <v>4816</v>
      </c>
      <c r="C2281" s="229" t="s">
        <v>4817</v>
      </c>
      <c r="D2281" s="230" t="s">
        <v>2</v>
      </c>
      <c r="E2281" s="231">
        <v>1</v>
      </c>
      <c r="F2281" s="231"/>
      <c r="G2281" s="241"/>
      <c r="H2281" s="241"/>
    </row>
    <row r="2282" spans="1:8" ht="12.75" hidden="1" customHeight="1" outlineLevel="1" x14ac:dyDescent="0.2">
      <c r="A2282" s="198" t="s">
        <v>1279</v>
      </c>
      <c r="B2282" s="224" t="s">
        <v>4818</v>
      </c>
      <c r="C2282" s="225" t="s">
        <v>4785</v>
      </c>
      <c r="D2282" s="226" t="s">
        <v>2</v>
      </c>
      <c r="E2282" s="227">
        <v>1</v>
      </c>
      <c r="F2282" s="227"/>
      <c r="G2282" s="241"/>
      <c r="H2282" s="241"/>
    </row>
    <row r="2283" spans="1:8" ht="12.75" hidden="1" customHeight="1" outlineLevel="1" x14ac:dyDescent="0.2">
      <c r="A2283" s="198" t="s">
        <v>1279</v>
      </c>
      <c r="B2283" s="216" t="s">
        <v>4819</v>
      </c>
      <c r="C2283" s="217" t="s">
        <v>2973</v>
      </c>
      <c r="D2283" s="218"/>
      <c r="E2283" s="219"/>
      <c r="F2283" s="219"/>
      <c r="G2283" s="241"/>
      <c r="H2283" s="241"/>
    </row>
    <row r="2284" spans="1:8" ht="12.75" hidden="1" customHeight="1" outlineLevel="1" x14ac:dyDescent="0.2">
      <c r="A2284" s="198" t="s">
        <v>1279</v>
      </c>
      <c r="B2284" s="228" t="s">
        <v>4820</v>
      </c>
      <c r="C2284" s="229" t="s">
        <v>4783</v>
      </c>
      <c r="D2284" s="230" t="s">
        <v>2</v>
      </c>
      <c r="E2284" s="231">
        <v>5</v>
      </c>
      <c r="F2284" s="231"/>
      <c r="G2284" s="241"/>
      <c r="H2284" s="241"/>
    </row>
    <row r="2285" spans="1:8" ht="12.75" hidden="1" customHeight="1" outlineLevel="1" x14ac:dyDescent="0.2">
      <c r="A2285" s="198" t="s">
        <v>1279</v>
      </c>
      <c r="B2285" s="224" t="s">
        <v>4821</v>
      </c>
      <c r="C2285" s="225" t="s">
        <v>4784</v>
      </c>
      <c r="D2285" s="226" t="s">
        <v>2</v>
      </c>
      <c r="E2285" s="227">
        <v>3</v>
      </c>
      <c r="F2285" s="227"/>
      <c r="G2285" s="241"/>
      <c r="H2285" s="241"/>
    </row>
    <row r="2286" spans="1:8" ht="12.75" hidden="1" customHeight="1" outlineLevel="1" x14ac:dyDescent="0.2">
      <c r="A2286" s="198" t="s">
        <v>1279</v>
      </c>
      <c r="B2286" s="228" t="s">
        <v>4822</v>
      </c>
      <c r="C2286" s="229" t="s">
        <v>4781</v>
      </c>
      <c r="D2286" s="230" t="s">
        <v>2</v>
      </c>
      <c r="E2286" s="231">
        <v>5</v>
      </c>
      <c r="F2286" s="231"/>
      <c r="G2286" s="241"/>
      <c r="H2286" s="241"/>
    </row>
    <row r="2287" spans="1:8" ht="12.75" hidden="1" customHeight="1" outlineLevel="1" x14ac:dyDescent="0.2">
      <c r="A2287" s="198" t="s">
        <v>1279</v>
      </c>
      <c r="B2287" s="216" t="s">
        <v>4823</v>
      </c>
      <c r="C2287" s="217" t="s">
        <v>2974</v>
      </c>
      <c r="D2287" s="218"/>
      <c r="E2287" s="219"/>
      <c r="F2287" s="219"/>
      <c r="G2287" s="241"/>
      <c r="H2287" s="241"/>
    </row>
    <row r="2288" spans="1:8" ht="12.75" hidden="1" customHeight="1" outlineLevel="1" x14ac:dyDescent="0.2">
      <c r="A2288" s="198" t="s">
        <v>1279</v>
      </c>
      <c r="B2288" s="224" t="s">
        <v>4824</v>
      </c>
      <c r="C2288" s="225" t="s">
        <v>4783</v>
      </c>
      <c r="D2288" s="226" t="s">
        <v>2</v>
      </c>
      <c r="E2288" s="227">
        <v>5</v>
      </c>
      <c r="F2288" s="227"/>
      <c r="G2288" s="241"/>
      <c r="H2288" s="241"/>
    </row>
    <row r="2289" spans="1:10" ht="12.75" hidden="1" customHeight="1" outlineLevel="1" x14ac:dyDescent="0.2">
      <c r="A2289" s="198" t="s">
        <v>1279</v>
      </c>
      <c r="B2289" s="228" t="s">
        <v>4825</v>
      </c>
      <c r="C2289" s="229" t="s">
        <v>4784</v>
      </c>
      <c r="D2289" s="230" t="s">
        <v>2</v>
      </c>
      <c r="E2289" s="231">
        <v>3</v>
      </c>
      <c r="F2289" s="231"/>
      <c r="G2289" s="241"/>
      <c r="H2289" s="241"/>
    </row>
    <row r="2290" spans="1:10" ht="12.75" hidden="1" customHeight="1" outlineLevel="1" x14ac:dyDescent="0.2">
      <c r="A2290" s="198" t="s">
        <v>1279</v>
      </c>
      <c r="B2290" s="224" t="s">
        <v>4826</v>
      </c>
      <c r="C2290" s="225" t="s">
        <v>4781</v>
      </c>
      <c r="D2290" s="226" t="s">
        <v>2</v>
      </c>
      <c r="E2290" s="227">
        <v>3</v>
      </c>
      <c r="F2290" s="227"/>
      <c r="G2290" s="241"/>
      <c r="H2290" s="241"/>
    </row>
    <row r="2291" spans="1:10" ht="12.75" hidden="1" customHeight="1" outlineLevel="1" x14ac:dyDescent="0.2">
      <c r="A2291" s="198" t="s">
        <v>1279</v>
      </c>
      <c r="B2291" s="216" t="s">
        <v>4827</v>
      </c>
      <c r="C2291" s="217" t="s">
        <v>2975</v>
      </c>
      <c r="D2291" s="218"/>
      <c r="E2291" s="219"/>
      <c r="F2291" s="219"/>
      <c r="G2291" s="241"/>
      <c r="H2291" s="241"/>
    </row>
    <row r="2292" spans="1:10" ht="12.75" hidden="1" customHeight="1" outlineLevel="1" x14ac:dyDescent="0.2">
      <c r="A2292" s="198" t="s">
        <v>1279</v>
      </c>
      <c r="B2292" s="228" t="s">
        <v>4828</v>
      </c>
      <c r="C2292" s="229" t="s">
        <v>4783</v>
      </c>
      <c r="D2292" s="230" t="s">
        <v>2</v>
      </c>
      <c r="E2292" s="231">
        <v>5</v>
      </c>
      <c r="F2292" s="231"/>
      <c r="G2292" s="241"/>
      <c r="H2292" s="241"/>
    </row>
    <row r="2293" spans="1:10" ht="12.75" hidden="1" customHeight="1" outlineLevel="1" x14ac:dyDescent="0.2">
      <c r="A2293" s="198" t="s">
        <v>1279</v>
      </c>
      <c r="B2293" s="224" t="s">
        <v>4829</v>
      </c>
      <c r="C2293" s="225" t="s">
        <v>4784</v>
      </c>
      <c r="D2293" s="226" t="s">
        <v>2</v>
      </c>
      <c r="E2293" s="227">
        <v>3</v>
      </c>
      <c r="F2293" s="227"/>
      <c r="G2293" s="241"/>
      <c r="H2293" s="241"/>
    </row>
    <row r="2294" spans="1:10" ht="12.75" hidden="1" customHeight="1" outlineLevel="1" x14ac:dyDescent="0.2">
      <c r="A2294" s="198" t="s">
        <v>1279</v>
      </c>
      <c r="B2294" s="228" t="s">
        <v>4830</v>
      </c>
      <c r="C2294" s="229" t="s">
        <v>4781</v>
      </c>
      <c r="D2294" s="230" t="s">
        <v>2</v>
      </c>
      <c r="E2294" s="231">
        <v>5</v>
      </c>
      <c r="F2294" s="231"/>
      <c r="G2294" s="241"/>
      <c r="H2294" s="241"/>
    </row>
    <row r="2295" spans="1:10" ht="12.75" hidden="1" customHeight="1" outlineLevel="1" x14ac:dyDescent="0.2">
      <c r="A2295" s="198" t="s">
        <v>1279</v>
      </c>
      <c r="B2295" s="216" t="s">
        <v>4831</v>
      </c>
      <c r="C2295" s="217" t="s">
        <v>2976</v>
      </c>
      <c r="D2295" s="218"/>
      <c r="E2295" s="219"/>
      <c r="F2295" s="219"/>
      <c r="G2295" s="241"/>
      <c r="H2295" s="241"/>
    </row>
    <row r="2296" spans="1:10" ht="12.75" hidden="1" customHeight="1" outlineLevel="1" x14ac:dyDescent="0.2">
      <c r="A2296" s="198" t="s">
        <v>1279</v>
      </c>
      <c r="B2296" s="224" t="s">
        <v>4832</v>
      </c>
      <c r="C2296" s="225" t="s">
        <v>4783</v>
      </c>
      <c r="D2296" s="226" t="s">
        <v>2</v>
      </c>
      <c r="E2296" s="227">
        <v>5</v>
      </c>
      <c r="F2296" s="227"/>
      <c r="G2296" s="241"/>
      <c r="H2296" s="241"/>
    </row>
    <row r="2297" spans="1:10" ht="12.75" hidden="1" customHeight="1" outlineLevel="1" x14ac:dyDescent="0.2">
      <c r="A2297" s="198" t="s">
        <v>1279</v>
      </c>
      <c r="B2297" s="228" t="s">
        <v>4833</v>
      </c>
      <c r="C2297" s="229" t="s">
        <v>4784</v>
      </c>
      <c r="D2297" s="230" t="s">
        <v>2</v>
      </c>
      <c r="E2297" s="231">
        <v>3</v>
      </c>
      <c r="F2297" s="231"/>
      <c r="G2297" s="241"/>
      <c r="H2297" s="241"/>
    </row>
    <row r="2298" spans="1:10" ht="12.75" hidden="1" customHeight="1" outlineLevel="1" x14ac:dyDescent="0.2">
      <c r="A2298" s="198" t="s">
        <v>1279</v>
      </c>
      <c r="B2298" s="224" t="s">
        <v>4834</v>
      </c>
      <c r="C2298" s="225" t="s">
        <v>4781</v>
      </c>
      <c r="D2298" s="226" t="s">
        <v>2</v>
      </c>
      <c r="E2298" s="227">
        <v>3</v>
      </c>
      <c r="F2298" s="227"/>
      <c r="G2298" s="241"/>
      <c r="H2298" s="241"/>
    </row>
    <row r="2299" spans="1:10" ht="12.75" hidden="1" customHeight="1" outlineLevel="1" x14ac:dyDescent="0.2">
      <c r="A2299" s="198" t="s">
        <v>1279</v>
      </c>
      <c r="B2299" s="216" t="s">
        <v>4835</v>
      </c>
      <c r="C2299" s="217" t="s">
        <v>2978</v>
      </c>
      <c r="D2299" s="218"/>
      <c r="E2299" s="219"/>
      <c r="F2299" s="219"/>
      <c r="G2299" s="241"/>
      <c r="H2299" s="241"/>
    </row>
    <row r="2300" spans="1:10" ht="12.75" hidden="1" customHeight="1" outlineLevel="1" x14ac:dyDescent="0.2">
      <c r="A2300" s="198" t="s">
        <v>1279</v>
      </c>
      <c r="B2300" s="228" t="s">
        <v>4836</v>
      </c>
      <c r="C2300" s="229" t="s">
        <v>4781</v>
      </c>
      <c r="D2300" s="230" t="s">
        <v>2</v>
      </c>
      <c r="E2300" s="231">
        <v>3</v>
      </c>
      <c r="F2300" s="231"/>
      <c r="G2300" s="241"/>
      <c r="H2300" s="241"/>
    </row>
    <row r="2301" spans="1:10" collapsed="1" x14ac:dyDescent="0.2">
      <c r="B2301" s="515" t="s">
        <v>2737</v>
      </c>
      <c r="C2301" s="516" t="s">
        <v>4870</v>
      </c>
      <c r="D2301" s="549"/>
      <c r="E2301" s="524">
        <f>SUM(E2303:E2343)</f>
        <v>226.18000000000006</v>
      </c>
      <c r="F2301" s="524"/>
      <c r="G2301" s="516"/>
      <c r="H2301" s="234">
        <f>SUM(H2302:H2309)</f>
        <v>226.18000000000006</v>
      </c>
      <c r="I2301" s="242" t="str">
        <f>IF(H2301=E2301,"OKAY","REVER")</f>
        <v>OKAY</v>
      </c>
      <c r="J2301" s="405"/>
    </row>
    <row r="2302" spans="1:10" ht="12.75" hidden="1" customHeight="1" outlineLevel="1" x14ac:dyDescent="0.2">
      <c r="A2302" s="198" t="s">
        <v>1278</v>
      </c>
      <c r="B2302" s="216" t="s">
        <v>2738</v>
      </c>
      <c r="C2302" s="217" t="s">
        <v>2955</v>
      </c>
      <c r="D2302" s="218"/>
      <c r="E2302" s="219"/>
      <c r="F2302" s="219"/>
      <c r="G2302" s="225" t="s">
        <v>4843</v>
      </c>
      <c r="H2302" s="235">
        <f t="shared" ref="H2302:H2309" si="70">SUMIF($C:$C,G2302,$E:$E)</f>
        <v>226.18000000000006</v>
      </c>
      <c r="J2302" s="215"/>
    </row>
    <row r="2303" spans="1:10" ht="12.75" hidden="1" customHeight="1" outlineLevel="1" x14ac:dyDescent="0.2">
      <c r="A2303" s="198" t="s">
        <v>1278</v>
      </c>
      <c r="B2303" s="224" t="s">
        <v>2739</v>
      </c>
      <c r="C2303" s="225" t="s">
        <v>4843</v>
      </c>
      <c r="D2303" s="226" t="s">
        <v>3</v>
      </c>
      <c r="E2303" s="227">
        <v>15.78</v>
      </c>
      <c r="F2303" s="227"/>
      <c r="G2303" s="225"/>
      <c r="H2303" s="235">
        <f t="shared" si="70"/>
        <v>0</v>
      </c>
      <c r="J2303" s="215"/>
    </row>
    <row r="2304" spans="1:10" ht="12.75" hidden="1" customHeight="1" outlineLevel="1" x14ac:dyDescent="0.2">
      <c r="A2304" s="198" t="s">
        <v>1278</v>
      </c>
      <c r="B2304" s="216" t="s">
        <v>2740</v>
      </c>
      <c r="C2304" s="217" t="s">
        <v>2958</v>
      </c>
      <c r="D2304" s="218"/>
      <c r="E2304" s="219"/>
      <c r="F2304" s="219"/>
      <c r="G2304" s="225"/>
      <c r="H2304" s="235">
        <f t="shared" si="70"/>
        <v>0</v>
      </c>
      <c r="J2304" s="215"/>
    </row>
    <row r="2305" spans="1:10" ht="12.75" hidden="1" customHeight="1" outlineLevel="1" x14ac:dyDescent="0.2">
      <c r="A2305" s="198" t="s">
        <v>1278</v>
      </c>
      <c r="B2305" s="228" t="s">
        <v>2741</v>
      </c>
      <c r="C2305" s="229" t="s">
        <v>4843</v>
      </c>
      <c r="D2305" s="230" t="s">
        <v>3</v>
      </c>
      <c r="E2305" s="231">
        <v>10.52</v>
      </c>
      <c r="F2305" s="231"/>
      <c r="G2305" s="225"/>
      <c r="H2305" s="235">
        <f t="shared" si="70"/>
        <v>0</v>
      </c>
      <c r="J2305" s="215"/>
    </row>
    <row r="2306" spans="1:10" ht="12.75" hidden="1" customHeight="1" outlineLevel="1" x14ac:dyDescent="0.2">
      <c r="A2306" s="198" t="s">
        <v>1279</v>
      </c>
      <c r="B2306" s="216" t="s">
        <v>2742</v>
      </c>
      <c r="C2306" s="217" t="s">
        <v>2960</v>
      </c>
      <c r="D2306" s="218"/>
      <c r="E2306" s="219"/>
      <c r="F2306" s="219"/>
      <c r="G2306" s="225"/>
      <c r="H2306" s="235">
        <f t="shared" si="70"/>
        <v>0</v>
      </c>
      <c r="J2306" s="215"/>
    </row>
    <row r="2307" spans="1:10" ht="12.75" hidden="1" customHeight="1" outlineLevel="1" x14ac:dyDescent="0.2">
      <c r="A2307" s="198" t="s">
        <v>1279</v>
      </c>
      <c r="B2307" s="224" t="s">
        <v>2743</v>
      </c>
      <c r="C2307" s="225" t="s">
        <v>4843</v>
      </c>
      <c r="D2307" s="226" t="s">
        <v>3</v>
      </c>
      <c r="E2307" s="227">
        <v>10.52</v>
      </c>
      <c r="F2307" s="227"/>
      <c r="G2307" s="225"/>
      <c r="H2307" s="235">
        <f t="shared" si="70"/>
        <v>0</v>
      </c>
      <c r="J2307" s="215"/>
    </row>
    <row r="2308" spans="1:10" ht="12.75" hidden="1" customHeight="1" outlineLevel="1" x14ac:dyDescent="0.2">
      <c r="A2308" s="198" t="s">
        <v>1279</v>
      </c>
      <c r="B2308" s="216" t="s">
        <v>2744</v>
      </c>
      <c r="C2308" s="217" t="s">
        <v>2961</v>
      </c>
      <c r="D2308" s="218"/>
      <c r="E2308" s="219"/>
      <c r="F2308" s="219"/>
      <c r="G2308" s="225"/>
      <c r="H2308" s="235">
        <f t="shared" si="70"/>
        <v>0</v>
      </c>
      <c r="I2308" s="198"/>
      <c r="J2308" s="215"/>
    </row>
    <row r="2309" spans="1:10" ht="12.75" hidden="1" customHeight="1" outlineLevel="1" x14ac:dyDescent="0.2">
      <c r="A2309" s="198" t="s">
        <v>1279</v>
      </c>
      <c r="B2309" s="228" t="s">
        <v>2745</v>
      </c>
      <c r="C2309" s="229" t="s">
        <v>4843</v>
      </c>
      <c r="D2309" s="230" t="s">
        <v>3</v>
      </c>
      <c r="E2309" s="231">
        <v>10.52</v>
      </c>
      <c r="F2309" s="231"/>
      <c r="G2309" s="225"/>
      <c r="H2309" s="235">
        <f t="shared" si="70"/>
        <v>0</v>
      </c>
      <c r="J2309" s="215"/>
    </row>
    <row r="2310" spans="1:10" ht="12.75" hidden="1" customHeight="1" outlineLevel="1" x14ac:dyDescent="0.2">
      <c r="A2310" s="198" t="s">
        <v>1279</v>
      </c>
      <c r="B2310" s="216" t="s">
        <v>2746</v>
      </c>
      <c r="C2310" s="217" t="s">
        <v>2962</v>
      </c>
      <c r="D2310" s="218"/>
      <c r="E2310" s="219"/>
      <c r="F2310" s="219"/>
      <c r="J2310" s="215"/>
    </row>
    <row r="2311" spans="1:10" ht="12.75" hidden="1" customHeight="1" outlineLevel="1" x14ac:dyDescent="0.2">
      <c r="A2311" s="198" t="s">
        <v>1279</v>
      </c>
      <c r="B2311" s="224" t="s">
        <v>2747</v>
      </c>
      <c r="C2311" s="225" t="s">
        <v>4843</v>
      </c>
      <c r="D2311" s="226" t="s">
        <v>3</v>
      </c>
      <c r="E2311" s="227">
        <v>10.52</v>
      </c>
      <c r="F2311" s="227"/>
      <c r="G2311" s="520" t="s">
        <v>1732</v>
      </c>
      <c r="H2311" s="234">
        <f>H2313+H2325</f>
        <v>226.18</v>
      </c>
      <c r="I2311" s="242" t="str">
        <f>IF(H2311=H2301,"OKAY","REVER")</f>
        <v>OKAY</v>
      </c>
      <c r="J2311" s="215"/>
    </row>
    <row r="2312" spans="1:10" ht="12.75" hidden="1" customHeight="1" outlineLevel="1" x14ac:dyDescent="0.2">
      <c r="A2312" s="198" t="s">
        <v>1279</v>
      </c>
      <c r="B2312" s="216" t="s">
        <v>2748</v>
      </c>
      <c r="C2312" s="217" t="s">
        <v>2963</v>
      </c>
      <c r="D2312" s="218"/>
      <c r="E2312" s="219"/>
      <c r="F2312" s="219"/>
      <c r="G2312" s="232"/>
      <c r="H2312" s="232"/>
      <c r="I2312" s="242"/>
      <c r="J2312" s="215"/>
    </row>
    <row r="2313" spans="1:10" ht="12.75" hidden="1" customHeight="1" outlineLevel="1" x14ac:dyDescent="0.2">
      <c r="A2313" s="198" t="s">
        <v>1279</v>
      </c>
      <c r="B2313" s="228" t="s">
        <v>2749</v>
      </c>
      <c r="C2313" s="229" t="s">
        <v>4843</v>
      </c>
      <c r="D2313" s="230" t="s">
        <v>3</v>
      </c>
      <c r="E2313" s="231">
        <v>10.52</v>
      </c>
      <c r="F2313" s="231"/>
      <c r="G2313" s="520" t="str">
        <f>$A$1</f>
        <v>EMBASSAMENTO</v>
      </c>
      <c r="H2313" s="234">
        <f>SUM(H2314:H2321)</f>
        <v>26.299999999999997</v>
      </c>
      <c r="I2313" s="242"/>
      <c r="J2313" s="215"/>
    </row>
    <row r="2314" spans="1:10" ht="12.75" hidden="1" customHeight="1" outlineLevel="1" x14ac:dyDescent="0.2">
      <c r="A2314" s="198" t="s">
        <v>1279</v>
      </c>
      <c r="B2314" s="216" t="s">
        <v>2750</v>
      </c>
      <c r="C2314" s="217" t="s">
        <v>2964</v>
      </c>
      <c r="D2314" s="218"/>
      <c r="E2314" s="219"/>
      <c r="F2314" s="219"/>
      <c r="G2314" s="225" t="s">
        <v>4843</v>
      </c>
      <c r="H2314" s="235">
        <f t="shared" ref="H2314:H2321" si="71">SUMIFS($E:$E,$C:$C,G2314,$A:$A,$G$22)</f>
        <v>26.299999999999997</v>
      </c>
      <c r="I2314" s="242"/>
      <c r="J2314" s="215"/>
    </row>
    <row r="2315" spans="1:10" ht="12.75" hidden="1" customHeight="1" outlineLevel="1" x14ac:dyDescent="0.2">
      <c r="A2315" s="198" t="s">
        <v>1279</v>
      </c>
      <c r="B2315" s="224" t="s">
        <v>2751</v>
      </c>
      <c r="C2315" s="225" t="s">
        <v>4843</v>
      </c>
      <c r="D2315" s="226" t="s">
        <v>3</v>
      </c>
      <c r="E2315" s="227">
        <v>10.52</v>
      </c>
      <c r="F2315" s="227"/>
      <c r="G2315" s="225"/>
      <c r="H2315" s="235">
        <f t="shared" si="71"/>
        <v>0</v>
      </c>
      <c r="J2315" s="215"/>
    </row>
    <row r="2316" spans="1:10" ht="12.75" hidden="1" customHeight="1" outlineLevel="1" x14ac:dyDescent="0.2">
      <c r="A2316" s="198" t="s">
        <v>1279</v>
      </c>
      <c r="B2316" s="216" t="s">
        <v>2752</v>
      </c>
      <c r="C2316" s="217" t="s">
        <v>2965</v>
      </c>
      <c r="D2316" s="218"/>
      <c r="E2316" s="219"/>
      <c r="F2316" s="219"/>
      <c r="G2316" s="225"/>
      <c r="H2316" s="235">
        <f t="shared" si="71"/>
        <v>0</v>
      </c>
      <c r="J2316" s="215"/>
    </row>
    <row r="2317" spans="1:10" ht="12.75" hidden="1" customHeight="1" outlineLevel="1" x14ac:dyDescent="0.2">
      <c r="A2317" s="198" t="s">
        <v>1279</v>
      </c>
      <c r="B2317" s="228" t="s">
        <v>2753</v>
      </c>
      <c r="C2317" s="229" t="s">
        <v>4843</v>
      </c>
      <c r="D2317" s="230" t="s">
        <v>3</v>
      </c>
      <c r="E2317" s="231">
        <v>10.52</v>
      </c>
      <c r="F2317" s="231"/>
      <c r="G2317" s="225"/>
      <c r="H2317" s="235">
        <f t="shared" si="71"/>
        <v>0</v>
      </c>
      <c r="J2317" s="215"/>
    </row>
    <row r="2318" spans="1:10" ht="12.75" hidden="1" customHeight="1" outlineLevel="1" x14ac:dyDescent="0.2">
      <c r="A2318" s="198" t="s">
        <v>1279</v>
      </c>
      <c r="B2318" s="216" t="s">
        <v>4844</v>
      </c>
      <c r="C2318" s="217" t="s">
        <v>2966</v>
      </c>
      <c r="D2318" s="218"/>
      <c r="E2318" s="219"/>
      <c r="F2318" s="219"/>
      <c r="G2318" s="225"/>
      <c r="H2318" s="235">
        <f t="shared" si="71"/>
        <v>0</v>
      </c>
      <c r="J2318" s="215"/>
    </row>
    <row r="2319" spans="1:10" ht="12.75" hidden="1" customHeight="1" outlineLevel="1" x14ac:dyDescent="0.2">
      <c r="A2319" s="198" t="s">
        <v>1279</v>
      </c>
      <c r="B2319" s="224" t="s">
        <v>4845</v>
      </c>
      <c r="C2319" s="225" t="s">
        <v>4843</v>
      </c>
      <c r="D2319" s="226" t="s">
        <v>3</v>
      </c>
      <c r="E2319" s="227">
        <v>10.52</v>
      </c>
      <c r="F2319" s="227"/>
      <c r="G2319" s="225"/>
      <c r="H2319" s="235">
        <f t="shared" si="71"/>
        <v>0</v>
      </c>
      <c r="J2319" s="215"/>
    </row>
    <row r="2320" spans="1:10" ht="12.75" hidden="1" customHeight="1" outlineLevel="1" x14ac:dyDescent="0.2">
      <c r="A2320" s="198" t="s">
        <v>1279</v>
      </c>
      <c r="B2320" s="216" t="s">
        <v>4846</v>
      </c>
      <c r="C2320" s="217" t="s">
        <v>2967</v>
      </c>
      <c r="D2320" s="218"/>
      <c r="E2320" s="219"/>
      <c r="F2320" s="219"/>
      <c r="G2320" s="225"/>
      <c r="H2320" s="235">
        <f t="shared" si="71"/>
        <v>0</v>
      </c>
      <c r="J2320" s="215"/>
    </row>
    <row r="2321" spans="1:10" ht="12.75" hidden="1" customHeight="1" outlineLevel="1" x14ac:dyDescent="0.2">
      <c r="A2321" s="198" t="s">
        <v>1279</v>
      </c>
      <c r="B2321" s="228" t="s">
        <v>4847</v>
      </c>
      <c r="C2321" s="229" t="s">
        <v>4843</v>
      </c>
      <c r="D2321" s="230" t="s">
        <v>3</v>
      </c>
      <c r="E2321" s="231">
        <v>10.52</v>
      </c>
      <c r="F2321" s="231"/>
      <c r="G2321" s="225"/>
      <c r="H2321" s="235">
        <f t="shared" si="71"/>
        <v>0</v>
      </c>
    </row>
    <row r="2322" spans="1:10" ht="12.75" hidden="1" customHeight="1" outlineLevel="1" x14ac:dyDescent="0.2">
      <c r="A2322" s="198" t="s">
        <v>1279</v>
      </c>
      <c r="B2322" s="216" t="s">
        <v>4848</v>
      </c>
      <c r="C2322" s="217" t="s">
        <v>2968</v>
      </c>
      <c r="D2322" s="218"/>
      <c r="E2322" s="219"/>
      <c r="F2322" s="219"/>
    </row>
    <row r="2323" spans="1:10" ht="12.75" hidden="1" customHeight="1" outlineLevel="1" x14ac:dyDescent="0.2">
      <c r="A2323" s="198" t="s">
        <v>1279</v>
      </c>
      <c r="B2323" s="224" t="s">
        <v>4849</v>
      </c>
      <c r="C2323" s="225" t="s">
        <v>4843</v>
      </c>
      <c r="D2323" s="226" t="s">
        <v>3</v>
      </c>
      <c r="E2323" s="227">
        <v>10.52</v>
      </c>
      <c r="F2323" s="227"/>
    </row>
    <row r="2324" spans="1:10" ht="12.75" hidden="1" customHeight="1" outlineLevel="1" x14ac:dyDescent="0.2">
      <c r="A2324" s="198" t="s">
        <v>1279</v>
      </c>
      <c r="B2324" s="216" t="s">
        <v>4850</v>
      </c>
      <c r="C2324" s="217" t="s">
        <v>2969</v>
      </c>
      <c r="D2324" s="218"/>
      <c r="E2324" s="219"/>
      <c r="F2324" s="219"/>
    </row>
    <row r="2325" spans="1:10" ht="12.75" hidden="1" customHeight="1" outlineLevel="1" x14ac:dyDescent="0.2">
      <c r="A2325" s="198" t="s">
        <v>1279</v>
      </c>
      <c r="B2325" s="228" t="s">
        <v>4851</v>
      </c>
      <c r="C2325" s="229" t="s">
        <v>4843</v>
      </c>
      <c r="D2325" s="230" t="s">
        <v>3</v>
      </c>
      <c r="E2325" s="231">
        <v>10.52</v>
      </c>
      <c r="F2325" s="231"/>
      <c r="G2325" s="520" t="str">
        <f>$A$2</f>
        <v>TORRE</v>
      </c>
      <c r="H2325" s="234">
        <f>SUM(H2326:H2333)</f>
        <v>199.88000000000002</v>
      </c>
      <c r="J2325" s="215"/>
    </row>
    <row r="2326" spans="1:10" ht="12.75" hidden="1" customHeight="1" outlineLevel="1" x14ac:dyDescent="0.2">
      <c r="A2326" s="198" t="s">
        <v>1279</v>
      </c>
      <c r="B2326" s="216" t="s">
        <v>4852</v>
      </c>
      <c r="C2326" s="217" t="s">
        <v>2970</v>
      </c>
      <c r="D2326" s="218"/>
      <c r="E2326" s="219"/>
      <c r="F2326" s="219"/>
      <c r="G2326" s="225" t="s">
        <v>4843</v>
      </c>
      <c r="H2326" s="235">
        <f t="shared" ref="H2326:H2333" si="72">SUMIFS($E:$E,$C:$C,G2326,$A:$A,$G$30)</f>
        <v>199.88000000000002</v>
      </c>
      <c r="J2326" s="215"/>
    </row>
    <row r="2327" spans="1:10" ht="12.75" hidden="1" customHeight="1" outlineLevel="1" x14ac:dyDescent="0.2">
      <c r="A2327" s="198" t="s">
        <v>1279</v>
      </c>
      <c r="B2327" s="224" t="s">
        <v>4853</v>
      </c>
      <c r="C2327" s="225" t="s">
        <v>4843</v>
      </c>
      <c r="D2327" s="226" t="s">
        <v>3</v>
      </c>
      <c r="E2327" s="227">
        <v>10.52</v>
      </c>
      <c r="F2327" s="227"/>
      <c r="G2327" s="225"/>
      <c r="H2327" s="235">
        <f t="shared" si="72"/>
        <v>0</v>
      </c>
      <c r="J2327" s="215"/>
    </row>
    <row r="2328" spans="1:10" ht="12.75" hidden="1" customHeight="1" outlineLevel="1" x14ac:dyDescent="0.2">
      <c r="A2328" s="198" t="s">
        <v>1279</v>
      </c>
      <c r="B2328" s="216" t="s">
        <v>4854</v>
      </c>
      <c r="C2328" s="217" t="s">
        <v>2971</v>
      </c>
      <c r="D2328" s="218"/>
      <c r="E2328" s="219"/>
      <c r="F2328" s="219"/>
      <c r="G2328" s="225"/>
      <c r="H2328" s="235">
        <f t="shared" si="72"/>
        <v>0</v>
      </c>
      <c r="J2328" s="215"/>
    </row>
    <row r="2329" spans="1:10" ht="12.75" hidden="1" customHeight="1" outlineLevel="1" x14ac:dyDescent="0.2">
      <c r="A2329" s="198" t="s">
        <v>1279</v>
      </c>
      <c r="B2329" s="228" t="s">
        <v>4855</v>
      </c>
      <c r="C2329" s="229" t="s">
        <v>4843</v>
      </c>
      <c r="D2329" s="230" t="s">
        <v>3</v>
      </c>
      <c r="E2329" s="231">
        <v>10.52</v>
      </c>
      <c r="F2329" s="231"/>
      <c r="G2329" s="225"/>
      <c r="H2329" s="235">
        <f t="shared" si="72"/>
        <v>0</v>
      </c>
      <c r="J2329" s="215"/>
    </row>
    <row r="2330" spans="1:10" ht="12.75" hidden="1" customHeight="1" outlineLevel="1" x14ac:dyDescent="0.2">
      <c r="A2330" s="198" t="s">
        <v>1279</v>
      </c>
      <c r="B2330" s="216" t="s">
        <v>4856</v>
      </c>
      <c r="C2330" s="217" t="s">
        <v>2972</v>
      </c>
      <c r="D2330" s="218"/>
      <c r="E2330" s="219"/>
      <c r="F2330" s="219"/>
      <c r="G2330" s="225"/>
      <c r="H2330" s="235">
        <f t="shared" si="72"/>
        <v>0</v>
      </c>
      <c r="J2330" s="215"/>
    </row>
    <row r="2331" spans="1:10" ht="12.75" hidden="1" customHeight="1" outlineLevel="1" x14ac:dyDescent="0.2">
      <c r="A2331" s="198" t="s">
        <v>1279</v>
      </c>
      <c r="B2331" s="224" t="s">
        <v>4857</v>
      </c>
      <c r="C2331" s="225" t="s">
        <v>4843</v>
      </c>
      <c r="D2331" s="226" t="s">
        <v>3</v>
      </c>
      <c r="E2331" s="227">
        <v>10.52</v>
      </c>
      <c r="F2331" s="227"/>
      <c r="G2331" s="225"/>
      <c r="H2331" s="235">
        <f t="shared" si="72"/>
        <v>0</v>
      </c>
      <c r="J2331" s="215"/>
    </row>
    <row r="2332" spans="1:10" ht="12.75" hidden="1" customHeight="1" outlineLevel="1" x14ac:dyDescent="0.2">
      <c r="A2332" s="198" t="s">
        <v>1279</v>
      </c>
      <c r="B2332" s="216" t="s">
        <v>4858</v>
      </c>
      <c r="C2332" s="217" t="s">
        <v>2973</v>
      </c>
      <c r="D2332" s="218"/>
      <c r="E2332" s="219"/>
      <c r="F2332" s="219"/>
      <c r="G2332" s="225"/>
      <c r="H2332" s="235">
        <f t="shared" si="72"/>
        <v>0</v>
      </c>
      <c r="J2332" s="215"/>
    </row>
    <row r="2333" spans="1:10" ht="12.75" hidden="1" customHeight="1" outlineLevel="1" x14ac:dyDescent="0.2">
      <c r="A2333" s="198" t="s">
        <v>1279</v>
      </c>
      <c r="B2333" s="228" t="s">
        <v>4859</v>
      </c>
      <c r="C2333" s="229" t="s">
        <v>4843</v>
      </c>
      <c r="D2333" s="230" t="s">
        <v>3</v>
      </c>
      <c r="E2333" s="231">
        <v>10.52</v>
      </c>
      <c r="F2333" s="231"/>
      <c r="G2333" s="225"/>
      <c r="H2333" s="235">
        <f t="shared" si="72"/>
        <v>0</v>
      </c>
      <c r="J2333" s="215"/>
    </row>
    <row r="2334" spans="1:10" ht="12.75" hidden="1" customHeight="1" outlineLevel="1" x14ac:dyDescent="0.2">
      <c r="A2334" s="198" t="s">
        <v>1279</v>
      </c>
      <c r="B2334" s="216" t="s">
        <v>4860</v>
      </c>
      <c r="C2334" s="217" t="s">
        <v>2974</v>
      </c>
      <c r="D2334" s="218"/>
      <c r="E2334" s="219"/>
      <c r="F2334" s="219"/>
      <c r="G2334" s="241"/>
      <c r="H2334" s="241"/>
    </row>
    <row r="2335" spans="1:10" ht="12.75" hidden="1" customHeight="1" outlineLevel="1" x14ac:dyDescent="0.2">
      <c r="A2335" s="198" t="s">
        <v>1279</v>
      </c>
      <c r="B2335" s="224" t="s">
        <v>4861</v>
      </c>
      <c r="C2335" s="225" t="s">
        <v>4843</v>
      </c>
      <c r="D2335" s="226" t="s">
        <v>3</v>
      </c>
      <c r="E2335" s="227">
        <v>10.52</v>
      </c>
      <c r="F2335" s="227"/>
      <c r="G2335" s="241"/>
      <c r="H2335" s="241"/>
    </row>
    <row r="2336" spans="1:10" ht="12.75" hidden="1" customHeight="1" outlineLevel="1" x14ac:dyDescent="0.2">
      <c r="A2336" s="198" t="s">
        <v>1279</v>
      </c>
      <c r="B2336" s="216" t="s">
        <v>4862</v>
      </c>
      <c r="C2336" s="217" t="s">
        <v>2975</v>
      </c>
      <c r="D2336" s="218"/>
      <c r="E2336" s="219"/>
      <c r="F2336" s="219"/>
      <c r="G2336" s="241"/>
      <c r="H2336" s="241"/>
    </row>
    <row r="2337" spans="1:10" ht="12.75" hidden="1" customHeight="1" outlineLevel="1" x14ac:dyDescent="0.2">
      <c r="A2337" s="198" t="s">
        <v>1279</v>
      </c>
      <c r="B2337" s="228" t="s">
        <v>4863</v>
      </c>
      <c r="C2337" s="229" t="s">
        <v>4843</v>
      </c>
      <c r="D2337" s="230" t="s">
        <v>3</v>
      </c>
      <c r="E2337" s="231">
        <v>10.52</v>
      </c>
      <c r="F2337" s="231"/>
      <c r="G2337" s="241"/>
      <c r="H2337" s="241"/>
    </row>
    <row r="2338" spans="1:10" ht="12.75" hidden="1" customHeight="1" outlineLevel="1" x14ac:dyDescent="0.2">
      <c r="A2338" s="198" t="s">
        <v>1279</v>
      </c>
      <c r="B2338" s="216" t="s">
        <v>4864</v>
      </c>
      <c r="C2338" s="217" t="s">
        <v>2976</v>
      </c>
      <c r="D2338" s="218"/>
      <c r="E2338" s="219"/>
      <c r="F2338" s="219"/>
      <c r="G2338" s="241"/>
      <c r="H2338" s="241"/>
    </row>
    <row r="2339" spans="1:10" ht="12.75" hidden="1" customHeight="1" outlineLevel="1" x14ac:dyDescent="0.2">
      <c r="A2339" s="198" t="s">
        <v>1279</v>
      </c>
      <c r="B2339" s="224" t="s">
        <v>4865</v>
      </c>
      <c r="C2339" s="225" t="s">
        <v>4843</v>
      </c>
      <c r="D2339" s="226" t="s">
        <v>3</v>
      </c>
      <c r="E2339" s="227">
        <v>10.52</v>
      </c>
      <c r="F2339" s="227"/>
      <c r="G2339" s="241"/>
      <c r="H2339" s="241"/>
    </row>
    <row r="2340" spans="1:10" ht="12.75" hidden="1" customHeight="1" outlineLevel="1" x14ac:dyDescent="0.2">
      <c r="A2340" s="198" t="s">
        <v>1279</v>
      </c>
      <c r="B2340" s="216" t="s">
        <v>4866</v>
      </c>
      <c r="C2340" s="217" t="s">
        <v>2978</v>
      </c>
      <c r="D2340" s="218"/>
      <c r="E2340" s="219"/>
      <c r="F2340" s="219"/>
      <c r="G2340" s="241"/>
      <c r="H2340" s="241"/>
    </row>
    <row r="2341" spans="1:10" ht="12.75" hidden="1" customHeight="1" outlineLevel="1" x14ac:dyDescent="0.2">
      <c r="A2341" s="198" t="s">
        <v>1279</v>
      </c>
      <c r="B2341" s="228" t="s">
        <v>4867</v>
      </c>
      <c r="C2341" s="229" t="s">
        <v>4843</v>
      </c>
      <c r="D2341" s="230" t="s">
        <v>3</v>
      </c>
      <c r="E2341" s="231">
        <v>10.52</v>
      </c>
      <c r="F2341" s="231"/>
      <c r="G2341" s="241"/>
      <c r="H2341" s="241"/>
    </row>
    <row r="2342" spans="1:10" ht="12.75" hidden="1" customHeight="1" outlineLevel="1" x14ac:dyDescent="0.2">
      <c r="A2342" s="198" t="s">
        <v>1279</v>
      </c>
      <c r="B2342" s="216" t="s">
        <v>4868</v>
      </c>
      <c r="C2342" s="217" t="s">
        <v>2980</v>
      </c>
      <c r="D2342" s="218"/>
      <c r="E2342" s="219"/>
      <c r="F2342" s="219"/>
      <c r="G2342" s="241"/>
      <c r="H2342" s="241"/>
    </row>
    <row r="2343" spans="1:10" ht="12.75" hidden="1" customHeight="1" outlineLevel="1" x14ac:dyDescent="0.2">
      <c r="A2343" s="198" t="s">
        <v>1279</v>
      </c>
      <c r="B2343" s="224" t="s">
        <v>4869</v>
      </c>
      <c r="C2343" s="225" t="s">
        <v>4843</v>
      </c>
      <c r="D2343" s="226" t="s">
        <v>3</v>
      </c>
      <c r="E2343" s="227">
        <v>10.52</v>
      </c>
      <c r="F2343" s="227"/>
      <c r="G2343" s="241"/>
      <c r="H2343" s="241"/>
    </row>
    <row r="2344" spans="1:10" collapsed="1" x14ac:dyDescent="0.2">
      <c r="B2344" s="515" t="s">
        <v>1691</v>
      </c>
      <c r="C2344" s="516" t="s">
        <v>1675</v>
      </c>
      <c r="D2344" s="549"/>
      <c r="E2344" s="524">
        <f>SUM(E2346:E2432)</f>
        <v>1180.71</v>
      </c>
      <c r="F2344" s="524"/>
      <c r="G2344" s="516"/>
      <c r="H2344" s="234">
        <f>SUM(H2345:H2352)</f>
        <v>1180.7099999999998</v>
      </c>
      <c r="I2344" s="242" t="str">
        <f>IF(H2344=E2344,"OKAY","REVER")</f>
        <v>OKAY</v>
      </c>
      <c r="J2344" s="405"/>
    </row>
    <row r="2345" spans="1:10" ht="12.75" hidden="1" customHeight="1" outlineLevel="1" x14ac:dyDescent="0.2">
      <c r="A2345" s="198" t="s">
        <v>1278</v>
      </c>
      <c r="B2345" s="216" t="s">
        <v>2754</v>
      </c>
      <c r="C2345" s="217" t="s">
        <v>2955</v>
      </c>
      <c r="D2345" s="218"/>
      <c r="E2345" s="219"/>
      <c r="F2345" s="219"/>
      <c r="G2345" s="229" t="s">
        <v>4871</v>
      </c>
      <c r="H2345" s="235">
        <f t="shared" ref="H2345:H2352" si="73">SUMIF($C:$C,G2345,$E:$E)</f>
        <v>526.94999999999982</v>
      </c>
      <c r="J2345" s="215"/>
    </row>
    <row r="2346" spans="1:10" ht="12.75" hidden="1" customHeight="1" outlineLevel="1" x14ac:dyDescent="0.2">
      <c r="A2346" s="198" t="s">
        <v>1278</v>
      </c>
      <c r="B2346" s="228" t="s">
        <v>2755</v>
      </c>
      <c r="C2346" s="229" t="s">
        <v>4871</v>
      </c>
      <c r="D2346" s="230" t="s">
        <v>3</v>
      </c>
      <c r="E2346" s="231">
        <v>27.43</v>
      </c>
      <c r="F2346" s="231"/>
      <c r="G2346" s="225" t="s">
        <v>5095</v>
      </c>
      <c r="H2346" s="235">
        <f t="shared" si="73"/>
        <v>88.72</v>
      </c>
      <c r="J2346" s="215"/>
    </row>
    <row r="2347" spans="1:10" ht="12.75" hidden="1" customHeight="1" outlineLevel="1" x14ac:dyDescent="0.2">
      <c r="A2347" s="198" t="s">
        <v>1278</v>
      </c>
      <c r="B2347" s="224" t="s">
        <v>2756</v>
      </c>
      <c r="C2347" s="225" t="s">
        <v>4872</v>
      </c>
      <c r="D2347" s="226" t="s">
        <v>2</v>
      </c>
      <c r="E2347" s="227">
        <v>3</v>
      </c>
      <c r="F2347" s="227"/>
      <c r="G2347" s="225" t="s">
        <v>5096</v>
      </c>
      <c r="H2347" s="235">
        <f t="shared" si="73"/>
        <v>522.04</v>
      </c>
      <c r="J2347" s="215"/>
    </row>
    <row r="2348" spans="1:10" ht="12.75" hidden="1" customHeight="1" outlineLevel="1" x14ac:dyDescent="0.2">
      <c r="A2348" s="198" t="s">
        <v>1278</v>
      </c>
      <c r="B2348" s="216" t="s">
        <v>2757</v>
      </c>
      <c r="C2348" s="217" t="s">
        <v>2958</v>
      </c>
      <c r="D2348" s="218"/>
      <c r="E2348" s="219"/>
      <c r="F2348" s="219"/>
      <c r="G2348" s="229" t="s">
        <v>4872</v>
      </c>
      <c r="H2348" s="235">
        <f t="shared" si="73"/>
        <v>43</v>
      </c>
      <c r="J2348" s="215"/>
    </row>
    <row r="2349" spans="1:10" ht="12.75" hidden="1" customHeight="1" outlineLevel="1" x14ac:dyDescent="0.2">
      <c r="A2349" s="198" t="s">
        <v>1278</v>
      </c>
      <c r="B2349" s="228" t="s">
        <v>2758</v>
      </c>
      <c r="C2349" s="229" t="s">
        <v>4871</v>
      </c>
      <c r="D2349" s="230" t="s">
        <v>3</v>
      </c>
      <c r="E2349" s="231">
        <v>28.91</v>
      </c>
      <c r="F2349" s="231"/>
      <c r="G2349" s="225"/>
      <c r="H2349" s="235">
        <f t="shared" si="73"/>
        <v>0</v>
      </c>
      <c r="J2349" s="215"/>
    </row>
    <row r="2350" spans="1:10" ht="12.75" hidden="1" customHeight="1" outlineLevel="1" x14ac:dyDescent="0.2">
      <c r="A2350" s="198" t="s">
        <v>1278</v>
      </c>
      <c r="B2350" s="224" t="s">
        <v>2759</v>
      </c>
      <c r="C2350" s="225" t="s">
        <v>5095</v>
      </c>
      <c r="D2350" s="226" t="s">
        <v>11</v>
      </c>
      <c r="E2350" s="227">
        <v>13.81</v>
      </c>
      <c r="F2350" s="227"/>
      <c r="G2350" s="225"/>
      <c r="H2350" s="235">
        <f t="shared" si="73"/>
        <v>0</v>
      </c>
      <c r="J2350" s="215"/>
    </row>
    <row r="2351" spans="1:10" ht="12.75" hidden="1" customHeight="1" outlineLevel="1" x14ac:dyDescent="0.2">
      <c r="A2351" s="198" t="s">
        <v>1278</v>
      </c>
      <c r="B2351" s="228" t="s">
        <v>2760</v>
      </c>
      <c r="C2351" s="229" t="s">
        <v>4872</v>
      </c>
      <c r="D2351" s="230" t="s">
        <v>2</v>
      </c>
      <c r="E2351" s="231">
        <v>2</v>
      </c>
      <c r="F2351" s="231"/>
      <c r="G2351" s="225"/>
      <c r="H2351" s="235">
        <f t="shared" si="73"/>
        <v>0</v>
      </c>
      <c r="I2351" s="198"/>
      <c r="J2351" s="215"/>
    </row>
    <row r="2352" spans="1:10" ht="12.75" hidden="1" customHeight="1" outlineLevel="1" x14ac:dyDescent="0.2">
      <c r="A2352" s="198" t="s">
        <v>1279</v>
      </c>
      <c r="B2352" s="216" t="s">
        <v>2761</v>
      </c>
      <c r="C2352" s="217" t="s">
        <v>2960</v>
      </c>
      <c r="D2352" s="218"/>
      <c r="E2352" s="219"/>
      <c r="F2352" s="219"/>
      <c r="G2352" s="225"/>
      <c r="H2352" s="235">
        <f t="shared" si="73"/>
        <v>0</v>
      </c>
      <c r="J2352" s="215"/>
    </row>
    <row r="2353" spans="1:10" ht="12.75" hidden="1" customHeight="1" outlineLevel="1" x14ac:dyDescent="0.2">
      <c r="A2353" s="198" t="s">
        <v>1279</v>
      </c>
      <c r="B2353" s="224" t="s">
        <v>2762</v>
      </c>
      <c r="C2353" s="225" t="s">
        <v>4871</v>
      </c>
      <c r="D2353" s="226" t="s">
        <v>3</v>
      </c>
      <c r="E2353" s="227">
        <v>27.43</v>
      </c>
      <c r="F2353" s="227"/>
      <c r="J2353" s="215"/>
    </row>
    <row r="2354" spans="1:10" ht="12.75" hidden="1" customHeight="1" outlineLevel="1" x14ac:dyDescent="0.2">
      <c r="A2354" s="198" t="s">
        <v>1279</v>
      </c>
      <c r="B2354" s="228" t="s">
        <v>2763</v>
      </c>
      <c r="C2354" s="229" t="s">
        <v>4872</v>
      </c>
      <c r="D2354" s="230" t="s">
        <v>2</v>
      </c>
      <c r="E2354" s="231">
        <v>2</v>
      </c>
      <c r="F2354" s="231"/>
      <c r="G2354" s="520" t="s">
        <v>1732</v>
      </c>
      <c r="H2354" s="234">
        <f>H2356+H2368</f>
        <v>1180.71</v>
      </c>
      <c r="I2354" s="242" t="str">
        <f>IF(H2354=H2344,"OKAY","REVER")</f>
        <v>OKAY</v>
      </c>
      <c r="J2354" s="215"/>
    </row>
    <row r="2355" spans="1:10" ht="12.75" hidden="1" customHeight="1" outlineLevel="1" x14ac:dyDescent="0.2">
      <c r="A2355" s="198" t="s">
        <v>1279</v>
      </c>
      <c r="B2355" s="216" t="s">
        <v>2764</v>
      </c>
      <c r="C2355" s="217" t="s">
        <v>2961</v>
      </c>
      <c r="D2355" s="218"/>
      <c r="E2355" s="219"/>
      <c r="F2355" s="219"/>
      <c r="G2355" s="232"/>
      <c r="H2355" s="232"/>
      <c r="I2355" s="242"/>
      <c r="J2355" s="215"/>
    </row>
    <row r="2356" spans="1:10" ht="12.75" hidden="1" customHeight="1" outlineLevel="1" x14ac:dyDescent="0.2">
      <c r="A2356" s="198" t="s">
        <v>1279</v>
      </c>
      <c r="B2356" s="224" t="s">
        <v>2765</v>
      </c>
      <c r="C2356" s="225" t="s">
        <v>4871</v>
      </c>
      <c r="D2356" s="226" t="s">
        <v>3</v>
      </c>
      <c r="E2356" s="227">
        <v>27.43</v>
      </c>
      <c r="F2356" s="227"/>
      <c r="G2356" s="520" t="str">
        <f>$A$1</f>
        <v>EMBASSAMENTO</v>
      </c>
      <c r="H2356" s="234">
        <f>SUM(H2357:H2364)</f>
        <v>75.150000000000006</v>
      </c>
      <c r="I2356" s="242"/>
      <c r="J2356" s="215"/>
    </row>
    <row r="2357" spans="1:10" ht="12.75" hidden="1" customHeight="1" outlineLevel="1" x14ac:dyDescent="0.2">
      <c r="A2357" s="198" t="s">
        <v>1279</v>
      </c>
      <c r="B2357" s="228" t="s">
        <v>2766</v>
      </c>
      <c r="C2357" s="229" t="s">
        <v>5096</v>
      </c>
      <c r="D2357" s="230" t="s">
        <v>11</v>
      </c>
      <c r="E2357" s="231">
        <v>34.06</v>
      </c>
      <c r="F2357" s="231"/>
      <c r="G2357" s="229" t="s">
        <v>4871</v>
      </c>
      <c r="H2357" s="235">
        <f t="shared" ref="H2357:H2364" si="74">SUMIFS($E:$E,$C:$C,G2357,$A:$A,$G$22)</f>
        <v>56.34</v>
      </c>
      <c r="I2357" s="242"/>
      <c r="J2357" s="215"/>
    </row>
    <row r="2358" spans="1:10" ht="12.75" hidden="1" customHeight="1" outlineLevel="1" x14ac:dyDescent="0.2">
      <c r="A2358" s="198" t="s">
        <v>1279</v>
      </c>
      <c r="B2358" s="224" t="s">
        <v>2767</v>
      </c>
      <c r="C2358" s="225" t="s">
        <v>4872</v>
      </c>
      <c r="D2358" s="226" t="s">
        <v>2</v>
      </c>
      <c r="E2358" s="227">
        <v>2</v>
      </c>
      <c r="F2358" s="227"/>
      <c r="G2358" s="225" t="s">
        <v>5095</v>
      </c>
      <c r="H2358" s="235">
        <f t="shared" si="74"/>
        <v>13.81</v>
      </c>
      <c r="J2358" s="215"/>
    </row>
    <row r="2359" spans="1:10" ht="12.75" hidden="1" customHeight="1" outlineLevel="1" x14ac:dyDescent="0.2">
      <c r="A2359" s="198" t="s">
        <v>1279</v>
      </c>
      <c r="B2359" s="216" t="s">
        <v>2768</v>
      </c>
      <c r="C2359" s="217" t="s">
        <v>2962</v>
      </c>
      <c r="D2359" s="218"/>
      <c r="E2359" s="219"/>
      <c r="F2359" s="219"/>
      <c r="G2359" s="225" t="s">
        <v>5096</v>
      </c>
      <c r="H2359" s="235">
        <f t="shared" si="74"/>
        <v>0</v>
      </c>
      <c r="J2359" s="215"/>
    </row>
    <row r="2360" spans="1:10" ht="12.75" hidden="1" customHeight="1" outlineLevel="1" x14ac:dyDescent="0.2">
      <c r="A2360" s="198" t="s">
        <v>1279</v>
      </c>
      <c r="B2360" s="228" t="s">
        <v>2769</v>
      </c>
      <c r="C2360" s="229" t="s">
        <v>4871</v>
      </c>
      <c r="D2360" s="230" t="s">
        <v>3</v>
      </c>
      <c r="E2360" s="231">
        <v>24.89</v>
      </c>
      <c r="F2360" s="231"/>
      <c r="G2360" s="229" t="s">
        <v>4872</v>
      </c>
      <c r="H2360" s="235">
        <f t="shared" si="74"/>
        <v>5</v>
      </c>
      <c r="J2360" s="215"/>
    </row>
    <row r="2361" spans="1:10" ht="12.75" hidden="1" customHeight="1" outlineLevel="1" x14ac:dyDescent="0.2">
      <c r="A2361" s="198" t="s">
        <v>1279</v>
      </c>
      <c r="B2361" s="224" t="s">
        <v>2770</v>
      </c>
      <c r="C2361" s="225" t="s">
        <v>5095</v>
      </c>
      <c r="D2361" s="226" t="s">
        <v>11</v>
      </c>
      <c r="E2361" s="227">
        <v>7.4</v>
      </c>
      <c r="F2361" s="227"/>
      <c r="G2361" s="225"/>
      <c r="H2361" s="235">
        <f t="shared" si="74"/>
        <v>0</v>
      </c>
      <c r="J2361" s="215"/>
    </row>
    <row r="2362" spans="1:10" ht="12.75" hidden="1" customHeight="1" outlineLevel="1" x14ac:dyDescent="0.2">
      <c r="A2362" s="198" t="s">
        <v>1279</v>
      </c>
      <c r="B2362" s="228" t="s">
        <v>2771</v>
      </c>
      <c r="C2362" s="229" t="s">
        <v>5096</v>
      </c>
      <c r="D2362" s="230" t="s">
        <v>11</v>
      </c>
      <c r="E2362" s="231">
        <v>38.92</v>
      </c>
      <c r="F2362" s="231"/>
      <c r="G2362" s="225"/>
      <c r="H2362" s="235">
        <f t="shared" si="74"/>
        <v>0</v>
      </c>
      <c r="J2362" s="215"/>
    </row>
    <row r="2363" spans="1:10" ht="12.75" hidden="1" customHeight="1" outlineLevel="1" x14ac:dyDescent="0.2">
      <c r="A2363" s="198" t="s">
        <v>1279</v>
      </c>
      <c r="B2363" s="224" t="s">
        <v>2772</v>
      </c>
      <c r="C2363" s="225" t="s">
        <v>4872</v>
      </c>
      <c r="D2363" s="226" t="s">
        <v>2</v>
      </c>
      <c r="E2363" s="227">
        <v>2</v>
      </c>
      <c r="F2363" s="227"/>
      <c r="G2363" s="225"/>
      <c r="H2363" s="235">
        <f t="shared" si="74"/>
        <v>0</v>
      </c>
      <c r="J2363" s="215"/>
    </row>
    <row r="2364" spans="1:10" ht="12.75" hidden="1" customHeight="1" outlineLevel="1" x14ac:dyDescent="0.2">
      <c r="A2364" s="198" t="s">
        <v>1279</v>
      </c>
      <c r="B2364" s="216" t="s">
        <v>2773</v>
      </c>
      <c r="C2364" s="217" t="s">
        <v>2963</v>
      </c>
      <c r="D2364" s="218"/>
      <c r="E2364" s="219"/>
      <c r="F2364" s="219"/>
      <c r="G2364" s="225"/>
      <c r="H2364" s="235">
        <f t="shared" si="74"/>
        <v>0</v>
      </c>
    </row>
    <row r="2365" spans="1:10" ht="12.75" hidden="1" customHeight="1" outlineLevel="1" x14ac:dyDescent="0.2">
      <c r="A2365" s="198" t="s">
        <v>1279</v>
      </c>
      <c r="B2365" s="228" t="s">
        <v>2774</v>
      </c>
      <c r="C2365" s="229" t="s">
        <v>4871</v>
      </c>
      <c r="D2365" s="230" t="s">
        <v>3</v>
      </c>
      <c r="E2365" s="231">
        <v>24.89</v>
      </c>
      <c r="F2365" s="231"/>
    </row>
    <row r="2366" spans="1:10" ht="12.75" hidden="1" customHeight="1" outlineLevel="1" x14ac:dyDescent="0.2">
      <c r="A2366" s="198" t="s">
        <v>1279</v>
      </c>
      <c r="B2366" s="224" t="s">
        <v>2775</v>
      </c>
      <c r="C2366" s="225" t="s">
        <v>5096</v>
      </c>
      <c r="D2366" s="226" t="s">
        <v>11</v>
      </c>
      <c r="E2366" s="227">
        <v>26.88</v>
      </c>
      <c r="F2366" s="227"/>
    </row>
    <row r="2367" spans="1:10" ht="12.75" hidden="1" customHeight="1" outlineLevel="1" x14ac:dyDescent="0.2">
      <c r="A2367" s="198" t="s">
        <v>1279</v>
      </c>
      <c r="B2367" s="228" t="s">
        <v>2776</v>
      </c>
      <c r="C2367" s="229" t="s">
        <v>4872</v>
      </c>
      <c r="D2367" s="230" t="s">
        <v>2</v>
      </c>
      <c r="E2367" s="231">
        <v>2</v>
      </c>
      <c r="F2367" s="231"/>
    </row>
    <row r="2368" spans="1:10" ht="12.75" hidden="1" customHeight="1" outlineLevel="1" x14ac:dyDescent="0.2">
      <c r="A2368" s="198" t="s">
        <v>1279</v>
      </c>
      <c r="B2368" s="216" t="s">
        <v>2777</v>
      </c>
      <c r="C2368" s="217" t="s">
        <v>2964</v>
      </c>
      <c r="D2368" s="218"/>
      <c r="E2368" s="219"/>
      <c r="F2368" s="219"/>
      <c r="G2368" s="520" t="str">
        <f>$A$2</f>
        <v>TORRE</v>
      </c>
      <c r="H2368" s="234">
        <f>SUM(H2369:H2376)</f>
        <v>1105.56</v>
      </c>
      <c r="J2368" s="215"/>
    </row>
    <row r="2369" spans="1:10" ht="12.75" hidden="1" customHeight="1" outlineLevel="1" x14ac:dyDescent="0.2">
      <c r="A2369" s="198" t="s">
        <v>1279</v>
      </c>
      <c r="B2369" s="224" t="s">
        <v>2778</v>
      </c>
      <c r="C2369" s="225" t="s">
        <v>4871</v>
      </c>
      <c r="D2369" s="226" t="s">
        <v>3</v>
      </c>
      <c r="E2369" s="227">
        <v>24.89</v>
      </c>
      <c r="F2369" s="227"/>
      <c r="G2369" s="229" t="s">
        <v>4871</v>
      </c>
      <c r="H2369" s="235">
        <f t="shared" ref="H2369:H2376" si="75">SUMIFS($E:$E,$C:$C,G2369,$A:$A,$G$30)</f>
        <v>470.6099999999999</v>
      </c>
      <c r="J2369" s="215"/>
    </row>
    <row r="2370" spans="1:10" ht="12.75" hidden="1" customHeight="1" outlineLevel="1" x14ac:dyDescent="0.2">
      <c r="A2370" s="198" t="s">
        <v>1279</v>
      </c>
      <c r="B2370" s="228" t="s">
        <v>2779</v>
      </c>
      <c r="C2370" s="229" t="s">
        <v>5095</v>
      </c>
      <c r="D2370" s="230" t="s">
        <v>11</v>
      </c>
      <c r="E2370" s="231">
        <v>7.4</v>
      </c>
      <c r="F2370" s="231"/>
      <c r="G2370" s="225" t="s">
        <v>5095</v>
      </c>
      <c r="H2370" s="235">
        <f t="shared" si="75"/>
        <v>74.91</v>
      </c>
      <c r="J2370" s="215"/>
    </row>
    <row r="2371" spans="1:10" ht="12.75" hidden="1" customHeight="1" outlineLevel="1" x14ac:dyDescent="0.2">
      <c r="A2371" s="198" t="s">
        <v>1279</v>
      </c>
      <c r="B2371" s="224" t="s">
        <v>5097</v>
      </c>
      <c r="C2371" s="225" t="s">
        <v>5096</v>
      </c>
      <c r="D2371" s="226" t="s">
        <v>11</v>
      </c>
      <c r="E2371" s="227">
        <v>38.909999999999997</v>
      </c>
      <c r="F2371" s="227"/>
      <c r="G2371" s="225" t="s">
        <v>5096</v>
      </c>
      <c r="H2371" s="235">
        <f t="shared" si="75"/>
        <v>522.04</v>
      </c>
      <c r="J2371" s="215"/>
    </row>
    <row r="2372" spans="1:10" ht="12.75" hidden="1" customHeight="1" outlineLevel="1" x14ac:dyDescent="0.2">
      <c r="A2372" s="198" t="s">
        <v>1279</v>
      </c>
      <c r="B2372" s="228" t="s">
        <v>5098</v>
      </c>
      <c r="C2372" s="229" t="s">
        <v>4872</v>
      </c>
      <c r="D2372" s="230" t="s">
        <v>2</v>
      </c>
      <c r="E2372" s="231">
        <v>2</v>
      </c>
      <c r="F2372" s="231"/>
      <c r="G2372" s="229" t="s">
        <v>4872</v>
      </c>
      <c r="H2372" s="235">
        <f t="shared" si="75"/>
        <v>38</v>
      </c>
      <c r="J2372" s="215"/>
    </row>
    <row r="2373" spans="1:10" ht="12.75" hidden="1" customHeight="1" outlineLevel="1" x14ac:dyDescent="0.2">
      <c r="A2373" s="198" t="s">
        <v>1279</v>
      </c>
      <c r="B2373" s="216" t="s">
        <v>2780</v>
      </c>
      <c r="C2373" s="217" t="s">
        <v>2965</v>
      </c>
      <c r="D2373" s="218"/>
      <c r="E2373" s="219"/>
      <c r="F2373" s="219"/>
      <c r="G2373" s="225"/>
      <c r="H2373" s="235">
        <f t="shared" si="75"/>
        <v>0</v>
      </c>
      <c r="J2373" s="215"/>
    </row>
    <row r="2374" spans="1:10" ht="12.75" hidden="1" customHeight="1" outlineLevel="1" x14ac:dyDescent="0.2">
      <c r="A2374" s="198" t="s">
        <v>1279</v>
      </c>
      <c r="B2374" s="224" t="s">
        <v>2781</v>
      </c>
      <c r="C2374" s="225" t="s">
        <v>4871</v>
      </c>
      <c r="D2374" s="226" t="s">
        <v>3</v>
      </c>
      <c r="E2374" s="227">
        <v>24.89</v>
      </c>
      <c r="F2374" s="227"/>
      <c r="G2374" s="225"/>
      <c r="H2374" s="235">
        <f t="shared" si="75"/>
        <v>0</v>
      </c>
      <c r="J2374" s="215"/>
    </row>
    <row r="2375" spans="1:10" ht="12.75" hidden="1" customHeight="1" outlineLevel="1" x14ac:dyDescent="0.2">
      <c r="A2375" s="198" t="s">
        <v>1279</v>
      </c>
      <c r="B2375" s="228" t="s">
        <v>2782</v>
      </c>
      <c r="C2375" s="229" t="s">
        <v>5096</v>
      </c>
      <c r="D2375" s="230" t="s">
        <v>11</v>
      </c>
      <c r="E2375" s="231">
        <v>26.88</v>
      </c>
      <c r="F2375" s="231"/>
      <c r="G2375" s="225"/>
      <c r="H2375" s="235">
        <f t="shared" si="75"/>
        <v>0</v>
      </c>
      <c r="J2375" s="215"/>
    </row>
    <row r="2376" spans="1:10" ht="12.75" hidden="1" customHeight="1" outlineLevel="1" x14ac:dyDescent="0.2">
      <c r="A2376" s="198" t="s">
        <v>1279</v>
      </c>
      <c r="B2376" s="224" t="s">
        <v>2783</v>
      </c>
      <c r="C2376" s="225" t="s">
        <v>4872</v>
      </c>
      <c r="D2376" s="226" t="s">
        <v>2</v>
      </c>
      <c r="E2376" s="227">
        <v>2</v>
      </c>
      <c r="F2376" s="227"/>
      <c r="G2376" s="225"/>
      <c r="H2376" s="235">
        <f t="shared" si="75"/>
        <v>0</v>
      </c>
      <c r="J2376" s="215"/>
    </row>
    <row r="2377" spans="1:10" ht="12.75" hidden="1" customHeight="1" outlineLevel="1" x14ac:dyDescent="0.2">
      <c r="A2377" s="198" t="s">
        <v>1279</v>
      </c>
      <c r="B2377" s="216" t="s">
        <v>4873</v>
      </c>
      <c r="C2377" s="217" t="s">
        <v>2966</v>
      </c>
      <c r="D2377" s="218"/>
      <c r="E2377" s="219"/>
      <c r="F2377" s="219"/>
      <c r="G2377" s="241"/>
      <c r="H2377" s="241"/>
    </row>
    <row r="2378" spans="1:10" ht="12.75" hidden="1" customHeight="1" outlineLevel="1" x14ac:dyDescent="0.2">
      <c r="A2378" s="198" t="s">
        <v>1279</v>
      </c>
      <c r="B2378" s="228" t="s">
        <v>4874</v>
      </c>
      <c r="C2378" s="229" t="s">
        <v>4871</v>
      </c>
      <c r="D2378" s="230" t="s">
        <v>3</v>
      </c>
      <c r="E2378" s="231">
        <v>24.89</v>
      </c>
      <c r="F2378" s="231"/>
      <c r="G2378" s="241"/>
      <c r="H2378" s="241"/>
    </row>
    <row r="2379" spans="1:10" ht="12.75" hidden="1" customHeight="1" outlineLevel="1" x14ac:dyDescent="0.2">
      <c r="A2379" s="198" t="s">
        <v>1279</v>
      </c>
      <c r="B2379" s="224" t="s">
        <v>4875</v>
      </c>
      <c r="C2379" s="225" t="s">
        <v>5095</v>
      </c>
      <c r="D2379" s="226" t="s">
        <v>11</v>
      </c>
      <c r="E2379" s="227">
        <v>7.33</v>
      </c>
      <c r="F2379" s="227"/>
      <c r="G2379" s="241"/>
      <c r="H2379" s="241"/>
    </row>
    <row r="2380" spans="1:10" ht="12.75" hidden="1" customHeight="1" outlineLevel="1" x14ac:dyDescent="0.2">
      <c r="A2380" s="198" t="s">
        <v>1279</v>
      </c>
      <c r="B2380" s="228" t="s">
        <v>5099</v>
      </c>
      <c r="C2380" s="229" t="s">
        <v>5096</v>
      </c>
      <c r="D2380" s="230" t="s">
        <v>11</v>
      </c>
      <c r="E2380" s="231">
        <v>38.909999999999997</v>
      </c>
      <c r="F2380" s="231"/>
      <c r="G2380" s="241"/>
      <c r="H2380" s="241"/>
    </row>
    <row r="2381" spans="1:10" ht="12.75" hidden="1" customHeight="1" outlineLevel="1" x14ac:dyDescent="0.2">
      <c r="A2381" s="198" t="s">
        <v>1279</v>
      </c>
      <c r="B2381" s="224" t="s">
        <v>5100</v>
      </c>
      <c r="C2381" s="225" t="s">
        <v>4872</v>
      </c>
      <c r="D2381" s="226" t="s">
        <v>2</v>
      </c>
      <c r="E2381" s="227">
        <v>2</v>
      </c>
      <c r="F2381" s="227"/>
      <c r="G2381" s="241"/>
      <c r="H2381" s="241"/>
    </row>
    <row r="2382" spans="1:10" ht="12.75" hidden="1" customHeight="1" outlineLevel="1" x14ac:dyDescent="0.2">
      <c r="A2382" s="198" t="s">
        <v>1279</v>
      </c>
      <c r="B2382" s="216" t="s">
        <v>4876</v>
      </c>
      <c r="C2382" s="217" t="s">
        <v>2967</v>
      </c>
      <c r="D2382" s="218"/>
      <c r="E2382" s="219"/>
      <c r="F2382" s="219"/>
      <c r="G2382" s="241"/>
      <c r="H2382" s="241"/>
    </row>
    <row r="2383" spans="1:10" ht="12.75" hidden="1" customHeight="1" outlineLevel="1" x14ac:dyDescent="0.2">
      <c r="A2383" s="198" t="s">
        <v>1279</v>
      </c>
      <c r="B2383" s="228" t="s">
        <v>4877</v>
      </c>
      <c r="C2383" s="229" t="s">
        <v>4871</v>
      </c>
      <c r="D2383" s="230" t="s">
        <v>3</v>
      </c>
      <c r="E2383" s="231">
        <v>24.89</v>
      </c>
      <c r="F2383" s="231"/>
      <c r="G2383" s="241"/>
      <c r="H2383" s="241"/>
    </row>
    <row r="2384" spans="1:10" ht="12.75" hidden="1" customHeight="1" outlineLevel="1" x14ac:dyDescent="0.2">
      <c r="A2384" s="198" t="s">
        <v>1279</v>
      </c>
      <c r="B2384" s="224" t="s">
        <v>4878</v>
      </c>
      <c r="C2384" s="225" t="s">
        <v>5096</v>
      </c>
      <c r="D2384" s="226" t="s">
        <v>11</v>
      </c>
      <c r="E2384" s="227">
        <v>26.88</v>
      </c>
      <c r="F2384" s="227"/>
      <c r="G2384" s="241"/>
      <c r="H2384" s="241"/>
    </row>
    <row r="2385" spans="1:8" ht="12.75" hidden="1" customHeight="1" outlineLevel="1" x14ac:dyDescent="0.2">
      <c r="A2385" s="198" t="s">
        <v>1279</v>
      </c>
      <c r="B2385" s="228" t="s">
        <v>5101</v>
      </c>
      <c r="C2385" s="229" t="s">
        <v>4872</v>
      </c>
      <c r="D2385" s="230" t="s">
        <v>2</v>
      </c>
      <c r="E2385" s="231">
        <v>2</v>
      </c>
      <c r="F2385" s="231"/>
      <c r="G2385" s="241"/>
      <c r="H2385" s="241"/>
    </row>
    <row r="2386" spans="1:8" ht="12.75" hidden="1" customHeight="1" outlineLevel="1" x14ac:dyDescent="0.2">
      <c r="A2386" s="198" t="s">
        <v>1279</v>
      </c>
      <c r="B2386" s="216" t="s">
        <v>4879</v>
      </c>
      <c r="C2386" s="217" t="s">
        <v>2968</v>
      </c>
      <c r="D2386" s="218"/>
      <c r="E2386" s="219"/>
      <c r="F2386" s="219"/>
      <c r="G2386" s="241"/>
      <c r="H2386" s="241"/>
    </row>
    <row r="2387" spans="1:8" ht="12.75" hidden="1" customHeight="1" outlineLevel="1" x14ac:dyDescent="0.2">
      <c r="A2387" s="198" t="s">
        <v>1279</v>
      </c>
      <c r="B2387" s="224" t="s">
        <v>4880</v>
      </c>
      <c r="C2387" s="225" t="s">
        <v>4871</v>
      </c>
      <c r="D2387" s="226" t="s">
        <v>3</v>
      </c>
      <c r="E2387" s="227">
        <v>24.89</v>
      </c>
      <c r="F2387" s="227"/>
      <c r="G2387" s="241"/>
      <c r="H2387" s="241"/>
    </row>
    <row r="2388" spans="1:8" ht="12.75" hidden="1" customHeight="1" outlineLevel="1" x14ac:dyDescent="0.2">
      <c r="A2388" s="198" t="s">
        <v>1279</v>
      </c>
      <c r="B2388" s="228" t="s">
        <v>4881</v>
      </c>
      <c r="C2388" s="229" t="s">
        <v>5095</v>
      </c>
      <c r="D2388" s="230" t="s">
        <v>11</v>
      </c>
      <c r="E2388" s="231">
        <v>7.33</v>
      </c>
      <c r="F2388" s="231"/>
      <c r="G2388" s="241"/>
      <c r="H2388" s="241"/>
    </row>
    <row r="2389" spans="1:8" ht="12.75" hidden="1" customHeight="1" outlineLevel="1" x14ac:dyDescent="0.2">
      <c r="A2389" s="198" t="s">
        <v>1279</v>
      </c>
      <c r="B2389" s="224" t="s">
        <v>5102</v>
      </c>
      <c r="C2389" s="225" t="s">
        <v>5096</v>
      </c>
      <c r="D2389" s="226" t="s">
        <v>11</v>
      </c>
      <c r="E2389" s="227">
        <v>38.909999999999997</v>
      </c>
      <c r="F2389" s="227"/>
      <c r="G2389" s="241"/>
      <c r="H2389" s="241"/>
    </row>
    <row r="2390" spans="1:8" ht="12.75" hidden="1" customHeight="1" outlineLevel="1" x14ac:dyDescent="0.2">
      <c r="A2390" s="198" t="s">
        <v>1279</v>
      </c>
      <c r="B2390" s="228" t="s">
        <v>5103</v>
      </c>
      <c r="C2390" s="229" t="s">
        <v>4872</v>
      </c>
      <c r="D2390" s="230" t="s">
        <v>2</v>
      </c>
      <c r="E2390" s="231">
        <v>2</v>
      </c>
      <c r="F2390" s="231"/>
      <c r="G2390" s="241"/>
      <c r="H2390" s="241"/>
    </row>
    <row r="2391" spans="1:8" ht="12.75" hidden="1" customHeight="1" outlineLevel="1" x14ac:dyDescent="0.2">
      <c r="A2391" s="198" t="s">
        <v>1279</v>
      </c>
      <c r="B2391" s="216" t="s">
        <v>4882</v>
      </c>
      <c r="C2391" s="217" t="s">
        <v>2969</v>
      </c>
      <c r="D2391" s="218"/>
      <c r="E2391" s="219"/>
      <c r="F2391" s="219"/>
      <c r="G2391" s="241"/>
      <c r="H2391" s="241"/>
    </row>
    <row r="2392" spans="1:8" ht="12.75" hidden="1" customHeight="1" outlineLevel="1" x14ac:dyDescent="0.2">
      <c r="A2392" s="198" t="s">
        <v>1279</v>
      </c>
      <c r="B2392" s="224" t="s">
        <v>4883</v>
      </c>
      <c r="C2392" s="225" t="s">
        <v>4871</v>
      </c>
      <c r="D2392" s="226" t="s">
        <v>3</v>
      </c>
      <c r="E2392" s="227">
        <v>24.89</v>
      </c>
      <c r="F2392" s="227"/>
      <c r="G2392" s="241"/>
      <c r="H2392" s="241"/>
    </row>
    <row r="2393" spans="1:8" ht="12.75" hidden="1" customHeight="1" outlineLevel="1" x14ac:dyDescent="0.2">
      <c r="A2393" s="198" t="s">
        <v>1279</v>
      </c>
      <c r="B2393" s="228" t="s">
        <v>4884</v>
      </c>
      <c r="C2393" s="229" t="s">
        <v>5096</v>
      </c>
      <c r="D2393" s="230" t="s">
        <v>11</v>
      </c>
      <c r="E2393" s="231">
        <v>26.88</v>
      </c>
      <c r="F2393" s="231"/>
      <c r="G2393" s="241"/>
      <c r="H2393" s="241"/>
    </row>
    <row r="2394" spans="1:8" ht="12.75" hidden="1" customHeight="1" outlineLevel="1" x14ac:dyDescent="0.2">
      <c r="A2394" s="198" t="s">
        <v>1279</v>
      </c>
      <c r="B2394" s="224" t="s">
        <v>5104</v>
      </c>
      <c r="C2394" s="225" t="s">
        <v>4872</v>
      </c>
      <c r="D2394" s="226" t="s">
        <v>2</v>
      </c>
      <c r="E2394" s="227">
        <v>2</v>
      </c>
      <c r="F2394" s="227"/>
      <c r="G2394" s="241"/>
      <c r="H2394" s="241"/>
    </row>
    <row r="2395" spans="1:8" ht="12.75" hidden="1" customHeight="1" outlineLevel="1" x14ac:dyDescent="0.2">
      <c r="A2395" s="198" t="s">
        <v>1279</v>
      </c>
      <c r="B2395" s="216" t="s">
        <v>4885</v>
      </c>
      <c r="C2395" s="217" t="s">
        <v>2970</v>
      </c>
      <c r="D2395" s="218"/>
      <c r="E2395" s="219"/>
      <c r="F2395" s="219"/>
      <c r="G2395" s="241"/>
      <c r="H2395" s="241"/>
    </row>
    <row r="2396" spans="1:8" ht="12.75" hidden="1" customHeight="1" outlineLevel="1" x14ac:dyDescent="0.2">
      <c r="A2396" s="198" t="s">
        <v>1279</v>
      </c>
      <c r="B2396" s="228" t="s">
        <v>4886</v>
      </c>
      <c r="C2396" s="229" t="s">
        <v>4871</v>
      </c>
      <c r="D2396" s="230" t="s">
        <v>3</v>
      </c>
      <c r="E2396" s="231">
        <v>24.89</v>
      </c>
      <c r="F2396" s="231"/>
      <c r="G2396" s="241"/>
      <c r="H2396" s="241"/>
    </row>
    <row r="2397" spans="1:8" ht="12.75" hidden="1" customHeight="1" outlineLevel="1" x14ac:dyDescent="0.2">
      <c r="A2397" s="198" t="s">
        <v>1279</v>
      </c>
      <c r="B2397" s="224" t="s">
        <v>4887</v>
      </c>
      <c r="C2397" s="225" t="s">
        <v>5095</v>
      </c>
      <c r="D2397" s="226" t="s">
        <v>11</v>
      </c>
      <c r="E2397" s="227">
        <v>7.33</v>
      </c>
      <c r="F2397" s="227"/>
      <c r="G2397" s="241"/>
      <c r="H2397" s="241"/>
    </row>
    <row r="2398" spans="1:8" ht="12.75" hidden="1" customHeight="1" outlineLevel="1" x14ac:dyDescent="0.2">
      <c r="A2398" s="198" t="s">
        <v>1279</v>
      </c>
      <c r="B2398" s="228" t="s">
        <v>5105</v>
      </c>
      <c r="C2398" s="229" t="s">
        <v>5096</v>
      </c>
      <c r="D2398" s="230" t="s">
        <v>11</v>
      </c>
      <c r="E2398" s="231">
        <v>38.909999999999997</v>
      </c>
      <c r="F2398" s="231"/>
      <c r="G2398" s="241"/>
      <c r="H2398" s="241"/>
    </row>
    <row r="2399" spans="1:8" ht="12.75" hidden="1" customHeight="1" outlineLevel="1" x14ac:dyDescent="0.2">
      <c r="A2399" s="198" t="s">
        <v>1279</v>
      </c>
      <c r="B2399" s="224" t="s">
        <v>5106</v>
      </c>
      <c r="C2399" s="225" t="s">
        <v>4872</v>
      </c>
      <c r="D2399" s="226" t="s">
        <v>2</v>
      </c>
      <c r="E2399" s="227">
        <v>2</v>
      </c>
      <c r="F2399" s="227"/>
      <c r="G2399" s="241"/>
      <c r="H2399" s="241"/>
    </row>
    <row r="2400" spans="1:8" ht="12.75" hidden="1" customHeight="1" outlineLevel="1" x14ac:dyDescent="0.2">
      <c r="A2400" s="198" t="s">
        <v>1279</v>
      </c>
      <c r="B2400" s="216" t="s">
        <v>4888</v>
      </c>
      <c r="C2400" s="217" t="s">
        <v>2971</v>
      </c>
      <c r="D2400" s="218"/>
      <c r="E2400" s="219"/>
      <c r="F2400" s="219"/>
      <c r="G2400" s="241"/>
      <c r="H2400" s="241"/>
    </row>
    <row r="2401" spans="1:8" ht="12.75" hidden="1" customHeight="1" outlineLevel="1" x14ac:dyDescent="0.2">
      <c r="A2401" s="198" t="s">
        <v>1279</v>
      </c>
      <c r="B2401" s="228" t="s">
        <v>4889</v>
      </c>
      <c r="C2401" s="229" t="s">
        <v>4871</v>
      </c>
      <c r="D2401" s="230" t="s">
        <v>3</v>
      </c>
      <c r="E2401" s="231">
        <v>24.89</v>
      </c>
      <c r="F2401" s="231"/>
      <c r="G2401" s="241"/>
      <c r="H2401" s="241"/>
    </row>
    <row r="2402" spans="1:8" ht="12.75" hidden="1" customHeight="1" outlineLevel="1" x14ac:dyDescent="0.2">
      <c r="A2402" s="198" t="s">
        <v>1279</v>
      </c>
      <c r="B2402" s="224" t="s">
        <v>4890</v>
      </c>
      <c r="C2402" s="225" t="s">
        <v>5096</v>
      </c>
      <c r="D2402" s="226" t="s">
        <v>11</v>
      </c>
      <c r="E2402" s="227">
        <v>26.88</v>
      </c>
      <c r="F2402" s="227"/>
      <c r="G2402" s="241"/>
      <c r="H2402" s="241"/>
    </row>
    <row r="2403" spans="1:8" ht="12.75" hidden="1" customHeight="1" outlineLevel="1" x14ac:dyDescent="0.2">
      <c r="A2403" s="198" t="s">
        <v>1279</v>
      </c>
      <c r="B2403" s="228" t="s">
        <v>5107</v>
      </c>
      <c r="C2403" s="229" t="s">
        <v>4872</v>
      </c>
      <c r="D2403" s="230" t="s">
        <v>2</v>
      </c>
      <c r="E2403" s="231">
        <v>2</v>
      </c>
      <c r="F2403" s="231"/>
      <c r="G2403" s="241"/>
      <c r="H2403" s="241"/>
    </row>
    <row r="2404" spans="1:8" ht="12.75" hidden="1" customHeight="1" outlineLevel="1" x14ac:dyDescent="0.2">
      <c r="A2404" s="198" t="s">
        <v>1279</v>
      </c>
      <c r="B2404" s="216" t="s">
        <v>4891</v>
      </c>
      <c r="C2404" s="217" t="s">
        <v>2972</v>
      </c>
      <c r="D2404" s="218"/>
      <c r="E2404" s="219"/>
      <c r="F2404" s="219"/>
      <c r="G2404" s="241"/>
      <c r="H2404" s="241"/>
    </row>
    <row r="2405" spans="1:8" ht="12.75" hidden="1" customHeight="1" outlineLevel="1" x14ac:dyDescent="0.2">
      <c r="A2405" s="198" t="s">
        <v>1279</v>
      </c>
      <c r="B2405" s="224" t="s">
        <v>4892</v>
      </c>
      <c r="C2405" s="225" t="s">
        <v>4871</v>
      </c>
      <c r="D2405" s="226" t="s">
        <v>3</v>
      </c>
      <c r="E2405" s="227">
        <v>27.43</v>
      </c>
      <c r="F2405" s="227"/>
      <c r="G2405" s="241"/>
      <c r="H2405" s="241"/>
    </row>
    <row r="2406" spans="1:8" ht="12.75" hidden="1" customHeight="1" outlineLevel="1" x14ac:dyDescent="0.2">
      <c r="A2406" s="198" t="s">
        <v>1279</v>
      </c>
      <c r="B2406" s="228" t="s">
        <v>4893</v>
      </c>
      <c r="C2406" s="229" t="s">
        <v>5096</v>
      </c>
      <c r="D2406" s="230" t="s">
        <v>11</v>
      </c>
      <c r="E2406" s="231">
        <v>54.72</v>
      </c>
      <c r="F2406" s="231"/>
      <c r="G2406" s="241"/>
      <c r="H2406" s="241"/>
    </row>
    <row r="2407" spans="1:8" ht="12.75" hidden="1" customHeight="1" outlineLevel="1" x14ac:dyDescent="0.2">
      <c r="A2407" s="198" t="s">
        <v>1279</v>
      </c>
      <c r="B2407" s="224" t="s">
        <v>5108</v>
      </c>
      <c r="C2407" s="225" t="s">
        <v>4872</v>
      </c>
      <c r="D2407" s="226" t="s">
        <v>2</v>
      </c>
      <c r="E2407" s="227">
        <v>2</v>
      </c>
      <c r="F2407" s="227"/>
      <c r="G2407" s="241"/>
      <c r="H2407" s="241"/>
    </row>
    <row r="2408" spans="1:8" ht="12.75" hidden="1" customHeight="1" outlineLevel="1" x14ac:dyDescent="0.2">
      <c r="A2408" s="198" t="s">
        <v>1279</v>
      </c>
      <c r="B2408" s="216" t="s">
        <v>4894</v>
      </c>
      <c r="C2408" s="217" t="s">
        <v>2973</v>
      </c>
      <c r="D2408" s="218"/>
      <c r="E2408" s="219"/>
      <c r="F2408" s="219"/>
      <c r="G2408" s="241"/>
      <c r="H2408" s="241"/>
    </row>
    <row r="2409" spans="1:8" ht="12.75" hidden="1" customHeight="1" outlineLevel="1" x14ac:dyDescent="0.2">
      <c r="A2409" s="198" t="s">
        <v>1279</v>
      </c>
      <c r="B2409" s="228" t="s">
        <v>4895</v>
      </c>
      <c r="C2409" s="229" t="s">
        <v>4871</v>
      </c>
      <c r="D2409" s="230" t="s">
        <v>3</v>
      </c>
      <c r="E2409" s="231">
        <v>25.44</v>
      </c>
      <c r="F2409" s="231"/>
      <c r="G2409" s="241"/>
      <c r="H2409" s="241"/>
    </row>
    <row r="2410" spans="1:8" ht="12.75" hidden="1" customHeight="1" outlineLevel="1" x14ac:dyDescent="0.2">
      <c r="A2410" s="198" t="s">
        <v>1279</v>
      </c>
      <c r="B2410" s="224" t="s">
        <v>4896</v>
      </c>
      <c r="C2410" s="225" t="s">
        <v>5095</v>
      </c>
      <c r="D2410" s="226" t="s">
        <v>11</v>
      </c>
      <c r="E2410" s="227">
        <v>13.15</v>
      </c>
      <c r="F2410" s="227"/>
      <c r="G2410" s="241"/>
      <c r="H2410" s="241"/>
    </row>
    <row r="2411" spans="1:8" ht="12.75" hidden="1" customHeight="1" outlineLevel="1" x14ac:dyDescent="0.2">
      <c r="A2411" s="198" t="s">
        <v>1279</v>
      </c>
      <c r="B2411" s="228" t="s">
        <v>5109</v>
      </c>
      <c r="C2411" s="229" t="s">
        <v>5096</v>
      </c>
      <c r="D2411" s="230" t="s">
        <v>11</v>
      </c>
      <c r="E2411" s="231">
        <v>19.22</v>
      </c>
      <c r="F2411" s="231"/>
      <c r="G2411" s="241"/>
      <c r="H2411" s="241"/>
    </row>
    <row r="2412" spans="1:8" ht="12.75" hidden="1" customHeight="1" outlineLevel="1" x14ac:dyDescent="0.2">
      <c r="A2412" s="198" t="s">
        <v>1279</v>
      </c>
      <c r="B2412" s="224" t="s">
        <v>5110</v>
      </c>
      <c r="C2412" s="225" t="s">
        <v>4872</v>
      </c>
      <c r="D2412" s="226" t="s">
        <v>2</v>
      </c>
      <c r="E2412" s="227">
        <v>2</v>
      </c>
      <c r="F2412" s="227"/>
      <c r="G2412" s="241"/>
      <c r="H2412" s="241"/>
    </row>
    <row r="2413" spans="1:8" ht="12.75" hidden="1" customHeight="1" outlineLevel="1" x14ac:dyDescent="0.2">
      <c r="A2413" s="198" t="s">
        <v>1279</v>
      </c>
      <c r="B2413" s="216" t="s">
        <v>4897</v>
      </c>
      <c r="C2413" s="217" t="s">
        <v>2974</v>
      </c>
      <c r="D2413" s="218"/>
      <c r="E2413" s="219"/>
      <c r="F2413" s="219"/>
      <c r="G2413" s="241"/>
      <c r="H2413" s="241"/>
    </row>
    <row r="2414" spans="1:8" ht="12.75" hidden="1" customHeight="1" outlineLevel="1" x14ac:dyDescent="0.2">
      <c r="A2414" s="198" t="s">
        <v>1279</v>
      </c>
      <c r="B2414" s="228" t="s">
        <v>4898</v>
      </c>
      <c r="C2414" s="229" t="s">
        <v>4871</v>
      </c>
      <c r="D2414" s="230" t="s">
        <v>3</v>
      </c>
      <c r="E2414" s="231">
        <v>24.89</v>
      </c>
      <c r="F2414" s="231"/>
      <c r="G2414" s="241"/>
      <c r="H2414" s="241"/>
    </row>
    <row r="2415" spans="1:8" ht="12.75" hidden="1" customHeight="1" outlineLevel="1" x14ac:dyDescent="0.2">
      <c r="A2415" s="198" t="s">
        <v>1279</v>
      </c>
      <c r="B2415" s="224" t="s">
        <v>4899</v>
      </c>
      <c r="C2415" s="225" t="s">
        <v>5096</v>
      </c>
      <c r="D2415" s="226" t="s">
        <v>11</v>
      </c>
      <c r="E2415" s="227">
        <v>22.77</v>
      </c>
      <c r="F2415" s="227"/>
      <c r="G2415" s="241"/>
      <c r="H2415" s="241"/>
    </row>
    <row r="2416" spans="1:8" ht="12.75" hidden="1" customHeight="1" outlineLevel="1" x14ac:dyDescent="0.2">
      <c r="A2416" s="198" t="s">
        <v>1279</v>
      </c>
      <c r="B2416" s="228" t="s">
        <v>5111</v>
      </c>
      <c r="C2416" s="229" t="s">
        <v>4872</v>
      </c>
      <c r="D2416" s="230" t="s">
        <v>2</v>
      </c>
      <c r="E2416" s="231">
        <v>2</v>
      </c>
      <c r="F2416" s="231"/>
      <c r="G2416" s="241"/>
      <c r="H2416" s="241"/>
    </row>
    <row r="2417" spans="1:8" ht="12.75" hidden="1" customHeight="1" outlineLevel="1" x14ac:dyDescent="0.2">
      <c r="A2417" s="198" t="s">
        <v>1279</v>
      </c>
      <c r="B2417" s="216" t="s">
        <v>4900</v>
      </c>
      <c r="C2417" s="217" t="s">
        <v>2975</v>
      </c>
      <c r="D2417" s="218"/>
      <c r="E2417" s="219"/>
      <c r="F2417" s="219"/>
      <c r="G2417" s="241"/>
      <c r="H2417" s="241"/>
    </row>
    <row r="2418" spans="1:8" ht="12.75" hidden="1" customHeight="1" outlineLevel="1" x14ac:dyDescent="0.2">
      <c r="A2418" s="198" t="s">
        <v>1279</v>
      </c>
      <c r="B2418" s="224" t="s">
        <v>4901</v>
      </c>
      <c r="C2418" s="225" t="s">
        <v>4871</v>
      </c>
      <c r="D2418" s="226" t="s">
        <v>3</v>
      </c>
      <c r="E2418" s="227">
        <v>24.89</v>
      </c>
      <c r="F2418" s="227"/>
      <c r="G2418" s="241"/>
      <c r="H2418" s="241"/>
    </row>
    <row r="2419" spans="1:8" ht="12.75" hidden="1" customHeight="1" outlineLevel="1" x14ac:dyDescent="0.2">
      <c r="A2419" s="198" t="s">
        <v>1279</v>
      </c>
      <c r="B2419" s="228" t="s">
        <v>4902</v>
      </c>
      <c r="C2419" s="229" t="s">
        <v>5095</v>
      </c>
      <c r="D2419" s="230" t="s">
        <v>11</v>
      </c>
      <c r="E2419" s="231">
        <v>20.239999999999998</v>
      </c>
      <c r="F2419" s="231"/>
      <c r="G2419" s="241"/>
      <c r="H2419" s="241"/>
    </row>
    <row r="2420" spans="1:8" ht="12.75" hidden="1" customHeight="1" outlineLevel="1" x14ac:dyDescent="0.2">
      <c r="A2420" s="198" t="s">
        <v>1279</v>
      </c>
      <c r="B2420" s="224" t="s">
        <v>5112</v>
      </c>
      <c r="C2420" s="225" t="s">
        <v>5096</v>
      </c>
      <c r="D2420" s="226" t="s">
        <v>11</v>
      </c>
      <c r="E2420" s="227">
        <v>28.63</v>
      </c>
      <c r="F2420" s="227"/>
      <c r="G2420" s="241"/>
      <c r="H2420" s="241"/>
    </row>
    <row r="2421" spans="1:8" ht="12.75" hidden="1" customHeight="1" outlineLevel="1" x14ac:dyDescent="0.2">
      <c r="A2421" s="198" t="s">
        <v>1279</v>
      </c>
      <c r="B2421" s="228" t="s">
        <v>5113</v>
      </c>
      <c r="C2421" s="229" t="s">
        <v>4872</v>
      </c>
      <c r="D2421" s="230" t="s">
        <v>2</v>
      </c>
      <c r="E2421" s="231">
        <v>2</v>
      </c>
      <c r="F2421" s="231"/>
      <c r="G2421" s="241"/>
      <c r="H2421" s="241"/>
    </row>
    <row r="2422" spans="1:8" ht="12.75" hidden="1" customHeight="1" outlineLevel="1" x14ac:dyDescent="0.2">
      <c r="A2422" s="198" t="s">
        <v>1279</v>
      </c>
      <c r="B2422" s="216" t="s">
        <v>4903</v>
      </c>
      <c r="C2422" s="217" t="s">
        <v>2976</v>
      </c>
      <c r="D2422" s="218"/>
      <c r="E2422" s="219"/>
      <c r="F2422" s="219"/>
      <c r="G2422" s="241"/>
      <c r="H2422" s="241"/>
    </row>
    <row r="2423" spans="1:8" ht="12.75" hidden="1" customHeight="1" outlineLevel="1" x14ac:dyDescent="0.2">
      <c r="A2423" s="198" t="s">
        <v>1279</v>
      </c>
      <c r="B2423" s="224" t="s">
        <v>4904</v>
      </c>
      <c r="C2423" s="225" t="s">
        <v>4871</v>
      </c>
      <c r="D2423" s="226" t="s">
        <v>3</v>
      </c>
      <c r="E2423" s="227">
        <v>26.52</v>
      </c>
      <c r="F2423" s="227"/>
      <c r="G2423" s="241"/>
      <c r="H2423" s="241"/>
    </row>
    <row r="2424" spans="1:8" ht="12.75" hidden="1" customHeight="1" outlineLevel="1" x14ac:dyDescent="0.2">
      <c r="A2424" s="198" t="s">
        <v>1279</v>
      </c>
      <c r="B2424" s="228" t="s">
        <v>4905</v>
      </c>
      <c r="C2424" s="229" t="s">
        <v>5096</v>
      </c>
      <c r="D2424" s="230" t="s">
        <v>11</v>
      </c>
      <c r="E2424" s="231">
        <v>22.76</v>
      </c>
      <c r="F2424" s="231"/>
      <c r="G2424" s="241"/>
      <c r="H2424" s="241"/>
    </row>
    <row r="2425" spans="1:8" ht="12.75" hidden="1" customHeight="1" outlineLevel="1" x14ac:dyDescent="0.2">
      <c r="A2425" s="198" t="s">
        <v>1279</v>
      </c>
      <c r="B2425" s="224" t="s">
        <v>5114</v>
      </c>
      <c r="C2425" s="225" t="s">
        <v>4872</v>
      </c>
      <c r="D2425" s="226" t="s">
        <v>2</v>
      </c>
      <c r="E2425" s="227">
        <v>2</v>
      </c>
      <c r="F2425" s="227"/>
      <c r="G2425" s="241"/>
      <c r="H2425" s="241"/>
    </row>
    <row r="2426" spans="1:8" ht="12.75" hidden="1" customHeight="1" outlineLevel="1" x14ac:dyDescent="0.2">
      <c r="A2426" s="198" t="s">
        <v>1279</v>
      </c>
      <c r="B2426" s="216" t="s">
        <v>4906</v>
      </c>
      <c r="C2426" s="217" t="s">
        <v>2978</v>
      </c>
      <c r="D2426" s="218"/>
      <c r="E2426" s="219"/>
      <c r="F2426" s="219"/>
      <c r="G2426" s="241"/>
      <c r="H2426" s="241"/>
    </row>
    <row r="2427" spans="1:8" ht="12.75" hidden="1" customHeight="1" outlineLevel="1" x14ac:dyDescent="0.2">
      <c r="A2427" s="198" t="s">
        <v>1279</v>
      </c>
      <c r="B2427" s="228" t="s">
        <v>4907</v>
      </c>
      <c r="C2427" s="229" t="s">
        <v>4871</v>
      </c>
      <c r="D2427" s="230" t="s">
        <v>3</v>
      </c>
      <c r="E2427" s="231">
        <v>37.68</v>
      </c>
      <c r="F2427" s="231"/>
      <c r="G2427" s="241"/>
      <c r="H2427" s="241"/>
    </row>
    <row r="2428" spans="1:8" ht="12.75" hidden="1" customHeight="1" outlineLevel="1" x14ac:dyDescent="0.2">
      <c r="A2428" s="198" t="s">
        <v>1279</v>
      </c>
      <c r="B2428" s="224" t="s">
        <v>4908</v>
      </c>
      <c r="C2428" s="225" t="s">
        <v>5095</v>
      </c>
      <c r="D2428" s="226" t="s">
        <v>11</v>
      </c>
      <c r="E2428" s="227">
        <v>4.7300000000000004</v>
      </c>
      <c r="F2428" s="227"/>
      <c r="G2428" s="241"/>
      <c r="H2428" s="241"/>
    </row>
    <row r="2429" spans="1:8" ht="12.75" hidden="1" customHeight="1" outlineLevel="1" x14ac:dyDescent="0.2">
      <c r="A2429" s="198" t="s">
        <v>1279</v>
      </c>
      <c r="B2429" s="228" t="s">
        <v>5115</v>
      </c>
      <c r="C2429" s="229" t="s">
        <v>5096</v>
      </c>
      <c r="D2429" s="230" t="s">
        <v>11</v>
      </c>
      <c r="E2429" s="231">
        <v>10.92</v>
      </c>
      <c r="F2429" s="231"/>
      <c r="G2429" s="241"/>
      <c r="H2429" s="241"/>
    </row>
    <row r="2430" spans="1:8" ht="12.75" hidden="1" customHeight="1" outlineLevel="1" x14ac:dyDescent="0.2">
      <c r="A2430" s="198" t="s">
        <v>1279</v>
      </c>
      <c r="B2430" s="224" t="s">
        <v>5116</v>
      </c>
      <c r="C2430" s="225" t="s">
        <v>4872</v>
      </c>
      <c r="D2430" s="226" t="s">
        <v>2</v>
      </c>
      <c r="E2430" s="227">
        <v>2</v>
      </c>
      <c r="F2430" s="227"/>
      <c r="G2430" s="241"/>
      <c r="H2430" s="241"/>
    </row>
    <row r="2431" spans="1:8" ht="12.75" hidden="1" customHeight="1" outlineLevel="1" x14ac:dyDescent="0.2">
      <c r="A2431" s="198" t="s">
        <v>1279</v>
      </c>
      <c r="B2431" s="216" t="s">
        <v>4909</v>
      </c>
      <c r="C2431" s="217" t="s">
        <v>2980</v>
      </c>
      <c r="D2431" s="218"/>
      <c r="E2431" s="219"/>
      <c r="F2431" s="219"/>
      <c r="G2431" s="241"/>
      <c r="H2431" s="241"/>
    </row>
    <row r="2432" spans="1:8" ht="12.75" hidden="1" customHeight="1" outlineLevel="1" x14ac:dyDescent="0.2">
      <c r="A2432" s="198" t="s">
        <v>1279</v>
      </c>
      <c r="B2432" s="228" t="s">
        <v>4910</v>
      </c>
      <c r="C2432" s="229" t="s">
        <v>4872</v>
      </c>
      <c r="D2432" s="230" t="s">
        <v>2</v>
      </c>
      <c r="E2432" s="231">
        <v>2</v>
      </c>
      <c r="F2432" s="231"/>
      <c r="G2432" s="241"/>
      <c r="H2432" s="241"/>
    </row>
    <row r="2433" spans="1:10" collapsed="1" x14ac:dyDescent="0.2">
      <c r="B2433" s="515" t="s">
        <v>4911</v>
      </c>
      <c r="C2433" s="516" t="s">
        <v>1911</v>
      </c>
      <c r="D2433" s="549"/>
      <c r="E2433" s="520">
        <f>SUM(E2435:E2530)</f>
        <v>804.4000000000002</v>
      </c>
      <c r="F2433" s="520"/>
      <c r="G2433" s="516"/>
      <c r="H2433" s="234">
        <f>SUM(H2434:H2450)</f>
        <v>804.4</v>
      </c>
      <c r="I2433" s="242" t="str">
        <f>IF(H2433=E2433,"OKAY","REVER")</f>
        <v>OKAY</v>
      </c>
      <c r="J2433" s="405"/>
    </row>
    <row r="2434" spans="1:10" ht="25.5" hidden="1" customHeight="1" outlineLevel="1" x14ac:dyDescent="0.2">
      <c r="A2434" s="198" t="s">
        <v>1278</v>
      </c>
      <c r="B2434" s="216" t="s">
        <v>1692</v>
      </c>
      <c r="C2434" s="217" t="s">
        <v>2955</v>
      </c>
      <c r="D2434" s="218"/>
      <c r="E2434" s="219"/>
      <c r="F2434" s="219"/>
      <c r="G2434" s="229" t="s">
        <v>4927</v>
      </c>
      <c r="H2434" s="235">
        <f t="shared" ref="H2434:H2450" si="76">SUMIF($C:$C,G2434,$E:$E)</f>
        <v>0.45</v>
      </c>
      <c r="J2434" s="215"/>
    </row>
    <row r="2435" spans="1:10" ht="25.5" hidden="1" customHeight="1" outlineLevel="1" x14ac:dyDescent="0.2">
      <c r="A2435" s="198" t="s">
        <v>1278</v>
      </c>
      <c r="B2435" s="224" t="s">
        <v>1693</v>
      </c>
      <c r="C2435" s="225" t="s">
        <v>4912</v>
      </c>
      <c r="D2435" s="226" t="s">
        <v>11</v>
      </c>
      <c r="E2435" s="227">
        <v>2.4300000000000002</v>
      </c>
      <c r="F2435" s="227"/>
      <c r="G2435" s="225" t="s">
        <v>4912</v>
      </c>
      <c r="H2435" s="235">
        <f t="shared" si="76"/>
        <v>2.4300000000000002</v>
      </c>
      <c r="J2435" s="215"/>
    </row>
    <row r="2436" spans="1:10" ht="12.75" hidden="1" customHeight="1" outlineLevel="1" x14ac:dyDescent="0.2">
      <c r="A2436" s="198" t="s">
        <v>1278</v>
      </c>
      <c r="B2436" s="228" t="s">
        <v>2784</v>
      </c>
      <c r="C2436" s="229" t="s">
        <v>4913</v>
      </c>
      <c r="D2436" s="230" t="s">
        <v>11</v>
      </c>
      <c r="E2436" s="231">
        <v>8.07</v>
      </c>
      <c r="F2436" s="231"/>
      <c r="G2436" s="229" t="s">
        <v>4936</v>
      </c>
      <c r="H2436" s="235">
        <f t="shared" si="76"/>
        <v>25.29</v>
      </c>
      <c r="J2436" s="215"/>
    </row>
    <row r="2437" spans="1:10" ht="38.25" hidden="1" customHeight="1" outlineLevel="1" x14ac:dyDescent="0.2">
      <c r="A2437" s="198" t="s">
        <v>1278</v>
      </c>
      <c r="B2437" s="224" t="s">
        <v>2785</v>
      </c>
      <c r="C2437" s="225" t="s">
        <v>4914</v>
      </c>
      <c r="D2437" s="226" t="s">
        <v>11</v>
      </c>
      <c r="E2437" s="227">
        <v>3.81</v>
      </c>
      <c r="F2437" s="227"/>
      <c r="G2437" s="225" t="s">
        <v>5007</v>
      </c>
      <c r="H2437" s="235">
        <f t="shared" si="76"/>
        <v>83.73</v>
      </c>
      <c r="J2437" s="215"/>
    </row>
    <row r="2438" spans="1:10" ht="12.75" hidden="1" customHeight="1" outlineLevel="1" x14ac:dyDescent="0.2">
      <c r="A2438" s="198" t="s">
        <v>1278</v>
      </c>
      <c r="B2438" s="228" t="s">
        <v>4915</v>
      </c>
      <c r="C2438" s="229" t="s">
        <v>4916</v>
      </c>
      <c r="D2438" s="230" t="s">
        <v>11</v>
      </c>
      <c r="E2438" s="231">
        <v>7.03</v>
      </c>
      <c r="F2438" s="231"/>
      <c r="G2438" s="229" t="s">
        <v>5001</v>
      </c>
      <c r="H2438" s="235">
        <f t="shared" si="76"/>
        <v>175.1</v>
      </c>
      <c r="J2438" s="215"/>
    </row>
    <row r="2439" spans="1:10" ht="12.75" hidden="1" customHeight="1" outlineLevel="1" x14ac:dyDescent="0.2">
      <c r="A2439" s="198" t="s">
        <v>1278</v>
      </c>
      <c r="B2439" s="224" t="s">
        <v>4917</v>
      </c>
      <c r="C2439" s="225" t="s">
        <v>4918</v>
      </c>
      <c r="D2439" s="226" t="s">
        <v>11</v>
      </c>
      <c r="E2439" s="227">
        <v>10.59</v>
      </c>
      <c r="F2439" s="227"/>
      <c r="G2439" s="225" t="s">
        <v>4928</v>
      </c>
      <c r="H2439" s="235">
        <f t="shared" si="76"/>
        <v>4.4800000000000004</v>
      </c>
      <c r="J2439" s="215"/>
    </row>
    <row r="2440" spans="1:10" ht="12.75" hidden="1" customHeight="1" outlineLevel="1" x14ac:dyDescent="0.2">
      <c r="A2440" s="198" t="s">
        <v>1278</v>
      </c>
      <c r="B2440" s="228" t="s">
        <v>4919</v>
      </c>
      <c r="C2440" s="229" t="s">
        <v>4920</v>
      </c>
      <c r="D2440" s="230" t="s">
        <v>11</v>
      </c>
      <c r="E2440" s="231">
        <v>4.53</v>
      </c>
      <c r="F2440" s="231"/>
      <c r="G2440" s="229" t="s">
        <v>5003</v>
      </c>
      <c r="H2440" s="235">
        <f t="shared" si="76"/>
        <v>3.52</v>
      </c>
      <c r="I2440" s="198"/>
      <c r="J2440" s="215"/>
    </row>
    <row r="2441" spans="1:10" ht="12.75" hidden="1" customHeight="1" outlineLevel="1" x14ac:dyDescent="0.2">
      <c r="A2441" s="198" t="s">
        <v>1278</v>
      </c>
      <c r="B2441" s="224" t="s">
        <v>4921</v>
      </c>
      <c r="C2441" s="225" t="s">
        <v>4922</v>
      </c>
      <c r="D2441" s="226" t="s">
        <v>11</v>
      </c>
      <c r="E2441" s="227">
        <v>47.92</v>
      </c>
      <c r="F2441" s="227"/>
      <c r="G2441" s="225" t="s">
        <v>4913</v>
      </c>
      <c r="H2441" s="235">
        <f t="shared" si="76"/>
        <v>155.11999999999998</v>
      </c>
      <c r="J2441" s="215"/>
    </row>
    <row r="2442" spans="1:10" ht="12.75" hidden="1" customHeight="1" outlineLevel="1" x14ac:dyDescent="0.2">
      <c r="A2442" s="198" t="s">
        <v>1278</v>
      </c>
      <c r="B2442" s="228" t="s">
        <v>4923</v>
      </c>
      <c r="C2442" s="229" t="s">
        <v>4924</v>
      </c>
      <c r="D2442" s="230" t="s">
        <v>11</v>
      </c>
      <c r="E2442" s="231">
        <v>4.34</v>
      </c>
      <c r="F2442" s="231"/>
      <c r="G2442" s="229" t="s">
        <v>4914</v>
      </c>
      <c r="H2442" s="235">
        <f t="shared" si="76"/>
        <v>72.78</v>
      </c>
      <c r="J2442" s="215"/>
    </row>
    <row r="2443" spans="1:10" ht="12.75" hidden="1" customHeight="1" outlineLevel="1" x14ac:dyDescent="0.2">
      <c r="A2443" s="198" t="s">
        <v>1278</v>
      </c>
      <c r="B2443" s="224" t="s">
        <v>4925</v>
      </c>
      <c r="C2443" s="225" t="s">
        <v>4926</v>
      </c>
      <c r="D2443" s="226" t="s">
        <v>11</v>
      </c>
      <c r="E2443" s="227">
        <v>7.26</v>
      </c>
      <c r="F2443" s="227"/>
      <c r="G2443" s="225" t="s">
        <v>4916</v>
      </c>
      <c r="H2443" s="235">
        <f t="shared" si="76"/>
        <v>199.47</v>
      </c>
      <c r="J2443" s="215"/>
    </row>
    <row r="2444" spans="1:10" ht="12.75" hidden="1" customHeight="1" outlineLevel="1" x14ac:dyDescent="0.2">
      <c r="A2444" s="198" t="s">
        <v>1278</v>
      </c>
      <c r="B2444" s="216" t="s">
        <v>1694</v>
      </c>
      <c r="C2444" s="217" t="s">
        <v>2958</v>
      </c>
      <c r="D2444" s="218"/>
      <c r="E2444" s="219"/>
      <c r="F2444" s="219"/>
      <c r="G2444" s="229" t="s">
        <v>4933</v>
      </c>
      <c r="H2444" s="235">
        <f t="shared" si="76"/>
        <v>7.02</v>
      </c>
      <c r="J2444" s="215"/>
    </row>
    <row r="2445" spans="1:10" ht="12.75" hidden="1" customHeight="1" outlineLevel="1" x14ac:dyDescent="0.2">
      <c r="A2445" s="198" t="s">
        <v>1278</v>
      </c>
      <c r="B2445" s="228" t="s">
        <v>1695</v>
      </c>
      <c r="C2445" s="229" t="s">
        <v>4927</v>
      </c>
      <c r="D2445" s="230" t="s">
        <v>11</v>
      </c>
      <c r="E2445" s="231">
        <v>0.45</v>
      </c>
      <c r="F2445" s="231"/>
      <c r="G2445" s="225" t="s">
        <v>4935</v>
      </c>
      <c r="H2445" s="235">
        <f t="shared" si="76"/>
        <v>0.37</v>
      </c>
      <c r="J2445" s="215"/>
    </row>
    <row r="2446" spans="1:10" ht="25.5" hidden="1" customHeight="1" outlineLevel="1" x14ac:dyDescent="0.2">
      <c r="A2446" s="198" t="s">
        <v>1278</v>
      </c>
      <c r="B2446" s="224" t="s">
        <v>2786</v>
      </c>
      <c r="C2446" s="225" t="s">
        <v>4928</v>
      </c>
      <c r="D2446" s="226" t="s">
        <v>11</v>
      </c>
      <c r="E2446" s="227">
        <v>4.4800000000000004</v>
      </c>
      <c r="F2446" s="227"/>
      <c r="G2446" s="229" t="s">
        <v>4918</v>
      </c>
      <c r="H2446" s="235">
        <f t="shared" si="76"/>
        <v>10.59</v>
      </c>
      <c r="J2446" s="215"/>
    </row>
    <row r="2447" spans="1:10" ht="12.75" hidden="1" customHeight="1" outlineLevel="1" x14ac:dyDescent="0.2">
      <c r="A2447" s="198" t="s">
        <v>1278</v>
      </c>
      <c r="B2447" s="228" t="s">
        <v>4929</v>
      </c>
      <c r="C2447" s="229" t="s">
        <v>4913</v>
      </c>
      <c r="D2447" s="230" t="s">
        <v>11</v>
      </c>
      <c r="E2447" s="231">
        <v>8.41</v>
      </c>
      <c r="F2447" s="231"/>
      <c r="G2447" s="225" t="s">
        <v>4920</v>
      </c>
      <c r="H2447" s="235">
        <f t="shared" si="76"/>
        <v>4.53</v>
      </c>
      <c r="J2447" s="215"/>
    </row>
    <row r="2448" spans="1:10" ht="25.5" hidden="1" customHeight="1" outlineLevel="1" x14ac:dyDescent="0.2">
      <c r="A2448" s="198" t="s">
        <v>1278</v>
      </c>
      <c r="B2448" s="224" t="s">
        <v>4930</v>
      </c>
      <c r="C2448" s="225" t="s">
        <v>4914</v>
      </c>
      <c r="D2448" s="226" t="s">
        <v>11</v>
      </c>
      <c r="E2448" s="227">
        <v>4.1399999999999997</v>
      </c>
      <c r="F2448" s="227"/>
      <c r="G2448" s="229" t="s">
        <v>4922</v>
      </c>
      <c r="H2448" s="235">
        <f t="shared" si="76"/>
        <v>47.92</v>
      </c>
      <c r="J2448" s="215"/>
    </row>
    <row r="2449" spans="1:10" ht="38.25" hidden="1" customHeight="1" outlineLevel="1" x14ac:dyDescent="0.2">
      <c r="A2449" s="198" t="s">
        <v>1278</v>
      </c>
      <c r="B2449" s="228" t="s">
        <v>4931</v>
      </c>
      <c r="C2449" s="229" t="s">
        <v>4916</v>
      </c>
      <c r="D2449" s="230" t="s">
        <v>11</v>
      </c>
      <c r="E2449" s="231">
        <v>8.3000000000000007</v>
      </c>
      <c r="F2449" s="231"/>
      <c r="G2449" s="225" t="s">
        <v>4924</v>
      </c>
      <c r="H2449" s="235">
        <f t="shared" si="76"/>
        <v>4.34</v>
      </c>
      <c r="J2449" s="215"/>
    </row>
    <row r="2450" spans="1:10" ht="12.75" hidden="1" customHeight="1" outlineLevel="1" x14ac:dyDescent="0.2">
      <c r="A2450" s="198" t="s">
        <v>1278</v>
      </c>
      <c r="B2450" s="224" t="s">
        <v>4932</v>
      </c>
      <c r="C2450" s="225" t="s">
        <v>4933</v>
      </c>
      <c r="D2450" s="226" t="s">
        <v>11</v>
      </c>
      <c r="E2450" s="227">
        <v>7.02</v>
      </c>
      <c r="F2450" s="227"/>
      <c r="G2450" s="229" t="s">
        <v>4926</v>
      </c>
      <c r="H2450" s="235">
        <f t="shared" si="76"/>
        <v>7.26</v>
      </c>
      <c r="J2450" s="215"/>
    </row>
    <row r="2451" spans="1:10" ht="12.75" hidden="1" customHeight="1" outlineLevel="1" x14ac:dyDescent="0.2">
      <c r="A2451" s="198" t="s">
        <v>1278</v>
      </c>
      <c r="B2451" s="228" t="s">
        <v>4934</v>
      </c>
      <c r="C2451" s="229" t="s">
        <v>4935</v>
      </c>
      <c r="D2451" s="230" t="s">
        <v>11</v>
      </c>
      <c r="E2451" s="231">
        <v>0.37</v>
      </c>
      <c r="F2451" s="231"/>
      <c r="J2451" s="215"/>
    </row>
    <row r="2452" spans="1:10" ht="25.5" hidden="1" customHeight="1" outlineLevel="1" x14ac:dyDescent="0.2">
      <c r="A2452" s="198" t="s">
        <v>1279</v>
      </c>
      <c r="B2452" s="216" t="s">
        <v>1696</v>
      </c>
      <c r="C2452" s="217" t="s">
        <v>2960</v>
      </c>
      <c r="D2452" s="218"/>
      <c r="E2452" s="219"/>
      <c r="F2452" s="219"/>
      <c r="G2452" s="520" t="s">
        <v>1732</v>
      </c>
      <c r="H2452" s="234">
        <f>H2454+H2474</f>
        <v>804.4</v>
      </c>
      <c r="I2452" s="242" t="str">
        <f>IF(H2452=H2433,"OKAY","REVER")</f>
        <v>OKAY</v>
      </c>
      <c r="J2452" s="215"/>
    </row>
    <row r="2453" spans="1:10" ht="12.75" hidden="1" customHeight="1" outlineLevel="1" x14ac:dyDescent="0.2">
      <c r="A2453" s="198" t="s">
        <v>1279</v>
      </c>
      <c r="B2453" s="224" t="s">
        <v>1697</v>
      </c>
      <c r="C2453" s="225" t="s">
        <v>4936</v>
      </c>
      <c r="D2453" s="226" t="s">
        <v>11</v>
      </c>
      <c r="E2453" s="227">
        <v>25.29</v>
      </c>
      <c r="F2453" s="227"/>
      <c r="G2453" s="232"/>
      <c r="H2453" s="232"/>
      <c r="I2453" s="242"/>
      <c r="J2453" s="215"/>
    </row>
    <row r="2454" spans="1:10" ht="25.5" hidden="1" customHeight="1" outlineLevel="1" x14ac:dyDescent="0.2">
      <c r="A2454" s="198" t="s">
        <v>1279</v>
      </c>
      <c r="B2454" s="228" t="s">
        <v>2787</v>
      </c>
      <c r="C2454" s="229" t="s">
        <v>4913</v>
      </c>
      <c r="D2454" s="230" t="s">
        <v>11</v>
      </c>
      <c r="E2454" s="231">
        <v>8.07</v>
      </c>
      <c r="F2454" s="231"/>
      <c r="G2454" s="520" t="str">
        <f>$A$1</f>
        <v>EMBASSAMENTO</v>
      </c>
      <c r="H2454" s="234">
        <f>SUM(H2455:H2471)</f>
        <v>129.15</v>
      </c>
      <c r="I2454" s="242"/>
      <c r="J2454" s="215"/>
    </row>
    <row r="2455" spans="1:10" ht="12.75" hidden="1" customHeight="1" outlineLevel="1" x14ac:dyDescent="0.2">
      <c r="A2455" s="198" t="s">
        <v>1279</v>
      </c>
      <c r="B2455" s="224" t="s">
        <v>4937</v>
      </c>
      <c r="C2455" s="225" t="s">
        <v>4914</v>
      </c>
      <c r="D2455" s="226" t="s">
        <v>11</v>
      </c>
      <c r="E2455" s="227">
        <v>3.82</v>
      </c>
      <c r="F2455" s="227"/>
      <c r="G2455" s="229" t="s">
        <v>4927</v>
      </c>
      <c r="H2455" s="235">
        <f t="shared" ref="H2455:H2471" si="77">SUMIFS($E:$E,$C:$C,G2455,$A:$A,$G$22)</f>
        <v>0.45</v>
      </c>
      <c r="I2455" s="242"/>
      <c r="J2455" s="215"/>
    </row>
    <row r="2456" spans="1:10" ht="12.75" hidden="1" customHeight="1" outlineLevel="1" x14ac:dyDescent="0.2">
      <c r="A2456" s="198" t="s">
        <v>1279</v>
      </c>
      <c r="B2456" s="228" t="s">
        <v>4938</v>
      </c>
      <c r="C2456" s="229" t="s">
        <v>4916</v>
      </c>
      <c r="D2456" s="230" t="s">
        <v>11</v>
      </c>
      <c r="E2456" s="231">
        <v>9.67</v>
      </c>
      <c r="F2456" s="231"/>
      <c r="G2456" s="225" t="s">
        <v>4912</v>
      </c>
      <c r="H2456" s="235">
        <f t="shared" si="77"/>
        <v>2.4300000000000002</v>
      </c>
      <c r="J2456" s="215"/>
    </row>
    <row r="2457" spans="1:10" ht="12.75" hidden="1" customHeight="1" outlineLevel="1" x14ac:dyDescent="0.2">
      <c r="A2457" s="198" t="s">
        <v>1279</v>
      </c>
      <c r="B2457" s="216" t="s">
        <v>1698</v>
      </c>
      <c r="C2457" s="217" t="s">
        <v>2961</v>
      </c>
      <c r="D2457" s="218"/>
      <c r="E2457" s="219"/>
      <c r="F2457" s="219"/>
      <c r="G2457" s="229" t="s">
        <v>4936</v>
      </c>
      <c r="H2457" s="235">
        <f t="shared" si="77"/>
        <v>0</v>
      </c>
      <c r="J2457" s="215"/>
    </row>
    <row r="2458" spans="1:10" ht="12.75" hidden="1" customHeight="1" outlineLevel="1" x14ac:dyDescent="0.2">
      <c r="A2458" s="198" t="s">
        <v>1279</v>
      </c>
      <c r="B2458" s="224" t="s">
        <v>1699</v>
      </c>
      <c r="C2458" s="225" t="s">
        <v>4913</v>
      </c>
      <c r="D2458" s="226" t="s">
        <v>11</v>
      </c>
      <c r="E2458" s="227">
        <v>8.07</v>
      </c>
      <c r="F2458" s="227"/>
      <c r="G2458" s="225" t="s">
        <v>5007</v>
      </c>
      <c r="H2458" s="235">
        <f t="shared" si="77"/>
        <v>0</v>
      </c>
    </row>
    <row r="2459" spans="1:10" ht="12.75" hidden="1" customHeight="1" outlineLevel="1" x14ac:dyDescent="0.2">
      <c r="A2459" s="198" t="s">
        <v>1279</v>
      </c>
      <c r="B2459" s="228" t="s">
        <v>2788</v>
      </c>
      <c r="C2459" s="229" t="s">
        <v>4914</v>
      </c>
      <c r="D2459" s="230" t="s">
        <v>11</v>
      </c>
      <c r="E2459" s="231">
        <v>3.82</v>
      </c>
      <c r="F2459" s="231"/>
      <c r="G2459" s="229" t="s">
        <v>5001</v>
      </c>
      <c r="H2459" s="235">
        <f t="shared" si="77"/>
        <v>0</v>
      </c>
    </row>
    <row r="2460" spans="1:10" ht="12.75" hidden="1" customHeight="1" outlineLevel="1" x14ac:dyDescent="0.2">
      <c r="A2460" s="198" t="s">
        <v>1279</v>
      </c>
      <c r="B2460" s="224" t="s">
        <v>4939</v>
      </c>
      <c r="C2460" s="225" t="s">
        <v>4916</v>
      </c>
      <c r="D2460" s="226" t="s">
        <v>11</v>
      </c>
      <c r="E2460" s="227">
        <v>9.67</v>
      </c>
      <c r="F2460" s="227"/>
      <c r="G2460" s="225" t="s">
        <v>4928</v>
      </c>
      <c r="H2460" s="235">
        <f t="shared" si="77"/>
        <v>4.4800000000000004</v>
      </c>
    </row>
    <row r="2461" spans="1:10" ht="12.75" hidden="1" customHeight="1" outlineLevel="1" x14ac:dyDescent="0.2">
      <c r="A2461" s="198" t="s">
        <v>1279</v>
      </c>
      <c r="B2461" s="216" t="s">
        <v>1700</v>
      </c>
      <c r="C2461" s="217" t="s">
        <v>2962</v>
      </c>
      <c r="D2461" s="218"/>
      <c r="E2461" s="219"/>
      <c r="F2461" s="219"/>
      <c r="G2461" s="229" t="s">
        <v>5003</v>
      </c>
      <c r="H2461" s="235">
        <f t="shared" si="77"/>
        <v>0</v>
      </c>
    </row>
    <row r="2462" spans="1:10" ht="25.5" hidden="1" customHeight="1" outlineLevel="1" x14ac:dyDescent="0.2">
      <c r="A2462" s="198" t="s">
        <v>1279</v>
      </c>
      <c r="B2462" s="228" t="s">
        <v>1701</v>
      </c>
      <c r="C2462" s="229" t="s">
        <v>4913</v>
      </c>
      <c r="D2462" s="230" t="s">
        <v>11</v>
      </c>
      <c r="E2462" s="231">
        <v>7.41</v>
      </c>
      <c r="F2462" s="231"/>
      <c r="G2462" s="225" t="s">
        <v>4913</v>
      </c>
      <c r="H2462" s="235">
        <f t="shared" si="77"/>
        <v>16.48</v>
      </c>
    </row>
    <row r="2463" spans="1:10" ht="12.75" hidden="1" customHeight="1" outlineLevel="1" x14ac:dyDescent="0.2">
      <c r="A2463" s="198" t="s">
        <v>1279</v>
      </c>
      <c r="B2463" s="224" t="s">
        <v>2789</v>
      </c>
      <c r="C2463" s="225" t="s">
        <v>4914</v>
      </c>
      <c r="D2463" s="226" t="s">
        <v>11</v>
      </c>
      <c r="E2463" s="227">
        <v>3.4</v>
      </c>
      <c r="F2463" s="227"/>
      <c r="G2463" s="229" t="s">
        <v>4914</v>
      </c>
      <c r="H2463" s="235">
        <f t="shared" si="77"/>
        <v>7.9499999999999993</v>
      </c>
    </row>
    <row r="2464" spans="1:10" ht="25.5" hidden="1" customHeight="1" outlineLevel="1" x14ac:dyDescent="0.2">
      <c r="A2464" s="198" t="s">
        <v>1279</v>
      </c>
      <c r="B2464" s="228" t="s">
        <v>4940</v>
      </c>
      <c r="C2464" s="229" t="s">
        <v>4916</v>
      </c>
      <c r="D2464" s="230" t="s">
        <v>11</v>
      </c>
      <c r="E2464" s="231">
        <v>9.9700000000000006</v>
      </c>
      <c r="F2464" s="231"/>
      <c r="G2464" s="225" t="s">
        <v>4916</v>
      </c>
      <c r="H2464" s="235">
        <f t="shared" si="77"/>
        <v>15.330000000000002</v>
      </c>
    </row>
    <row r="2465" spans="1:8" ht="38.25" hidden="1" customHeight="1" outlineLevel="1" x14ac:dyDescent="0.2">
      <c r="A2465" s="198" t="s">
        <v>1279</v>
      </c>
      <c r="B2465" s="216" t="s">
        <v>1702</v>
      </c>
      <c r="C2465" s="217" t="s">
        <v>2963</v>
      </c>
      <c r="D2465" s="218"/>
      <c r="E2465" s="219"/>
      <c r="F2465" s="219"/>
      <c r="G2465" s="229" t="s">
        <v>4933</v>
      </c>
      <c r="H2465" s="235">
        <f t="shared" si="77"/>
        <v>7.02</v>
      </c>
    </row>
    <row r="2466" spans="1:8" ht="12.75" hidden="1" customHeight="1" outlineLevel="1" x14ac:dyDescent="0.2">
      <c r="A2466" s="198" t="s">
        <v>1279</v>
      </c>
      <c r="B2466" s="224" t="s">
        <v>1703</v>
      </c>
      <c r="C2466" s="225" t="s">
        <v>4913</v>
      </c>
      <c r="D2466" s="226" t="s">
        <v>11</v>
      </c>
      <c r="E2466" s="227">
        <v>7.41</v>
      </c>
      <c r="F2466" s="227"/>
      <c r="G2466" s="225" t="s">
        <v>4935</v>
      </c>
      <c r="H2466" s="235">
        <f t="shared" si="77"/>
        <v>0.37</v>
      </c>
    </row>
    <row r="2467" spans="1:8" ht="12.75" hidden="1" customHeight="1" outlineLevel="1" x14ac:dyDescent="0.2">
      <c r="A2467" s="198" t="s">
        <v>1279</v>
      </c>
      <c r="B2467" s="228" t="s">
        <v>4941</v>
      </c>
      <c r="C2467" s="229" t="s">
        <v>4914</v>
      </c>
      <c r="D2467" s="230" t="s">
        <v>11</v>
      </c>
      <c r="E2467" s="231">
        <v>3.4</v>
      </c>
      <c r="F2467" s="231"/>
      <c r="G2467" s="229" t="s">
        <v>4918</v>
      </c>
      <c r="H2467" s="235">
        <f t="shared" si="77"/>
        <v>10.59</v>
      </c>
    </row>
    <row r="2468" spans="1:8" ht="25.5" hidden="1" customHeight="1" outlineLevel="1" x14ac:dyDescent="0.2">
      <c r="A2468" s="198" t="s">
        <v>1279</v>
      </c>
      <c r="B2468" s="224" t="s">
        <v>4942</v>
      </c>
      <c r="C2468" s="225" t="s">
        <v>4916</v>
      </c>
      <c r="D2468" s="226" t="s">
        <v>11</v>
      </c>
      <c r="E2468" s="227">
        <v>10.31</v>
      </c>
      <c r="F2468" s="227"/>
      <c r="G2468" s="225" t="s">
        <v>4920</v>
      </c>
      <c r="H2468" s="235">
        <f t="shared" si="77"/>
        <v>4.53</v>
      </c>
    </row>
    <row r="2469" spans="1:8" ht="12.75" hidden="1" customHeight="1" outlineLevel="1" x14ac:dyDescent="0.2">
      <c r="A2469" s="198" t="s">
        <v>1279</v>
      </c>
      <c r="B2469" s="216" t="s">
        <v>4943</v>
      </c>
      <c r="C2469" s="217" t="s">
        <v>2964</v>
      </c>
      <c r="D2469" s="218"/>
      <c r="E2469" s="219"/>
      <c r="F2469" s="219"/>
      <c r="G2469" s="229" t="s">
        <v>4922</v>
      </c>
      <c r="H2469" s="235">
        <f t="shared" si="77"/>
        <v>47.92</v>
      </c>
    </row>
    <row r="2470" spans="1:8" ht="25.5" hidden="1" customHeight="1" outlineLevel="1" x14ac:dyDescent="0.2">
      <c r="A2470" s="198" t="s">
        <v>1279</v>
      </c>
      <c r="B2470" s="228" t="s">
        <v>4944</v>
      </c>
      <c r="C2470" s="229" t="s">
        <v>4913</v>
      </c>
      <c r="D2470" s="230" t="s">
        <v>11</v>
      </c>
      <c r="E2470" s="231">
        <v>7.41</v>
      </c>
      <c r="F2470" s="231"/>
      <c r="G2470" s="225" t="s">
        <v>4924</v>
      </c>
      <c r="H2470" s="235">
        <f t="shared" si="77"/>
        <v>4.34</v>
      </c>
    </row>
    <row r="2471" spans="1:8" ht="12.75" hidden="1" customHeight="1" outlineLevel="1" x14ac:dyDescent="0.2">
      <c r="A2471" s="198" t="s">
        <v>1279</v>
      </c>
      <c r="B2471" s="224" t="s">
        <v>4945</v>
      </c>
      <c r="C2471" s="225" t="s">
        <v>4914</v>
      </c>
      <c r="D2471" s="226" t="s">
        <v>11</v>
      </c>
      <c r="E2471" s="227">
        <v>3.4</v>
      </c>
      <c r="F2471" s="227"/>
      <c r="G2471" s="229" t="s">
        <v>4926</v>
      </c>
      <c r="H2471" s="235">
        <f t="shared" si="77"/>
        <v>7.26</v>
      </c>
    </row>
    <row r="2472" spans="1:8" ht="12.75" hidden="1" customHeight="1" outlineLevel="1" x14ac:dyDescent="0.2">
      <c r="A2472" s="198" t="s">
        <v>1279</v>
      </c>
      <c r="B2472" s="228" t="s">
        <v>4946</v>
      </c>
      <c r="C2472" s="229" t="s">
        <v>4916</v>
      </c>
      <c r="D2472" s="230" t="s">
        <v>11</v>
      </c>
      <c r="E2472" s="231">
        <v>10.31</v>
      </c>
      <c r="F2472" s="231"/>
    </row>
    <row r="2473" spans="1:8" ht="12.75" hidden="1" customHeight="1" outlineLevel="1" x14ac:dyDescent="0.2">
      <c r="A2473" s="198" t="s">
        <v>1279</v>
      </c>
      <c r="B2473" s="216" t="s">
        <v>4947</v>
      </c>
      <c r="C2473" s="217" t="s">
        <v>2965</v>
      </c>
      <c r="D2473" s="218"/>
      <c r="E2473" s="219"/>
      <c r="F2473" s="219"/>
    </row>
    <row r="2474" spans="1:8" ht="12.75" hidden="1" customHeight="1" outlineLevel="1" x14ac:dyDescent="0.2">
      <c r="A2474" s="198" t="s">
        <v>1279</v>
      </c>
      <c r="B2474" s="224" t="s">
        <v>4948</v>
      </c>
      <c r="C2474" s="225" t="s">
        <v>4913</v>
      </c>
      <c r="D2474" s="226" t="s">
        <v>11</v>
      </c>
      <c r="E2474" s="227">
        <v>7.41</v>
      </c>
      <c r="F2474" s="227"/>
      <c r="G2474" s="520" t="str">
        <f>$A$2</f>
        <v>TORRE</v>
      </c>
      <c r="H2474" s="234">
        <f>SUM(H2475:H2491)</f>
        <v>675.25</v>
      </c>
    </row>
    <row r="2475" spans="1:8" ht="12.75" hidden="1" customHeight="1" outlineLevel="1" x14ac:dyDescent="0.2">
      <c r="A2475" s="198" t="s">
        <v>1279</v>
      </c>
      <c r="B2475" s="228" t="s">
        <v>4949</v>
      </c>
      <c r="C2475" s="229" t="s">
        <v>4914</v>
      </c>
      <c r="D2475" s="230" t="s">
        <v>11</v>
      </c>
      <c r="E2475" s="231">
        <v>3.4</v>
      </c>
      <c r="F2475" s="231"/>
      <c r="G2475" s="229" t="s">
        <v>4927</v>
      </c>
      <c r="H2475" s="235">
        <f t="shared" ref="H2475:H2491" si="78">SUMIFS($E:$E,$C:$C,G2475,$A:$A,$G$30)</f>
        <v>0</v>
      </c>
    </row>
    <row r="2476" spans="1:8" ht="12.75" hidden="1" customHeight="1" outlineLevel="1" x14ac:dyDescent="0.2">
      <c r="A2476" s="198" t="s">
        <v>1279</v>
      </c>
      <c r="B2476" s="224" t="s">
        <v>4950</v>
      </c>
      <c r="C2476" s="225" t="s">
        <v>4916</v>
      </c>
      <c r="D2476" s="226" t="s">
        <v>11</v>
      </c>
      <c r="E2476" s="227">
        <v>10.31</v>
      </c>
      <c r="F2476" s="227"/>
      <c r="G2476" s="225" t="s">
        <v>4912</v>
      </c>
      <c r="H2476" s="235">
        <f t="shared" si="78"/>
        <v>0</v>
      </c>
    </row>
    <row r="2477" spans="1:8" ht="12.75" hidden="1" customHeight="1" outlineLevel="1" x14ac:dyDescent="0.2">
      <c r="A2477" s="198" t="s">
        <v>1279</v>
      </c>
      <c r="B2477" s="216" t="s">
        <v>4951</v>
      </c>
      <c r="C2477" s="217" t="s">
        <v>2966</v>
      </c>
      <c r="D2477" s="218"/>
      <c r="E2477" s="219"/>
      <c r="F2477" s="219"/>
      <c r="G2477" s="229" t="s">
        <v>4936</v>
      </c>
      <c r="H2477" s="235">
        <f t="shared" si="78"/>
        <v>25.29</v>
      </c>
    </row>
    <row r="2478" spans="1:8" ht="25.5" hidden="1" customHeight="1" outlineLevel="1" x14ac:dyDescent="0.2">
      <c r="A2478" s="198" t="s">
        <v>1279</v>
      </c>
      <c r="B2478" s="228" t="s">
        <v>4952</v>
      </c>
      <c r="C2478" s="229" t="s">
        <v>4913</v>
      </c>
      <c r="D2478" s="230" t="s">
        <v>11</v>
      </c>
      <c r="E2478" s="231">
        <v>7.41</v>
      </c>
      <c r="F2478" s="231"/>
      <c r="G2478" s="225" t="s">
        <v>5007</v>
      </c>
      <c r="H2478" s="235">
        <f t="shared" si="78"/>
        <v>83.73</v>
      </c>
    </row>
    <row r="2479" spans="1:8" ht="12.75" hidden="1" customHeight="1" outlineLevel="1" x14ac:dyDescent="0.2">
      <c r="A2479" s="198" t="s">
        <v>1279</v>
      </c>
      <c r="B2479" s="224" t="s">
        <v>4953</v>
      </c>
      <c r="C2479" s="225" t="s">
        <v>4914</v>
      </c>
      <c r="D2479" s="226" t="s">
        <v>11</v>
      </c>
      <c r="E2479" s="227">
        <v>3.41</v>
      </c>
      <c r="F2479" s="227"/>
      <c r="G2479" s="229" t="s">
        <v>5001</v>
      </c>
      <c r="H2479" s="235">
        <f t="shared" si="78"/>
        <v>175.1</v>
      </c>
    </row>
    <row r="2480" spans="1:8" ht="25.5" hidden="1" customHeight="1" outlineLevel="1" x14ac:dyDescent="0.2">
      <c r="A2480" s="198" t="s">
        <v>1279</v>
      </c>
      <c r="B2480" s="228" t="s">
        <v>4954</v>
      </c>
      <c r="C2480" s="229" t="s">
        <v>4916</v>
      </c>
      <c r="D2480" s="230" t="s">
        <v>11</v>
      </c>
      <c r="E2480" s="231">
        <v>10.31</v>
      </c>
      <c r="F2480" s="231"/>
      <c r="G2480" s="225" t="s">
        <v>4928</v>
      </c>
      <c r="H2480" s="235">
        <f t="shared" si="78"/>
        <v>0</v>
      </c>
    </row>
    <row r="2481" spans="1:8" ht="38.25" hidden="1" customHeight="1" outlineLevel="1" x14ac:dyDescent="0.2">
      <c r="A2481" s="198" t="s">
        <v>1279</v>
      </c>
      <c r="B2481" s="216" t="s">
        <v>4955</v>
      </c>
      <c r="C2481" s="217" t="s">
        <v>2967</v>
      </c>
      <c r="D2481" s="218"/>
      <c r="E2481" s="219"/>
      <c r="F2481" s="219"/>
      <c r="G2481" s="229" t="s">
        <v>5003</v>
      </c>
      <c r="H2481" s="235">
        <f t="shared" si="78"/>
        <v>3.52</v>
      </c>
    </row>
    <row r="2482" spans="1:8" ht="12.75" hidden="1" customHeight="1" outlineLevel="1" x14ac:dyDescent="0.2">
      <c r="A2482" s="198" t="s">
        <v>1279</v>
      </c>
      <c r="B2482" s="224" t="s">
        <v>4956</v>
      </c>
      <c r="C2482" s="225" t="s">
        <v>4913</v>
      </c>
      <c r="D2482" s="226" t="s">
        <v>11</v>
      </c>
      <c r="E2482" s="227">
        <v>7.41</v>
      </c>
      <c r="F2482" s="227"/>
      <c r="G2482" s="225" t="s">
        <v>4913</v>
      </c>
      <c r="H2482" s="235">
        <f t="shared" si="78"/>
        <v>138.63999999999999</v>
      </c>
    </row>
    <row r="2483" spans="1:8" ht="12.75" hidden="1" customHeight="1" outlineLevel="1" x14ac:dyDescent="0.2">
      <c r="A2483" s="198" t="s">
        <v>1279</v>
      </c>
      <c r="B2483" s="228" t="s">
        <v>4957</v>
      </c>
      <c r="C2483" s="229" t="s">
        <v>4914</v>
      </c>
      <c r="D2483" s="230" t="s">
        <v>11</v>
      </c>
      <c r="E2483" s="231">
        <v>3.4</v>
      </c>
      <c r="F2483" s="231"/>
      <c r="G2483" s="229" t="s">
        <v>4914</v>
      </c>
      <c r="H2483" s="235">
        <f t="shared" si="78"/>
        <v>64.829999999999984</v>
      </c>
    </row>
    <row r="2484" spans="1:8" ht="25.5" hidden="1" customHeight="1" outlineLevel="1" x14ac:dyDescent="0.2">
      <c r="A2484" s="198" t="s">
        <v>1279</v>
      </c>
      <c r="B2484" s="224" t="s">
        <v>4958</v>
      </c>
      <c r="C2484" s="225" t="s">
        <v>4916</v>
      </c>
      <c r="D2484" s="226" t="s">
        <v>11</v>
      </c>
      <c r="E2484" s="227">
        <v>10.31</v>
      </c>
      <c r="F2484" s="227"/>
      <c r="G2484" s="225" t="s">
        <v>4916</v>
      </c>
      <c r="H2484" s="235">
        <f t="shared" si="78"/>
        <v>184.14000000000001</v>
      </c>
    </row>
    <row r="2485" spans="1:8" ht="12.75" hidden="1" customHeight="1" outlineLevel="1" x14ac:dyDescent="0.2">
      <c r="A2485" s="198" t="s">
        <v>1279</v>
      </c>
      <c r="B2485" s="216" t="s">
        <v>4959</v>
      </c>
      <c r="C2485" s="217" t="s">
        <v>2968</v>
      </c>
      <c r="D2485" s="218"/>
      <c r="E2485" s="219"/>
      <c r="F2485" s="219"/>
      <c r="G2485" s="229" t="s">
        <v>4933</v>
      </c>
      <c r="H2485" s="235">
        <f t="shared" si="78"/>
        <v>0</v>
      </c>
    </row>
    <row r="2486" spans="1:8" ht="25.5" hidden="1" customHeight="1" outlineLevel="1" x14ac:dyDescent="0.2">
      <c r="A2486" s="198" t="s">
        <v>1279</v>
      </c>
      <c r="B2486" s="228" t="s">
        <v>4960</v>
      </c>
      <c r="C2486" s="229" t="s">
        <v>4913</v>
      </c>
      <c r="D2486" s="230" t="s">
        <v>11</v>
      </c>
      <c r="E2486" s="231">
        <v>7.41</v>
      </c>
      <c r="F2486" s="231"/>
      <c r="G2486" s="225" t="s">
        <v>4935</v>
      </c>
      <c r="H2486" s="235">
        <f t="shared" si="78"/>
        <v>0</v>
      </c>
    </row>
    <row r="2487" spans="1:8" ht="12.75" hidden="1" customHeight="1" outlineLevel="1" x14ac:dyDescent="0.2">
      <c r="A2487" s="198" t="s">
        <v>1279</v>
      </c>
      <c r="B2487" s="224" t="s">
        <v>4961</v>
      </c>
      <c r="C2487" s="225" t="s">
        <v>4914</v>
      </c>
      <c r="D2487" s="226" t="s">
        <v>11</v>
      </c>
      <c r="E2487" s="227">
        <v>3.41</v>
      </c>
      <c r="F2487" s="227"/>
      <c r="G2487" s="229" t="s">
        <v>4918</v>
      </c>
      <c r="H2487" s="235">
        <f t="shared" si="78"/>
        <v>0</v>
      </c>
    </row>
    <row r="2488" spans="1:8" ht="12.75" hidden="1" customHeight="1" outlineLevel="1" x14ac:dyDescent="0.2">
      <c r="A2488" s="198" t="s">
        <v>1279</v>
      </c>
      <c r="B2488" s="228" t="s">
        <v>4962</v>
      </c>
      <c r="C2488" s="229" t="s">
        <v>4916</v>
      </c>
      <c r="D2488" s="230" t="s">
        <v>11</v>
      </c>
      <c r="E2488" s="231">
        <v>10.31</v>
      </c>
      <c r="F2488" s="231"/>
      <c r="G2488" s="225" t="s">
        <v>4920</v>
      </c>
      <c r="H2488" s="235">
        <f t="shared" si="78"/>
        <v>0</v>
      </c>
    </row>
    <row r="2489" spans="1:8" ht="12.75" hidden="1" customHeight="1" outlineLevel="1" x14ac:dyDescent="0.2">
      <c r="A2489" s="198" t="s">
        <v>1279</v>
      </c>
      <c r="B2489" s="216" t="s">
        <v>4963</v>
      </c>
      <c r="C2489" s="217" t="s">
        <v>2969</v>
      </c>
      <c r="D2489" s="218"/>
      <c r="E2489" s="219"/>
      <c r="F2489" s="219"/>
      <c r="G2489" s="229" t="s">
        <v>4922</v>
      </c>
      <c r="H2489" s="235">
        <f t="shared" si="78"/>
        <v>0</v>
      </c>
    </row>
    <row r="2490" spans="1:8" ht="12.75" hidden="1" customHeight="1" outlineLevel="1" x14ac:dyDescent="0.2">
      <c r="A2490" s="198" t="s">
        <v>1279</v>
      </c>
      <c r="B2490" s="224" t="s">
        <v>4964</v>
      </c>
      <c r="C2490" s="225" t="s">
        <v>4913</v>
      </c>
      <c r="D2490" s="226" t="s">
        <v>11</v>
      </c>
      <c r="E2490" s="227">
        <v>7.41</v>
      </c>
      <c r="F2490" s="227"/>
      <c r="G2490" s="225" t="s">
        <v>4924</v>
      </c>
      <c r="H2490" s="235">
        <f t="shared" si="78"/>
        <v>0</v>
      </c>
    </row>
    <row r="2491" spans="1:8" ht="12.75" hidden="1" customHeight="1" outlineLevel="1" x14ac:dyDescent="0.2">
      <c r="A2491" s="198" t="s">
        <v>1279</v>
      </c>
      <c r="B2491" s="228" t="s">
        <v>4965</v>
      </c>
      <c r="C2491" s="229" t="s">
        <v>4914</v>
      </c>
      <c r="D2491" s="230" t="s">
        <v>11</v>
      </c>
      <c r="E2491" s="231">
        <v>3.4</v>
      </c>
      <c r="F2491" s="231"/>
      <c r="G2491" s="229" t="s">
        <v>4926</v>
      </c>
      <c r="H2491" s="235">
        <f t="shared" si="78"/>
        <v>0</v>
      </c>
    </row>
    <row r="2492" spans="1:8" ht="12.75" hidden="1" customHeight="1" outlineLevel="1" x14ac:dyDescent="0.2">
      <c r="A2492" s="198" t="s">
        <v>1279</v>
      </c>
      <c r="B2492" s="224" t="s">
        <v>4966</v>
      </c>
      <c r="C2492" s="225" t="s">
        <v>4916</v>
      </c>
      <c r="D2492" s="226" t="s">
        <v>11</v>
      </c>
      <c r="E2492" s="227">
        <v>10.31</v>
      </c>
      <c r="F2492" s="227"/>
      <c r="G2492" s="241"/>
      <c r="H2492" s="241"/>
    </row>
    <row r="2493" spans="1:8" ht="12.75" hidden="1" customHeight="1" outlineLevel="1" x14ac:dyDescent="0.2">
      <c r="A2493" s="198" t="s">
        <v>1279</v>
      </c>
      <c r="B2493" s="216" t="s">
        <v>4967</v>
      </c>
      <c r="C2493" s="217" t="s">
        <v>2970</v>
      </c>
      <c r="D2493" s="218"/>
      <c r="E2493" s="219"/>
      <c r="F2493" s="219"/>
      <c r="G2493" s="241"/>
      <c r="H2493" s="241"/>
    </row>
    <row r="2494" spans="1:8" ht="25.5" hidden="1" customHeight="1" outlineLevel="1" x14ac:dyDescent="0.2">
      <c r="A2494" s="198" t="s">
        <v>1279</v>
      </c>
      <c r="B2494" s="228" t="s">
        <v>4968</v>
      </c>
      <c r="C2494" s="229" t="s">
        <v>4913</v>
      </c>
      <c r="D2494" s="230" t="s">
        <v>11</v>
      </c>
      <c r="E2494" s="231">
        <v>7.41</v>
      </c>
      <c r="F2494" s="231"/>
      <c r="G2494" s="241"/>
      <c r="H2494" s="241"/>
    </row>
    <row r="2495" spans="1:8" ht="12.75" hidden="1" customHeight="1" outlineLevel="1" x14ac:dyDescent="0.2">
      <c r="A2495" s="198" t="s">
        <v>1279</v>
      </c>
      <c r="B2495" s="224" t="s">
        <v>4969</v>
      </c>
      <c r="C2495" s="225" t="s">
        <v>4914</v>
      </c>
      <c r="D2495" s="226" t="s">
        <v>11</v>
      </c>
      <c r="E2495" s="227">
        <v>3.41</v>
      </c>
      <c r="F2495" s="227"/>
      <c r="G2495" s="241"/>
      <c r="H2495" s="241"/>
    </row>
    <row r="2496" spans="1:8" ht="25.5" hidden="1" customHeight="1" outlineLevel="1" x14ac:dyDescent="0.2">
      <c r="A2496" s="198" t="s">
        <v>1279</v>
      </c>
      <c r="B2496" s="228" t="s">
        <v>4970</v>
      </c>
      <c r="C2496" s="229" t="s">
        <v>4916</v>
      </c>
      <c r="D2496" s="230" t="s">
        <v>11</v>
      </c>
      <c r="E2496" s="231">
        <v>10.31</v>
      </c>
      <c r="F2496" s="231"/>
      <c r="G2496" s="241"/>
      <c r="H2496" s="241"/>
    </row>
    <row r="2497" spans="1:8" ht="38.25" hidden="1" customHeight="1" outlineLevel="1" x14ac:dyDescent="0.2">
      <c r="A2497" s="198" t="s">
        <v>1279</v>
      </c>
      <c r="B2497" s="216" t="s">
        <v>4971</v>
      </c>
      <c r="C2497" s="217" t="s">
        <v>2971</v>
      </c>
      <c r="D2497" s="218"/>
      <c r="E2497" s="219"/>
      <c r="F2497" s="219"/>
      <c r="G2497" s="241"/>
      <c r="H2497" s="241"/>
    </row>
    <row r="2498" spans="1:8" ht="12.75" hidden="1" customHeight="1" outlineLevel="1" x14ac:dyDescent="0.2">
      <c r="A2498" s="198" t="s">
        <v>1279</v>
      </c>
      <c r="B2498" s="224" t="s">
        <v>4972</v>
      </c>
      <c r="C2498" s="225" t="s">
        <v>4913</v>
      </c>
      <c r="D2498" s="226" t="s">
        <v>11</v>
      </c>
      <c r="E2498" s="227">
        <v>7.41</v>
      </c>
      <c r="F2498" s="227"/>
      <c r="G2498" s="241"/>
      <c r="H2498" s="241"/>
    </row>
    <row r="2499" spans="1:8" ht="12.75" hidden="1" customHeight="1" outlineLevel="1" x14ac:dyDescent="0.2">
      <c r="A2499" s="198" t="s">
        <v>1279</v>
      </c>
      <c r="B2499" s="228" t="s">
        <v>4973</v>
      </c>
      <c r="C2499" s="229" t="s">
        <v>4914</v>
      </c>
      <c r="D2499" s="230" t="s">
        <v>11</v>
      </c>
      <c r="E2499" s="231">
        <v>3.4</v>
      </c>
      <c r="F2499" s="231"/>
      <c r="G2499" s="241"/>
      <c r="H2499" s="241"/>
    </row>
    <row r="2500" spans="1:8" ht="25.5" hidden="1" customHeight="1" outlineLevel="1" x14ac:dyDescent="0.2">
      <c r="A2500" s="198" t="s">
        <v>1279</v>
      </c>
      <c r="B2500" s="224" t="s">
        <v>4974</v>
      </c>
      <c r="C2500" s="225" t="s">
        <v>4916</v>
      </c>
      <c r="D2500" s="226" t="s">
        <v>11</v>
      </c>
      <c r="E2500" s="227">
        <v>10.31</v>
      </c>
      <c r="F2500" s="227"/>
      <c r="G2500" s="241"/>
      <c r="H2500" s="241"/>
    </row>
    <row r="2501" spans="1:8" ht="12.75" hidden="1" customHeight="1" outlineLevel="1" x14ac:dyDescent="0.2">
      <c r="A2501" s="198" t="s">
        <v>1279</v>
      </c>
      <c r="B2501" s="216" t="s">
        <v>4975</v>
      </c>
      <c r="C2501" s="217" t="s">
        <v>2972</v>
      </c>
      <c r="D2501" s="218"/>
      <c r="E2501" s="219"/>
      <c r="F2501" s="219"/>
      <c r="G2501" s="241"/>
      <c r="H2501" s="241"/>
    </row>
    <row r="2502" spans="1:8" ht="25.5" hidden="1" customHeight="1" outlineLevel="1" x14ac:dyDescent="0.2">
      <c r="A2502" s="198" t="s">
        <v>1279</v>
      </c>
      <c r="B2502" s="228" t="s">
        <v>4976</v>
      </c>
      <c r="C2502" s="229" t="s">
        <v>4913</v>
      </c>
      <c r="D2502" s="230" t="s">
        <v>11</v>
      </c>
      <c r="E2502" s="231">
        <v>8.09</v>
      </c>
      <c r="F2502" s="231"/>
      <c r="G2502" s="241"/>
      <c r="H2502" s="241"/>
    </row>
    <row r="2503" spans="1:8" ht="12.75" hidden="1" customHeight="1" outlineLevel="1" x14ac:dyDescent="0.2">
      <c r="A2503" s="198" t="s">
        <v>1279</v>
      </c>
      <c r="B2503" s="224" t="s">
        <v>4977</v>
      </c>
      <c r="C2503" s="225" t="s">
        <v>4914</v>
      </c>
      <c r="D2503" s="226" t="s">
        <v>11</v>
      </c>
      <c r="E2503" s="227">
        <v>3.82</v>
      </c>
      <c r="F2503" s="227"/>
      <c r="G2503" s="241"/>
      <c r="H2503" s="241"/>
    </row>
    <row r="2504" spans="1:8" ht="12.75" hidden="1" customHeight="1" outlineLevel="1" x14ac:dyDescent="0.2">
      <c r="A2504" s="198" t="s">
        <v>1279</v>
      </c>
      <c r="B2504" s="228" t="s">
        <v>4978</v>
      </c>
      <c r="C2504" s="229" t="s">
        <v>4916</v>
      </c>
      <c r="D2504" s="230" t="s">
        <v>11</v>
      </c>
      <c r="E2504" s="231">
        <v>9.67</v>
      </c>
      <c r="F2504" s="231"/>
      <c r="G2504" s="241"/>
      <c r="H2504" s="241"/>
    </row>
    <row r="2505" spans="1:8" ht="12.75" hidden="1" customHeight="1" outlineLevel="1" x14ac:dyDescent="0.2">
      <c r="A2505" s="198" t="s">
        <v>1279</v>
      </c>
      <c r="B2505" s="216" t="s">
        <v>4979</v>
      </c>
      <c r="C2505" s="217" t="s">
        <v>2973</v>
      </c>
      <c r="D2505" s="218"/>
      <c r="E2505" s="219"/>
      <c r="F2505" s="219"/>
      <c r="G2505" s="241"/>
      <c r="H2505" s="241"/>
    </row>
    <row r="2506" spans="1:8" ht="12.75" hidden="1" customHeight="1" outlineLevel="1" x14ac:dyDescent="0.2">
      <c r="A2506" s="198" t="s">
        <v>1279</v>
      </c>
      <c r="B2506" s="224" t="s">
        <v>4980</v>
      </c>
      <c r="C2506" s="225" t="s">
        <v>4913</v>
      </c>
      <c r="D2506" s="226" t="s">
        <v>11</v>
      </c>
      <c r="E2506" s="227">
        <v>7.41</v>
      </c>
      <c r="F2506" s="227"/>
      <c r="G2506" s="241"/>
      <c r="H2506" s="241"/>
    </row>
    <row r="2507" spans="1:8" ht="12.75" hidden="1" customHeight="1" outlineLevel="1" x14ac:dyDescent="0.2">
      <c r="A2507" s="198" t="s">
        <v>1279</v>
      </c>
      <c r="B2507" s="228" t="s">
        <v>4981</v>
      </c>
      <c r="C2507" s="229" t="s">
        <v>4914</v>
      </c>
      <c r="D2507" s="230" t="s">
        <v>11</v>
      </c>
      <c r="E2507" s="231">
        <v>3.4</v>
      </c>
      <c r="F2507" s="231"/>
      <c r="G2507" s="241"/>
      <c r="H2507" s="241"/>
    </row>
    <row r="2508" spans="1:8" ht="12.75" hidden="1" customHeight="1" outlineLevel="1" x14ac:dyDescent="0.2">
      <c r="A2508" s="198" t="s">
        <v>1279</v>
      </c>
      <c r="B2508" s="224" t="s">
        <v>4982</v>
      </c>
      <c r="C2508" s="225" t="s">
        <v>4916</v>
      </c>
      <c r="D2508" s="226" t="s">
        <v>11</v>
      </c>
      <c r="E2508" s="227">
        <v>10.01</v>
      </c>
      <c r="F2508" s="227"/>
      <c r="G2508" s="241"/>
      <c r="H2508" s="241"/>
    </row>
    <row r="2509" spans="1:8" ht="12.75" hidden="1" customHeight="1" outlineLevel="1" x14ac:dyDescent="0.2">
      <c r="A2509" s="198" t="s">
        <v>1279</v>
      </c>
      <c r="B2509" s="216" t="s">
        <v>4983</v>
      </c>
      <c r="C2509" s="217" t="s">
        <v>2974</v>
      </c>
      <c r="D2509" s="218"/>
      <c r="E2509" s="219"/>
      <c r="F2509" s="219"/>
      <c r="G2509" s="241"/>
      <c r="H2509" s="241"/>
    </row>
    <row r="2510" spans="1:8" ht="25.5" hidden="1" customHeight="1" outlineLevel="1" x14ac:dyDescent="0.2">
      <c r="A2510" s="198" t="s">
        <v>1279</v>
      </c>
      <c r="B2510" s="228" t="s">
        <v>4984</v>
      </c>
      <c r="C2510" s="229" t="s">
        <v>4913</v>
      </c>
      <c r="D2510" s="230" t="s">
        <v>11</v>
      </c>
      <c r="E2510" s="231">
        <v>7.41</v>
      </c>
      <c r="F2510" s="231"/>
      <c r="G2510" s="241"/>
      <c r="H2510" s="241"/>
    </row>
    <row r="2511" spans="1:8" ht="12.75" hidden="1" customHeight="1" outlineLevel="1" x14ac:dyDescent="0.2">
      <c r="A2511" s="198" t="s">
        <v>1279</v>
      </c>
      <c r="B2511" s="224" t="s">
        <v>4985</v>
      </c>
      <c r="C2511" s="225" t="s">
        <v>4914</v>
      </c>
      <c r="D2511" s="226" t="s">
        <v>11</v>
      </c>
      <c r="E2511" s="227">
        <v>3.4</v>
      </c>
      <c r="F2511" s="227"/>
      <c r="G2511" s="241"/>
      <c r="H2511" s="241"/>
    </row>
    <row r="2512" spans="1:8" ht="25.5" hidden="1" customHeight="1" outlineLevel="1" x14ac:dyDescent="0.2">
      <c r="A2512" s="198" t="s">
        <v>1279</v>
      </c>
      <c r="B2512" s="228" t="s">
        <v>4986</v>
      </c>
      <c r="C2512" s="229" t="s">
        <v>4916</v>
      </c>
      <c r="D2512" s="230" t="s">
        <v>11</v>
      </c>
      <c r="E2512" s="231">
        <v>10.31</v>
      </c>
      <c r="F2512" s="231"/>
      <c r="G2512" s="241"/>
      <c r="H2512" s="241"/>
    </row>
    <row r="2513" spans="1:8" ht="38.25" hidden="1" customHeight="1" outlineLevel="1" x14ac:dyDescent="0.2">
      <c r="A2513" s="198" t="s">
        <v>1279</v>
      </c>
      <c r="B2513" s="216" t="s">
        <v>4987</v>
      </c>
      <c r="C2513" s="217" t="s">
        <v>2975</v>
      </c>
      <c r="D2513" s="218"/>
      <c r="E2513" s="219"/>
      <c r="F2513" s="219"/>
      <c r="G2513" s="241"/>
      <c r="H2513" s="241"/>
    </row>
    <row r="2514" spans="1:8" ht="12.75" hidden="1" customHeight="1" outlineLevel="1" x14ac:dyDescent="0.2">
      <c r="A2514" s="198" t="s">
        <v>1279</v>
      </c>
      <c r="B2514" s="224" t="s">
        <v>4988</v>
      </c>
      <c r="C2514" s="225" t="s">
        <v>4913</v>
      </c>
      <c r="D2514" s="226" t="s">
        <v>11</v>
      </c>
      <c r="E2514" s="227">
        <v>7.41</v>
      </c>
      <c r="F2514" s="227"/>
      <c r="G2514" s="241"/>
      <c r="H2514" s="241"/>
    </row>
    <row r="2515" spans="1:8" ht="12.75" hidden="1" customHeight="1" outlineLevel="1" x14ac:dyDescent="0.2">
      <c r="A2515" s="198" t="s">
        <v>1279</v>
      </c>
      <c r="B2515" s="228" t="s">
        <v>4989</v>
      </c>
      <c r="C2515" s="229" t="s">
        <v>4914</v>
      </c>
      <c r="D2515" s="230" t="s">
        <v>11</v>
      </c>
      <c r="E2515" s="231">
        <v>3.4</v>
      </c>
      <c r="F2515" s="231"/>
      <c r="G2515" s="241"/>
      <c r="H2515" s="241"/>
    </row>
    <row r="2516" spans="1:8" ht="25.5" hidden="1" customHeight="1" outlineLevel="1" x14ac:dyDescent="0.2">
      <c r="A2516" s="198" t="s">
        <v>1279</v>
      </c>
      <c r="B2516" s="224" t="s">
        <v>4990</v>
      </c>
      <c r="C2516" s="225" t="s">
        <v>4916</v>
      </c>
      <c r="D2516" s="226" t="s">
        <v>11</v>
      </c>
      <c r="E2516" s="227">
        <v>10.64</v>
      </c>
      <c r="F2516" s="227"/>
      <c r="G2516" s="241"/>
      <c r="H2516" s="241"/>
    </row>
    <row r="2517" spans="1:8" ht="12.75" hidden="1" customHeight="1" outlineLevel="1" x14ac:dyDescent="0.2">
      <c r="A2517" s="198" t="s">
        <v>1279</v>
      </c>
      <c r="B2517" s="216" t="s">
        <v>4991</v>
      </c>
      <c r="C2517" s="217" t="s">
        <v>2976</v>
      </c>
      <c r="D2517" s="218"/>
      <c r="E2517" s="219"/>
      <c r="F2517" s="219"/>
      <c r="G2517" s="241"/>
      <c r="H2517" s="241"/>
    </row>
    <row r="2518" spans="1:8" ht="25.5" hidden="1" customHeight="1" outlineLevel="1" x14ac:dyDescent="0.2">
      <c r="A2518" s="198" t="s">
        <v>1279</v>
      </c>
      <c r="B2518" s="228" t="s">
        <v>4992</v>
      </c>
      <c r="C2518" s="229" t="s">
        <v>4913</v>
      </c>
      <c r="D2518" s="230" t="s">
        <v>11</v>
      </c>
      <c r="E2518" s="231">
        <v>7.74</v>
      </c>
      <c r="F2518" s="231"/>
      <c r="G2518" s="241"/>
      <c r="H2518" s="241"/>
    </row>
    <row r="2519" spans="1:8" ht="12.75" hidden="1" customHeight="1" outlineLevel="1" x14ac:dyDescent="0.2">
      <c r="A2519" s="198" t="s">
        <v>1279</v>
      </c>
      <c r="B2519" s="224" t="s">
        <v>4993</v>
      </c>
      <c r="C2519" s="225" t="s">
        <v>4914</v>
      </c>
      <c r="D2519" s="226" t="s">
        <v>11</v>
      </c>
      <c r="E2519" s="227">
        <v>3.82</v>
      </c>
      <c r="F2519" s="227"/>
      <c r="G2519" s="241"/>
      <c r="H2519" s="241"/>
    </row>
    <row r="2520" spans="1:8" ht="12.75" hidden="1" customHeight="1" outlineLevel="1" x14ac:dyDescent="0.2">
      <c r="A2520" s="198" t="s">
        <v>1279</v>
      </c>
      <c r="B2520" s="228" t="s">
        <v>4994</v>
      </c>
      <c r="C2520" s="229" t="s">
        <v>4916</v>
      </c>
      <c r="D2520" s="230" t="s">
        <v>11</v>
      </c>
      <c r="E2520" s="231">
        <v>9.9700000000000006</v>
      </c>
      <c r="F2520" s="231"/>
      <c r="G2520" s="241"/>
      <c r="H2520" s="241"/>
    </row>
    <row r="2521" spans="1:8" ht="12.75" hidden="1" customHeight="1" outlineLevel="1" x14ac:dyDescent="0.2">
      <c r="A2521" s="198" t="s">
        <v>1279</v>
      </c>
      <c r="B2521" s="216" t="s">
        <v>4995</v>
      </c>
      <c r="C2521" s="217" t="s">
        <v>2978</v>
      </c>
      <c r="D2521" s="218"/>
      <c r="E2521" s="219"/>
      <c r="F2521" s="219"/>
      <c r="G2521" s="241"/>
      <c r="H2521" s="241"/>
    </row>
    <row r="2522" spans="1:8" ht="12.75" hidden="1" customHeight="1" outlineLevel="1" x14ac:dyDescent="0.2">
      <c r="A2522" s="198" t="s">
        <v>1279</v>
      </c>
      <c r="B2522" s="224" t="s">
        <v>4996</v>
      </c>
      <c r="C2522" s="225" t="s">
        <v>4913</v>
      </c>
      <c r="D2522" s="226" t="s">
        <v>11</v>
      </c>
      <c r="E2522" s="227">
        <v>10.34</v>
      </c>
      <c r="F2522" s="227"/>
      <c r="G2522" s="241"/>
      <c r="H2522" s="241"/>
    </row>
    <row r="2523" spans="1:8" ht="12.75" hidden="1" customHeight="1" outlineLevel="1" x14ac:dyDescent="0.2">
      <c r="A2523" s="198" t="s">
        <v>1279</v>
      </c>
      <c r="B2523" s="228" t="s">
        <v>4997</v>
      </c>
      <c r="C2523" s="229" t="s">
        <v>4914</v>
      </c>
      <c r="D2523" s="230" t="s">
        <v>11</v>
      </c>
      <c r="E2523" s="231">
        <v>5.32</v>
      </c>
      <c r="F2523" s="231"/>
      <c r="G2523" s="241"/>
      <c r="H2523" s="241"/>
    </row>
    <row r="2524" spans="1:8" ht="12.75" hidden="1" customHeight="1" outlineLevel="1" x14ac:dyDescent="0.2">
      <c r="A2524" s="198" t="s">
        <v>1279</v>
      </c>
      <c r="B2524" s="224" t="s">
        <v>4998</v>
      </c>
      <c r="C2524" s="225" t="s">
        <v>4916</v>
      </c>
      <c r="D2524" s="226" t="s">
        <v>11</v>
      </c>
      <c r="E2524" s="227">
        <v>9.9600000000000009</v>
      </c>
      <c r="F2524" s="227"/>
      <c r="G2524" s="241"/>
      <c r="H2524" s="241"/>
    </row>
    <row r="2525" spans="1:8" ht="12.75" hidden="1" customHeight="1" outlineLevel="1" x14ac:dyDescent="0.2">
      <c r="A2525" s="198" t="s">
        <v>1279</v>
      </c>
      <c r="B2525" s="216" t="s">
        <v>4999</v>
      </c>
      <c r="C2525" s="217" t="s">
        <v>2980</v>
      </c>
      <c r="D2525" s="218"/>
      <c r="E2525" s="219"/>
      <c r="F2525" s="219"/>
      <c r="G2525" s="241"/>
      <c r="H2525" s="241"/>
    </row>
    <row r="2526" spans="1:8" ht="25.5" hidden="1" customHeight="1" outlineLevel="1" x14ac:dyDescent="0.2">
      <c r="A2526" s="198" t="s">
        <v>1279</v>
      </c>
      <c r="B2526" s="228" t="s">
        <v>5000</v>
      </c>
      <c r="C2526" s="229" t="s">
        <v>5001</v>
      </c>
      <c r="D2526" s="230" t="s">
        <v>11</v>
      </c>
      <c r="E2526" s="231">
        <v>175.1</v>
      </c>
      <c r="F2526" s="231"/>
      <c r="G2526" s="241"/>
      <c r="H2526" s="241"/>
    </row>
    <row r="2527" spans="1:8" ht="12.75" hidden="1" customHeight="1" outlineLevel="1" x14ac:dyDescent="0.2">
      <c r="A2527" s="198" t="s">
        <v>1279</v>
      </c>
      <c r="B2527" s="224" t="s">
        <v>5002</v>
      </c>
      <c r="C2527" s="225" t="s">
        <v>5003</v>
      </c>
      <c r="D2527" s="226" t="s">
        <v>11</v>
      </c>
      <c r="E2527" s="227">
        <v>3.52</v>
      </c>
      <c r="F2527" s="227"/>
      <c r="G2527" s="241"/>
      <c r="H2527" s="241"/>
    </row>
    <row r="2528" spans="1:8" ht="25.5" hidden="1" customHeight="1" outlineLevel="1" x14ac:dyDescent="0.2">
      <c r="A2528" s="198" t="s">
        <v>1279</v>
      </c>
      <c r="B2528" s="228" t="s">
        <v>5004</v>
      </c>
      <c r="C2528" s="229" t="s">
        <v>4916</v>
      </c>
      <c r="D2528" s="230" t="s">
        <v>11</v>
      </c>
      <c r="E2528" s="231">
        <v>1.48</v>
      </c>
      <c r="F2528" s="231"/>
      <c r="G2528" s="241"/>
      <c r="H2528" s="241"/>
    </row>
    <row r="2529" spans="1:12" ht="38.25" hidden="1" customHeight="1" outlineLevel="1" x14ac:dyDescent="0.2">
      <c r="A2529" s="198" t="s">
        <v>1279</v>
      </c>
      <c r="B2529" s="216" t="s">
        <v>5005</v>
      </c>
      <c r="C2529" s="217" t="s">
        <v>2983</v>
      </c>
      <c r="D2529" s="218"/>
      <c r="E2529" s="219"/>
      <c r="F2529" s="219"/>
      <c r="G2529" s="241"/>
      <c r="H2529" s="241"/>
    </row>
    <row r="2530" spans="1:12" ht="12.75" hidden="1" customHeight="1" outlineLevel="1" x14ac:dyDescent="0.2">
      <c r="A2530" s="198" t="s">
        <v>1279</v>
      </c>
      <c r="B2530" s="224" t="s">
        <v>5006</v>
      </c>
      <c r="C2530" s="225" t="s">
        <v>5007</v>
      </c>
      <c r="D2530" s="226" t="s">
        <v>11</v>
      </c>
      <c r="E2530" s="227">
        <v>83.73</v>
      </c>
      <c r="F2530" s="227"/>
      <c r="G2530" s="241"/>
      <c r="H2530" s="241"/>
    </row>
    <row r="2531" spans="1:12" s="215" customFormat="1" collapsed="1" x14ac:dyDescent="0.2">
      <c r="B2531" s="515" t="s">
        <v>1704</v>
      </c>
      <c r="C2531" s="516" t="s">
        <v>1690</v>
      </c>
      <c r="D2531" s="520"/>
      <c r="E2531" s="520">
        <f>SUM(E2533:E2601)</f>
        <v>15608.100000000002</v>
      </c>
      <c r="F2531" s="520"/>
      <c r="G2531" s="516"/>
      <c r="H2531" s="234">
        <f>SUM(H2532:H2548)</f>
        <v>15608.099999999999</v>
      </c>
      <c r="I2531" s="242" t="str">
        <f>IF(H2531=E2531,"OKAY","REVER")</f>
        <v>OKAY</v>
      </c>
      <c r="J2531" s="554"/>
    </row>
    <row r="2532" spans="1:12" s="215" customFormat="1" ht="12.75" hidden="1" customHeight="1" outlineLevel="1" x14ac:dyDescent="0.2">
      <c r="A2532" s="239" t="s">
        <v>1278</v>
      </c>
      <c r="B2532" s="216" t="s">
        <v>1705</v>
      </c>
      <c r="C2532" s="217" t="s">
        <v>2955</v>
      </c>
      <c r="D2532" s="218"/>
      <c r="E2532" s="219"/>
      <c r="F2532" s="219"/>
      <c r="G2532" s="225" t="s">
        <v>5027</v>
      </c>
      <c r="H2532" s="235">
        <f t="shared" ref="H2532:H2548" si="79">SUMIF($C:$C,G2532,$E:$E)</f>
        <v>46.46</v>
      </c>
      <c r="I2532" s="241"/>
      <c r="J2532" s="481" t="s">
        <v>1728</v>
      </c>
      <c r="K2532" s="238"/>
      <c r="L2532" s="238" t="s">
        <v>1726</v>
      </c>
    </row>
    <row r="2533" spans="1:12" s="215" customFormat="1" ht="12.75" hidden="1" customHeight="1" outlineLevel="1" x14ac:dyDescent="0.2">
      <c r="A2533" s="239" t="s">
        <v>1278</v>
      </c>
      <c r="B2533" s="228" t="s">
        <v>1706</v>
      </c>
      <c r="C2533" s="229" t="s">
        <v>5008</v>
      </c>
      <c r="D2533" s="230" t="s">
        <v>11</v>
      </c>
      <c r="E2533" s="231">
        <v>68.650000000000006</v>
      </c>
      <c r="F2533" s="231"/>
      <c r="G2533" s="229" t="s">
        <v>5008</v>
      </c>
      <c r="H2533" s="235">
        <f t="shared" si="79"/>
        <v>884.40999999999974</v>
      </c>
      <c r="I2533" s="241" t="s">
        <v>5085</v>
      </c>
      <c r="J2533" s="238"/>
      <c r="K2533" s="238"/>
      <c r="L2533" s="238"/>
    </row>
    <row r="2534" spans="1:12" s="215" customFormat="1" ht="12.75" hidden="1" customHeight="1" outlineLevel="1" x14ac:dyDescent="0.2">
      <c r="A2534" s="239" t="s">
        <v>1278</v>
      </c>
      <c r="B2534" s="224" t="s">
        <v>5009</v>
      </c>
      <c r="C2534" s="225" t="s">
        <v>5010</v>
      </c>
      <c r="D2534" s="226" t="s">
        <v>11</v>
      </c>
      <c r="E2534" s="227">
        <v>34.35</v>
      </c>
      <c r="F2534" s="227"/>
      <c r="G2534" s="225" t="s">
        <v>5010</v>
      </c>
      <c r="H2534" s="235">
        <f t="shared" si="79"/>
        <v>34.35</v>
      </c>
      <c r="I2534" s="241"/>
      <c r="J2534" s="238" t="s">
        <v>1728</v>
      </c>
      <c r="K2534" s="238"/>
      <c r="L2534" s="238" t="s">
        <v>1726</v>
      </c>
    </row>
    <row r="2535" spans="1:12" s="215" customFormat="1" ht="12.75" hidden="1" customHeight="1" outlineLevel="1" x14ac:dyDescent="0.2">
      <c r="A2535" s="239" t="s">
        <v>1278</v>
      </c>
      <c r="B2535" s="228" t="s">
        <v>5011</v>
      </c>
      <c r="C2535" s="229" t="s">
        <v>5012</v>
      </c>
      <c r="D2535" s="230" t="s">
        <v>11</v>
      </c>
      <c r="E2535" s="231">
        <v>186.18</v>
      </c>
      <c r="F2535" s="231"/>
      <c r="G2535" s="229" t="s">
        <v>5012</v>
      </c>
      <c r="H2535" s="235">
        <f t="shared" si="79"/>
        <v>186.18</v>
      </c>
      <c r="I2535" s="241"/>
      <c r="J2535" s="238" t="s">
        <v>1728</v>
      </c>
      <c r="K2535" s="238"/>
      <c r="L2535" s="238" t="s">
        <v>1726</v>
      </c>
    </row>
    <row r="2536" spans="1:12" s="215" customFormat="1" ht="12.75" hidden="1" customHeight="1" outlineLevel="1" x14ac:dyDescent="0.2">
      <c r="A2536" s="239" t="s">
        <v>1278</v>
      </c>
      <c r="B2536" s="224" t="s">
        <v>5013</v>
      </c>
      <c r="C2536" s="225" t="s">
        <v>5014</v>
      </c>
      <c r="D2536" s="226" t="s">
        <v>11</v>
      </c>
      <c r="E2536" s="227">
        <v>33.22</v>
      </c>
      <c r="F2536" s="227"/>
      <c r="G2536" s="225" t="s">
        <v>5014</v>
      </c>
      <c r="H2536" s="235">
        <f t="shared" si="79"/>
        <v>33.22</v>
      </c>
      <c r="I2536" s="241"/>
      <c r="J2536" s="238" t="s">
        <v>1728</v>
      </c>
      <c r="K2536" s="238"/>
      <c r="L2536" s="238" t="s">
        <v>1726</v>
      </c>
    </row>
    <row r="2537" spans="1:12" s="215" customFormat="1" ht="12.75" hidden="1" customHeight="1" outlineLevel="1" x14ac:dyDescent="0.2">
      <c r="A2537" s="239" t="s">
        <v>1278</v>
      </c>
      <c r="B2537" s="228" t="s">
        <v>5015</v>
      </c>
      <c r="C2537" s="229" t="s">
        <v>5017</v>
      </c>
      <c r="D2537" s="230" t="s">
        <v>11</v>
      </c>
      <c r="E2537" s="231">
        <v>769.5</v>
      </c>
      <c r="F2537" s="231"/>
      <c r="G2537" s="229" t="s">
        <v>5016</v>
      </c>
      <c r="H2537" s="235">
        <f t="shared" si="79"/>
        <v>0</v>
      </c>
      <c r="I2537" s="241"/>
      <c r="J2537" s="238"/>
      <c r="K2537" s="238" t="s">
        <v>1725</v>
      </c>
      <c r="L2537" s="238"/>
    </row>
    <row r="2538" spans="1:12" s="215" customFormat="1" ht="12.75" hidden="1" customHeight="1" outlineLevel="1" x14ac:dyDescent="0.2">
      <c r="A2538" s="239" t="s">
        <v>1278</v>
      </c>
      <c r="B2538" s="216" t="s">
        <v>5018</v>
      </c>
      <c r="C2538" s="217" t="s">
        <v>2958</v>
      </c>
      <c r="D2538" s="218"/>
      <c r="E2538" s="219"/>
      <c r="F2538" s="219"/>
      <c r="G2538" s="225" t="s">
        <v>5017</v>
      </c>
      <c r="H2538" s="235">
        <f t="shared" si="79"/>
        <v>14403.02</v>
      </c>
      <c r="I2538" s="241" t="s">
        <v>1724</v>
      </c>
      <c r="J2538" s="238"/>
      <c r="L2538" s="238" t="s">
        <v>1726</v>
      </c>
    </row>
    <row r="2539" spans="1:12" s="215" customFormat="1" ht="12.75" hidden="1" customHeight="1" outlineLevel="1" x14ac:dyDescent="0.2">
      <c r="A2539" s="239" t="s">
        <v>1278</v>
      </c>
      <c r="B2539" s="224" t="s">
        <v>5019</v>
      </c>
      <c r="C2539" s="225" t="s">
        <v>5008</v>
      </c>
      <c r="D2539" s="226" t="s">
        <v>11</v>
      </c>
      <c r="E2539" s="227">
        <v>49.47</v>
      </c>
      <c r="F2539" s="227"/>
      <c r="G2539" s="229" t="s">
        <v>5023</v>
      </c>
      <c r="H2539" s="235">
        <f t="shared" si="79"/>
        <v>19.57</v>
      </c>
      <c r="I2539" s="241"/>
      <c r="J2539" s="481" t="s">
        <v>1728</v>
      </c>
      <c r="K2539" s="238"/>
      <c r="L2539" s="238" t="s">
        <v>1726</v>
      </c>
    </row>
    <row r="2540" spans="1:12" s="215" customFormat="1" ht="12.75" hidden="1" customHeight="1" outlineLevel="1" x14ac:dyDescent="0.2">
      <c r="A2540" s="239" t="s">
        <v>1278</v>
      </c>
      <c r="B2540" s="228" t="s">
        <v>5020</v>
      </c>
      <c r="C2540" s="229" t="s">
        <v>5017</v>
      </c>
      <c r="D2540" s="230" t="s">
        <v>11</v>
      </c>
      <c r="E2540" s="231">
        <v>1057.74</v>
      </c>
      <c r="F2540" s="231"/>
      <c r="G2540" s="225" t="s">
        <v>5024</v>
      </c>
      <c r="H2540" s="235">
        <f t="shared" si="79"/>
        <v>0.89</v>
      </c>
      <c r="I2540" s="241"/>
      <c r="J2540" s="481" t="s">
        <v>1728</v>
      </c>
      <c r="K2540" s="238"/>
      <c r="L2540" s="238" t="s">
        <v>1726</v>
      </c>
    </row>
    <row r="2541" spans="1:12" s="215" customFormat="1" ht="12.75" hidden="1" customHeight="1" outlineLevel="1" x14ac:dyDescent="0.2">
      <c r="A2541" s="239" t="s">
        <v>1278</v>
      </c>
      <c r="B2541" s="224" t="s">
        <v>5021</v>
      </c>
      <c r="C2541" s="225" t="s">
        <v>5023</v>
      </c>
      <c r="D2541" s="226" t="s">
        <v>11</v>
      </c>
      <c r="E2541" s="227">
        <v>19.57</v>
      </c>
      <c r="F2541" s="227"/>
      <c r="G2541" s="225"/>
      <c r="H2541" s="235">
        <f t="shared" si="79"/>
        <v>0</v>
      </c>
      <c r="I2541" s="241"/>
      <c r="J2541" s="479"/>
      <c r="K2541" s="238"/>
      <c r="L2541" s="238"/>
    </row>
    <row r="2542" spans="1:12" s="215" customFormat="1" ht="12.75" hidden="1" customHeight="1" outlineLevel="1" x14ac:dyDescent="0.2">
      <c r="A2542" s="239" t="s">
        <v>1278</v>
      </c>
      <c r="B2542" s="228" t="s">
        <v>5022</v>
      </c>
      <c r="C2542" s="229" t="s">
        <v>5024</v>
      </c>
      <c r="D2542" s="230" t="s">
        <v>11</v>
      </c>
      <c r="E2542" s="231">
        <v>0.89</v>
      </c>
      <c r="F2542" s="231"/>
      <c r="G2542" s="229"/>
      <c r="H2542" s="235">
        <f t="shared" si="79"/>
        <v>0</v>
      </c>
      <c r="I2542" s="241"/>
      <c r="J2542" s="479"/>
    </row>
    <row r="2543" spans="1:12" s="215" customFormat="1" ht="12.75" hidden="1" customHeight="1" outlineLevel="1" x14ac:dyDescent="0.2">
      <c r="A2543" s="239" t="s">
        <v>1279</v>
      </c>
      <c r="B2543" s="216" t="s">
        <v>5025</v>
      </c>
      <c r="C2543" s="217" t="s">
        <v>2960</v>
      </c>
      <c r="D2543" s="218"/>
      <c r="E2543" s="219"/>
      <c r="F2543" s="219"/>
      <c r="G2543" s="225"/>
      <c r="H2543" s="235">
        <f t="shared" si="79"/>
        <v>0</v>
      </c>
      <c r="I2543" s="242"/>
      <c r="J2543" s="479"/>
    </row>
    <row r="2544" spans="1:12" s="215" customFormat="1" ht="12.75" hidden="1" customHeight="1" outlineLevel="1" x14ac:dyDescent="0.2">
      <c r="A2544" s="239" t="s">
        <v>1279</v>
      </c>
      <c r="B2544" s="224" t="s">
        <v>5026</v>
      </c>
      <c r="C2544" s="225" t="s">
        <v>5027</v>
      </c>
      <c r="D2544" s="226" t="s">
        <v>11</v>
      </c>
      <c r="E2544" s="227">
        <v>46.46</v>
      </c>
      <c r="F2544" s="227"/>
      <c r="G2544" s="229"/>
      <c r="H2544" s="235">
        <f t="shared" si="79"/>
        <v>0</v>
      </c>
      <c r="I2544" s="242"/>
      <c r="J2544" s="479"/>
    </row>
    <row r="2545" spans="1:12" s="215" customFormat="1" ht="12.75" hidden="1" customHeight="1" outlineLevel="1" x14ac:dyDescent="0.2">
      <c r="A2545" s="239" t="s">
        <v>1279</v>
      </c>
      <c r="B2545" s="228" t="s">
        <v>5028</v>
      </c>
      <c r="C2545" s="229" t="s">
        <v>5008</v>
      </c>
      <c r="D2545" s="230" t="s">
        <v>11</v>
      </c>
      <c r="E2545" s="231">
        <v>45.1</v>
      </c>
      <c r="F2545" s="231"/>
      <c r="G2545" s="225"/>
      <c r="H2545" s="235">
        <f t="shared" si="79"/>
        <v>0</v>
      </c>
      <c r="I2545" s="242"/>
      <c r="J2545" s="479"/>
    </row>
    <row r="2546" spans="1:12" s="215" customFormat="1" ht="12.75" hidden="1" customHeight="1" outlineLevel="1" x14ac:dyDescent="0.2">
      <c r="A2546" s="239" t="s">
        <v>1279</v>
      </c>
      <c r="B2546" s="224" t="s">
        <v>5029</v>
      </c>
      <c r="C2546" s="225" t="s">
        <v>5017</v>
      </c>
      <c r="D2546" s="226" t="s">
        <v>11</v>
      </c>
      <c r="E2546" s="227">
        <v>939.01</v>
      </c>
      <c r="F2546" s="227"/>
      <c r="G2546" s="229"/>
      <c r="H2546" s="235">
        <f t="shared" si="79"/>
        <v>0</v>
      </c>
      <c r="I2546" s="242"/>
      <c r="J2546" s="479"/>
    </row>
    <row r="2547" spans="1:12" s="215" customFormat="1" ht="12.75" hidden="1" customHeight="1" outlineLevel="1" x14ac:dyDescent="0.2">
      <c r="A2547" s="239" t="s">
        <v>1279</v>
      </c>
      <c r="B2547" s="216" t="s">
        <v>5030</v>
      </c>
      <c r="C2547" s="217" t="s">
        <v>2961</v>
      </c>
      <c r="D2547" s="218"/>
      <c r="E2547" s="219"/>
      <c r="F2547" s="219"/>
      <c r="G2547" s="225"/>
      <c r="H2547" s="235">
        <f t="shared" si="79"/>
        <v>0</v>
      </c>
      <c r="I2547" s="242"/>
      <c r="J2547" s="479"/>
    </row>
    <row r="2548" spans="1:12" s="215" customFormat="1" ht="12.75" hidden="1" customHeight="1" outlineLevel="1" x14ac:dyDescent="0.2">
      <c r="A2548" s="239" t="s">
        <v>1279</v>
      </c>
      <c r="B2548" s="228" t="s">
        <v>5031</v>
      </c>
      <c r="C2548" s="229" t="s">
        <v>5008</v>
      </c>
      <c r="D2548" s="230" t="s">
        <v>11</v>
      </c>
      <c r="E2548" s="231">
        <v>45.1</v>
      </c>
      <c r="F2548" s="231"/>
      <c r="G2548" s="229"/>
      <c r="H2548" s="235">
        <f t="shared" si="79"/>
        <v>0</v>
      </c>
      <c r="I2548" s="242"/>
      <c r="J2548" s="479"/>
    </row>
    <row r="2549" spans="1:12" s="215" customFormat="1" ht="12.75" hidden="1" customHeight="1" outlineLevel="1" x14ac:dyDescent="0.2">
      <c r="A2549" s="239" t="s">
        <v>1279</v>
      </c>
      <c r="B2549" s="224" t="s">
        <v>5032</v>
      </c>
      <c r="C2549" s="225" t="s">
        <v>5017</v>
      </c>
      <c r="D2549" s="226" t="s">
        <v>11</v>
      </c>
      <c r="E2549" s="227">
        <v>1032.04</v>
      </c>
      <c r="F2549" s="227"/>
      <c r="G2549" s="198"/>
      <c r="H2549" s="198"/>
      <c r="I2549" s="242"/>
      <c r="J2549" s="479"/>
    </row>
    <row r="2550" spans="1:12" s="215" customFormat="1" ht="12.75" hidden="1" customHeight="1" outlineLevel="1" x14ac:dyDescent="0.2">
      <c r="A2550" s="239" t="s">
        <v>1279</v>
      </c>
      <c r="B2550" s="216" t="s">
        <v>5033</v>
      </c>
      <c r="C2550" s="217" t="s">
        <v>2962</v>
      </c>
      <c r="D2550" s="218"/>
      <c r="E2550" s="219"/>
      <c r="F2550" s="219"/>
      <c r="G2550" s="520" t="s">
        <v>1732</v>
      </c>
      <c r="H2550" s="234">
        <f>H2552+H2572</f>
        <v>15608.099999999999</v>
      </c>
      <c r="I2550" s="242"/>
      <c r="J2550" s="479"/>
    </row>
    <row r="2551" spans="1:12" s="215" customFormat="1" ht="12.75" hidden="1" customHeight="1" outlineLevel="1" x14ac:dyDescent="0.2">
      <c r="A2551" s="239" t="s">
        <v>1279</v>
      </c>
      <c r="B2551" s="228" t="s">
        <v>5034</v>
      </c>
      <c r="C2551" s="229" t="s">
        <v>5008</v>
      </c>
      <c r="D2551" s="230" t="s">
        <v>11</v>
      </c>
      <c r="E2551" s="231">
        <v>39.909999999999997</v>
      </c>
      <c r="F2551" s="231"/>
      <c r="G2551" s="232"/>
      <c r="H2551" s="232"/>
      <c r="I2551" s="242"/>
      <c r="J2551" s="479"/>
    </row>
    <row r="2552" spans="1:12" s="215" customFormat="1" ht="12.75" hidden="1" customHeight="1" outlineLevel="1" x14ac:dyDescent="0.2">
      <c r="A2552" s="239" t="s">
        <v>1279</v>
      </c>
      <c r="B2552" s="224" t="s">
        <v>5035</v>
      </c>
      <c r="C2552" s="225" t="s">
        <v>5017</v>
      </c>
      <c r="D2552" s="226" t="s">
        <v>11</v>
      </c>
      <c r="E2552" s="227">
        <v>785.68</v>
      </c>
      <c r="F2552" s="227"/>
      <c r="G2552" s="520" t="str">
        <f>$A$1</f>
        <v>EMBASSAMENTO</v>
      </c>
      <c r="H2552" s="234">
        <f>SUM(H2553:H2569)</f>
        <v>2219.5700000000002</v>
      </c>
      <c r="I2552" s="242"/>
      <c r="J2552" s="479"/>
    </row>
    <row r="2553" spans="1:12" s="215" customFormat="1" ht="12.75" hidden="1" customHeight="1" outlineLevel="1" x14ac:dyDescent="0.2">
      <c r="A2553" s="239" t="s">
        <v>1279</v>
      </c>
      <c r="B2553" s="216" t="s">
        <v>5036</v>
      </c>
      <c r="C2553" s="217" t="s">
        <v>2963</v>
      </c>
      <c r="D2553" s="218"/>
      <c r="E2553" s="219"/>
      <c r="F2553" s="219"/>
      <c r="G2553" s="225" t="s">
        <v>5027</v>
      </c>
      <c r="H2553" s="235">
        <f t="shared" ref="H2553:H2569" si="80">SUMIFS($E:$E,$C:$C,G2553,$A:$A,$G$22)</f>
        <v>0</v>
      </c>
      <c r="I2553" s="241"/>
      <c r="J2553" s="481" t="s">
        <v>1728</v>
      </c>
      <c r="K2553" s="238"/>
      <c r="L2553" s="238" t="s">
        <v>1726</v>
      </c>
    </row>
    <row r="2554" spans="1:12" s="215" customFormat="1" ht="12.75" hidden="1" customHeight="1" outlineLevel="1" x14ac:dyDescent="0.2">
      <c r="A2554" s="239" t="s">
        <v>1279</v>
      </c>
      <c r="B2554" s="228" t="s">
        <v>5037</v>
      </c>
      <c r="C2554" s="229" t="s">
        <v>5008</v>
      </c>
      <c r="D2554" s="230" t="s">
        <v>11</v>
      </c>
      <c r="E2554" s="231">
        <v>39.909999999999997</v>
      </c>
      <c r="F2554" s="231"/>
      <c r="G2554" s="229" t="s">
        <v>5008</v>
      </c>
      <c r="H2554" s="235">
        <f t="shared" si="80"/>
        <v>118.12</v>
      </c>
      <c r="I2554" s="241" t="s">
        <v>5085</v>
      </c>
      <c r="J2554" s="238"/>
      <c r="K2554" s="238"/>
      <c r="L2554" s="238"/>
    </row>
    <row r="2555" spans="1:12" s="215" customFormat="1" ht="12.75" hidden="1" customHeight="1" outlineLevel="1" x14ac:dyDescent="0.2">
      <c r="A2555" s="239" t="s">
        <v>1279</v>
      </c>
      <c r="B2555" s="224" t="s">
        <v>5038</v>
      </c>
      <c r="C2555" s="225" t="s">
        <v>5017</v>
      </c>
      <c r="D2555" s="226" t="s">
        <v>11</v>
      </c>
      <c r="E2555" s="227">
        <v>750.25</v>
      </c>
      <c r="F2555" s="227"/>
      <c r="G2555" s="225" t="s">
        <v>5010</v>
      </c>
      <c r="H2555" s="235">
        <f t="shared" si="80"/>
        <v>34.35</v>
      </c>
      <c r="I2555" s="241"/>
      <c r="J2555" s="238" t="s">
        <v>1728</v>
      </c>
      <c r="K2555" s="238"/>
      <c r="L2555" s="238" t="s">
        <v>1726</v>
      </c>
    </row>
    <row r="2556" spans="1:12" s="215" customFormat="1" ht="12.75" hidden="1" customHeight="1" outlineLevel="1" x14ac:dyDescent="0.2">
      <c r="A2556" s="239" t="s">
        <v>1279</v>
      </c>
      <c r="B2556" s="216" t="s">
        <v>5039</v>
      </c>
      <c r="C2556" s="217" t="s">
        <v>2964</v>
      </c>
      <c r="D2556" s="218"/>
      <c r="E2556" s="219"/>
      <c r="F2556" s="219"/>
      <c r="G2556" s="229" t="s">
        <v>5012</v>
      </c>
      <c r="H2556" s="235">
        <f t="shared" si="80"/>
        <v>186.18</v>
      </c>
      <c r="I2556" s="241"/>
      <c r="J2556" s="238" t="s">
        <v>1728</v>
      </c>
      <c r="K2556" s="238"/>
      <c r="L2556" s="238" t="s">
        <v>1726</v>
      </c>
    </row>
    <row r="2557" spans="1:12" s="215" customFormat="1" ht="12.75" hidden="1" customHeight="1" outlineLevel="1" x14ac:dyDescent="0.2">
      <c r="A2557" s="239" t="s">
        <v>1279</v>
      </c>
      <c r="B2557" s="228" t="s">
        <v>5040</v>
      </c>
      <c r="C2557" s="229" t="s">
        <v>5008</v>
      </c>
      <c r="D2557" s="230" t="s">
        <v>11</v>
      </c>
      <c r="E2557" s="231">
        <v>39.909999999999997</v>
      </c>
      <c r="F2557" s="231"/>
      <c r="G2557" s="225" t="s">
        <v>5014</v>
      </c>
      <c r="H2557" s="235">
        <f t="shared" si="80"/>
        <v>33.22</v>
      </c>
      <c r="I2557" s="241"/>
      <c r="J2557" s="238" t="s">
        <v>1728</v>
      </c>
      <c r="K2557" s="238"/>
      <c r="L2557" s="238" t="s">
        <v>1726</v>
      </c>
    </row>
    <row r="2558" spans="1:12" s="215" customFormat="1" ht="12.75" hidden="1" customHeight="1" outlineLevel="1" x14ac:dyDescent="0.2">
      <c r="A2558" s="239" t="s">
        <v>1279</v>
      </c>
      <c r="B2558" s="224" t="s">
        <v>5041</v>
      </c>
      <c r="C2558" s="225" t="s">
        <v>5017</v>
      </c>
      <c r="D2558" s="226" t="s">
        <v>11</v>
      </c>
      <c r="E2558" s="227">
        <v>780.22</v>
      </c>
      <c r="F2558" s="227"/>
      <c r="G2558" s="229" t="s">
        <v>5016</v>
      </c>
      <c r="H2558" s="235">
        <f t="shared" si="80"/>
        <v>0</v>
      </c>
      <c r="I2558" s="241"/>
      <c r="J2558" s="238"/>
      <c r="K2558" s="238" t="s">
        <v>1725</v>
      </c>
      <c r="L2558" s="238"/>
    </row>
    <row r="2559" spans="1:12" s="215" customFormat="1" ht="12.75" hidden="1" customHeight="1" outlineLevel="1" x14ac:dyDescent="0.2">
      <c r="A2559" s="239" t="s">
        <v>1279</v>
      </c>
      <c r="B2559" s="216" t="s">
        <v>5042</v>
      </c>
      <c r="C2559" s="217" t="s">
        <v>2965</v>
      </c>
      <c r="D2559" s="218"/>
      <c r="E2559" s="219"/>
      <c r="F2559" s="219"/>
      <c r="G2559" s="225" t="s">
        <v>5017</v>
      </c>
      <c r="H2559" s="235">
        <f t="shared" si="80"/>
        <v>1827.24</v>
      </c>
      <c r="I2559" s="241" t="s">
        <v>1724</v>
      </c>
      <c r="J2559" s="238"/>
      <c r="L2559" s="238" t="s">
        <v>1726</v>
      </c>
    </row>
    <row r="2560" spans="1:12" s="215" customFormat="1" ht="12.75" hidden="1" customHeight="1" outlineLevel="1" x14ac:dyDescent="0.2">
      <c r="A2560" s="239" t="s">
        <v>1279</v>
      </c>
      <c r="B2560" s="228" t="s">
        <v>5043</v>
      </c>
      <c r="C2560" s="229" t="s">
        <v>5008</v>
      </c>
      <c r="D2560" s="230" t="s">
        <v>11</v>
      </c>
      <c r="E2560" s="231">
        <v>39.909999999999997</v>
      </c>
      <c r="F2560" s="231"/>
      <c r="G2560" s="229" t="s">
        <v>5023</v>
      </c>
      <c r="H2560" s="235">
        <f t="shared" si="80"/>
        <v>19.57</v>
      </c>
      <c r="I2560" s="241"/>
      <c r="J2560" s="481" t="s">
        <v>1728</v>
      </c>
      <c r="K2560" s="238"/>
      <c r="L2560" s="238" t="s">
        <v>1726</v>
      </c>
    </row>
    <row r="2561" spans="1:12" s="215" customFormat="1" ht="12.75" hidden="1" customHeight="1" outlineLevel="1" x14ac:dyDescent="0.2">
      <c r="A2561" s="239" t="s">
        <v>1279</v>
      </c>
      <c r="B2561" s="224" t="s">
        <v>5044</v>
      </c>
      <c r="C2561" s="225" t="s">
        <v>5017</v>
      </c>
      <c r="D2561" s="226" t="s">
        <v>11</v>
      </c>
      <c r="E2561" s="227">
        <v>750.21</v>
      </c>
      <c r="F2561" s="227"/>
      <c r="G2561" s="225" t="s">
        <v>5024</v>
      </c>
      <c r="H2561" s="235">
        <f t="shared" si="80"/>
        <v>0.89</v>
      </c>
      <c r="I2561" s="241"/>
      <c r="J2561" s="481" t="s">
        <v>1728</v>
      </c>
      <c r="K2561" s="238"/>
      <c r="L2561" s="238" t="s">
        <v>1726</v>
      </c>
    </row>
    <row r="2562" spans="1:12" s="215" customFormat="1" ht="12.75" hidden="1" customHeight="1" outlineLevel="1" x14ac:dyDescent="0.2">
      <c r="A2562" s="239" t="s">
        <v>1279</v>
      </c>
      <c r="B2562" s="216" t="s">
        <v>5045</v>
      </c>
      <c r="C2562" s="217" t="s">
        <v>2966</v>
      </c>
      <c r="D2562" s="218"/>
      <c r="E2562" s="219"/>
      <c r="F2562" s="219"/>
      <c r="G2562" s="225"/>
      <c r="H2562" s="235">
        <f t="shared" si="80"/>
        <v>0</v>
      </c>
      <c r="I2562" s="242"/>
      <c r="J2562" s="479"/>
    </row>
    <row r="2563" spans="1:12" s="215" customFormat="1" ht="12.75" hidden="1" customHeight="1" outlineLevel="1" x14ac:dyDescent="0.2">
      <c r="A2563" s="239" t="s">
        <v>1279</v>
      </c>
      <c r="B2563" s="228" t="s">
        <v>5046</v>
      </c>
      <c r="C2563" s="229" t="s">
        <v>5008</v>
      </c>
      <c r="D2563" s="230" t="s">
        <v>11</v>
      </c>
      <c r="E2563" s="231">
        <v>39.909999999999997</v>
      </c>
      <c r="F2563" s="231"/>
      <c r="G2563" s="229"/>
      <c r="H2563" s="235">
        <f t="shared" si="80"/>
        <v>0</v>
      </c>
      <c r="I2563" s="242"/>
      <c r="J2563" s="479"/>
    </row>
    <row r="2564" spans="1:12" s="215" customFormat="1" ht="12.75" hidden="1" customHeight="1" outlineLevel="1" x14ac:dyDescent="0.2">
      <c r="A2564" s="239" t="s">
        <v>1279</v>
      </c>
      <c r="B2564" s="224" t="s">
        <v>5047</v>
      </c>
      <c r="C2564" s="225" t="s">
        <v>5017</v>
      </c>
      <c r="D2564" s="226" t="s">
        <v>11</v>
      </c>
      <c r="E2564" s="227">
        <v>780.19</v>
      </c>
      <c r="F2564" s="227"/>
      <c r="G2564" s="225"/>
      <c r="H2564" s="235">
        <f t="shared" si="80"/>
        <v>0</v>
      </c>
      <c r="I2564" s="242"/>
      <c r="J2564" s="479"/>
    </row>
    <row r="2565" spans="1:12" s="215" customFormat="1" ht="12.75" hidden="1" customHeight="1" outlineLevel="1" x14ac:dyDescent="0.2">
      <c r="A2565" s="239" t="s">
        <v>1279</v>
      </c>
      <c r="B2565" s="216" t="s">
        <v>5048</v>
      </c>
      <c r="C2565" s="217" t="s">
        <v>2967</v>
      </c>
      <c r="D2565" s="218"/>
      <c r="E2565" s="219"/>
      <c r="F2565" s="219"/>
      <c r="G2565" s="229"/>
      <c r="H2565" s="235">
        <f t="shared" si="80"/>
        <v>0</v>
      </c>
      <c r="I2565" s="242"/>
      <c r="J2565" s="479"/>
    </row>
    <row r="2566" spans="1:12" s="215" customFormat="1" ht="12.75" hidden="1" customHeight="1" outlineLevel="1" x14ac:dyDescent="0.2">
      <c r="A2566" s="239" t="s">
        <v>1279</v>
      </c>
      <c r="B2566" s="228" t="s">
        <v>5049</v>
      </c>
      <c r="C2566" s="229" t="s">
        <v>5008</v>
      </c>
      <c r="D2566" s="230" t="s">
        <v>11</v>
      </c>
      <c r="E2566" s="231">
        <v>39.909999999999997</v>
      </c>
      <c r="F2566" s="231"/>
      <c r="G2566" s="225"/>
      <c r="H2566" s="235">
        <f t="shared" si="80"/>
        <v>0</v>
      </c>
      <c r="I2566" s="242"/>
      <c r="J2566" s="479"/>
    </row>
    <row r="2567" spans="1:12" s="215" customFormat="1" ht="12.75" hidden="1" customHeight="1" outlineLevel="1" x14ac:dyDescent="0.2">
      <c r="A2567" s="239" t="s">
        <v>1279</v>
      </c>
      <c r="B2567" s="224" t="s">
        <v>5050</v>
      </c>
      <c r="C2567" s="225" t="s">
        <v>5017</v>
      </c>
      <c r="D2567" s="226" t="s">
        <v>11</v>
      </c>
      <c r="E2567" s="227">
        <v>750.21</v>
      </c>
      <c r="F2567" s="227"/>
      <c r="G2567" s="229"/>
      <c r="H2567" s="235">
        <f t="shared" si="80"/>
        <v>0</v>
      </c>
      <c r="I2567" s="242"/>
      <c r="J2567" s="479"/>
    </row>
    <row r="2568" spans="1:12" s="215" customFormat="1" ht="12.75" hidden="1" customHeight="1" outlineLevel="1" x14ac:dyDescent="0.2">
      <c r="A2568" s="239" t="s">
        <v>1279</v>
      </c>
      <c r="B2568" s="216" t="s">
        <v>5051</v>
      </c>
      <c r="C2568" s="217" t="s">
        <v>2968</v>
      </c>
      <c r="D2568" s="218"/>
      <c r="E2568" s="219"/>
      <c r="F2568" s="219"/>
      <c r="G2568" s="225"/>
      <c r="H2568" s="235">
        <f t="shared" si="80"/>
        <v>0</v>
      </c>
      <c r="I2568" s="242"/>
      <c r="J2568" s="479"/>
    </row>
    <row r="2569" spans="1:12" s="215" customFormat="1" ht="12.75" hidden="1" customHeight="1" outlineLevel="1" x14ac:dyDescent="0.2">
      <c r="A2569" s="239" t="s">
        <v>1279</v>
      </c>
      <c r="B2569" s="228" t="s">
        <v>5052</v>
      </c>
      <c r="C2569" s="229" t="s">
        <v>5008</v>
      </c>
      <c r="D2569" s="230" t="s">
        <v>11</v>
      </c>
      <c r="E2569" s="231">
        <v>39.909999999999997</v>
      </c>
      <c r="F2569" s="231"/>
      <c r="G2569" s="229"/>
      <c r="H2569" s="235">
        <f t="shared" si="80"/>
        <v>0</v>
      </c>
      <c r="I2569" s="242"/>
      <c r="J2569" s="479"/>
    </row>
    <row r="2570" spans="1:12" s="215" customFormat="1" ht="12.75" hidden="1" customHeight="1" outlineLevel="1" x14ac:dyDescent="0.2">
      <c r="A2570" s="239" t="s">
        <v>1279</v>
      </c>
      <c r="B2570" s="224" t="s">
        <v>5053</v>
      </c>
      <c r="C2570" s="225" t="s">
        <v>5017</v>
      </c>
      <c r="D2570" s="226" t="s">
        <v>11</v>
      </c>
      <c r="E2570" s="227">
        <v>780.19</v>
      </c>
      <c r="F2570" s="227"/>
      <c r="G2570" s="198"/>
      <c r="H2570" s="198"/>
      <c r="I2570" s="242"/>
      <c r="J2570" s="479"/>
    </row>
    <row r="2571" spans="1:12" s="215" customFormat="1" ht="12.75" hidden="1" customHeight="1" outlineLevel="1" x14ac:dyDescent="0.2">
      <c r="A2571" s="239" t="s">
        <v>1279</v>
      </c>
      <c r="B2571" s="216" t="s">
        <v>5054</v>
      </c>
      <c r="C2571" s="217" t="s">
        <v>2969</v>
      </c>
      <c r="D2571" s="218"/>
      <c r="E2571" s="219"/>
      <c r="F2571" s="219"/>
      <c r="G2571" s="198"/>
      <c r="H2571" s="198"/>
      <c r="I2571" s="242"/>
      <c r="J2571" s="479"/>
    </row>
    <row r="2572" spans="1:12" s="215" customFormat="1" ht="12.75" hidden="1" customHeight="1" outlineLevel="1" x14ac:dyDescent="0.2">
      <c r="A2572" s="239" t="s">
        <v>1279</v>
      </c>
      <c r="B2572" s="228" t="s">
        <v>5055</v>
      </c>
      <c r="C2572" s="229" t="s">
        <v>5008</v>
      </c>
      <c r="D2572" s="230" t="s">
        <v>11</v>
      </c>
      <c r="E2572" s="231">
        <v>39.909999999999997</v>
      </c>
      <c r="F2572" s="231"/>
      <c r="G2572" s="520" t="str">
        <f>$A$2</f>
        <v>TORRE</v>
      </c>
      <c r="H2572" s="234">
        <f>SUM(H2573:H2589)</f>
        <v>13388.529999999999</v>
      </c>
      <c r="I2572" s="242"/>
      <c r="J2572" s="479"/>
    </row>
    <row r="2573" spans="1:12" s="215" customFormat="1" ht="12.75" hidden="1" customHeight="1" outlineLevel="1" x14ac:dyDescent="0.2">
      <c r="A2573" s="239" t="s">
        <v>1279</v>
      </c>
      <c r="B2573" s="224" t="s">
        <v>5056</v>
      </c>
      <c r="C2573" s="225" t="s">
        <v>5017</v>
      </c>
      <c r="D2573" s="226" t="s">
        <v>11</v>
      </c>
      <c r="E2573" s="227">
        <v>750.21</v>
      </c>
      <c r="F2573" s="227"/>
      <c r="G2573" s="225" t="s">
        <v>5027</v>
      </c>
      <c r="H2573" s="235">
        <f t="shared" ref="H2573:H2589" si="81">SUMIFS($E:$E,$C:$C,G2573,$A:$A,$G$30)</f>
        <v>46.46</v>
      </c>
      <c r="I2573" s="241"/>
      <c r="J2573" s="481" t="s">
        <v>1728</v>
      </c>
      <c r="K2573" s="238"/>
      <c r="L2573" s="238" t="s">
        <v>1726</v>
      </c>
    </row>
    <row r="2574" spans="1:12" s="215" customFormat="1" ht="12.75" hidden="1" customHeight="1" outlineLevel="1" x14ac:dyDescent="0.2">
      <c r="A2574" s="239" t="s">
        <v>1279</v>
      </c>
      <c r="B2574" s="216" t="s">
        <v>5057</v>
      </c>
      <c r="C2574" s="217" t="s">
        <v>2970</v>
      </c>
      <c r="D2574" s="218"/>
      <c r="E2574" s="219"/>
      <c r="F2574" s="219"/>
      <c r="G2574" s="229" t="s">
        <v>5008</v>
      </c>
      <c r="H2574" s="235">
        <f t="shared" si="81"/>
        <v>766.28999999999985</v>
      </c>
      <c r="I2574" s="241" t="s">
        <v>5085</v>
      </c>
      <c r="J2574" s="238"/>
      <c r="K2574" s="238"/>
      <c r="L2574" s="238"/>
    </row>
    <row r="2575" spans="1:12" s="215" customFormat="1" ht="12.75" hidden="1" customHeight="1" outlineLevel="1" x14ac:dyDescent="0.2">
      <c r="A2575" s="239" t="s">
        <v>1279</v>
      </c>
      <c r="B2575" s="228" t="s">
        <v>5058</v>
      </c>
      <c r="C2575" s="229" t="s">
        <v>5008</v>
      </c>
      <c r="D2575" s="230" t="s">
        <v>11</v>
      </c>
      <c r="E2575" s="231">
        <v>39.909999999999997</v>
      </c>
      <c r="F2575" s="231"/>
      <c r="G2575" s="225" t="s">
        <v>5010</v>
      </c>
      <c r="H2575" s="235">
        <f t="shared" si="81"/>
        <v>0</v>
      </c>
      <c r="I2575" s="241"/>
      <c r="J2575" s="238" t="s">
        <v>1728</v>
      </c>
      <c r="K2575" s="238"/>
      <c r="L2575" s="238" t="s">
        <v>1726</v>
      </c>
    </row>
    <row r="2576" spans="1:12" s="215" customFormat="1" ht="12.75" hidden="1" customHeight="1" outlineLevel="1" x14ac:dyDescent="0.2">
      <c r="A2576" s="239" t="s">
        <v>1279</v>
      </c>
      <c r="B2576" s="224" t="s">
        <v>5059</v>
      </c>
      <c r="C2576" s="225" t="s">
        <v>5017</v>
      </c>
      <c r="D2576" s="226" t="s">
        <v>11</v>
      </c>
      <c r="E2576" s="227">
        <v>779.03</v>
      </c>
      <c r="F2576" s="227"/>
      <c r="G2576" s="229" t="s">
        <v>5012</v>
      </c>
      <c r="H2576" s="235">
        <f t="shared" si="81"/>
        <v>0</v>
      </c>
      <c r="I2576" s="241"/>
      <c r="J2576" s="238" t="s">
        <v>1728</v>
      </c>
      <c r="K2576" s="238"/>
      <c r="L2576" s="238" t="s">
        <v>1726</v>
      </c>
    </row>
    <row r="2577" spans="1:12" s="215" customFormat="1" ht="12.75" hidden="1" customHeight="1" outlineLevel="1" x14ac:dyDescent="0.2">
      <c r="A2577" s="239" t="s">
        <v>1279</v>
      </c>
      <c r="B2577" s="216" t="s">
        <v>5060</v>
      </c>
      <c r="C2577" s="217" t="s">
        <v>2971</v>
      </c>
      <c r="D2577" s="218"/>
      <c r="E2577" s="219"/>
      <c r="F2577" s="219"/>
      <c r="G2577" s="225" t="s">
        <v>5014</v>
      </c>
      <c r="H2577" s="235">
        <f t="shared" si="81"/>
        <v>0</v>
      </c>
      <c r="I2577" s="241"/>
      <c r="J2577" s="238" t="s">
        <v>1728</v>
      </c>
      <c r="K2577" s="238"/>
      <c r="L2577" s="238" t="s">
        <v>1726</v>
      </c>
    </row>
    <row r="2578" spans="1:12" s="215" customFormat="1" ht="12.75" hidden="1" customHeight="1" outlineLevel="1" x14ac:dyDescent="0.2">
      <c r="A2578" s="239" t="s">
        <v>1279</v>
      </c>
      <c r="B2578" s="228" t="s">
        <v>5061</v>
      </c>
      <c r="C2578" s="229" t="s">
        <v>5008</v>
      </c>
      <c r="D2578" s="230" t="s">
        <v>11</v>
      </c>
      <c r="E2578" s="231">
        <v>45.1</v>
      </c>
      <c r="F2578" s="231"/>
      <c r="G2578" s="229" t="s">
        <v>5016</v>
      </c>
      <c r="H2578" s="235">
        <f t="shared" si="81"/>
        <v>0</v>
      </c>
      <c r="I2578" s="241"/>
      <c r="J2578" s="238"/>
      <c r="K2578" s="238" t="s">
        <v>1725</v>
      </c>
      <c r="L2578" s="238"/>
    </row>
    <row r="2579" spans="1:12" s="215" customFormat="1" ht="12.75" hidden="1" customHeight="1" outlineLevel="1" x14ac:dyDescent="0.2">
      <c r="A2579" s="239" t="s">
        <v>1279</v>
      </c>
      <c r="B2579" s="224" t="s">
        <v>5062</v>
      </c>
      <c r="C2579" s="225" t="s">
        <v>5017</v>
      </c>
      <c r="D2579" s="226" t="s">
        <v>11</v>
      </c>
      <c r="E2579" s="227">
        <v>868.48</v>
      </c>
      <c r="F2579" s="227"/>
      <c r="G2579" s="225" t="s">
        <v>5017</v>
      </c>
      <c r="H2579" s="235">
        <f t="shared" si="81"/>
        <v>12575.779999999999</v>
      </c>
      <c r="I2579" s="241" t="s">
        <v>1724</v>
      </c>
      <c r="J2579" s="238"/>
      <c r="L2579" s="238" t="s">
        <v>1726</v>
      </c>
    </row>
    <row r="2580" spans="1:12" s="215" customFormat="1" ht="12.75" hidden="1" customHeight="1" outlineLevel="1" x14ac:dyDescent="0.2">
      <c r="A2580" s="239" t="s">
        <v>1279</v>
      </c>
      <c r="B2580" s="216" t="s">
        <v>5063</v>
      </c>
      <c r="C2580" s="217" t="s">
        <v>2972</v>
      </c>
      <c r="D2580" s="218"/>
      <c r="E2580" s="219"/>
      <c r="F2580" s="219"/>
      <c r="G2580" s="229" t="s">
        <v>5023</v>
      </c>
      <c r="H2580" s="235">
        <f t="shared" si="81"/>
        <v>0</v>
      </c>
      <c r="I2580" s="241"/>
      <c r="J2580" s="481" t="s">
        <v>1728</v>
      </c>
      <c r="K2580" s="238"/>
      <c r="L2580" s="238" t="s">
        <v>1726</v>
      </c>
    </row>
    <row r="2581" spans="1:12" s="215" customFormat="1" ht="12.75" hidden="1" customHeight="1" outlineLevel="1" x14ac:dyDescent="0.2">
      <c r="A2581" s="239" t="s">
        <v>1279</v>
      </c>
      <c r="B2581" s="228" t="s">
        <v>5064</v>
      </c>
      <c r="C2581" s="229" t="s">
        <v>5008</v>
      </c>
      <c r="D2581" s="230" t="s">
        <v>11</v>
      </c>
      <c r="E2581" s="231">
        <v>45.1</v>
      </c>
      <c r="F2581" s="231"/>
      <c r="G2581" s="225" t="s">
        <v>5024</v>
      </c>
      <c r="H2581" s="235">
        <f t="shared" si="81"/>
        <v>0</v>
      </c>
      <c r="I2581" s="241"/>
      <c r="J2581" s="481" t="s">
        <v>1728</v>
      </c>
      <c r="K2581" s="238"/>
      <c r="L2581" s="238" t="s">
        <v>1726</v>
      </c>
    </row>
    <row r="2582" spans="1:12" s="215" customFormat="1" ht="12.75" hidden="1" customHeight="1" outlineLevel="1" x14ac:dyDescent="0.2">
      <c r="A2582" s="239" t="s">
        <v>1279</v>
      </c>
      <c r="B2582" s="224" t="s">
        <v>5065</v>
      </c>
      <c r="C2582" s="225" t="s">
        <v>5017</v>
      </c>
      <c r="D2582" s="226" t="s">
        <v>11</v>
      </c>
      <c r="E2582" s="227">
        <v>485.86</v>
      </c>
      <c r="F2582" s="227"/>
      <c r="G2582" s="225"/>
      <c r="H2582" s="235">
        <f t="shared" si="81"/>
        <v>0</v>
      </c>
      <c r="I2582" s="242"/>
      <c r="J2582" s="479"/>
    </row>
    <row r="2583" spans="1:12" s="215" customFormat="1" ht="12.75" hidden="1" customHeight="1" outlineLevel="1" x14ac:dyDescent="0.2">
      <c r="A2583" s="239" t="s">
        <v>1279</v>
      </c>
      <c r="B2583" s="216" t="s">
        <v>5066</v>
      </c>
      <c r="C2583" s="217" t="s">
        <v>2973</v>
      </c>
      <c r="D2583" s="218"/>
      <c r="E2583" s="219"/>
      <c r="F2583" s="219"/>
      <c r="G2583" s="229"/>
      <c r="H2583" s="235">
        <f t="shared" si="81"/>
        <v>0</v>
      </c>
      <c r="I2583" s="242"/>
      <c r="J2583" s="479"/>
    </row>
    <row r="2584" spans="1:12" s="215" customFormat="1" ht="12.75" hidden="1" customHeight="1" outlineLevel="1" x14ac:dyDescent="0.2">
      <c r="A2584" s="239" t="s">
        <v>1279</v>
      </c>
      <c r="B2584" s="228" t="s">
        <v>5067</v>
      </c>
      <c r="C2584" s="229" t="s">
        <v>5008</v>
      </c>
      <c r="D2584" s="230" t="s">
        <v>11</v>
      </c>
      <c r="E2584" s="231">
        <v>39.909999999999997</v>
      </c>
      <c r="F2584" s="231"/>
      <c r="G2584" s="225"/>
      <c r="H2584" s="235">
        <f t="shared" si="81"/>
        <v>0</v>
      </c>
      <c r="I2584" s="242"/>
      <c r="J2584" s="479"/>
    </row>
    <row r="2585" spans="1:12" s="215" customFormat="1" ht="12.75" hidden="1" customHeight="1" outlineLevel="1" x14ac:dyDescent="0.2">
      <c r="A2585" s="239" t="s">
        <v>1279</v>
      </c>
      <c r="B2585" s="224" t="s">
        <v>5068</v>
      </c>
      <c r="C2585" s="225" t="s">
        <v>5017</v>
      </c>
      <c r="D2585" s="226" t="s">
        <v>11</v>
      </c>
      <c r="E2585" s="227">
        <v>434.81</v>
      </c>
      <c r="F2585" s="227"/>
      <c r="G2585" s="229"/>
      <c r="H2585" s="235">
        <f t="shared" si="81"/>
        <v>0</v>
      </c>
      <c r="I2585" s="242"/>
      <c r="J2585" s="479"/>
    </row>
    <row r="2586" spans="1:12" s="215" customFormat="1" ht="12.75" hidden="1" customHeight="1" outlineLevel="1" x14ac:dyDescent="0.2">
      <c r="A2586" s="239" t="s">
        <v>1279</v>
      </c>
      <c r="B2586" s="216" t="s">
        <v>5069</v>
      </c>
      <c r="C2586" s="217" t="s">
        <v>2974</v>
      </c>
      <c r="D2586" s="218"/>
      <c r="E2586" s="219"/>
      <c r="F2586" s="219"/>
      <c r="G2586" s="225"/>
      <c r="H2586" s="235">
        <f t="shared" si="81"/>
        <v>0</v>
      </c>
      <c r="I2586" s="242"/>
      <c r="J2586" s="479"/>
    </row>
    <row r="2587" spans="1:12" s="215" customFormat="1" ht="12.75" hidden="1" customHeight="1" outlineLevel="1" x14ac:dyDescent="0.2">
      <c r="A2587" s="239" t="s">
        <v>1279</v>
      </c>
      <c r="B2587" s="228" t="s">
        <v>5070</v>
      </c>
      <c r="C2587" s="229" t="s">
        <v>5008</v>
      </c>
      <c r="D2587" s="230" t="s">
        <v>11</v>
      </c>
      <c r="E2587" s="231">
        <v>39.909999999999997</v>
      </c>
      <c r="F2587" s="231"/>
      <c r="G2587" s="229"/>
      <c r="H2587" s="235">
        <f t="shared" si="81"/>
        <v>0</v>
      </c>
      <c r="I2587" s="242"/>
      <c r="J2587" s="479"/>
    </row>
    <row r="2588" spans="1:12" s="215" customFormat="1" ht="12.75" hidden="1" customHeight="1" outlineLevel="1" x14ac:dyDescent="0.2">
      <c r="A2588" s="239" t="s">
        <v>1279</v>
      </c>
      <c r="B2588" s="224" t="s">
        <v>5071</v>
      </c>
      <c r="C2588" s="225" t="s">
        <v>5017</v>
      </c>
      <c r="D2588" s="226" t="s">
        <v>11</v>
      </c>
      <c r="E2588" s="227">
        <v>397.55</v>
      </c>
      <c r="F2588" s="227"/>
      <c r="G2588" s="225"/>
      <c r="H2588" s="235">
        <f t="shared" si="81"/>
        <v>0</v>
      </c>
      <c r="I2588" s="242"/>
      <c r="J2588" s="479"/>
    </row>
    <row r="2589" spans="1:12" s="215" customFormat="1" ht="12.75" hidden="1" customHeight="1" outlineLevel="1" x14ac:dyDescent="0.2">
      <c r="A2589" s="239" t="s">
        <v>1279</v>
      </c>
      <c r="B2589" s="216" t="s">
        <v>5072</v>
      </c>
      <c r="C2589" s="217" t="s">
        <v>2975</v>
      </c>
      <c r="D2589" s="218"/>
      <c r="E2589" s="219"/>
      <c r="F2589" s="219"/>
      <c r="G2589" s="229"/>
      <c r="H2589" s="235">
        <f t="shared" si="81"/>
        <v>0</v>
      </c>
      <c r="I2589" s="242"/>
      <c r="J2589" s="479"/>
    </row>
    <row r="2590" spans="1:12" s="215" customFormat="1" ht="12.75" hidden="1" customHeight="1" outlineLevel="1" x14ac:dyDescent="0.2">
      <c r="A2590" s="239" t="s">
        <v>1279</v>
      </c>
      <c r="B2590" s="228" t="s">
        <v>5073</v>
      </c>
      <c r="C2590" s="229" t="s">
        <v>5008</v>
      </c>
      <c r="D2590" s="230" t="s">
        <v>11</v>
      </c>
      <c r="E2590" s="231">
        <v>39.909999999999997</v>
      </c>
      <c r="F2590" s="231"/>
      <c r="I2590" s="242"/>
      <c r="J2590" s="479"/>
    </row>
    <row r="2591" spans="1:12" s="215" customFormat="1" ht="12.75" hidden="1" customHeight="1" outlineLevel="1" x14ac:dyDescent="0.2">
      <c r="A2591" s="239" t="s">
        <v>1279</v>
      </c>
      <c r="B2591" s="224" t="s">
        <v>5074</v>
      </c>
      <c r="C2591" s="225" t="s">
        <v>5017</v>
      </c>
      <c r="D2591" s="226" t="s">
        <v>11</v>
      </c>
      <c r="E2591" s="227">
        <v>441.71</v>
      </c>
      <c r="F2591" s="227"/>
      <c r="I2591" s="242"/>
      <c r="J2591" s="479"/>
    </row>
    <row r="2592" spans="1:12" s="215" customFormat="1" ht="12.75" hidden="1" customHeight="1" outlineLevel="1" x14ac:dyDescent="0.2">
      <c r="A2592" s="239" t="s">
        <v>1279</v>
      </c>
      <c r="B2592" s="216" t="s">
        <v>5075</v>
      </c>
      <c r="C2592" s="217" t="s">
        <v>2976</v>
      </c>
      <c r="D2592" s="218"/>
      <c r="E2592" s="219"/>
      <c r="F2592" s="219"/>
      <c r="I2592" s="242"/>
      <c r="J2592" s="479"/>
    </row>
    <row r="2593" spans="1:13" s="215" customFormat="1" ht="12.75" hidden="1" customHeight="1" outlineLevel="1" x14ac:dyDescent="0.2">
      <c r="A2593" s="239" t="s">
        <v>1279</v>
      </c>
      <c r="B2593" s="228" t="s">
        <v>5076</v>
      </c>
      <c r="C2593" s="229" t="s">
        <v>5008</v>
      </c>
      <c r="D2593" s="230" t="s">
        <v>11</v>
      </c>
      <c r="E2593" s="231">
        <v>45.1</v>
      </c>
      <c r="F2593" s="231"/>
      <c r="I2593" s="242"/>
      <c r="J2593" s="479"/>
    </row>
    <row r="2594" spans="1:13" s="215" customFormat="1" ht="12.75" hidden="1" customHeight="1" outlineLevel="1" x14ac:dyDescent="0.2">
      <c r="A2594" s="239" t="s">
        <v>1279</v>
      </c>
      <c r="B2594" s="224" t="s">
        <v>5077</v>
      </c>
      <c r="C2594" s="225" t="s">
        <v>5017</v>
      </c>
      <c r="D2594" s="226" t="s">
        <v>11</v>
      </c>
      <c r="E2594" s="227">
        <v>457.95</v>
      </c>
      <c r="F2594" s="227"/>
      <c r="I2594" s="242"/>
      <c r="J2594" s="479"/>
    </row>
    <row r="2595" spans="1:13" s="215" customFormat="1" ht="12.75" hidden="1" customHeight="1" outlineLevel="1" x14ac:dyDescent="0.2">
      <c r="A2595" s="239" t="s">
        <v>1279</v>
      </c>
      <c r="B2595" s="216" t="s">
        <v>5078</v>
      </c>
      <c r="C2595" s="217" t="s">
        <v>2978</v>
      </c>
      <c r="D2595" s="218"/>
      <c r="E2595" s="219"/>
      <c r="F2595" s="219"/>
      <c r="I2595" s="242"/>
      <c r="J2595" s="479"/>
    </row>
    <row r="2596" spans="1:13" s="215" customFormat="1" ht="12.75" hidden="1" customHeight="1" outlineLevel="1" x14ac:dyDescent="0.2">
      <c r="A2596" s="239" t="s">
        <v>1279</v>
      </c>
      <c r="B2596" s="228" t="s">
        <v>5079</v>
      </c>
      <c r="C2596" s="229" t="s">
        <v>5008</v>
      </c>
      <c r="D2596" s="230" t="s">
        <v>11</v>
      </c>
      <c r="E2596" s="231">
        <v>61.87</v>
      </c>
      <c r="F2596" s="231"/>
      <c r="I2596" s="242"/>
      <c r="J2596" s="479"/>
    </row>
    <row r="2597" spans="1:13" s="215" customFormat="1" ht="12.75" hidden="1" customHeight="1" outlineLevel="1" x14ac:dyDescent="0.2">
      <c r="A2597" s="239" t="s">
        <v>1279</v>
      </c>
      <c r="B2597" s="224" t="s">
        <v>5080</v>
      </c>
      <c r="C2597" s="225" t="s">
        <v>5017</v>
      </c>
      <c r="D2597" s="226" t="s">
        <v>11</v>
      </c>
      <c r="E2597" s="227">
        <v>226.52</v>
      </c>
      <c r="F2597" s="227"/>
      <c r="J2597" s="479"/>
    </row>
    <row r="2598" spans="1:13" s="215" customFormat="1" ht="12.75" hidden="1" customHeight="1" outlineLevel="1" x14ac:dyDescent="0.2">
      <c r="A2598" s="239" t="s">
        <v>1279</v>
      </c>
      <c r="B2598" s="216" t="s">
        <v>5081</v>
      </c>
      <c r="C2598" s="217" t="s">
        <v>2980</v>
      </c>
      <c r="D2598" s="218"/>
      <c r="E2598" s="219"/>
      <c r="F2598" s="219"/>
      <c r="J2598" s="479"/>
    </row>
    <row r="2599" spans="1:13" s="215" customFormat="1" ht="12.75" hidden="1" customHeight="1" outlineLevel="1" x14ac:dyDescent="0.2">
      <c r="A2599" s="239" t="s">
        <v>1279</v>
      </c>
      <c r="B2599" s="228" t="s">
        <v>5082</v>
      </c>
      <c r="C2599" s="229" t="s">
        <v>5017</v>
      </c>
      <c r="D2599" s="230" t="s">
        <v>11</v>
      </c>
      <c r="E2599" s="231">
        <v>231.14</v>
      </c>
      <c r="F2599" s="231"/>
      <c r="J2599" s="479"/>
    </row>
    <row r="2600" spans="1:13" s="215" customFormat="1" ht="12.75" hidden="1" customHeight="1" outlineLevel="1" x14ac:dyDescent="0.2">
      <c r="A2600" s="239" t="s">
        <v>1279</v>
      </c>
      <c r="B2600" s="216" t="s">
        <v>5083</v>
      </c>
      <c r="C2600" s="217" t="s">
        <v>2983</v>
      </c>
      <c r="D2600" s="218"/>
      <c r="E2600" s="219"/>
      <c r="F2600" s="219"/>
      <c r="J2600" s="479"/>
    </row>
    <row r="2601" spans="1:13" s="215" customFormat="1" ht="12.75" hidden="1" customHeight="1" outlineLevel="1" x14ac:dyDescent="0.2">
      <c r="A2601" s="239" t="s">
        <v>1279</v>
      </c>
      <c r="B2601" s="224" t="s">
        <v>5084</v>
      </c>
      <c r="C2601" s="225" t="s">
        <v>5017</v>
      </c>
      <c r="D2601" s="226" t="s">
        <v>11</v>
      </c>
      <c r="E2601" s="227">
        <v>154.52000000000001</v>
      </c>
      <c r="F2601" s="227"/>
      <c r="J2601" s="479"/>
    </row>
    <row r="2602" spans="1:13" s="215" customFormat="1" collapsed="1" x14ac:dyDescent="0.2">
      <c r="B2602" s="515" t="s">
        <v>1707</v>
      </c>
      <c r="C2602" s="516" t="s">
        <v>1912</v>
      </c>
      <c r="D2602" s="549"/>
      <c r="E2602" s="520">
        <f>SUM(E2604:E2943)</f>
        <v>10851.490000000011</v>
      </c>
      <c r="F2602" s="520"/>
      <c r="G2602" s="516"/>
      <c r="H2602" s="234">
        <f>SUM(H2603:H2691)</f>
        <v>10851.490000000003</v>
      </c>
      <c r="I2602" s="242" t="str">
        <f>IF(H2602=E2602,"OKAY","REVER")</f>
        <v>OKAY</v>
      </c>
      <c r="J2602" s="405"/>
      <c r="K2602" s="198"/>
      <c r="L2602" s="198"/>
    </row>
    <row r="2603" spans="1:13" s="215" customFormat="1" ht="38.25" hidden="1" customHeight="1" outlineLevel="1" x14ac:dyDescent="0.2">
      <c r="A2603" s="239" t="s">
        <v>1278</v>
      </c>
      <c r="B2603" s="216" t="s">
        <v>1708</v>
      </c>
      <c r="C2603" s="217" t="s">
        <v>2955</v>
      </c>
      <c r="D2603" s="218"/>
      <c r="E2603" s="219"/>
      <c r="F2603" s="219"/>
      <c r="G2603" s="229" t="s">
        <v>5118</v>
      </c>
      <c r="H2603" s="235">
        <f t="shared" ref="H2603:H2634" si="82">SUMIF($C:$C,G2603,$E:$E)</f>
        <v>2.4300000000000002</v>
      </c>
      <c r="I2603" s="37" t="str">
        <f>TRIM(LEFT(G2603,FIND("-",G2603)-1))</f>
        <v>TEXTURA ROLADA EM TETO</v>
      </c>
      <c r="J2603" s="552"/>
      <c r="K2603" s="198"/>
      <c r="L2603" s="198"/>
    </row>
    <row r="2604" spans="1:13" s="215" customFormat="1" ht="38.25" hidden="1" customHeight="1" outlineLevel="1" x14ac:dyDescent="0.2">
      <c r="A2604" s="239" t="s">
        <v>1278</v>
      </c>
      <c r="B2604" s="228" t="s">
        <v>1709</v>
      </c>
      <c r="C2604" s="229" t="s">
        <v>5118</v>
      </c>
      <c r="D2604" s="230" t="s">
        <v>11</v>
      </c>
      <c r="E2604" s="231">
        <v>2.4300000000000002</v>
      </c>
      <c r="F2604" s="231"/>
      <c r="G2604" s="225" t="s">
        <v>5216</v>
      </c>
      <c r="H2604" s="235">
        <f t="shared" si="82"/>
        <v>11.09</v>
      </c>
      <c r="I2604" s="37" t="str">
        <f t="shared" ref="I2604:I2667" si="83">TRIM(LEFT(G2604,FIND("-",G2604)-1))</f>
        <v>MASSA EM TETO</v>
      </c>
      <c r="J2604" s="553"/>
      <c r="K2604" s="37" t="s">
        <v>5539</v>
      </c>
      <c r="L2604" s="37" t="s">
        <v>5538</v>
      </c>
      <c r="M2604" s="37" t="s">
        <v>5540</v>
      </c>
    </row>
    <row r="2605" spans="1:13" s="215" customFormat="1" ht="38.25" hidden="1" customHeight="1" outlineLevel="1" x14ac:dyDescent="0.2">
      <c r="A2605" s="239" t="s">
        <v>1278</v>
      </c>
      <c r="B2605" s="224" t="s">
        <v>5119</v>
      </c>
      <c r="C2605" s="225" t="s">
        <v>5120</v>
      </c>
      <c r="D2605" s="226" t="s">
        <v>11</v>
      </c>
      <c r="E2605" s="227">
        <v>5.84</v>
      </c>
      <c r="F2605" s="227"/>
      <c r="G2605" s="229" t="s">
        <v>5218</v>
      </c>
      <c r="H2605" s="235">
        <f t="shared" si="82"/>
        <v>11.09</v>
      </c>
      <c r="I2605" s="37" t="str">
        <f t="shared" si="83"/>
        <v>PINTURA EM TETO</v>
      </c>
      <c r="J2605" s="553"/>
      <c r="K2605" s="235">
        <f>SUMIF($I$2603:$I$2691,K$2604,$H$2603:$H$2691)</f>
        <v>204.21</v>
      </c>
      <c r="L2605" s="235">
        <f>SUMIF($I$2603:$I$2691,L$2604,$H$2603:$H$2691)</f>
        <v>5277.4400000000005</v>
      </c>
      <c r="M2605" s="235">
        <f>SUMIF($I$2603:$I$2691,M$2604,$H$2603:$H$2691)</f>
        <v>5369.84</v>
      </c>
    </row>
    <row r="2606" spans="1:13" s="215" customFormat="1" ht="25.5" hidden="1" customHeight="1" outlineLevel="1" x14ac:dyDescent="0.2">
      <c r="A2606" s="239" t="s">
        <v>1278</v>
      </c>
      <c r="B2606" s="228" t="s">
        <v>5121</v>
      </c>
      <c r="C2606" s="229" t="s">
        <v>5122</v>
      </c>
      <c r="D2606" s="230" t="s">
        <v>11</v>
      </c>
      <c r="E2606" s="231">
        <v>5.84</v>
      </c>
      <c r="F2606" s="231"/>
      <c r="G2606" s="225" t="s">
        <v>5120</v>
      </c>
      <c r="H2606" s="235">
        <f t="shared" si="82"/>
        <v>5.84</v>
      </c>
      <c r="I2606" s="37" t="str">
        <f t="shared" si="83"/>
        <v>MASSA EM TETO</v>
      </c>
      <c r="J2606" s="553"/>
      <c r="K2606" s="198"/>
      <c r="L2606" s="198"/>
    </row>
    <row r="2607" spans="1:13" s="215" customFormat="1" ht="38.25" hidden="1" customHeight="1" outlineLevel="1" x14ac:dyDescent="0.2">
      <c r="A2607" s="239" t="s">
        <v>1278</v>
      </c>
      <c r="B2607" s="224" t="s">
        <v>5123</v>
      </c>
      <c r="C2607" s="225" t="s">
        <v>5124</v>
      </c>
      <c r="D2607" s="226" t="s">
        <v>11</v>
      </c>
      <c r="E2607" s="227">
        <v>92.4</v>
      </c>
      <c r="F2607" s="227"/>
      <c r="G2607" s="229" t="s">
        <v>5122</v>
      </c>
      <c r="H2607" s="235">
        <f t="shared" si="82"/>
        <v>5.84</v>
      </c>
      <c r="I2607" s="37" t="str">
        <f t="shared" si="83"/>
        <v>PINTURA EM TETO</v>
      </c>
      <c r="J2607" s="553"/>
      <c r="K2607" s="198"/>
      <c r="L2607" s="198"/>
    </row>
    <row r="2608" spans="1:13" s="215" customFormat="1" ht="25.5" hidden="1" customHeight="1" outlineLevel="1" x14ac:dyDescent="0.2">
      <c r="A2608" s="239" t="s">
        <v>1278</v>
      </c>
      <c r="B2608" s="228" t="s">
        <v>5125</v>
      </c>
      <c r="C2608" s="229" t="s">
        <v>5126</v>
      </c>
      <c r="D2608" s="230" t="s">
        <v>11</v>
      </c>
      <c r="E2608" s="231">
        <v>4.17</v>
      </c>
      <c r="F2608" s="231"/>
      <c r="G2608" s="225" t="s">
        <v>5515</v>
      </c>
      <c r="H2608" s="235">
        <f t="shared" si="82"/>
        <v>16.36</v>
      </c>
      <c r="I2608" s="37" t="str">
        <f t="shared" si="83"/>
        <v>MASSA EM TETO</v>
      </c>
      <c r="J2608" s="553"/>
      <c r="K2608" s="198"/>
      <c r="L2608" s="198"/>
      <c r="M2608" s="238"/>
    </row>
    <row r="2609" spans="1:13" s="215" customFormat="1" ht="25.5" hidden="1" customHeight="1" outlineLevel="1" x14ac:dyDescent="0.2">
      <c r="A2609" s="239" t="s">
        <v>1278</v>
      </c>
      <c r="B2609" s="224" t="s">
        <v>5127</v>
      </c>
      <c r="C2609" s="225" t="s">
        <v>5128</v>
      </c>
      <c r="D2609" s="226" t="s">
        <v>11</v>
      </c>
      <c r="E2609" s="227">
        <v>4.17</v>
      </c>
      <c r="F2609" s="227"/>
      <c r="G2609" s="229" t="s">
        <v>5517</v>
      </c>
      <c r="H2609" s="235">
        <f t="shared" si="82"/>
        <v>16.36</v>
      </c>
      <c r="I2609" s="37" t="str">
        <f t="shared" si="83"/>
        <v>PINTURA EM TETO</v>
      </c>
      <c r="J2609" s="553"/>
      <c r="K2609" s="198"/>
      <c r="L2609" s="198"/>
      <c r="M2609" s="238"/>
    </row>
    <row r="2610" spans="1:13" s="215" customFormat="1" ht="38.25" hidden="1" customHeight="1" outlineLevel="1" x14ac:dyDescent="0.2">
      <c r="A2610" s="239" t="s">
        <v>1278</v>
      </c>
      <c r="B2610" s="228" t="s">
        <v>5129</v>
      </c>
      <c r="C2610" s="229" t="s">
        <v>5130</v>
      </c>
      <c r="D2610" s="230" t="s">
        <v>11</v>
      </c>
      <c r="E2610" s="231">
        <v>5.55</v>
      </c>
      <c r="F2610" s="231"/>
      <c r="G2610" s="225" t="s">
        <v>5220</v>
      </c>
      <c r="H2610" s="235">
        <f t="shared" si="82"/>
        <v>25.29</v>
      </c>
      <c r="I2610" s="37" t="str">
        <f t="shared" si="83"/>
        <v>MASSA EM TETO</v>
      </c>
      <c r="J2610" s="553"/>
      <c r="K2610" s="198"/>
      <c r="L2610" s="198"/>
    </row>
    <row r="2611" spans="1:13" s="215" customFormat="1" ht="25.5" hidden="1" customHeight="1" outlineLevel="1" x14ac:dyDescent="0.2">
      <c r="A2611" s="239" t="s">
        <v>1278</v>
      </c>
      <c r="B2611" s="224" t="s">
        <v>5131</v>
      </c>
      <c r="C2611" s="225" t="s">
        <v>5132</v>
      </c>
      <c r="D2611" s="226" t="s">
        <v>11</v>
      </c>
      <c r="E2611" s="227">
        <v>5.55</v>
      </c>
      <c r="F2611" s="227"/>
      <c r="G2611" s="229" t="s">
        <v>5222</v>
      </c>
      <c r="H2611" s="235">
        <f t="shared" si="82"/>
        <v>25.29</v>
      </c>
      <c r="I2611" s="37" t="str">
        <f t="shared" si="83"/>
        <v>PINTURA EM TETO</v>
      </c>
      <c r="J2611" s="553"/>
      <c r="K2611" s="198"/>
      <c r="L2611" s="198"/>
    </row>
    <row r="2612" spans="1:13" s="215" customFormat="1" ht="25.5" hidden="1" customHeight="1" outlineLevel="1" x14ac:dyDescent="0.2">
      <c r="A2612" s="239" t="s">
        <v>1278</v>
      </c>
      <c r="B2612" s="228" t="s">
        <v>5133</v>
      </c>
      <c r="C2612" s="229" t="s">
        <v>5134</v>
      </c>
      <c r="D2612" s="230" t="s">
        <v>11</v>
      </c>
      <c r="E2612" s="231">
        <v>6.92</v>
      </c>
      <c r="F2612" s="231"/>
      <c r="G2612" s="225" t="s">
        <v>5537</v>
      </c>
      <c r="H2612" s="235">
        <f t="shared" si="82"/>
        <v>83.73</v>
      </c>
      <c r="I2612" s="37" t="str">
        <f t="shared" si="83"/>
        <v>TEXTURA ROLADA EM TETO</v>
      </c>
      <c r="J2612" s="553"/>
      <c r="K2612" s="198"/>
      <c r="L2612" s="198"/>
    </row>
    <row r="2613" spans="1:13" s="215" customFormat="1" ht="25.5" hidden="1" customHeight="1" outlineLevel="1" x14ac:dyDescent="0.2">
      <c r="A2613" s="239" t="s">
        <v>1278</v>
      </c>
      <c r="B2613" s="224" t="s">
        <v>5135</v>
      </c>
      <c r="C2613" s="225" t="s">
        <v>5136</v>
      </c>
      <c r="D2613" s="226" t="s">
        <v>11</v>
      </c>
      <c r="E2613" s="227">
        <v>6.92</v>
      </c>
      <c r="F2613" s="227"/>
      <c r="G2613" s="229" t="s">
        <v>5224</v>
      </c>
      <c r="H2613" s="235">
        <f t="shared" si="82"/>
        <v>404.57000000000005</v>
      </c>
      <c r="I2613" s="37" t="str">
        <f t="shared" si="83"/>
        <v>MASSA EM TETO</v>
      </c>
      <c r="J2613" s="553"/>
      <c r="K2613" s="198"/>
      <c r="L2613" s="198"/>
    </row>
    <row r="2614" spans="1:13" s="215" customFormat="1" ht="25.5" hidden="1" customHeight="1" outlineLevel="1" x14ac:dyDescent="0.2">
      <c r="A2614" s="239" t="s">
        <v>1278</v>
      </c>
      <c r="B2614" s="228" t="s">
        <v>5137</v>
      </c>
      <c r="C2614" s="229" t="s">
        <v>5138</v>
      </c>
      <c r="D2614" s="230" t="s">
        <v>11</v>
      </c>
      <c r="E2614" s="231">
        <v>34.020000000000003</v>
      </c>
      <c r="F2614" s="231"/>
      <c r="G2614" s="225" t="s">
        <v>5226</v>
      </c>
      <c r="H2614" s="235">
        <f t="shared" si="82"/>
        <v>404.57000000000005</v>
      </c>
      <c r="I2614" s="37" t="str">
        <f t="shared" si="83"/>
        <v>PINTURA EM TETO</v>
      </c>
      <c r="J2614" s="553"/>
      <c r="K2614" s="198"/>
      <c r="L2614" s="198"/>
    </row>
    <row r="2615" spans="1:13" s="215" customFormat="1" ht="25.5" hidden="1" customHeight="1" outlineLevel="1" x14ac:dyDescent="0.2">
      <c r="A2615" s="239" t="s">
        <v>1278</v>
      </c>
      <c r="B2615" s="224" t="s">
        <v>5139</v>
      </c>
      <c r="C2615" s="225" t="s">
        <v>5140</v>
      </c>
      <c r="D2615" s="226" t="s">
        <v>11</v>
      </c>
      <c r="E2615" s="227">
        <v>34.020000000000003</v>
      </c>
      <c r="F2615" s="227"/>
      <c r="G2615" s="229" t="s">
        <v>5261</v>
      </c>
      <c r="H2615" s="235">
        <f t="shared" si="82"/>
        <v>4.68</v>
      </c>
      <c r="I2615" s="37" t="str">
        <f t="shared" si="83"/>
        <v>MASSA EM TETO</v>
      </c>
      <c r="J2615" s="553"/>
      <c r="K2615" s="198"/>
      <c r="L2615" s="198"/>
    </row>
    <row r="2616" spans="1:13" s="215" customFormat="1" ht="25.5" hidden="1" customHeight="1" outlineLevel="1" x14ac:dyDescent="0.2">
      <c r="A2616" s="239" t="s">
        <v>1278</v>
      </c>
      <c r="B2616" s="228" t="s">
        <v>5141</v>
      </c>
      <c r="C2616" s="229" t="s">
        <v>5142</v>
      </c>
      <c r="D2616" s="230" t="s">
        <v>11</v>
      </c>
      <c r="E2616" s="231">
        <v>10.59</v>
      </c>
      <c r="F2616" s="231"/>
      <c r="G2616" s="225" t="s">
        <v>5263</v>
      </c>
      <c r="H2616" s="235">
        <f t="shared" si="82"/>
        <v>4.68</v>
      </c>
      <c r="I2616" s="37" t="str">
        <f t="shared" si="83"/>
        <v>PINTURA EM TETO</v>
      </c>
      <c r="J2616" s="553"/>
      <c r="K2616" s="198"/>
      <c r="L2616" s="198"/>
    </row>
    <row r="2617" spans="1:13" s="215" customFormat="1" ht="25.5" hidden="1" customHeight="1" outlineLevel="1" x14ac:dyDescent="0.2">
      <c r="A2617" s="239" t="s">
        <v>1278</v>
      </c>
      <c r="B2617" s="224" t="s">
        <v>5143</v>
      </c>
      <c r="C2617" s="225" t="s">
        <v>5144</v>
      </c>
      <c r="D2617" s="226" t="s">
        <v>11</v>
      </c>
      <c r="E2617" s="227">
        <v>10.59</v>
      </c>
      <c r="F2617" s="227"/>
      <c r="G2617" s="229" t="s">
        <v>5161</v>
      </c>
      <c r="H2617" s="235">
        <f t="shared" si="82"/>
        <v>12.55</v>
      </c>
      <c r="I2617" s="37" t="str">
        <f t="shared" si="83"/>
        <v>MASSA EM TETO</v>
      </c>
      <c r="J2617" s="553"/>
      <c r="K2617" s="198"/>
      <c r="L2617" s="198"/>
    </row>
    <row r="2618" spans="1:13" s="215" customFormat="1" ht="25.5" hidden="1" customHeight="1" outlineLevel="1" x14ac:dyDescent="0.2">
      <c r="A2618" s="239" t="s">
        <v>1278</v>
      </c>
      <c r="B2618" s="228" t="s">
        <v>5145</v>
      </c>
      <c r="C2618" s="229" t="s">
        <v>5146</v>
      </c>
      <c r="D2618" s="230" t="s">
        <v>11</v>
      </c>
      <c r="E2618" s="231">
        <v>4.53</v>
      </c>
      <c r="F2618" s="231"/>
      <c r="G2618" s="225" t="s">
        <v>5163</v>
      </c>
      <c r="H2618" s="235">
        <f t="shared" si="82"/>
        <v>12.55</v>
      </c>
      <c r="I2618" s="37" t="str">
        <f t="shared" si="83"/>
        <v>PINTURA EM TETO</v>
      </c>
      <c r="J2618" s="553"/>
      <c r="K2618" s="198"/>
      <c r="L2618" s="198"/>
    </row>
    <row r="2619" spans="1:13" s="215" customFormat="1" ht="25.5" hidden="1" customHeight="1" outlineLevel="1" x14ac:dyDescent="0.2">
      <c r="A2619" s="239" t="s">
        <v>1278</v>
      </c>
      <c r="B2619" s="224" t="s">
        <v>5147</v>
      </c>
      <c r="C2619" s="225" t="s">
        <v>5148</v>
      </c>
      <c r="D2619" s="226" t="s">
        <v>11</v>
      </c>
      <c r="E2619" s="227">
        <v>47.67</v>
      </c>
      <c r="F2619" s="227"/>
      <c r="G2619" s="229" t="s">
        <v>5530</v>
      </c>
      <c r="H2619" s="235">
        <f t="shared" si="82"/>
        <v>50.73</v>
      </c>
      <c r="I2619" s="37" t="str">
        <f t="shared" si="83"/>
        <v>TEXTURA ROLADA EM TETO</v>
      </c>
      <c r="J2619" s="553"/>
      <c r="K2619" s="198"/>
      <c r="L2619" s="198"/>
    </row>
    <row r="2620" spans="1:13" s="215" customFormat="1" ht="25.5" hidden="1" customHeight="1" outlineLevel="1" x14ac:dyDescent="0.2">
      <c r="A2620" s="239" t="s">
        <v>1278</v>
      </c>
      <c r="B2620" s="228" t="s">
        <v>5149</v>
      </c>
      <c r="C2620" s="229" t="s">
        <v>5150</v>
      </c>
      <c r="D2620" s="230" t="s">
        <v>11</v>
      </c>
      <c r="E2620" s="231">
        <v>4.34</v>
      </c>
      <c r="F2620" s="231"/>
      <c r="G2620" s="225" t="s">
        <v>5124</v>
      </c>
      <c r="H2620" s="235">
        <f t="shared" si="82"/>
        <v>92.4</v>
      </c>
      <c r="I2620" s="37" t="str">
        <f t="shared" si="83"/>
        <v>PINTURA EM TETO</v>
      </c>
      <c r="J2620" s="553"/>
      <c r="K2620" s="198"/>
      <c r="L2620" s="198"/>
    </row>
    <row r="2621" spans="1:13" s="215" customFormat="1" ht="38.25" hidden="1" customHeight="1" outlineLevel="1" x14ac:dyDescent="0.2">
      <c r="A2621" s="239" t="s">
        <v>1278</v>
      </c>
      <c r="B2621" s="224" t="s">
        <v>5151</v>
      </c>
      <c r="C2621" s="225" t="s">
        <v>5152</v>
      </c>
      <c r="D2621" s="226" t="s">
        <v>11</v>
      </c>
      <c r="E2621" s="227">
        <v>14.45</v>
      </c>
      <c r="F2621" s="227"/>
      <c r="G2621" s="229" t="s">
        <v>5165</v>
      </c>
      <c r="H2621" s="235">
        <f t="shared" si="82"/>
        <v>4.4800000000000004</v>
      </c>
      <c r="I2621" s="37" t="str">
        <f t="shared" si="83"/>
        <v>MASSA EM TETO</v>
      </c>
      <c r="J2621" s="553"/>
      <c r="K2621" s="198"/>
      <c r="L2621" s="198"/>
    </row>
    <row r="2622" spans="1:13" s="215" customFormat="1" ht="25.5" hidden="1" customHeight="1" outlineLevel="1" x14ac:dyDescent="0.2">
      <c r="A2622" s="239" t="s">
        <v>1278</v>
      </c>
      <c r="B2622" s="228" t="s">
        <v>5153</v>
      </c>
      <c r="C2622" s="229" t="s">
        <v>5154</v>
      </c>
      <c r="D2622" s="230" t="s">
        <v>11</v>
      </c>
      <c r="E2622" s="231">
        <v>14.45</v>
      </c>
      <c r="F2622" s="231"/>
      <c r="G2622" s="225" t="s">
        <v>5167</v>
      </c>
      <c r="H2622" s="235">
        <f t="shared" si="82"/>
        <v>4.4800000000000004</v>
      </c>
      <c r="I2622" s="37" t="str">
        <f t="shared" si="83"/>
        <v>PINTURA EM TETO</v>
      </c>
      <c r="J2622" s="553"/>
      <c r="K2622" s="198"/>
      <c r="L2622" s="198"/>
    </row>
    <row r="2623" spans="1:13" s="215" customFormat="1" ht="25.5" hidden="1" customHeight="1" outlineLevel="1" x14ac:dyDescent="0.2">
      <c r="A2623" s="239" t="s">
        <v>1278</v>
      </c>
      <c r="B2623" s="224" t="s">
        <v>5155</v>
      </c>
      <c r="C2623" s="225" t="s">
        <v>5156</v>
      </c>
      <c r="D2623" s="226" t="s">
        <v>11</v>
      </c>
      <c r="E2623" s="227">
        <v>7.26</v>
      </c>
      <c r="F2623" s="227"/>
      <c r="G2623" s="229" t="s">
        <v>5532</v>
      </c>
      <c r="H2623" s="235">
        <f t="shared" si="82"/>
        <v>3.52</v>
      </c>
      <c r="I2623" s="37" t="str">
        <f t="shared" si="83"/>
        <v>TEXTURA ROLADA EM TETO</v>
      </c>
      <c r="J2623" s="553"/>
      <c r="K2623" s="198"/>
      <c r="L2623" s="198"/>
    </row>
    <row r="2624" spans="1:13" s="215" customFormat="1" ht="25.5" hidden="1" customHeight="1" outlineLevel="1" x14ac:dyDescent="0.2">
      <c r="A2624" s="239" t="s">
        <v>1278</v>
      </c>
      <c r="B2624" s="228" t="s">
        <v>5157</v>
      </c>
      <c r="C2624" s="229" t="s">
        <v>5158</v>
      </c>
      <c r="D2624" s="230" t="s">
        <v>11</v>
      </c>
      <c r="E2624" s="231">
        <v>7.37</v>
      </c>
      <c r="F2624" s="231"/>
      <c r="G2624" s="225" t="s">
        <v>5169</v>
      </c>
      <c r="H2624" s="235">
        <f t="shared" si="82"/>
        <v>5.36</v>
      </c>
      <c r="I2624" s="37" t="str">
        <f t="shared" si="83"/>
        <v>MASSA EM TETO</v>
      </c>
      <c r="J2624" s="553"/>
      <c r="K2624" s="198"/>
      <c r="L2624" s="198"/>
    </row>
    <row r="2625" spans="1:12" s="215" customFormat="1" ht="25.5" hidden="1" customHeight="1" outlineLevel="1" x14ac:dyDescent="0.2">
      <c r="A2625" s="239" t="s">
        <v>1278</v>
      </c>
      <c r="B2625" s="224" t="s">
        <v>5159</v>
      </c>
      <c r="C2625" s="225" t="s">
        <v>5160</v>
      </c>
      <c r="D2625" s="226" t="s">
        <v>11</v>
      </c>
      <c r="E2625" s="227">
        <v>7.37</v>
      </c>
      <c r="F2625" s="227"/>
      <c r="G2625" s="229" t="s">
        <v>5171</v>
      </c>
      <c r="H2625" s="235">
        <f t="shared" si="82"/>
        <v>5.36</v>
      </c>
      <c r="I2625" s="37" t="str">
        <f t="shared" si="83"/>
        <v>PINTURA EM TETO</v>
      </c>
      <c r="J2625" s="553"/>
      <c r="K2625" s="198"/>
      <c r="L2625" s="198"/>
    </row>
    <row r="2626" spans="1:12" s="215" customFormat="1" ht="25.5" hidden="1" customHeight="1" outlineLevel="1" x14ac:dyDescent="0.2">
      <c r="A2626" s="239" t="s">
        <v>1278</v>
      </c>
      <c r="B2626" s="216" t="s">
        <v>2029</v>
      </c>
      <c r="C2626" s="217" t="s">
        <v>2958</v>
      </c>
      <c r="D2626" s="218"/>
      <c r="E2626" s="219"/>
      <c r="F2626" s="219"/>
      <c r="G2626" s="225" t="s">
        <v>5428</v>
      </c>
      <c r="H2626" s="235">
        <f t="shared" si="82"/>
        <v>15.76</v>
      </c>
      <c r="I2626" s="37" t="str">
        <f t="shared" si="83"/>
        <v>MASSA EM TETO</v>
      </c>
      <c r="J2626" s="553"/>
      <c r="K2626" s="198"/>
      <c r="L2626" s="198"/>
    </row>
    <row r="2627" spans="1:12" s="215" customFormat="1" ht="25.5" hidden="1" customHeight="1" outlineLevel="1" x14ac:dyDescent="0.2">
      <c r="A2627" s="239" t="s">
        <v>1278</v>
      </c>
      <c r="B2627" s="228" t="s">
        <v>2030</v>
      </c>
      <c r="C2627" s="229" t="s">
        <v>5161</v>
      </c>
      <c r="D2627" s="230" t="s">
        <v>11</v>
      </c>
      <c r="E2627" s="231">
        <v>12.55</v>
      </c>
      <c r="F2627" s="231"/>
      <c r="G2627" s="229" t="s">
        <v>5430</v>
      </c>
      <c r="H2627" s="235">
        <f t="shared" si="82"/>
        <v>15.76</v>
      </c>
      <c r="I2627" s="37" t="str">
        <f t="shared" si="83"/>
        <v>PINTURA EM TETO</v>
      </c>
      <c r="J2627" s="553"/>
      <c r="K2627" s="198"/>
      <c r="L2627" s="198"/>
    </row>
    <row r="2628" spans="1:12" s="215" customFormat="1" ht="25.5" hidden="1" customHeight="1" outlineLevel="1" x14ac:dyDescent="0.2">
      <c r="A2628" s="239" t="s">
        <v>1278</v>
      </c>
      <c r="B2628" s="224" t="s">
        <v>5162</v>
      </c>
      <c r="C2628" s="225" t="s">
        <v>5163</v>
      </c>
      <c r="D2628" s="226" t="s">
        <v>11</v>
      </c>
      <c r="E2628" s="227">
        <v>12.55</v>
      </c>
      <c r="F2628" s="227"/>
      <c r="G2628" s="225" t="s">
        <v>5126</v>
      </c>
      <c r="H2628" s="235">
        <f t="shared" si="82"/>
        <v>4.17</v>
      </c>
      <c r="I2628" s="37" t="str">
        <f t="shared" si="83"/>
        <v>MASSA EM TETO</v>
      </c>
      <c r="J2628" s="553"/>
      <c r="K2628" s="198"/>
      <c r="L2628" s="198"/>
    </row>
    <row r="2629" spans="1:12" s="215" customFormat="1" ht="25.5" hidden="1" customHeight="1" outlineLevel="1" x14ac:dyDescent="0.2">
      <c r="A2629" s="239" t="s">
        <v>1278</v>
      </c>
      <c r="B2629" s="228" t="s">
        <v>5164</v>
      </c>
      <c r="C2629" s="229" t="s">
        <v>5165</v>
      </c>
      <c r="D2629" s="230" t="s">
        <v>11</v>
      </c>
      <c r="E2629" s="231">
        <v>4.4800000000000004</v>
      </c>
      <c r="F2629" s="231"/>
      <c r="G2629" s="229" t="s">
        <v>5128</v>
      </c>
      <c r="H2629" s="235">
        <f t="shared" si="82"/>
        <v>4.17</v>
      </c>
      <c r="I2629" s="37" t="str">
        <f t="shared" si="83"/>
        <v>PINTURA EM TETO</v>
      </c>
      <c r="J2629" s="553"/>
      <c r="K2629" s="198"/>
      <c r="L2629" s="198"/>
    </row>
    <row r="2630" spans="1:12" s="215" customFormat="1" ht="25.5" hidden="1" customHeight="1" outlineLevel="1" x14ac:dyDescent="0.2">
      <c r="A2630" s="239" t="s">
        <v>1278</v>
      </c>
      <c r="B2630" s="224" t="s">
        <v>5166</v>
      </c>
      <c r="C2630" s="225" t="s">
        <v>5167</v>
      </c>
      <c r="D2630" s="226" t="s">
        <v>11</v>
      </c>
      <c r="E2630" s="227">
        <v>4.4800000000000004</v>
      </c>
      <c r="F2630" s="227"/>
      <c r="G2630" s="225" t="s">
        <v>5130</v>
      </c>
      <c r="H2630" s="235">
        <f t="shared" si="82"/>
        <v>5.55</v>
      </c>
      <c r="I2630" s="37" t="str">
        <f t="shared" si="83"/>
        <v>MASSA EM TETO</v>
      </c>
      <c r="J2630" s="553"/>
    </row>
    <row r="2631" spans="1:12" s="215" customFormat="1" ht="12.75" hidden="1" customHeight="1" outlineLevel="1" x14ac:dyDescent="0.2">
      <c r="A2631" s="239" t="s">
        <v>1278</v>
      </c>
      <c r="B2631" s="228" t="s">
        <v>5168</v>
      </c>
      <c r="C2631" s="229" t="s">
        <v>5169</v>
      </c>
      <c r="D2631" s="230" t="s">
        <v>11</v>
      </c>
      <c r="E2631" s="231">
        <v>5.36</v>
      </c>
      <c r="F2631" s="231"/>
      <c r="G2631" s="229" t="s">
        <v>5132</v>
      </c>
      <c r="H2631" s="235">
        <f t="shared" si="82"/>
        <v>5.55</v>
      </c>
      <c r="I2631" s="37" t="str">
        <f t="shared" si="83"/>
        <v>PINTURA EM TETO</v>
      </c>
      <c r="J2631" s="553"/>
    </row>
    <row r="2632" spans="1:12" s="215" customFormat="1" ht="38.25" hidden="1" customHeight="1" outlineLevel="1" x14ac:dyDescent="0.2">
      <c r="A2632" s="239" t="s">
        <v>1278</v>
      </c>
      <c r="B2632" s="224" t="s">
        <v>5170</v>
      </c>
      <c r="C2632" s="225" t="s">
        <v>5171</v>
      </c>
      <c r="D2632" s="226" t="s">
        <v>11</v>
      </c>
      <c r="E2632" s="227">
        <v>5.36</v>
      </c>
      <c r="F2632" s="227"/>
      <c r="G2632" s="225" t="s">
        <v>5228</v>
      </c>
      <c r="H2632" s="235">
        <f t="shared" si="82"/>
        <v>1191.3700000000003</v>
      </c>
      <c r="I2632" s="37" t="str">
        <f t="shared" si="83"/>
        <v>MASSA EM TETO</v>
      </c>
      <c r="J2632" s="553"/>
    </row>
    <row r="2633" spans="1:12" s="215" customFormat="1" ht="38.25" hidden="1" customHeight="1" outlineLevel="1" x14ac:dyDescent="0.2">
      <c r="A2633" s="239" t="s">
        <v>1278</v>
      </c>
      <c r="B2633" s="228" t="s">
        <v>5172</v>
      </c>
      <c r="C2633" s="229" t="s">
        <v>5134</v>
      </c>
      <c r="D2633" s="230" t="s">
        <v>11</v>
      </c>
      <c r="E2633" s="231">
        <v>4.3499999999999996</v>
      </c>
      <c r="F2633" s="231"/>
      <c r="G2633" s="229" t="s">
        <v>5230</v>
      </c>
      <c r="H2633" s="235">
        <f t="shared" si="82"/>
        <v>1191.3700000000003</v>
      </c>
      <c r="I2633" s="37" t="str">
        <f t="shared" si="83"/>
        <v>PINTURA EM TETO</v>
      </c>
      <c r="J2633" s="553"/>
    </row>
    <row r="2634" spans="1:12" s="215" customFormat="1" ht="25.5" hidden="1" customHeight="1" outlineLevel="1" x14ac:dyDescent="0.2">
      <c r="A2634" s="239" t="s">
        <v>1278</v>
      </c>
      <c r="B2634" s="224" t="s">
        <v>5173</v>
      </c>
      <c r="C2634" s="225" t="s">
        <v>5136</v>
      </c>
      <c r="D2634" s="226" t="s">
        <v>11</v>
      </c>
      <c r="E2634" s="227">
        <v>4.3499999999999996</v>
      </c>
      <c r="F2634" s="227"/>
      <c r="G2634" s="225" t="s">
        <v>5267</v>
      </c>
      <c r="H2634" s="235">
        <f t="shared" si="82"/>
        <v>119.14000000000001</v>
      </c>
      <c r="I2634" s="37" t="str">
        <f t="shared" si="83"/>
        <v>MASSA EM TETO</v>
      </c>
      <c r="J2634" s="553"/>
    </row>
    <row r="2635" spans="1:12" s="215" customFormat="1" ht="25.5" hidden="1" customHeight="1" outlineLevel="1" x14ac:dyDescent="0.2">
      <c r="A2635" s="239" t="s">
        <v>1278</v>
      </c>
      <c r="B2635" s="228" t="s">
        <v>5174</v>
      </c>
      <c r="C2635" s="229" t="s">
        <v>5175</v>
      </c>
      <c r="D2635" s="230" t="s">
        <v>11</v>
      </c>
      <c r="E2635" s="231">
        <v>8.8000000000000007</v>
      </c>
      <c r="F2635" s="231"/>
      <c r="G2635" s="229" t="s">
        <v>5269</v>
      </c>
      <c r="H2635" s="235">
        <f t="shared" ref="H2635:H2666" si="84">SUMIF($C:$C,G2635,$E:$E)</f>
        <v>119.14000000000001</v>
      </c>
      <c r="I2635" s="37" t="str">
        <f t="shared" si="83"/>
        <v>PINTURA EM TETO</v>
      </c>
      <c r="J2635" s="553"/>
    </row>
    <row r="2636" spans="1:12" s="215" customFormat="1" ht="25.5" hidden="1" customHeight="1" outlineLevel="1" x14ac:dyDescent="0.2">
      <c r="A2636" s="239" t="s">
        <v>1278</v>
      </c>
      <c r="B2636" s="224" t="s">
        <v>5176</v>
      </c>
      <c r="C2636" s="225" t="s">
        <v>5177</v>
      </c>
      <c r="D2636" s="226" t="s">
        <v>11</v>
      </c>
      <c r="E2636" s="227">
        <v>8.8000000000000007</v>
      </c>
      <c r="F2636" s="227"/>
      <c r="G2636" s="225" t="s">
        <v>5134</v>
      </c>
      <c r="H2636" s="235">
        <f t="shared" si="84"/>
        <v>196.99999999999997</v>
      </c>
      <c r="I2636" s="37" t="str">
        <f t="shared" si="83"/>
        <v>MASSA EM TETO</v>
      </c>
      <c r="J2636" s="553"/>
    </row>
    <row r="2637" spans="1:12" s="215" customFormat="1" ht="25.5" hidden="1" customHeight="1" outlineLevel="1" x14ac:dyDescent="0.2">
      <c r="A2637" s="239" t="s">
        <v>1278</v>
      </c>
      <c r="B2637" s="228" t="s">
        <v>5178</v>
      </c>
      <c r="C2637" s="229" t="s">
        <v>5138</v>
      </c>
      <c r="D2637" s="230" t="s">
        <v>11</v>
      </c>
      <c r="E2637" s="231">
        <v>63.3</v>
      </c>
      <c r="F2637" s="231"/>
      <c r="G2637" s="229" t="s">
        <v>5136</v>
      </c>
      <c r="H2637" s="235">
        <f t="shared" si="84"/>
        <v>196.99999999999997</v>
      </c>
      <c r="I2637" s="37" t="str">
        <f t="shared" si="83"/>
        <v>PINTURA EM TETO</v>
      </c>
      <c r="J2637" s="553"/>
    </row>
    <row r="2638" spans="1:12" s="215" customFormat="1" ht="25.5" hidden="1" customHeight="1" outlineLevel="1" x14ac:dyDescent="0.2">
      <c r="A2638" s="239" t="s">
        <v>1278</v>
      </c>
      <c r="B2638" s="224" t="s">
        <v>5179</v>
      </c>
      <c r="C2638" s="225" t="s">
        <v>5140</v>
      </c>
      <c r="D2638" s="226" t="s">
        <v>11</v>
      </c>
      <c r="E2638" s="227">
        <v>63.3</v>
      </c>
      <c r="F2638" s="227"/>
      <c r="G2638" s="225" t="s">
        <v>5434</v>
      </c>
      <c r="H2638" s="235">
        <f t="shared" si="84"/>
        <v>54.88</v>
      </c>
      <c r="I2638" s="37" t="str">
        <f t="shared" si="83"/>
        <v>MASSA EM TETO</v>
      </c>
      <c r="J2638" s="553"/>
    </row>
    <row r="2639" spans="1:12" s="215" customFormat="1" ht="25.5" hidden="1" customHeight="1" outlineLevel="1" x14ac:dyDescent="0.2">
      <c r="A2639" s="239" t="s">
        <v>1278</v>
      </c>
      <c r="B2639" s="228" t="s">
        <v>5180</v>
      </c>
      <c r="C2639" s="229" t="s">
        <v>5181</v>
      </c>
      <c r="D2639" s="230" t="s">
        <v>11</v>
      </c>
      <c r="E2639" s="231">
        <v>10.43</v>
      </c>
      <c r="F2639" s="231"/>
      <c r="G2639" s="229" t="s">
        <v>5436</v>
      </c>
      <c r="H2639" s="235">
        <f t="shared" si="84"/>
        <v>54.88</v>
      </c>
      <c r="I2639" s="37" t="str">
        <f t="shared" si="83"/>
        <v>PINTURA EM TETO</v>
      </c>
      <c r="J2639" s="553"/>
    </row>
    <row r="2640" spans="1:12" s="215" customFormat="1" ht="25.5" hidden="1" customHeight="1" outlineLevel="1" x14ac:dyDescent="0.2">
      <c r="A2640" s="239" t="s">
        <v>1278</v>
      </c>
      <c r="B2640" s="224" t="s">
        <v>5182</v>
      </c>
      <c r="C2640" s="225" t="s">
        <v>5183</v>
      </c>
      <c r="D2640" s="226" t="s">
        <v>11</v>
      </c>
      <c r="E2640" s="227">
        <v>10.43</v>
      </c>
      <c r="F2640" s="227"/>
      <c r="G2640" s="225" t="s">
        <v>5234</v>
      </c>
      <c r="H2640" s="235">
        <f t="shared" si="84"/>
        <v>1265.0899999999995</v>
      </c>
      <c r="I2640" s="37" t="str">
        <f t="shared" si="83"/>
        <v>MASSA EM TETO</v>
      </c>
      <c r="J2640" s="553"/>
    </row>
    <row r="2641" spans="1:12" s="215" customFormat="1" ht="25.5" hidden="1" customHeight="1" outlineLevel="1" x14ac:dyDescent="0.2">
      <c r="A2641" s="239" t="s">
        <v>1278</v>
      </c>
      <c r="B2641" s="228" t="s">
        <v>5184</v>
      </c>
      <c r="C2641" s="229" t="s">
        <v>5185</v>
      </c>
      <c r="D2641" s="230" t="s">
        <v>11</v>
      </c>
      <c r="E2641" s="231">
        <v>14.78</v>
      </c>
      <c r="F2641" s="231"/>
      <c r="G2641" s="229" t="s">
        <v>5236</v>
      </c>
      <c r="H2641" s="235">
        <f t="shared" si="84"/>
        <v>1265.0899999999995</v>
      </c>
      <c r="I2641" s="37" t="str">
        <f t="shared" si="83"/>
        <v>PINTURA EM TETO</v>
      </c>
      <c r="J2641" s="553"/>
    </row>
    <row r="2642" spans="1:12" s="215" customFormat="1" ht="25.5" hidden="1" customHeight="1" outlineLevel="1" x14ac:dyDescent="0.2">
      <c r="A2642" s="239" t="s">
        <v>1278</v>
      </c>
      <c r="B2642" s="224" t="s">
        <v>5186</v>
      </c>
      <c r="C2642" s="225" t="s">
        <v>5187</v>
      </c>
      <c r="D2642" s="226" t="s">
        <v>11</v>
      </c>
      <c r="E2642" s="227">
        <v>14.78</v>
      </c>
      <c r="F2642" s="227"/>
      <c r="G2642" s="225" t="s">
        <v>5438</v>
      </c>
      <c r="H2642" s="235">
        <f t="shared" si="84"/>
        <v>110.26</v>
      </c>
      <c r="I2642" s="37" t="str">
        <f t="shared" si="83"/>
        <v>MASSA EM TETO</v>
      </c>
      <c r="J2642" s="553"/>
      <c r="K2642" s="238"/>
      <c r="L2642" s="238"/>
    </row>
    <row r="2643" spans="1:12" s="215" customFormat="1" ht="25.5" hidden="1" customHeight="1" outlineLevel="1" x14ac:dyDescent="0.2">
      <c r="A2643" s="239" t="s">
        <v>1278</v>
      </c>
      <c r="B2643" s="228" t="s">
        <v>5188</v>
      </c>
      <c r="C2643" s="229" t="s">
        <v>5189</v>
      </c>
      <c r="D2643" s="230" t="s">
        <v>11</v>
      </c>
      <c r="E2643" s="231">
        <v>91.48</v>
      </c>
      <c r="F2643" s="231"/>
      <c r="G2643" s="229" t="s">
        <v>5440</v>
      </c>
      <c r="H2643" s="235">
        <f t="shared" si="84"/>
        <v>110.26</v>
      </c>
      <c r="I2643" s="37" t="str">
        <f t="shared" si="83"/>
        <v>PINTURA EM TETO</v>
      </c>
    </row>
    <row r="2644" spans="1:12" s="215" customFormat="1" ht="12.75" hidden="1" customHeight="1" outlineLevel="1" x14ac:dyDescent="0.2">
      <c r="A2644" s="239" t="s">
        <v>1278</v>
      </c>
      <c r="B2644" s="224" t="s">
        <v>5190</v>
      </c>
      <c r="C2644" s="225" t="s">
        <v>5191</v>
      </c>
      <c r="D2644" s="226" t="s">
        <v>11</v>
      </c>
      <c r="E2644" s="227">
        <v>91.48</v>
      </c>
      <c r="F2644" s="227"/>
      <c r="G2644" s="225" t="s">
        <v>5175</v>
      </c>
      <c r="H2644" s="235">
        <f t="shared" si="84"/>
        <v>8.8000000000000007</v>
      </c>
      <c r="I2644" s="37" t="str">
        <f t="shared" si="83"/>
        <v>MASSA EM TETO</v>
      </c>
    </row>
    <row r="2645" spans="1:12" s="215" customFormat="1" ht="38.25" hidden="1" customHeight="1" outlineLevel="1" x14ac:dyDescent="0.2">
      <c r="A2645" s="239" t="s">
        <v>1278</v>
      </c>
      <c r="B2645" s="228" t="s">
        <v>5192</v>
      </c>
      <c r="C2645" s="229" t="s">
        <v>5193</v>
      </c>
      <c r="D2645" s="230" t="s">
        <v>11</v>
      </c>
      <c r="E2645" s="231">
        <v>17.010000000000002</v>
      </c>
      <c r="F2645" s="231"/>
      <c r="G2645" s="229" t="s">
        <v>5177</v>
      </c>
      <c r="H2645" s="235">
        <f t="shared" si="84"/>
        <v>8.8000000000000007</v>
      </c>
      <c r="I2645" s="37" t="str">
        <f t="shared" si="83"/>
        <v>PINTURA EM TETO</v>
      </c>
    </row>
    <row r="2646" spans="1:12" s="215" customFormat="1" ht="25.5" hidden="1" customHeight="1" outlineLevel="1" x14ac:dyDescent="0.2">
      <c r="A2646" s="239" t="s">
        <v>1278</v>
      </c>
      <c r="B2646" s="224" t="s">
        <v>5194</v>
      </c>
      <c r="C2646" s="225" t="s">
        <v>5195</v>
      </c>
      <c r="D2646" s="226" t="s">
        <v>11</v>
      </c>
      <c r="E2646" s="227">
        <v>17.010000000000002</v>
      </c>
      <c r="F2646" s="227"/>
      <c r="G2646" s="225" t="s">
        <v>5138</v>
      </c>
      <c r="H2646" s="235">
        <f t="shared" si="84"/>
        <v>97.32</v>
      </c>
      <c r="I2646" s="37" t="str">
        <f t="shared" si="83"/>
        <v>MASSA EM TETO</v>
      </c>
    </row>
    <row r="2647" spans="1:12" s="215" customFormat="1" ht="25.5" hidden="1" customHeight="1" outlineLevel="1" x14ac:dyDescent="0.2">
      <c r="A2647" s="239" t="s">
        <v>1278</v>
      </c>
      <c r="B2647" s="228" t="s">
        <v>5196</v>
      </c>
      <c r="C2647" s="229" t="s">
        <v>5197</v>
      </c>
      <c r="D2647" s="230" t="s">
        <v>11</v>
      </c>
      <c r="E2647" s="231">
        <v>3.66</v>
      </c>
      <c r="F2647" s="231"/>
      <c r="G2647" s="229" t="s">
        <v>5140</v>
      </c>
      <c r="H2647" s="235">
        <f t="shared" si="84"/>
        <v>97.32</v>
      </c>
      <c r="I2647" s="37" t="str">
        <f t="shared" si="83"/>
        <v>PINTURA EM TETO</v>
      </c>
    </row>
    <row r="2648" spans="1:12" s="215" customFormat="1" ht="25.5" hidden="1" customHeight="1" outlineLevel="1" x14ac:dyDescent="0.2">
      <c r="A2648" s="239" t="s">
        <v>1278</v>
      </c>
      <c r="B2648" s="224" t="s">
        <v>5198</v>
      </c>
      <c r="C2648" s="225" t="s">
        <v>5199</v>
      </c>
      <c r="D2648" s="226" t="s">
        <v>11</v>
      </c>
      <c r="E2648" s="227">
        <v>3.66</v>
      </c>
      <c r="F2648" s="227"/>
      <c r="G2648" s="225" t="s">
        <v>5238</v>
      </c>
      <c r="H2648" s="235">
        <f t="shared" si="84"/>
        <v>51.940000000000012</v>
      </c>
      <c r="I2648" s="37" t="str">
        <f t="shared" si="83"/>
        <v>MASSA EM TETO</v>
      </c>
    </row>
    <row r="2649" spans="1:12" s="215" customFormat="1" ht="25.5" hidden="1" customHeight="1" outlineLevel="1" x14ac:dyDescent="0.2">
      <c r="A2649" s="239" t="s">
        <v>1278</v>
      </c>
      <c r="B2649" s="228" t="s">
        <v>5200</v>
      </c>
      <c r="C2649" s="229" t="s">
        <v>5201</v>
      </c>
      <c r="D2649" s="230" t="s">
        <v>11</v>
      </c>
      <c r="E2649" s="231">
        <v>37.44</v>
      </c>
      <c r="F2649" s="231"/>
      <c r="G2649" s="229" t="s">
        <v>5240</v>
      </c>
      <c r="H2649" s="235">
        <f t="shared" si="84"/>
        <v>51.940000000000012</v>
      </c>
      <c r="I2649" s="37" t="str">
        <f t="shared" si="83"/>
        <v>PINTURA EM TETO</v>
      </c>
    </row>
    <row r="2650" spans="1:12" s="215" customFormat="1" ht="25.5" hidden="1" customHeight="1" outlineLevel="1" x14ac:dyDescent="0.2">
      <c r="A2650" s="239" t="s">
        <v>1278</v>
      </c>
      <c r="B2650" s="224" t="s">
        <v>5202</v>
      </c>
      <c r="C2650" s="225" t="s">
        <v>5203</v>
      </c>
      <c r="D2650" s="226" t="s">
        <v>11</v>
      </c>
      <c r="E2650" s="227">
        <v>37.44</v>
      </c>
      <c r="F2650" s="227"/>
      <c r="G2650" s="225" t="s">
        <v>5242</v>
      </c>
      <c r="H2650" s="235">
        <f t="shared" si="84"/>
        <v>686.24999999999989</v>
      </c>
      <c r="I2650" s="37" t="str">
        <f t="shared" si="83"/>
        <v>MASSA EM TETO</v>
      </c>
    </row>
    <row r="2651" spans="1:12" s="215" customFormat="1" ht="25.5" hidden="1" customHeight="1" outlineLevel="1" x14ac:dyDescent="0.2">
      <c r="A2651" s="239" t="s">
        <v>1278</v>
      </c>
      <c r="B2651" s="228" t="s">
        <v>5204</v>
      </c>
      <c r="C2651" s="229" t="s">
        <v>5205</v>
      </c>
      <c r="D2651" s="230" t="s">
        <v>11</v>
      </c>
      <c r="E2651" s="231">
        <v>9.81</v>
      </c>
      <c r="F2651" s="231"/>
      <c r="G2651" s="229" t="s">
        <v>5244</v>
      </c>
      <c r="H2651" s="235">
        <f t="shared" si="84"/>
        <v>686.24999999999989</v>
      </c>
      <c r="I2651" s="37" t="str">
        <f t="shared" si="83"/>
        <v>PINTURA EM TETO</v>
      </c>
    </row>
    <row r="2652" spans="1:12" s="215" customFormat="1" ht="25.5" hidden="1" customHeight="1" outlineLevel="1" x14ac:dyDescent="0.2">
      <c r="A2652" s="239" t="s">
        <v>1278</v>
      </c>
      <c r="B2652" s="224" t="s">
        <v>5206</v>
      </c>
      <c r="C2652" s="225" t="s">
        <v>5207</v>
      </c>
      <c r="D2652" s="226" t="s">
        <v>11</v>
      </c>
      <c r="E2652" s="227">
        <v>9.81</v>
      </c>
      <c r="F2652" s="227"/>
      <c r="G2652" s="225" t="s">
        <v>5181</v>
      </c>
      <c r="H2652" s="235">
        <f t="shared" si="84"/>
        <v>10.43</v>
      </c>
      <c r="I2652" s="37" t="str">
        <f t="shared" si="83"/>
        <v>MASSA EM TETO</v>
      </c>
    </row>
    <row r="2653" spans="1:12" s="215" customFormat="1" ht="25.5" hidden="1" customHeight="1" outlineLevel="1" x14ac:dyDescent="0.2">
      <c r="A2653" s="239" t="s">
        <v>1278</v>
      </c>
      <c r="B2653" s="228" t="s">
        <v>5208</v>
      </c>
      <c r="C2653" s="229" t="s">
        <v>5209</v>
      </c>
      <c r="D2653" s="230" t="s">
        <v>11</v>
      </c>
      <c r="E2653" s="231">
        <v>3.04</v>
      </c>
      <c r="F2653" s="231"/>
      <c r="G2653" s="229" t="s">
        <v>5183</v>
      </c>
      <c r="H2653" s="235">
        <f t="shared" si="84"/>
        <v>10.43</v>
      </c>
      <c r="I2653" s="37" t="str">
        <f t="shared" si="83"/>
        <v>PINTURA EM TETO</v>
      </c>
    </row>
    <row r="2654" spans="1:12" s="215" customFormat="1" ht="25.5" hidden="1" customHeight="1" outlineLevel="1" x14ac:dyDescent="0.2">
      <c r="A2654" s="239" t="s">
        <v>1278</v>
      </c>
      <c r="B2654" s="224" t="s">
        <v>5210</v>
      </c>
      <c r="C2654" s="225" t="s">
        <v>5211</v>
      </c>
      <c r="D2654" s="226" t="s">
        <v>11</v>
      </c>
      <c r="E2654" s="227">
        <v>3.04</v>
      </c>
      <c r="F2654" s="227"/>
      <c r="G2654" s="225" t="s">
        <v>5185</v>
      </c>
      <c r="H2654" s="235">
        <f t="shared" si="84"/>
        <v>14.78</v>
      </c>
      <c r="I2654" s="37" t="str">
        <f t="shared" si="83"/>
        <v>MASSA EM TETO</v>
      </c>
    </row>
    <row r="2655" spans="1:12" s="215" customFormat="1" ht="12.75" hidden="1" customHeight="1" outlineLevel="1" x14ac:dyDescent="0.2">
      <c r="A2655" s="239" t="s">
        <v>1278</v>
      </c>
      <c r="B2655" s="228" t="s">
        <v>5212</v>
      </c>
      <c r="C2655" s="229" t="s">
        <v>5213</v>
      </c>
      <c r="D2655" s="230" t="s">
        <v>11</v>
      </c>
      <c r="E2655" s="231">
        <v>6.42</v>
      </c>
      <c r="F2655" s="231"/>
      <c r="G2655" s="229" t="s">
        <v>5187</v>
      </c>
      <c r="H2655" s="235">
        <f t="shared" si="84"/>
        <v>14.78</v>
      </c>
      <c r="I2655" s="37" t="str">
        <f t="shared" si="83"/>
        <v>PINTURA EM TETO</v>
      </c>
    </row>
    <row r="2656" spans="1:12" s="215" customFormat="1" ht="38.25" hidden="1" customHeight="1" outlineLevel="1" x14ac:dyDescent="0.2">
      <c r="A2656" s="239" t="s">
        <v>1278</v>
      </c>
      <c r="B2656" s="224" t="s">
        <v>5214</v>
      </c>
      <c r="C2656" s="225" t="s">
        <v>5215</v>
      </c>
      <c r="D2656" s="226" t="s">
        <v>11</v>
      </c>
      <c r="E2656" s="227">
        <v>6.42</v>
      </c>
      <c r="F2656" s="227"/>
      <c r="G2656" s="225" t="s">
        <v>5288</v>
      </c>
      <c r="H2656" s="235">
        <f t="shared" si="84"/>
        <v>17.819999999999997</v>
      </c>
      <c r="I2656" s="37" t="str">
        <f t="shared" si="83"/>
        <v>MASSA EM TETO</v>
      </c>
    </row>
    <row r="2657" spans="1:12" s="215" customFormat="1" ht="38.25" hidden="1" customHeight="1" outlineLevel="1" x14ac:dyDescent="0.2">
      <c r="A2657" s="239" t="s">
        <v>1279</v>
      </c>
      <c r="B2657" s="216" t="s">
        <v>2031</v>
      </c>
      <c r="C2657" s="217" t="s">
        <v>2960</v>
      </c>
      <c r="D2657" s="218"/>
      <c r="E2657" s="219"/>
      <c r="F2657" s="219"/>
      <c r="G2657" s="229" t="s">
        <v>5290</v>
      </c>
      <c r="H2657" s="235">
        <f t="shared" si="84"/>
        <v>17.819999999999997</v>
      </c>
      <c r="I2657" s="37" t="str">
        <f t="shared" si="83"/>
        <v>PINTURA EM TETO</v>
      </c>
    </row>
    <row r="2658" spans="1:12" s="215" customFormat="1" ht="25.5" hidden="1" customHeight="1" outlineLevel="1" x14ac:dyDescent="0.2">
      <c r="A2658" s="239" t="s">
        <v>1279</v>
      </c>
      <c r="B2658" s="228" t="s">
        <v>2032</v>
      </c>
      <c r="C2658" s="229" t="s">
        <v>5216</v>
      </c>
      <c r="D2658" s="230" t="s">
        <v>11</v>
      </c>
      <c r="E2658" s="231">
        <v>11.09</v>
      </c>
      <c r="F2658" s="231"/>
      <c r="G2658" s="225" t="s">
        <v>5246</v>
      </c>
      <c r="H2658" s="235">
        <f t="shared" si="84"/>
        <v>180.12</v>
      </c>
      <c r="I2658" s="37" t="str">
        <f t="shared" si="83"/>
        <v>MASSA EM TETO</v>
      </c>
    </row>
    <row r="2659" spans="1:12" s="215" customFormat="1" ht="25.5" hidden="1" customHeight="1" outlineLevel="1" x14ac:dyDescent="0.2">
      <c r="A2659" s="239" t="s">
        <v>1279</v>
      </c>
      <c r="B2659" s="224" t="s">
        <v>5217</v>
      </c>
      <c r="C2659" s="225" t="s">
        <v>5218</v>
      </c>
      <c r="D2659" s="226" t="s">
        <v>11</v>
      </c>
      <c r="E2659" s="227">
        <v>11.09</v>
      </c>
      <c r="F2659" s="227"/>
      <c r="G2659" s="229" t="s">
        <v>5248</v>
      </c>
      <c r="H2659" s="235">
        <f t="shared" si="84"/>
        <v>180.12</v>
      </c>
      <c r="I2659" s="37" t="str">
        <f t="shared" si="83"/>
        <v>PINTURA EM TETO</v>
      </c>
    </row>
    <row r="2660" spans="1:12" s="215" customFormat="1" ht="25.5" hidden="1" customHeight="1" outlineLevel="1" x14ac:dyDescent="0.2">
      <c r="A2660" s="239" t="s">
        <v>1279</v>
      </c>
      <c r="B2660" s="228" t="s">
        <v>5219</v>
      </c>
      <c r="C2660" s="229" t="s">
        <v>5220</v>
      </c>
      <c r="D2660" s="230" t="s">
        <v>11</v>
      </c>
      <c r="E2660" s="231">
        <v>25.29</v>
      </c>
      <c r="F2660" s="231"/>
      <c r="G2660" s="225" t="s">
        <v>5189</v>
      </c>
      <c r="H2660" s="235">
        <f t="shared" si="84"/>
        <v>91.48</v>
      </c>
      <c r="I2660" s="37" t="str">
        <f t="shared" si="83"/>
        <v>MASSA EM TETO</v>
      </c>
    </row>
    <row r="2661" spans="1:12" s="215" customFormat="1" ht="25.5" hidden="1" customHeight="1" outlineLevel="1" x14ac:dyDescent="0.2">
      <c r="A2661" s="239" t="s">
        <v>1279</v>
      </c>
      <c r="B2661" s="224" t="s">
        <v>5221</v>
      </c>
      <c r="C2661" s="225" t="s">
        <v>5222</v>
      </c>
      <c r="D2661" s="226" t="s">
        <v>11</v>
      </c>
      <c r="E2661" s="227">
        <v>25.29</v>
      </c>
      <c r="F2661" s="227"/>
      <c r="G2661" s="229" t="s">
        <v>5191</v>
      </c>
      <c r="H2661" s="235">
        <f t="shared" si="84"/>
        <v>91.48</v>
      </c>
      <c r="I2661" s="37" t="str">
        <f t="shared" si="83"/>
        <v>PINTURA EM TETO</v>
      </c>
    </row>
    <row r="2662" spans="1:12" s="215" customFormat="1" ht="12.75" hidden="1" customHeight="1" outlineLevel="1" x14ac:dyDescent="0.2">
      <c r="A2662" s="239" t="s">
        <v>1279</v>
      </c>
      <c r="B2662" s="228" t="s">
        <v>5223</v>
      </c>
      <c r="C2662" s="229" t="s">
        <v>5224</v>
      </c>
      <c r="D2662" s="230" t="s">
        <v>11</v>
      </c>
      <c r="E2662" s="231">
        <v>17.46</v>
      </c>
      <c r="F2662" s="231"/>
      <c r="G2662" s="225" t="s">
        <v>5142</v>
      </c>
      <c r="H2662" s="235">
        <f t="shared" si="84"/>
        <v>10.59</v>
      </c>
      <c r="I2662" s="37" t="str">
        <f t="shared" si="83"/>
        <v>MASSA EM TETO</v>
      </c>
    </row>
    <row r="2663" spans="1:12" s="215" customFormat="1" ht="25.5" hidden="1" customHeight="1" outlineLevel="1" x14ac:dyDescent="0.2">
      <c r="A2663" s="239" t="s">
        <v>1279</v>
      </c>
      <c r="B2663" s="224" t="s">
        <v>5225</v>
      </c>
      <c r="C2663" s="225" t="s">
        <v>5226</v>
      </c>
      <c r="D2663" s="226" t="s">
        <v>11</v>
      </c>
      <c r="E2663" s="227">
        <v>17.46</v>
      </c>
      <c r="F2663" s="227"/>
      <c r="G2663" s="229" t="s">
        <v>5144</v>
      </c>
      <c r="H2663" s="235">
        <f t="shared" si="84"/>
        <v>10.59</v>
      </c>
      <c r="I2663" s="37" t="str">
        <f t="shared" si="83"/>
        <v>PINTURA EM TETO</v>
      </c>
      <c r="K2663" s="198"/>
      <c r="L2663" s="198"/>
    </row>
    <row r="2664" spans="1:12" s="215" customFormat="1" ht="38.25" hidden="1" customHeight="1" outlineLevel="1" x14ac:dyDescent="0.2">
      <c r="A2664" s="239" t="s">
        <v>1279</v>
      </c>
      <c r="B2664" s="228" t="s">
        <v>5227</v>
      </c>
      <c r="C2664" s="229" t="s">
        <v>5228</v>
      </c>
      <c r="D2664" s="230" t="s">
        <v>11</v>
      </c>
      <c r="E2664" s="231">
        <v>47.97</v>
      </c>
      <c r="F2664" s="231"/>
      <c r="G2664" s="225" t="s">
        <v>5146</v>
      </c>
      <c r="H2664" s="235">
        <f t="shared" si="84"/>
        <v>4.53</v>
      </c>
      <c r="I2664" s="37" t="str">
        <f t="shared" si="83"/>
        <v>TEXTURA ROLADA EM TETO</v>
      </c>
      <c r="K2664" s="198"/>
      <c r="L2664" s="198"/>
    </row>
    <row r="2665" spans="1:12" s="215" customFormat="1" ht="25.5" hidden="1" customHeight="1" outlineLevel="1" x14ac:dyDescent="0.2">
      <c r="A2665" s="239" t="s">
        <v>1279</v>
      </c>
      <c r="B2665" s="224" t="s">
        <v>5229</v>
      </c>
      <c r="C2665" s="225" t="s">
        <v>5230</v>
      </c>
      <c r="D2665" s="226" t="s">
        <v>11</v>
      </c>
      <c r="E2665" s="227">
        <v>47.97</v>
      </c>
      <c r="F2665" s="227"/>
      <c r="G2665" s="229" t="s">
        <v>5148</v>
      </c>
      <c r="H2665" s="235">
        <f t="shared" si="84"/>
        <v>47.67</v>
      </c>
      <c r="I2665" s="37" t="str">
        <f t="shared" si="83"/>
        <v>TEXTURA ROLADA EM TETO</v>
      </c>
      <c r="K2665" s="198"/>
      <c r="L2665" s="198"/>
    </row>
    <row r="2666" spans="1:12" s="215" customFormat="1" ht="25.5" hidden="1" customHeight="1" outlineLevel="1" x14ac:dyDescent="0.2">
      <c r="A2666" s="239" t="s">
        <v>1279</v>
      </c>
      <c r="B2666" s="228" t="s">
        <v>5231</v>
      </c>
      <c r="C2666" s="229" t="s">
        <v>5134</v>
      </c>
      <c r="D2666" s="230" t="s">
        <v>11</v>
      </c>
      <c r="E2666" s="231">
        <v>9.58</v>
      </c>
      <c r="F2666" s="231"/>
      <c r="G2666" s="225" t="s">
        <v>5150</v>
      </c>
      <c r="H2666" s="235">
        <f t="shared" si="84"/>
        <v>4.34</v>
      </c>
      <c r="I2666" s="37" t="str">
        <f t="shared" si="83"/>
        <v>TEXTURA ROLADA EM TETO</v>
      </c>
      <c r="K2666" s="198"/>
      <c r="L2666" s="198"/>
    </row>
    <row r="2667" spans="1:12" s="215" customFormat="1" ht="25.5" hidden="1" customHeight="1" outlineLevel="1" x14ac:dyDescent="0.2">
      <c r="A2667" s="239" t="s">
        <v>1279</v>
      </c>
      <c r="B2667" s="224" t="s">
        <v>5232</v>
      </c>
      <c r="C2667" s="225" t="s">
        <v>5136</v>
      </c>
      <c r="D2667" s="226" t="s">
        <v>11</v>
      </c>
      <c r="E2667" s="227">
        <v>9.58</v>
      </c>
      <c r="F2667" s="227"/>
      <c r="G2667" s="229" t="s">
        <v>5152</v>
      </c>
      <c r="H2667" s="235">
        <f t="shared" ref="H2667:H2691" si="85">SUMIF($C:$C,G2667,$E:$E)</f>
        <v>14.45</v>
      </c>
      <c r="I2667" s="37" t="str">
        <f t="shared" si="83"/>
        <v>MASSA EM TETO</v>
      </c>
      <c r="K2667" s="198"/>
      <c r="L2667" s="198"/>
    </row>
    <row r="2668" spans="1:12" s="215" customFormat="1" ht="25.5" hidden="1" customHeight="1" outlineLevel="1" x14ac:dyDescent="0.2">
      <c r="A2668" s="239" t="s">
        <v>1279</v>
      </c>
      <c r="B2668" s="228" t="s">
        <v>5233</v>
      </c>
      <c r="C2668" s="229" t="s">
        <v>5234</v>
      </c>
      <c r="D2668" s="230" t="s">
        <v>11</v>
      </c>
      <c r="E2668" s="231">
        <v>54.54</v>
      </c>
      <c r="F2668" s="231"/>
      <c r="G2668" s="225" t="s">
        <v>5154</v>
      </c>
      <c r="H2668" s="235">
        <f t="shared" si="85"/>
        <v>14.45</v>
      </c>
      <c r="I2668" s="37" t="str">
        <f t="shared" ref="I2668:I2691" si="86">TRIM(LEFT(G2668,FIND("-",G2668)-1))</f>
        <v>PINTURA EM TETO</v>
      </c>
      <c r="K2668" s="198"/>
      <c r="L2668" s="198"/>
    </row>
    <row r="2669" spans="1:12" s="215" customFormat="1" ht="25.5" hidden="1" customHeight="1" outlineLevel="1" x14ac:dyDescent="0.2">
      <c r="A2669" s="239" t="s">
        <v>1279</v>
      </c>
      <c r="B2669" s="224" t="s">
        <v>5235</v>
      </c>
      <c r="C2669" s="225" t="s">
        <v>5236</v>
      </c>
      <c r="D2669" s="226" t="s">
        <v>11</v>
      </c>
      <c r="E2669" s="227">
        <v>54.54</v>
      </c>
      <c r="F2669" s="227"/>
      <c r="G2669" s="229" t="s">
        <v>5156</v>
      </c>
      <c r="H2669" s="235">
        <f t="shared" si="85"/>
        <v>7.26</v>
      </c>
      <c r="I2669" s="37" t="str">
        <f t="shared" si="86"/>
        <v>TEXTURA ROLADA EM TETO</v>
      </c>
      <c r="K2669" s="198"/>
      <c r="L2669" s="198"/>
    </row>
    <row r="2670" spans="1:12" s="215" customFormat="1" ht="25.5" hidden="1" customHeight="1" outlineLevel="1" x14ac:dyDescent="0.2">
      <c r="A2670" s="239" t="s">
        <v>1279</v>
      </c>
      <c r="B2670" s="228" t="s">
        <v>5237</v>
      </c>
      <c r="C2670" s="229" t="s">
        <v>5238</v>
      </c>
      <c r="D2670" s="230" t="s">
        <v>11</v>
      </c>
      <c r="E2670" s="231">
        <v>4.2699999999999996</v>
      </c>
      <c r="F2670" s="231"/>
      <c r="G2670" s="225" t="s">
        <v>5193</v>
      </c>
      <c r="H2670" s="235">
        <f t="shared" si="85"/>
        <v>17.010000000000002</v>
      </c>
      <c r="I2670" s="37" t="str">
        <f t="shared" si="86"/>
        <v>MASSA EM TETO</v>
      </c>
      <c r="K2670" s="198"/>
      <c r="L2670" s="198"/>
    </row>
    <row r="2671" spans="1:12" s="215" customFormat="1" ht="25.5" hidden="1" customHeight="1" outlineLevel="1" x14ac:dyDescent="0.2">
      <c r="A2671" s="239" t="s">
        <v>1279</v>
      </c>
      <c r="B2671" s="224" t="s">
        <v>5239</v>
      </c>
      <c r="C2671" s="225" t="s">
        <v>5240</v>
      </c>
      <c r="D2671" s="226" t="s">
        <v>11</v>
      </c>
      <c r="E2671" s="227">
        <v>4.2699999999999996</v>
      </c>
      <c r="F2671" s="227"/>
      <c r="G2671" s="229" t="s">
        <v>5195</v>
      </c>
      <c r="H2671" s="235">
        <f t="shared" si="85"/>
        <v>17.010000000000002</v>
      </c>
      <c r="I2671" s="37" t="str">
        <f t="shared" si="86"/>
        <v>PINTURA EM TETO</v>
      </c>
      <c r="K2671" s="198"/>
      <c r="L2671" s="198"/>
    </row>
    <row r="2672" spans="1:12" s="215" customFormat="1" ht="25.5" hidden="1" customHeight="1" outlineLevel="1" x14ac:dyDescent="0.2">
      <c r="A2672" s="239" t="s">
        <v>1279</v>
      </c>
      <c r="B2672" s="228" t="s">
        <v>5241</v>
      </c>
      <c r="C2672" s="229" t="s">
        <v>5242</v>
      </c>
      <c r="D2672" s="230" t="s">
        <v>11</v>
      </c>
      <c r="E2672" s="231">
        <v>23.54</v>
      </c>
      <c r="F2672" s="231"/>
      <c r="G2672" s="225" t="s">
        <v>5197</v>
      </c>
      <c r="H2672" s="235">
        <f t="shared" si="85"/>
        <v>521.3399999999998</v>
      </c>
      <c r="I2672" s="37" t="str">
        <f t="shared" si="86"/>
        <v>MASSA EM TETO</v>
      </c>
      <c r="K2672" s="198"/>
      <c r="L2672" s="198"/>
    </row>
    <row r="2673" spans="1:12" s="215" customFormat="1" ht="25.5" hidden="1" customHeight="1" outlineLevel="1" x14ac:dyDescent="0.2">
      <c r="A2673" s="239" t="s">
        <v>1279</v>
      </c>
      <c r="B2673" s="224" t="s">
        <v>5243</v>
      </c>
      <c r="C2673" s="225" t="s">
        <v>5244</v>
      </c>
      <c r="D2673" s="226" t="s">
        <v>11</v>
      </c>
      <c r="E2673" s="227">
        <v>23.54</v>
      </c>
      <c r="F2673" s="227"/>
      <c r="G2673" s="229" t="s">
        <v>5199</v>
      </c>
      <c r="H2673" s="235">
        <f t="shared" si="85"/>
        <v>521.3399999999998</v>
      </c>
      <c r="I2673" s="37" t="str">
        <f t="shared" si="86"/>
        <v>PINTURA EM TETO</v>
      </c>
    </row>
    <row r="2674" spans="1:12" s="215" customFormat="1" ht="12.75" hidden="1" customHeight="1" outlineLevel="1" x14ac:dyDescent="0.2">
      <c r="A2674" s="239" t="s">
        <v>1279</v>
      </c>
      <c r="B2674" s="228" t="s">
        <v>5245</v>
      </c>
      <c r="C2674" s="229" t="s">
        <v>5246</v>
      </c>
      <c r="D2674" s="230" t="s">
        <v>11</v>
      </c>
      <c r="E2674" s="231">
        <v>180.12</v>
      </c>
      <c r="F2674" s="231"/>
      <c r="G2674" s="225" t="s">
        <v>5523</v>
      </c>
      <c r="H2674" s="235">
        <f t="shared" si="85"/>
        <v>15.01</v>
      </c>
      <c r="I2674" s="37" t="str">
        <f t="shared" si="86"/>
        <v>MASSA EM TETO</v>
      </c>
    </row>
    <row r="2675" spans="1:12" s="215" customFormat="1" ht="38.25" hidden="1" customHeight="1" outlineLevel="1" x14ac:dyDescent="0.2">
      <c r="A2675" s="239" t="s">
        <v>1279</v>
      </c>
      <c r="B2675" s="224" t="s">
        <v>5247</v>
      </c>
      <c r="C2675" s="225" t="s">
        <v>5248</v>
      </c>
      <c r="D2675" s="226" t="s">
        <v>11</v>
      </c>
      <c r="E2675" s="227">
        <v>180.12</v>
      </c>
      <c r="F2675" s="227"/>
      <c r="G2675" s="229" t="s">
        <v>5525</v>
      </c>
      <c r="H2675" s="235">
        <f t="shared" si="85"/>
        <v>15.01</v>
      </c>
      <c r="I2675" s="37" t="str">
        <f t="shared" si="86"/>
        <v>PINTURA EM TETO</v>
      </c>
    </row>
    <row r="2676" spans="1:12" s="215" customFormat="1" ht="38.25" hidden="1" customHeight="1" outlineLevel="1" x14ac:dyDescent="0.2">
      <c r="A2676" s="239" t="s">
        <v>1279</v>
      </c>
      <c r="B2676" s="228" t="s">
        <v>5249</v>
      </c>
      <c r="C2676" s="229" t="s">
        <v>5197</v>
      </c>
      <c r="D2676" s="230" t="s">
        <v>11</v>
      </c>
      <c r="E2676" s="231">
        <v>21.27</v>
      </c>
      <c r="F2676" s="231"/>
      <c r="G2676" s="225" t="s">
        <v>5252</v>
      </c>
      <c r="H2676" s="235">
        <f t="shared" si="85"/>
        <v>4.43</v>
      </c>
      <c r="I2676" s="37" t="str">
        <f t="shared" si="86"/>
        <v>MASSA EM TETO</v>
      </c>
    </row>
    <row r="2677" spans="1:12" s="215" customFormat="1" ht="25.5" hidden="1" customHeight="1" outlineLevel="1" x14ac:dyDescent="0.2">
      <c r="A2677" s="239" t="s">
        <v>1279</v>
      </c>
      <c r="B2677" s="224" t="s">
        <v>5250</v>
      </c>
      <c r="C2677" s="225" t="s">
        <v>5199</v>
      </c>
      <c r="D2677" s="226" t="s">
        <v>11</v>
      </c>
      <c r="E2677" s="227">
        <v>21.27</v>
      </c>
      <c r="F2677" s="227"/>
      <c r="G2677" s="229" t="s">
        <v>5254</v>
      </c>
      <c r="H2677" s="235">
        <f t="shared" si="85"/>
        <v>4.43</v>
      </c>
      <c r="I2677" s="37" t="str">
        <f t="shared" si="86"/>
        <v>PINTURA EM TETO</v>
      </c>
    </row>
    <row r="2678" spans="1:12" s="215" customFormat="1" ht="25.5" hidden="1" customHeight="1" outlineLevel="1" x14ac:dyDescent="0.2">
      <c r="A2678" s="239" t="s">
        <v>1279</v>
      </c>
      <c r="B2678" s="228" t="s">
        <v>5251</v>
      </c>
      <c r="C2678" s="229" t="s">
        <v>5252</v>
      </c>
      <c r="D2678" s="230" t="s">
        <v>11</v>
      </c>
      <c r="E2678" s="231">
        <v>4.43</v>
      </c>
      <c r="F2678" s="231"/>
      <c r="G2678" s="225" t="s">
        <v>5201</v>
      </c>
      <c r="H2678" s="235">
        <f t="shared" si="85"/>
        <v>37.44</v>
      </c>
      <c r="I2678" s="37" t="str">
        <f t="shared" si="86"/>
        <v>MASSA EM TETO</v>
      </c>
    </row>
    <row r="2679" spans="1:12" s="215" customFormat="1" ht="25.5" hidden="1" customHeight="1" outlineLevel="1" x14ac:dyDescent="0.2">
      <c r="A2679" s="239" t="s">
        <v>1279</v>
      </c>
      <c r="B2679" s="224" t="s">
        <v>5253</v>
      </c>
      <c r="C2679" s="225" t="s">
        <v>5254</v>
      </c>
      <c r="D2679" s="226" t="s">
        <v>11</v>
      </c>
      <c r="E2679" s="227">
        <v>4.43</v>
      </c>
      <c r="F2679" s="227"/>
      <c r="G2679" s="229" t="s">
        <v>5203</v>
      </c>
      <c r="H2679" s="235">
        <f t="shared" si="85"/>
        <v>37.44</v>
      </c>
      <c r="I2679" s="37" t="str">
        <f t="shared" si="86"/>
        <v>PINTURA EM TETO</v>
      </c>
    </row>
    <row r="2680" spans="1:12" s="215" customFormat="1" ht="25.5" hidden="1" customHeight="1" outlineLevel="1" x14ac:dyDescent="0.2">
      <c r="A2680" s="239" t="s">
        <v>1279</v>
      </c>
      <c r="B2680" s="228" t="s">
        <v>5255</v>
      </c>
      <c r="C2680" s="229" t="s">
        <v>5256</v>
      </c>
      <c r="D2680" s="230" t="s">
        <v>11</v>
      </c>
      <c r="E2680" s="231">
        <v>3.05</v>
      </c>
      <c r="F2680" s="231"/>
      <c r="G2680" s="225" t="s">
        <v>5205</v>
      </c>
      <c r="H2680" s="235">
        <f t="shared" si="85"/>
        <v>9.81</v>
      </c>
      <c r="I2680" s="37" t="str">
        <f t="shared" si="86"/>
        <v>MASSA EM TETO</v>
      </c>
    </row>
    <row r="2681" spans="1:12" s="215" customFormat="1" ht="25.5" hidden="1" customHeight="1" outlineLevel="1" x14ac:dyDescent="0.2">
      <c r="A2681" s="239" t="s">
        <v>1279</v>
      </c>
      <c r="B2681" s="224" t="s">
        <v>5257</v>
      </c>
      <c r="C2681" s="225" t="s">
        <v>5258</v>
      </c>
      <c r="D2681" s="226" t="s">
        <v>11</v>
      </c>
      <c r="E2681" s="227">
        <v>3.05</v>
      </c>
      <c r="F2681" s="227"/>
      <c r="G2681" s="229" t="s">
        <v>5207</v>
      </c>
      <c r="H2681" s="235">
        <f t="shared" si="85"/>
        <v>9.81</v>
      </c>
      <c r="I2681" s="37" t="str">
        <f t="shared" si="86"/>
        <v>PINTURA EM TETO</v>
      </c>
    </row>
    <row r="2682" spans="1:12" s="215" customFormat="1" ht="25.5" hidden="1" customHeight="1" outlineLevel="1" x14ac:dyDescent="0.2">
      <c r="A2682" s="239" t="s">
        <v>1279</v>
      </c>
      <c r="B2682" s="216" t="s">
        <v>2395</v>
      </c>
      <c r="C2682" s="217" t="s">
        <v>2961</v>
      </c>
      <c r="D2682" s="218"/>
      <c r="E2682" s="219"/>
      <c r="F2682" s="219"/>
      <c r="G2682" s="225" t="s">
        <v>5158</v>
      </c>
      <c r="H2682" s="235">
        <f t="shared" si="85"/>
        <v>7.37</v>
      </c>
      <c r="I2682" s="37" t="str">
        <f t="shared" si="86"/>
        <v>MASSA EM TETO</v>
      </c>
    </row>
    <row r="2683" spans="1:12" s="215" customFormat="1" ht="25.5" hidden="1" customHeight="1" outlineLevel="1" x14ac:dyDescent="0.2">
      <c r="A2683" s="239" t="s">
        <v>1279</v>
      </c>
      <c r="B2683" s="228" t="s">
        <v>2396</v>
      </c>
      <c r="C2683" s="229" t="s">
        <v>5224</v>
      </c>
      <c r="D2683" s="230" t="s">
        <v>11</v>
      </c>
      <c r="E2683" s="231">
        <v>41.08</v>
      </c>
      <c r="F2683" s="231"/>
      <c r="G2683" s="229" t="s">
        <v>5160</v>
      </c>
      <c r="H2683" s="235">
        <f t="shared" si="85"/>
        <v>7.37</v>
      </c>
      <c r="I2683" s="37" t="str">
        <f t="shared" si="86"/>
        <v>PINTURA EM TETO</v>
      </c>
    </row>
    <row r="2684" spans="1:12" s="215" customFormat="1" ht="25.5" hidden="1" customHeight="1" outlineLevel="1" x14ac:dyDescent="0.2">
      <c r="A2684" s="239" t="s">
        <v>1279</v>
      </c>
      <c r="B2684" s="224" t="s">
        <v>5259</v>
      </c>
      <c r="C2684" s="225" t="s">
        <v>5226</v>
      </c>
      <c r="D2684" s="226" t="s">
        <v>11</v>
      </c>
      <c r="E2684" s="227">
        <v>41.08</v>
      </c>
      <c r="F2684" s="227"/>
      <c r="G2684" s="225" t="s">
        <v>5446</v>
      </c>
      <c r="H2684" s="235">
        <f t="shared" si="85"/>
        <v>8.66</v>
      </c>
      <c r="I2684" s="37" t="str">
        <f t="shared" si="86"/>
        <v>MASSA EM TETO</v>
      </c>
    </row>
    <row r="2685" spans="1:12" s="215" customFormat="1" ht="25.5" hidden="1" customHeight="1" outlineLevel="1" x14ac:dyDescent="0.2">
      <c r="A2685" s="239" t="s">
        <v>1279</v>
      </c>
      <c r="B2685" s="228" t="s">
        <v>5260</v>
      </c>
      <c r="C2685" s="229" t="s">
        <v>5261</v>
      </c>
      <c r="D2685" s="230" t="s">
        <v>11</v>
      </c>
      <c r="E2685" s="231">
        <v>4.68</v>
      </c>
      <c r="F2685" s="231"/>
      <c r="G2685" s="229" t="s">
        <v>5448</v>
      </c>
      <c r="H2685" s="235">
        <f t="shared" si="85"/>
        <v>8.66</v>
      </c>
      <c r="I2685" s="37" t="str">
        <f t="shared" si="86"/>
        <v>PINTURA EM TETO</v>
      </c>
      <c r="K2685" s="238"/>
      <c r="L2685" s="238"/>
    </row>
    <row r="2686" spans="1:12" s="215" customFormat="1" ht="25.5" hidden="1" customHeight="1" outlineLevel="1" x14ac:dyDescent="0.2">
      <c r="A2686" s="239" t="s">
        <v>1279</v>
      </c>
      <c r="B2686" s="224" t="s">
        <v>5262</v>
      </c>
      <c r="C2686" s="225" t="s">
        <v>5263</v>
      </c>
      <c r="D2686" s="226" t="s">
        <v>11</v>
      </c>
      <c r="E2686" s="227">
        <v>4.68</v>
      </c>
      <c r="F2686" s="227"/>
      <c r="G2686" s="225" t="s">
        <v>5209</v>
      </c>
      <c r="H2686" s="235">
        <f t="shared" si="85"/>
        <v>9.48</v>
      </c>
      <c r="I2686" s="37" t="str">
        <f t="shared" si="86"/>
        <v>MASSA EM TETO</v>
      </c>
    </row>
    <row r="2687" spans="1:12" s="215" customFormat="1" ht="12.75" hidden="1" customHeight="1" outlineLevel="1" x14ac:dyDescent="0.2">
      <c r="A2687" s="239" t="s">
        <v>1279</v>
      </c>
      <c r="B2687" s="228" t="s">
        <v>5264</v>
      </c>
      <c r="C2687" s="229" t="s">
        <v>5228</v>
      </c>
      <c r="D2687" s="230" t="s">
        <v>11</v>
      </c>
      <c r="E2687" s="231">
        <v>91.1</v>
      </c>
      <c r="F2687" s="231"/>
      <c r="G2687" s="229" t="s">
        <v>5211</v>
      </c>
      <c r="H2687" s="235">
        <f t="shared" si="85"/>
        <v>9.48</v>
      </c>
      <c r="I2687" s="37" t="str">
        <f t="shared" si="86"/>
        <v>PINTURA EM TETO</v>
      </c>
    </row>
    <row r="2688" spans="1:12" s="215" customFormat="1" ht="38.25" hidden="1" customHeight="1" outlineLevel="1" x14ac:dyDescent="0.2">
      <c r="A2688" s="239" t="s">
        <v>1279</v>
      </c>
      <c r="B2688" s="224" t="s">
        <v>5265</v>
      </c>
      <c r="C2688" s="225" t="s">
        <v>5230</v>
      </c>
      <c r="D2688" s="226" t="s">
        <v>11</v>
      </c>
      <c r="E2688" s="227">
        <v>91.1</v>
      </c>
      <c r="F2688" s="227"/>
      <c r="G2688" s="225" t="s">
        <v>5213</v>
      </c>
      <c r="H2688" s="235">
        <f t="shared" si="85"/>
        <v>6.42</v>
      </c>
      <c r="I2688" s="37" t="str">
        <f t="shared" si="86"/>
        <v>MASSA EM TETO</v>
      </c>
    </row>
    <row r="2689" spans="1:9" s="215" customFormat="1" ht="25.5" hidden="1" customHeight="1" outlineLevel="1" x14ac:dyDescent="0.2">
      <c r="A2689" s="239" t="s">
        <v>1279</v>
      </c>
      <c r="B2689" s="228" t="s">
        <v>5266</v>
      </c>
      <c r="C2689" s="229" t="s">
        <v>5267</v>
      </c>
      <c r="D2689" s="230" t="s">
        <v>11</v>
      </c>
      <c r="E2689" s="231">
        <v>47.42</v>
      </c>
      <c r="F2689" s="231"/>
      <c r="G2689" s="229" t="s">
        <v>5215</v>
      </c>
      <c r="H2689" s="235">
        <f t="shared" si="85"/>
        <v>6.42</v>
      </c>
      <c r="I2689" s="37" t="str">
        <f t="shared" si="86"/>
        <v>PINTURA EM TETO</v>
      </c>
    </row>
    <row r="2690" spans="1:9" s="215" customFormat="1" ht="25.5" hidden="1" customHeight="1" outlineLevel="1" x14ac:dyDescent="0.2">
      <c r="A2690" s="239" t="s">
        <v>1279</v>
      </c>
      <c r="B2690" s="224" t="s">
        <v>5268</v>
      </c>
      <c r="C2690" s="225" t="s">
        <v>5269</v>
      </c>
      <c r="D2690" s="226" t="s">
        <v>11</v>
      </c>
      <c r="E2690" s="227">
        <v>47.42</v>
      </c>
      <c r="F2690" s="227"/>
      <c r="G2690" s="225" t="s">
        <v>5256</v>
      </c>
      <c r="H2690" s="235">
        <f t="shared" si="85"/>
        <v>3.05</v>
      </c>
      <c r="I2690" s="37" t="str">
        <f t="shared" si="86"/>
        <v>MASSA EM TETO</v>
      </c>
    </row>
    <row r="2691" spans="1:9" s="215" customFormat="1" ht="25.5" hidden="1" customHeight="1" outlineLevel="1" x14ac:dyDescent="0.2">
      <c r="A2691" s="239" t="s">
        <v>1279</v>
      </c>
      <c r="B2691" s="228" t="s">
        <v>5270</v>
      </c>
      <c r="C2691" s="229" t="s">
        <v>5134</v>
      </c>
      <c r="D2691" s="230" t="s">
        <v>11</v>
      </c>
      <c r="E2691" s="231">
        <v>9.67</v>
      </c>
      <c r="F2691" s="231"/>
      <c r="G2691" s="229" t="s">
        <v>5258</v>
      </c>
      <c r="H2691" s="235">
        <f t="shared" si="85"/>
        <v>3.05</v>
      </c>
      <c r="I2691" s="37" t="str">
        <f t="shared" si="86"/>
        <v>PINTURA EM TETO</v>
      </c>
    </row>
    <row r="2692" spans="1:9" s="215" customFormat="1" ht="25.5" hidden="1" customHeight="1" outlineLevel="1" x14ac:dyDescent="0.2">
      <c r="A2692" s="239" t="s">
        <v>1279</v>
      </c>
      <c r="B2692" s="224" t="s">
        <v>5271</v>
      </c>
      <c r="C2692" s="225" t="s">
        <v>5136</v>
      </c>
      <c r="D2692" s="226" t="s">
        <v>11</v>
      </c>
      <c r="E2692" s="227">
        <v>9.67</v>
      </c>
      <c r="F2692" s="227"/>
    </row>
    <row r="2693" spans="1:9" s="215" customFormat="1" ht="25.5" hidden="1" customHeight="1" outlineLevel="1" x14ac:dyDescent="0.2">
      <c r="A2693" s="239" t="s">
        <v>1279</v>
      </c>
      <c r="B2693" s="228" t="s">
        <v>5272</v>
      </c>
      <c r="C2693" s="229" t="s">
        <v>5234</v>
      </c>
      <c r="D2693" s="230" t="s">
        <v>11</v>
      </c>
      <c r="E2693" s="231">
        <v>111.65</v>
      </c>
      <c r="F2693" s="231"/>
    </row>
    <row r="2694" spans="1:9" s="215" customFormat="1" ht="25.5" hidden="1" customHeight="1" outlineLevel="1" x14ac:dyDescent="0.2">
      <c r="A2694" s="239" t="s">
        <v>1279</v>
      </c>
      <c r="B2694" s="224" t="s">
        <v>5273</v>
      </c>
      <c r="C2694" s="225" t="s">
        <v>5236</v>
      </c>
      <c r="D2694" s="226" t="s">
        <v>11</v>
      </c>
      <c r="E2694" s="227">
        <v>111.65</v>
      </c>
      <c r="F2694" s="227"/>
    </row>
    <row r="2695" spans="1:9" s="215" customFormat="1" ht="25.5" hidden="1" customHeight="1" outlineLevel="1" x14ac:dyDescent="0.2">
      <c r="A2695" s="239" t="s">
        <v>1279</v>
      </c>
      <c r="B2695" s="228" t="s">
        <v>5274</v>
      </c>
      <c r="C2695" s="229" t="s">
        <v>5242</v>
      </c>
      <c r="D2695" s="230" t="s">
        <v>11</v>
      </c>
      <c r="E2695" s="231">
        <v>50.16</v>
      </c>
      <c r="F2695" s="231"/>
    </row>
    <row r="2696" spans="1:9" s="215" customFormat="1" ht="25.5" hidden="1" customHeight="1" outlineLevel="1" x14ac:dyDescent="0.2">
      <c r="A2696" s="239" t="s">
        <v>1279</v>
      </c>
      <c r="B2696" s="224" t="s">
        <v>5275</v>
      </c>
      <c r="C2696" s="225" t="s">
        <v>5244</v>
      </c>
      <c r="D2696" s="226" t="s">
        <v>11</v>
      </c>
      <c r="E2696" s="227">
        <v>50.16</v>
      </c>
      <c r="F2696" s="227"/>
    </row>
    <row r="2697" spans="1:9" s="215" customFormat="1" ht="25.5" hidden="1" customHeight="1" outlineLevel="1" x14ac:dyDescent="0.2">
      <c r="A2697" s="239" t="s">
        <v>1279</v>
      </c>
      <c r="B2697" s="228" t="s">
        <v>5276</v>
      </c>
      <c r="C2697" s="229" t="s">
        <v>5197</v>
      </c>
      <c r="D2697" s="230" t="s">
        <v>11</v>
      </c>
      <c r="E2697" s="231">
        <v>48.1</v>
      </c>
      <c r="F2697" s="231"/>
    </row>
    <row r="2698" spans="1:9" s="215" customFormat="1" ht="12.75" hidden="1" customHeight="1" outlineLevel="1" x14ac:dyDescent="0.2">
      <c r="A2698" s="239" t="s">
        <v>1279</v>
      </c>
      <c r="B2698" s="224" t="s">
        <v>5277</v>
      </c>
      <c r="C2698" s="225" t="s">
        <v>5199</v>
      </c>
      <c r="D2698" s="226" t="s">
        <v>11</v>
      </c>
      <c r="E2698" s="227">
        <v>48.1</v>
      </c>
      <c r="F2698" s="227"/>
    </row>
    <row r="2699" spans="1:9" s="215" customFormat="1" ht="38.25" hidden="1" customHeight="1" outlineLevel="1" x14ac:dyDescent="0.2">
      <c r="A2699" s="239" t="s">
        <v>1279</v>
      </c>
      <c r="B2699" s="216" t="s">
        <v>2397</v>
      </c>
      <c r="C2699" s="217" t="s">
        <v>2962</v>
      </c>
      <c r="D2699" s="218"/>
      <c r="E2699" s="219"/>
      <c r="F2699" s="219"/>
    </row>
    <row r="2700" spans="1:9" s="215" customFormat="1" ht="38.25" hidden="1" customHeight="1" outlineLevel="1" x14ac:dyDescent="0.2">
      <c r="A2700" s="239" t="s">
        <v>1279</v>
      </c>
      <c r="B2700" s="228" t="s">
        <v>2398</v>
      </c>
      <c r="C2700" s="229" t="s">
        <v>5224</v>
      </c>
      <c r="D2700" s="230" t="s">
        <v>11</v>
      </c>
      <c r="E2700" s="231">
        <v>29.88</v>
      </c>
      <c r="F2700" s="231"/>
    </row>
    <row r="2701" spans="1:9" s="215" customFormat="1" ht="25.5" hidden="1" customHeight="1" outlineLevel="1" x14ac:dyDescent="0.2">
      <c r="A2701" s="239" t="s">
        <v>1279</v>
      </c>
      <c r="B2701" s="224" t="s">
        <v>5278</v>
      </c>
      <c r="C2701" s="225" t="s">
        <v>5226</v>
      </c>
      <c r="D2701" s="226" t="s">
        <v>11</v>
      </c>
      <c r="E2701" s="227">
        <v>29.88</v>
      </c>
      <c r="F2701" s="227"/>
      <c r="G2701" s="520" t="s">
        <v>1732</v>
      </c>
      <c r="H2701" s="234">
        <f>H2703+H2797</f>
        <v>10851.49</v>
      </c>
      <c r="I2701" s="242" t="str">
        <f>IF(H2701=H2602,"OKAY","REVER")</f>
        <v>OKAY</v>
      </c>
    </row>
    <row r="2702" spans="1:9" s="215" customFormat="1" ht="25.5" hidden="1" customHeight="1" outlineLevel="1" x14ac:dyDescent="0.2">
      <c r="A2702" s="239" t="s">
        <v>1279</v>
      </c>
      <c r="B2702" s="228" t="s">
        <v>5279</v>
      </c>
      <c r="C2702" s="229" t="s">
        <v>5228</v>
      </c>
      <c r="D2702" s="230" t="s">
        <v>11</v>
      </c>
      <c r="E2702" s="231">
        <v>83.2</v>
      </c>
      <c r="F2702" s="231"/>
      <c r="G2702" s="232"/>
      <c r="H2702" s="232"/>
      <c r="I2702" s="242"/>
    </row>
    <row r="2703" spans="1:9" s="215" customFormat="1" ht="25.5" hidden="1" customHeight="1" outlineLevel="1" x14ac:dyDescent="0.2">
      <c r="A2703" s="239" t="s">
        <v>1279</v>
      </c>
      <c r="B2703" s="224" t="s">
        <v>5280</v>
      </c>
      <c r="C2703" s="225" t="s">
        <v>5230</v>
      </c>
      <c r="D2703" s="226" t="s">
        <v>11</v>
      </c>
      <c r="E2703" s="227">
        <v>83.2</v>
      </c>
      <c r="F2703" s="227"/>
      <c r="G2703" s="520" t="str">
        <f>$A$1</f>
        <v>EMBASSAMENTO</v>
      </c>
      <c r="H2703" s="234">
        <f>SUM(H2704:H2792)</f>
        <v>922.26999999999975</v>
      </c>
      <c r="I2703" s="242"/>
    </row>
    <row r="2704" spans="1:9" s="215" customFormat="1" ht="25.5" hidden="1" customHeight="1" outlineLevel="1" x14ac:dyDescent="0.2">
      <c r="A2704" s="239" t="s">
        <v>1279</v>
      </c>
      <c r="B2704" s="228" t="s">
        <v>5281</v>
      </c>
      <c r="C2704" s="229" t="s">
        <v>5134</v>
      </c>
      <c r="D2704" s="230" t="s">
        <v>11</v>
      </c>
      <c r="E2704" s="231">
        <v>9.67</v>
      </c>
      <c r="F2704" s="231"/>
      <c r="G2704" s="229" t="s">
        <v>5118</v>
      </c>
      <c r="H2704" s="235">
        <f t="shared" ref="H2704:H2735" si="87">SUMIFS($E:$E,$C:$C,G2704,$A:$A,$G$22)</f>
        <v>2.4300000000000002</v>
      </c>
      <c r="I2704" s="242"/>
    </row>
    <row r="2705" spans="1:12" s="215" customFormat="1" ht="12.75" hidden="1" customHeight="1" outlineLevel="1" x14ac:dyDescent="0.2">
      <c r="A2705" s="239" t="s">
        <v>1279</v>
      </c>
      <c r="B2705" s="224" t="s">
        <v>5282</v>
      </c>
      <c r="C2705" s="225" t="s">
        <v>5136</v>
      </c>
      <c r="D2705" s="226" t="s">
        <v>11</v>
      </c>
      <c r="E2705" s="227">
        <v>9.67</v>
      </c>
      <c r="F2705" s="227"/>
      <c r="G2705" s="225" t="s">
        <v>5216</v>
      </c>
      <c r="H2705" s="235">
        <f t="shared" si="87"/>
        <v>0</v>
      </c>
      <c r="I2705" s="241"/>
    </row>
    <row r="2706" spans="1:12" s="215" customFormat="1" ht="25.5" hidden="1" customHeight="1" outlineLevel="1" x14ac:dyDescent="0.2">
      <c r="A2706" s="239" t="s">
        <v>1279</v>
      </c>
      <c r="B2706" s="228" t="s">
        <v>5283</v>
      </c>
      <c r="C2706" s="229" t="s">
        <v>5234</v>
      </c>
      <c r="D2706" s="230" t="s">
        <v>11</v>
      </c>
      <c r="E2706" s="231">
        <v>83.29</v>
      </c>
      <c r="F2706" s="231"/>
      <c r="G2706" s="229" t="s">
        <v>5218</v>
      </c>
      <c r="H2706" s="235">
        <f t="shared" si="87"/>
        <v>0</v>
      </c>
      <c r="I2706" s="241"/>
      <c r="K2706" s="198"/>
      <c r="L2706" s="198"/>
    </row>
    <row r="2707" spans="1:12" s="215" customFormat="1" ht="38.25" hidden="1" customHeight="1" outlineLevel="1" x14ac:dyDescent="0.2">
      <c r="A2707" s="239" t="s">
        <v>1279</v>
      </c>
      <c r="B2707" s="224" t="s">
        <v>5284</v>
      </c>
      <c r="C2707" s="225" t="s">
        <v>5236</v>
      </c>
      <c r="D2707" s="226" t="s">
        <v>11</v>
      </c>
      <c r="E2707" s="227">
        <v>83.29</v>
      </c>
      <c r="F2707" s="227"/>
      <c r="G2707" s="225" t="s">
        <v>5120</v>
      </c>
      <c r="H2707" s="235">
        <f t="shared" si="87"/>
        <v>5.84</v>
      </c>
      <c r="I2707" s="241"/>
      <c r="K2707" s="198"/>
      <c r="L2707" s="198"/>
    </row>
    <row r="2708" spans="1:12" s="215" customFormat="1" ht="25.5" hidden="1" customHeight="1" outlineLevel="1" x14ac:dyDescent="0.2">
      <c r="A2708" s="239" t="s">
        <v>1279</v>
      </c>
      <c r="B2708" s="228" t="s">
        <v>5285</v>
      </c>
      <c r="C2708" s="229" t="s">
        <v>5242</v>
      </c>
      <c r="D2708" s="230" t="s">
        <v>11</v>
      </c>
      <c r="E2708" s="231">
        <v>50.16</v>
      </c>
      <c r="F2708" s="231"/>
      <c r="G2708" s="229" t="s">
        <v>5122</v>
      </c>
      <c r="H2708" s="235">
        <f t="shared" si="87"/>
        <v>5.84</v>
      </c>
      <c r="I2708" s="241"/>
      <c r="K2708" s="198"/>
      <c r="L2708" s="198"/>
    </row>
    <row r="2709" spans="1:12" s="215" customFormat="1" ht="25.5" hidden="1" customHeight="1" outlineLevel="1" x14ac:dyDescent="0.2">
      <c r="A2709" s="239" t="s">
        <v>1279</v>
      </c>
      <c r="B2709" s="224" t="s">
        <v>5286</v>
      </c>
      <c r="C2709" s="225" t="s">
        <v>5244</v>
      </c>
      <c r="D2709" s="226" t="s">
        <v>11</v>
      </c>
      <c r="E2709" s="227">
        <v>50.16</v>
      </c>
      <c r="F2709" s="227"/>
      <c r="G2709" s="225" t="s">
        <v>5515</v>
      </c>
      <c r="H2709" s="235">
        <f t="shared" si="87"/>
        <v>0</v>
      </c>
      <c r="I2709" s="241"/>
      <c r="K2709" s="198"/>
      <c r="L2709" s="198"/>
    </row>
    <row r="2710" spans="1:12" s="215" customFormat="1" ht="25.5" hidden="1" customHeight="1" outlineLevel="1" x14ac:dyDescent="0.2">
      <c r="A2710" s="239" t="s">
        <v>1279</v>
      </c>
      <c r="B2710" s="228" t="s">
        <v>5287</v>
      </c>
      <c r="C2710" s="229" t="s">
        <v>5288</v>
      </c>
      <c r="D2710" s="230" t="s">
        <v>11</v>
      </c>
      <c r="E2710" s="231">
        <v>1.3</v>
      </c>
      <c r="F2710" s="231"/>
      <c r="G2710" s="229" t="s">
        <v>5517</v>
      </c>
      <c r="H2710" s="235">
        <f t="shared" si="87"/>
        <v>0</v>
      </c>
      <c r="I2710" s="241"/>
      <c r="K2710" s="198"/>
      <c r="L2710" s="198"/>
    </row>
    <row r="2711" spans="1:12" s="215" customFormat="1" ht="25.5" hidden="1" customHeight="1" outlineLevel="1" x14ac:dyDescent="0.2">
      <c r="A2711" s="239" t="s">
        <v>1279</v>
      </c>
      <c r="B2711" s="224" t="s">
        <v>5289</v>
      </c>
      <c r="C2711" s="225" t="s">
        <v>5290</v>
      </c>
      <c r="D2711" s="226" t="s">
        <v>11</v>
      </c>
      <c r="E2711" s="227">
        <v>1.3</v>
      </c>
      <c r="F2711" s="227"/>
      <c r="G2711" s="225" t="s">
        <v>5220</v>
      </c>
      <c r="H2711" s="235">
        <f t="shared" si="87"/>
        <v>0</v>
      </c>
      <c r="I2711" s="241"/>
      <c r="K2711" s="198"/>
      <c r="L2711" s="198"/>
    </row>
    <row r="2712" spans="1:12" s="215" customFormat="1" ht="25.5" hidden="1" customHeight="1" outlineLevel="1" x14ac:dyDescent="0.2">
      <c r="A2712" s="239" t="s">
        <v>1279</v>
      </c>
      <c r="B2712" s="228" t="s">
        <v>5291</v>
      </c>
      <c r="C2712" s="229" t="s">
        <v>5197</v>
      </c>
      <c r="D2712" s="230" t="s">
        <v>11</v>
      </c>
      <c r="E2712" s="231">
        <v>26.83</v>
      </c>
      <c r="F2712" s="231"/>
      <c r="G2712" s="229" t="s">
        <v>5222</v>
      </c>
      <c r="H2712" s="235">
        <f t="shared" si="87"/>
        <v>0</v>
      </c>
      <c r="I2712" s="241"/>
      <c r="K2712" s="198"/>
      <c r="L2712" s="198"/>
    </row>
    <row r="2713" spans="1:12" s="215" customFormat="1" ht="25.5" hidden="1" customHeight="1" outlineLevel="1" x14ac:dyDescent="0.2">
      <c r="A2713" s="239" t="s">
        <v>1279</v>
      </c>
      <c r="B2713" s="224" t="s">
        <v>5292</v>
      </c>
      <c r="C2713" s="225" t="s">
        <v>5199</v>
      </c>
      <c r="D2713" s="226" t="s">
        <v>11</v>
      </c>
      <c r="E2713" s="227">
        <v>26.83</v>
      </c>
      <c r="F2713" s="227"/>
      <c r="G2713" s="225" t="s">
        <v>5537</v>
      </c>
      <c r="H2713" s="235">
        <f t="shared" si="87"/>
        <v>0</v>
      </c>
      <c r="I2713" s="241"/>
      <c r="K2713" s="198"/>
      <c r="L2713" s="198"/>
    </row>
    <row r="2714" spans="1:12" s="215" customFormat="1" ht="25.5" hidden="1" customHeight="1" outlineLevel="1" x14ac:dyDescent="0.2">
      <c r="A2714" s="239" t="s">
        <v>1279</v>
      </c>
      <c r="B2714" s="216" t="s">
        <v>5293</v>
      </c>
      <c r="C2714" s="217" t="s">
        <v>2963</v>
      </c>
      <c r="D2714" s="218"/>
      <c r="E2714" s="219"/>
      <c r="F2714" s="219"/>
      <c r="G2714" s="229" t="s">
        <v>5224</v>
      </c>
      <c r="H2714" s="235">
        <f t="shared" si="87"/>
        <v>0</v>
      </c>
      <c r="I2714" s="241"/>
      <c r="K2714" s="198"/>
      <c r="L2714" s="198"/>
    </row>
    <row r="2715" spans="1:12" s="215" customFormat="1" ht="25.5" hidden="1" customHeight="1" outlineLevel="1" x14ac:dyDescent="0.2">
      <c r="A2715" s="239" t="s">
        <v>1279</v>
      </c>
      <c r="B2715" s="228" t="s">
        <v>5294</v>
      </c>
      <c r="C2715" s="229" t="s">
        <v>5224</v>
      </c>
      <c r="D2715" s="230" t="s">
        <v>11</v>
      </c>
      <c r="E2715" s="231">
        <v>29.6</v>
      </c>
      <c r="F2715" s="231"/>
      <c r="G2715" s="225" t="s">
        <v>5226</v>
      </c>
      <c r="H2715" s="235">
        <f t="shared" si="87"/>
        <v>0</v>
      </c>
      <c r="I2715" s="241"/>
      <c r="K2715" s="198"/>
      <c r="L2715" s="198"/>
    </row>
    <row r="2716" spans="1:12" s="215" customFormat="1" ht="25.5" hidden="1" customHeight="1" outlineLevel="1" x14ac:dyDescent="0.2">
      <c r="A2716" s="239" t="s">
        <v>1279</v>
      </c>
      <c r="B2716" s="224" t="s">
        <v>5295</v>
      </c>
      <c r="C2716" s="225" t="s">
        <v>5226</v>
      </c>
      <c r="D2716" s="226" t="s">
        <v>11</v>
      </c>
      <c r="E2716" s="227">
        <v>29.6</v>
      </c>
      <c r="F2716" s="227"/>
      <c r="G2716" s="229" t="s">
        <v>5261</v>
      </c>
      <c r="H2716" s="235">
        <f t="shared" si="87"/>
        <v>0</v>
      </c>
      <c r="I2716" s="241"/>
    </row>
    <row r="2717" spans="1:12" s="215" customFormat="1" ht="12.75" hidden="1" customHeight="1" outlineLevel="1" x14ac:dyDescent="0.2">
      <c r="A2717" s="239" t="s">
        <v>1279</v>
      </c>
      <c r="B2717" s="228" t="s">
        <v>5296</v>
      </c>
      <c r="C2717" s="229" t="s">
        <v>5228</v>
      </c>
      <c r="D2717" s="230" t="s">
        <v>11</v>
      </c>
      <c r="E2717" s="231">
        <v>101.73</v>
      </c>
      <c r="F2717" s="231"/>
      <c r="G2717" s="225" t="s">
        <v>5263</v>
      </c>
      <c r="H2717" s="235">
        <f t="shared" si="87"/>
        <v>0</v>
      </c>
      <c r="I2717" s="241"/>
    </row>
    <row r="2718" spans="1:12" s="215" customFormat="1" ht="38.25" hidden="1" customHeight="1" outlineLevel="1" x14ac:dyDescent="0.2">
      <c r="A2718" s="239" t="s">
        <v>1279</v>
      </c>
      <c r="B2718" s="224" t="s">
        <v>5297</v>
      </c>
      <c r="C2718" s="225" t="s">
        <v>5230</v>
      </c>
      <c r="D2718" s="226" t="s">
        <v>11</v>
      </c>
      <c r="E2718" s="227">
        <v>101.73</v>
      </c>
      <c r="F2718" s="227"/>
      <c r="G2718" s="229" t="s">
        <v>5161</v>
      </c>
      <c r="H2718" s="235">
        <f t="shared" si="87"/>
        <v>12.55</v>
      </c>
      <c r="I2718" s="241"/>
    </row>
    <row r="2719" spans="1:12" s="215" customFormat="1" ht="38.25" hidden="1" customHeight="1" outlineLevel="1" x14ac:dyDescent="0.2">
      <c r="A2719" s="239" t="s">
        <v>1279</v>
      </c>
      <c r="B2719" s="228" t="s">
        <v>5298</v>
      </c>
      <c r="C2719" s="229" t="s">
        <v>5267</v>
      </c>
      <c r="D2719" s="230" t="s">
        <v>11</v>
      </c>
      <c r="E2719" s="231">
        <v>17.93</v>
      </c>
      <c r="F2719" s="231"/>
      <c r="G2719" s="225" t="s">
        <v>5163</v>
      </c>
      <c r="H2719" s="235">
        <f t="shared" si="87"/>
        <v>12.55</v>
      </c>
      <c r="I2719" s="241"/>
    </row>
    <row r="2720" spans="1:12" s="215" customFormat="1" ht="25.5" hidden="1" customHeight="1" outlineLevel="1" x14ac:dyDescent="0.2">
      <c r="A2720" s="239" t="s">
        <v>1279</v>
      </c>
      <c r="B2720" s="224" t="s">
        <v>5299</v>
      </c>
      <c r="C2720" s="225" t="s">
        <v>5269</v>
      </c>
      <c r="D2720" s="226" t="s">
        <v>11</v>
      </c>
      <c r="E2720" s="227">
        <v>17.93</v>
      </c>
      <c r="F2720" s="227"/>
      <c r="G2720" s="229" t="s">
        <v>5530</v>
      </c>
      <c r="H2720" s="235">
        <f t="shared" si="87"/>
        <v>0</v>
      </c>
      <c r="I2720" s="241"/>
    </row>
    <row r="2721" spans="1:12" s="215" customFormat="1" ht="25.5" hidden="1" customHeight="1" outlineLevel="1" x14ac:dyDescent="0.2">
      <c r="A2721" s="239" t="s">
        <v>1279</v>
      </c>
      <c r="B2721" s="228" t="s">
        <v>5300</v>
      </c>
      <c r="C2721" s="229" t="s">
        <v>5134</v>
      </c>
      <c r="D2721" s="230" t="s">
        <v>11</v>
      </c>
      <c r="E2721" s="231">
        <v>9.67</v>
      </c>
      <c r="F2721" s="231"/>
      <c r="G2721" s="225" t="s">
        <v>5124</v>
      </c>
      <c r="H2721" s="235">
        <f t="shared" si="87"/>
        <v>92.4</v>
      </c>
      <c r="I2721" s="241"/>
    </row>
    <row r="2722" spans="1:12" s="215" customFormat="1" ht="25.5" hidden="1" customHeight="1" outlineLevel="1" x14ac:dyDescent="0.2">
      <c r="A2722" s="239" t="s">
        <v>1279</v>
      </c>
      <c r="B2722" s="224" t="s">
        <v>5301</v>
      </c>
      <c r="C2722" s="225" t="s">
        <v>5136</v>
      </c>
      <c r="D2722" s="226" t="s">
        <v>11</v>
      </c>
      <c r="E2722" s="227">
        <v>9.67</v>
      </c>
      <c r="F2722" s="227"/>
      <c r="G2722" s="229" t="s">
        <v>5165</v>
      </c>
      <c r="H2722" s="235">
        <f t="shared" si="87"/>
        <v>4.4800000000000004</v>
      </c>
      <c r="I2722" s="241"/>
    </row>
    <row r="2723" spans="1:12" s="215" customFormat="1" ht="25.5" hidden="1" customHeight="1" outlineLevel="1" x14ac:dyDescent="0.2">
      <c r="A2723" s="239" t="s">
        <v>1279</v>
      </c>
      <c r="B2723" s="228" t="s">
        <v>5302</v>
      </c>
      <c r="C2723" s="229" t="s">
        <v>5234</v>
      </c>
      <c r="D2723" s="230" t="s">
        <v>11</v>
      </c>
      <c r="E2723" s="231">
        <v>96</v>
      </c>
      <c r="F2723" s="231"/>
      <c r="G2723" s="225" t="s">
        <v>5167</v>
      </c>
      <c r="H2723" s="235">
        <f t="shared" si="87"/>
        <v>4.4800000000000004</v>
      </c>
      <c r="I2723" s="241"/>
    </row>
    <row r="2724" spans="1:12" s="215" customFormat="1" ht="12.75" hidden="1" customHeight="1" outlineLevel="1" x14ac:dyDescent="0.2">
      <c r="A2724" s="239" t="s">
        <v>1279</v>
      </c>
      <c r="B2724" s="224" t="s">
        <v>5303</v>
      </c>
      <c r="C2724" s="225" t="s">
        <v>5236</v>
      </c>
      <c r="D2724" s="226" t="s">
        <v>11</v>
      </c>
      <c r="E2724" s="227">
        <v>96</v>
      </c>
      <c r="F2724" s="227"/>
      <c r="G2724" s="229" t="s">
        <v>5532</v>
      </c>
      <c r="H2724" s="235">
        <f t="shared" si="87"/>
        <v>0</v>
      </c>
      <c r="I2724" s="241"/>
    </row>
    <row r="2725" spans="1:12" s="215" customFormat="1" ht="38.25" hidden="1" customHeight="1" outlineLevel="1" x14ac:dyDescent="0.2">
      <c r="A2725" s="239" t="s">
        <v>1279</v>
      </c>
      <c r="B2725" s="228" t="s">
        <v>5304</v>
      </c>
      <c r="C2725" s="229" t="s">
        <v>5242</v>
      </c>
      <c r="D2725" s="230" t="s">
        <v>11</v>
      </c>
      <c r="E2725" s="231">
        <v>50.16</v>
      </c>
      <c r="F2725" s="231"/>
      <c r="G2725" s="225" t="s">
        <v>5169</v>
      </c>
      <c r="H2725" s="235">
        <f t="shared" si="87"/>
        <v>5.36</v>
      </c>
      <c r="I2725" s="241"/>
    </row>
    <row r="2726" spans="1:12" s="215" customFormat="1" ht="38.25" hidden="1" customHeight="1" outlineLevel="1" x14ac:dyDescent="0.2">
      <c r="A2726" s="239" t="s">
        <v>1279</v>
      </c>
      <c r="B2726" s="224" t="s">
        <v>5305</v>
      </c>
      <c r="C2726" s="225" t="s">
        <v>5244</v>
      </c>
      <c r="D2726" s="226" t="s">
        <v>11</v>
      </c>
      <c r="E2726" s="227">
        <v>50.16</v>
      </c>
      <c r="F2726" s="227"/>
      <c r="G2726" s="229" t="s">
        <v>5171</v>
      </c>
      <c r="H2726" s="235">
        <f t="shared" si="87"/>
        <v>5.36</v>
      </c>
      <c r="I2726" s="241"/>
    </row>
    <row r="2727" spans="1:12" s="215" customFormat="1" ht="25.5" hidden="1" customHeight="1" outlineLevel="1" x14ac:dyDescent="0.2">
      <c r="A2727" s="239" t="s">
        <v>1279</v>
      </c>
      <c r="B2727" s="228" t="s">
        <v>5306</v>
      </c>
      <c r="C2727" s="229" t="s">
        <v>5197</v>
      </c>
      <c r="D2727" s="230" t="s">
        <v>11</v>
      </c>
      <c r="E2727" s="231">
        <v>38.090000000000003</v>
      </c>
      <c r="F2727" s="231"/>
      <c r="G2727" s="225" t="s">
        <v>5428</v>
      </c>
      <c r="H2727" s="235">
        <f t="shared" si="87"/>
        <v>0</v>
      </c>
      <c r="I2727" s="241"/>
    </row>
    <row r="2728" spans="1:12" s="215" customFormat="1" ht="25.5" hidden="1" customHeight="1" outlineLevel="1" x14ac:dyDescent="0.2">
      <c r="A2728" s="239" t="s">
        <v>1279</v>
      </c>
      <c r="B2728" s="224" t="s">
        <v>5307</v>
      </c>
      <c r="C2728" s="225" t="s">
        <v>5199</v>
      </c>
      <c r="D2728" s="226" t="s">
        <v>11</v>
      </c>
      <c r="E2728" s="227">
        <v>38.090000000000003</v>
      </c>
      <c r="F2728" s="227"/>
      <c r="G2728" s="229" t="s">
        <v>5430</v>
      </c>
      <c r="H2728" s="235">
        <f t="shared" si="87"/>
        <v>0</v>
      </c>
      <c r="I2728" s="241"/>
    </row>
    <row r="2729" spans="1:12" s="215" customFormat="1" ht="25.5" hidden="1" customHeight="1" outlineLevel="1" x14ac:dyDescent="0.2">
      <c r="A2729" s="239" t="s">
        <v>1279</v>
      </c>
      <c r="B2729" s="216" t="s">
        <v>5308</v>
      </c>
      <c r="C2729" s="217" t="s">
        <v>2964</v>
      </c>
      <c r="D2729" s="218"/>
      <c r="E2729" s="219"/>
      <c r="F2729" s="219"/>
      <c r="G2729" s="225" t="s">
        <v>5126</v>
      </c>
      <c r="H2729" s="235">
        <f t="shared" si="87"/>
        <v>4.17</v>
      </c>
      <c r="I2729" s="241"/>
    </row>
    <row r="2730" spans="1:12" s="215" customFormat="1" ht="25.5" hidden="1" customHeight="1" outlineLevel="1" x14ac:dyDescent="0.2">
      <c r="A2730" s="239" t="s">
        <v>1279</v>
      </c>
      <c r="B2730" s="228" t="s">
        <v>5309</v>
      </c>
      <c r="C2730" s="229" t="s">
        <v>5224</v>
      </c>
      <c r="D2730" s="230" t="s">
        <v>11</v>
      </c>
      <c r="E2730" s="231">
        <v>29.88</v>
      </c>
      <c r="F2730" s="231"/>
      <c r="G2730" s="229" t="s">
        <v>5128</v>
      </c>
      <c r="H2730" s="235">
        <f t="shared" si="87"/>
        <v>4.17</v>
      </c>
      <c r="I2730" s="241"/>
    </row>
    <row r="2731" spans="1:12" s="215" customFormat="1" ht="25.5" hidden="1" customHeight="1" outlineLevel="1" x14ac:dyDescent="0.2">
      <c r="A2731" s="239" t="s">
        <v>1279</v>
      </c>
      <c r="B2731" s="224" t="s">
        <v>5310</v>
      </c>
      <c r="C2731" s="225" t="s">
        <v>5226</v>
      </c>
      <c r="D2731" s="226" t="s">
        <v>11</v>
      </c>
      <c r="E2731" s="227">
        <v>29.88</v>
      </c>
      <c r="F2731" s="227"/>
      <c r="G2731" s="225" t="s">
        <v>5130</v>
      </c>
      <c r="H2731" s="235">
        <f t="shared" si="87"/>
        <v>5.55</v>
      </c>
      <c r="I2731" s="241"/>
    </row>
    <row r="2732" spans="1:12" s="215" customFormat="1" ht="25.5" hidden="1" customHeight="1" outlineLevel="1" x14ac:dyDescent="0.2">
      <c r="A2732" s="239" t="s">
        <v>1279</v>
      </c>
      <c r="B2732" s="228" t="s">
        <v>5311</v>
      </c>
      <c r="C2732" s="229" t="s">
        <v>5228</v>
      </c>
      <c r="D2732" s="230" t="s">
        <v>11</v>
      </c>
      <c r="E2732" s="231">
        <v>72.63</v>
      </c>
      <c r="F2732" s="231"/>
      <c r="G2732" s="229" t="s">
        <v>5132</v>
      </c>
      <c r="H2732" s="235">
        <f t="shared" si="87"/>
        <v>5.55</v>
      </c>
      <c r="I2732" s="241"/>
    </row>
    <row r="2733" spans="1:12" s="215" customFormat="1" ht="25.5" hidden="1" customHeight="1" outlineLevel="1" x14ac:dyDescent="0.2">
      <c r="A2733" s="239" t="s">
        <v>1279</v>
      </c>
      <c r="B2733" s="224" t="s">
        <v>5312</v>
      </c>
      <c r="C2733" s="225" t="s">
        <v>5230</v>
      </c>
      <c r="D2733" s="226" t="s">
        <v>11</v>
      </c>
      <c r="E2733" s="227">
        <v>72.63</v>
      </c>
      <c r="F2733" s="227"/>
      <c r="G2733" s="225" t="s">
        <v>5228</v>
      </c>
      <c r="H2733" s="235">
        <f t="shared" si="87"/>
        <v>0</v>
      </c>
      <c r="I2733" s="241"/>
    </row>
    <row r="2734" spans="1:12" s="215" customFormat="1" ht="25.5" hidden="1" customHeight="1" outlineLevel="1" x14ac:dyDescent="0.2">
      <c r="A2734" s="239" t="s">
        <v>1279</v>
      </c>
      <c r="B2734" s="228" t="s">
        <v>5313</v>
      </c>
      <c r="C2734" s="229" t="s">
        <v>5134</v>
      </c>
      <c r="D2734" s="230" t="s">
        <v>11</v>
      </c>
      <c r="E2734" s="231">
        <v>9.67</v>
      </c>
      <c r="F2734" s="231"/>
      <c r="G2734" s="229" t="s">
        <v>5230</v>
      </c>
      <c r="H2734" s="235">
        <f t="shared" si="87"/>
        <v>0</v>
      </c>
      <c r="I2734" s="241"/>
    </row>
    <row r="2735" spans="1:12" s="215" customFormat="1" ht="25.5" hidden="1" customHeight="1" outlineLevel="1" x14ac:dyDescent="0.2">
      <c r="A2735" s="239" t="s">
        <v>1279</v>
      </c>
      <c r="B2735" s="224" t="s">
        <v>5314</v>
      </c>
      <c r="C2735" s="225" t="s">
        <v>5136</v>
      </c>
      <c r="D2735" s="226" t="s">
        <v>11</v>
      </c>
      <c r="E2735" s="227">
        <v>9.67</v>
      </c>
      <c r="F2735" s="227"/>
      <c r="G2735" s="225" t="s">
        <v>5267</v>
      </c>
      <c r="H2735" s="235">
        <f t="shared" si="87"/>
        <v>0</v>
      </c>
      <c r="I2735" s="241"/>
      <c r="K2735" s="238"/>
      <c r="L2735" s="238"/>
    </row>
    <row r="2736" spans="1:12" s="215" customFormat="1" ht="25.5" hidden="1" customHeight="1" outlineLevel="1" x14ac:dyDescent="0.2">
      <c r="A2736" s="239" t="s">
        <v>1279</v>
      </c>
      <c r="B2736" s="228" t="s">
        <v>5315</v>
      </c>
      <c r="C2736" s="229" t="s">
        <v>5234</v>
      </c>
      <c r="D2736" s="230" t="s">
        <v>11</v>
      </c>
      <c r="E2736" s="231">
        <v>93.82</v>
      </c>
      <c r="F2736" s="231"/>
      <c r="G2736" s="229" t="s">
        <v>5269</v>
      </c>
      <c r="H2736" s="235">
        <f t="shared" ref="H2736:H2767" si="88">SUMIFS($E:$E,$C:$C,G2736,$A:$A,$G$22)</f>
        <v>0</v>
      </c>
      <c r="I2736" s="241"/>
    </row>
    <row r="2737" spans="1:9" s="215" customFormat="1" ht="12.75" hidden="1" customHeight="1" outlineLevel="1" x14ac:dyDescent="0.2">
      <c r="A2737" s="239" t="s">
        <v>1279</v>
      </c>
      <c r="B2737" s="224" t="s">
        <v>5316</v>
      </c>
      <c r="C2737" s="225" t="s">
        <v>5236</v>
      </c>
      <c r="D2737" s="226" t="s">
        <v>11</v>
      </c>
      <c r="E2737" s="227">
        <v>93.82</v>
      </c>
      <c r="F2737" s="227"/>
      <c r="G2737" s="225" t="s">
        <v>5134</v>
      </c>
      <c r="H2737" s="235">
        <f t="shared" si="88"/>
        <v>11.27</v>
      </c>
      <c r="I2737" s="241"/>
    </row>
    <row r="2738" spans="1:9" s="215" customFormat="1" ht="38.25" hidden="1" customHeight="1" outlineLevel="1" x14ac:dyDescent="0.2">
      <c r="A2738" s="239" t="s">
        <v>1279</v>
      </c>
      <c r="B2738" s="228" t="s">
        <v>5317</v>
      </c>
      <c r="C2738" s="229" t="s">
        <v>5242</v>
      </c>
      <c r="D2738" s="230" t="s">
        <v>11</v>
      </c>
      <c r="E2738" s="231">
        <v>50.16</v>
      </c>
      <c r="F2738" s="231"/>
      <c r="G2738" s="229" t="s">
        <v>5136</v>
      </c>
      <c r="H2738" s="235">
        <f t="shared" si="88"/>
        <v>11.27</v>
      </c>
      <c r="I2738" s="241"/>
    </row>
    <row r="2739" spans="1:9" s="215" customFormat="1" ht="25.5" hidden="1" customHeight="1" outlineLevel="1" x14ac:dyDescent="0.2">
      <c r="A2739" s="239" t="s">
        <v>1279</v>
      </c>
      <c r="B2739" s="224" t="s">
        <v>5318</v>
      </c>
      <c r="C2739" s="225" t="s">
        <v>5244</v>
      </c>
      <c r="D2739" s="226" t="s">
        <v>11</v>
      </c>
      <c r="E2739" s="227">
        <v>50.16</v>
      </c>
      <c r="F2739" s="227"/>
      <c r="G2739" s="225" t="s">
        <v>5434</v>
      </c>
      <c r="H2739" s="235">
        <f t="shared" si="88"/>
        <v>0</v>
      </c>
      <c r="I2739" s="241"/>
    </row>
    <row r="2740" spans="1:9" s="215" customFormat="1" ht="25.5" hidden="1" customHeight="1" outlineLevel="1" x14ac:dyDescent="0.2">
      <c r="A2740" s="239" t="s">
        <v>1279</v>
      </c>
      <c r="B2740" s="228" t="s">
        <v>5319</v>
      </c>
      <c r="C2740" s="229" t="s">
        <v>5288</v>
      </c>
      <c r="D2740" s="230" t="s">
        <v>11</v>
      </c>
      <c r="E2740" s="231">
        <v>2.61</v>
      </c>
      <c r="F2740" s="231"/>
      <c r="G2740" s="229" t="s">
        <v>5436</v>
      </c>
      <c r="H2740" s="235">
        <f t="shared" si="88"/>
        <v>0</v>
      </c>
      <c r="I2740" s="241"/>
    </row>
    <row r="2741" spans="1:9" s="215" customFormat="1" ht="25.5" hidden="1" customHeight="1" outlineLevel="1" x14ac:dyDescent="0.2">
      <c r="A2741" s="239" t="s">
        <v>1279</v>
      </c>
      <c r="B2741" s="224" t="s">
        <v>5320</v>
      </c>
      <c r="C2741" s="225" t="s">
        <v>5290</v>
      </c>
      <c r="D2741" s="226" t="s">
        <v>11</v>
      </c>
      <c r="E2741" s="227">
        <v>2.61</v>
      </c>
      <c r="F2741" s="227"/>
      <c r="G2741" s="225" t="s">
        <v>5234</v>
      </c>
      <c r="H2741" s="235">
        <f t="shared" si="88"/>
        <v>0</v>
      </c>
      <c r="I2741" s="241"/>
    </row>
    <row r="2742" spans="1:9" s="215" customFormat="1" ht="25.5" hidden="1" customHeight="1" outlineLevel="1" x14ac:dyDescent="0.2">
      <c r="A2742" s="239" t="s">
        <v>1279</v>
      </c>
      <c r="B2742" s="228" t="s">
        <v>5321</v>
      </c>
      <c r="C2742" s="229" t="s">
        <v>5197</v>
      </c>
      <c r="D2742" s="230" t="s">
        <v>11</v>
      </c>
      <c r="E2742" s="231">
        <v>26.83</v>
      </c>
      <c r="F2742" s="231"/>
      <c r="G2742" s="229" t="s">
        <v>5236</v>
      </c>
      <c r="H2742" s="235">
        <f t="shared" si="88"/>
        <v>0</v>
      </c>
      <c r="I2742" s="241"/>
    </row>
    <row r="2743" spans="1:9" s="215" customFormat="1" ht="25.5" hidden="1" customHeight="1" outlineLevel="1" x14ac:dyDescent="0.2">
      <c r="A2743" s="239" t="s">
        <v>1279</v>
      </c>
      <c r="B2743" s="224" t="s">
        <v>5322</v>
      </c>
      <c r="C2743" s="225" t="s">
        <v>5199</v>
      </c>
      <c r="D2743" s="226" t="s">
        <v>11</v>
      </c>
      <c r="E2743" s="227">
        <v>26.83</v>
      </c>
      <c r="F2743" s="227"/>
      <c r="G2743" s="225" t="s">
        <v>5438</v>
      </c>
      <c r="H2743" s="235">
        <f t="shared" si="88"/>
        <v>0</v>
      </c>
      <c r="I2743" s="241"/>
    </row>
    <row r="2744" spans="1:9" s="215" customFormat="1" ht="25.5" hidden="1" customHeight="1" outlineLevel="1" x14ac:dyDescent="0.2">
      <c r="A2744" s="239" t="s">
        <v>1279</v>
      </c>
      <c r="B2744" s="216" t="s">
        <v>5323</v>
      </c>
      <c r="C2744" s="217" t="s">
        <v>2965</v>
      </c>
      <c r="D2744" s="218"/>
      <c r="E2744" s="219"/>
      <c r="F2744" s="219"/>
      <c r="G2744" s="229" t="s">
        <v>5440</v>
      </c>
      <c r="H2744" s="235">
        <f t="shared" si="88"/>
        <v>0</v>
      </c>
      <c r="I2744" s="241"/>
    </row>
    <row r="2745" spans="1:9" s="215" customFormat="1" ht="25.5" hidden="1" customHeight="1" outlineLevel="1" x14ac:dyDescent="0.2">
      <c r="A2745" s="239" t="s">
        <v>1279</v>
      </c>
      <c r="B2745" s="228" t="s">
        <v>5324</v>
      </c>
      <c r="C2745" s="229" t="s">
        <v>5224</v>
      </c>
      <c r="D2745" s="230" t="s">
        <v>11</v>
      </c>
      <c r="E2745" s="231">
        <v>29.6</v>
      </c>
      <c r="F2745" s="231"/>
      <c r="G2745" s="225" t="s">
        <v>5175</v>
      </c>
      <c r="H2745" s="235">
        <f t="shared" si="88"/>
        <v>8.8000000000000007</v>
      </c>
      <c r="I2745" s="241"/>
    </row>
    <row r="2746" spans="1:9" s="215" customFormat="1" ht="25.5" hidden="1" customHeight="1" outlineLevel="1" x14ac:dyDescent="0.2">
      <c r="A2746" s="239" t="s">
        <v>1279</v>
      </c>
      <c r="B2746" s="224" t="s">
        <v>5325</v>
      </c>
      <c r="C2746" s="225" t="s">
        <v>5226</v>
      </c>
      <c r="D2746" s="226" t="s">
        <v>11</v>
      </c>
      <c r="E2746" s="227">
        <v>29.6</v>
      </c>
      <c r="F2746" s="227"/>
      <c r="G2746" s="229" t="s">
        <v>5177</v>
      </c>
      <c r="H2746" s="235">
        <f t="shared" si="88"/>
        <v>8.8000000000000007</v>
      </c>
      <c r="I2746" s="241"/>
    </row>
    <row r="2747" spans="1:9" s="215" customFormat="1" ht="25.5" hidden="1" customHeight="1" outlineLevel="1" x14ac:dyDescent="0.2">
      <c r="A2747" s="239" t="s">
        <v>1279</v>
      </c>
      <c r="B2747" s="228" t="s">
        <v>5326</v>
      </c>
      <c r="C2747" s="229" t="s">
        <v>5228</v>
      </c>
      <c r="D2747" s="230" t="s">
        <v>11</v>
      </c>
      <c r="E2747" s="231">
        <v>101.73</v>
      </c>
      <c r="F2747" s="231"/>
      <c r="G2747" s="225" t="s">
        <v>5138</v>
      </c>
      <c r="H2747" s="235">
        <f t="shared" si="88"/>
        <v>97.32</v>
      </c>
      <c r="I2747" s="241"/>
    </row>
    <row r="2748" spans="1:9" s="215" customFormat="1" ht="12.75" hidden="1" customHeight="1" outlineLevel="1" x14ac:dyDescent="0.2">
      <c r="A2748" s="239" t="s">
        <v>1279</v>
      </c>
      <c r="B2748" s="224" t="s">
        <v>5327</v>
      </c>
      <c r="C2748" s="225" t="s">
        <v>5230</v>
      </c>
      <c r="D2748" s="226" t="s">
        <v>11</v>
      </c>
      <c r="E2748" s="227">
        <v>101.73</v>
      </c>
      <c r="F2748" s="227"/>
      <c r="G2748" s="229" t="s">
        <v>5140</v>
      </c>
      <c r="H2748" s="235">
        <f t="shared" si="88"/>
        <v>97.32</v>
      </c>
      <c r="I2748" s="241"/>
    </row>
    <row r="2749" spans="1:9" s="215" customFormat="1" ht="38.25" hidden="1" customHeight="1" outlineLevel="1" x14ac:dyDescent="0.2">
      <c r="A2749" s="239" t="s">
        <v>1279</v>
      </c>
      <c r="B2749" s="228" t="s">
        <v>5328</v>
      </c>
      <c r="C2749" s="229" t="s">
        <v>5267</v>
      </c>
      <c r="D2749" s="230" t="s">
        <v>11</v>
      </c>
      <c r="E2749" s="231">
        <v>17.93</v>
      </c>
      <c r="F2749" s="231"/>
      <c r="G2749" s="225" t="s">
        <v>5238</v>
      </c>
      <c r="H2749" s="235">
        <f t="shared" si="88"/>
        <v>0</v>
      </c>
      <c r="I2749" s="241"/>
    </row>
    <row r="2750" spans="1:9" s="215" customFormat="1" ht="38.25" hidden="1" customHeight="1" outlineLevel="1" x14ac:dyDescent="0.2">
      <c r="A2750" s="239" t="s">
        <v>1279</v>
      </c>
      <c r="B2750" s="224" t="s">
        <v>5329</v>
      </c>
      <c r="C2750" s="225" t="s">
        <v>5269</v>
      </c>
      <c r="D2750" s="226" t="s">
        <v>11</v>
      </c>
      <c r="E2750" s="227">
        <v>17.93</v>
      </c>
      <c r="F2750" s="227"/>
      <c r="G2750" s="229" t="s">
        <v>5240</v>
      </c>
      <c r="H2750" s="235">
        <f t="shared" si="88"/>
        <v>0</v>
      </c>
      <c r="I2750" s="241"/>
    </row>
    <row r="2751" spans="1:9" s="215" customFormat="1" ht="25.5" hidden="1" customHeight="1" outlineLevel="1" x14ac:dyDescent="0.2">
      <c r="A2751" s="239" t="s">
        <v>1279</v>
      </c>
      <c r="B2751" s="228" t="s">
        <v>5330</v>
      </c>
      <c r="C2751" s="229" t="s">
        <v>5134</v>
      </c>
      <c r="D2751" s="230" t="s">
        <v>11</v>
      </c>
      <c r="E2751" s="231">
        <v>9.67</v>
      </c>
      <c r="F2751" s="231"/>
      <c r="G2751" s="225" t="s">
        <v>5242</v>
      </c>
      <c r="H2751" s="235">
        <f t="shared" si="88"/>
        <v>0</v>
      </c>
      <c r="I2751" s="241"/>
    </row>
    <row r="2752" spans="1:9" s="215" customFormat="1" ht="25.5" hidden="1" customHeight="1" outlineLevel="1" x14ac:dyDescent="0.2">
      <c r="A2752" s="239" t="s">
        <v>1279</v>
      </c>
      <c r="B2752" s="224" t="s">
        <v>5331</v>
      </c>
      <c r="C2752" s="225" t="s">
        <v>5136</v>
      </c>
      <c r="D2752" s="226" t="s">
        <v>11</v>
      </c>
      <c r="E2752" s="227">
        <v>9.67</v>
      </c>
      <c r="F2752" s="227"/>
      <c r="G2752" s="229" t="s">
        <v>5244</v>
      </c>
      <c r="H2752" s="235">
        <f t="shared" si="88"/>
        <v>0</v>
      </c>
      <c r="I2752" s="241"/>
    </row>
    <row r="2753" spans="1:12" s="215" customFormat="1" ht="25.5" hidden="1" customHeight="1" outlineLevel="1" x14ac:dyDescent="0.2">
      <c r="A2753" s="239" t="s">
        <v>1279</v>
      </c>
      <c r="B2753" s="228" t="s">
        <v>5332</v>
      </c>
      <c r="C2753" s="229" t="s">
        <v>5234</v>
      </c>
      <c r="D2753" s="230" t="s">
        <v>11</v>
      </c>
      <c r="E2753" s="231">
        <v>96</v>
      </c>
      <c r="F2753" s="231"/>
      <c r="G2753" s="225" t="s">
        <v>5181</v>
      </c>
      <c r="H2753" s="235">
        <f t="shared" si="88"/>
        <v>10.43</v>
      </c>
      <c r="I2753" s="241"/>
    </row>
    <row r="2754" spans="1:12" s="215" customFormat="1" ht="25.5" hidden="1" customHeight="1" outlineLevel="1" x14ac:dyDescent="0.2">
      <c r="A2754" s="239" t="s">
        <v>1279</v>
      </c>
      <c r="B2754" s="224" t="s">
        <v>5333</v>
      </c>
      <c r="C2754" s="225" t="s">
        <v>5236</v>
      </c>
      <c r="D2754" s="226" t="s">
        <v>11</v>
      </c>
      <c r="E2754" s="227">
        <v>96</v>
      </c>
      <c r="F2754" s="227"/>
      <c r="G2754" s="229" t="s">
        <v>5183</v>
      </c>
      <c r="H2754" s="235">
        <f t="shared" si="88"/>
        <v>10.43</v>
      </c>
      <c r="I2754" s="241"/>
    </row>
    <row r="2755" spans="1:12" s="215" customFormat="1" ht="12.75" hidden="1" customHeight="1" outlineLevel="1" x14ac:dyDescent="0.2">
      <c r="A2755" s="239" t="s">
        <v>1279</v>
      </c>
      <c r="B2755" s="228" t="s">
        <v>5334</v>
      </c>
      <c r="C2755" s="229" t="s">
        <v>5242</v>
      </c>
      <c r="D2755" s="230" t="s">
        <v>11</v>
      </c>
      <c r="E2755" s="231">
        <v>50.16</v>
      </c>
      <c r="F2755" s="231"/>
      <c r="G2755" s="225" t="s">
        <v>5185</v>
      </c>
      <c r="H2755" s="235">
        <f t="shared" si="88"/>
        <v>14.78</v>
      </c>
      <c r="I2755" s="241"/>
    </row>
    <row r="2756" spans="1:12" s="215" customFormat="1" ht="25.5" hidden="1" customHeight="1" outlineLevel="1" x14ac:dyDescent="0.2">
      <c r="A2756" s="239" t="s">
        <v>1279</v>
      </c>
      <c r="B2756" s="224" t="s">
        <v>5335</v>
      </c>
      <c r="C2756" s="225" t="s">
        <v>5244</v>
      </c>
      <c r="D2756" s="226" t="s">
        <v>11</v>
      </c>
      <c r="E2756" s="227">
        <v>50.16</v>
      </c>
      <c r="F2756" s="227"/>
      <c r="G2756" s="229" t="s">
        <v>5187</v>
      </c>
      <c r="H2756" s="235">
        <f t="shared" si="88"/>
        <v>14.78</v>
      </c>
      <c r="I2756" s="241"/>
      <c r="K2756" s="198"/>
      <c r="L2756" s="198"/>
    </row>
    <row r="2757" spans="1:12" s="215" customFormat="1" ht="38.25" hidden="1" customHeight="1" outlineLevel="1" x14ac:dyDescent="0.2">
      <c r="A2757" s="239" t="s">
        <v>1279</v>
      </c>
      <c r="B2757" s="228" t="s">
        <v>5336</v>
      </c>
      <c r="C2757" s="229" t="s">
        <v>5197</v>
      </c>
      <c r="D2757" s="230" t="s">
        <v>11</v>
      </c>
      <c r="E2757" s="231">
        <v>38.090000000000003</v>
      </c>
      <c r="F2757" s="231"/>
      <c r="G2757" s="225" t="s">
        <v>5288</v>
      </c>
      <c r="H2757" s="235">
        <f t="shared" si="88"/>
        <v>0</v>
      </c>
      <c r="I2757" s="241"/>
      <c r="K2757" s="198"/>
      <c r="L2757" s="198"/>
    </row>
    <row r="2758" spans="1:12" s="215" customFormat="1" ht="25.5" hidden="1" customHeight="1" outlineLevel="1" x14ac:dyDescent="0.2">
      <c r="A2758" s="239" t="s">
        <v>1279</v>
      </c>
      <c r="B2758" s="224" t="s">
        <v>5337</v>
      </c>
      <c r="C2758" s="225" t="s">
        <v>5199</v>
      </c>
      <c r="D2758" s="226" t="s">
        <v>11</v>
      </c>
      <c r="E2758" s="227">
        <v>38.090000000000003</v>
      </c>
      <c r="F2758" s="227"/>
      <c r="G2758" s="229" t="s">
        <v>5290</v>
      </c>
      <c r="H2758" s="235">
        <f t="shared" si="88"/>
        <v>0</v>
      </c>
      <c r="I2758" s="241"/>
      <c r="K2758" s="198"/>
      <c r="L2758" s="198"/>
    </row>
    <row r="2759" spans="1:12" s="215" customFormat="1" ht="25.5" hidden="1" customHeight="1" outlineLevel="1" x14ac:dyDescent="0.2">
      <c r="A2759" s="239" t="s">
        <v>1279</v>
      </c>
      <c r="B2759" s="216" t="s">
        <v>5338</v>
      </c>
      <c r="C2759" s="217" t="s">
        <v>2966</v>
      </c>
      <c r="D2759" s="218"/>
      <c r="E2759" s="219"/>
      <c r="F2759" s="219"/>
      <c r="G2759" s="225" t="s">
        <v>5246</v>
      </c>
      <c r="H2759" s="235">
        <f t="shared" si="88"/>
        <v>0</v>
      </c>
      <c r="I2759" s="241"/>
      <c r="K2759" s="198"/>
      <c r="L2759" s="198"/>
    </row>
    <row r="2760" spans="1:12" s="215" customFormat="1" ht="25.5" hidden="1" customHeight="1" outlineLevel="1" x14ac:dyDescent="0.2">
      <c r="A2760" s="239" t="s">
        <v>1279</v>
      </c>
      <c r="B2760" s="228" t="s">
        <v>5339</v>
      </c>
      <c r="C2760" s="229" t="s">
        <v>5224</v>
      </c>
      <c r="D2760" s="230" t="s">
        <v>11</v>
      </c>
      <c r="E2760" s="231">
        <v>29.88</v>
      </c>
      <c r="F2760" s="231"/>
      <c r="G2760" s="229" t="s">
        <v>5248</v>
      </c>
      <c r="H2760" s="235">
        <f t="shared" si="88"/>
        <v>0</v>
      </c>
      <c r="I2760" s="241"/>
      <c r="K2760" s="198"/>
      <c r="L2760" s="198"/>
    </row>
    <row r="2761" spans="1:12" s="215" customFormat="1" ht="25.5" hidden="1" customHeight="1" outlineLevel="1" x14ac:dyDescent="0.2">
      <c r="A2761" s="239" t="s">
        <v>1279</v>
      </c>
      <c r="B2761" s="224" t="s">
        <v>5340</v>
      </c>
      <c r="C2761" s="225" t="s">
        <v>5226</v>
      </c>
      <c r="D2761" s="226" t="s">
        <v>11</v>
      </c>
      <c r="E2761" s="227">
        <v>29.88</v>
      </c>
      <c r="F2761" s="227"/>
      <c r="G2761" s="225" t="s">
        <v>5189</v>
      </c>
      <c r="H2761" s="235">
        <f t="shared" si="88"/>
        <v>91.48</v>
      </c>
      <c r="I2761" s="241"/>
      <c r="K2761" s="198"/>
      <c r="L2761" s="198"/>
    </row>
    <row r="2762" spans="1:12" s="215" customFormat="1" ht="25.5" hidden="1" customHeight="1" outlineLevel="1" x14ac:dyDescent="0.2">
      <c r="A2762" s="239" t="s">
        <v>1279</v>
      </c>
      <c r="B2762" s="228" t="s">
        <v>5341</v>
      </c>
      <c r="C2762" s="229" t="s">
        <v>5228</v>
      </c>
      <c r="D2762" s="230" t="s">
        <v>11</v>
      </c>
      <c r="E2762" s="231">
        <v>72.63</v>
      </c>
      <c r="F2762" s="231"/>
      <c r="G2762" s="229" t="s">
        <v>5191</v>
      </c>
      <c r="H2762" s="235">
        <f t="shared" si="88"/>
        <v>91.48</v>
      </c>
      <c r="I2762" s="241"/>
      <c r="K2762" s="198"/>
      <c r="L2762" s="198"/>
    </row>
    <row r="2763" spans="1:12" s="215" customFormat="1" ht="25.5" hidden="1" customHeight="1" outlineLevel="1" x14ac:dyDescent="0.2">
      <c r="A2763" s="239" t="s">
        <v>1279</v>
      </c>
      <c r="B2763" s="224" t="s">
        <v>5342</v>
      </c>
      <c r="C2763" s="225" t="s">
        <v>5230</v>
      </c>
      <c r="D2763" s="226" t="s">
        <v>11</v>
      </c>
      <c r="E2763" s="227">
        <v>72.63</v>
      </c>
      <c r="F2763" s="227"/>
      <c r="G2763" s="225" t="s">
        <v>5142</v>
      </c>
      <c r="H2763" s="235">
        <f t="shared" si="88"/>
        <v>10.59</v>
      </c>
      <c r="I2763" s="241"/>
      <c r="K2763" s="198"/>
      <c r="L2763" s="198"/>
    </row>
    <row r="2764" spans="1:12" s="215" customFormat="1" ht="25.5" hidden="1" customHeight="1" outlineLevel="1" x14ac:dyDescent="0.2">
      <c r="A2764" s="239" t="s">
        <v>1279</v>
      </c>
      <c r="B2764" s="228" t="s">
        <v>5343</v>
      </c>
      <c r="C2764" s="229" t="s">
        <v>5134</v>
      </c>
      <c r="D2764" s="230" t="s">
        <v>11</v>
      </c>
      <c r="E2764" s="231">
        <v>9.67</v>
      </c>
      <c r="F2764" s="231"/>
      <c r="G2764" s="229" t="s">
        <v>5144</v>
      </c>
      <c r="H2764" s="235">
        <f t="shared" si="88"/>
        <v>10.59</v>
      </c>
      <c r="I2764" s="241"/>
      <c r="K2764" s="198"/>
      <c r="L2764" s="198"/>
    </row>
    <row r="2765" spans="1:12" s="215" customFormat="1" ht="25.5" hidden="1" customHeight="1" outlineLevel="1" x14ac:dyDescent="0.2">
      <c r="A2765" s="239" t="s">
        <v>1279</v>
      </c>
      <c r="B2765" s="224" t="s">
        <v>5344</v>
      </c>
      <c r="C2765" s="225" t="s">
        <v>5136</v>
      </c>
      <c r="D2765" s="226" t="s">
        <v>11</v>
      </c>
      <c r="E2765" s="227">
        <v>9.67</v>
      </c>
      <c r="F2765" s="227"/>
      <c r="G2765" s="225" t="s">
        <v>5146</v>
      </c>
      <c r="H2765" s="235">
        <f t="shared" si="88"/>
        <v>4.53</v>
      </c>
      <c r="I2765" s="241"/>
      <c r="K2765" s="198"/>
      <c r="L2765" s="198"/>
    </row>
    <row r="2766" spans="1:12" s="215" customFormat="1" ht="25.5" hidden="1" customHeight="1" outlineLevel="1" x14ac:dyDescent="0.2">
      <c r="A2766" s="239" t="s">
        <v>1279</v>
      </c>
      <c r="B2766" s="228" t="s">
        <v>5345</v>
      </c>
      <c r="C2766" s="229" t="s">
        <v>5234</v>
      </c>
      <c r="D2766" s="230" t="s">
        <v>11</v>
      </c>
      <c r="E2766" s="231">
        <v>93.82</v>
      </c>
      <c r="F2766" s="231"/>
      <c r="G2766" s="229" t="s">
        <v>5148</v>
      </c>
      <c r="H2766" s="235">
        <f t="shared" si="88"/>
        <v>47.67</v>
      </c>
      <c r="I2766" s="241"/>
    </row>
    <row r="2767" spans="1:12" s="215" customFormat="1" ht="12.75" hidden="1" customHeight="1" outlineLevel="1" x14ac:dyDescent="0.2">
      <c r="A2767" s="239" t="s">
        <v>1279</v>
      </c>
      <c r="B2767" s="224" t="s">
        <v>5346</v>
      </c>
      <c r="C2767" s="225" t="s">
        <v>5236</v>
      </c>
      <c r="D2767" s="226" t="s">
        <v>11</v>
      </c>
      <c r="E2767" s="227">
        <v>93.82</v>
      </c>
      <c r="F2767" s="227"/>
      <c r="G2767" s="225" t="s">
        <v>5150</v>
      </c>
      <c r="H2767" s="235">
        <f t="shared" si="88"/>
        <v>4.34</v>
      </c>
      <c r="I2767" s="241"/>
    </row>
    <row r="2768" spans="1:12" s="215" customFormat="1" ht="38.25" hidden="1" customHeight="1" outlineLevel="1" x14ac:dyDescent="0.2">
      <c r="A2768" s="239" t="s">
        <v>1279</v>
      </c>
      <c r="B2768" s="228" t="s">
        <v>5347</v>
      </c>
      <c r="C2768" s="229" t="s">
        <v>5242</v>
      </c>
      <c r="D2768" s="230" t="s">
        <v>11</v>
      </c>
      <c r="E2768" s="231">
        <v>50.16</v>
      </c>
      <c r="F2768" s="231"/>
      <c r="G2768" s="229" t="s">
        <v>5152</v>
      </c>
      <c r="H2768" s="235">
        <f t="shared" ref="H2768:H2792" si="89">SUMIFS($E:$E,$C:$C,G2768,$A:$A,$G$22)</f>
        <v>14.45</v>
      </c>
      <c r="I2768" s="241"/>
    </row>
    <row r="2769" spans="1:12" s="215" customFormat="1" ht="38.25" hidden="1" customHeight="1" outlineLevel="1" x14ac:dyDescent="0.2">
      <c r="A2769" s="239" t="s">
        <v>1279</v>
      </c>
      <c r="B2769" s="224" t="s">
        <v>5348</v>
      </c>
      <c r="C2769" s="225" t="s">
        <v>5244</v>
      </c>
      <c r="D2769" s="226" t="s">
        <v>11</v>
      </c>
      <c r="E2769" s="227">
        <v>50.16</v>
      </c>
      <c r="F2769" s="227"/>
      <c r="G2769" s="225" t="s">
        <v>5154</v>
      </c>
      <c r="H2769" s="235">
        <f t="shared" si="89"/>
        <v>14.45</v>
      </c>
      <c r="I2769" s="241"/>
    </row>
    <row r="2770" spans="1:12" s="215" customFormat="1" ht="25.5" hidden="1" customHeight="1" outlineLevel="1" x14ac:dyDescent="0.2">
      <c r="A2770" s="239" t="s">
        <v>1279</v>
      </c>
      <c r="B2770" s="228" t="s">
        <v>5349</v>
      </c>
      <c r="C2770" s="229" t="s">
        <v>5288</v>
      </c>
      <c r="D2770" s="230" t="s">
        <v>11</v>
      </c>
      <c r="E2770" s="231">
        <v>2.61</v>
      </c>
      <c r="F2770" s="231"/>
      <c r="G2770" s="229" t="s">
        <v>5156</v>
      </c>
      <c r="H2770" s="235">
        <f t="shared" si="89"/>
        <v>7.26</v>
      </c>
      <c r="I2770" s="241"/>
    </row>
    <row r="2771" spans="1:12" s="215" customFormat="1" ht="25.5" hidden="1" customHeight="1" outlineLevel="1" x14ac:dyDescent="0.2">
      <c r="A2771" s="239" t="s">
        <v>1279</v>
      </c>
      <c r="B2771" s="224" t="s">
        <v>5350</v>
      </c>
      <c r="C2771" s="225" t="s">
        <v>5290</v>
      </c>
      <c r="D2771" s="226" t="s">
        <v>11</v>
      </c>
      <c r="E2771" s="227">
        <v>2.61</v>
      </c>
      <c r="F2771" s="227"/>
      <c r="G2771" s="225" t="s">
        <v>5193</v>
      </c>
      <c r="H2771" s="235">
        <f t="shared" si="89"/>
        <v>17.010000000000002</v>
      </c>
      <c r="I2771" s="241"/>
    </row>
    <row r="2772" spans="1:12" s="215" customFormat="1" ht="25.5" hidden="1" customHeight="1" outlineLevel="1" x14ac:dyDescent="0.2">
      <c r="A2772" s="239" t="s">
        <v>1279</v>
      </c>
      <c r="B2772" s="228" t="s">
        <v>5351</v>
      </c>
      <c r="C2772" s="229" t="s">
        <v>5197</v>
      </c>
      <c r="D2772" s="230" t="s">
        <v>11</v>
      </c>
      <c r="E2772" s="231">
        <v>26.83</v>
      </c>
      <c r="F2772" s="231"/>
      <c r="G2772" s="229" t="s">
        <v>5195</v>
      </c>
      <c r="H2772" s="235">
        <f t="shared" si="89"/>
        <v>17.010000000000002</v>
      </c>
      <c r="I2772" s="241"/>
    </row>
    <row r="2773" spans="1:12" s="215" customFormat="1" ht="25.5" hidden="1" customHeight="1" outlineLevel="1" x14ac:dyDescent="0.2">
      <c r="A2773" s="239" t="s">
        <v>1279</v>
      </c>
      <c r="B2773" s="224" t="s">
        <v>5352</v>
      </c>
      <c r="C2773" s="225" t="s">
        <v>5199</v>
      </c>
      <c r="D2773" s="226" t="s">
        <v>11</v>
      </c>
      <c r="E2773" s="227">
        <v>26.83</v>
      </c>
      <c r="F2773" s="227"/>
      <c r="G2773" s="225" t="s">
        <v>5197</v>
      </c>
      <c r="H2773" s="235">
        <f t="shared" si="89"/>
        <v>3.66</v>
      </c>
      <c r="I2773" s="241"/>
    </row>
    <row r="2774" spans="1:12" s="215" customFormat="1" ht="25.5" hidden="1" customHeight="1" outlineLevel="1" x14ac:dyDescent="0.2">
      <c r="A2774" s="239" t="s">
        <v>1279</v>
      </c>
      <c r="B2774" s="216" t="s">
        <v>5353</v>
      </c>
      <c r="C2774" s="217" t="s">
        <v>2967</v>
      </c>
      <c r="D2774" s="218"/>
      <c r="E2774" s="219"/>
      <c r="F2774" s="219"/>
      <c r="G2774" s="229" t="s">
        <v>5199</v>
      </c>
      <c r="H2774" s="235">
        <f t="shared" si="89"/>
        <v>3.66</v>
      </c>
      <c r="I2774" s="241"/>
    </row>
    <row r="2775" spans="1:12" s="215" customFormat="1" ht="25.5" hidden="1" customHeight="1" outlineLevel="1" x14ac:dyDescent="0.2">
      <c r="A2775" s="239" t="s">
        <v>1279</v>
      </c>
      <c r="B2775" s="228" t="s">
        <v>5354</v>
      </c>
      <c r="C2775" s="229" t="s">
        <v>5224</v>
      </c>
      <c r="D2775" s="230" t="s">
        <v>11</v>
      </c>
      <c r="E2775" s="231">
        <v>29.6</v>
      </c>
      <c r="F2775" s="231"/>
      <c r="G2775" s="225" t="s">
        <v>5523</v>
      </c>
      <c r="H2775" s="235">
        <f t="shared" si="89"/>
        <v>0</v>
      </c>
      <c r="I2775" s="241"/>
    </row>
    <row r="2776" spans="1:12" s="215" customFormat="1" ht="25.5" hidden="1" customHeight="1" outlineLevel="1" x14ac:dyDescent="0.2">
      <c r="A2776" s="239" t="s">
        <v>1279</v>
      </c>
      <c r="B2776" s="224" t="s">
        <v>5355</v>
      </c>
      <c r="C2776" s="225" t="s">
        <v>5226</v>
      </c>
      <c r="D2776" s="226" t="s">
        <v>11</v>
      </c>
      <c r="E2776" s="227">
        <v>29.6</v>
      </c>
      <c r="F2776" s="227"/>
      <c r="G2776" s="229" t="s">
        <v>5525</v>
      </c>
      <c r="H2776" s="235">
        <f t="shared" si="89"/>
        <v>0</v>
      </c>
      <c r="I2776" s="241"/>
    </row>
    <row r="2777" spans="1:12" s="215" customFormat="1" ht="25.5" hidden="1" customHeight="1" outlineLevel="1" x14ac:dyDescent="0.2">
      <c r="A2777" s="239" t="s">
        <v>1279</v>
      </c>
      <c r="B2777" s="228" t="s">
        <v>5356</v>
      </c>
      <c r="C2777" s="229" t="s">
        <v>5228</v>
      </c>
      <c r="D2777" s="230" t="s">
        <v>11</v>
      </c>
      <c r="E2777" s="231">
        <v>101.73</v>
      </c>
      <c r="F2777" s="231"/>
      <c r="G2777" s="225" t="s">
        <v>5252</v>
      </c>
      <c r="H2777" s="235">
        <f t="shared" si="89"/>
        <v>0</v>
      </c>
      <c r="I2777" s="241"/>
    </row>
    <row r="2778" spans="1:12" s="215" customFormat="1" ht="25.5" hidden="1" customHeight="1" outlineLevel="1" x14ac:dyDescent="0.2">
      <c r="A2778" s="239" t="s">
        <v>1279</v>
      </c>
      <c r="B2778" s="224" t="s">
        <v>5357</v>
      </c>
      <c r="C2778" s="225" t="s">
        <v>5230</v>
      </c>
      <c r="D2778" s="226" t="s">
        <v>11</v>
      </c>
      <c r="E2778" s="227">
        <v>101.73</v>
      </c>
      <c r="F2778" s="227"/>
      <c r="G2778" s="229" t="s">
        <v>5254</v>
      </c>
      <c r="H2778" s="235">
        <f t="shared" si="89"/>
        <v>0</v>
      </c>
      <c r="I2778" s="241"/>
      <c r="K2778" s="238"/>
      <c r="L2778" s="238"/>
    </row>
    <row r="2779" spans="1:12" s="215" customFormat="1" ht="25.5" hidden="1" customHeight="1" outlineLevel="1" x14ac:dyDescent="0.2">
      <c r="A2779" s="239" t="s">
        <v>1279</v>
      </c>
      <c r="B2779" s="228" t="s">
        <v>5358</v>
      </c>
      <c r="C2779" s="229" t="s">
        <v>5267</v>
      </c>
      <c r="D2779" s="230" t="s">
        <v>11</v>
      </c>
      <c r="E2779" s="231">
        <v>17.93</v>
      </c>
      <c r="F2779" s="231"/>
      <c r="G2779" s="225" t="s">
        <v>5201</v>
      </c>
      <c r="H2779" s="235">
        <f t="shared" si="89"/>
        <v>37.44</v>
      </c>
      <c r="I2779" s="241"/>
    </row>
    <row r="2780" spans="1:12" s="215" customFormat="1" ht="12.75" hidden="1" customHeight="1" outlineLevel="1" x14ac:dyDescent="0.2">
      <c r="A2780" s="239" t="s">
        <v>1279</v>
      </c>
      <c r="B2780" s="224" t="s">
        <v>5359</v>
      </c>
      <c r="C2780" s="225" t="s">
        <v>5269</v>
      </c>
      <c r="D2780" s="226" t="s">
        <v>11</v>
      </c>
      <c r="E2780" s="227">
        <v>17.93</v>
      </c>
      <c r="F2780" s="227"/>
      <c r="G2780" s="229" t="s">
        <v>5203</v>
      </c>
      <c r="H2780" s="235">
        <f t="shared" si="89"/>
        <v>37.44</v>
      </c>
      <c r="I2780" s="241"/>
    </row>
    <row r="2781" spans="1:12" s="215" customFormat="1" ht="38.25" hidden="1" customHeight="1" outlineLevel="1" x14ac:dyDescent="0.2">
      <c r="A2781" s="239" t="s">
        <v>1279</v>
      </c>
      <c r="B2781" s="228" t="s">
        <v>5360</v>
      </c>
      <c r="C2781" s="229" t="s">
        <v>5134</v>
      </c>
      <c r="D2781" s="230" t="s">
        <v>11</v>
      </c>
      <c r="E2781" s="231">
        <v>9.67</v>
      </c>
      <c r="F2781" s="231"/>
      <c r="G2781" s="225" t="s">
        <v>5205</v>
      </c>
      <c r="H2781" s="235">
        <f t="shared" si="89"/>
        <v>9.81</v>
      </c>
      <c r="I2781" s="241"/>
    </row>
    <row r="2782" spans="1:12" s="215" customFormat="1" ht="25.5" hidden="1" customHeight="1" outlineLevel="1" x14ac:dyDescent="0.2">
      <c r="A2782" s="239" t="s">
        <v>1279</v>
      </c>
      <c r="B2782" s="224" t="s">
        <v>5361</v>
      </c>
      <c r="C2782" s="225" t="s">
        <v>5136</v>
      </c>
      <c r="D2782" s="226" t="s">
        <v>11</v>
      </c>
      <c r="E2782" s="227">
        <v>9.67</v>
      </c>
      <c r="F2782" s="227"/>
      <c r="G2782" s="229" t="s">
        <v>5207</v>
      </c>
      <c r="H2782" s="235">
        <f t="shared" si="89"/>
        <v>9.81</v>
      </c>
    </row>
    <row r="2783" spans="1:12" s="215" customFormat="1" ht="25.5" hidden="1" customHeight="1" outlineLevel="1" x14ac:dyDescent="0.2">
      <c r="A2783" s="239" t="s">
        <v>1279</v>
      </c>
      <c r="B2783" s="228" t="s">
        <v>5362</v>
      </c>
      <c r="C2783" s="229" t="s">
        <v>5234</v>
      </c>
      <c r="D2783" s="230" t="s">
        <v>11</v>
      </c>
      <c r="E2783" s="231">
        <v>96</v>
      </c>
      <c r="F2783" s="231"/>
      <c r="G2783" s="225" t="s">
        <v>5158</v>
      </c>
      <c r="H2783" s="235">
        <f t="shared" si="89"/>
        <v>7.37</v>
      </c>
    </row>
    <row r="2784" spans="1:12" s="215" customFormat="1" ht="25.5" hidden="1" customHeight="1" outlineLevel="1" x14ac:dyDescent="0.2">
      <c r="A2784" s="239" t="s">
        <v>1279</v>
      </c>
      <c r="B2784" s="224" t="s">
        <v>5363</v>
      </c>
      <c r="C2784" s="225" t="s">
        <v>5236</v>
      </c>
      <c r="D2784" s="226" t="s">
        <v>11</v>
      </c>
      <c r="E2784" s="227">
        <v>96</v>
      </c>
      <c r="F2784" s="227"/>
      <c r="G2784" s="229" t="s">
        <v>5160</v>
      </c>
      <c r="H2784" s="235">
        <f t="shared" si="89"/>
        <v>7.37</v>
      </c>
    </row>
    <row r="2785" spans="1:12" s="215" customFormat="1" ht="25.5" hidden="1" customHeight="1" outlineLevel="1" x14ac:dyDescent="0.2">
      <c r="A2785" s="239" t="s">
        <v>1279</v>
      </c>
      <c r="B2785" s="228" t="s">
        <v>5364</v>
      </c>
      <c r="C2785" s="229" t="s">
        <v>5242</v>
      </c>
      <c r="D2785" s="230" t="s">
        <v>11</v>
      </c>
      <c r="E2785" s="231">
        <v>50.16</v>
      </c>
      <c r="F2785" s="231"/>
      <c r="G2785" s="225" t="s">
        <v>5446</v>
      </c>
      <c r="H2785" s="235">
        <f t="shared" si="89"/>
        <v>0</v>
      </c>
    </row>
    <row r="2786" spans="1:12" s="215" customFormat="1" ht="25.5" hidden="1" customHeight="1" outlineLevel="1" x14ac:dyDescent="0.2">
      <c r="A2786" s="239" t="s">
        <v>1279</v>
      </c>
      <c r="B2786" s="224" t="s">
        <v>5365</v>
      </c>
      <c r="C2786" s="225" t="s">
        <v>5244</v>
      </c>
      <c r="D2786" s="226" t="s">
        <v>11</v>
      </c>
      <c r="E2786" s="227">
        <v>50.16</v>
      </c>
      <c r="F2786" s="227"/>
      <c r="G2786" s="229" t="s">
        <v>5448</v>
      </c>
      <c r="H2786" s="235">
        <f t="shared" si="89"/>
        <v>0</v>
      </c>
    </row>
    <row r="2787" spans="1:12" s="215" customFormat="1" ht="25.5" hidden="1" customHeight="1" outlineLevel="1" x14ac:dyDescent="0.2">
      <c r="A2787" s="239" t="s">
        <v>1279</v>
      </c>
      <c r="B2787" s="228" t="s">
        <v>5366</v>
      </c>
      <c r="C2787" s="229" t="s">
        <v>5197</v>
      </c>
      <c r="D2787" s="230" t="s">
        <v>11</v>
      </c>
      <c r="E2787" s="231">
        <v>38.090000000000003</v>
      </c>
      <c r="F2787" s="231"/>
      <c r="G2787" s="225" t="s">
        <v>5209</v>
      </c>
      <c r="H2787" s="235">
        <f t="shared" si="89"/>
        <v>3.04</v>
      </c>
    </row>
    <row r="2788" spans="1:12" s="215" customFormat="1" ht="25.5" hidden="1" customHeight="1" outlineLevel="1" x14ac:dyDescent="0.2">
      <c r="A2788" s="239" t="s">
        <v>1279</v>
      </c>
      <c r="B2788" s="224" t="s">
        <v>5367</v>
      </c>
      <c r="C2788" s="225" t="s">
        <v>5199</v>
      </c>
      <c r="D2788" s="226" t="s">
        <v>11</v>
      </c>
      <c r="E2788" s="227">
        <v>38.090000000000003</v>
      </c>
      <c r="F2788" s="227"/>
      <c r="G2788" s="229" t="s">
        <v>5211</v>
      </c>
      <c r="H2788" s="235">
        <f t="shared" si="89"/>
        <v>3.04</v>
      </c>
    </row>
    <row r="2789" spans="1:12" s="215" customFormat="1" ht="25.5" hidden="1" customHeight="1" outlineLevel="1" x14ac:dyDescent="0.2">
      <c r="A2789" s="239" t="s">
        <v>1279</v>
      </c>
      <c r="B2789" s="216" t="s">
        <v>5368</v>
      </c>
      <c r="C2789" s="217" t="s">
        <v>2968</v>
      </c>
      <c r="D2789" s="218"/>
      <c r="E2789" s="219"/>
      <c r="F2789" s="219"/>
      <c r="G2789" s="225" t="s">
        <v>5213</v>
      </c>
      <c r="H2789" s="235">
        <f t="shared" si="89"/>
        <v>6.42</v>
      </c>
    </row>
    <row r="2790" spans="1:12" s="215" customFormat="1" ht="25.5" hidden="1" customHeight="1" outlineLevel="1" x14ac:dyDescent="0.2">
      <c r="A2790" s="239" t="s">
        <v>1279</v>
      </c>
      <c r="B2790" s="228" t="s">
        <v>5369</v>
      </c>
      <c r="C2790" s="229" t="s">
        <v>5224</v>
      </c>
      <c r="D2790" s="230" t="s">
        <v>11</v>
      </c>
      <c r="E2790" s="231">
        <v>29.88</v>
      </c>
      <c r="F2790" s="231"/>
      <c r="G2790" s="229" t="s">
        <v>5215</v>
      </c>
      <c r="H2790" s="235">
        <f t="shared" si="89"/>
        <v>6.42</v>
      </c>
    </row>
    <row r="2791" spans="1:12" s="215" customFormat="1" ht="12.75" hidden="1" customHeight="1" outlineLevel="1" x14ac:dyDescent="0.2">
      <c r="A2791" s="239" t="s">
        <v>1279</v>
      </c>
      <c r="B2791" s="224" t="s">
        <v>5370</v>
      </c>
      <c r="C2791" s="225" t="s">
        <v>5226</v>
      </c>
      <c r="D2791" s="226" t="s">
        <v>11</v>
      </c>
      <c r="E2791" s="227">
        <v>29.88</v>
      </c>
      <c r="F2791" s="227"/>
      <c r="G2791" s="225" t="s">
        <v>5256</v>
      </c>
      <c r="H2791" s="235">
        <f t="shared" si="89"/>
        <v>0</v>
      </c>
    </row>
    <row r="2792" spans="1:12" s="215" customFormat="1" ht="38.25" hidden="1" customHeight="1" outlineLevel="1" x14ac:dyDescent="0.2">
      <c r="A2792" s="239" t="s">
        <v>1279</v>
      </c>
      <c r="B2792" s="228" t="s">
        <v>5371</v>
      </c>
      <c r="C2792" s="229" t="s">
        <v>5228</v>
      </c>
      <c r="D2792" s="230" t="s">
        <v>11</v>
      </c>
      <c r="E2792" s="231">
        <v>72.63</v>
      </c>
      <c r="F2792" s="231"/>
      <c r="G2792" s="229" t="s">
        <v>5258</v>
      </c>
      <c r="H2792" s="235">
        <f t="shared" si="89"/>
        <v>0</v>
      </c>
    </row>
    <row r="2793" spans="1:12" s="215" customFormat="1" ht="38.25" hidden="1" customHeight="1" outlineLevel="1" x14ac:dyDescent="0.2">
      <c r="A2793" s="239" t="s">
        <v>1279</v>
      </c>
      <c r="B2793" s="224" t="s">
        <v>5372</v>
      </c>
      <c r="C2793" s="225" t="s">
        <v>5230</v>
      </c>
      <c r="D2793" s="226" t="s">
        <v>11</v>
      </c>
      <c r="E2793" s="227">
        <v>72.63</v>
      </c>
      <c r="F2793" s="227"/>
    </row>
    <row r="2794" spans="1:12" s="215" customFormat="1" ht="25.5" hidden="1" customHeight="1" outlineLevel="1" x14ac:dyDescent="0.2">
      <c r="A2794" s="239" t="s">
        <v>1279</v>
      </c>
      <c r="B2794" s="228" t="s">
        <v>5373</v>
      </c>
      <c r="C2794" s="229" t="s">
        <v>5134</v>
      </c>
      <c r="D2794" s="230" t="s">
        <v>11</v>
      </c>
      <c r="E2794" s="231">
        <v>9.67</v>
      </c>
      <c r="F2794" s="231"/>
    </row>
    <row r="2795" spans="1:12" s="215" customFormat="1" ht="25.5" hidden="1" customHeight="1" outlineLevel="1" x14ac:dyDescent="0.2">
      <c r="A2795" s="239" t="s">
        <v>1279</v>
      </c>
      <c r="B2795" s="224" t="s">
        <v>5374</v>
      </c>
      <c r="C2795" s="225" t="s">
        <v>5136</v>
      </c>
      <c r="D2795" s="226" t="s">
        <v>11</v>
      </c>
      <c r="E2795" s="227">
        <v>9.67</v>
      </c>
      <c r="F2795" s="227"/>
    </row>
    <row r="2796" spans="1:12" s="215" customFormat="1" ht="25.5" hidden="1" customHeight="1" outlineLevel="1" x14ac:dyDescent="0.2">
      <c r="A2796" s="239" t="s">
        <v>1279</v>
      </c>
      <c r="B2796" s="228" t="s">
        <v>5375</v>
      </c>
      <c r="C2796" s="229" t="s">
        <v>5234</v>
      </c>
      <c r="D2796" s="230" t="s">
        <v>11</v>
      </c>
      <c r="E2796" s="231">
        <v>93.82</v>
      </c>
      <c r="F2796" s="231"/>
    </row>
    <row r="2797" spans="1:12" s="215" customFormat="1" ht="25.5" hidden="1" customHeight="1" outlineLevel="1" x14ac:dyDescent="0.2">
      <c r="A2797" s="239" t="s">
        <v>1279</v>
      </c>
      <c r="B2797" s="224" t="s">
        <v>5376</v>
      </c>
      <c r="C2797" s="225" t="s">
        <v>5236</v>
      </c>
      <c r="D2797" s="226" t="s">
        <v>11</v>
      </c>
      <c r="E2797" s="227">
        <v>93.82</v>
      </c>
      <c r="F2797" s="227"/>
      <c r="G2797" s="520" t="str">
        <f>$A$2</f>
        <v>TORRE</v>
      </c>
      <c r="H2797" s="234">
        <f>SUM(H2798:H2886)</f>
        <v>9929.2199999999993</v>
      </c>
      <c r="I2797" s="241"/>
    </row>
    <row r="2798" spans="1:12" s="215" customFormat="1" ht="12.75" hidden="1" customHeight="1" outlineLevel="1" x14ac:dyDescent="0.2">
      <c r="A2798" s="239" t="s">
        <v>1279</v>
      </c>
      <c r="B2798" s="228" t="s">
        <v>5377</v>
      </c>
      <c r="C2798" s="229" t="s">
        <v>5242</v>
      </c>
      <c r="D2798" s="230" t="s">
        <v>11</v>
      </c>
      <c r="E2798" s="231">
        <v>50.16</v>
      </c>
      <c r="F2798" s="231"/>
      <c r="G2798" s="229" t="s">
        <v>5118</v>
      </c>
      <c r="H2798" s="235">
        <f t="shared" ref="H2798:H2829" si="90">SUMIFS($E:$E,$C:$C,G2798,$A:$A,$G$30)</f>
        <v>0</v>
      </c>
      <c r="I2798" s="241"/>
    </row>
    <row r="2799" spans="1:12" s="215" customFormat="1" ht="25.5" hidden="1" customHeight="1" outlineLevel="1" x14ac:dyDescent="0.2">
      <c r="A2799" s="239" t="s">
        <v>1279</v>
      </c>
      <c r="B2799" s="224" t="s">
        <v>5378</v>
      </c>
      <c r="C2799" s="225" t="s">
        <v>5244</v>
      </c>
      <c r="D2799" s="226" t="s">
        <v>11</v>
      </c>
      <c r="E2799" s="227">
        <v>50.16</v>
      </c>
      <c r="F2799" s="227"/>
      <c r="G2799" s="225" t="s">
        <v>5216</v>
      </c>
      <c r="H2799" s="235">
        <f t="shared" si="90"/>
        <v>11.09</v>
      </c>
      <c r="I2799" s="241"/>
      <c r="K2799" s="198"/>
      <c r="L2799" s="198"/>
    </row>
    <row r="2800" spans="1:12" s="215" customFormat="1" ht="38.25" hidden="1" customHeight="1" outlineLevel="1" x14ac:dyDescent="0.2">
      <c r="A2800" s="239" t="s">
        <v>1279</v>
      </c>
      <c r="B2800" s="228" t="s">
        <v>5379</v>
      </c>
      <c r="C2800" s="229" t="s">
        <v>5288</v>
      </c>
      <c r="D2800" s="230" t="s">
        <v>11</v>
      </c>
      <c r="E2800" s="231">
        <v>2.61</v>
      </c>
      <c r="F2800" s="231"/>
      <c r="G2800" s="229" t="s">
        <v>5218</v>
      </c>
      <c r="H2800" s="235">
        <f t="shared" si="90"/>
        <v>11.09</v>
      </c>
      <c r="I2800" s="241"/>
      <c r="K2800" s="198"/>
      <c r="L2800" s="198"/>
    </row>
    <row r="2801" spans="1:12" s="215" customFormat="1" ht="25.5" hidden="1" customHeight="1" outlineLevel="1" x14ac:dyDescent="0.2">
      <c r="A2801" s="239" t="s">
        <v>1279</v>
      </c>
      <c r="B2801" s="224" t="s">
        <v>5380</v>
      </c>
      <c r="C2801" s="225" t="s">
        <v>5290</v>
      </c>
      <c r="D2801" s="226" t="s">
        <v>11</v>
      </c>
      <c r="E2801" s="227">
        <v>2.61</v>
      </c>
      <c r="F2801" s="227"/>
      <c r="G2801" s="225" t="s">
        <v>5120</v>
      </c>
      <c r="H2801" s="235">
        <f t="shared" si="90"/>
        <v>0</v>
      </c>
      <c r="I2801" s="241"/>
      <c r="K2801" s="198"/>
      <c r="L2801" s="198"/>
    </row>
    <row r="2802" spans="1:12" s="215" customFormat="1" ht="25.5" hidden="1" customHeight="1" outlineLevel="1" x14ac:dyDescent="0.2">
      <c r="A2802" s="239" t="s">
        <v>1279</v>
      </c>
      <c r="B2802" s="228" t="s">
        <v>5381</v>
      </c>
      <c r="C2802" s="229" t="s">
        <v>5197</v>
      </c>
      <c r="D2802" s="230" t="s">
        <v>11</v>
      </c>
      <c r="E2802" s="231">
        <v>26.83</v>
      </c>
      <c r="F2802" s="231"/>
      <c r="G2802" s="229" t="s">
        <v>5122</v>
      </c>
      <c r="H2802" s="235">
        <f t="shared" si="90"/>
        <v>0</v>
      </c>
      <c r="I2802" s="241"/>
      <c r="K2802" s="198"/>
      <c r="L2802" s="198"/>
    </row>
    <row r="2803" spans="1:12" s="215" customFormat="1" ht="25.5" hidden="1" customHeight="1" outlineLevel="1" x14ac:dyDescent="0.2">
      <c r="A2803" s="239" t="s">
        <v>1279</v>
      </c>
      <c r="B2803" s="224" t="s">
        <v>5382</v>
      </c>
      <c r="C2803" s="225" t="s">
        <v>5199</v>
      </c>
      <c r="D2803" s="226" t="s">
        <v>11</v>
      </c>
      <c r="E2803" s="227">
        <v>26.83</v>
      </c>
      <c r="F2803" s="227"/>
      <c r="G2803" s="225" t="s">
        <v>5515</v>
      </c>
      <c r="H2803" s="235">
        <f t="shared" si="90"/>
        <v>16.36</v>
      </c>
      <c r="I2803" s="241"/>
      <c r="K2803" s="198"/>
      <c r="L2803" s="198"/>
    </row>
    <row r="2804" spans="1:12" s="215" customFormat="1" ht="25.5" hidden="1" customHeight="1" outlineLevel="1" x14ac:dyDescent="0.2">
      <c r="A2804" s="239" t="s">
        <v>1279</v>
      </c>
      <c r="B2804" s="216" t="s">
        <v>5383</v>
      </c>
      <c r="C2804" s="217" t="s">
        <v>2969</v>
      </c>
      <c r="D2804" s="218"/>
      <c r="E2804" s="219"/>
      <c r="F2804" s="219"/>
      <c r="G2804" s="229" t="s">
        <v>5517</v>
      </c>
      <c r="H2804" s="235">
        <f t="shared" si="90"/>
        <v>16.36</v>
      </c>
      <c r="I2804" s="241"/>
      <c r="K2804" s="198"/>
      <c r="L2804" s="198"/>
    </row>
    <row r="2805" spans="1:12" s="215" customFormat="1" ht="25.5" hidden="1" customHeight="1" outlineLevel="1" x14ac:dyDescent="0.2">
      <c r="A2805" s="239" t="s">
        <v>1279</v>
      </c>
      <c r="B2805" s="228" t="s">
        <v>5384</v>
      </c>
      <c r="C2805" s="229" t="s">
        <v>5224</v>
      </c>
      <c r="D2805" s="230" t="s">
        <v>11</v>
      </c>
      <c r="E2805" s="231">
        <v>29.6</v>
      </c>
      <c r="F2805" s="231"/>
      <c r="G2805" s="225" t="s">
        <v>5220</v>
      </c>
      <c r="H2805" s="235">
        <f t="shared" si="90"/>
        <v>25.29</v>
      </c>
      <c r="I2805" s="241"/>
      <c r="K2805" s="198"/>
      <c r="L2805" s="198"/>
    </row>
    <row r="2806" spans="1:12" s="215" customFormat="1" ht="25.5" hidden="1" customHeight="1" outlineLevel="1" x14ac:dyDescent="0.2">
      <c r="A2806" s="239" t="s">
        <v>1279</v>
      </c>
      <c r="B2806" s="224" t="s">
        <v>5385</v>
      </c>
      <c r="C2806" s="225" t="s">
        <v>5226</v>
      </c>
      <c r="D2806" s="226" t="s">
        <v>11</v>
      </c>
      <c r="E2806" s="227">
        <v>29.6</v>
      </c>
      <c r="F2806" s="227"/>
      <c r="G2806" s="229" t="s">
        <v>5222</v>
      </c>
      <c r="H2806" s="235">
        <f t="shared" si="90"/>
        <v>25.29</v>
      </c>
      <c r="I2806" s="241"/>
      <c r="K2806" s="198"/>
      <c r="L2806" s="198"/>
    </row>
    <row r="2807" spans="1:12" s="215" customFormat="1" ht="25.5" hidden="1" customHeight="1" outlineLevel="1" x14ac:dyDescent="0.2">
      <c r="A2807" s="239" t="s">
        <v>1279</v>
      </c>
      <c r="B2807" s="228" t="s">
        <v>5386</v>
      </c>
      <c r="C2807" s="229" t="s">
        <v>5228</v>
      </c>
      <c r="D2807" s="230" t="s">
        <v>11</v>
      </c>
      <c r="E2807" s="231">
        <v>101.73</v>
      </c>
      <c r="F2807" s="231"/>
      <c r="G2807" s="225" t="s">
        <v>5537</v>
      </c>
      <c r="H2807" s="235">
        <f t="shared" si="90"/>
        <v>83.73</v>
      </c>
      <c r="I2807" s="241"/>
      <c r="K2807" s="198"/>
      <c r="L2807" s="198"/>
    </row>
    <row r="2808" spans="1:12" s="215" customFormat="1" ht="25.5" hidden="1" customHeight="1" outlineLevel="1" x14ac:dyDescent="0.2">
      <c r="A2808" s="239" t="s">
        <v>1279</v>
      </c>
      <c r="B2808" s="224" t="s">
        <v>5387</v>
      </c>
      <c r="C2808" s="225" t="s">
        <v>5230</v>
      </c>
      <c r="D2808" s="226" t="s">
        <v>11</v>
      </c>
      <c r="E2808" s="227">
        <v>101.73</v>
      </c>
      <c r="F2808" s="227"/>
      <c r="G2808" s="229" t="s">
        <v>5224</v>
      </c>
      <c r="H2808" s="235">
        <f t="shared" si="90"/>
        <v>404.57000000000005</v>
      </c>
      <c r="I2808" s="241"/>
      <c r="K2808" s="198"/>
      <c r="L2808" s="198"/>
    </row>
    <row r="2809" spans="1:12" s="215" customFormat="1" ht="25.5" hidden="1" customHeight="1" outlineLevel="1" x14ac:dyDescent="0.2">
      <c r="A2809" s="239" t="s">
        <v>1279</v>
      </c>
      <c r="B2809" s="228" t="s">
        <v>5388</v>
      </c>
      <c r="C2809" s="229" t="s">
        <v>5267</v>
      </c>
      <c r="D2809" s="230" t="s">
        <v>11</v>
      </c>
      <c r="E2809" s="231">
        <v>17.93</v>
      </c>
      <c r="F2809" s="231"/>
      <c r="G2809" s="225" t="s">
        <v>5226</v>
      </c>
      <c r="H2809" s="235">
        <f t="shared" si="90"/>
        <v>404.57000000000005</v>
      </c>
      <c r="I2809" s="241"/>
    </row>
    <row r="2810" spans="1:12" s="215" customFormat="1" ht="12.75" hidden="1" customHeight="1" outlineLevel="1" x14ac:dyDescent="0.2">
      <c r="A2810" s="239" t="s">
        <v>1279</v>
      </c>
      <c r="B2810" s="224" t="s">
        <v>5389</v>
      </c>
      <c r="C2810" s="225" t="s">
        <v>5269</v>
      </c>
      <c r="D2810" s="226" t="s">
        <v>11</v>
      </c>
      <c r="E2810" s="227">
        <v>17.93</v>
      </c>
      <c r="F2810" s="227"/>
      <c r="G2810" s="229" t="s">
        <v>5261</v>
      </c>
      <c r="H2810" s="235">
        <f t="shared" si="90"/>
        <v>4.68</v>
      </c>
      <c r="I2810" s="241"/>
    </row>
    <row r="2811" spans="1:12" s="215" customFormat="1" ht="38.25" hidden="1" customHeight="1" outlineLevel="1" x14ac:dyDescent="0.2">
      <c r="A2811" s="239" t="s">
        <v>1279</v>
      </c>
      <c r="B2811" s="228" t="s">
        <v>5390</v>
      </c>
      <c r="C2811" s="229" t="s">
        <v>5134</v>
      </c>
      <c r="D2811" s="230" t="s">
        <v>11</v>
      </c>
      <c r="E2811" s="231">
        <v>9.67</v>
      </c>
      <c r="F2811" s="231"/>
      <c r="G2811" s="225" t="s">
        <v>5263</v>
      </c>
      <c r="H2811" s="235">
        <f t="shared" si="90"/>
        <v>4.68</v>
      </c>
      <c r="I2811" s="241"/>
    </row>
    <row r="2812" spans="1:12" s="215" customFormat="1" ht="38.25" hidden="1" customHeight="1" outlineLevel="1" x14ac:dyDescent="0.2">
      <c r="A2812" s="239" t="s">
        <v>1279</v>
      </c>
      <c r="B2812" s="224" t="s">
        <v>5391</v>
      </c>
      <c r="C2812" s="225" t="s">
        <v>5136</v>
      </c>
      <c r="D2812" s="226" t="s">
        <v>11</v>
      </c>
      <c r="E2812" s="227">
        <v>9.67</v>
      </c>
      <c r="F2812" s="227"/>
      <c r="G2812" s="229" t="s">
        <v>5161</v>
      </c>
      <c r="H2812" s="235">
        <f t="shared" si="90"/>
        <v>0</v>
      </c>
      <c r="I2812" s="241"/>
    </row>
    <row r="2813" spans="1:12" s="215" customFormat="1" ht="25.5" hidden="1" customHeight="1" outlineLevel="1" x14ac:dyDescent="0.2">
      <c r="A2813" s="239" t="s">
        <v>1279</v>
      </c>
      <c r="B2813" s="228" t="s">
        <v>5392</v>
      </c>
      <c r="C2813" s="229" t="s">
        <v>5234</v>
      </c>
      <c r="D2813" s="230" t="s">
        <v>11</v>
      </c>
      <c r="E2813" s="231">
        <v>96</v>
      </c>
      <c r="F2813" s="231"/>
      <c r="G2813" s="225" t="s">
        <v>5163</v>
      </c>
      <c r="H2813" s="235">
        <f t="shared" si="90"/>
        <v>0</v>
      </c>
      <c r="I2813" s="241"/>
    </row>
    <row r="2814" spans="1:12" s="215" customFormat="1" ht="25.5" hidden="1" customHeight="1" outlineLevel="1" x14ac:dyDescent="0.2">
      <c r="A2814" s="239" t="s">
        <v>1279</v>
      </c>
      <c r="B2814" s="224" t="s">
        <v>5393</v>
      </c>
      <c r="C2814" s="225" t="s">
        <v>5236</v>
      </c>
      <c r="D2814" s="226" t="s">
        <v>11</v>
      </c>
      <c r="E2814" s="227">
        <v>96</v>
      </c>
      <c r="F2814" s="227"/>
      <c r="G2814" s="229" t="s">
        <v>5530</v>
      </c>
      <c r="H2814" s="235">
        <f t="shared" si="90"/>
        <v>50.73</v>
      </c>
      <c r="I2814" s="241"/>
    </row>
    <row r="2815" spans="1:12" s="215" customFormat="1" ht="25.5" hidden="1" customHeight="1" outlineLevel="1" x14ac:dyDescent="0.2">
      <c r="A2815" s="239" t="s">
        <v>1279</v>
      </c>
      <c r="B2815" s="228" t="s">
        <v>5394</v>
      </c>
      <c r="C2815" s="229" t="s">
        <v>5242</v>
      </c>
      <c r="D2815" s="230" t="s">
        <v>11</v>
      </c>
      <c r="E2815" s="231">
        <v>50.16</v>
      </c>
      <c r="F2815" s="231"/>
      <c r="G2815" s="225" t="s">
        <v>5124</v>
      </c>
      <c r="H2815" s="235">
        <f t="shared" si="90"/>
        <v>0</v>
      </c>
      <c r="I2815" s="241"/>
    </row>
    <row r="2816" spans="1:12" s="215" customFormat="1" ht="25.5" hidden="1" customHeight="1" outlineLevel="1" x14ac:dyDescent="0.2">
      <c r="A2816" s="239" t="s">
        <v>1279</v>
      </c>
      <c r="B2816" s="224" t="s">
        <v>5395</v>
      </c>
      <c r="C2816" s="225" t="s">
        <v>5244</v>
      </c>
      <c r="D2816" s="226" t="s">
        <v>11</v>
      </c>
      <c r="E2816" s="227">
        <v>50.16</v>
      </c>
      <c r="F2816" s="227"/>
      <c r="G2816" s="229" t="s">
        <v>5165</v>
      </c>
      <c r="H2816" s="235">
        <f t="shared" si="90"/>
        <v>0</v>
      </c>
      <c r="I2816" s="241"/>
    </row>
    <row r="2817" spans="1:12" s="215" customFormat="1" ht="12.75" hidden="1" customHeight="1" outlineLevel="1" x14ac:dyDescent="0.2">
      <c r="A2817" s="239" t="s">
        <v>1279</v>
      </c>
      <c r="B2817" s="228" t="s">
        <v>5396</v>
      </c>
      <c r="C2817" s="229" t="s">
        <v>5197</v>
      </c>
      <c r="D2817" s="230" t="s">
        <v>11</v>
      </c>
      <c r="E2817" s="231">
        <v>38.090000000000003</v>
      </c>
      <c r="F2817" s="231"/>
      <c r="G2817" s="225" t="s">
        <v>5167</v>
      </c>
      <c r="H2817" s="235">
        <f t="shared" si="90"/>
        <v>0</v>
      </c>
      <c r="I2817" s="241"/>
    </row>
    <row r="2818" spans="1:12" s="215" customFormat="1" ht="38.25" hidden="1" customHeight="1" outlineLevel="1" x14ac:dyDescent="0.2">
      <c r="A2818" s="239" t="s">
        <v>1279</v>
      </c>
      <c r="B2818" s="224" t="s">
        <v>5397</v>
      </c>
      <c r="C2818" s="225" t="s">
        <v>5199</v>
      </c>
      <c r="D2818" s="226" t="s">
        <v>11</v>
      </c>
      <c r="E2818" s="227">
        <v>38.090000000000003</v>
      </c>
      <c r="F2818" s="227"/>
      <c r="G2818" s="229" t="s">
        <v>5532</v>
      </c>
      <c r="H2818" s="235">
        <f t="shared" si="90"/>
        <v>3.52</v>
      </c>
      <c r="I2818" s="241"/>
    </row>
    <row r="2819" spans="1:12" s="215" customFormat="1" ht="38.25" hidden="1" customHeight="1" outlineLevel="1" x14ac:dyDescent="0.2">
      <c r="A2819" s="239" t="s">
        <v>1279</v>
      </c>
      <c r="B2819" s="216" t="s">
        <v>5398</v>
      </c>
      <c r="C2819" s="217" t="s">
        <v>2970</v>
      </c>
      <c r="D2819" s="218"/>
      <c r="E2819" s="219"/>
      <c r="F2819" s="219"/>
      <c r="G2819" s="225" t="s">
        <v>5169</v>
      </c>
      <c r="H2819" s="235">
        <f t="shared" si="90"/>
        <v>0</v>
      </c>
      <c r="I2819" s="241"/>
    </row>
    <row r="2820" spans="1:12" s="215" customFormat="1" ht="25.5" hidden="1" customHeight="1" outlineLevel="1" x14ac:dyDescent="0.2">
      <c r="A2820" s="239" t="s">
        <v>1279</v>
      </c>
      <c r="B2820" s="228" t="s">
        <v>5399</v>
      </c>
      <c r="C2820" s="229" t="s">
        <v>5224</v>
      </c>
      <c r="D2820" s="230" t="s">
        <v>11</v>
      </c>
      <c r="E2820" s="231">
        <v>29.88</v>
      </c>
      <c r="F2820" s="231"/>
      <c r="G2820" s="229" t="s">
        <v>5171</v>
      </c>
      <c r="H2820" s="235">
        <f t="shared" si="90"/>
        <v>0</v>
      </c>
      <c r="I2820" s="241"/>
    </row>
    <row r="2821" spans="1:12" s="215" customFormat="1" ht="25.5" hidden="1" customHeight="1" outlineLevel="1" x14ac:dyDescent="0.2">
      <c r="A2821" s="239" t="s">
        <v>1279</v>
      </c>
      <c r="B2821" s="224" t="s">
        <v>5400</v>
      </c>
      <c r="C2821" s="225" t="s">
        <v>5226</v>
      </c>
      <c r="D2821" s="226" t="s">
        <v>11</v>
      </c>
      <c r="E2821" s="227">
        <v>29.88</v>
      </c>
      <c r="F2821" s="227"/>
      <c r="G2821" s="225" t="s">
        <v>5428</v>
      </c>
      <c r="H2821" s="235">
        <f t="shared" si="90"/>
        <v>15.76</v>
      </c>
      <c r="I2821" s="241"/>
    </row>
    <row r="2822" spans="1:12" s="215" customFormat="1" ht="25.5" hidden="1" customHeight="1" outlineLevel="1" x14ac:dyDescent="0.2">
      <c r="A2822" s="239" t="s">
        <v>1279</v>
      </c>
      <c r="B2822" s="228" t="s">
        <v>5401</v>
      </c>
      <c r="C2822" s="229" t="s">
        <v>5228</v>
      </c>
      <c r="D2822" s="230" t="s">
        <v>11</v>
      </c>
      <c r="E2822" s="231">
        <v>72.63</v>
      </c>
      <c r="F2822" s="231"/>
      <c r="G2822" s="229" t="s">
        <v>5430</v>
      </c>
      <c r="H2822" s="235">
        <f t="shared" si="90"/>
        <v>15.76</v>
      </c>
      <c r="I2822" s="241"/>
    </row>
    <row r="2823" spans="1:12" s="215" customFormat="1" ht="25.5" hidden="1" customHeight="1" outlineLevel="1" x14ac:dyDescent="0.2">
      <c r="A2823" s="239" t="s">
        <v>1279</v>
      </c>
      <c r="B2823" s="224" t="s">
        <v>5402</v>
      </c>
      <c r="C2823" s="225" t="s">
        <v>5230</v>
      </c>
      <c r="D2823" s="226" t="s">
        <v>11</v>
      </c>
      <c r="E2823" s="227">
        <v>72.63</v>
      </c>
      <c r="F2823" s="227"/>
      <c r="G2823" s="225" t="s">
        <v>5126</v>
      </c>
      <c r="H2823" s="235">
        <f t="shared" si="90"/>
        <v>0</v>
      </c>
      <c r="I2823" s="241"/>
    </row>
    <row r="2824" spans="1:12" s="215" customFormat="1" ht="25.5" hidden="1" customHeight="1" outlineLevel="1" x14ac:dyDescent="0.2">
      <c r="A2824" s="239" t="s">
        <v>1279</v>
      </c>
      <c r="B2824" s="228" t="s">
        <v>5403</v>
      </c>
      <c r="C2824" s="229" t="s">
        <v>5134</v>
      </c>
      <c r="D2824" s="230" t="s">
        <v>11</v>
      </c>
      <c r="E2824" s="231">
        <v>9.67</v>
      </c>
      <c r="F2824" s="231"/>
      <c r="G2824" s="229" t="s">
        <v>5128</v>
      </c>
      <c r="H2824" s="235">
        <f t="shared" si="90"/>
        <v>0</v>
      </c>
      <c r="I2824" s="241"/>
    </row>
    <row r="2825" spans="1:12" s="215" customFormat="1" ht="25.5" hidden="1" customHeight="1" outlineLevel="1" x14ac:dyDescent="0.2">
      <c r="A2825" s="239" t="s">
        <v>1279</v>
      </c>
      <c r="B2825" s="224" t="s">
        <v>5404</v>
      </c>
      <c r="C2825" s="225" t="s">
        <v>5136</v>
      </c>
      <c r="D2825" s="226" t="s">
        <v>11</v>
      </c>
      <c r="E2825" s="227">
        <v>9.67</v>
      </c>
      <c r="F2825" s="227"/>
      <c r="G2825" s="225" t="s">
        <v>5130</v>
      </c>
      <c r="H2825" s="235">
        <f t="shared" si="90"/>
        <v>0</v>
      </c>
      <c r="I2825" s="241"/>
    </row>
    <row r="2826" spans="1:12" s="215" customFormat="1" ht="25.5" hidden="1" customHeight="1" outlineLevel="1" x14ac:dyDescent="0.2">
      <c r="A2826" s="239" t="s">
        <v>1279</v>
      </c>
      <c r="B2826" s="228" t="s">
        <v>5405</v>
      </c>
      <c r="C2826" s="229" t="s">
        <v>5234</v>
      </c>
      <c r="D2826" s="230" t="s">
        <v>11</v>
      </c>
      <c r="E2826" s="231">
        <v>93.82</v>
      </c>
      <c r="F2826" s="231"/>
      <c r="G2826" s="229" t="s">
        <v>5132</v>
      </c>
      <c r="H2826" s="235">
        <f t="shared" si="90"/>
        <v>0</v>
      </c>
      <c r="I2826" s="241"/>
    </row>
    <row r="2827" spans="1:12" s="215" customFormat="1" ht="25.5" hidden="1" customHeight="1" outlineLevel="1" x14ac:dyDescent="0.2">
      <c r="A2827" s="239" t="s">
        <v>1279</v>
      </c>
      <c r="B2827" s="224" t="s">
        <v>5406</v>
      </c>
      <c r="C2827" s="225" t="s">
        <v>5236</v>
      </c>
      <c r="D2827" s="226" t="s">
        <v>11</v>
      </c>
      <c r="E2827" s="227">
        <v>93.82</v>
      </c>
      <c r="F2827" s="227"/>
      <c r="G2827" s="225" t="s">
        <v>5228</v>
      </c>
      <c r="H2827" s="235">
        <f t="shared" si="90"/>
        <v>1191.3700000000003</v>
      </c>
      <c r="I2827" s="241"/>
    </row>
    <row r="2828" spans="1:12" s="215" customFormat="1" ht="25.5" hidden="1" customHeight="1" outlineLevel="1" x14ac:dyDescent="0.2">
      <c r="A2828" s="239" t="s">
        <v>1279</v>
      </c>
      <c r="B2828" s="228" t="s">
        <v>5407</v>
      </c>
      <c r="C2828" s="229" t="s">
        <v>5242</v>
      </c>
      <c r="D2828" s="230" t="s">
        <v>11</v>
      </c>
      <c r="E2828" s="231">
        <v>50.16</v>
      </c>
      <c r="F2828" s="231"/>
      <c r="G2828" s="229" t="s">
        <v>5230</v>
      </c>
      <c r="H2828" s="235">
        <f t="shared" si="90"/>
        <v>1191.3700000000003</v>
      </c>
      <c r="I2828" s="241"/>
      <c r="K2828" s="238"/>
      <c r="L2828" s="238"/>
    </row>
    <row r="2829" spans="1:12" s="215" customFormat="1" ht="25.5" hidden="1" customHeight="1" outlineLevel="1" x14ac:dyDescent="0.2">
      <c r="A2829" s="239" t="s">
        <v>1279</v>
      </c>
      <c r="B2829" s="224" t="s">
        <v>5408</v>
      </c>
      <c r="C2829" s="225" t="s">
        <v>5244</v>
      </c>
      <c r="D2829" s="226" t="s">
        <v>11</v>
      </c>
      <c r="E2829" s="227">
        <v>50.16</v>
      </c>
      <c r="F2829" s="227"/>
      <c r="G2829" s="225" t="s">
        <v>5267</v>
      </c>
      <c r="H2829" s="235">
        <f t="shared" si="90"/>
        <v>119.14000000000001</v>
      </c>
      <c r="I2829" s="241"/>
    </row>
    <row r="2830" spans="1:12" s="215" customFormat="1" ht="12.75" hidden="1" customHeight="1" outlineLevel="1" x14ac:dyDescent="0.2">
      <c r="A2830" s="239" t="s">
        <v>1279</v>
      </c>
      <c r="B2830" s="228" t="s">
        <v>5409</v>
      </c>
      <c r="C2830" s="229" t="s">
        <v>5288</v>
      </c>
      <c r="D2830" s="230" t="s">
        <v>11</v>
      </c>
      <c r="E2830" s="231">
        <v>2.61</v>
      </c>
      <c r="F2830" s="231"/>
      <c r="G2830" s="229" t="s">
        <v>5269</v>
      </c>
      <c r="H2830" s="235">
        <f t="shared" ref="H2830:H2861" si="91">SUMIFS($E:$E,$C:$C,G2830,$A:$A,$G$30)</f>
        <v>119.14000000000001</v>
      </c>
      <c r="I2830" s="241"/>
    </row>
    <row r="2831" spans="1:12" s="215" customFormat="1" ht="38.25" hidden="1" customHeight="1" outlineLevel="1" x14ac:dyDescent="0.2">
      <c r="A2831" s="239" t="s">
        <v>1279</v>
      </c>
      <c r="B2831" s="224" t="s">
        <v>5410</v>
      </c>
      <c r="C2831" s="225" t="s">
        <v>5290</v>
      </c>
      <c r="D2831" s="226" t="s">
        <v>11</v>
      </c>
      <c r="E2831" s="227">
        <v>2.61</v>
      </c>
      <c r="F2831" s="227"/>
      <c r="G2831" s="225" t="s">
        <v>5134</v>
      </c>
      <c r="H2831" s="235">
        <f t="shared" si="91"/>
        <v>185.73</v>
      </c>
      <c r="I2831" s="241"/>
    </row>
    <row r="2832" spans="1:12" s="215" customFormat="1" ht="25.5" hidden="1" customHeight="1" outlineLevel="1" x14ac:dyDescent="0.2">
      <c r="A2832" s="239" t="s">
        <v>1279</v>
      </c>
      <c r="B2832" s="228" t="s">
        <v>5411</v>
      </c>
      <c r="C2832" s="229" t="s">
        <v>5197</v>
      </c>
      <c r="D2832" s="230" t="s">
        <v>11</v>
      </c>
      <c r="E2832" s="231">
        <v>26.83</v>
      </c>
      <c r="F2832" s="231"/>
      <c r="G2832" s="229" t="s">
        <v>5136</v>
      </c>
      <c r="H2832" s="235">
        <f t="shared" si="91"/>
        <v>185.73</v>
      </c>
      <c r="I2832" s="241"/>
    </row>
    <row r="2833" spans="1:9" s="215" customFormat="1" ht="25.5" hidden="1" customHeight="1" outlineLevel="1" x14ac:dyDescent="0.2">
      <c r="A2833" s="239" t="s">
        <v>1279</v>
      </c>
      <c r="B2833" s="224" t="s">
        <v>5412</v>
      </c>
      <c r="C2833" s="225" t="s">
        <v>5199</v>
      </c>
      <c r="D2833" s="226" t="s">
        <v>11</v>
      </c>
      <c r="E2833" s="227">
        <v>26.83</v>
      </c>
      <c r="F2833" s="227"/>
      <c r="G2833" s="225" t="s">
        <v>5434</v>
      </c>
      <c r="H2833" s="235">
        <f t="shared" si="91"/>
        <v>54.88</v>
      </c>
      <c r="I2833" s="241"/>
    </row>
    <row r="2834" spans="1:9" s="215" customFormat="1" ht="25.5" hidden="1" customHeight="1" outlineLevel="1" x14ac:dyDescent="0.2">
      <c r="A2834" s="239" t="s">
        <v>1279</v>
      </c>
      <c r="B2834" s="216" t="s">
        <v>5413</v>
      </c>
      <c r="C2834" s="217" t="s">
        <v>2971</v>
      </c>
      <c r="D2834" s="218"/>
      <c r="E2834" s="219"/>
      <c r="F2834" s="219"/>
      <c r="G2834" s="229" t="s">
        <v>5436</v>
      </c>
      <c r="H2834" s="235">
        <f t="shared" si="91"/>
        <v>54.88</v>
      </c>
      <c r="I2834" s="241"/>
    </row>
    <row r="2835" spans="1:9" s="215" customFormat="1" ht="25.5" hidden="1" customHeight="1" outlineLevel="1" x14ac:dyDescent="0.2">
      <c r="A2835" s="239" t="s">
        <v>1279</v>
      </c>
      <c r="B2835" s="228" t="s">
        <v>5414</v>
      </c>
      <c r="C2835" s="229" t="s">
        <v>5224</v>
      </c>
      <c r="D2835" s="230" t="s">
        <v>11</v>
      </c>
      <c r="E2835" s="231">
        <v>29.6</v>
      </c>
      <c r="F2835" s="231"/>
      <c r="G2835" s="225" t="s">
        <v>5234</v>
      </c>
      <c r="H2835" s="235">
        <f t="shared" si="91"/>
        <v>1265.0899999999995</v>
      </c>
      <c r="I2835" s="241"/>
    </row>
    <row r="2836" spans="1:9" s="215" customFormat="1" ht="25.5" hidden="1" customHeight="1" outlineLevel="1" x14ac:dyDescent="0.2">
      <c r="A2836" s="239" t="s">
        <v>1279</v>
      </c>
      <c r="B2836" s="224" t="s">
        <v>5415</v>
      </c>
      <c r="C2836" s="225" t="s">
        <v>5226</v>
      </c>
      <c r="D2836" s="226" t="s">
        <v>11</v>
      </c>
      <c r="E2836" s="227">
        <v>29.6</v>
      </c>
      <c r="F2836" s="227"/>
      <c r="G2836" s="229" t="s">
        <v>5236</v>
      </c>
      <c r="H2836" s="235">
        <f t="shared" si="91"/>
        <v>1265.0899999999995</v>
      </c>
      <c r="I2836" s="241"/>
    </row>
    <row r="2837" spans="1:9" s="215" customFormat="1" ht="25.5" hidden="1" customHeight="1" outlineLevel="1" x14ac:dyDescent="0.2">
      <c r="A2837" s="239" t="s">
        <v>1279</v>
      </c>
      <c r="B2837" s="228" t="s">
        <v>5416</v>
      </c>
      <c r="C2837" s="229" t="s">
        <v>5228</v>
      </c>
      <c r="D2837" s="230" t="s">
        <v>11</v>
      </c>
      <c r="E2837" s="231">
        <v>99.11</v>
      </c>
      <c r="F2837" s="231"/>
      <c r="G2837" s="225" t="s">
        <v>5438</v>
      </c>
      <c r="H2837" s="235">
        <f t="shared" si="91"/>
        <v>110.26</v>
      </c>
      <c r="I2837" s="241"/>
    </row>
    <row r="2838" spans="1:9" s="215" customFormat="1" ht="25.5" hidden="1" customHeight="1" outlineLevel="1" x14ac:dyDescent="0.2">
      <c r="A2838" s="239" t="s">
        <v>1279</v>
      </c>
      <c r="B2838" s="224" t="s">
        <v>5417</v>
      </c>
      <c r="C2838" s="225" t="s">
        <v>5230</v>
      </c>
      <c r="D2838" s="226" t="s">
        <v>11</v>
      </c>
      <c r="E2838" s="227">
        <v>99.11</v>
      </c>
      <c r="F2838" s="227"/>
      <c r="G2838" s="229" t="s">
        <v>5440</v>
      </c>
      <c r="H2838" s="235">
        <f t="shared" si="91"/>
        <v>110.26</v>
      </c>
      <c r="I2838" s="241"/>
    </row>
    <row r="2839" spans="1:9" s="215" customFormat="1" ht="25.5" hidden="1" customHeight="1" outlineLevel="1" x14ac:dyDescent="0.2">
      <c r="A2839" s="239" t="s">
        <v>1279</v>
      </c>
      <c r="B2839" s="228" t="s">
        <v>5418</v>
      </c>
      <c r="C2839" s="229" t="s">
        <v>5134</v>
      </c>
      <c r="D2839" s="230" t="s">
        <v>11</v>
      </c>
      <c r="E2839" s="231">
        <v>9.67</v>
      </c>
      <c r="F2839" s="231"/>
      <c r="G2839" s="225" t="s">
        <v>5175</v>
      </c>
      <c r="H2839" s="235">
        <f t="shared" si="91"/>
        <v>0</v>
      </c>
      <c r="I2839" s="241"/>
    </row>
    <row r="2840" spans="1:9" s="215" customFormat="1" ht="25.5" hidden="1" customHeight="1" outlineLevel="1" x14ac:dyDescent="0.2">
      <c r="A2840" s="239" t="s">
        <v>1279</v>
      </c>
      <c r="B2840" s="224" t="s">
        <v>5419</v>
      </c>
      <c r="C2840" s="225" t="s">
        <v>5136</v>
      </c>
      <c r="D2840" s="226" t="s">
        <v>11</v>
      </c>
      <c r="E2840" s="227">
        <v>9.67</v>
      </c>
      <c r="F2840" s="227"/>
      <c r="G2840" s="229" t="s">
        <v>5177</v>
      </c>
      <c r="H2840" s="235">
        <f t="shared" si="91"/>
        <v>0</v>
      </c>
      <c r="I2840" s="241"/>
    </row>
    <row r="2841" spans="1:9" s="215" customFormat="1" ht="12.75" hidden="1" customHeight="1" outlineLevel="1" x14ac:dyDescent="0.2">
      <c r="A2841" s="239" t="s">
        <v>1279</v>
      </c>
      <c r="B2841" s="228" t="s">
        <v>5420</v>
      </c>
      <c r="C2841" s="229" t="s">
        <v>5234</v>
      </c>
      <c r="D2841" s="230" t="s">
        <v>11</v>
      </c>
      <c r="E2841" s="231">
        <v>96.04</v>
      </c>
      <c r="F2841" s="231"/>
      <c r="G2841" s="225" t="s">
        <v>5138</v>
      </c>
      <c r="H2841" s="235">
        <f t="shared" si="91"/>
        <v>0</v>
      </c>
      <c r="I2841" s="241"/>
    </row>
    <row r="2842" spans="1:9" s="215" customFormat="1" ht="38.25" hidden="1" customHeight="1" outlineLevel="1" x14ac:dyDescent="0.2">
      <c r="A2842" s="239" t="s">
        <v>1279</v>
      </c>
      <c r="B2842" s="224" t="s">
        <v>5421</v>
      </c>
      <c r="C2842" s="225" t="s">
        <v>5236</v>
      </c>
      <c r="D2842" s="226" t="s">
        <v>11</v>
      </c>
      <c r="E2842" s="227">
        <v>96.04</v>
      </c>
      <c r="F2842" s="227"/>
      <c r="G2842" s="229" t="s">
        <v>5140</v>
      </c>
      <c r="H2842" s="235">
        <f t="shared" si="91"/>
        <v>0</v>
      </c>
      <c r="I2842" s="241"/>
    </row>
    <row r="2843" spans="1:9" s="215" customFormat="1" ht="38.25" hidden="1" customHeight="1" outlineLevel="1" x14ac:dyDescent="0.2">
      <c r="A2843" s="239" t="s">
        <v>1279</v>
      </c>
      <c r="B2843" s="228" t="s">
        <v>5422</v>
      </c>
      <c r="C2843" s="229" t="s">
        <v>5242</v>
      </c>
      <c r="D2843" s="230" t="s">
        <v>11</v>
      </c>
      <c r="E2843" s="231">
        <v>50.55</v>
      </c>
      <c r="F2843" s="231"/>
      <c r="G2843" s="225" t="s">
        <v>5238</v>
      </c>
      <c r="H2843" s="235">
        <f t="shared" si="91"/>
        <v>51.940000000000012</v>
      </c>
      <c r="I2843" s="241"/>
    </row>
    <row r="2844" spans="1:9" s="215" customFormat="1" ht="25.5" hidden="1" customHeight="1" outlineLevel="1" x14ac:dyDescent="0.2">
      <c r="A2844" s="239" t="s">
        <v>1279</v>
      </c>
      <c r="B2844" s="224" t="s">
        <v>5423</v>
      </c>
      <c r="C2844" s="225" t="s">
        <v>5244</v>
      </c>
      <c r="D2844" s="226" t="s">
        <v>11</v>
      </c>
      <c r="E2844" s="227">
        <v>50.55</v>
      </c>
      <c r="F2844" s="227"/>
      <c r="G2844" s="229" t="s">
        <v>5240</v>
      </c>
      <c r="H2844" s="235">
        <f t="shared" si="91"/>
        <v>51.940000000000012</v>
      </c>
      <c r="I2844" s="241"/>
    </row>
    <row r="2845" spans="1:9" s="215" customFormat="1" ht="25.5" hidden="1" customHeight="1" outlineLevel="1" x14ac:dyDescent="0.2">
      <c r="A2845" s="239" t="s">
        <v>1279</v>
      </c>
      <c r="B2845" s="228" t="s">
        <v>5424</v>
      </c>
      <c r="C2845" s="229" t="s">
        <v>5197</v>
      </c>
      <c r="D2845" s="230" t="s">
        <v>11</v>
      </c>
      <c r="E2845" s="231">
        <v>38.090000000000003</v>
      </c>
      <c r="F2845" s="231"/>
      <c r="G2845" s="225" t="s">
        <v>5242</v>
      </c>
      <c r="H2845" s="235">
        <f t="shared" si="91"/>
        <v>686.24999999999989</v>
      </c>
      <c r="I2845" s="241"/>
    </row>
    <row r="2846" spans="1:9" s="215" customFormat="1" ht="25.5" hidden="1" customHeight="1" outlineLevel="1" x14ac:dyDescent="0.2">
      <c r="A2846" s="239" t="s">
        <v>1279</v>
      </c>
      <c r="B2846" s="224" t="s">
        <v>5425</v>
      </c>
      <c r="C2846" s="225" t="s">
        <v>5199</v>
      </c>
      <c r="D2846" s="226" t="s">
        <v>11</v>
      </c>
      <c r="E2846" s="227">
        <v>38.090000000000003</v>
      </c>
      <c r="F2846" s="227"/>
      <c r="G2846" s="229" t="s">
        <v>5244</v>
      </c>
      <c r="H2846" s="235">
        <f t="shared" si="91"/>
        <v>686.24999999999989</v>
      </c>
      <c r="I2846" s="241"/>
    </row>
    <row r="2847" spans="1:9" s="215" customFormat="1" ht="25.5" hidden="1" customHeight="1" outlineLevel="1" x14ac:dyDescent="0.2">
      <c r="A2847" s="239" t="s">
        <v>1279</v>
      </c>
      <c r="B2847" s="216" t="s">
        <v>5426</v>
      </c>
      <c r="C2847" s="217" t="s">
        <v>2972</v>
      </c>
      <c r="D2847" s="218"/>
      <c r="E2847" s="219"/>
      <c r="F2847" s="219"/>
      <c r="G2847" s="225" t="s">
        <v>5181</v>
      </c>
      <c r="H2847" s="235">
        <f t="shared" si="91"/>
        <v>0</v>
      </c>
      <c r="I2847" s="241"/>
    </row>
    <row r="2848" spans="1:9" s="215" customFormat="1" ht="12.75" hidden="1" customHeight="1" outlineLevel="1" x14ac:dyDescent="0.2">
      <c r="A2848" s="239" t="s">
        <v>1279</v>
      </c>
      <c r="B2848" s="228" t="s">
        <v>5427</v>
      </c>
      <c r="C2848" s="229" t="s">
        <v>5428</v>
      </c>
      <c r="D2848" s="230" t="s">
        <v>11</v>
      </c>
      <c r="E2848" s="231">
        <v>15.76</v>
      </c>
      <c r="F2848" s="231"/>
      <c r="G2848" s="229" t="s">
        <v>5183</v>
      </c>
      <c r="H2848" s="235">
        <f t="shared" si="91"/>
        <v>0</v>
      </c>
      <c r="I2848" s="241"/>
    </row>
    <row r="2849" spans="1:12" s="215" customFormat="1" ht="25.5" hidden="1" customHeight="1" outlineLevel="1" x14ac:dyDescent="0.2">
      <c r="A2849" s="239" t="s">
        <v>1279</v>
      </c>
      <c r="B2849" s="224" t="s">
        <v>5429</v>
      </c>
      <c r="C2849" s="225" t="s">
        <v>5430</v>
      </c>
      <c r="D2849" s="226" t="s">
        <v>11</v>
      </c>
      <c r="E2849" s="227">
        <v>15.76</v>
      </c>
      <c r="F2849" s="227"/>
      <c r="G2849" s="225" t="s">
        <v>5185</v>
      </c>
      <c r="H2849" s="235">
        <f t="shared" si="91"/>
        <v>0</v>
      </c>
      <c r="I2849" s="241"/>
      <c r="K2849" s="198"/>
      <c r="L2849" s="198"/>
    </row>
    <row r="2850" spans="1:12" s="215" customFormat="1" ht="38.25" hidden="1" customHeight="1" outlineLevel="1" x14ac:dyDescent="0.2">
      <c r="A2850" s="239" t="s">
        <v>1279</v>
      </c>
      <c r="B2850" s="228" t="s">
        <v>5431</v>
      </c>
      <c r="C2850" s="229" t="s">
        <v>5134</v>
      </c>
      <c r="D2850" s="230" t="s">
        <v>11</v>
      </c>
      <c r="E2850" s="231">
        <v>9.67</v>
      </c>
      <c r="F2850" s="231"/>
      <c r="G2850" s="229" t="s">
        <v>5187</v>
      </c>
      <c r="H2850" s="235">
        <f t="shared" si="91"/>
        <v>0</v>
      </c>
      <c r="I2850" s="241"/>
      <c r="K2850" s="198"/>
      <c r="L2850" s="198"/>
    </row>
    <row r="2851" spans="1:12" s="215" customFormat="1" ht="25.5" hidden="1" customHeight="1" outlineLevel="1" x14ac:dyDescent="0.2">
      <c r="A2851" s="239" t="s">
        <v>1279</v>
      </c>
      <c r="B2851" s="224" t="s">
        <v>5432</v>
      </c>
      <c r="C2851" s="225" t="s">
        <v>5136</v>
      </c>
      <c r="D2851" s="226" t="s">
        <v>11</v>
      </c>
      <c r="E2851" s="227">
        <v>9.67</v>
      </c>
      <c r="F2851" s="227"/>
      <c r="G2851" s="225" t="s">
        <v>5288</v>
      </c>
      <c r="H2851" s="235">
        <f t="shared" si="91"/>
        <v>17.819999999999997</v>
      </c>
      <c r="I2851" s="241"/>
      <c r="K2851" s="198"/>
      <c r="L2851" s="198"/>
    </row>
    <row r="2852" spans="1:12" s="215" customFormat="1" ht="25.5" hidden="1" customHeight="1" outlineLevel="1" x14ac:dyDescent="0.2">
      <c r="A2852" s="239" t="s">
        <v>1279</v>
      </c>
      <c r="B2852" s="228" t="s">
        <v>5433</v>
      </c>
      <c r="C2852" s="229" t="s">
        <v>5434</v>
      </c>
      <c r="D2852" s="230" t="s">
        <v>11</v>
      </c>
      <c r="E2852" s="231">
        <v>54.88</v>
      </c>
      <c r="F2852" s="231"/>
      <c r="G2852" s="229" t="s">
        <v>5290</v>
      </c>
      <c r="H2852" s="235">
        <f t="shared" si="91"/>
        <v>17.819999999999997</v>
      </c>
      <c r="I2852" s="241"/>
      <c r="K2852" s="198"/>
      <c r="L2852" s="198"/>
    </row>
    <row r="2853" spans="1:12" s="215" customFormat="1" ht="25.5" hidden="1" customHeight="1" outlineLevel="1" x14ac:dyDescent="0.2">
      <c r="A2853" s="239" t="s">
        <v>1279</v>
      </c>
      <c r="B2853" s="224" t="s">
        <v>5435</v>
      </c>
      <c r="C2853" s="225" t="s">
        <v>5436</v>
      </c>
      <c r="D2853" s="226" t="s">
        <v>11</v>
      </c>
      <c r="E2853" s="227">
        <v>54.88</v>
      </c>
      <c r="F2853" s="227"/>
      <c r="G2853" s="225" t="s">
        <v>5246</v>
      </c>
      <c r="H2853" s="235">
        <f t="shared" si="91"/>
        <v>180.12</v>
      </c>
      <c r="I2853" s="241"/>
      <c r="K2853" s="198"/>
      <c r="L2853" s="198"/>
    </row>
    <row r="2854" spans="1:12" s="215" customFormat="1" ht="25.5" hidden="1" customHeight="1" outlineLevel="1" x14ac:dyDescent="0.2">
      <c r="A2854" s="239" t="s">
        <v>1279</v>
      </c>
      <c r="B2854" s="228" t="s">
        <v>5437</v>
      </c>
      <c r="C2854" s="229" t="s">
        <v>5438</v>
      </c>
      <c r="D2854" s="230" t="s">
        <v>11</v>
      </c>
      <c r="E2854" s="231">
        <v>110.26</v>
      </c>
      <c r="F2854" s="231"/>
      <c r="G2854" s="229" t="s">
        <v>5248</v>
      </c>
      <c r="H2854" s="235">
        <f t="shared" si="91"/>
        <v>180.12</v>
      </c>
      <c r="I2854" s="241"/>
      <c r="K2854" s="198"/>
      <c r="L2854" s="198"/>
    </row>
    <row r="2855" spans="1:12" s="215" customFormat="1" ht="25.5" hidden="1" customHeight="1" outlineLevel="1" x14ac:dyDescent="0.2">
      <c r="A2855" s="239" t="s">
        <v>1279</v>
      </c>
      <c r="B2855" s="224" t="s">
        <v>5439</v>
      </c>
      <c r="C2855" s="225" t="s">
        <v>5440</v>
      </c>
      <c r="D2855" s="226" t="s">
        <v>11</v>
      </c>
      <c r="E2855" s="227">
        <v>110.26</v>
      </c>
      <c r="F2855" s="227"/>
      <c r="G2855" s="225" t="s">
        <v>5189</v>
      </c>
      <c r="H2855" s="235">
        <f t="shared" si="91"/>
        <v>0</v>
      </c>
      <c r="I2855" s="241"/>
      <c r="K2855" s="198"/>
      <c r="L2855" s="198"/>
    </row>
    <row r="2856" spans="1:12" s="215" customFormat="1" ht="25.5" hidden="1" customHeight="1" outlineLevel="1" x14ac:dyDescent="0.2">
      <c r="A2856" s="239" t="s">
        <v>1279</v>
      </c>
      <c r="B2856" s="228" t="s">
        <v>5441</v>
      </c>
      <c r="C2856" s="229" t="s">
        <v>5238</v>
      </c>
      <c r="D2856" s="230" t="s">
        <v>11</v>
      </c>
      <c r="E2856" s="231">
        <v>19.53</v>
      </c>
      <c r="F2856" s="231"/>
      <c r="G2856" s="229" t="s">
        <v>5191</v>
      </c>
      <c r="H2856" s="235">
        <f t="shared" si="91"/>
        <v>0</v>
      </c>
      <c r="I2856" s="241"/>
      <c r="K2856" s="198"/>
      <c r="L2856" s="198"/>
    </row>
    <row r="2857" spans="1:12" s="215" customFormat="1" ht="25.5" hidden="1" customHeight="1" outlineLevel="1" x14ac:dyDescent="0.2">
      <c r="A2857" s="239" t="s">
        <v>1279</v>
      </c>
      <c r="B2857" s="224" t="s">
        <v>5442</v>
      </c>
      <c r="C2857" s="225" t="s">
        <v>5240</v>
      </c>
      <c r="D2857" s="226" t="s">
        <v>11</v>
      </c>
      <c r="E2857" s="227">
        <v>19.53</v>
      </c>
      <c r="F2857" s="227"/>
      <c r="G2857" s="225" t="s">
        <v>5142</v>
      </c>
      <c r="H2857" s="235">
        <f t="shared" si="91"/>
        <v>0</v>
      </c>
      <c r="I2857" s="241"/>
      <c r="K2857" s="198"/>
      <c r="L2857" s="198"/>
    </row>
    <row r="2858" spans="1:12" s="215" customFormat="1" ht="25.5" hidden="1" customHeight="1" outlineLevel="1" x14ac:dyDescent="0.2">
      <c r="A2858" s="239" t="s">
        <v>1279</v>
      </c>
      <c r="B2858" s="228" t="s">
        <v>5443</v>
      </c>
      <c r="C2858" s="229" t="s">
        <v>5197</v>
      </c>
      <c r="D2858" s="230" t="s">
        <v>11</v>
      </c>
      <c r="E2858" s="231">
        <v>18.14</v>
      </c>
      <c r="F2858" s="231"/>
      <c r="G2858" s="229" t="s">
        <v>5144</v>
      </c>
      <c r="H2858" s="235">
        <f t="shared" si="91"/>
        <v>0</v>
      </c>
      <c r="I2858" s="241"/>
      <c r="K2858" s="198"/>
      <c r="L2858" s="198"/>
    </row>
    <row r="2859" spans="1:12" s="215" customFormat="1" ht="25.5" hidden="1" customHeight="1" outlineLevel="1" x14ac:dyDescent="0.2">
      <c r="A2859" s="239" t="s">
        <v>1279</v>
      </c>
      <c r="B2859" s="224" t="s">
        <v>5444</v>
      </c>
      <c r="C2859" s="225" t="s">
        <v>5199</v>
      </c>
      <c r="D2859" s="226" t="s">
        <v>11</v>
      </c>
      <c r="E2859" s="227">
        <v>18.14</v>
      </c>
      <c r="F2859" s="227"/>
      <c r="G2859" s="225" t="s">
        <v>5146</v>
      </c>
      <c r="H2859" s="235">
        <f t="shared" si="91"/>
        <v>0</v>
      </c>
      <c r="I2859" s="241"/>
    </row>
    <row r="2860" spans="1:12" s="215" customFormat="1" ht="12.75" hidden="1" customHeight="1" outlineLevel="1" x14ac:dyDescent="0.2">
      <c r="A2860" s="239" t="s">
        <v>1279</v>
      </c>
      <c r="B2860" s="228" t="s">
        <v>5445</v>
      </c>
      <c r="C2860" s="229" t="s">
        <v>5446</v>
      </c>
      <c r="D2860" s="230" t="s">
        <v>11</v>
      </c>
      <c r="E2860" s="231">
        <v>8.66</v>
      </c>
      <c r="F2860" s="231"/>
      <c r="G2860" s="229" t="s">
        <v>5148</v>
      </c>
      <c r="H2860" s="235">
        <f t="shared" si="91"/>
        <v>0</v>
      </c>
      <c r="I2860" s="241"/>
    </row>
    <row r="2861" spans="1:12" s="215" customFormat="1" ht="38.25" hidden="1" customHeight="1" outlineLevel="1" x14ac:dyDescent="0.2">
      <c r="A2861" s="239" t="s">
        <v>1279</v>
      </c>
      <c r="B2861" s="224" t="s">
        <v>5447</v>
      </c>
      <c r="C2861" s="225" t="s">
        <v>5448</v>
      </c>
      <c r="D2861" s="226" t="s">
        <v>11</v>
      </c>
      <c r="E2861" s="227">
        <v>8.66</v>
      </c>
      <c r="F2861" s="227"/>
      <c r="G2861" s="225" t="s">
        <v>5150</v>
      </c>
      <c r="H2861" s="235">
        <f t="shared" si="91"/>
        <v>0</v>
      </c>
      <c r="I2861" s="241"/>
    </row>
    <row r="2862" spans="1:12" s="215" customFormat="1" ht="38.25" hidden="1" customHeight="1" outlineLevel="1" x14ac:dyDescent="0.2">
      <c r="A2862" s="239" t="s">
        <v>1279</v>
      </c>
      <c r="B2862" s="216" t="s">
        <v>5449</v>
      </c>
      <c r="C2862" s="217" t="s">
        <v>2973</v>
      </c>
      <c r="D2862" s="218"/>
      <c r="E2862" s="219"/>
      <c r="F2862" s="219"/>
      <c r="G2862" s="229" t="s">
        <v>5152</v>
      </c>
      <c r="H2862" s="235">
        <f t="shared" ref="H2862:H2886" si="92">SUMIFS($E:$E,$C:$C,G2862,$A:$A,$G$30)</f>
        <v>0</v>
      </c>
      <c r="I2862" s="241"/>
    </row>
    <row r="2863" spans="1:12" s="215" customFormat="1" ht="25.5" hidden="1" customHeight="1" outlineLevel="1" x14ac:dyDescent="0.2">
      <c r="A2863" s="239" t="s">
        <v>1279</v>
      </c>
      <c r="B2863" s="228" t="s">
        <v>5450</v>
      </c>
      <c r="C2863" s="229" t="s">
        <v>5224</v>
      </c>
      <c r="D2863" s="230" t="s">
        <v>11</v>
      </c>
      <c r="E2863" s="231">
        <v>9.2100000000000009</v>
      </c>
      <c r="F2863" s="231"/>
      <c r="G2863" s="225" t="s">
        <v>5154</v>
      </c>
      <c r="H2863" s="235">
        <f t="shared" si="92"/>
        <v>0</v>
      </c>
      <c r="I2863" s="241"/>
    </row>
    <row r="2864" spans="1:12" s="215" customFormat="1" ht="25.5" hidden="1" customHeight="1" outlineLevel="1" x14ac:dyDescent="0.2">
      <c r="A2864" s="239" t="s">
        <v>1279</v>
      </c>
      <c r="B2864" s="224" t="s">
        <v>5451</v>
      </c>
      <c r="C2864" s="225" t="s">
        <v>5226</v>
      </c>
      <c r="D2864" s="226" t="s">
        <v>11</v>
      </c>
      <c r="E2864" s="227">
        <v>9.2100000000000009</v>
      </c>
      <c r="F2864" s="227"/>
      <c r="G2864" s="229" t="s">
        <v>5156</v>
      </c>
      <c r="H2864" s="235">
        <f t="shared" si="92"/>
        <v>0</v>
      </c>
      <c r="I2864" s="241"/>
    </row>
    <row r="2865" spans="1:12" s="215" customFormat="1" ht="25.5" hidden="1" customHeight="1" outlineLevel="1" x14ac:dyDescent="0.2">
      <c r="A2865" s="239" t="s">
        <v>1279</v>
      </c>
      <c r="B2865" s="228" t="s">
        <v>5452</v>
      </c>
      <c r="C2865" s="229" t="s">
        <v>5228</v>
      </c>
      <c r="D2865" s="230" t="s">
        <v>11</v>
      </c>
      <c r="E2865" s="231">
        <v>24.36</v>
      </c>
      <c r="F2865" s="231"/>
      <c r="G2865" s="225" t="s">
        <v>5193</v>
      </c>
      <c r="H2865" s="235">
        <f t="shared" si="92"/>
        <v>0</v>
      </c>
      <c r="I2865" s="241"/>
      <c r="J2865" s="479"/>
    </row>
    <row r="2866" spans="1:12" s="215" customFormat="1" ht="25.5" hidden="1" customHeight="1" outlineLevel="1" x14ac:dyDescent="0.2">
      <c r="A2866" s="239" t="s">
        <v>1279</v>
      </c>
      <c r="B2866" s="224" t="s">
        <v>5453</v>
      </c>
      <c r="C2866" s="225" t="s">
        <v>5230</v>
      </c>
      <c r="D2866" s="226" t="s">
        <v>11</v>
      </c>
      <c r="E2866" s="227">
        <v>24.36</v>
      </c>
      <c r="F2866" s="227"/>
      <c r="G2866" s="229" t="s">
        <v>5195</v>
      </c>
      <c r="H2866" s="235">
        <f t="shared" si="92"/>
        <v>0</v>
      </c>
      <c r="I2866" s="241"/>
      <c r="J2866" s="479"/>
    </row>
    <row r="2867" spans="1:12" s="215" customFormat="1" ht="25.5" hidden="1" customHeight="1" outlineLevel="1" x14ac:dyDescent="0.2">
      <c r="A2867" s="239" t="s">
        <v>1279</v>
      </c>
      <c r="B2867" s="228" t="s">
        <v>5454</v>
      </c>
      <c r="C2867" s="229" t="s">
        <v>5134</v>
      </c>
      <c r="D2867" s="230" t="s">
        <v>11</v>
      </c>
      <c r="E2867" s="231">
        <v>9.67</v>
      </c>
      <c r="F2867" s="231"/>
      <c r="G2867" s="225" t="s">
        <v>5197</v>
      </c>
      <c r="H2867" s="235">
        <f t="shared" si="92"/>
        <v>517.67999999999984</v>
      </c>
      <c r="I2867" s="241"/>
      <c r="J2867" s="479"/>
    </row>
    <row r="2868" spans="1:12" s="215" customFormat="1" ht="25.5" hidden="1" customHeight="1" outlineLevel="1" x14ac:dyDescent="0.2">
      <c r="A2868" s="239" t="s">
        <v>1279</v>
      </c>
      <c r="B2868" s="224" t="s">
        <v>5455</v>
      </c>
      <c r="C2868" s="225" t="s">
        <v>5136</v>
      </c>
      <c r="D2868" s="226" t="s">
        <v>11</v>
      </c>
      <c r="E2868" s="227">
        <v>9.67</v>
      </c>
      <c r="F2868" s="227"/>
      <c r="G2868" s="229" t="s">
        <v>5199</v>
      </c>
      <c r="H2868" s="235">
        <f t="shared" si="92"/>
        <v>517.67999999999984</v>
      </c>
      <c r="I2868" s="241"/>
      <c r="J2868" s="479"/>
    </row>
    <row r="2869" spans="1:12" s="215" customFormat="1" ht="25.5" hidden="1" customHeight="1" outlineLevel="1" x14ac:dyDescent="0.2">
      <c r="A2869" s="239" t="s">
        <v>1279</v>
      </c>
      <c r="B2869" s="228" t="s">
        <v>5456</v>
      </c>
      <c r="C2869" s="229" t="s">
        <v>5234</v>
      </c>
      <c r="D2869" s="230" t="s">
        <v>11</v>
      </c>
      <c r="E2869" s="231">
        <v>51.26</v>
      </c>
      <c r="F2869" s="231"/>
      <c r="G2869" s="225" t="s">
        <v>5523</v>
      </c>
      <c r="H2869" s="235">
        <f t="shared" si="92"/>
        <v>15.01</v>
      </c>
      <c r="I2869" s="241"/>
      <c r="J2869" s="479"/>
    </row>
    <row r="2870" spans="1:12" s="215" customFormat="1" ht="25.5" hidden="1" customHeight="1" outlineLevel="1" x14ac:dyDescent="0.2">
      <c r="A2870" s="239" t="s">
        <v>1279</v>
      </c>
      <c r="B2870" s="224" t="s">
        <v>5457</v>
      </c>
      <c r="C2870" s="225" t="s">
        <v>5236</v>
      </c>
      <c r="D2870" s="226" t="s">
        <v>11</v>
      </c>
      <c r="E2870" s="227">
        <v>51.26</v>
      </c>
      <c r="F2870" s="227"/>
      <c r="G2870" s="229" t="s">
        <v>5525</v>
      </c>
      <c r="H2870" s="235">
        <f t="shared" si="92"/>
        <v>15.01</v>
      </c>
      <c r="I2870" s="241"/>
      <c r="J2870" s="479"/>
    </row>
    <row r="2871" spans="1:12" s="215" customFormat="1" ht="25.5" hidden="1" customHeight="1" outlineLevel="1" x14ac:dyDescent="0.2">
      <c r="A2871" s="239" t="s">
        <v>1279</v>
      </c>
      <c r="B2871" s="228" t="s">
        <v>5458</v>
      </c>
      <c r="C2871" s="229" t="s">
        <v>5238</v>
      </c>
      <c r="D2871" s="230" t="s">
        <v>11</v>
      </c>
      <c r="E2871" s="231">
        <v>4.4800000000000004</v>
      </c>
      <c r="F2871" s="231"/>
      <c r="G2871" s="225" t="s">
        <v>5252</v>
      </c>
      <c r="H2871" s="235">
        <f t="shared" si="92"/>
        <v>4.43</v>
      </c>
      <c r="I2871" s="241"/>
      <c r="J2871" s="479"/>
      <c r="K2871" s="238"/>
      <c r="L2871" s="238"/>
    </row>
    <row r="2872" spans="1:12" s="215" customFormat="1" ht="25.5" hidden="1" customHeight="1" outlineLevel="1" x14ac:dyDescent="0.2">
      <c r="A2872" s="239" t="s">
        <v>1279</v>
      </c>
      <c r="B2872" s="224" t="s">
        <v>5459</v>
      </c>
      <c r="C2872" s="225" t="s">
        <v>5240</v>
      </c>
      <c r="D2872" s="226" t="s">
        <v>11</v>
      </c>
      <c r="E2872" s="227">
        <v>4.4800000000000004</v>
      </c>
      <c r="F2872" s="227"/>
      <c r="G2872" s="229" t="s">
        <v>5254</v>
      </c>
      <c r="H2872" s="235">
        <f t="shared" si="92"/>
        <v>4.43</v>
      </c>
      <c r="I2872" s="241"/>
      <c r="J2872" s="479"/>
    </row>
    <row r="2873" spans="1:12" s="215" customFormat="1" ht="12.75" hidden="1" customHeight="1" outlineLevel="1" x14ac:dyDescent="0.2">
      <c r="A2873" s="239" t="s">
        <v>1279</v>
      </c>
      <c r="B2873" s="228" t="s">
        <v>5460</v>
      </c>
      <c r="C2873" s="229" t="s">
        <v>5242</v>
      </c>
      <c r="D2873" s="230" t="s">
        <v>11</v>
      </c>
      <c r="E2873" s="231">
        <v>26.62</v>
      </c>
      <c r="F2873" s="231"/>
      <c r="G2873" s="225" t="s">
        <v>5201</v>
      </c>
      <c r="H2873" s="235">
        <f t="shared" si="92"/>
        <v>0</v>
      </c>
      <c r="I2873" s="241"/>
      <c r="J2873" s="479"/>
    </row>
    <row r="2874" spans="1:12" s="215" customFormat="1" ht="38.25" hidden="1" customHeight="1" outlineLevel="1" x14ac:dyDescent="0.2">
      <c r="A2874" s="239" t="s">
        <v>1279</v>
      </c>
      <c r="B2874" s="224" t="s">
        <v>5461</v>
      </c>
      <c r="C2874" s="225" t="s">
        <v>5244</v>
      </c>
      <c r="D2874" s="226" t="s">
        <v>11</v>
      </c>
      <c r="E2874" s="227">
        <v>26.62</v>
      </c>
      <c r="F2874" s="227"/>
      <c r="G2874" s="229" t="s">
        <v>5203</v>
      </c>
      <c r="H2874" s="235">
        <f t="shared" si="92"/>
        <v>0</v>
      </c>
      <c r="I2874" s="241"/>
      <c r="J2874" s="479"/>
    </row>
    <row r="2875" spans="1:12" s="215" customFormat="1" ht="25.5" hidden="1" customHeight="1" outlineLevel="1" x14ac:dyDescent="0.2">
      <c r="A2875" s="239" t="s">
        <v>1279</v>
      </c>
      <c r="B2875" s="228" t="s">
        <v>5462</v>
      </c>
      <c r="C2875" s="229" t="s">
        <v>5288</v>
      </c>
      <c r="D2875" s="230" t="s">
        <v>11</v>
      </c>
      <c r="E2875" s="231">
        <v>3.04</v>
      </c>
      <c r="F2875" s="231"/>
      <c r="G2875" s="225" t="s">
        <v>5205</v>
      </c>
      <c r="H2875" s="235">
        <f t="shared" si="92"/>
        <v>0</v>
      </c>
      <c r="I2875" s="241"/>
      <c r="J2875" s="479"/>
    </row>
    <row r="2876" spans="1:12" s="215" customFormat="1" ht="25.5" hidden="1" customHeight="1" outlineLevel="1" x14ac:dyDescent="0.2">
      <c r="A2876" s="239" t="s">
        <v>1279</v>
      </c>
      <c r="B2876" s="224" t="s">
        <v>5463</v>
      </c>
      <c r="C2876" s="225" t="s">
        <v>5290</v>
      </c>
      <c r="D2876" s="226" t="s">
        <v>11</v>
      </c>
      <c r="E2876" s="227">
        <v>3.04</v>
      </c>
      <c r="F2876" s="227"/>
      <c r="G2876" s="229" t="s">
        <v>5207</v>
      </c>
      <c r="H2876" s="235">
        <f t="shared" si="92"/>
        <v>0</v>
      </c>
      <c r="I2876" s="241"/>
      <c r="J2876" s="479"/>
    </row>
    <row r="2877" spans="1:12" s="215" customFormat="1" ht="25.5" hidden="1" customHeight="1" outlineLevel="1" x14ac:dyDescent="0.2">
      <c r="A2877" s="239" t="s">
        <v>1279</v>
      </c>
      <c r="B2877" s="228" t="s">
        <v>5464</v>
      </c>
      <c r="C2877" s="229" t="s">
        <v>5197</v>
      </c>
      <c r="D2877" s="230" t="s">
        <v>11</v>
      </c>
      <c r="E2877" s="231">
        <v>22.34</v>
      </c>
      <c r="F2877" s="231"/>
      <c r="G2877" s="225" t="s">
        <v>5158</v>
      </c>
      <c r="H2877" s="235">
        <f t="shared" si="92"/>
        <v>0</v>
      </c>
      <c r="I2877" s="241"/>
      <c r="J2877" s="479"/>
    </row>
    <row r="2878" spans="1:12" s="215" customFormat="1" ht="25.5" hidden="1" customHeight="1" outlineLevel="1" x14ac:dyDescent="0.2">
      <c r="A2878" s="239" t="s">
        <v>1279</v>
      </c>
      <c r="B2878" s="224" t="s">
        <v>5465</v>
      </c>
      <c r="C2878" s="225" t="s">
        <v>5199</v>
      </c>
      <c r="D2878" s="226" t="s">
        <v>11</v>
      </c>
      <c r="E2878" s="227">
        <v>22.34</v>
      </c>
      <c r="F2878" s="227"/>
      <c r="G2878" s="229" t="s">
        <v>5160</v>
      </c>
      <c r="H2878" s="235">
        <f t="shared" si="92"/>
        <v>0</v>
      </c>
      <c r="I2878" s="241"/>
      <c r="J2878" s="479"/>
    </row>
    <row r="2879" spans="1:12" s="215" customFormat="1" ht="25.5" hidden="1" customHeight="1" outlineLevel="1" x14ac:dyDescent="0.2">
      <c r="A2879" s="239" t="s">
        <v>1279</v>
      </c>
      <c r="B2879" s="216" t="s">
        <v>5466</v>
      </c>
      <c r="C2879" s="217" t="s">
        <v>2974</v>
      </c>
      <c r="D2879" s="218"/>
      <c r="E2879" s="219"/>
      <c r="F2879" s="219"/>
      <c r="G2879" s="225" t="s">
        <v>5446</v>
      </c>
      <c r="H2879" s="235">
        <f t="shared" si="92"/>
        <v>8.66</v>
      </c>
      <c r="I2879" s="241"/>
      <c r="J2879" s="479"/>
    </row>
    <row r="2880" spans="1:12" s="215" customFormat="1" ht="25.5" hidden="1" customHeight="1" outlineLevel="1" x14ac:dyDescent="0.2">
      <c r="A2880" s="239" t="s">
        <v>1279</v>
      </c>
      <c r="B2880" s="228" t="s">
        <v>5467</v>
      </c>
      <c r="C2880" s="229" t="s">
        <v>5224</v>
      </c>
      <c r="D2880" s="230" t="s">
        <v>11</v>
      </c>
      <c r="E2880" s="231">
        <v>15.04</v>
      </c>
      <c r="F2880" s="231"/>
      <c r="G2880" s="229" t="s">
        <v>5448</v>
      </c>
      <c r="H2880" s="235">
        <f t="shared" si="92"/>
        <v>8.66</v>
      </c>
      <c r="I2880" s="241"/>
      <c r="J2880" s="479"/>
    </row>
    <row r="2881" spans="1:12" s="215" customFormat="1" ht="25.5" hidden="1" customHeight="1" outlineLevel="1" x14ac:dyDescent="0.2">
      <c r="A2881" s="239" t="s">
        <v>1279</v>
      </c>
      <c r="B2881" s="224" t="s">
        <v>5468</v>
      </c>
      <c r="C2881" s="225" t="s">
        <v>5226</v>
      </c>
      <c r="D2881" s="226" t="s">
        <v>11</v>
      </c>
      <c r="E2881" s="227">
        <v>15.04</v>
      </c>
      <c r="F2881" s="227"/>
      <c r="G2881" s="225" t="s">
        <v>5209</v>
      </c>
      <c r="H2881" s="235">
        <f t="shared" si="92"/>
        <v>6.44</v>
      </c>
      <c r="I2881" s="241"/>
      <c r="J2881" s="479"/>
    </row>
    <row r="2882" spans="1:12" s="215" customFormat="1" ht="25.5" hidden="1" customHeight="1" outlineLevel="1" x14ac:dyDescent="0.2">
      <c r="A2882" s="239" t="s">
        <v>1279</v>
      </c>
      <c r="B2882" s="228" t="s">
        <v>5469</v>
      </c>
      <c r="C2882" s="229" t="s">
        <v>5228</v>
      </c>
      <c r="D2882" s="230" t="s">
        <v>11</v>
      </c>
      <c r="E2882" s="231">
        <v>61.88</v>
      </c>
      <c r="F2882" s="231"/>
      <c r="G2882" s="229" t="s">
        <v>5211</v>
      </c>
      <c r="H2882" s="235">
        <f t="shared" si="92"/>
        <v>6.44</v>
      </c>
      <c r="I2882" s="241"/>
      <c r="J2882" s="479"/>
    </row>
    <row r="2883" spans="1:12" s="215" customFormat="1" ht="25.5" hidden="1" customHeight="1" outlineLevel="1" x14ac:dyDescent="0.2">
      <c r="A2883" s="239" t="s">
        <v>1279</v>
      </c>
      <c r="B2883" s="224" t="s">
        <v>5470</v>
      </c>
      <c r="C2883" s="225" t="s">
        <v>5230</v>
      </c>
      <c r="D2883" s="226" t="s">
        <v>11</v>
      </c>
      <c r="E2883" s="227">
        <v>61.88</v>
      </c>
      <c r="F2883" s="227"/>
      <c r="G2883" s="225" t="s">
        <v>5213</v>
      </c>
      <c r="H2883" s="235">
        <f t="shared" si="92"/>
        <v>0</v>
      </c>
      <c r="I2883" s="241"/>
      <c r="J2883" s="479"/>
    </row>
    <row r="2884" spans="1:12" s="215" customFormat="1" ht="12.75" hidden="1" customHeight="1" outlineLevel="1" x14ac:dyDescent="0.2">
      <c r="A2884" s="239" t="s">
        <v>1279</v>
      </c>
      <c r="B2884" s="228" t="s">
        <v>5471</v>
      </c>
      <c r="C2884" s="229" t="s">
        <v>5134</v>
      </c>
      <c r="D2884" s="230" t="s">
        <v>11</v>
      </c>
      <c r="E2884" s="231">
        <v>9.67</v>
      </c>
      <c r="F2884" s="231"/>
      <c r="G2884" s="229" t="s">
        <v>5215</v>
      </c>
      <c r="H2884" s="235">
        <f t="shared" si="92"/>
        <v>0</v>
      </c>
      <c r="I2884" s="241"/>
      <c r="J2884" s="479"/>
    </row>
    <row r="2885" spans="1:12" s="215" customFormat="1" ht="38.25" hidden="1" customHeight="1" outlineLevel="1" x14ac:dyDescent="0.2">
      <c r="A2885" s="239" t="s">
        <v>1279</v>
      </c>
      <c r="B2885" s="224" t="s">
        <v>5472</v>
      </c>
      <c r="C2885" s="225" t="s">
        <v>5136</v>
      </c>
      <c r="D2885" s="226" t="s">
        <v>11</v>
      </c>
      <c r="E2885" s="227">
        <v>9.67</v>
      </c>
      <c r="F2885" s="227"/>
      <c r="G2885" s="225" t="s">
        <v>5256</v>
      </c>
      <c r="H2885" s="235">
        <f t="shared" si="92"/>
        <v>3.05</v>
      </c>
      <c r="I2885" s="241"/>
      <c r="J2885" s="479"/>
    </row>
    <row r="2886" spans="1:12" s="215" customFormat="1" ht="38.25" hidden="1" customHeight="1" outlineLevel="1" x14ac:dyDescent="0.2">
      <c r="A2886" s="239" t="s">
        <v>1279</v>
      </c>
      <c r="B2886" s="228" t="s">
        <v>5473</v>
      </c>
      <c r="C2886" s="229" t="s">
        <v>5234</v>
      </c>
      <c r="D2886" s="230" t="s">
        <v>11</v>
      </c>
      <c r="E2886" s="231">
        <v>28.87</v>
      </c>
      <c r="F2886" s="231"/>
      <c r="G2886" s="229" t="s">
        <v>5258</v>
      </c>
      <c r="H2886" s="235">
        <f t="shared" si="92"/>
        <v>3.05</v>
      </c>
      <c r="I2886" s="241"/>
      <c r="J2886" s="479"/>
    </row>
    <row r="2887" spans="1:12" s="215" customFormat="1" ht="25.5" hidden="1" customHeight="1" outlineLevel="1" x14ac:dyDescent="0.2">
      <c r="A2887" s="239" t="s">
        <v>1279</v>
      </c>
      <c r="B2887" s="224" t="s">
        <v>5474</v>
      </c>
      <c r="C2887" s="225" t="s">
        <v>5236</v>
      </c>
      <c r="D2887" s="226" t="s">
        <v>11</v>
      </c>
      <c r="E2887" s="227">
        <v>28.87</v>
      </c>
      <c r="F2887" s="227"/>
      <c r="G2887" s="198"/>
      <c r="H2887" s="198"/>
      <c r="I2887" s="241"/>
      <c r="J2887" s="479"/>
    </row>
    <row r="2888" spans="1:12" s="215" customFormat="1" ht="25.5" hidden="1" customHeight="1" outlineLevel="1" x14ac:dyDescent="0.2">
      <c r="A2888" s="239" t="s">
        <v>1279</v>
      </c>
      <c r="B2888" s="228" t="s">
        <v>5475</v>
      </c>
      <c r="C2888" s="229" t="s">
        <v>5238</v>
      </c>
      <c r="D2888" s="230" t="s">
        <v>11</v>
      </c>
      <c r="E2888" s="231">
        <v>4.4800000000000004</v>
      </c>
      <c r="F2888" s="231"/>
      <c r="G2888" s="198"/>
      <c r="H2888" s="198"/>
      <c r="I2888" s="241"/>
      <c r="J2888" s="479"/>
    </row>
    <row r="2889" spans="1:12" s="215" customFormat="1" ht="25.5" hidden="1" customHeight="1" outlineLevel="1" x14ac:dyDescent="0.2">
      <c r="A2889" s="239" t="s">
        <v>1279</v>
      </c>
      <c r="B2889" s="224" t="s">
        <v>5476</v>
      </c>
      <c r="C2889" s="225" t="s">
        <v>5240</v>
      </c>
      <c r="D2889" s="226" t="s">
        <v>11</v>
      </c>
      <c r="E2889" s="227">
        <v>4.4800000000000004</v>
      </c>
      <c r="F2889" s="227"/>
      <c r="G2889" s="198"/>
      <c r="H2889" s="198"/>
      <c r="I2889" s="241"/>
      <c r="J2889" s="479"/>
    </row>
    <row r="2890" spans="1:12" s="215" customFormat="1" ht="25.5" hidden="1" customHeight="1" outlineLevel="1" x14ac:dyDescent="0.2">
      <c r="A2890" s="239" t="s">
        <v>1279</v>
      </c>
      <c r="B2890" s="228" t="s">
        <v>5477</v>
      </c>
      <c r="C2890" s="229" t="s">
        <v>5242</v>
      </c>
      <c r="D2890" s="230" t="s">
        <v>11</v>
      </c>
      <c r="E2890" s="231">
        <v>26.62</v>
      </c>
      <c r="F2890" s="231"/>
      <c r="G2890" s="198"/>
      <c r="H2890" s="198"/>
      <c r="I2890" s="241"/>
      <c r="J2890" s="479"/>
    </row>
    <row r="2891" spans="1:12" s="215" customFormat="1" ht="12.75" hidden="1" customHeight="1" outlineLevel="1" x14ac:dyDescent="0.2">
      <c r="A2891" s="239" t="s">
        <v>1279</v>
      </c>
      <c r="B2891" s="224" t="s">
        <v>5478</v>
      </c>
      <c r="C2891" s="225" t="s">
        <v>5244</v>
      </c>
      <c r="D2891" s="226" t="s">
        <v>11</v>
      </c>
      <c r="E2891" s="227">
        <v>26.62</v>
      </c>
      <c r="F2891" s="227"/>
      <c r="G2891" s="198"/>
      <c r="H2891" s="198"/>
      <c r="I2891" s="241"/>
      <c r="J2891" s="479"/>
    </row>
    <row r="2892" spans="1:12" s="215" customFormat="1" ht="25.5" hidden="1" customHeight="1" outlineLevel="1" x14ac:dyDescent="0.2">
      <c r="A2892" s="239" t="s">
        <v>1279</v>
      </c>
      <c r="B2892" s="228" t="s">
        <v>5479</v>
      </c>
      <c r="C2892" s="229" t="s">
        <v>5197</v>
      </c>
      <c r="D2892" s="230" t="s">
        <v>11</v>
      </c>
      <c r="E2892" s="231">
        <v>28.68</v>
      </c>
      <c r="F2892" s="231"/>
      <c r="G2892" s="241"/>
      <c r="H2892" s="241"/>
      <c r="I2892" s="241"/>
      <c r="J2892" s="403"/>
      <c r="K2892" s="198"/>
      <c r="L2892" s="198"/>
    </row>
    <row r="2893" spans="1:12" s="215" customFormat="1" ht="38.25" hidden="1" customHeight="1" outlineLevel="1" x14ac:dyDescent="0.2">
      <c r="A2893" s="239" t="s">
        <v>1279</v>
      </c>
      <c r="B2893" s="224" t="s">
        <v>5480</v>
      </c>
      <c r="C2893" s="225" t="s">
        <v>5199</v>
      </c>
      <c r="D2893" s="226" t="s">
        <v>11</v>
      </c>
      <c r="E2893" s="227">
        <v>28.68</v>
      </c>
      <c r="F2893" s="227"/>
      <c r="G2893" s="241"/>
      <c r="H2893" s="241"/>
      <c r="I2893" s="241"/>
      <c r="J2893" s="403"/>
      <c r="K2893" s="198"/>
      <c r="L2893" s="198"/>
    </row>
    <row r="2894" spans="1:12" s="215" customFormat="1" ht="25.5" hidden="1" customHeight="1" outlineLevel="1" x14ac:dyDescent="0.2">
      <c r="A2894" s="239" t="s">
        <v>1279</v>
      </c>
      <c r="B2894" s="216" t="s">
        <v>5481</v>
      </c>
      <c r="C2894" s="217" t="s">
        <v>2975</v>
      </c>
      <c r="D2894" s="218"/>
      <c r="E2894" s="219"/>
      <c r="F2894" s="219"/>
      <c r="G2894" s="241"/>
      <c r="H2894" s="241"/>
      <c r="I2894" s="241"/>
      <c r="J2894" s="403"/>
      <c r="K2894" s="198"/>
      <c r="L2894" s="198"/>
    </row>
    <row r="2895" spans="1:12" s="215" customFormat="1" ht="25.5" hidden="1" customHeight="1" outlineLevel="1" x14ac:dyDescent="0.2">
      <c r="A2895" s="239" t="s">
        <v>1279</v>
      </c>
      <c r="B2895" s="228" t="s">
        <v>5482</v>
      </c>
      <c r="C2895" s="229" t="s">
        <v>5224</v>
      </c>
      <c r="D2895" s="230" t="s">
        <v>11</v>
      </c>
      <c r="E2895" s="231">
        <v>9.34</v>
      </c>
      <c r="F2895" s="231"/>
      <c r="G2895" s="241"/>
      <c r="H2895" s="241"/>
      <c r="I2895" s="241"/>
      <c r="J2895" s="403"/>
      <c r="K2895" s="198"/>
      <c r="L2895" s="198"/>
    </row>
    <row r="2896" spans="1:12" s="215" customFormat="1" ht="25.5" hidden="1" customHeight="1" outlineLevel="1" x14ac:dyDescent="0.2">
      <c r="A2896" s="239" t="s">
        <v>1279</v>
      </c>
      <c r="B2896" s="224" t="s">
        <v>5483</v>
      </c>
      <c r="C2896" s="225" t="s">
        <v>5226</v>
      </c>
      <c r="D2896" s="226" t="s">
        <v>11</v>
      </c>
      <c r="E2896" s="227">
        <v>9.34</v>
      </c>
      <c r="F2896" s="227"/>
      <c r="G2896" s="241"/>
      <c r="H2896" s="241"/>
      <c r="I2896" s="241"/>
      <c r="J2896" s="403"/>
      <c r="K2896" s="198"/>
      <c r="L2896" s="198"/>
    </row>
    <row r="2897" spans="1:12" s="215" customFormat="1" ht="25.5" hidden="1" customHeight="1" outlineLevel="1" x14ac:dyDescent="0.2">
      <c r="A2897" s="239" t="s">
        <v>1279</v>
      </c>
      <c r="B2897" s="228" t="s">
        <v>5484</v>
      </c>
      <c r="C2897" s="229" t="s">
        <v>5228</v>
      </c>
      <c r="D2897" s="230" t="s">
        <v>11</v>
      </c>
      <c r="E2897" s="231">
        <v>24.42</v>
      </c>
      <c r="F2897" s="231"/>
      <c r="G2897" s="241"/>
      <c r="H2897" s="241"/>
      <c r="I2897" s="241"/>
      <c r="J2897" s="403"/>
      <c r="K2897" s="198"/>
      <c r="L2897" s="198"/>
    </row>
    <row r="2898" spans="1:12" s="215" customFormat="1" ht="25.5" hidden="1" customHeight="1" outlineLevel="1" x14ac:dyDescent="0.2">
      <c r="A2898" s="239" t="s">
        <v>1279</v>
      </c>
      <c r="B2898" s="224" t="s">
        <v>5485</v>
      </c>
      <c r="C2898" s="225" t="s">
        <v>5230</v>
      </c>
      <c r="D2898" s="226" t="s">
        <v>11</v>
      </c>
      <c r="E2898" s="227">
        <v>24.42</v>
      </c>
      <c r="F2898" s="227"/>
      <c r="G2898" s="241"/>
      <c r="H2898" s="241"/>
      <c r="I2898" s="241"/>
      <c r="J2898" s="403"/>
      <c r="K2898" s="198"/>
      <c r="L2898" s="198"/>
    </row>
    <row r="2899" spans="1:12" s="215" customFormat="1" ht="25.5" hidden="1" customHeight="1" outlineLevel="1" x14ac:dyDescent="0.2">
      <c r="A2899" s="239" t="s">
        <v>1279</v>
      </c>
      <c r="B2899" s="228" t="s">
        <v>5486</v>
      </c>
      <c r="C2899" s="229" t="s">
        <v>5134</v>
      </c>
      <c r="D2899" s="230" t="s">
        <v>11</v>
      </c>
      <c r="E2899" s="231">
        <v>9.67</v>
      </c>
      <c r="F2899" s="231"/>
      <c r="G2899" s="241"/>
      <c r="H2899" s="241"/>
      <c r="I2899" s="241"/>
      <c r="J2899" s="403"/>
      <c r="K2899" s="198"/>
      <c r="L2899" s="198"/>
    </row>
    <row r="2900" spans="1:12" s="215" customFormat="1" ht="25.5" hidden="1" customHeight="1" outlineLevel="1" x14ac:dyDescent="0.2">
      <c r="A2900" s="239" t="s">
        <v>1279</v>
      </c>
      <c r="B2900" s="224" t="s">
        <v>5487</v>
      </c>
      <c r="C2900" s="225" t="s">
        <v>5136</v>
      </c>
      <c r="D2900" s="226" t="s">
        <v>11</v>
      </c>
      <c r="E2900" s="227">
        <v>9.67</v>
      </c>
      <c r="F2900" s="227"/>
      <c r="G2900" s="241"/>
      <c r="H2900" s="241"/>
      <c r="I2900" s="241"/>
      <c r="J2900" s="403"/>
      <c r="K2900" s="198"/>
      <c r="L2900" s="198"/>
    </row>
    <row r="2901" spans="1:12" s="215" customFormat="1" ht="25.5" hidden="1" customHeight="1" outlineLevel="1" x14ac:dyDescent="0.2">
      <c r="A2901" s="239" t="s">
        <v>1279</v>
      </c>
      <c r="B2901" s="228" t="s">
        <v>5488</v>
      </c>
      <c r="C2901" s="229" t="s">
        <v>5234</v>
      </c>
      <c r="D2901" s="230" t="s">
        <v>11</v>
      </c>
      <c r="E2901" s="231">
        <v>51.29</v>
      </c>
      <c r="F2901" s="231"/>
      <c r="G2901" s="241"/>
      <c r="H2901" s="241"/>
      <c r="I2901" s="241"/>
      <c r="J2901" s="403"/>
      <c r="K2901" s="198"/>
      <c r="L2901" s="198"/>
    </row>
    <row r="2902" spans="1:12" s="215" customFormat="1" ht="25.5" hidden="1" customHeight="1" outlineLevel="1" x14ac:dyDescent="0.2">
      <c r="A2902" s="239" t="s">
        <v>1279</v>
      </c>
      <c r="B2902" s="224" t="s">
        <v>5489</v>
      </c>
      <c r="C2902" s="225" t="s">
        <v>5236</v>
      </c>
      <c r="D2902" s="226" t="s">
        <v>11</v>
      </c>
      <c r="E2902" s="227">
        <v>51.29</v>
      </c>
      <c r="F2902" s="227"/>
      <c r="G2902" s="198"/>
      <c r="H2902" s="198"/>
      <c r="I2902" s="241"/>
      <c r="J2902" s="479"/>
    </row>
    <row r="2903" spans="1:12" s="215" customFormat="1" ht="12.75" hidden="1" customHeight="1" outlineLevel="1" x14ac:dyDescent="0.2">
      <c r="A2903" s="239" t="s">
        <v>1279</v>
      </c>
      <c r="B2903" s="228" t="s">
        <v>5490</v>
      </c>
      <c r="C2903" s="229" t="s">
        <v>5238</v>
      </c>
      <c r="D2903" s="230" t="s">
        <v>11</v>
      </c>
      <c r="E2903" s="231">
        <v>4.4800000000000004</v>
      </c>
      <c r="F2903" s="231"/>
      <c r="G2903" s="198"/>
      <c r="H2903" s="198"/>
      <c r="I2903" s="241"/>
      <c r="J2903" s="479"/>
    </row>
    <row r="2904" spans="1:12" s="215" customFormat="1" ht="38.25" hidden="1" customHeight="1" outlineLevel="1" x14ac:dyDescent="0.2">
      <c r="A2904" s="239" t="s">
        <v>1279</v>
      </c>
      <c r="B2904" s="224" t="s">
        <v>5491</v>
      </c>
      <c r="C2904" s="225" t="s">
        <v>5240</v>
      </c>
      <c r="D2904" s="226" t="s">
        <v>11</v>
      </c>
      <c r="E2904" s="227">
        <v>4.4800000000000004</v>
      </c>
      <c r="F2904" s="227"/>
      <c r="G2904" s="198"/>
      <c r="H2904" s="198"/>
      <c r="I2904" s="241"/>
      <c r="J2904" s="479"/>
    </row>
    <row r="2905" spans="1:12" s="215" customFormat="1" ht="38.25" hidden="1" customHeight="1" outlineLevel="1" x14ac:dyDescent="0.2">
      <c r="A2905" s="239" t="s">
        <v>1279</v>
      </c>
      <c r="B2905" s="228" t="s">
        <v>5492</v>
      </c>
      <c r="C2905" s="229" t="s">
        <v>5242</v>
      </c>
      <c r="D2905" s="230" t="s">
        <v>11</v>
      </c>
      <c r="E2905" s="231">
        <v>29.98</v>
      </c>
      <c r="F2905" s="231"/>
      <c r="G2905" s="198"/>
      <c r="H2905" s="198"/>
      <c r="I2905" s="241"/>
      <c r="J2905" s="479"/>
    </row>
    <row r="2906" spans="1:12" s="215" customFormat="1" ht="25.5" hidden="1" customHeight="1" outlineLevel="1" x14ac:dyDescent="0.2">
      <c r="A2906" s="239" t="s">
        <v>1279</v>
      </c>
      <c r="B2906" s="224" t="s">
        <v>5493</v>
      </c>
      <c r="C2906" s="225" t="s">
        <v>5244</v>
      </c>
      <c r="D2906" s="226" t="s">
        <v>11</v>
      </c>
      <c r="E2906" s="227">
        <v>29.98</v>
      </c>
      <c r="F2906" s="227"/>
      <c r="G2906" s="198"/>
      <c r="H2906" s="198"/>
      <c r="I2906" s="241"/>
      <c r="J2906" s="479"/>
    </row>
    <row r="2907" spans="1:12" s="215" customFormat="1" ht="25.5" hidden="1" customHeight="1" outlineLevel="1" x14ac:dyDescent="0.2">
      <c r="A2907" s="239" t="s">
        <v>1279</v>
      </c>
      <c r="B2907" s="228" t="s">
        <v>5494</v>
      </c>
      <c r="C2907" s="229" t="s">
        <v>5288</v>
      </c>
      <c r="D2907" s="230" t="s">
        <v>11</v>
      </c>
      <c r="E2907" s="231">
        <v>3.04</v>
      </c>
      <c r="F2907" s="231"/>
      <c r="G2907" s="198"/>
      <c r="H2907" s="198"/>
      <c r="I2907" s="241"/>
      <c r="J2907" s="479"/>
    </row>
    <row r="2908" spans="1:12" s="215" customFormat="1" ht="25.5" hidden="1" customHeight="1" outlineLevel="1" x14ac:dyDescent="0.2">
      <c r="A2908" s="239" t="s">
        <v>1279</v>
      </c>
      <c r="B2908" s="224" t="s">
        <v>5495</v>
      </c>
      <c r="C2908" s="225" t="s">
        <v>5290</v>
      </c>
      <c r="D2908" s="226" t="s">
        <v>11</v>
      </c>
      <c r="E2908" s="227">
        <v>3.04</v>
      </c>
      <c r="F2908" s="227"/>
      <c r="G2908" s="198"/>
      <c r="H2908" s="198"/>
      <c r="I2908" s="241"/>
      <c r="J2908" s="479"/>
    </row>
    <row r="2909" spans="1:12" s="215" customFormat="1" ht="25.5" hidden="1" customHeight="1" outlineLevel="1" x14ac:dyDescent="0.2">
      <c r="A2909" s="239" t="s">
        <v>1279</v>
      </c>
      <c r="B2909" s="228" t="s">
        <v>5496</v>
      </c>
      <c r="C2909" s="229" t="s">
        <v>5197</v>
      </c>
      <c r="D2909" s="230" t="s">
        <v>11</v>
      </c>
      <c r="E2909" s="231">
        <v>22.18</v>
      </c>
      <c r="F2909" s="231"/>
      <c r="G2909" s="198"/>
      <c r="H2909" s="198"/>
      <c r="I2909" s="241"/>
      <c r="J2909" s="479"/>
    </row>
    <row r="2910" spans="1:12" s="215" customFormat="1" ht="25.5" hidden="1" customHeight="1" outlineLevel="1" x14ac:dyDescent="0.2">
      <c r="A2910" s="239" t="s">
        <v>1279</v>
      </c>
      <c r="B2910" s="224" t="s">
        <v>5497</v>
      </c>
      <c r="C2910" s="225" t="s">
        <v>5199</v>
      </c>
      <c r="D2910" s="226" t="s">
        <v>11</v>
      </c>
      <c r="E2910" s="227">
        <v>22.18</v>
      </c>
      <c r="F2910" s="227"/>
      <c r="G2910" s="198"/>
      <c r="H2910" s="198"/>
      <c r="I2910" s="241"/>
      <c r="J2910" s="479"/>
    </row>
    <row r="2911" spans="1:12" s="215" customFormat="1" ht="25.5" hidden="1" customHeight="1" outlineLevel="1" x14ac:dyDescent="0.2">
      <c r="A2911" s="239" t="s">
        <v>1279</v>
      </c>
      <c r="B2911" s="216" t="s">
        <v>5498</v>
      </c>
      <c r="C2911" s="217" t="s">
        <v>2976</v>
      </c>
      <c r="D2911" s="218"/>
      <c r="E2911" s="219"/>
      <c r="F2911" s="219"/>
      <c r="G2911" s="198"/>
      <c r="H2911" s="198"/>
      <c r="I2911" s="241"/>
      <c r="J2911" s="479"/>
    </row>
    <row r="2912" spans="1:12" s="215" customFormat="1" ht="25.5" hidden="1" customHeight="1" outlineLevel="1" x14ac:dyDescent="0.2">
      <c r="A2912" s="239" t="s">
        <v>1279</v>
      </c>
      <c r="B2912" s="228" t="s">
        <v>5499</v>
      </c>
      <c r="C2912" s="229" t="s">
        <v>5224</v>
      </c>
      <c r="D2912" s="230" t="s">
        <v>11</v>
      </c>
      <c r="E2912" s="231">
        <v>15.04</v>
      </c>
      <c r="F2912" s="231"/>
      <c r="G2912" s="198"/>
      <c r="H2912" s="198"/>
      <c r="I2912" s="241"/>
      <c r="J2912" s="479"/>
    </row>
    <row r="2913" spans="1:12" s="215" customFormat="1" ht="25.5" hidden="1" customHeight="1" outlineLevel="1" x14ac:dyDescent="0.2">
      <c r="A2913" s="239" t="s">
        <v>1279</v>
      </c>
      <c r="B2913" s="224" t="s">
        <v>5500</v>
      </c>
      <c r="C2913" s="225" t="s">
        <v>5226</v>
      </c>
      <c r="D2913" s="226" t="s">
        <v>11</v>
      </c>
      <c r="E2913" s="227">
        <v>15.04</v>
      </c>
      <c r="F2913" s="227"/>
      <c r="G2913" s="198"/>
      <c r="H2913" s="198"/>
      <c r="I2913" s="241"/>
      <c r="J2913" s="479"/>
    </row>
    <row r="2914" spans="1:12" s="215" customFormat="1" ht="25.5" hidden="1" customHeight="1" outlineLevel="1" x14ac:dyDescent="0.2">
      <c r="A2914" s="239" t="s">
        <v>1279</v>
      </c>
      <c r="B2914" s="228" t="s">
        <v>5501</v>
      </c>
      <c r="C2914" s="229" t="s">
        <v>5228</v>
      </c>
      <c r="D2914" s="230" t="s">
        <v>11</v>
      </c>
      <c r="E2914" s="231">
        <v>61.89</v>
      </c>
      <c r="F2914" s="231"/>
      <c r="G2914" s="198"/>
      <c r="H2914" s="198"/>
      <c r="I2914" s="241"/>
      <c r="J2914" s="479"/>
      <c r="K2914" s="238"/>
      <c r="L2914" s="238"/>
    </row>
    <row r="2915" spans="1:12" s="215" customFormat="1" ht="25.5" hidden="1" customHeight="1" outlineLevel="1" x14ac:dyDescent="0.2">
      <c r="A2915" s="239" t="s">
        <v>1279</v>
      </c>
      <c r="B2915" s="224" t="s">
        <v>5502</v>
      </c>
      <c r="C2915" s="225" t="s">
        <v>5230</v>
      </c>
      <c r="D2915" s="226" t="s">
        <v>11</v>
      </c>
      <c r="E2915" s="227">
        <v>61.89</v>
      </c>
      <c r="F2915" s="227"/>
      <c r="G2915" s="198"/>
      <c r="H2915" s="198"/>
      <c r="I2915" s="241"/>
      <c r="J2915" s="479"/>
    </row>
    <row r="2916" spans="1:12" s="215" customFormat="1" ht="12.75" hidden="1" customHeight="1" outlineLevel="1" x14ac:dyDescent="0.2">
      <c r="A2916" s="239" t="s">
        <v>1279</v>
      </c>
      <c r="B2916" s="228" t="s">
        <v>5503</v>
      </c>
      <c r="C2916" s="229" t="s">
        <v>5134</v>
      </c>
      <c r="D2916" s="230" t="s">
        <v>11</v>
      </c>
      <c r="E2916" s="231">
        <v>9.67</v>
      </c>
      <c r="F2916" s="231"/>
      <c r="G2916" s="198"/>
      <c r="H2916" s="198"/>
      <c r="I2916" s="241"/>
      <c r="J2916" s="479"/>
    </row>
    <row r="2917" spans="1:12" s="215" customFormat="1" ht="38.25" hidden="1" customHeight="1" outlineLevel="1" x14ac:dyDescent="0.2">
      <c r="A2917" s="239" t="s">
        <v>1279</v>
      </c>
      <c r="B2917" s="224" t="s">
        <v>5504</v>
      </c>
      <c r="C2917" s="225" t="s">
        <v>5136</v>
      </c>
      <c r="D2917" s="226" t="s">
        <v>11</v>
      </c>
      <c r="E2917" s="227">
        <v>9.67</v>
      </c>
      <c r="F2917" s="227"/>
      <c r="G2917" s="198"/>
      <c r="H2917" s="198"/>
      <c r="I2917" s="241"/>
      <c r="J2917" s="479"/>
    </row>
    <row r="2918" spans="1:12" s="215" customFormat="1" ht="25.5" hidden="1" customHeight="1" outlineLevel="1" x14ac:dyDescent="0.2">
      <c r="A2918" s="239" t="s">
        <v>1279</v>
      </c>
      <c r="B2918" s="228" t="s">
        <v>5505</v>
      </c>
      <c r="C2918" s="229" t="s">
        <v>5234</v>
      </c>
      <c r="D2918" s="230" t="s">
        <v>11</v>
      </c>
      <c r="E2918" s="231">
        <v>28.87</v>
      </c>
      <c r="F2918" s="231"/>
      <c r="G2918" s="198"/>
      <c r="H2918" s="198"/>
      <c r="I2918" s="241"/>
      <c r="J2918" s="479"/>
    </row>
    <row r="2919" spans="1:12" s="215" customFormat="1" ht="25.5" hidden="1" customHeight="1" outlineLevel="1" x14ac:dyDescent="0.2">
      <c r="A2919" s="239" t="s">
        <v>1279</v>
      </c>
      <c r="B2919" s="224" t="s">
        <v>5506</v>
      </c>
      <c r="C2919" s="225" t="s">
        <v>5236</v>
      </c>
      <c r="D2919" s="226" t="s">
        <v>11</v>
      </c>
      <c r="E2919" s="227">
        <v>28.87</v>
      </c>
      <c r="F2919" s="227"/>
      <c r="G2919" s="198"/>
      <c r="H2919" s="198"/>
      <c r="I2919" s="241"/>
      <c r="J2919" s="479"/>
    </row>
    <row r="2920" spans="1:12" s="215" customFormat="1" ht="25.5" hidden="1" customHeight="1" outlineLevel="1" x14ac:dyDescent="0.2">
      <c r="A2920" s="239" t="s">
        <v>1279</v>
      </c>
      <c r="B2920" s="228" t="s">
        <v>5507</v>
      </c>
      <c r="C2920" s="229" t="s">
        <v>5238</v>
      </c>
      <c r="D2920" s="230" t="s">
        <v>11</v>
      </c>
      <c r="E2920" s="231">
        <v>4.4800000000000004</v>
      </c>
      <c r="F2920" s="231"/>
      <c r="G2920" s="198"/>
      <c r="H2920" s="198"/>
      <c r="I2920" s="241"/>
      <c r="J2920" s="479"/>
    </row>
    <row r="2921" spans="1:12" s="215" customFormat="1" ht="25.5" hidden="1" customHeight="1" outlineLevel="1" x14ac:dyDescent="0.2">
      <c r="A2921" s="239" t="s">
        <v>1279</v>
      </c>
      <c r="B2921" s="224" t="s">
        <v>5508</v>
      </c>
      <c r="C2921" s="225" t="s">
        <v>5240</v>
      </c>
      <c r="D2921" s="226" t="s">
        <v>11</v>
      </c>
      <c r="E2921" s="227">
        <v>4.4800000000000004</v>
      </c>
      <c r="F2921" s="227"/>
      <c r="G2921" s="198"/>
      <c r="H2921" s="198"/>
      <c r="I2921" s="241"/>
      <c r="J2921" s="479"/>
    </row>
    <row r="2922" spans="1:12" s="215" customFormat="1" ht="25.5" hidden="1" customHeight="1" outlineLevel="1" x14ac:dyDescent="0.2">
      <c r="A2922" s="239" t="s">
        <v>1279</v>
      </c>
      <c r="B2922" s="228" t="s">
        <v>5509</v>
      </c>
      <c r="C2922" s="229" t="s">
        <v>5242</v>
      </c>
      <c r="D2922" s="230" t="s">
        <v>11</v>
      </c>
      <c r="E2922" s="231">
        <v>27.34</v>
      </c>
      <c r="F2922" s="231"/>
      <c r="G2922" s="198"/>
      <c r="H2922" s="198"/>
      <c r="I2922" s="241"/>
      <c r="J2922" s="479"/>
    </row>
    <row r="2923" spans="1:12" s="215" customFormat="1" ht="25.5" hidden="1" customHeight="1" outlineLevel="1" x14ac:dyDescent="0.2">
      <c r="A2923" s="239" t="s">
        <v>1279</v>
      </c>
      <c r="B2923" s="224" t="s">
        <v>5510</v>
      </c>
      <c r="C2923" s="225" t="s">
        <v>5244</v>
      </c>
      <c r="D2923" s="226" t="s">
        <v>11</v>
      </c>
      <c r="E2923" s="227">
        <v>27.34</v>
      </c>
      <c r="F2923" s="227"/>
      <c r="G2923" s="198"/>
      <c r="H2923" s="198"/>
      <c r="I2923" s="241"/>
      <c r="J2923" s="479"/>
    </row>
    <row r="2924" spans="1:12" s="215" customFormat="1" ht="25.5" hidden="1" customHeight="1" outlineLevel="1" x14ac:dyDescent="0.2">
      <c r="A2924" s="239" t="s">
        <v>1279</v>
      </c>
      <c r="B2924" s="228" t="s">
        <v>5511</v>
      </c>
      <c r="C2924" s="229" t="s">
        <v>5197</v>
      </c>
      <c r="D2924" s="230" t="s">
        <v>11</v>
      </c>
      <c r="E2924" s="231">
        <v>32.369999999999997</v>
      </c>
      <c r="F2924" s="231"/>
      <c r="G2924" s="198"/>
      <c r="H2924" s="198"/>
      <c r="I2924" s="241"/>
      <c r="J2924" s="479"/>
    </row>
    <row r="2925" spans="1:12" s="215" customFormat="1" ht="25.5" hidden="1" customHeight="1" outlineLevel="1" x14ac:dyDescent="0.2">
      <c r="A2925" s="239" t="s">
        <v>1279</v>
      </c>
      <c r="B2925" s="224" t="s">
        <v>5512</v>
      </c>
      <c r="C2925" s="225" t="s">
        <v>5199</v>
      </c>
      <c r="D2925" s="226" t="s">
        <v>11</v>
      </c>
      <c r="E2925" s="227">
        <v>32.369999999999997</v>
      </c>
      <c r="F2925" s="227"/>
      <c r="G2925" s="198"/>
      <c r="H2925" s="198"/>
      <c r="I2925" s="241"/>
      <c r="J2925" s="479"/>
    </row>
    <row r="2926" spans="1:12" s="215" customFormat="1" ht="25.5" hidden="1" customHeight="1" outlineLevel="1" x14ac:dyDescent="0.2">
      <c r="A2926" s="239" t="s">
        <v>1279</v>
      </c>
      <c r="B2926" s="216" t="s">
        <v>5513</v>
      </c>
      <c r="C2926" s="217" t="s">
        <v>2978</v>
      </c>
      <c r="D2926" s="218"/>
      <c r="E2926" s="219"/>
      <c r="F2926" s="219"/>
      <c r="G2926" s="198"/>
      <c r="H2926" s="198"/>
      <c r="I2926" s="241"/>
      <c r="J2926" s="479"/>
    </row>
    <row r="2927" spans="1:12" s="215" customFormat="1" ht="12.75" hidden="1" customHeight="1" outlineLevel="1" x14ac:dyDescent="0.2">
      <c r="A2927" s="239" t="s">
        <v>1279</v>
      </c>
      <c r="B2927" s="228" t="s">
        <v>5514</v>
      </c>
      <c r="C2927" s="229" t="s">
        <v>5515</v>
      </c>
      <c r="D2927" s="230" t="s">
        <v>11</v>
      </c>
      <c r="E2927" s="231">
        <v>16.36</v>
      </c>
      <c r="F2927" s="231"/>
      <c r="G2927" s="198"/>
      <c r="H2927" s="198"/>
      <c r="I2927" s="241"/>
      <c r="J2927" s="479"/>
    </row>
    <row r="2928" spans="1:12" s="215" customFormat="1" ht="38.25" hidden="1" customHeight="1" outlineLevel="1" x14ac:dyDescent="0.2">
      <c r="A2928" s="239" t="s">
        <v>1279</v>
      </c>
      <c r="B2928" s="224" t="s">
        <v>5516</v>
      </c>
      <c r="C2928" s="225" t="s">
        <v>5517</v>
      </c>
      <c r="D2928" s="226" t="s">
        <v>11</v>
      </c>
      <c r="E2928" s="227">
        <v>16.36</v>
      </c>
      <c r="F2928" s="227"/>
      <c r="G2928" s="198"/>
      <c r="H2928" s="198"/>
      <c r="I2928" s="241"/>
      <c r="J2928" s="479"/>
    </row>
    <row r="2929" spans="1:12" s="215" customFormat="1" ht="38.25" hidden="1" customHeight="1" outlineLevel="1" x14ac:dyDescent="0.2">
      <c r="A2929" s="239" t="s">
        <v>1279</v>
      </c>
      <c r="B2929" s="228" t="s">
        <v>5518</v>
      </c>
      <c r="C2929" s="229" t="s">
        <v>5134</v>
      </c>
      <c r="D2929" s="230" t="s">
        <v>11</v>
      </c>
      <c r="E2929" s="231">
        <v>8.85</v>
      </c>
      <c r="F2929" s="231"/>
      <c r="G2929" s="198"/>
      <c r="H2929" s="198"/>
      <c r="I2929" s="241"/>
      <c r="J2929" s="479"/>
    </row>
    <row r="2930" spans="1:12" s="215" customFormat="1" ht="25.5" hidden="1" customHeight="1" outlineLevel="1" x14ac:dyDescent="0.2">
      <c r="A2930" s="239" t="s">
        <v>1279</v>
      </c>
      <c r="B2930" s="224" t="s">
        <v>5519</v>
      </c>
      <c r="C2930" s="225" t="s">
        <v>5136</v>
      </c>
      <c r="D2930" s="226" t="s">
        <v>11</v>
      </c>
      <c r="E2930" s="227">
        <v>8.85</v>
      </c>
      <c r="F2930" s="227"/>
      <c r="G2930" s="198"/>
      <c r="H2930" s="198"/>
      <c r="I2930" s="241"/>
      <c r="J2930" s="479"/>
    </row>
    <row r="2931" spans="1:12" s="215" customFormat="1" ht="25.5" hidden="1" customHeight="1" outlineLevel="1" x14ac:dyDescent="0.2">
      <c r="A2931" s="239" t="s">
        <v>1279</v>
      </c>
      <c r="B2931" s="228" t="s">
        <v>5520</v>
      </c>
      <c r="C2931" s="229" t="s">
        <v>5238</v>
      </c>
      <c r="D2931" s="230" t="s">
        <v>11</v>
      </c>
      <c r="E2931" s="231">
        <v>10.220000000000001</v>
      </c>
      <c r="F2931" s="231"/>
      <c r="G2931" s="198"/>
      <c r="H2931" s="198"/>
      <c r="I2931" s="241"/>
      <c r="J2931" s="479"/>
    </row>
    <row r="2932" spans="1:12" s="215" customFormat="1" ht="25.5" hidden="1" customHeight="1" outlineLevel="1" x14ac:dyDescent="0.2">
      <c r="A2932" s="239" t="s">
        <v>1279</v>
      </c>
      <c r="B2932" s="224" t="s">
        <v>5521</v>
      </c>
      <c r="C2932" s="225" t="s">
        <v>5240</v>
      </c>
      <c r="D2932" s="226" t="s">
        <v>11</v>
      </c>
      <c r="E2932" s="227">
        <v>10.220000000000001</v>
      </c>
      <c r="F2932" s="227"/>
      <c r="G2932" s="198"/>
      <c r="H2932" s="198"/>
      <c r="I2932" s="241"/>
      <c r="J2932" s="479"/>
    </row>
    <row r="2933" spans="1:12" s="215" customFormat="1" ht="25.5" hidden="1" customHeight="1" outlineLevel="1" x14ac:dyDescent="0.2">
      <c r="A2933" s="239" t="s">
        <v>1279</v>
      </c>
      <c r="B2933" s="228" t="s">
        <v>5522</v>
      </c>
      <c r="C2933" s="229" t="s">
        <v>5523</v>
      </c>
      <c r="D2933" s="230" t="s">
        <v>11</v>
      </c>
      <c r="E2933" s="231">
        <v>15.01</v>
      </c>
      <c r="F2933" s="231"/>
      <c r="G2933" s="198"/>
      <c r="H2933" s="198"/>
      <c r="I2933" s="241"/>
      <c r="J2933" s="479"/>
    </row>
    <row r="2934" spans="1:12" s="215" customFormat="1" ht="12.75" hidden="1" customHeight="1" outlineLevel="1" x14ac:dyDescent="0.2">
      <c r="A2934" s="239" t="s">
        <v>1279</v>
      </c>
      <c r="B2934" s="224" t="s">
        <v>5524</v>
      </c>
      <c r="C2934" s="225" t="s">
        <v>5525</v>
      </c>
      <c r="D2934" s="226" t="s">
        <v>11</v>
      </c>
      <c r="E2934" s="227">
        <v>15.01</v>
      </c>
      <c r="F2934" s="227"/>
      <c r="G2934" s="198"/>
      <c r="H2934" s="198"/>
      <c r="I2934" s="241"/>
      <c r="J2934" s="479"/>
    </row>
    <row r="2935" spans="1:12" s="215" customFormat="1" ht="25.5" hidden="1" customHeight="1" outlineLevel="1" x14ac:dyDescent="0.2">
      <c r="A2935" s="239" t="s">
        <v>1279</v>
      </c>
      <c r="B2935" s="228" t="s">
        <v>5526</v>
      </c>
      <c r="C2935" s="229" t="s">
        <v>5209</v>
      </c>
      <c r="D2935" s="230" t="s">
        <v>11</v>
      </c>
      <c r="E2935" s="231">
        <v>6.44</v>
      </c>
      <c r="F2935" s="231"/>
      <c r="G2935" s="241"/>
      <c r="H2935" s="241"/>
      <c r="I2935" s="241"/>
      <c r="J2935" s="403"/>
      <c r="K2935" s="198"/>
      <c r="L2935" s="198"/>
    </row>
    <row r="2936" spans="1:12" s="215" customFormat="1" ht="38.25" hidden="1" customHeight="1" outlineLevel="1" x14ac:dyDescent="0.2">
      <c r="A2936" s="239" t="s">
        <v>1279</v>
      </c>
      <c r="B2936" s="224" t="s">
        <v>5527</v>
      </c>
      <c r="C2936" s="225" t="s">
        <v>5211</v>
      </c>
      <c r="D2936" s="226" t="s">
        <v>11</v>
      </c>
      <c r="E2936" s="227">
        <v>6.44</v>
      </c>
      <c r="F2936" s="227"/>
      <c r="G2936" s="241"/>
      <c r="H2936" s="241"/>
      <c r="I2936" s="241"/>
      <c r="J2936" s="403"/>
      <c r="K2936" s="198"/>
      <c r="L2936" s="198"/>
    </row>
    <row r="2937" spans="1:12" s="215" customFormat="1" ht="25.5" hidden="1" customHeight="1" outlineLevel="1" x14ac:dyDescent="0.2">
      <c r="A2937" s="239" t="s">
        <v>1279</v>
      </c>
      <c r="B2937" s="216" t="s">
        <v>5528</v>
      </c>
      <c r="C2937" s="217" t="s">
        <v>2980</v>
      </c>
      <c r="D2937" s="218"/>
      <c r="E2937" s="219"/>
      <c r="F2937" s="219"/>
      <c r="G2937" s="241"/>
      <c r="H2937" s="241"/>
      <c r="I2937" s="241"/>
      <c r="J2937" s="403"/>
      <c r="K2937" s="198"/>
      <c r="L2937" s="198"/>
    </row>
    <row r="2938" spans="1:12" s="215" customFormat="1" ht="25.5" hidden="1" customHeight="1" outlineLevel="1" x14ac:dyDescent="0.2">
      <c r="A2938" s="239" t="s">
        <v>1279</v>
      </c>
      <c r="B2938" s="228" t="s">
        <v>5529</v>
      </c>
      <c r="C2938" s="229" t="s">
        <v>5530</v>
      </c>
      <c r="D2938" s="230" t="s">
        <v>11</v>
      </c>
      <c r="E2938" s="231">
        <v>50.73</v>
      </c>
      <c r="F2938" s="231"/>
      <c r="G2938" s="241"/>
      <c r="H2938" s="241"/>
      <c r="I2938" s="241"/>
      <c r="J2938" s="403"/>
      <c r="K2938" s="198"/>
      <c r="L2938" s="198"/>
    </row>
    <row r="2939" spans="1:12" s="215" customFormat="1" ht="25.5" hidden="1" customHeight="1" outlineLevel="1" x14ac:dyDescent="0.2">
      <c r="A2939" s="239" t="s">
        <v>1279</v>
      </c>
      <c r="B2939" s="224" t="s">
        <v>5531</v>
      </c>
      <c r="C2939" s="225" t="s">
        <v>5532</v>
      </c>
      <c r="D2939" s="226" t="s">
        <v>11</v>
      </c>
      <c r="E2939" s="227">
        <v>3.52</v>
      </c>
      <c r="F2939" s="227"/>
      <c r="G2939" s="241"/>
      <c r="H2939" s="241"/>
      <c r="I2939" s="241"/>
      <c r="J2939" s="403"/>
      <c r="K2939" s="198"/>
      <c r="L2939" s="198"/>
    </row>
    <row r="2940" spans="1:12" s="215" customFormat="1" ht="25.5" hidden="1" customHeight="1" outlineLevel="1" x14ac:dyDescent="0.2">
      <c r="A2940" s="239" t="s">
        <v>1279</v>
      </c>
      <c r="B2940" s="228" t="s">
        <v>5533</v>
      </c>
      <c r="C2940" s="229" t="s">
        <v>5134</v>
      </c>
      <c r="D2940" s="230" t="s">
        <v>11</v>
      </c>
      <c r="E2940" s="231">
        <v>12.58</v>
      </c>
      <c r="F2940" s="231"/>
      <c r="G2940" s="241"/>
      <c r="H2940" s="241"/>
      <c r="I2940" s="241"/>
      <c r="J2940" s="403"/>
      <c r="K2940" s="198"/>
      <c r="L2940" s="198"/>
    </row>
    <row r="2941" spans="1:12" s="215" customFormat="1" ht="25.5" hidden="1" customHeight="1" outlineLevel="1" x14ac:dyDescent="0.2">
      <c r="A2941" s="239" t="s">
        <v>1279</v>
      </c>
      <c r="B2941" s="224" t="s">
        <v>5534</v>
      </c>
      <c r="C2941" s="225" t="s">
        <v>5136</v>
      </c>
      <c r="D2941" s="226" t="s">
        <v>11</v>
      </c>
      <c r="E2941" s="227">
        <v>12.58</v>
      </c>
      <c r="F2941" s="227"/>
      <c r="G2941" s="241"/>
      <c r="H2941" s="241"/>
      <c r="I2941" s="241"/>
      <c r="J2941" s="403"/>
      <c r="K2941" s="198"/>
      <c r="L2941" s="198"/>
    </row>
    <row r="2942" spans="1:12" s="215" customFormat="1" ht="25.5" hidden="1" customHeight="1" outlineLevel="1" x14ac:dyDescent="0.2">
      <c r="A2942" s="239" t="s">
        <v>1279</v>
      </c>
      <c r="B2942" s="216" t="s">
        <v>5535</v>
      </c>
      <c r="C2942" s="217" t="s">
        <v>2983</v>
      </c>
      <c r="D2942" s="218"/>
      <c r="E2942" s="219"/>
      <c r="F2942" s="219"/>
      <c r="G2942" s="241"/>
      <c r="H2942" s="241"/>
      <c r="I2942" s="241"/>
      <c r="J2942" s="403"/>
      <c r="K2942" s="198"/>
      <c r="L2942" s="198"/>
    </row>
    <row r="2943" spans="1:12" s="215" customFormat="1" ht="25.5" hidden="1" customHeight="1" outlineLevel="1" x14ac:dyDescent="0.2">
      <c r="A2943" s="239" t="s">
        <v>1279</v>
      </c>
      <c r="B2943" s="228" t="s">
        <v>5536</v>
      </c>
      <c r="C2943" s="229" t="s">
        <v>5537</v>
      </c>
      <c r="D2943" s="230" t="s">
        <v>11</v>
      </c>
      <c r="E2943" s="231">
        <v>83.73</v>
      </c>
      <c r="F2943" s="231"/>
      <c r="G2943" s="241"/>
      <c r="H2943" s="241"/>
      <c r="I2943" s="241"/>
      <c r="J2943" s="403"/>
      <c r="K2943" s="198"/>
      <c r="L2943" s="198"/>
    </row>
    <row r="2944" spans="1:12" ht="25.5" hidden="1" customHeight="1" outlineLevel="1" x14ac:dyDescent="0.2">
      <c r="A2944" s="198" t="s">
        <v>1278</v>
      </c>
      <c r="B2944" s="216" t="s">
        <v>2705</v>
      </c>
      <c r="C2944" s="217"/>
      <c r="D2944" s="218"/>
      <c r="E2944" s="219"/>
      <c r="F2944" s="219"/>
      <c r="G2944" s="229" t="s">
        <v>2714</v>
      </c>
      <c r="H2944" s="235">
        <f>SUMIF($C:$C,G2944,$E:$E)</f>
        <v>0</v>
      </c>
      <c r="J2944" s="238" t="s">
        <v>4235</v>
      </c>
    </row>
    <row r="2945" spans="1:10" ht="38.25" hidden="1" customHeight="1" outlineLevel="1" x14ac:dyDescent="0.2">
      <c r="A2945" s="198" t="s">
        <v>1278</v>
      </c>
      <c r="B2945" s="220" t="s">
        <v>2706</v>
      </c>
      <c r="C2945" s="221"/>
      <c r="D2945" s="222"/>
      <c r="E2945" s="223"/>
      <c r="F2945" s="223"/>
      <c r="G2945" s="225" t="s">
        <v>2708</v>
      </c>
      <c r="H2945" s="235">
        <f>SUMIF($C:$C,G2945,$E:$E)</f>
        <v>0</v>
      </c>
      <c r="J2945" s="238" t="s">
        <v>4235</v>
      </c>
    </row>
    <row r="2946" spans="1:10" ht="12.75" hidden="1" customHeight="1" outlineLevel="1" x14ac:dyDescent="0.2">
      <c r="A2946" s="198" t="s">
        <v>1278</v>
      </c>
      <c r="B2946" s="228" t="s">
        <v>2707</v>
      </c>
      <c r="C2946" s="229"/>
      <c r="D2946" s="230" t="s">
        <v>3</v>
      </c>
      <c r="E2946" s="231">
        <v>14.45</v>
      </c>
      <c r="F2946" s="231"/>
      <c r="G2946" s="229" t="s">
        <v>2717</v>
      </c>
      <c r="H2946" s="235">
        <f>SUMIF($C:$C,G2946,$E:$E)</f>
        <v>0</v>
      </c>
      <c r="I2946" s="243"/>
      <c r="J2946" s="238" t="s">
        <v>4236</v>
      </c>
    </row>
    <row r="2947" spans="1:10" ht="25.5" hidden="1" customHeight="1" outlineLevel="1" x14ac:dyDescent="0.2">
      <c r="A2947" s="198" t="s">
        <v>1278</v>
      </c>
      <c r="B2947" s="224" t="s">
        <v>2709</v>
      </c>
      <c r="C2947" s="225"/>
      <c r="D2947" s="226" t="s">
        <v>3</v>
      </c>
      <c r="E2947" s="227">
        <v>35.22</v>
      </c>
      <c r="F2947" s="227"/>
      <c r="G2947" s="225" t="s">
        <v>2710</v>
      </c>
      <c r="H2947" s="235">
        <f>SUMIF($C:$C,G2947,$E:$E)</f>
        <v>0</v>
      </c>
      <c r="J2947" s="238" t="s">
        <v>4236</v>
      </c>
    </row>
    <row r="2948" spans="1:10" ht="12.75" hidden="1" customHeight="1" outlineLevel="1" x14ac:dyDescent="0.2">
      <c r="A2948" s="198" t="s">
        <v>1279</v>
      </c>
      <c r="B2948" s="216" t="s">
        <v>2711</v>
      </c>
      <c r="C2948" s="217"/>
      <c r="D2948" s="218"/>
      <c r="E2948" s="219"/>
      <c r="F2948" s="219"/>
      <c r="G2948" s="229"/>
      <c r="H2948" s="235">
        <f>SUMIF($C:$C,G2948,$E:$E)</f>
        <v>0</v>
      </c>
    </row>
    <row r="2949" spans="1:10" ht="12.75" hidden="1" customHeight="1" outlineLevel="1" x14ac:dyDescent="0.2">
      <c r="A2949" s="198" t="s">
        <v>1279</v>
      </c>
      <c r="B2949" s="220" t="s">
        <v>2712</v>
      </c>
      <c r="C2949" s="221"/>
      <c r="D2949" s="222"/>
      <c r="E2949" s="223"/>
      <c r="F2949" s="223"/>
    </row>
    <row r="2950" spans="1:10" ht="12.75" hidden="1" customHeight="1" outlineLevel="1" x14ac:dyDescent="0.2">
      <c r="A2950" s="198" t="s">
        <v>1279</v>
      </c>
      <c r="B2950" s="228" t="s">
        <v>2713</v>
      </c>
      <c r="C2950" s="229"/>
      <c r="D2950" s="230" t="s">
        <v>3</v>
      </c>
      <c r="E2950" s="231">
        <v>6.23</v>
      </c>
      <c r="F2950" s="231"/>
      <c r="G2950" s="233" t="s">
        <v>1732</v>
      </c>
      <c r="H2950" s="234">
        <f>H2952+H2958</f>
        <v>0</v>
      </c>
      <c r="I2950" s="242" t="e">
        <f>IF(H2950=#REF!,"OKAY","REVER")</f>
        <v>#REF!</v>
      </c>
    </row>
    <row r="2951" spans="1:10" ht="12.75" hidden="1" customHeight="1" outlineLevel="1" x14ac:dyDescent="0.2">
      <c r="A2951" s="198" t="s">
        <v>1279</v>
      </c>
      <c r="B2951" s="224" t="s">
        <v>2715</v>
      </c>
      <c r="C2951" s="225"/>
      <c r="D2951" s="226" t="s">
        <v>3</v>
      </c>
      <c r="E2951" s="227">
        <v>0.28000000000000003</v>
      </c>
      <c r="F2951" s="227"/>
      <c r="G2951" s="232"/>
      <c r="H2951" s="232"/>
      <c r="I2951" s="242"/>
    </row>
    <row r="2952" spans="1:10" ht="12.75" hidden="1" customHeight="1" outlineLevel="1" x14ac:dyDescent="0.2">
      <c r="A2952" s="198" t="s">
        <v>1279</v>
      </c>
      <c r="B2952" s="228" t="s">
        <v>2716</v>
      </c>
      <c r="C2952" s="229"/>
      <c r="D2952" s="230" t="s">
        <v>3</v>
      </c>
      <c r="E2952" s="231">
        <v>10.33</v>
      </c>
      <c r="F2952" s="231"/>
      <c r="G2952" s="233" t="str">
        <f>$A$1</f>
        <v>EMBASSAMENTO</v>
      </c>
      <c r="H2952" s="234">
        <f>SUM(H2953:H2957)</f>
        <v>0</v>
      </c>
      <c r="I2952" s="242"/>
    </row>
    <row r="2953" spans="1:10" ht="25.5" hidden="1" customHeight="1" outlineLevel="1" x14ac:dyDescent="0.2">
      <c r="A2953" s="198" t="s">
        <v>1279</v>
      </c>
      <c r="B2953" s="216" t="s">
        <v>2718</v>
      </c>
      <c r="C2953" s="217"/>
      <c r="D2953" s="218"/>
      <c r="E2953" s="219"/>
      <c r="F2953" s="219"/>
      <c r="G2953" s="229" t="s">
        <v>2714</v>
      </c>
      <c r="H2953" s="235">
        <f>SUMIFS($E:$E,$C:$C,G2953,$A:$A,$G$22)</f>
        <v>0</v>
      </c>
      <c r="J2953" s="238" t="s">
        <v>4235</v>
      </c>
    </row>
    <row r="2954" spans="1:10" ht="38.25" hidden="1" customHeight="1" outlineLevel="1" x14ac:dyDescent="0.2">
      <c r="A2954" s="198" t="s">
        <v>1279</v>
      </c>
      <c r="B2954" s="220" t="s">
        <v>2719</v>
      </c>
      <c r="C2954" s="221"/>
      <c r="D2954" s="222"/>
      <c r="E2954" s="223"/>
      <c r="F2954" s="223"/>
      <c r="G2954" s="225" t="s">
        <v>2708</v>
      </c>
      <c r="H2954" s="235">
        <f>SUMIFS($E:$E,$C:$C,G2954,$A:$A,$G$22)</f>
        <v>0</v>
      </c>
      <c r="J2954" s="238" t="s">
        <v>4235</v>
      </c>
    </row>
    <row r="2955" spans="1:10" ht="12.75" hidden="1" customHeight="1" outlineLevel="1" x14ac:dyDescent="0.2">
      <c r="A2955" s="198" t="s">
        <v>1279</v>
      </c>
      <c r="B2955" s="224" t="s">
        <v>2720</v>
      </c>
      <c r="C2955" s="225"/>
      <c r="D2955" s="226" t="s">
        <v>3</v>
      </c>
      <c r="E2955" s="227">
        <v>6.23</v>
      </c>
      <c r="F2955" s="227"/>
      <c r="G2955" s="229" t="s">
        <v>2717</v>
      </c>
      <c r="H2955" s="235">
        <f>SUMIFS($E:$E,$C:$C,G2955,$A:$A,$G$22)</f>
        <v>0</v>
      </c>
      <c r="I2955" s="243"/>
      <c r="J2955" s="238" t="s">
        <v>4236</v>
      </c>
    </row>
    <row r="2956" spans="1:10" ht="25.5" hidden="1" customHeight="1" outlineLevel="1" x14ac:dyDescent="0.2">
      <c r="A2956" s="198" t="s">
        <v>1279</v>
      </c>
      <c r="B2956" s="228" t="s">
        <v>2721</v>
      </c>
      <c r="C2956" s="229"/>
      <c r="D2956" s="230" t="s">
        <v>3</v>
      </c>
      <c r="E2956" s="231">
        <v>0.28000000000000003</v>
      </c>
      <c r="F2956" s="231"/>
      <c r="G2956" s="225" t="s">
        <v>2710</v>
      </c>
      <c r="H2956" s="235">
        <f>SUMIFS($E:$E,$C:$C,G2956,$A:$A,$G$22)</f>
        <v>0</v>
      </c>
      <c r="I2956" s="243"/>
      <c r="J2956" s="238" t="s">
        <v>4236</v>
      </c>
    </row>
    <row r="2957" spans="1:10" ht="12.75" hidden="1" customHeight="1" outlineLevel="1" x14ac:dyDescent="0.2">
      <c r="A2957" s="198" t="s">
        <v>1279</v>
      </c>
      <c r="B2957" s="224" t="s">
        <v>2722</v>
      </c>
      <c r="C2957" s="225"/>
      <c r="D2957" s="226" t="s">
        <v>3</v>
      </c>
      <c r="E2957" s="227">
        <v>10.33</v>
      </c>
      <c r="F2957" s="227"/>
      <c r="G2957" s="229"/>
      <c r="H2957" s="235">
        <f>SUMIFS($E:$E,$C:$C,G2957,$A:$A,$G$22)</f>
        <v>0</v>
      </c>
      <c r="I2957" s="243"/>
    </row>
    <row r="2958" spans="1:10" ht="12.75" hidden="1" customHeight="1" outlineLevel="1" x14ac:dyDescent="0.2">
      <c r="A2958" s="198" t="s">
        <v>1279</v>
      </c>
      <c r="B2958" s="216" t="s">
        <v>2723</v>
      </c>
      <c r="C2958" s="217"/>
      <c r="D2958" s="218"/>
      <c r="E2958" s="219"/>
      <c r="F2958" s="219"/>
      <c r="G2958" s="233" t="str">
        <f>$A$2</f>
        <v>TORRE</v>
      </c>
      <c r="H2958" s="234">
        <f>SUM(H2959:H2963)</f>
        <v>0</v>
      </c>
      <c r="I2958" s="243"/>
    </row>
    <row r="2959" spans="1:10" ht="25.5" hidden="1" customHeight="1" outlineLevel="1" x14ac:dyDescent="0.2">
      <c r="A2959" s="198" t="s">
        <v>1279</v>
      </c>
      <c r="B2959" s="220" t="s">
        <v>2724</v>
      </c>
      <c r="C2959" s="221"/>
      <c r="D2959" s="222"/>
      <c r="E2959" s="223"/>
      <c r="F2959" s="223"/>
      <c r="G2959" s="229" t="s">
        <v>2714</v>
      </c>
      <c r="H2959" s="235">
        <f>SUMIFS($E:$E,$C:$C,G2959,$A:$A,$G$30)</f>
        <v>0</v>
      </c>
      <c r="I2959" s="243"/>
      <c r="J2959" s="238" t="s">
        <v>4235</v>
      </c>
    </row>
    <row r="2960" spans="1:10" ht="38.25" hidden="1" customHeight="1" outlineLevel="1" x14ac:dyDescent="0.2">
      <c r="A2960" s="198" t="s">
        <v>1279</v>
      </c>
      <c r="B2960" s="228" t="s">
        <v>2725</v>
      </c>
      <c r="C2960" s="229"/>
      <c r="D2960" s="230" t="s">
        <v>3</v>
      </c>
      <c r="E2960" s="231">
        <v>6.23</v>
      </c>
      <c r="F2960" s="231"/>
      <c r="G2960" s="225" t="s">
        <v>2708</v>
      </c>
      <c r="H2960" s="235">
        <f>SUMIFS($E:$E,$C:$C,G2960,$A:$A,$G$30)</f>
        <v>0</v>
      </c>
      <c r="I2960" s="243"/>
      <c r="J2960" s="238" t="s">
        <v>4235</v>
      </c>
    </row>
    <row r="2961" spans="1:10" ht="12.75" hidden="1" customHeight="1" outlineLevel="1" x14ac:dyDescent="0.2">
      <c r="A2961" s="198" t="s">
        <v>1279</v>
      </c>
      <c r="B2961" s="224" t="s">
        <v>2726</v>
      </c>
      <c r="C2961" s="225"/>
      <c r="D2961" s="226" t="s">
        <v>3</v>
      </c>
      <c r="E2961" s="227">
        <v>10.33</v>
      </c>
      <c r="F2961" s="227"/>
      <c r="G2961" s="229" t="s">
        <v>2717</v>
      </c>
      <c r="H2961" s="235">
        <f>SUMIFS($E:$E,$C:$C,G2961,$A:$A,$G$30)</f>
        <v>0</v>
      </c>
      <c r="I2961" s="243"/>
      <c r="J2961" s="238" t="s">
        <v>4236</v>
      </c>
    </row>
    <row r="2962" spans="1:10" ht="25.5" hidden="1" customHeight="1" outlineLevel="1" x14ac:dyDescent="0.2">
      <c r="A2962" s="198" t="s">
        <v>1279</v>
      </c>
      <c r="B2962" s="216" t="s">
        <v>2727</v>
      </c>
      <c r="C2962" s="217"/>
      <c r="D2962" s="218"/>
      <c r="E2962" s="219"/>
      <c r="F2962" s="219"/>
      <c r="G2962" s="225" t="s">
        <v>2710</v>
      </c>
      <c r="H2962" s="235">
        <f>SUMIFS($E:$E,$C:$C,G2962,$A:$A,$G$30)</f>
        <v>0</v>
      </c>
      <c r="I2962" s="243"/>
      <c r="J2962" s="238" t="s">
        <v>4236</v>
      </c>
    </row>
    <row r="2963" spans="1:10" ht="12.75" hidden="1" customHeight="1" outlineLevel="1" x14ac:dyDescent="0.2">
      <c r="A2963" s="198" t="s">
        <v>1279</v>
      </c>
      <c r="B2963" s="220" t="s">
        <v>2728</v>
      </c>
      <c r="C2963" s="221"/>
      <c r="D2963" s="222"/>
      <c r="E2963" s="223"/>
      <c r="F2963" s="223"/>
      <c r="G2963" s="229"/>
      <c r="H2963" s="235">
        <f>SUMIFS($E:$E,$C:$C,G2963,$A:$A,$G$30)</f>
        <v>0</v>
      </c>
      <c r="I2963" s="243"/>
    </row>
    <row r="2964" spans="1:10" ht="12.75" hidden="1" customHeight="1" outlineLevel="1" x14ac:dyDescent="0.2">
      <c r="A2964" s="198" t="s">
        <v>1279</v>
      </c>
      <c r="B2964" s="228" t="s">
        <v>2729</v>
      </c>
      <c r="C2964" s="229"/>
      <c r="D2964" s="230" t="s">
        <v>3</v>
      </c>
      <c r="E2964" s="231">
        <v>6.23</v>
      </c>
      <c r="F2964" s="231"/>
      <c r="G2964" s="243"/>
      <c r="H2964" s="243"/>
      <c r="I2964" s="243"/>
    </row>
    <row r="2965" spans="1:10" ht="12.75" hidden="1" customHeight="1" outlineLevel="1" x14ac:dyDescent="0.2">
      <c r="A2965" s="198" t="s">
        <v>1279</v>
      </c>
      <c r="B2965" s="224" t="s">
        <v>2730</v>
      </c>
      <c r="C2965" s="225"/>
      <c r="D2965" s="226" t="s">
        <v>3</v>
      </c>
      <c r="E2965" s="227">
        <v>10.33</v>
      </c>
      <c r="F2965" s="227"/>
      <c r="G2965" s="243"/>
      <c r="H2965" s="243"/>
      <c r="I2965" s="243"/>
    </row>
    <row r="2966" spans="1:10" ht="12.75" hidden="1" customHeight="1" outlineLevel="1" x14ac:dyDescent="0.2">
      <c r="A2966" s="198" t="s">
        <v>1279</v>
      </c>
      <c r="B2966" s="216" t="s">
        <v>2731</v>
      </c>
      <c r="C2966" s="217"/>
      <c r="D2966" s="218"/>
      <c r="E2966" s="219"/>
      <c r="F2966" s="219"/>
      <c r="G2966" s="243"/>
      <c r="H2966" s="243"/>
      <c r="I2966" s="243"/>
    </row>
    <row r="2967" spans="1:10" ht="12.75" hidden="1" customHeight="1" outlineLevel="1" x14ac:dyDescent="0.2">
      <c r="A2967" s="198" t="s">
        <v>1279</v>
      </c>
      <c r="B2967" s="220" t="s">
        <v>2732</v>
      </c>
      <c r="C2967" s="221"/>
      <c r="D2967" s="222"/>
      <c r="E2967" s="223"/>
      <c r="F2967" s="223"/>
      <c r="G2967" s="243"/>
      <c r="H2967" s="243"/>
      <c r="I2967" s="243"/>
    </row>
    <row r="2968" spans="1:10" ht="12.75" hidden="1" customHeight="1" outlineLevel="1" x14ac:dyDescent="0.2">
      <c r="A2968" s="198" t="s">
        <v>1279</v>
      </c>
      <c r="B2968" s="228" t="s">
        <v>2733</v>
      </c>
      <c r="C2968" s="229"/>
      <c r="D2968" s="230" t="s">
        <v>3</v>
      </c>
      <c r="E2968" s="231">
        <v>1.2</v>
      </c>
      <c r="F2968" s="231"/>
      <c r="G2968" s="243"/>
      <c r="H2968" s="243"/>
      <c r="I2968" s="243"/>
    </row>
    <row r="2969" spans="1:10" ht="12.75" hidden="1" customHeight="1" outlineLevel="1" x14ac:dyDescent="0.2">
      <c r="A2969" s="198" t="s">
        <v>1279</v>
      </c>
      <c r="B2969" s="224" t="s">
        <v>2734</v>
      </c>
      <c r="C2969" s="225"/>
      <c r="D2969" s="226" t="s">
        <v>3</v>
      </c>
      <c r="E2969" s="227">
        <v>4.82</v>
      </c>
      <c r="F2969" s="227"/>
      <c r="G2969" s="243"/>
      <c r="H2969" s="243"/>
      <c r="I2969" s="243"/>
    </row>
    <row r="2970" spans="1:10" s="215" customFormat="1" collapsed="1" x14ac:dyDescent="0.2">
      <c r="B2970" s="515" t="s">
        <v>1710</v>
      </c>
      <c r="C2970" s="516" t="s">
        <v>5544</v>
      </c>
      <c r="D2970" s="521"/>
      <c r="E2970" s="524">
        <f>SUM(E2972:E3159)</f>
        <v>6697.2100000000009</v>
      </c>
      <c r="F2970" s="524"/>
      <c r="G2970" s="516"/>
      <c r="H2970" s="234">
        <f>SUM(H2971:H2987)</f>
        <v>6697.2100000000009</v>
      </c>
      <c r="I2970" s="242" t="str">
        <f>IF(H2970=E2970,"OKAY","REVER")</f>
        <v>OKAY</v>
      </c>
      <c r="J2970" s="405"/>
    </row>
    <row r="2971" spans="1:10" s="215" customFormat="1" ht="12.75" hidden="1" customHeight="1" outlineLevel="1" x14ac:dyDescent="0.2">
      <c r="A2971" s="215" t="s">
        <v>1278</v>
      </c>
      <c r="B2971" s="216" t="s">
        <v>1712</v>
      </c>
      <c r="C2971" s="217" t="s">
        <v>2958</v>
      </c>
      <c r="D2971" s="218"/>
      <c r="E2971" s="219"/>
      <c r="F2971" s="219"/>
      <c r="G2971" s="225" t="s">
        <v>5545</v>
      </c>
      <c r="H2971" s="235">
        <f t="shared" ref="H2971:H2987" si="93">SUMIF($C:$C,G2971,$E:$E)</f>
        <v>1131.3200000000002</v>
      </c>
      <c r="I2971" s="241"/>
    </row>
    <row r="2972" spans="1:10" s="215" customFormat="1" ht="12.75" hidden="1" customHeight="1" outlineLevel="1" x14ac:dyDescent="0.2">
      <c r="A2972" s="215" t="s">
        <v>1278</v>
      </c>
      <c r="B2972" s="224" t="s">
        <v>1713</v>
      </c>
      <c r="C2972" s="225" t="s">
        <v>5545</v>
      </c>
      <c r="D2972" s="226" t="s">
        <v>11</v>
      </c>
      <c r="E2972" s="227">
        <v>87.53</v>
      </c>
      <c r="F2972" s="227"/>
      <c r="G2972" s="229" t="s">
        <v>5547</v>
      </c>
      <c r="H2972" s="235">
        <f t="shared" si="93"/>
        <v>921.1099999999999</v>
      </c>
      <c r="I2972" s="241"/>
    </row>
    <row r="2973" spans="1:10" s="215" customFormat="1" ht="12.75" hidden="1" customHeight="1" outlineLevel="1" x14ac:dyDescent="0.2">
      <c r="A2973" s="215" t="s">
        <v>1278</v>
      </c>
      <c r="B2973" s="228" t="s">
        <v>5546</v>
      </c>
      <c r="C2973" s="229" t="s">
        <v>5547</v>
      </c>
      <c r="D2973" s="230" t="s">
        <v>11</v>
      </c>
      <c r="E2973" s="231">
        <v>21.07</v>
      </c>
      <c r="F2973" s="231"/>
      <c r="G2973" s="225" t="s">
        <v>5549</v>
      </c>
      <c r="H2973" s="235">
        <f t="shared" si="93"/>
        <v>562.19000000000005</v>
      </c>
      <c r="I2973" s="241"/>
    </row>
    <row r="2974" spans="1:10" s="215" customFormat="1" ht="25.5" hidden="1" customHeight="1" outlineLevel="1" x14ac:dyDescent="0.2">
      <c r="A2974" s="215" t="s">
        <v>1278</v>
      </c>
      <c r="B2974" s="224" t="s">
        <v>5548</v>
      </c>
      <c r="C2974" s="225" t="s">
        <v>5549</v>
      </c>
      <c r="D2974" s="226" t="s">
        <v>11</v>
      </c>
      <c r="E2974" s="227">
        <v>58.94</v>
      </c>
      <c r="F2974" s="227"/>
      <c r="G2974" s="229" t="s">
        <v>5551</v>
      </c>
      <c r="H2974" s="235">
        <f t="shared" si="93"/>
        <v>601.73</v>
      </c>
      <c r="I2974" s="241"/>
    </row>
    <row r="2975" spans="1:10" s="215" customFormat="1" ht="25.5" hidden="1" customHeight="1" outlineLevel="1" x14ac:dyDescent="0.2">
      <c r="A2975" s="215" t="s">
        <v>1278</v>
      </c>
      <c r="B2975" s="228" t="s">
        <v>5550</v>
      </c>
      <c r="C2975" s="229" t="s">
        <v>5551</v>
      </c>
      <c r="D2975" s="230" t="s">
        <v>11</v>
      </c>
      <c r="E2975" s="231">
        <v>21.17</v>
      </c>
      <c r="F2975" s="231"/>
      <c r="G2975" s="225" t="s">
        <v>5553</v>
      </c>
      <c r="H2975" s="235">
        <f t="shared" si="93"/>
        <v>510.93000000000012</v>
      </c>
      <c r="I2975" s="241"/>
    </row>
    <row r="2976" spans="1:10" s="215" customFormat="1" ht="25.5" hidden="1" customHeight="1" outlineLevel="1" x14ac:dyDescent="0.2">
      <c r="A2976" s="215" t="s">
        <v>1278</v>
      </c>
      <c r="B2976" s="224" t="s">
        <v>5552</v>
      </c>
      <c r="C2976" s="225" t="s">
        <v>5553</v>
      </c>
      <c r="D2976" s="226" t="s">
        <v>11</v>
      </c>
      <c r="E2976" s="227">
        <v>99.08</v>
      </c>
      <c r="F2976" s="227"/>
      <c r="G2976" s="229" t="s">
        <v>5555</v>
      </c>
      <c r="H2976" s="235">
        <f t="shared" si="93"/>
        <v>549.04</v>
      </c>
      <c r="I2976" s="241"/>
    </row>
    <row r="2977" spans="1:9" s="215" customFormat="1" ht="25.5" hidden="1" customHeight="1" outlineLevel="1" x14ac:dyDescent="0.2">
      <c r="A2977" s="215" t="s">
        <v>1278</v>
      </c>
      <c r="B2977" s="228" t="s">
        <v>5554</v>
      </c>
      <c r="C2977" s="229" t="s">
        <v>5555</v>
      </c>
      <c r="D2977" s="230" t="s">
        <v>11</v>
      </c>
      <c r="E2977" s="231">
        <v>6.66</v>
      </c>
      <c r="F2977" s="231"/>
      <c r="G2977" s="225" t="s">
        <v>5557</v>
      </c>
      <c r="H2977" s="235">
        <f t="shared" si="93"/>
        <v>1584.49</v>
      </c>
      <c r="I2977" s="198"/>
    </row>
    <row r="2978" spans="1:9" s="215" customFormat="1" ht="25.5" hidden="1" customHeight="1" outlineLevel="1" x14ac:dyDescent="0.2">
      <c r="A2978" s="215" t="s">
        <v>1278</v>
      </c>
      <c r="B2978" s="224" t="s">
        <v>5556</v>
      </c>
      <c r="C2978" s="225" t="s">
        <v>5557</v>
      </c>
      <c r="D2978" s="226" t="s">
        <v>11</v>
      </c>
      <c r="E2978" s="227">
        <v>318.86</v>
      </c>
      <c r="F2978" s="227"/>
      <c r="G2978" s="229" t="s">
        <v>5559</v>
      </c>
      <c r="H2978" s="235">
        <f t="shared" si="93"/>
        <v>836.40000000000009</v>
      </c>
      <c r="I2978" s="241"/>
    </row>
    <row r="2979" spans="1:9" s="215" customFormat="1" ht="25.5" hidden="1" customHeight="1" outlineLevel="1" x14ac:dyDescent="0.2">
      <c r="A2979" s="215" t="s">
        <v>1278</v>
      </c>
      <c r="B2979" s="228" t="s">
        <v>5558</v>
      </c>
      <c r="C2979" s="229" t="s">
        <v>5559</v>
      </c>
      <c r="D2979" s="230" t="s">
        <v>11</v>
      </c>
      <c r="E2979" s="231">
        <v>95.44</v>
      </c>
      <c r="F2979" s="231"/>
      <c r="G2979" s="229"/>
      <c r="H2979" s="235">
        <f t="shared" si="93"/>
        <v>0</v>
      </c>
      <c r="I2979" s="241"/>
    </row>
    <row r="2980" spans="1:9" s="215" customFormat="1" ht="12.75" hidden="1" customHeight="1" outlineLevel="1" x14ac:dyDescent="0.2">
      <c r="A2980" s="215" t="s">
        <v>1279</v>
      </c>
      <c r="B2980" s="216" t="s">
        <v>2399</v>
      </c>
      <c r="C2980" s="217" t="s">
        <v>2960</v>
      </c>
      <c r="D2980" s="218"/>
      <c r="E2980" s="219"/>
      <c r="F2980" s="219"/>
      <c r="G2980" s="225"/>
      <c r="H2980" s="235">
        <f t="shared" si="93"/>
        <v>0</v>
      </c>
      <c r="I2980" s="241"/>
    </row>
    <row r="2981" spans="1:9" s="215" customFormat="1" ht="12.75" hidden="1" customHeight="1" outlineLevel="1" x14ac:dyDescent="0.2">
      <c r="A2981" s="215" t="s">
        <v>1279</v>
      </c>
      <c r="B2981" s="224" t="s">
        <v>2400</v>
      </c>
      <c r="C2981" s="225" t="s">
        <v>5545</v>
      </c>
      <c r="D2981" s="226" t="s">
        <v>11</v>
      </c>
      <c r="E2981" s="227">
        <v>46.5</v>
      </c>
      <c r="F2981" s="227"/>
      <c r="G2981" s="229"/>
      <c r="H2981" s="235">
        <f t="shared" si="93"/>
        <v>0</v>
      </c>
      <c r="I2981" s="241"/>
    </row>
    <row r="2982" spans="1:9" s="215" customFormat="1" ht="12.75" hidden="1" customHeight="1" outlineLevel="1" x14ac:dyDescent="0.2">
      <c r="A2982" s="215" t="s">
        <v>1279</v>
      </c>
      <c r="B2982" s="228" t="s">
        <v>5560</v>
      </c>
      <c r="C2982" s="229" t="s">
        <v>5547</v>
      </c>
      <c r="D2982" s="230" t="s">
        <v>11</v>
      </c>
      <c r="E2982" s="231">
        <v>69.95</v>
      </c>
      <c r="F2982" s="231"/>
      <c r="G2982" s="225"/>
      <c r="H2982" s="235">
        <f t="shared" si="93"/>
        <v>0</v>
      </c>
      <c r="I2982" s="241"/>
    </row>
    <row r="2983" spans="1:9" s="215" customFormat="1" ht="12.75" hidden="1" customHeight="1" outlineLevel="1" x14ac:dyDescent="0.2">
      <c r="A2983" s="215" t="s">
        <v>1279</v>
      </c>
      <c r="B2983" s="224" t="s">
        <v>5561</v>
      </c>
      <c r="C2983" s="225" t="s">
        <v>5549</v>
      </c>
      <c r="D2983" s="226" t="s">
        <v>11</v>
      </c>
      <c r="E2983" s="227">
        <v>64.37</v>
      </c>
      <c r="F2983" s="227"/>
      <c r="G2983" s="229"/>
      <c r="H2983" s="235">
        <f t="shared" si="93"/>
        <v>0</v>
      </c>
      <c r="I2983" s="241"/>
    </row>
    <row r="2984" spans="1:9" s="215" customFormat="1" ht="25.5" hidden="1" customHeight="1" outlineLevel="1" x14ac:dyDescent="0.2">
      <c r="A2984" s="215" t="s">
        <v>1279</v>
      </c>
      <c r="B2984" s="228" t="s">
        <v>5562</v>
      </c>
      <c r="C2984" s="229" t="s">
        <v>5551</v>
      </c>
      <c r="D2984" s="230" t="s">
        <v>11</v>
      </c>
      <c r="E2984" s="231">
        <v>62.02</v>
      </c>
      <c r="F2984" s="231"/>
      <c r="G2984" s="225"/>
      <c r="H2984" s="235">
        <f t="shared" si="93"/>
        <v>0</v>
      </c>
      <c r="I2984" s="241"/>
    </row>
    <row r="2985" spans="1:9" s="215" customFormat="1" ht="12.75" hidden="1" customHeight="1" outlineLevel="1" x14ac:dyDescent="0.2">
      <c r="A2985" s="215" t="s">
        <v>1279</v>
      </c>
      <c r="B2985" s="224" t="s">
        <v>5563</v>
      </c>
      <c r="C2985" s="225" t="s">
        <v>5553</v>
      </c>
      <c r="D2985" s="226" t="s">
        <v>11</v>
      </c>
      <c r="E2985" s="227">
        <v>66.98</v>
      </c>
      <c r="F2985" s="227"/>
      <c r="G2985" s="229"/>
      <c r="H2985" s="235">
        <f t="shared" si="93"/>
        <v>0</v>
      </c>
      <c r="I2985" s="241"/>
    </row>
    <row r="2986" spans="1:9" s="215" customFormat="1" ht="25.5" hidden="1" customHeight="1" outlineLevel="1" x14ac:dyDescent="0.2">
      <c r="A2986" s="215" t="s">
        <v>1279</v>
      </c>
      <c r="B2986" s="228" t="s">
        <v>5564</v>
      </c>
      <c r="C2986" s="229" t="s">
        <v>5555</v>
      </c>
      <c r="D2986" s="230" t="s">
        <v>11</v>
      </c>
      <c r="E2986" s="231">
        <v>41.08</v>
      </c>
      <c r="F2986" s="231"/>
      <c r="G2986" s="225"/>
      <c r="H2986" s="235">
        <f t="shared" si="93"/>
        <v>0</v>
      </c>
      <c r="I2986" s="241"/>
    </row>
    <row r="2987" spans="1:9" s="215" customFormat="1" ht="12.75" hidden="1" customHeight="1" outlineLevel="1" x14ac:dyDescent="0.2">
      <c r="A2987" s="215" t="s">
        <v>1279</v>
      </c>
      <c r="B2987" s="224" t="s">
        <v>5565</v>
      </c>
      <c r="C2987" s="225" t="s">
        <v>5557</v>
      </c>
      <c r="D2987" s="226" t="s">
        <v>11</v>
      </c>
      <c r="E2987" s="227">
        <v>123.03</v>
      </c>
      <c r="F2987" s="227"/>
      <c r="G2987" s="229"/>
      <c r="H2987" s="235">
        <f t="shared" si="93"/>
        <v>0</v>
      </c>
      <c r="I2987" s="241"/>
    </row>
    <row r="2988" spans="1:9" s="215" customFormat="1" ht="25.5" hidden="1" customHeight="1" outlineLevel="1" x14ac:dyDescent="0.2">
      <c r="A2988" s="215" t="s">
        <v>1279</v>
      </c>
      <c r="B2988" s="228" t="s">
        <v>5566</v>
      </c>
      <c r="C2988" s="229" t="s">
        <v>5559</v>
      </c>
      <c r="D2988" s="230" t="s">
        <v>11</v>
      </c>
      <c r="E2988" s="231">
        <v>52.18</v>
      </c>
      <c r="F2988" s="231"/>
      <c r="G2988" s="198"/>
      <c r="H2988" s="198"/>
      <c r="I2988" s="241"/>
    </row>
    <row r="2989" spans="1:9" s="215" customFormat="1" ht="12.75" hidden="1" customHeight="1" outlineLevel="1" x14ac:dyDescent="0.2">
      <c r="A2989" s="215" t="s">
        <v>1279</v>
      </c>
      <c r="B2989" s="216" t="s">
        <v>5567</v>
      </c>
      <c r="C2989" s="217" t="s">
        <v>2961</v>
      </c>
      <c r="D2989" s="218"/>
      <c r="E2989" s="219"/>
      <c r="F2989" s="219"/>
      <c r="G2989" s="520" t="s">
        <v>1732</v>
      </c>
      <c r="H2989" s="234">
        <f>H2991+H3011</f>
        <v>6697.21</v>
      </c>
      <c r="I2989" s="242" t="str">
        <f>IF(H2989=H2970,"OKAY","REVER")</f>
        <v>OKAY</v>
      </c>
    </row>
    <row r="2990" spans="1:9" s="215" customFormat="1" ht="12.75" hidden="1" customHeight="1" outlineLevel="1" x14ac:dyDescent="0.2">
      <c r="A2990" s="215" t="s">
        <v>1279</v>
      </c>
      <c r="B2990" s="224" t="s">
        <v>5568</v>
      </c>
      <c r="C2990" s="225" t="s">
        <v>5545</v>
      </c>
      <c r="D2990" s="226" t="s">
        <v>11</v>
      </c>
      <c r="E2990" s="227">
        <v>65.48</v>
      </c>
      <c r="F2990" s="227"/>
      <c r="G2990" s="232"/>
      <c r="H2990" s="232"/>
      <c r="I2990" s="242"/>
    </row>
    <row r="2991" spans="1:9" s="215" customFormat="1" ht="12.75" hidden="1" customHeight="1" outlineLevel="1" x14ac:dyDescent="0.2">
      <c r="A2991" s="215" t="s">
        <v>1279</v>
      </c>
      <c r="B2991" s="228" t="s">
        <v>5569</v>
      </c>
      <c r="C2991" s="229" t="s">
        <v>5547</v>
      </c>
      <c r="D2991" s="230" t="s">
        <v>11</v>
      </c>
      <c r="E2991" s="231">
        <v>58.98</v>
      </c>
      <c r="F2991" s="231"/>
      <c r="G2991" s="520" t="str">
        <f>$A$1</f>
        <v>EMBASSAMENTO</v>
      </c>
      <c r="H2991" s="234">
        <f>SUM(H2992:H3008)</f>
        <v>708.75</v>
      </c>
      <c r="I2991" s="242"/>
    </row>
    <row r="2992" spans="1:9" s="215" customFormat="1" ht="12.75" hidden="1" customHeight="1" outlineLevel="1" x14ac:dyDescent="0.2">
      <c r="A2992" s="215" t="s">
        <v>1279</v>
      </c>
      <c r="B2992" s="224" t="s">
        <v>5570</v>
      </c>
      <c r="C2992" s="225" t="s">
        <v>5549</v>
      </c>
      <c r="D2992" s="226" t="s">
        <v>11</v>
      </c>
      <c r="E2992" s="227">
        <v>32.85</v>
      </c>
      <c r="F2992" s="227"/>
      <c r="G2992" s="225" t="s">
        <v>5545</v>
      </c>
      <c r="H2992" s="235">
        <f t="shared" ref="H2992:H3008" si="94">SUMIFS($E:$E,$C:$C,G2992,$A:$A,$G$22)</f>
        <v>87.53</v>
      </c>
      <c r="I2992" s="242"/>
    </row>
    <row r="2993" spans="1:10" s="215" customFormat="1" ht="25.5" hidden="1" customHeight="1" outlineLevel="1" x14ac:dyDescent="0.2">
      <c r="A2993" s="215" t="s">
        <v>1279</v>
      </c>
      <c r="B2993" s="228" t="s">
        <v>5571</v>
      </c>
      <c r="C2993" s="229" t="s">
        <v>5551</v>
      </c>
      <c r="D2993" s="230" t="s">
        <v>11</v>
      </c>
      <c r="E2993" s="231">
        <v>64.11</v>
      </c>
      <c r="F2993" s="231"/>
      <c r="G2993" s="229" t="s">
        <v>5547</v>
      </c>
      <c r="H2993" s="235">
        <f t="shared" si="94"/>
        <v>21.07</v>
      </c>
      <c r="I2993" s="241"/>
    </row>
    <row r="2994" spans="1:10" s="215" customFormat="1" ht="12.75" hidden="1" customHeight="1" outlineLevel="1" x14ac:dyDescent="0.2">
      <c r="A2994" s="215" t="s">
        <v>1279</v>
      </c>
      <c r="B2994" s="224" t="s">
        <v>5572</v>
      </c>
      <c r="C2994" s="225" t="s">
        <v>5553</v>
      </c>
      <c r="D2994" s="226" t="s">
        <v>11</v>
      </c>
      <c r="E2994" s="227">
        <v>49.25</v>
      </c>
      <c r="F2994" s="227"/>
      <c r="G2994" s="225" t="s">
        <v>5549</v>
      </c>
      <c r="H2994" s="235">
        <f t="shared" si="94"/>
        <v>58.94</v>
      </c>
      <c r="I2994" s="241"/>
    </row>
    <row r="2995" spans="1:10" s="215" customFormat="1" ht="25.5" hidden="1" customHeight="1" outlineLevel="1" x14ac:dyDescent="0.2">
      <c r="A2995" s="215" t="s">
        <v>1279</v>
      </c>
      <c r="B2995" s="228" t="s">
        <v>5573</v>
      </c>
      <c r="C2995" s="229" t="s">
        <v>5555</v>
      </c>
      <c r="D2995" s="230" t="s">
        <v>11</v>
      </c>
      <c r="E2995" s="231">
        <v>52.69</v>
      </c>
      <c r="F2995" s="231"/>
      <c r="G2995" s="229" t="s">
        <v>5551</v>
      </c>
      <c r="H2995" s="235">
        <f t="shared" si="94"/>
        <v>21.17</v>
      </c>
      <c r="I2995" s="241"/>
      <c r="J2995" s="403"/>
    </row>
    <row r="2996" spans="1:10" s="215" customFormat="1" ht="12.75" hidden="1" customHeight="1" outlineLevel="1" x14ac:dyDescent="0.2">
      <c r="A2996" s="215" t="s">
        <v>1279</v>
      </c>
      <c r="B2996" s="224" t="s">
        <v>5574</v>
      </c>
      <c r="C2996" s="225" t="s">
        <v>5557</v>
      </c>
      <c r="D2996" s="226" t="s">
        <v>11</v>
      </c>
      <c r="E2996" s="227">
        <v>115.28</v>
      </c>
      <c r="F2996" s="227"/>
      <c r="G2996" s="225" t="s">
        <v>5553</v>
      </c>
      <c r="H2996" s="235">
        <f t="shared" si="94"/>
        <v>99.08</v>
      </c>
      <c r="I2996" s="241"/>
      <c r="J2996" s="403"/>
    </row>
    <row r="2997" spans="1:10" s="215" customFormat="1" ht="25.5" hidden="1" customHeight="1" outlineLevel="1" x14ac:dyDescent="0.2">
      <c r="A2997" s="215" t="s">
        <v>1279</v>
      </c>
      <c r="B2997" s="228" t="s">
        <v>5575</v>
      </c>
      <c r="C2997" s="229" t="s">
        <v>5559</v>
      </c>
      <c r="D2997" s="230" t="s">
        <v>11</v>
      </c>
      <c r="E2997" s="231">
        <v>37.89</v>
      </c>
      <c r="F2997" s="231"/>
      <c r="G2997" s="229" t="s">
        <v>5555</v>
      </c>
      <c r="H2997" s="235">
        <f t="shared" si="94"/>
        <v>6.66</v>
      </c>
      <c r="I2997" s="241"/>
      <c r="J2997" s="403"/>
    </row>
    <row r="2998" spans="1:10" s="215" customFormat="1" ht="12.75" hidden="1" customHeight="1" outlineLevel="1" x14ac:dyDescent="0.2">
      <c r="A2998" s="215" t="s">
        <v>1279</v>
      </c>
      <c r="B2998" s="216" t="s">
        <v>5576</v>
      </c>
      <c r="C2998" s="217" t="s">
        <v>2962</v>
      </c>
      <c r="D2998" s="218"/>
      <c r="E2998" s="219"/>
      <c r="F2998" s="219"/>
      <c r="G2998" s="225" t="s">
        <v>5557</v>
      </c>
      <c r="H2998" s="235">
        <f t="shared" si="94"/>
        <v>318.86</v>
      </c>
      <c r="I2998" s="241"/>
      <c r="J2998" s="403"/>
    </row>
    <row r="2999" spans="1:10" s="215" customFormat="1" ht="25.5" hidden="1" customHeight="1" outlineLevel="1" x14ac:dyDescent="0.2">
      <c r="A2999" s="215" t="s">
        <v>1279</v>
      </c>
      <c r="B2999" s="224" t="s">
        <v>5577</v>
      </c>
      <c r="C2999" s="225" t="s">
        <v>5545</v>
      </c>
      <c r="D2999" s="226" t="s">
        <v>11</v>
      </c>
      <c r="E2999" s="227">
        <v>51.58</v>
      </c>
      <c r="F2999" s="227"/>
      <c r="G2999" s="229" t="s">
        <v>5559</v>
      </c>
      <c r="H2999" s="235">
        <f t="shared" si="94"/>
        <v>95.44</v>
      </c>
      <c r="I2999" s="241"/>
      <c r="J2999" s="403"/>
    </row>
    <row r="3000" spans="1:10" s="215" customFormat="1" ht="12.75" hidden="1" customHeight="1" outlineLevel="1" x14ac:dyDescent="0.2">
      <c r="A3000" s="215" t="s">
        <v>1279</v>
      </c>
      <c r="B3000" s="228" t="s">
        <v>5578</v>
      </c>
      <c r="C3000" s="229" t="s">
        <v>5547</v>
      </c>
      <c r="D3000" s="230" t="s">
        <v>11</v>
      </c>
      <c r="E3000" s="231">
        <v>41.4</v>
      </c>
      <c r="F3000" s="231"/>
      <c r="G3000" s="229"/>
      <c r="H3000" s="235">
        <f t="shared" si="94"/>
        <v>0</v>
      </c>
      <c r="I3000" s="241"/>
      <c r="J3000" s="403"/>
    </row>
    <row r="3001" spans="1:10" s="215" customFormat="1" ht="12.75" hidden="1" customHeight="1" outlineLevel="1" x14ac:dyDescent="0.2">
      <c r="A3001" s="215" t="s">
        <v>1279</v>
      </c>
      <c r="B3001" s="224" t="s">
        <v>5579</v>
      </c>
      <c r="C3001" s="225" t="s">
        <v>5549</v>
      </c>
      <c r="D3001" s="226" t="s">
        <v>11</v>
      </c>
      <c r="E3001" s="227">
        <v>34.1</v>
      </c>
      <c r="F3001" s="227"/>
      <c r="G3001" s="225"/>
      <c r="H3001" s="235">
        <f t="shared" si="94"/>
        <v>0</v>
      </c>
      <c r="I3001" s="241"/>
      <c r="J3001" s="403"/>
    </row>
    <row r="3002" spans="1:10" s="215" customFormat="1" ht="25.5" hidden="1" customHeight="1" outlineLevel="1" x14ac:dyDescent="0.2">
      <c r="A3002" s="215" t="s">
        <v>1279</v>
      </c>
      <c r="B3002" s="228" t="s">
        <v>5580</v>
      </c>
      <c r="C3002" s="229" t="s">
        <v>5551</v>
      </c>
      <c r="D3002" s="230" t="s">
        <v>11</v>
      </c>
      <c r="E3002" s="231">
        <v>30.57</v>
      </c>
      <c r="F3002" s="231"/>
      <c r="G3002" s="229"/>
      <c r="H3002" s="235">
        <f t="shared" si="94"/>
        <v>0</v>
      </c>
      <c r="I3002" s="241"/>
      <c r="J3002" s="403"/>
    </row>
    <row r="3003" spans="1:10" s="215" customFormat="1" ht="12.75" hidden="1" customHeight="1" outlineLevel="1" x14ac:dyDescent="0.2">
      <c r="A3003" s="215" t="s">
        <v>1279</v>
      </c>
      <c r="B3003" s="224" t="s">
        <v>5581</v>
      </c>
      <c r="C3003" s="225" t="s">
        <v>5553</v>
      </c>
      <c r="D3003" s="226" t="s">
        <v>11</v>
      </c>
      <c r="E3003" s="227">
        <v>16.03</v>
      </c>
      <c r="F3003" s="227"/>
      <c r="G3003" s="225"/>
      <c r="H3003" s="235">
        <f t="shared" si="94"/>
        <v>0</v>
      </c>
      <c r="I3003" s="241"/>
      <c r="J3003" s="403"/>
    </row>
    <row r="3004" spans="1:10" s="215" customFormat="1" ht="25.5" hidden="1" customHeight="1" outlineLevel="1" x14ac:dyDescent="0.2">
      <c r="A3004" s="215" t="s">
        <v>1279</v>
      </c>
      <c r="B3004" s="228" t="s">
        <v>5582</v>
      </c>
      <c r="C3004" s="229" t="s">
        <v>5555</v>
      </c>
      <c r="D3004" s="230" t="s">
        <v>11</v>
      </c>
      <c r="E3004" s="231">
        <v>35.950000000000003</v>
      </c>
      <c r="F3004" s="231"/>
      <c r="G3004" s="229"/>
      <c r="H3004" s="235">
        <f t="shared" si="94"/>
        <v>0</v>
      </c>
      <c r="I3004" s="241"/>
      <c r="J3004" s="403"/>
    </row>
    <row r="3005" spans="1:10" s="215" customFormat="1" ht="12.75" hidden="1" customHeight="1" outlineLevel="1" x14ac:dyDescent="0.2">
      <c r="A3005" s="215" t="s">
        <v>1279</v>
      </c>
      <c r="B3005" s="224" t="s">
        <v>5583</v>
      </c>
      <c r="C3005" s="225" t="s">
        <v>5557</v>
      </c>
      <c r="D3005" s="226" t="s">
        <v>11</v>
      </c>
      <c r="E3005" s="227">
        <v>130.59</v>
      </c>
      <c r="F3005" s="227"/>
      <c r="G3005" s="225"/>
      <c r="H3005" s="235">
        <f t="shared" si="94"/>
        <v>0</v>
      </c>
      <c r="I3005" s="241"/>
      <c r="J3005" s="403"/>
    </row>
    <row r="3006" spans="1:10" s="215" customFormat="1" ht="25.5" hidden="1" customHeight="1" outlineLevel="1" x14ac:dyDescent="0.2">
      <c r="A3006" s="215" t="s">
        <v>1279</v>
      </c>
      <c r="B3006" s="228" t="s">
        <v>5584</v>
      </c>
      <c r="C3006" s="229" t="s">
        <v>5559</v>
      </c>
      <c r="D3006" s="230" t="s">
        <v>11</v>
      </c>
      <c r="E3006" s="231">
        <v>31.62</v>
      </c>
      <c r="F3006" s="231"/>
      <c r="G3006" s="229"/>
      <c r="H3006" s="235">
        <f t="shared" si="94"/>
        <v>0</v>
      </c>
      <c r="I3006" s="241"/>
      <c r="J3006" s="403"/>
    </row>
    <row r="3007" spans="1:10" s="215" customFormat="1" ht="12.75" hidden="1" customHeight="1" outlineLevel="1" x14ac:dyDescent="0.2">
      <c r="A3007" s="215" t="s">
        <v>1279</v>
      </c>
      <c r="B3007" s="216" t="s">
        <v>5585</v>
      </c>
      <c r="C3007" s="217" t="s">
        <v>2963</v>
      </c>
      <c r="D3007" s="218"/>
      <c r="E3007" s="219"/>
      <c r="F3007" s="219"/>
      <c r="G3007" s="225"/>
      <c r="H3007" s="235">
        <f t="shared" si="94"/>
        <v>0</v>
      </c>
      <c r="I3007" s="241"/>
      <c r="J3007" s="403"/>
    </row>
    <row r="3008" spans="1:10" s="215" customFormat="1" ht="12.75" hidden="1" customHeight="1" outlineLevel="1" x14ac:dyDescent="0.2">
      <c r="A3008" s="215" t="s">
        <v>1279</v>
      </c>
      <c r="B3008" s="224" t="s">
        <v>5586</v>
      </c>
      <c r="C3008" s="225" t="s">
        <v>5545</v>
      </c>
      <c r="D3008" s="226" t="s">
        <v>11</v>
      </c>
      <c r="E3008" s="227">
        <v>51.76</v>
      </c>
      <c r="F3008" s="227"/>
      <c r="G3008" s="229"/>
      <c r="H3008" s="235">
        <f t="shared" si="94"/>
        <v>0</v>
      </c>
      <c r="I3008" s="241"/>
      <c r="J3008" s="403"/>
    </row>
    <row r="3009" spans="1:10" s="215" customFormat="1" ht="12.75" hidden="1" customHeight="1" outlineLevel="1" x14ac:dyDescent="0.2">
      <c r="A3009" s="215" t="s">
        <v>1279</v>
      </c>
      <c r="B3009" s="228" t="s">
        <v>5587</v>
      </c>
      <c r="C3009" s="229" t="s">
        <v>5547</v>
      </c>
      <c r="D3009" s="230" t="s">
        <v>11</v>
      </c>
      <c r="E3009" s="231">
        <v>45.47</v>
      </c>
      <c r="F3009" s="231"/>
      <c r="G3009" s="198"/>
      <c r="H3009" s="198"/>
      <c r="I3009" s="241"/>
      <c r="J3009" s="403"/>
    </row>
    <row r="3010" spans="1:10" s="215" customFormat="1" ht="12.75" hidden="1" customHeight="1" outlineLevel="1" x14ac:dyDescent="0.2">
      <c r="A3010" s="215" t="s">
        <v>1279</v>
      </c>
      <c r="B3010" s="224" t="s">
        <v>5588</v>
      </c>
      <c r="C3010" s="225" t="s">
        <v>5549</v>
      </c>
      <c r="D3010" s="226" t="s">
        <v>11</v>
      </c>
      <c r="E3010" s="227">
        <v>24.92</v>
      </c>
      <c r="F3010" s="227"/>
      <c r="G3010" s="198"/>
      <c r="H3010" s="198"/>
      <c r="I3010" s="241"/>
      <c r="J3010" s="403"/>
    </row>
    <row r="3011" spans="1:10" s="215" customFormat="1" ht="25.5" hidden="1" customHeight="1" outlineLevel="1" x14ac:dyDescent="0.2">
      <c r="A3011" s="215" t="s">
        <v>1279</v>
      </c>
      <c r="B3011" s="228" t="s">
        <v>5589</v>
      </c>
      <c r="C3011" s="229" t="s">
        <v>5551</v>
      </c>
      <c r="D3011" s="230" t="s">
        <v>11</v>
      </c>
      <c r="E3011" s="231">
        <v>35.630000000000003</v>
      </c>
      <c r="F3011" s="231"/>
      <c r="G3011" s="520" t="str">
        <f>$A$2</f>
        <v>TORRE</v>
      </c>
      <c r="H3011" s="234">
        <f>SUM(H3012:H3028)</f>
        <v>5988.46</v>
      </c>
      <c r="I3011" s="241"/>
      <c r="J3011" s="403"/>
    </row>
    <row r="3012" spans="1:10" s="215" customFormat="1" ht="12.75" hidden="1" customHeight="1" outlineLevel="1" x14ac:dyDescent="0.2">
      <c r="A3012" s="215" t="s">
        <v>1279</v>
      </c>
      <c r="B3012" s="224" t="s">
        <v>5590</v>
      </c>
      <c r="C3012" s="225" t="s">
        <v>5553</v>
      </c>
      <c r="D3012" s="226" t="s">
        <v>11</v>
      </c>
      <c r="E3012" s="227">
        <v>17.22</v>
      </c>
      <c r="F3012" s="227"/>
      <c r="G3012" s="225" t="s">
        <v>5545</v>
      </c>
      <c r="H3012" s="235">
        <f t="shared" ref="H3012:H3028" si="95">SUMIFS($E:$E,$C:$C,G3012,$A:$A,$G$30)</f>
        <v>1043.7900000000002</v>
      </c>
      <c r="I3012" s="241"/>
      <c r="J3012" s="403"/>
    </row>
    <row r="3013" spans="1:10" s="215" customFormat="1" ht="25.5" hidden="1" customHeight="1" outlineLevel="1" x14ac:dyDescent="0.2">
      <c r="A3013" s="215" t="s">
        <v>1279</v>
      </c>
      <c r="B3013" s="228" t="s">
        <v>5591</v>
      </c>
      <c r="C3013" s="229" t="s">
        <v>5555</v>
      </c>
      <c r="D3013" s="230" t="s">
        <v>11</v>
      </c>
      <c r="E3013" s="231">
        <v>38.57</v>
      </c>
      <c r="F3013" s="231"/>
      <c r="G3013" s="229" t="s">
        <v>5547</v>
      </c>
      <c r="H3013" s="235">
        <f t="shared" si="95"/>
        <v>900.04</v>
      </c>
      <c r="I3013" s="241"/>
      <c r="J3013" s="403"/>
    </row>
    <row r="3014" spans="1:10" s="215" customFormat="1" ht="12.75" hidden="1" customHeight="1" outlineLevel="1" x14ac:dyDescent="0.2">
      <c r="A3014" s="215" t="s">
        <v>1279</v>
      </c>
      <c r="B3014" s="224" t="s">
        <v>5592</v>
      </c>
      <c r="C3014" s="225" t="s">
        <v>5557</v>
      </c>
      <c r="D3014" s="226" t="s">
        <v>11</v>
      </c>
      <c r="E3014" s="227">
        <v>47.73</v>
      </c>
      <c r="F3014" s="227"/>
      <c r="G3014" s="225" t="s">
        <v>5549</v>
      </c>
      <c r="H3014" s="235">
        <f t="shared" si="95"/>
        <v>503.25000000000006</v>
      </c>
      <c r="I3014" s="241"/>
      <c r="J3014" s="403"/>
    </row>
    <row r="3015" spans="1:10" s="215" customFormat="1" ht="25.5" hidden="1" customHeight="1" outlineLevel="1" x14ac:dyDescent="0.2">
      <c r="A3015" s="215" t="s">
        <v>1279</v>
      </c>
      <c r="B3015" s="228" t="s">
        <v>5593</v>
      </c>
      <c r="C3015" s="229" t="s">
        <v>5559</v>
      </c>
      <c r="D3015" s="230" t="s">
        <v>11</v>
      </c>
      <c r="E3015" s="231">
        <v>31.69</v>
      </c>
      <c r="F3015" s="231"/>
      <c r="G3015" s="229" t="s">
        <v>5551</v>
      </c>
      <c r="H3015" s="235">
        <f t="shared" si="95"/>
        <v>580.55999999999995</v>
      </c>
      <c r="I3015" s="241"/>
      <c r="J3015" s="403"/>
    </row>
    <row r="3016" spans="1:10" s="215" customFormat="1" ht="12.75" hidden="1" customHeight="1" outlineLevel="1" x14ac:dyDescent="0.2">
      <c r="A3016" s="215" t="s">
        <v>1279</v>
      </c>
      <c r="B3016" s="216" t="s">
        <v>5594</v>
      </c>
      <c r="C3016" s="217" t="s">
        <v>2964</v>
      </c>
      <c r="D3016" s="218"/>
      <c r="E3016" s="219"/>
      <c r="F3016" s="219"/>
      <c r="G3016" s="225" t="s">
        <v>5553</v>
      </c>
      <c r="H3016" s="235">
        <f t="shared" si="95"/>
        <v>411.85</v>
      </c>
      <c r="I3016" s="241"/>
      <c r="J3016" s="403"/>
    </row>
    <row r="3017" spans="1:10" s="215" customFormat="1" ht="25.5" hidden="1" customHeight="1" outlineLevel="1" x14ac:dyDescent="0.2">
      <c r="A3017" s="215" t="s">
        <v>1279</v>
      </c>
      <c r="B3017" s="224" t="s">
        <v>5595</v>
      </c>
      <c r="C3017" s="225" t="s">
        <v>5545</v>
      </c>
      <c r="D3017" s="226" t="s">
        <v>11</v>
      </c>
      <c r="E3017" s="227">
        <v>51.94</v>
      </c>
      <c r="F3017" s="227"/>
      <c r="G3017" s="229" t="s">
        <v>5555</v>
      </c>
      <c r="H3017" s="235">
        <f t="shared" si="95"/>
        <v>542.38</v>
      </c>
      <c r="I3017" s="241"/>
      <c r="J3017" s="403"/>
    </row>
    <row r="3018" spans="1:10" s="215" customFormat="1" ht="12.75" hidden="1" customHeight="1" outlineLevel="1" x14ac:dyDescent="0.2">
      <c r="A3018" s="215" t="s">
        <v>1279</v>
      </c>
      <c r="B3018" s="228" t="s">
        <v>5596</v>
      </c>
      <c r="C3018" s="229" t="s">
        <v>5547</v>
      </c>
      <c r="D3018" s="230" t="s">
        <v>11</v>
      </c>
      <c r="E3018" s="231">
        <v>41.53</v>
      </c>
      <c r="F3018" s="231"/>
      <c r="G3018" s="225" t="s">
        <v>5557</v>
      </c>
      <c r="H3018" s="235">
        <f t="shared" si="95"/>
        <v>1265.6300000000001</v>
      </c>
      <c r="I3018" s="241"/>
      <c r="J3018" s="403"/>
    </row>
    <row r="3019" spans="1:10" s="215" customFormat="1" ht="25.5" hidden="1" customHeight="1" outlineLevel="1" x14ac:dyDescent="0.2">
      <c r="A3019" s="215" t="s">
        <v>1279</v>
      </c>
      <c r="B3019" s="224" t="s">
        <v>5597</v>
      </c>
      <c r="C3019" s="225" t="s">
        <v>5549</v>
      </c>
      <c r="D3019" s="226" t="s">
        <v>11</v>
      </c>
      <c r="E3019" s="227">
        <v>23.41</v>
      </c>
      <c r="F3019" s="227"/>
      <c r="G3019" s="229" t="s">
        <v>5559</v>
      </c>
      <c r="H3019" s="235">
        <f t="shared" si="95"/>
        <v>740.96</v>
      </c>
      <c r="I3019" s="241"/>
      <c r="J3019" s="403"/>
    </row>
    <row r="3020" spans="1:10" s="215" customFormat="1" ht="25.5" hidden="1" customHeight="1" outlineLevel="1" x14ac:dyDescent="0.2">
      <c r="A3020" s="215" t="s">
        <v>1279</v>
      </c>
      <c r="B3020" s="228" t="s">
        <v>5598</v>
      </c>
      <c r="C3020" s="229" t="s">
        <v>5551</v>
      </c>
      <c r="D3020" s="230" t="s">
        <v>11</v>
      </c>
      <c r="E3020" s="231">
        <v>30.92</v>
      </c>
      <c r="F3020" s="231"/>
      <c r="G3020" s="229"/>
      <c r="H3020" s="235">
        <f t="shared" si="95"/>
        <v>0</v>
      </c>
      <c r="I3020" s="241"/>
      <c r="J3020" s="403"/>
    </row>
    <row r="3021" spans="1:10" s="215" customFormat="1" ht="12.75" hidden="1" customHeight="1" outlineLevel="1" x14ac:dyDescent="0.2">
      <c r="A3021" s="215" t="s">
        <v>1279</v>
      </c>
      <c r="B3021" s="224" t="s">
        <v>5599</v>
      </c>
      <c r="C3021" s="225" t="s">
        <v>5553</v>
      </c>
      <c r="D3021" s="226" t="s">
        <v>11</v>
      </c>
      <c r="E3021" s="227">
        <v>15.98</v>
      </c>
      <c r="F3021" s="227"/>
      <c r="G3021" s="225"/>
      <c r="H3021" s="235">
        <f t="shared" si="95"/>
        <v>0</v>
      </c>
      <c r="I3021" s="241"/>
      <c r="J3021" s="403"/>
    </row>
    <row r="3022" spans="1:10" s="215" customFormat="1" ht="25.5" hidden="1" customHeight="1" outlineLevel="1" x14ac:dyDescent="0.2">
      <c r="A3022" s="215" t="s">
        <v>1279</v>
      </c>
      <c r="B3022" s="228" t="s">
        <v>5600</v>
      </c>
      <c r="C3022" s="229" t="s">
        <v>5555</v>
      </c>
      <c r="D3022" s="230" t="s">
        <v>11</v>
      </c>
      <c r="E3022" s="231">
        <v>34.82</v>
      </c>
      <c r="F3022" s="231"/>
      <c r="G3022" s="229"/>
      <c r="H3022" s="235">
        <f t="shared" si="95"/>
        <v>0</v>
      </c>
      <c r="I3022" s="241"/>
      <c r="J3022" s="403"/>
    </row>
    <row r="3023" spans="1:10" s="215" customFormat="1" ht="12.75" hidden="1" customHeight="1" outlineLevel="1" x14ac:dyDescent="0.2">
      <c r="A3023" s="215" t="s">
        <v>1279</v>
      </c>
      <c r="B3023" s="224" t="s">
        <v>5601</v>
      </c>
      <c r="C3023" s="225" t="s">
        <v>5557</v>
      </c>
      <c r="D3023" s="226" t="s">
        <v>11</v>
      </c>
      <c r="E3023" s="227">
        <v>48.49</v>
      </c>
      <c r="F3023" s="227"/>
      <c r="G3023" s="225"/>
      <c r="H3023" s="235">
        <f t="shared" si="95"/>
        <v>0</v>
      </c>
      <c r="I3023" s="241"/>
      <c r="J3023" s="403"/>
    </row>
    <row r="3024" spans="1:10" s="215" customFormat="1" ht="25.5" hidden="1" customHeight="1" outlineLevel="1" x14ac:dyDescent="0.2">
      <c r="A3024" s="215" t="s">
        <v>1279</v>
      </c>
      <c r="B3024" s="228" t="s">
        <v>5602</v>
      </c>
      <c r="C3024" s="229" t="s">
        <v>5559</v>
      </c>
      <c r="D3024" s="230" t="s">
        <v>11</v>
      </c>
      <c r="E3024" s="231">
        <v>31.7</v>
      </c>
      <c r="F3024" s="231"/>
      <c r="G3024" s="229"/>
      <c r="H3024" s="235">
        <f t="shared" si="95"/>
        <v>0</v>
      </c>
      <c r="I3024" s="241"/>
      <c r="J3024" s="403"/>
    </row>
    <row r="3025" spans="1:10" s="215" customFormat="1" ht="12.75" hidden="1" customHeight="1" outlineLevel="1" x14ac:dyDescent="0.2">
      <c r="A3025" s="215" t="s">
        <v>1279</v>
      </c>
      <c r="B3025" s="216" t="s">
        <v>5603</v>
      </c>
      <c r="C3025" s="217" t="s">
        <v>2965</v>
      </c>
      <c r="D3025" s="218"/>
      <c r="E3025" s="219"/>
      <c r="F3025" s="219"/>
      <c r="G3025" s="225"/>
      <c r="H3025" s="235">
        <f t="shared" si="95"/>
        <v>0</v>
      </c>
      <c r="I3025" s="241"/>
      <c r="J3025" s="403"/>
    </row>
    <row r="3026" spans="1:10" s="215" customFormat="1" ht="12.75" hidden="1" customHeight="1" outlineLevel="1" x14ac:dyDescent="0.2">
      <c r="A3026" s="215" t="s">
        <v>1279</v>
      </c>
      <c r="B3026" s="224" t="s">
        <v>5604</v>
      </c>
      <c r="C3026" s="225" t="s">
        <v>5545</v>
      </c>
      <c r="D3026" s="226" t="s">
        <v>11</v>
      </c>
      <c r="E3026" s="227">
        <v>51.84</v>
      </c>
      <c r="F3026" s="227"/>
      <c r="G3026" s="229"/>
      <c r="H3026" s="235">
        <f t="shared" si="95"/>
        <v>0</v>
      </c>
      <c r="I3026" s="241"/>
      <c r="J3026" s="403"/>
    </row>
    <row r="3027" spans="1:10" s="215" customFormat="1" ht="12.75" hidden="1" customHeight="1" outlineLevel="1" x14ac:dyDescent="0.2">
      <c r="A3027" s="215" t="s">
        <v>1279</v>
      </c>
      <c r="B3027" s="228" t="s">
        <v>5605</v>
      </c>
      <c r="C3027" s="229" t="s">
        <v>5547</v>
      </c>
      <c r="D3027" s="230" t="s">
        <v>11</v>
      </c>
      <c r="E3027" s="231">
        <v>45.55</v>
      </c>
      <c r="F3027" s="231"/>
      <c r="G3027" s="225"/>
      <c r="H3027" s="235">
        <f t="shared" si="95"/>
        <v>0</v>
      </c>
      <c r="I3027" s="241"/>
      <c r="J3027" s="403"/>
    </row>
    <row r="3028" spans="1:10" s="215" customFormat="1" ht="12.75" hidden="1" customHeight="1" outlineLevel="1" x14ac:dyDescent="0.2">
      <c r="A3028" s="215" t="s">
        <v>1279</v>
      </c>
      <c r="B3028" s="224" t="s">
        <v>5606</v>
      </c>
      <c r="C3028" s="225" t="s">
        <v>5549</v>
      </c>
      <c r="D3028" s="226" t="s">
        <v>11</v>
      </c>
      <c r="E3028" s="227">
        <v>30.47</v>
      </c>
      <c r="F3028" s="227"/>
      <c r="G3028" s="229"/>
      <c r="H3028" s="235">
        <f t="shared" si="95"/>
        <v>0</v>
      </c>
      <c r="I3028" s="241"/>
      <c r="J3028" s="403"/>
    </row>
    <row r="3029" spans="1:10" s="215" customFormat="1" ht="25.5" hidden="1" customHeight="1" outlineLevel="1" x14ac:dyDescent="0.2">
      <c r="A3029" s="215" t="s">
        <v>1279</v>
      </c>
      <c r="B3029" s="228" t="s">
        <v>5607</v>
      </c>
      <c r="C3029" s="229" t="s">
        <v>5551</v>
      </c>
      <c r="D3029" s="230" t="s">
        <v>11</v>
      </c>
      <c r="E3029" s="231">
        <v>35.76</v>
      </c>
      <c r="F3029" s="231"/>
      <c r="G3029" s="241"/>
      <c r="H3029" s="241"/>
      <c r="I3029" s="241"/>
      <c r="J3029" s="403"/>
    </row>
    <row r="3030" spans="1:10" s="215" customFormat="1" ht="12.75" hidden="1" customHeight="1" outlineLevel="1" x14ac:dyDescent="0.2">
      <c r="A3030" s="215" t="s">
        <v>1279</v>
      </c>
      <c r="B3030" s="224" t="s">
        <v>5608</v>
      </c>
      <c r="C3030" s="225" t="s">
        <v>5553</v>
      </c>
      <c r="D3030" s="226" t="s">
        <v>11</v>
      </c>
      <c r="E3030" s="227">
        <v>17.22</v>
      </c>
      <c r="F3030" s="227"/>
      <c r="G3030" s="241"/>
      <c r="H3030" s="241"/>
      <c r="I3030" s="241"/>
      <c r="J3030" s="403"/>
    </row>
    <row r="3031" spans="1:10" s="215" customFormat="1" ht="25.5" hidden="1" customHeight="1" outlineLevel="1" x14ac:dyDescent="0.2">
      <c r="A3031" s="215" t="s">
        <v>1279</v>
      </c>
      <c r="B3031" s="228" t="s">
        <v>5609</v>
      </c>
      <c r="C3031" s="229" t="s">
        <v>5555</v>
      </c>
      <c r="D3031" s="230" t="s">
        <v>11</v>
      </c>
      <c r="E3031" s="231">
        <v>38.57</v>
      </c>
      <c r="F3031" s="231"/>
      <c r="G3031" s="241"/>
      <c r="H3031" s="241"/>
      <c r="I3031" s="241"/>
      <c r="J3031" s="403"/>
    </row>
    <row r="3032" spans="1:10" s="215" customFormat="1" ht="12.75" hidden="1" customHeight="1" outlineLevel="1" x14ac:dyDescent="0.2">
      <c r="A3032" s="215" t="s">
        <v>1279</v>
      </c>
      <c r="B3032" s="224" t="s">
        <v>5610</v>
      </c>
      <c r="C3032" s="225" t="s">
        <v>5557</v>
      </c>
      <c r="D3032" s="226" t="s">
        <v>11</v>
      </c>
      <c r="E3032" s="227">
        <v>47.73</v>
      </c>
      <c r="F3032" s="227"/>
      <c r="G3032" s="241"/>
      <c r="H3032" s="241"/>
      <c r="I3032" s="241"/>
      <c r="J3032" s="403"/>
    </row>
    <row r="3033" spans="1:10" s="215" customFormat="1" ht="25.5" hidden="1" customHeight="1" outlineLevel="1" x14ac:dyDescent="0.2">
      <c r="A3033" s="215" t="s">
        <v>1279</v>
      </c>
      <c r="B3033" s="228" t="s">
        <v>5611</v>
      </c>
      <c r="C3033" s="229" t="s">
        <v>5559</v>
      </c>
      <c r="D3033" s="230" t="s">
        <v>11</v>
      </c>
      <c r="E3033" s="231">
        <v>31.69</v>
      </c>
      <c r="F3033" s="231"/>
      <c r="G3033" s="241"/>
      <c r="H3033" s="241"/>
      <c r="I3033" s="241"/>
      <c r="J3033" s="403"/>
    </row>
    <row r="3034" spans="1:10" s="215" customFormat="1" ht="12.75" hidden="1" customHeight="1" outlineLevel="1" x14ac:dyDescent="0.2">
      <c r="A3034" s="215" t="s">
        <v>1279</v>
      </c>
      <c r="B3034" s="216" t="s">
        <v>5612</v>
      </c>
      <c r="C3034" s="217" t="s">
        <v>2966</v>
      </c>
      <c r="D3034" s="218"/>
      <c r="E3034" s="219"/>
      <c r="F3034" s="219"/>
      <c r="G3034" s="241"/>
      <c r="H3034" s="241"/>
      <c r="I3034" s="241"/>
      <c r="J3034" s="403"/>
    </row>
    <row r="3035" spans="1:10" s="215" customFormat="1" ht="12.75" hidden="1" customHeight="1" outlineLevel="1" x14ac:dyDescent="0.2">
      <c r="A3035" s="215" t="s">
        <v>1279</v>
      </c>
      <c r="B3035" s="224" t="s">
        <v>5613</v>
      </c>
      <c r="C3035" s="225" t="s">
        <v>5545</v>
      </c>
      <c r="D3035" s="226" t="s">
        <v>11</v>
      </c>
      <c r="E3035" s="227">
        <v>54.62</v>
      </c>
      <c r="F3035" s="227"/>
    </row>
    <row r="3036" spans="1:10" s="215" customFormat="1" ht="12.75" hidden="1" customHeight="1" outlineLevel="1" x14ac:dyDescent="0.2">
      <c r="A3036" s="215" t="s">
        <v>1279</v>
      </c>
      <c r="B3036" s="228" t="s">
        <v>5614</v>
      </c>
      <c r="C3036" s="229" t="s">
        <v>5547</v>
      </c>
      <c r="D3036" s="230" t="s">
        <v>11</v>
      </c>
      <c r="E3036" s="231">
        <v>41.55</v>
      </c>
      <c r="F3036" s="231"/>
    </row>
    <row r="3037" spans="1:10" s="215" customFormat="1" ht="12.75" hidden="1" customHeight="1" outlineLevel="1" x14ac:dyDescent="0.2">
      <c r="A3037" s="215" t="s">
        <v>1279</v>
      </c>
      <c r="B3037" s="224" t="s">
        <v>5615</v>
      </c>
      <c r="C3037" s="225" t="s">
        <v>5549</v>
      </c>
      <c r="D3037" s="226" t="s">
        <v>11</v>
      </c>
      <c r="E3037" s="227">
        <v>23.41</v>
      </c>
      <c r="F3037" s="227"/>
    </row>
    <row r="3038" spans="1:10" s="215" customFormat="1" ht="25.5" hidden="1" customHeight="1" outlineLevel="1" x14ac:dyDescent="0.2">
      <c r="A3038" s="215" t="s">
        <v>1279</v>
      </c>
      <c r="B3038" s="228" t="s">
        <v>5616</v>
      </c>
      <c r="C3038" s="229" t="s">
        <v>5551</v>
      </c>
      <c r="D3038" s="230" t="s">
        <v>11</v>
      </c>
      <c r="E3038" s="231">
        <v>30.94</v>
      </c>
      <c r="F3038" s="231"/>
    </row>
    <row r="3039" spans="1:10" s="215" customFormat="1" ht="12.75" hidden="1" customHeight="1" outlineLevel="1" x14ac:dyDescent="0.2">
      <c r="A3039" s="215" t="s">
        <v>1279</v>
      </c>
      <c r="B3039" s="224" t="s">
        <v>5617</v>
      </c>
      <c r="C3039" s="225" t="s">
        <v>5553</v>
      </c>
      <c r="D3039" s="226" t="s">
        <v>11</v>
      </c>
      <c r="E3039" s="227">
        <v>16</v>
      </c>
      <c r="F3039" s="227"/>
    </row>
    <row r="3040" spans="1:10" s="215" customFormat="1" ht="25.5" hidden="1" customHeight="1" outlineLevel="1" x14ac:dyDescent="0.2">
      <c r="A3040" s="215" t="s">
        <v>1279</v>
      </c>
      <c r="B3040" s="228" t="s">
        <v>5618</v>
      </c>
      <c r="C3040" s="229" t="s">
        <v>5555</v>
      </c>
      <c r="D3040" s="230" t="s">
        <v>11</v>
      </c>
      <c r="E3040" s="231">
        <v>34.82</v>
      </c>
      <c r="F3040" s="231"/>
    </row>
    <row r="3041" spans="1:6" s="215" customFormat="1" ht="12.75" hidden="1" customHeight="1" outlineLevel="1" x14ac:dyDescent="0.2">
      <c r="A3041" s="215" t="s">
        <v>1279</v>
      </c>
      <c r="B3041" s="224" t="s">
        <v>5619</v>
      </c>
      <c r="C3041" s="225" t="s">
        <v>5557</v>
      </c>
      <c r="D3041" s="226" t="s">
        <v>11</v>
      </c>
      <c r="E3041" s="227">
        <v>48.49</v>
      </c>
      <c r="F3041" s="227"/>
    </row>
    <row r="3042" spans="1:6" s="215" customFormat="1" ht="25.5" hidden="1" customHeight="1" outlineLevel="1" x14ac:dyDescent="0.2">
      <c r="A3042" s="215" t="s">
        <v>1279</v>
      </c>
      <c r="B3042" s="228" t="s">
        <v>5620</v>
      </c>
      <c r="C3042" s="229" t="s">
        <v>5559</v>
      </c>
      <c r="D3042" s="230" t="s">
        <v>11</v>
      </c>
      <c r="E3042" s="231">
        <v>31.7</v>
      </c>
      <c r="F3042" s="231"/>
    </row>
    <row r="3043" spans="1:6" s="215" customFormat="1" ht="12.75" hidden="1" customHeight="1" outlineLevel="1" x14ac:dyDescent="0.2">
      <c r="A3043" s="215" t="s">
        <v>1279</v>
      </c>
      <c r="B3043" s="216" t="s">
        <v>5621</v>
      </c>
      <c r="C3043" s="217" t="s">
        <v>2967</v>
      </c>
      <c r="D3043" s="218"/>
      <c r="E3043" s="219"/>
      <c r="F3043" s="219"/>
    </row>
    <row r="3044" spans="1:6" s="215" customFormat="1" ht="12.75" hidden="1" customHeight="1" outlineLevel="1" x14ac:dyDescent="0.2">
      <c r="A3044" s="215" t="s">
        <v>1279</v>
      </c>
      <c r="B3044" s="224" t="s">
        <v>5622</v>
      </c>
      <c r="C3044" s="225" t="s">
        <v>5545</v>
      </c>
      <c r="D3044" s="226" t="s">
        <v>11</v>
      </c>
      <c r="E3044" s="227">
        <v>51.84</v>
      </c>
      <c r="F3044" s="227"/>
    </row>
    <row r="3045" spans="1:6" s="215" customFormat="1" ht="12.75" hidden="1" customHeight="1" outlineLevel="1" x14ac:dyDescent="0.2">
      <c r="A3045" s="215" t="s">
        <v>1279</v>
      </c>
      <c r="B3045" s="228" t="s">
        <v>5623</v>
      </c>
      <c r="C3045" s="229" t="s">
        <v>5547</v>
      </c>
      <c r="D3045" s="230" t="s">
        <v>11</v>
      </c>
      <c r="E3045" s="231">
        <v>45.55</v>
      </c>
      <c r="F3045" s="231"/>
    </row>
    <row r="3046" spans="1:6" s="215" customFormat="1" ht="12.75" hidden="1" customHeight="1" outlineLevel="1" x14ac:dyDescent="0.2">
      <c r="A3046" s="215" t="s">
        <v>1279</v>
      </c>
      <c r="B3046" s="224" t="s">
        <v>5624</v>
      </c>
      <c r="C3046" s="225" t="s">
        <v>5549</v>
      </c>
      <c r="D3046" s="226" t="s">
        <v>11</v>
      </c>
      <c r="E3046" s="227">
        <v>25</v>
      </c>
      <c r="F3046" s="227"/>
    </row>
    <row r="3047" spans="1:6" s="215" customFormat="1" ht="25.5" hidden="1" customHeight="1" outlineLevel="1" x14ac:dyDescent="0.2">
      <c r="A3047" s="215" t="s">
        <v>1279</v>
      </c>
      <c r="B3047" s="228" t="s">
        <v>5625</v>
      </c>
      <c r="C3047" s="229" t="s">
        <v>5551</v>
      </c>
      <c r="D3047" s="230" t="s">
        <v>11</v>
      </c>
      <c r="E3047" s="231">
        <v>35.76</v>
      </c>
      <c r="F3047" s="231"/>
    </row>
    <row r="3048" spans="1:6" s="215" customFormat="1" ht="12.75" hidden="1" customHeight="1" outlineLevel="1" x14ac:dyDescent="0.2">
      <c r="A3048" s="215" t="s">
        <v>1279</v>
      </c>
      <c r="B3048" s="224" t="s">
        <v>5626</v>
      </c>
      <c r="C3048" s="225" t="s">
        <v>5553</v>
      </c>
      <c r="D3048" s="226" t="s">
        <v>11</v>
      </c>
      <c r="E3048" s="227">
        <v>17.22</v>
      </c>
      <c r="F3048" s="227"/>
    </row>
    <row r="3049" spans="1:6" s="215" customFormat="1" ht="25.5" hidden="1" customHeight="1" outlineLevel="1" x14ac:dyDescent="0.2">
      <c r="A3049" s="215" t="s">
        <v>1279</v>
      </c>
      <c r="B3049" s="228" t="s">
        <v>5627</v>
      </c>
      <c r="C3049" s="229" t="s">
        <v>5555</v>
      </c>
      <c r="D3049" s="230" t="s">
        <v>11</v>
      </c>
      <c r="E3049" s="231">
        <v>38.57</v>
      </c>
      <c r="F3049" s="231"/>
    </row>
    <row r="3050" spans="1:6" s="215" customFormat="1" ht="12.75" hidden="1" customHeight="1" outlineLevel="1" x14ac:dyDescent="0.2">
      <c r="A3050" s="215" t="s">
        <v>1279</v>
      </c>
      <c r="B3050" s="224" t="s">
        <v>5628</v>
      </c>
      <c r="C3050" s="225" t="s">
        <v>5557</v>
      </c>
      <c r="D3050" s="226" t="s">
        <v>11</v>
      </c>
      <c r="E3050" s="227">
        <v>47.73</v>
      </c>
      <c r="F3050" s="227"/>
    </row>
    <row r="3051" spans="1:6" s="215" customFormat="1" ht="25.5" hidden="1" customHeight="1" outlineLevel="1" x14ac:dyDescent="0.2">
      <c r="A3051" s="215" t="s">
        <v>1279</v>
      </c>
      <c r="B3051" s="228" t="s">
        <v>5629</v>
      </c>
      <c r="C3051" s="229" t="s">
        <v>5559</v>
      </c>
      <c r="D3051" s="230" t="s">
        <v>11</v>
      </c>
      <c r="E3051" s="231">
        <v>31.69</v>
      </c>
      <c r="F3051" s="231"/>
    </row>
    <row r="3052" spans="1:6" s="215" customFormat="1" ht="12.75" hidden="1" customHeight="1" outlineLevel="1" x14ac:dyDescent="0.2">
      <c r="A3052" s="215" t="s">
        <v>1279</v>
      </c>
      <c r="B3052" s="216" t="s">
        <v>5630</v>
      </c>
      <c r="C3052" s="217" t="s">
        <v>2968</v>
      </c>
      <c r="D3052" s="218"/>
      <c r="E3052" s="219"/>
      <c r="F3052" s="219"/>
    </row>
    <row r="3053" spans="1:6" s="215" customFormat="1" ht="12.75" hidden="1" customHeight="1" outlineLevel="1" x14ac:dyDescent="0.2">
      <c r="A3053" s="215" t="s">
        <v>1279</v>
      </c>
      <c r="B3053" s="224" t="s">
        <v>5631</v>
      </c>
      <c r="C3053" s="225" t="s">
        <v>5545</v>
      </c>
      <c r="D3053" s="226" t="s">
        <v>11</v>
      </c>
      <c r="E3053" s="227">
        <v>54.62</v>
      </c>
      <c r="F3053" s="227"/>
    </row>
    <row r="3054" spans="1:6" s="215" customFormat="1" ht="12.75" hidden="1" customHeight="1" outlineLevel="1" x14ac:dyDescent="0.2">
      <c r="A3054" s="215" t="s">
        <v>1279</v>
      </c>
      <c r="B3054" s="228" t="s">
        <v>5632</v>
      </c>
      <c r="C3054" s="229" t="s">
        <v>5547</v>
      </c>
      <c r="D3054" s="230" t="s">
        <v>11</v>
      </c>
      <c r="E3054" s="231">
        <v>41.55</v>
      </c>
      <c r="F3054" s="231"/>
    </row>
    <row r="3055" spans="1:6" s="215" customFormat="1" ht="12.75" hidden="1" customHeight="1" outlineLevel="1" x14ac:dyDescent="0.2">
      <c r="A3055" s="215" t="s">
        <v>1279</v>
      </c>
      <c r="B3055" s="224" t="s">
        <v>5633</v>
      </c>
      <c r="C3055" s="225" t="s">
        <v>5549</v>
      </c>
      <c r="D3055" s="226" t="s">
        <v>11</v>
      </c>
      <c r="E3055" s="227">
        <v>23.41</v>
      </c>
      <c r="F3055" s="227"/>
    </row>
    <row r="3056" spans="1:6" s="215" customFormat="1" ht="25.5" hidden="1" customHeight="1" outlineLevel="1" x14ac:dyDescent="0.2">
      <c r="A3056" s="215" t="s">
        <v>1279</v>
      </c>
      <c r="B3056" s="228" t="s">
        <v>5634</v>
      </c>
      <c r="C3056" s="229" t="s">
        <v>5551</v>
      </c>
      <c r="D3056" s="230" t="s">
        <v>11</v>
      </c>
      <c r="E3056" s="231">
        <v>30.94</v>
      </c>
      <c r="F3056" s="231"/>
    </row>
    <row r="3057" spans="1:6" s="215" customFormat="1" ht="12.75" hidden="1" customHeight="1" outlineLevel="1" x14ac:dyDescent="0.2">
      <c r="A3057" s="215" t="s">
        <v>1279</v>
      </c>
      <c r="B3057" s="224" t="s">
        <v>5635</v>
      </c>
      <c r="C3057" s="225" t="s">
        <v>5553</v>
      </c>
      <c r="D3057" s="226" t="s">
        <v>11</v>
      </c>
      <c r="E3057" s="227">
        <v>16</v>
      </c>
      <c r="F3057" s="227"/>
    </row>
    <row r="3058" spans="1:6" s="215" customFormat="1" ht="25.5" hidden="1" customHeight="1" outlineLevel="1" x14ac:dyDescent="0.2">
      <c r="A3058" s="215" t="s">
        <v>1279</v>
      </c>
      <c r="B3058" s="228" t="s">
        <v>5636</v>
      </c>
      <c r="C3058" s="229" t="s">
        <v>5555</v>
      </c>
      <c r="D3058" s="230" t="s">
        <v>11</v>
      </c>
      <c r="E3058" s="231">
        <v>34.82</v>
      </c>
      <c r="F3058" s="231"/>
    </row>
    <row r="3059" spans="1:6" s="215" customFormat="1" ht="12.75" hidden="1" customHeight="1" outlineLevel="1" x14ac:dyDescent="0.2">
      <c r="A3059" s="215" t="s">
        <v>1279</v>
      </c>
      <c r="B3059" s="224" t="s">
        <v>5637</v>
      </c>
      <c r="C3059" s="225" t="s">
        <v>5557</v>
      </c>
      <c r="D3059" s="226" t="s">
        <v>11</v>
      </c>
      <c r="E3059" s="227">
        <v>48.49</v>
      </c>
      <c r="F3059" s="227"/>
    </row>
    <row r="3060" spans="1:6" s="215" customFormat="1" ht="25.5" hidden="1" customHeight="1" outlineLevel="1" x14ac:dyDescent="0.2">
      <c r="A3060" s="215" t="s">
        <v>1279</v>
      </c>
      <c r="B3060" s="228" t="s">
        <v>5638</v>
      </c>
      <c r="C3060" s="229" t="s">
        <v>5559</v>
      </c>
      <c r="D3060" s="230" t="s">
        <v>11</v>
      </c>
      <c r="E3060" s="231">
        <v>31.7</v>
      </c>
      <c r="F3060" s="231"/>
    </row>
    <row r="3061" spans="1:6" s="215" customFormat="1" ht="12.75" hidden="1" customHeight="1" outlineLevel="1" x14ac:dyDescent="0.2">
      <c r="A3061" s="215" t="s">
        <v>1279</v>
      </c>
      <c r="B3061" s="216" t="s">
        <v>5639</v>
      </c>
      <c r="C3061" s="217" t="s">
        <v>2969</v>
      </c>
      <c r="D3061" s="218"/>
      <c r="E3061" s="219"/>
      <c r="F3061" s="219"/>
    </row>
    <row r="3062" spans="1:6" s="215" customFormat="1" ht="12.75" hidden="1" customHeight="1" outlineLevel="1" x14ac:dyDescent="0.2">
      <c r="A3062" s="215" t="s">
        <v>1279</v>
      </c>
      <c r="B3062" s="224" t="s">
        <v>5640</v>
      </c>
      <c r="C3062" s="225" t="s">
        <v>5545</v>
      </c>
      <c r="D3062" s="226" t="s">
        <v>11</v>
      </c>
      <c r="E3062" s="227">
        <v>51.84</v>
      </c>
      <c r="F3062" s="227"/>
    </row>
    <row r="3063" spans="1:6" s="215" customFormat="1" ht="12.75" hidden="1" customHeight="1" outlineLevel="1" x14ac:dyDescent="0.2">
      <c r="A3063" s="215" t="s">
        <v>1279</v>
      </c>
      <c r="B3063" s="228" t="s">
        <v>5641</v>
      </c>
      <c r="C3063" s="229" t="s">
        <v>5547</v>
      </c>
      <c r="D3063" s="230" t="s">
        <v>11</v>
      </c>
      <c r="E3063" s="231">
        <v>45.55</v>
      </c>
      <c r="F3063" s="231"/>
    </row>
    <row r="3064" spans="1:6" s="215" customFormat="1" ht="12.75" hidden="1" customHeight="1" outlineLevel="1" x14ac:dyDescent="0.2">
      <c r="A3064" s="215" t="s">
        <v>1279</v>
      </c>
      <c r="B3064" s="224" t="s">
        <v>5642</v>
      </c>
      <c r="C3064" s="225" t="s">
        <v>5549</v>
      </c>
      <c r="D3064" s="226" t="s">
        <v>11</v>
      </c>
      <c r="E3064" s="227">
        <v>30.47</v>
      </c>
      <c r="F3064" s="227"/>
    </row>
    <row r="3065" spans="1:6" s="215" customFormat="1" ht="25.5" hidden="1" customHeight="1" outlineLevel="1" x14ac:dyDescent="0.2">
      <c r="A3065" s="215" t="s">
        <v>1279</v>
      </c>
      <c r="B3065" s="228" t="s">
        <v>5643</v>
      </c>
      <c r="C3065" s="229" t="s">
        <v>5551</v>
      </c>
      <c r="D3065" s="230" t="s">
        <v>11</v>
      </c>
      <c r="E3065" s="231">
        <v>35.76</v>
      </c>
      <c r="F3065" s="231"/>
    </row>
    <row r="3066" spans="1:6" s="215" customFormat="1" ht="12.75" hidden="1" customHeight="1" outlineLevel="1" x14ac:dyDescent="0.2">
      <c r="A3066" s="215" t="s">
        <v>1279</v>
      </c>
      <c r="B3066" s="224" t="s">
        <v>5644</v>
      </c>
      <c r="C3066" s="225" t="s">
        <v>5553</v>
      </c>
      <c r="D3066" s="226" t="s">
        <v>11</v>
      </c>
      <c r="E3066" s="227">
        <v>17.22</v>
      </c>
      <c r="F3066" s="227"/>
    </row>
    <row r="3067" spans="1:6" s="215" customFormat="1" ht="25.5" hidden="1" customHeight="1" outlineLevel="1" x14ac:dyDescent="0.2">
      <c r="A3067" s="215" t="s">
        <v>1279</v>
      </c>
      <c r="B3067" s="228" t="s">
        <v>5645</v>
      </c>
      <c r="C3067" s="229" t="s">
        <v>5555</v>
      </c>
      <c r="D3067" s="230" t="s">
        <v>11</v>
      </c>
      <c r="E3067" s="231">
        <v>38.57</v>
      </c>
      <c r="F3067" s="231"/>
    </row>
    <row r="3068" spans="1:6" s="215" customFormat="1" ht="12.75" hidden="1" customHeight="1" outlineLevel="1" x14ac:dyDescent="0.2">
      <c r="A3068" s="215" t="s">
        <v>1279</v>
      </c>
      <c r="B3068" s="224" t="s">
        <v>5646</v>
      </c>
      <c r="C3068" s="225" t="s">
        <v>5557</v>
      </c>
      <c r="D3068" s="226" t="s">
        <v>11</v>
      </c>
      <c r="E3068" s="227">
        <v>47.73</v>
      </c>
      <c r="F3068" s="227"/>
    </row>
    <row r="3069" spans="1:6" s="215" customFormat="1" ht="25.5" hidden="1" customHeight="1" outlineLevel="1" x14ac:dyDescent="0.2">
      <c r="A3069" s="215" t="s">
        <v>1279</v>
      </c>
      <c r="B3069" s="228" t="s">
        <v>5647</v>
      </c>
      <c r="C3069" s="229" t="s">
        <v>5559</v>
      </c>
      <c r="D3069" s="230" t="s">
        <v>11</v>
      </c>
      <c r="E3069" s="231">
        <v>31.69</v>
      </c>
      <c r="F3069" s="231"/>
    </row>
    <row r="3070" spans="1:6" s="215" customFormat="1" ht="12.75" hidden="1" customHeight="1" outlineLevel="1" x14ac:dyDescent="0.2">
      <c r="A3070" s="215" t="s">
        <v>1279</v>
      </c>
      <c r="B3070" s="216" t="s">
        <v>5648</v>
      </c>
      <c r="C3070" s="217" t="s">
        <v>2970</v>
      </c>
      <c r="D3070" s="218"/>
      <c r="E3070" s="219"/>
      <c r="F3070" s="219"/>
    </row>
    <row r="3071" spans="1:6" s="215" customFormat="1" ht="12.75" hidden="1" customHeight="1" outlineLevel="1" x14ac:dyDescent="0.2">
      <c r="A3071" s="215" t="s">
        <v>1279</v>
      </c>
      <c r="B3071" s="224" t="s">
        <v>5649</v>
      </c>
      <c r="C3071" s="225" t="s">
        <v>5545</v>
      </c>
      <c r="D3071" s="226" t="s">
        <v>11</v>
      </c>
      <c r="E3071" s="227">
        <v>52.1</v>
      </c>
      <c r="F3071" s="227"/>
    </row>
    <row r="3072" spans="1:6" s="215" customFormat="1" ht="12.75" hidden="1" customHeight="1" outlineLevel="1" x14ac:dyDescent="0.2">
      <c r="A3072" s="215" t="s">
        <v>1279</v>
      </c>
      <c r="B3072" s="228" t="s">
        <v>5650</v>
      </c>
      <c r="C3072" s="229" t="s">
        <v>5547</v>
      </c>
      <c r="D3072" s="230" t="s">
        <v>11</v>
      </c>
      <c r="E3072" s="231">
        <v>41.55</v>
      </c>
      <c r="F3072" s="231"/>
    </row>
    <row r="3073" spans="1:6" s="215" customFormat="1" ht="12.75" hidden="1" customHeight="1" outlineLevel="1" x14ac:dyDescent="0.2">
      <c r="A3073" s="215" t="s">
        <v>1279</v>
      </c>
      <c r="B3073" s="224" t="s">
        <v>5651</v>
      </c>
      <c r="C3073" s="225" t="s">
        <v>5549</v>
      </c>
      <c r="D3073" s="226" t="s">
        <v>11</v>
      </c>
      <c r="E3073" s="227">
        <v>23.42</v>
      </c>
      <c r="F3073" s="227"/>
    </row>
    <row r="3074" spans="1:6" s="215" customFormat="1" ht="25.5" hidden="1" customHeight="1" outlineLevel="1" x14ac:dyDescent="0.2">
      <c r="A3074" s="215" t="s">
        <v>1279</v>
      </c>
      <c r="B3074" s="228" t="s">
        <v>5652</v>
      </c>
      <c r="C3074" s="229" t="s">
        <v>5551</v>
      </c>
      <c r="D3074" s="230" t="s">
        <v>11</v>
      </c>
      <c r="E3074" s="231">
        <v>30.93</v>
      </c>
      <c r="F3074" s="231"/>
    </row>
    <row r="3075" spans="1:6" s="215" customFormat="1" ht="12.75" hidden="1" customHeight="1" outlineLevel="1" x14ac:dyDescent="0.2">
      <c r="A3075" s="215" t="s">
        <v>1279</v>
      </c>
      <c r="B3075" s="224" t="s">
        <v>5653</v>
      </c>
      <c r="C3075" s="225" t="s">
        <v>5553</v>
      </c>
      <c r="D3075" s="226" t="s">
        <v>11</v>
      </c>
      <c r="E3075" s="227">
        <v>15.99</v>
      </c>
      <c r="F3075" s="227"/>
    </row>
    <row r="3076" spans="1:6" s="215" customFormat="1" ht="25.5" hidden="1" customHeight="1" outlineLevel="1" x14ac:dyDescent="0.2">
      <c r="A3076" s="215" t="s">
        <v>1279</v>
      </c>
      <c r="B3076" s="228" t="s">
        <v>5654</v>
      </c>
      <c r="C3076" s="229" t="s">
        <v>5555</v>
      </c>
      <c r="D3076" s="230" t="s">
        <v>11</v>
      </c>
      <c r="E3076" s="231">
        <v>34.82</v>
      </c>
      <c r="F3076" s="231"/>
    </row>
    <row r="3077" spans="1:6" s="215" customFormat="1" ht="12.75" hidden="1" customHeight="1" outlineLevel="1" x14ac:dyDescent="0.2">
      <c r="A3077" s="215" t="s">
        <v>1279</v>
      </c>
      <c r="B3077" s="224" t="s">
        <v>5655</v>
      </c>
      <c r="C3077" s="225" t="s">
        <v>5557</v>
      </c>
      <c r="D3077" s="226" t="s">
        <v>11</v>
      </c>
      <c r="E3077" s="227">
        <v>48.49</v>
      </c>
      <c r="F3077" s="227"/>
    </row>
    <row r="3078" spans="1:6" s="215" customFormat="1" ht="25.5" hidden="1" customHeight="1" outlineLevel="1" x14ac:dyDescent="0.2">
      <c r="A3078" s="215" t="s">
        <v>1279</v>
      </c>
      <c r="B3078" s="228" t="s">
        <v>5656</v>
      </c>
      <c r="C3078" s="229" t="s">
        <v>5559</v>
      </c>
      <c r="D3078" s="230" t="s">
        <v>11</v>
      </c>
      <c r="E3078" s="231">
        <v>31.7</v>
      </c>
      <c r="F3078" s="231"/>
    </row>
    <row r="3079" spans="1:6" s="215" customFormat="1" ht="12.75" hidden="1" customHeight="1" outlineLevel="1" x14ac:dyDescent="0.2">
      <c r="A3079" s="215" t="s">
        <v>1279</v>
      </c>
      <c r="B3079" s="216" t="s">
        <v>5657</v>
      </c>
      <c r="C3079" s="217" t="s">
        <v>2971</v>
      </c>
      <c r="D3079" s="218"/>
      <c r="E3079" s="219"/>
      <c r="F3079" s="219"/>
    </row>
    <row r="3080" spans="1:6" s="215" customFormat="1" ht="12.75" hidden="1" customHeight="1" outlineLevel="1" x14ac:dyDescent="0.2">
      <c r="A3080" s="215" t="s">
        <v>1279</v>
      </c>
      <c r="B3080" s="224" t="s">
        <v>5658</v>
      </c>
      <c r="C3080" s="225" t="s">
        <v>5545</v>
      </c>
      <c r="D3080" s="226" t="s">
        <v>11</v>
      </c>
      <c r="E3080" s="227">
        <v>53.89</v>
      </c>
      <c r="F3080" s="227"/>
    </row>
    <row r="3081" spans="1:6" s="215" customFormat="1" ht="12.75" hidden="1" customHeight="1" outlineLevel="1" x14ac:dyDescent="0.2">
      <c r="A3081" s="215" t="s">
        <v>1279</v>
      </c>
      <c r="B3081" s="228" t="s">
        <v>5659</v>
      </c>
      <c r="C3081" s="229" t="s">
        <v>5547</v>
      </c>
      <c r="D3081" s="230" t="s">
        <v>11</v>
      </c>
      <c r="E3081" s="231">
        <v>67.040000000000006</v>
      </c>
      <c r="F3081" s="231"/>
    </row>
    <row r="3082" spans="1:6" s="215" customFormat="1" ht="12.75" hidden="1" customHeight="1" outlineLevel="1" x14ac:dyDescent="0.2">
      <c r="A3082" s="215" t="s">
        <v>1279</v>
      </c>
      <c r="B3082" s="224" t="s">
        <v>5660</v>
      </c>
      <c r="C3082" s="225" t="s">
        <v>5549</v>
      </c>
      <c r="D3082" s="226" t="s">
        <v>11</v>
      </c>
      <c r="E3082" s="227">
        <v>24.79</v>
      </c>
      <c r="F3082" s="227"/>
    </row>
    <row r="3083" spans="1:6" s="215" customFormat="1" ht="25.5" hidden="1" customHeight="1" outlineLevel="1" x14ac:dyDescent="0.2">
      <c r="A3083" s="215" t="s">
        <v>1279</v>
      </c>
      <c r="B3083" s="228" t="s">
        <v>5661</v>
      </c>
      <c r="C3083" s="229" t="s">
        <v>5551</v>
      </c>
      <c r="D3083" s="230" t="s">
        <v>11</v>
      </c>
      <c r="E3083" s="231">
        <v>55.32</v>
      </c>
      <c r="F3083" s="231"/>
    </row>
    <row r="3084" spans="1:6" s="215" customFormat="1" ht="12.75" hidden="1" customHeight="1" outlineLevel="1" x14ac:dyDescent="0.2">
      <c r="A3084" s="215" t="s">
        <v>1279</v>
      </c>
      <c r="B3084" s="224" t="s">
        <v>5662</v>
      </c>
      <c r="C3084" s="225" t="s">
        <v>5553</v>
      </c>
      <c r="D3084" s="226" t="s">
        <v>11</v>
      </c>
      <c r="E3084" s="227">
        <v>17.23</v>
      </c>
      <c r="F3084" s="227"/>
    </row>
    <row r="3085" spans="1:6" s="215" customFormat="1" ht="25.5" hidden="1" customHeight="1" outlineLevel="1" x14ac:dyDescent="0.2">
      <c r="A3085" s="215" t="s">
        <v>1279</v>
      </c>
      <c r="B3085" s="228" t="s">
        <v>5663</v>
      </c>
      <c r="C3085" s="229" t="s">
        <v>5555</v>
      </c>
      <c r="D3085" s="230" t="s">
        <v>11</v>
      </c>
      <c r="E3085" s="231">
        <v>55.99</v>
      </c>
      <c r="F3085" s="231"/>
    </row>
    <row r="3086" spans="1:6" s="215" customFormat="1" ht="12.75" hidden="1" customHeight="1" outlineLevel="1" x14ac:dyDescent="0.2">
      <c r="A3086" s="215" t="s">
        <v>1279</v>
      </c>
      <c r="B3086" s="224" t="s">
        <v>5664</v>
      </c>
      <c r="C3086" s="225" t="s">
        <v>5557</v>
      </c>
      <c r="D3086" s="226" t="s">
        <v>11</v>
      </c>
      <c r="E3086" s="227">
        <v>47.73</v>
      </c>
      <c r="F3086" s="227"/>
    </row>
    <row r="3087" spans="1:6" s="215" customFormat="1" ht="25.5" hidden="1" customHeight="1" outlineLevel="1" x14ac:dyDescent="0.2">
      <c r="A3087" s="215" t="s">
        <v>1279</v>
      </c>
      <c r="B3087" s="228" t="s">
        <v>5665</v>
      </c>
      <c r="C3087" s="229" t="s">
        <v>5559</v>
      </c>
      <c r="D3087" s="230" t="s">
        <v>11</v>
      </c>
      <c r="E3087" s="231">
        <v>42.25</v>
      </c>
      <c r="F3087" s="231"/>
    </row>
    <row r="3088" spans="1:6" s="215" customFormat="1" ht="12.75" hidden="1" customHeight="1" outlineLevel="1" x14ac:dyDescent="0.2">
      <c r="A3088" s="215" t="s">
        <v>1279</v>
      </c>
      <c r="B3088" s="216" t="s">
        <v>5666</v>
      </c>
      <c r="C3088" s="217" t="s">
        <v>2972</v>
      </c>
      <c r="D3088" s="218"/>
      <c r="E3088" s="219"/>
      <c r="F3088" s="219"/>
    </row>
    <row r="3089" spans="1:6" s="215" customFormat="1" ht="12.75" hidden="1" customHeight="1" outlineLevel="1" x14ac:dyDescent="0.2">
      <c r="A3089" s="215" t="s">
        <v>1279</v>
      </c>
      <c r="B3089" s="224" t="s">
        <v>5667</v>
      </c>
      <c r="C3089" s="225" t="s">
        <v>5545</v>
      </c>
      <c r="D3089" s="226" t="s">
        <v>11</v>
      </c>
      <c r="E3089" s="227">
        <v>51.2</v>
      </c>
      <c r="F3089" s="227"/>
    </row>
    <row r="3090" spans="1:6" s="215" customFormat="1" ht="12.75" hidden="1" customHeight="1" outlineLevel="1" x14ac:dyDescent="0.2">
      <c r="A3090" s="215" t="s">
        <v>1279</v>
      </c>
      <c r="B3090" s="228" t="s">
        <v>5668</v>
      </c>
      <c r="C3090" s="229" t="s">
        <v>5547</v>
      </c>
      <c r="D3090" s="230" t="s">
        <v>11</v>
      </c>
      <c r="E3090" s="231">
        <v>42.03</v>
      </c>
      <c r="F3090" s="231"/>
    </row>
    <row r="3091" spans="1:6" s="215" customFormat="1" ht="12.75" hidden="1" customHeight="1" outlineLevel="1" x14ac:dyDescent="0.2">
      <c r="A3091" s="215" t="s">
        <v>1279</v>
      </c>
      <c r="B3091" s="224" t="s">
        <v>5669</v>
      </c>
      <c r="C3091" s="225" t="s">
        <v>5549</v>
      </c>
      <c r="D3091" s="226" t="s">
        <v>11</v>
      </c>
      <c r="E3091" s="227">
        <v>17.21</v>
      </c>
      <c r="F3091" s="227"/>
    </row>
    <row r="3092" spans="1:6" s="215" customFormat="1" ht="25.5" hidden="1" customHeight="1" outlineLevel="1" x14ac:dyDescent="0.2">
      <c r="A3092" s="215" t="s">
        <v>1279</v>
      </c>
      <c r="B3092" s="228" t="s">
        <v>5670</v>
      </c>
      <c r="C3092" s="229" t="s">
        <v>5551</v>
      </c>
      <c r="D3092" s="230" t="s">
        <v>11</v>
      </c>
      <c r="E3092" s="231">
        <v>16.510000000000002</v>
      </c>
      <c r="F3092" s="231"/>
    </row>
    <row r="3093" spans="1:6" s="215" customFormat="1" ht="12.75" hidden="1" customHeight="1" outlineLevel="1" x14ac:dyDescent="0.2">
      <c r="A3093" s="215" t="s">
        <v>1279</v>
      </c>
      <c r="B3093" s="224" t="s">
        <v>5671</v>
      </c>
      <c r="C3093" s="225" t="s">
        <v>5553</v>
      </c>
      <c r="D3093" s="226" t="s">
        <v>11</v>
      </c>
      <c r="E3093" s="227">
        <v>51.63</v>
      </c>
      <c r="F3093" s="227"/>
    </row>
    <row r="3094" spans="1:6" s="215" customFormat="1" ht="25.5" hidden="1" customHeight="1" outlineLevel="1" x14ac:dyDescent="0.2">
      <c r="A3094" s="215" t="s">
        <v>1279</v>
      </c>
      <c r="B3094" s="228" t="s">
        <v>5672</v>
      </c>
      <c r="C3094" s="229" t="s">
        <v>5555</v>
      </c>
      <c r="D3094" s="230" t="s">
        <v>11</v>
      </c>
      <c r="E3094" s="231">
        <v>14.38</v>
      </c>
      <c r="F3094" s="231"/>
    </row>
    <row r="3095" spans="1:6" s="215" customFormat="1" ht="12.75" hidden="1" customHeight="1" outlineLevel="1" x14ac:dyDescent="0.2">
      <c r="A3095" s="215" t="s">
        <v>1279</v>
      </c>
      <c r="B3095" s="224" t="s">
        <v>5673</v>
      </c>
      <c r="C3095" s="225" t="s">
        <v>5557</v>
      </c>
      <c r="D3095" s="226" t="s">
        <v>11</v>
      </c>
      <c r="E3095" s="227">
        <v>108.1</v>
      </c>
      <c r="F3095" s="227"/>
    </row>
    <row r="3096" spans="1:6" s="215" customFormat="1" ht="25.5" hidden="1" customHeight="1" outlineLevel="1" x14ac:dyDescent="0.2">
      <c r="A3096" s="215" t="s">
        <v>1279</v>
      </c>
      <c r="B3096" s="228" t="s">
        <v>5674</v>
      </c>
      <c r="C3096" s="229" t="s">
        <v>5559</v>
      </c>
      <c r="D3096" s="230" t="s">
        <v>11</v>
      </c>
      <c r="E3096" s="231">
        <v>46.32</v>
      </c>
      <c r="F3096" s="231"/>
    </row>
    <row r="3097" spans="1:6" s="215" customFormat="1" ht="12.75" hidden="1" customHeight="1" outlineLevel="1" x14ac:dyDescent="0.2">
      <c r="A3097" s="215" t="s">
        <v>1279</v>
      </c>
      <c r="B3097" s="216" t="s">
        <v>5675</v>
      </c>
      <c r="C3097" s="217" t="s">
        <v>2973</v>
      </c>
      <c r="D3097" s="218"/>
      <c r="E3097" s="219"/>
      <c r="F3097" s="219"/>
    </row>
    <row r="3098" spans="1:6" s="215" customFormat="1" ht="12.75" hidden="1" customHeight="1" outlineLevel="1" x14ac:dyDescent="0.2">
      <c r="A3098" s="215" t="s">
        <v>1279</v>
      </c>
      <c r="B3098" s="224" t="s">
        <v>5676</v>
      </c>
      <c r="C3098" s="225" t="s">
        <v>5545</v>
      </c>
      <c r="D3098" s="226" t="s">
        <v>11</v>
      </c>
      <c r="E3098" s="227">
        <v>59.29</v>
      </c>
      <c r="F3098" s="227"/>
    </row>
    <row r="3099" spans="1:6" s="215" customFormat="1" ht="12.75" hidden="1" customHeight="1" outlineLevel="1" x14ac:dyDescent="0.2">
      <c r="A3099" s="215" t="s">
        <v>1279</v>
      </c>
      <c r="B3099" s="228" t="s">
        <v>5677</v>
      </c>
      <c r="C3099" s="229" t="s">
        <v>5547</v>
      </c>
      <c r="D3099" s="230" t="s">
        <v>11</v>
      </c>
      <c r="E3099" s="231">
        <v>39.31</v>
      </c>
      <c r="F3099" s="231"/>
    </row>
    <row r="3100" spans="1:6" s="215" customFormat="1" ht="12.75" hidden="1" customHeight="1" outlineLevel="1" x14ac:dyDescent="0.2">
      <c r="A3100" s="215" t="s">
        <v>1279</v>
      </c>
      <c r="B3100" s="224" t="s">
        <v>5678</v>
      </c>
      <c r="C3100" s="225" t="s">
        <v>5549</v>
      </c>
      <c r="D3100" s="226" t="s">
        <v>11</v>
      </c>
      <c r="E3100" s="227">
        <v>6.93</v>
      </c>
      <c r="F3100" s="227"/>
    </row>
    <row r="3101" spans="1:6" s="215" customFormat="1" ht="25.5" hidden="1" customHeight="1" outlineLevel="1" x14ac:dyDescent="0.2">
      <c r="A3101" s="215" t="s">
        <v>1279</v>
      </c>
      <c r="B3101" s="228" t="s">
        <v>5679</v>
      </c>
      <c r="C3101" s="229" t="s">
        <v>5551</v>
      </c>
      <c r="D3101" s="230" t="s">
        <v>11</v>
      </c>
      <c r="E3101" s="231">
        <v>8.09</v>
      </c>
      <c r="F3101" s="231"/>
    </row>
    <row r="3102" spans="1:6" s="215" customFormat="1" ht="12.75" hidden="1" customHeight="1" outlineLevel="1" x14ac:dyDescent="0.2">
      <c r="A3102" s="215" t="s">
        <v>1279</v>
      </c>
      <c r="B3102" s="224" t="s">
        <v>5680</v>
      </c>
      <c r="C3102" s="225" t="s">
        <v>5553</v>
      </c>
      <c r="D3102" s="226" t="s">
        <v>11</v>
      </c>
      <c r="E3102" s="227">
        <v>15.98</v>
      </c>
      <c r="F3102" s="227"/>
    </row>
    <row r="3103" spans="1:6" s="215" customFormat="1" ht="25.5" hidden="1" customHeight="1" outlineLevel="1" x14ac:dyDescent="0.2">
      <c r="A3103" s="215" t="s">
        <v>1279</v>
      </c>
      <c r="B3103" s="228" t="s">
        <v>5681</v>
      </c>
      <c r="C3103" s="229" t="s">
        <v>5555</v>
      </c>
      <c r="D3103" s="230" t="s">
        <v>11</v>
      </c>
      <c r="E3103" s="231">
        <v>7.3</v>
      </c>
      <c r="F3103" s="231"/>
    </row>
    <row r="3104" spans="1:6" s="215" customFormat="1" ht="12.75" hidden="1" customHeight="1" outlineLevel="1" x14ac:dyDescent="0.2">
      <c r="A3104" s="215" t="s">
        <v>1279</v>
      </c>
      <c r="B3104" s="224" t="s">
        <v>5682</v>
      </c>
      <c r="C3104" s="225" t="s">
        <v>5557</v>
      </c>
      <c r="D3104" s="226" t="s">
        <v>11</v>
      </c>
      <c r="E3104" s="227">
        <v>94.61</v>
      </c>
      <c r="F3104" s="227"/>
    </row>
    <row r="3105" spans="1:6" s="215" customFormat="1" ht="25.5" hidden="1" customHeight="1" outlineLevel="1" x14ac:dyDescent="0.2">
      <c r="A3105" s="215" t="s">
        <v>1279</v>
      </c>
      <c r="B3105" s="228" t="s">
        <v>5683</v>
      </c>
      <c r="C3105" s="229" t="s">
        <v>5559</v>
      </c>
      <c r="D3105" s="230" t="s">
        <v>11</v>
      </c>
      <c r="E3105" s="231">
        <v>46.45</v>
      </c>
      <c r="F3105" s="231"/>
    </row>
    <row r="3106" spans="1:6" s="215" customFormat="1" ht="12.75" hidden="1" customHeight="1" outlineLevel="1" x14ac:dyDescent="0.2">
      <c r="A3106" s="215" t="s">
        <v>1279</v>
      </c>
      <c r="B3106" s="216" t="s">
        <v>5684</v>
      </c>
      <c r="C3106" s="217" t="s">
        <v>2974</v>
      </c>
      <c r="D3106" s="218"/>
      <c r="E3106" s="219"/>
      <c r="F3106" s="219"/>
    </row>
    <row r="3107" spans="1:6" s="215" customFormat="1" ht="12.75" hidden="1" customHeight="1" outlineLevel="1" x14ac:dyDescent="0.2">
      <c r="A3107" s="215" t="s">
        <v>1279</v>
      </c>
      <c r="B3107" s="224" t="s">
        <v>5685</v>
      </c>
      <c r="C3107" s="225" t="s">
        <v>5545</v>
      </c>
      <c r="D3107" s="226" t="s">
        <v>11</v>
      </c>
      <c r="E3107" s="227">
        <v>50.1</v>
      </c>
      <c r="F3107" s="227"/>
    </row>
    <row r="3108" spans="1:6" s="215" customFormat="1" ht="12.75" hidden="1" customHeight="1" outlineLevel="1" x14ac:dyDescent="0.2">
      <c r="A3108" s="215" t="s">
        <v>1279</v>
      </c>
      <c r="B3108" s="228" t="s">
        <v>5686</v>
      </c>
      <c r="C3108" s="229" t="s">
        <v>5547</v>
      </c>
      <c r="D3108" s="230" t="s">
        <v>11</v>
      </c>
      <c r="E3108" s="231">
        <v>43.71</v>
      </c>
      <c r="F3108" s="231"/>
    </row>
    <row r="3109" spans="1:6" s="215" customFormat="1" ht="12.75" hidden="1" customHeight="1" outlineLevel="1" x14ac:dyDescent="0.2">
      <c r="A3109" s="215" t="s">
        <v>1279</v>
      </c>
      <c r="B3109" s="224" t="s">
        <v>5687</v>
      </c>
      <c r="C3109" s="225" t="s">
        <v>5549</v>
      </c>
      <c r="D3109" s="226" t="s">
        <v>11</v>
      </c>
      <c r="E3109" s="227">
        <v>4.16</v>
      </c>
      <c r="F3109" s="227"/>
    </row>
    <row r="3110" spans="1:6" s="215" customFormat="1" ht="25.5" hidden="1" customHeight="1" outlineLevel="1" x14ac:dyDescent="0.2">
      <c r="A3110" s="215" t="s">
        <v>1279</v>
      </c>
      <c r="B3110" s="228" t="s">
        <v>5688</v>
      </c>
      <c r="C3110" s="229" t="s">
        <v>5551</v>
      </c>
      <c r="D3110" s="230" t="s">
        <v>11</v>
      </c>
      <c r="E3110" s="231">
        <v>16.41</v>
      </c>
      <c r="F3110" s="231"/>
    </row>
    <row r="3111" spans="1:6" s="215" customFormat="1" ht="12.75" hidden="1" customHeight="1" outlineLevel="1" x14ac:dyDescent="0.2">
      <c r="A3111" s="215" t="s">
        <v>1279</v>
      </c>
      <c r="B3111" s="224" t="s">
        <v>5689</v>
      </c>
      <c r="C3111" s="225" t="s">
        <v>5553</v>
      </c>
      <c r="D3111" s="226" t="s">
        <v>11</v>
      </c>
      <c r="E3111" s="227">
        <v>8.5299999999999994</v>
      </c>
      <c r="F3111" s="227"/>
    </row>
    <row r="3112" spans="1:6" s="215" customFormat="1" ht="25.5" hidden="1" customHeight="1" outlineLevel="1" x14ac:dyDescent="0.2">
      <c r="A3112" s="215" t="s">
        <v>1279</v>
      </c>
      <c r="B3112" s="228" t="s">
        <v>5690</v>
      </c>
      <c r="C3112" s="229" t="s">
        <v>5555</v>
      </c>
      <c r="D3112" s="230" t="s">
        <v>11</v>
      </c>
      <c r="E3112" s="231">
        <v>9.17</v>
      </c>
      <c r="F3112" s="231"/>
    </row>
    <row r="3113" spans="1:6" s="215" customFormat="1" ht="12.75" hidden="1" customHeight="1" outlineLevel="1" x14ac:dyDescent="0.2">
      <c r="A3113" s="215" t="s">
        <v>1279</v>
      </c>
      <c r="B3113" s="224" t="s">
        <v>5691</v>
      </c>
      <c r="C3113" s="225" t="s">
        <v>5557</v>
      </c>
      <c r="D3113" s="226" t="s">
        <v>11</v>
      </c>
      <c r="E3113" s="227">
        <v>45.42</v>
      </c>
      <c r="F3113" s="227"/>
    </row>
    <row r="3114" spans="1:6" s="215" customFormat="1" ht="25.5" hidden="1" customHeight="1" outlineLevel="1" x14ac:dyDescent="0.2">
      <c r="A3114" s="215" t="s">
        <v>1279</v>
      </c>
      <c r="B3114" s="228" t="s">
        <v>5692</v>
      </c>
      <c r="C3114" s="229" t="s">
        <v>5559</v>
      </c>
      <c r="D3114" s="230" t="s">
        <v>11</v>
      </c>
      <c r="E3114" s="231">
        <v>46.76</v>
      </c>
      <c r="F3114" s="231"/>
    </row>
    <row r="3115" spans="1:6" s="215" customFormat="1" ht="12.75" hidden="1" customHeight="1" outlineLevel="1" x14ac:dyDescent="0.2">
      <c r="A3115" s="215" t="s">
        <v>1279</v>
      </c>
      <c r="B3115" s="216" t="s">
        <v>5693</v>
      </c>
      <c r="C3115" s="217" t="s">
        <v>2975</v>
      </c>
      <c r="D3115" s="218"/>
      <c r="E3115" s="219"/>
      <c r="F3115" s="219"/>
    </row>
    <row r="3116" spans="1:6" s="215" customFormat="1" ht="12.75" hidden="1" customHeight="1" outlineLevel="1" x14ac:dyDescent="0.2">
      <c r="A3116" s="215" t="s">
        <v>1279</v>
      </c>
      <c r="B3116" s="224" t="s">
        <v>5694</v>
      </c>
      <c r="C3116" s="225" t="s">
        <v>5545</v>
      </c>
      <c r="D3116" s="226" t="s">
        <v>11</v>
      </c>
      <c r="E3116" s="227">
        <v>50.53</v>
      </c>
      <c r="F3116" s="227"/>
    </row>
    <row r="3117" spans="1:6" s="215" customFormat="1" ht="12.75" hidden="1" customHeight="1" outlineLevel="1" x14ac:dyDescent="0.2">
      <c r="A3117" s="215" t="s">
        <v>1279</v>
      </c>
      <c r="B3117" s="228" t="s">
        <v>5695</v>
      </c>
      <c r="C3117" s="229" t="s">
        <v>5547</v>
      </c>
      <c r="D3117" s="230" t="s">
        <v>11</v>
      </c>
      <c r="E3117" s="231">
        <v>39.76</v>
      </c>
      <c r="F3117" s="231"/>
    </row>
    <row r="3118" spans="1:6" s="215" customFormat="1" ht="12.75" hidden="1" customHeight="1" outlineLevel="1" x14ac:dyDescent="0.2">
      <c r="A3118" s="215" t="s">
        <v>1279</v>
      </c>
      <c r="B3118" s="224" t="s">
        <v>5696</v>
      </c>
      <c r="C3118" s="225" t="s">
        <v>5549</v>
      </c>
      <c r="D3118" s="226" t="s">
        <v>11</v>
      </c>
      <c r="E3118" s="227">
        <v>3.92</v>
      </c>
      <c r="F3118" s="227"/>
    </row>
    <row r="3119" spans="1:6" s="215" customFormat="1" ht="25.5" hidden="1" customHeight="1" outlineLevel="1" x14ac:dyDescent="0.2">
      <c r="A3119" s="215" t="s">
        <v>1279</v>
      </c>
      <c r="B3119" s="228" t="s">
        <v>5697</v>
      </c>
      <c r="C3119" s="229" t="s">
        <v>5551</v>
      </c>
      <c r="D3119" s="230" t="s">
        <v>11</v>
      </c>
      <c r="E3119" s="231">
        <v>8.1300000000000008</v>
      </c>
      <c r="F3119" s="231"/>
    </row>
    <row r="3120" spans="1:6" s="215" customFormat="1" ht="12.75" hidden="1" customHeight="1" outlineLevel="1" x14ac:dyDescent="0.2">
      <c r="A3120" s="215" t="s">
        <v>1279</v>
      </c>
      <c r="B3120" s="224" t="s">
        <v>5698</v>
      </c>
      <c r="C3120" s="225" t="s">
        <v>5553</v>
      </c>
      <c r="D3120" s="226" t="s">
        <v>11</v>
      </c>
      <c r="E3120" s="227">
        <v>6.42</v>
      </c>
      <c r="F3120" s="227"/>
    </row>
    <row r="3121" spans="1:6" s="215" customFormat="1" ht="25.5" hidden="1" customHeight="1" outlineLevel="1" x14ac:dyDescent="0.2">
      <c r="A3121" s="215" t="s">
        <v>1279</v>
      </c>
      <c r="B3121" s="228" t="s">
        <v>5699</v>
      </c>
      <c r="C3121" s="229" t="s">
        <v>5555</v>
      </c>
      <c r="D3121" s="230" t="s">
        <v>11</v>
      </c>
      <c r="E3121" s="231">
        <v>6.88</v>
      </c>
      <c r="F3121" s="231"/>
    </row>
    <row r="3122" spans="1:6" s="215" customFormat="1" ht="12.75" hidden="1" customHeight="1" outlineLevel="1" x14ac:dyDescent="0.2">
      <c r="A3122" s="215" t="s">
        <v>1279</v>
      </c>
      <c r="B3122" s="224" t="s">
        <v>5700</v>
      </c>
      <c r="C3122" s="225" t="s">
        <v>5557</v>
      </c>
      <c r="D3122" s="226" t="s">
        <v>11</v>
      </c>
      <c r="E3122" s="227">
        <v>44.51</v>
      </c>
      <c r="F3122" s="227"/>
    </row>
    <row r="3123" spans="1:6" s="215" customFormat="1" ht="25.5" hidden="1" customHeight="1" outlineLevel="1" x14ac:dyDescent="0.2">
      <c r="A3123" s="215" t="s">
        <v>1279</v>
      </c>
      <c r="B3123" s="228" t="s">
        <v>5701</v>
      </c>
      <c r="C3123" s="229" t="s">
        <v>5559</v>
      </c>
      <c r="D3123" s="230" t="s">
        <v>11</v>
      </c>
      <c r="E3123" s="231">
        <v>46.5</v>
      </c>
      <c r="F3123" s="231"/>
    </row>
    <row r="3124" spans="1:6" s="215" customFormat="1" ht="12.75" hidden="1" customHeight="1" outlineLevel="1" x14ac:dyDescent="0.2">
      <c r="A3124" s="215" t="s">
        <v>1279</v>
      </c>
      <c r="B3124" s="216" t="s">
        <v>5702</v>
      </c>
      <c r="C3124" s="217" t="s">
        <v>2976</v>
      </c>
      <c r="D3124" s="218"/>
      <c r="E3124" s="219"/>
      <c r="F3124" s="219"/>
    </row>
    <row r="3125" spans="1:6" s="215" customFormat="1" ht="12.75" hidden="1" customHeight="1" outlineLevel="1" x14ac:dyDescent="0.2">
      <c r="A3125" s="215" t="s">
        <v>1279</v>
      </c>
      <c r="B3125" s="224" t="s">
        <v>5703</v>
      </c>
      <c r="C3125" s="225" t="s">
        <v>5545</v>
      </c>
      <c r="D3125" s="226" t="s">
        <v>11</v>
      </c>
      <c r="E3125" s="227">
        <v>56.44</v>
      </c>
      <c r="F3125" s="227"/>
    </row>
    <row r="3126" spans="1:6" s="215" customFormat="1" ht="12.75" hidden="1" customHeight="1" outlineLevel="1" x14ac:dyDescent="0.2">
      <c r="A3126" s="215" t="s">
        <v>1279</v>
      </c>
      <c r="B3126" s="228" t="s">
        <v>5704</v>
      </c>
      <c r="C3126" s="229" t="s">
        <v>5547</v>
      </c>
      <c r="D3126" s="230" t="s">
        <v>11</v>
      </c>
      <c r="E3126" s="231">
        <v>58.87</v>
      </c>
      <c r="F3126" s="231"/>
    </row>
    <row r="3127" spans="1:6" s="215" customFormat="1" ht="12.75" hidden="1" customHeight="1" outlineLevel="1" x14ac:dyDescent="0.2">
      <c r="A3127" s="215" t="s">
        <v>1279</v>
      </c>
      <c r="B3127" s="224" t="s">
        <v>5705</v>
      </c>
      <c r="C3127" s="225" t="s">
        <v>5549</v>
      </c>
      <c r="D3127" s="226" t="s">
        <v>11</v>
      </c>
      <c r="E3127" s="227">
        <v>5.27</v>
      </c>
      <c r="F3127" s="227"/>
    </row>
    <row r="3128" spans="1:6" s="215" customFormat="1" ht="25.5" hidden="1" customHeight="1" outlineLevel="1" x14ac:dyDescent="0.2">
      <c r="A3128" s="215" t="s">
        <v>1279</v>
      </c>
      <c r="B3128" s="228" t="s">
        <v>5706</v>
      </c>
      <c r="C3128" s="229" t="s">
        <v>5551</v>
      </c>
      <c r="D3128" s="230" t="s">
        <v>11</v>
      </c>
      <c r="E3128" s="231">
        <v>18.02</v>
      </c>
      <c r="F3128" s="231"/>
    </row>
    <row r="3129" spans="1:6" s="215" customFormat="1" ht="12.75" hidden="1" customHeight="1" outlineLevel="1" x14ac:dyDescent="0.2">
      <c r="A3129" s="215" t="s">
        <v>1279</v>
      </c>
      <c r="B3129" s="224" t="s">
        <v>5707</v>
      </c>
      <c r="C3129" s="225" t="s">
        <v>5553</v>
      </c>
      <c r="D3129" s="226" t="s">
        <v>11</v>
      </c>
      <c r="E3129" s="227">
        <v>9</v>
      </c>
      <c r="F3129" s="227"/>
    </row>
    <row r="3130" spans="1:6" s="215" customFormat="1" ht="25.5" hidden="1" customHeight="1" outlineLevel="1" x14ac:dyDescent="0.2">
      <c r="A3130" s="215" t="s">
        <v>1279</v>
      </c>
      <c r="B3130" s="228" t="s">
        <v>5708</v>
      </c>
      <c r="C3130" s="229" t="s">
        <v>5555</v>
      </c>
      <c r="D3130" s="230" t="s">
        <v>11</v>
      </c>
      <c r="E3130" s="231">
        <v>11.12</v>
      </c>
      <c r="F3130" s="231"/>
    </row>
    <row r="3131" spans="1:6" s="215" customFormat="1" ht="12.75" hidden="1" customHeight="1" outlineLevel="1" x14ac:dyDescent="0.2">
      <c r="A3131" s="215" t="s">
        <v>1279</v>
      </c>
      <c r="B3131" s="224" t="s">
        <v>5709</v>
      </c>
      <c r="C3131" s="225" t="s">
        <v>5557</v>
      </c>
      <c r="D3131" s="226" t="s">
        <v>11</v>
      </c>
      <c r="E3131" s="227">
        <v>48.64</v>
      </c>
      <c r="F3131" s="227"/>
    </row>
    <row r="3132" spans="1:6" s="215" customFormat="1" ht="25.5" hidden="1" customHeight="1" outlineLevel="1" x14ac:dyDescent="0.2">
      <c r="A3132" s="215" t="s">
        <v>1279</v>
      </c>
      <c r="B3132" s="228" t="s">
        <v>5710</v>
      </c>
      <c r="C3132" s="229" t="s">
        <v>5559</v>
      </c>
      <c r="D3132" s="230" t="s">
        <v>11</v>
      </c>
      <c r="E3132" s="231">
        <v>56.67</v>
      </c>
      <c r="F3132" s="231"/>
    </row>
    <row r="3133" spans="1:6" s="215" customFormat="1" ht="12.75" hidden="1" customHeight="1" outlineLevel="1" x14ac:dyDescent="0.2">
      <c r="A3133" s="215" t="s">
        <v>1279</v>
      </c>
      <c r="B3133" s="216" t="s">
        <v>5711</v>
      </c>
      <c r="C3133" s="217" t="s">
        <v>2978</v>
      </c>
      <c r="D3133" s="218"/>
      <c r="E3133" s="219"/>
      <c r="F3133" s="219"/>
    </row>
    <row r="3134" spans="1:6" s="215" customFormat="1" ht="12.75" hidden="1" customHeight="1" outlineLevel="1" x14ac:dyDescent="0.2">
      <c r="A3134" s="215" t="s">
        <v>1279</v>
      </c>
      <c r="B3134" s="224" t="s">
        <v>5712</v>
      </c>
      <c r="C3134" s="225" t="s">
        <v>5545</v>
      </c>
      <c r="D3134" s="226" t="s">
        <v>11</v>
      </c>
      <c r="E3134" s="227">
        <v>70.400000000000006</v>
      </c>
      <c r="F3134" s="227"/>
    </row>
    <row r="3135" spans="1:6" s="215" customFormat="1" ht="12.75" hidden="1" customHeight="1" outlineLevel="1" x14ac:dyDescent="0.2">
      <c r="A3135" s="215" t="s">
        <v>1279</v>
      </c>
      <c r="B3135" s="228" t="s">
        <v>5713</v>
      </c>
      <c r="C3135" s="229" t="s">
        <v>5547</v>
      </c>
      <c r="D3135" s="230" t="s">
        <v>11</v>
      </c>
      <c r="E3135" s="231">
        <v>50.89</v>
      </c>
      <c r="F3135" s="231"/>
    </row>
    <row r="3136" spans="1:6" s="215" customFormat="1" ht="12.75" hidden="1" customHeight="1" outlineLevel="1" x14ac:dyDescent="0.2">
      <c r="A3136" s="215" t="s">
        <v>1279</v>
      </c>
      <c r="B3136" s="224" t="s">
        <v>5714</v>
      </c>
      <c r="C3136" s="225" t="s">
        <v>5549</v>
      </c>
      <c r="D3136" s="226" t="s">
        <v>11</v>
      </c>
      <c r="E3136" s="227">
        <v>79.040000000000006</v>
      </c>
      <c r="F3136" s="227"/>
    </row>
    <row r="3137" spans="1:6" s="215" customFormat="1" ht="25.5" hidden="1" customHeight="1" outlineLevel="1" x14ac:dyDescent="0.2">
      <c r="A3137" s="215" t="s">
        <v>1279</v>
      </c>
      <c r="B3137" s="228" t="s">
        <v>5715</v>
      </c>
      <c r="C3137" s="229" t="s">
        <v>5551</v>
      </c>
      <c r="D3137" s="230" t="s">
        <v>11</v>
      </c>
      <c r="E3137" s="231">
        <v>25.75</v>
      </c>
      <c r="F3137" s="231"/>
    </row>
    <row r="3138" spans="1:6" s="215" customFormat="1" ht="12.75" hidden="1" customHeight="1" outlineLevel="1" x14ac:dyDescent="0.2">
      <c r="A3138" s="215" t="s">
        <v>1279</v>
      </c>
      <c r="B3138" s="224" t="s">
        <v>5716</v>
      </c>
      <c r="C3138" s="225" t="s">
        <v>5553</v>
      </c>
      <c r="D3138" s="226" t="s">
        <v>11</v>
      </c>
      <c r="E3138" s="227">
        <v>12.41</v>
      </c>
      <c r="F3138" s="227"/>
    </row>
    <row r="3139" spans="1:6" s="215" customFormat="1" ht="25.5" hidden="1" customHeight="1" outlineLevel="1" x14ac:dyDescent="0.2">
      <c r="A3139" s="215" t="s">
        <v>1279</v>
      </c>
      <c r="B3139" s="228" t="s">
        <v>5717</v>
      </c>
      <c r="C3139" s="229" t="s">
        <v>5555</v>
      </c>
      <c r="D3139" s="230" t="s">
        <v>11</v>
      </c>
      <c r="E3139" s="231">
        <v>4.55</v>
      </c>
      <c r="F3139" s="231"/>
    </row>
    <row r="3140" spans="1:6" s="215" customFormat="1" ht="12.75" hidden="1" customHeight="1" outlineLevel="1" x14ac:dyDescent="0.2">
      <c r="A3140" s="215" t="s">
        <v>1279</v>
      </c>
      <c r="B3140" s="224" t="s">
        <v>5718</v>
      </c>
      <c r="C3140" s="225" t="s">
        <v>5557</v>
      </c>
      <c r="D3140" s="226" t="s">
        <v>11</v>
      </c>
      <c r="E3140" s="227">
        <v>71</v>
      </c>
      <c r="F3140" s="227"/>
    </row>
    <row r="3141" spans="1:6" s="215" customFormat="1" ht="25.5" hidden="1" customHeight="1" outlineLevel="1" x14ac:dyDescent="0.2">
      <c r="A3141" s="215" t="s">
        <v>1279</v>
      </c>
      <c r="B3141" s="228" t="s">
        <v>5719</v>
      </c>
      <c r="C3141" s="229" t="s">
        <v>5559</v>
      </c>
      <c r="D3141" s="230" t="s">
        <v>11</v>
      </c>
      <c r="E3141" s="231">
        <v>46.2</v>
      </c>
      <c r="F3141" s="231"/>
    </row>
    <row r="3142" spans="1:6" s="215" customFormat="1" ht="12.75" hidden="1" customHeight="1" outlineLevel="1" x14ac:dyDescent="0.2">
      <c r="A3142" s="215" t="s">
        <v>1279</v>
      </c>
      <c r="B3142" s="216" t="s">
        <v>5720</v>
      </c>
      <c r="C3142" s="217" t="s">
        <v>2980</v>
      </c>
      <c r="D3142" s="218"/>
      <c r="E3142" s="219"/>
      <c r="F3142" s="219"/>
    </row>
    <row r="3143" spans="1:6" s="215" customFormat="1" ht="12.75" hidden="1" customHeight="1" outlineLevel="1" x14ac:dyDescent="0.2">
      <c r="A3143" s="215" t="s">
        <v>1279</v>
      </c>
      <c r="B3143" s="224" t="s">
        <v>5721</v>
      </c>
      <c r="C3143" s="225" t="s">
        <v>5545</v>
      </c>
      <c r="D3143" s="226" t="s">
        <v>11</v>
      </c>
      <c r="E3143" s="227">
        <v>30.8</v>
      </c>
      <c r="F3143" s="227"/>
    </row>
    <row r="3144" spans="1:6" s="215" customFormat="1" ht="12.75" hidden="1" customHeight="1" outlineLevel="1" x14ac:dyDescent="0.2">
      <c r="A3144" s="215" t="s">
        <v>1279</v>
      </c>
      <c r="B3144" s="228" t="s">
        <v>5722</v>
      </c>
      <c r="C3144" s="229" t="s">
        <v>5547</v>
      </c>
      <c r="D3144" s="230" t="s">
        <v>11</v>
      </c>
      <c r="E3144" s="231">
        <v>22.25</v>
      </c>
      <c r="F3144" s="231"/>
    </row>
    <row r="3145" spans="1:6" s="215" customFormat="1" ht="12.75" hidden="1" customHeight="1" outlineLevel="1" x14ac:dyDescent="0.2">
      <c r="A3145" s="215" t="s">
        <v>1279</v>
      </c>
      <c r="B3145" s="224" t="s">
        <v>5723</v>
      </c>
      <c r="C3145" s="225" t="s">
        <v>5549</v>
      </c>
      <c r="D3145" s="226" t="s">
        <v>11</v>
      </c>
      <c r="E3145" s="227">
        <v>12.16</v>
      </c>
      <c r="F3145" s="227"/>
    </row>
    <row r="3146" spans="1:6" s="215" customFormat="1" ht="25.5" hidden="1" customHeight="1" outlineLevel="1" x14ac:dyDescent="0.2">
      <c r="A3146" s="215" t="s">
        <v>1279</v>
      </c>
      <c r="B3146" s="228" t="s">
        <v>5724</v>
      </c>
      <c r="C3146" s="229" t="s">
        <v>5551</v>
      </c>
      <c r="D3146" s="230" t="s">
        <v>11</v>
      </c>
      <c r="E3146" s="231">
        <v>5.41</v>
      </c>
      <c r="F3146" s="231"/>
    </row>
    <row r="3147" spans="1:6" s="215" customFormat="1" ht="12.75" hidden="1" customHeight="1" outlineLevel="1" x14ac:dyDescent="0.2">
      <c r="A3147" s="215" t="s">
        <v>1279</v>
      </c>
      <c r="B3147" s="224" t="s">
        <v>5725</v>
      </c>
      <c r="C3147" s="225" t="s">
        <v>5553</v>
      </c>
      <c r="D3147" s="226" t="s">
        <v>11</v>
      </c>
      <c r="E3147" s="227">
        <v>12.16</v>
      </c>
      <c r="F3147" s="227"/>
    </row>
    <row r="3148" spans="1:6" s="215" customFormat="1" ht="25.5" hidden="1" customHeight="1" outlineLevel="1" x14ac:dyDescent="0.2">
      <c r="A3148" s="215" t="s">
        <v>1279</v>
      </c>
      <c r="B3148" s="228" t="s">
        <v>5726</v>
      </c>
      <c r="C3148" s="229" t="s">
        <v>5555</v>
      </c>
      <c r="D3148" s="230" t="s">
        <v>11</v>
      </c>
      <c r="E3148" s="231">
        <v>5.49</v>
      </c>
      <c r="F3148" s="231"/>
    </row>
    <row r="3149" spans="1:6" s="215" customFormat="1" ht="12.75" hidden="1" customHeight="1" outlineLevel="1" x14ac:dyDescent="0.2">
      <c r="A3149" s="215" t="s">
        <v>1279</v>
      </c>
      <c r="B3149" s="224" t="s">
        <v>5727</v>
      </c>
      <c r="C3149" s="225" t="s">
        <v>5557</v>
      </c>
      <c r="D3149" s="226" t="s">
        <v>11</v>
      </c>
      <c r="E3149" s="227">
        <v>19.48</v>
      </c>
      <c r="F3149" s="227"/>
    </row>
    <row r="3150" spans="1:6" s="215" customFormat="1" ht="25.5" hidden="1" customHeight="1" outlineLevel="1" x14ac:dyDescent="0.2">
      <c r="A3150" s="215" t="s">
        <v>1279</v>
      </c>
      <c r="B3150" s="228" t="s">
        <v>5728</v>
      </c>
      <c r="C3150" s="229" t="s">
        <v>5559</v>
      </c>
      <c r="D3150" s="230" t="s">
        <v>11</v>
      </c>
      <c r="E3150" s="231">
        <v>23.71</v>
      </c>
      <c r="F3150" s="231"/>
    </row>
    <row r="3151" spans="1:6" s="215" customFormat="1" ht="12.75" hidden="1" customHeight="1" outlineLevel="1" x14ac:dyDescent="0.2">
      <c r="A3151" s="215" t="s">
        <v>1279</v>
      </c>
      <c r="B3151" s="216" t="s">
        <v>5729</v>
      </c>
      <c r="C3151" s="217" t="s">
        <v>2983</v>
      </c>
      <c r="D3151" s="218"/>
      <c r="E3151" s="219"/>
      <c r="F3151" s="219"/>
    </row>
    <row r="3152" spans="1:6" s="215" customFormat="1" ht="12.75" hidden="1" customHeight="1" outlineLevel="1" x14ac:dyDescent="0.2">
      <c r="A3152" s="215" t="s">
        <v>1279</v>
      </c>
      <c r="B3152" s="224" t="s">
        <v>5730</v>
      </c>
      <c r="C3152" s="225" t="s">
        <v>5545</v>
      </c>
      <c r="D3152" s="226" t="s">
        <v>11</v>
      </c>
      <c r="E3152" s="227">
        <v>37.020000000000003</v>
      </c>
      <c r="F3152" s="227"/>
    </row>
    <row r="3153" spans="1:10" s="215" customFormat="1" ht="12.75" hidden="1" customHeight="1" outlineLevel="1" x14ac:dyDescent="0.2">
      <c r="A3153" s="215" t="s">
        <v>1279</v>
      </c>
      <c r="B3153" s="228" t="s">
        <v>5731</v>
      </c>
      <c r="C3153" s="229" t="s">
        <v>5547</v>
      </c>
      <c r="D3153" s="230" t="s">
        <v>11</v>
      </c>
      <c r="E3153" s="231">
        <v>17.55</v>
      </c>
      <c r="F3153" s="231"/>
    </row>
    <row r="3154" spans="1:10" s="215" customFormat="1" ht="12.75" hidden="1" customHeight="1" outlineLevel="1" x14ac:dyDescent="0.2">
      <c r="A3154" s="215" t="s">
        <v>1279</v>
      </c>
      <c r="B3154" s="224" t="s">
        <v>5732</v>
      </c>
      <c r="C3154" s="225" t="s">
        <v>5549</v>
      </c>
      <c r="D3154" s="226" t="s">
        <v>11</v>
      </c>
      <c r="E3154" s="227">
        <v>13.94</v>
      </c>
      <c r="F3154" s="227"/>
    </row>
    <row r="3155" spans="1:10" s="215" customFormat="1" ht="25.5" hidden="1" customHeight="1" outlineLevel="1" x14ac:dyDescent="0.2">
      <c r="A3155" s="215" t="s">
        <v>1279</v>
      </c>
      <c r="B3155" s="228" t="s">
        <v>5733</v>
      </c>
      <c r="C3155" s="229" t="s">
        <v>5551</v>
      </c>
      <c r="D3155" s="230" t="s">
        <v>11</v>
      </c>
      <c r="E3155" s="231">
        <v>3.58</v>
      </c>
      <c r="F3155" s="231"/>
    </row>
    <row r="3156" spans="1:10" s="215" customFormat="1" ht="12.75" hidden="1" customHeight="1" outlineLevel="1" x14ac:dyDescent="0.2">
      <c r="A3156" s="215" t="s">
        <v>1279</v>
      </c>
      <c r="B3156" s="224" t="s">
        <v>5734</v>
      </c>
      <c r="C3156" s="225" t="s">
        <v>5553</v>
      </c>
      <c r="D3156" s="226" t="s">
        <v>11</v>
      </c>
      <c r="E3156" s="227">
        <v>13.38</v>
      </c>
      <c r="F3156" s="227"/>
    </row>
    <row r="3157" spans="1:10" s="215" customFormat="1" ht="25.5" hidden="1" customHeight="1" outlineLevel="1" x14ac:dyDescent="0.2">
      <c r="A3157" s="215" t="s">
        <v>1279</v>
      </c>
      <c r="B3157" s="228" t="s">
        <v>5735</v>
      </c>
      <c r="C3157" s="229" t="s">
        <v>5555</v>
      </c>
      <c r="D3157" s="230" t="s">
        <v>11</v>
      </c>
      <c r="E3157" s="231">
        <v>4.22</v>
      </c>
      <c r="F3157" s="231"/>
    </row>
    <row r="3158" spans="1:10" s="215" customFormat="1" ht="12.75" hidden="1" customHeight="1" outlineLevel="1" x14ac:dyDescent="0.2">
      <c r="A3158" s="215" t="s">
        <v>1279</v>
      </c>
      <c r="B3158" s="224" t="s">
        <v>5736</v>
      </c>
      <c r="C3158" s="225" t="s">
        <v>5557</v>
      </c>
      <c r="D3158" s="226" t="s">
        <v>11</v>
      </c>
      <c r="E3158" s="227">
        <v>32.36</v>
      </c>
      <c r="F3158" s="227"/>
    </row>
    <row r="3159" spans="1:10" s="215" customFormat="1" ht="31.5" hidden="1" customHeight="1" outlineLevel="1" x14ac:dyDescent="0.2">
      <c r="A3159" s="215" t="s">
        <v>1279</v>
      </c>
      <c r="B3159" s="228" t="s">
        <v>5737</v>
      </c>
      <c r="C3159" s="229" t="s">
        <v>5559</v>
      </c>
      <c r="D3159" s="230" t="s">
        <v>11</v>
      </c>
      <c r="E3159" s="231">
        <v>10.85</v>
      </c>
      <c r="F3159" s="231"/>
    </row>
    <row r="3160" spans="1:10" s="215" customFormat="1" collapsed="1" x14ac:dyDescent="0.2">
      <c r="B3160" s="515" t="s">
        <v>1714</v>
      </c>
      <c r="C3160" s="516" t="s">
        <v>5747</v>
      </c>
      <c r="D3160" s="521"/>
      <c r="E3160" s="524">
        <f>SUM(E3162:E3349)</f>
        <v>6697.26</v>
      </c>
      <c r="F3160" s="524"/>
      <c r="G3160" s="516"/>
      <c r="H3160" s="234">
        <f>SUM(H3161:H3177)</f>
        <v>6697.2599999999993</v>
      </c>
      <c r="I3160" s="242" t="str">
        <f>IF(H3160=E3160,"OKAY","REVER")</f>
        <v>OKAY</v>
      </c>
      <c r="J3160" s="405"/>
    </row>
    <row r="3161" spans="1:10" s="215" customFormat="1" ht="12.75" hidden="1" customHeight="1" outlineLevel="1" x14ac:dyDescent="0.2">
      <c r="A3161" s="215" t="s">
        <v>1278</v>
      </c>
      <c r="B3161" s="216" t="s">
        <v>2401</v>
      </c>
      <c r="C3161" s="217" t="s">
        <v>2958</v>
      </c>
      <c r="D3161" s="218"/>
      <c r="E3161" s="219"/>
      <c r="F3161" s="219"/>
      <c r="G3161" s="225" t="s">
        <v>5739</v>
      </c>
      <c r="H3161" s="235">
        <f t="shared" ref="H3161:H3177" si="96">SUMIF($C:$C,G3161,$E:$E)</f>
        <v>1016.0399999999998</v>
      </c>
      <c r="I3161" s="241"/>
    </row>
    <row r="3162" spans="1:10" s="215" customFormat="1" ht="25.5" hidden="1" customHeight="1" outlineLevel="1" x14ac:dyDescent="0.2">
      <c r="A3162" s="215" t="s">
        <v>1278</v>
      </c>
      <c r="B3162" s="224" t="s">
        <v>5748</v>
      </c>
      <c r="C3162" s="225" t="s">
        <v>5739</v>
      </c>
      <c r="D3162" s="226" t="s">
        <v>11</v>
      </c>
      <c r="E3162" s="227">
        <v>86.47</v>
      </c>
      <c r="F3162" s="227"/>
      <c r="G3162" s="229" t="s">
        <v>5740</v>
      </c>
      <c r="H3162" s="235">
        <f t="shared" si="96"/>
        <v>1036.42</v>
      </c>
      <c r="I3162" s="241"/>
    </row>
    <row r="3163" spans="1:10" s="215" customFormat="1" ht="12.75" hidden="1" customHeight="1" outlineLevel="1" x14ac:dyDescent="0.2">
      <c r="A3163" s="215" t="s">
        <v>1278</v>
      </c>
      <c r="B3163" s="228" t="s">
        <v>5749</v>
      </c>
      <c r="C3163" s="229" t="s">
        <v>5740</v>
      </c>
      <c r="D3163" s="230" t="s">
        <v>11</v>
      </c>
      <c r="E3163" s="231">
        <v>22.13</v>
      </c>
      <c r="F3163" s="231"/>
      <c r="G3163" s="225" t="s">
        <v>5741</v>
      </c>
      <c r="H3163" s="235">
        <f t="shared" si="96"/>
        <v>474.15000000000003</v>
      </c>
      <c r="I3163" s="241"/>
    </row>
    <row r="3164" spans="1:10" s="215" customFormat="1" ht="25.5" hidden="1" customHeight="1" outlineLevel="1" x14ac:dyDescent="0.2">
      <c r="A3164" s="215" t="s">
        <v>1278</v>
      </c>
      <c r="B3164" s="224" t="s">
        <v>5750</v>
      </c>
      <c r="C3164" s="225" t="s">
        <v>5741</v>
      </c>
      <c r="D3164" s="226" t="s">
        <v>11</v>
      </c>
      <c r="E3164" s="227">
        <v>58.94</v>
      </c>
      <c r="F3164" s="227"/>
      <c r="G3164" s="229" t="s">
        <v>5742</v>
      </c>
      <c r="H3164" s="235">
        <f t="shared" si="96"/>
        <v>689.8</v>
      </c>
      <c r="I3164" s="241"/>
    </row>
    <row r="3165" spans="1:10" s="215" customFormat="1" ht="25.5" hidden="1" customHeight="1" outlineLevel="1" x14ac:dyDescent="0.2">
      <c r="A3165" s="215" t="s">
        <v>1278</v>
      </c>
      <c r="B3165" s="228" t="s">
        <v>5751</v>
      </c>
      <c r="C3165" s="229" t="s">
        <v>5742</v>
      </c>
      <c r="D3165" s="230" t="s">
        <v>11</v>
      </c>
      <c r="E3165" s="231">
        <v>21.17</v>
      </c>
      <c r="F3165" s="231"/>
      <c r="G3165" s="225" t="s">
        <v>5743</v>
      </c>
      <c r="H3165" s="235">
        <f t="shared" si="96"/>
        <v>435.91</v>
      </c>
      <c r="I3165" s="241"/>
    </row>
    <row r="3166" spans="1:10" s="215" customFormat="1" ht="25.5" hidden="1" customHeight="1" outlineLevel="1" x14ac:dyDescent="0.2">
      <c r="A3166" s="215" t="s">
        <v>1278</v>
      </c>
      <c r="B3166" s="224" t="s">
        <v>5752</v>
      </c>
      <c r="C3166" s="225" t="s">
        <v>5743</v>
      </c>
      <c r="D3166" s="226" t="s">
        <v>11</v>
      </c>
      <c r="E3166" s="227">
        <v>99.08</v>
      </c>
      <c r="F3166" s="227"/>
      <c r="G3166" s="229" t="s">
        <v>5744</v>
      </c>
      <c r="H3166" s="235">
        <f t="shared" si="96"/>
        <v>624.05999999999983</v>
      </c>
      <c r="I3166" s="241"/>
    </row>
    <row r="3167" spans="1:10" s="215" customFormat="1" ht="25.5" hidden="1" customHeight="1" outlineLevel="1" x14ac:dyDescent="0.2">
      <c r="A3167" s="215" t="s">
        <v>1278</v>
      </c>
      <c r="B3167" s="228" t="s">
        <v>5753</v>
      </c>
      <c r="C3167" s="229" t="s">
        <v>5744</v>
      </c>
      <c r="D3167" s="230" t="s">
        <v>11</v>
      </c>
      <c r="E3167" s="231">
        <v>6.66</v>
      </c>
      <c r="F3167" s="231"/>
      <c r="G3167" s="225" t="s">
        <v>5745</v>
      </c>
      <c r="H3167" s="235">
        <f t="shared" si="96"/>
        <v>1574.7300000000002</v>
      </c>
      <c r="I3167" s="198"/>
    </row>
    <row r="3168" spans="1:10" s="215" customFormat="1" ht="25.5" hidden="1" customHeight="1" outlineLevel="1" x14ac:dyDescent="0.2">
      <c r="A3168" s="215" t="s">
        <v>1278</v>
      </c>
      <c r="B3168" s="224" t="s">
        <v>5754</v>
      </c>
      <c r="C3168" s="225" t="s">
        <v>5745</v>
      </c>
      <c r="D3168" s="226" t="s">
        <v>11</v>
      </c>
      <c r="E3168" s="227">
        <v>318.86</v>
      </c>
      <c r="F3168" s="227"/>
      <c r="G3168" s="229" t="s">
        <v>5746</v>
      </c>
      <c r="H3168" s="235">
        <f t="shared" si="96"/>
        <v>846.15</v>
      </c>
      <c r="I3168" s="241"/>
    </row>
    <row r="3169" spans="1:9" s="215" customFormat="1" ht="25.5" hidden="1" customHeight="1" outlineLevel="1" x14ac:dyDescent="0.2">
      <c r="A3169" s="215" t="s">
        <v>1278</v>
      </c>
      <c r="B3169" s="228" t="s">
        <v>5755</v>
      </c>
      <c r="C3169" s="229" t="s">
        <v>5746</v>
      </c>
      <c r="D3169" s="230" t="s">
        <v>11</v>
      </c>
      <c r="E3169" s="231">
        <v>95.44</v>
      </c>
      <c r="F3169" s="231"/>
      <c r="G3169" s="229"/>
      <c r="H3169" s="235">
        <f t="shared" si="96"/>
        <v>0</v>
      </c>
      <c r="I3169" s="241"/>
    </row>
    <row r="3170" spans="1:9" s="215" customFormat="1" ht="12.75" hidden="1" customHeight="1" outlineLevel="1" x14ac:dyDescent="0.2">
      <c r="A3170" s="215" t="s">
        <v>1279</v>
      </c>
      <c r="B3170" s="216" t="s">
        <v>2402</v>
      </c>
      <c r="C3170" s="217" t="s">
        <v>2960</v>
      </c>
      <c r="D3170" s="218"/>
      <c r="E3170" s="219"/>
      <c r="F3170" s="219"/>
      <c r="G3170" s="225"/>
      <c r="H3170" s="235">
        <f t="shared" si="96"/>
        <v>0</v>
      </c>
      <c r="I3170" s="241"/>
    </row>
    <row r="3171" spans="1:9" s="215" customFormat="1" ht="12.75" hidden="1" customHeight="1" outlineLevel="1" x14ac:dyDescent="0.2">
      <c r="A3171" s="215" t="s">
        <v>1279</v>
      </c>
      <c r="B3171" s="224" t="s">
        <v>5756</v>
      </c>
      <c r="C3171" s="225" t="s">
        <v>5739</v>
      </c>
      <c r="D3171" s="226" t="s">
        <v>11</v>
      </c>
      <c r="E3171" s="227">
        <v>38.270000000000003</v>
      </c>
      <c r="F3171" s="227"/>
      <c r="G3171" s="229"/>
      <c r="H3171" s="235">
        <f t="shared" si="96"/>
        <v>0</v>
      </c>
      <c r="I3171" s="241"/>
    </row>
    <row r="3172" spans="1:9" s="215" customFormat="1" ht="12.75" hidden="1" customHeight="1" outlineLevel="1" x14ac:dyDescent="0.2">
      <c r="A3172" s="215" t="s">
        <v>1279</v>
      </c>
      <c r="B3172" s="228" t="s">
        <v>5757</v>
      </c>
      <c r="C3172" s="229" t="s">
        <v>5740</v>
      </c>
      <c r="D3172" s="230" t="s">
        <v>11</v>
      </c>
      <c r="E3172" s="231">
        <v>78.180000000000007</v>
      </c>
      <c r="F3172" s="231"/>
      <c r="G3172" s="225"/>
      <c r="H3172" s="235">
        <f t="shared" si="96"/>
        <v>0</v>
      </c>
      <c r="I3172" s="241"/>
    </row>
    <row r="3173" spans="1:9" s="215" customFormat="1" ht="12.75" hidden="1" customHeight="1" outlineLevel="1" x14ac:dyDescent="0.2">
      <c r="A3173" s="215" t="s">
        <v>1279</v>
      </c>
      <c r="B3173" s="224" t="s">
        <v>5758</v>
      </c>
      <c r="C3173" s="225" t="s">
        <v>5741</v>
      </c>
      <c r="D3173" s="226" t="s">
        <v>11</v>
      </c>
      <c r="E3173" s="227">
        <v>57.48</v>
      </c>
      <c r="F3173" s="227"/>
      <c r="G3173" s="229"/>
      <c r="H3173" s="235">
        <f t="shared" si="96"/>
        <v>0</v>
      </c>
      <c r="I3173" s="241"/>
    </row>
    <row r="3174" spans="1:9" s="215" customFormat="1" ht="25.5" hidden="1" customHeight="1" outlineLevel="1" x14ac:dyDescent="0.2">
      <c r="A3174" s="215" t="s">
        <v>1279</v>
      </c>
      <c r="B3174" s="228" t="s">
        <v>5759</v>
      </c>
      <c r="C3174" s="229" t="s">
        <v>5742</v>
      </c>
      <c r="D3174" s="230" t="s">
        <v>11</v>
      </c>
      <c r="E3174" s="231">
        <v>68.92</v>
      </c>
      <c r="F3174" s="231"/>
      <c r="G3174" s="225"/>
      <c r="H3174" s="235">
        <f t="shared" si="96"/>
        <v>0</v>
      </c>
      <c r="I3174" s="241"/>
    </row>
    <row r="3175" spans="1:9" s="215" customFormat="1" ht="12.75" hidden="1" customHeight="1" outlineLevel="1" x14ac:dyDescent="0.2">
      <c r="A3175" s="215" t="s">
        <v>1279</v>
      </c>
      <c r="B3175" s="224" t="s">
        <v>5760</v>
      </c>
      <c r="C3175" s="225" t="s">
        <v>5743</v>
      </c>
      <c r="D3175" s="226" t="s">
        <v>11</v>
      </c>
      <c r="E3175" s="227">
        <v>62.62</v>
      </c>
      <c r="F3175" s="227"/>
      <c r="G3175" s="229"/>
      <c r="H3175" s="235">
        <f t="shared" si="96"/>
        <v>0</v>
      </c>
      <c r="I3175" s="241"/>
    </row>
    <row r="3176" spans="1:9" s="215" customFormat="1" ht="25.5" hidden="1" customHeight="1" outlineLevel="1" x14ac:dyDescent="0.2">
      <c r="A3176" s="215" t="s">
        <v>1279</v>
      </c>
      <c r="B3176" s="228" t="s">
        <v>5761</v>
      </c>
      <c r="C3176" s="229" t="s">
        <v>5744</v>
      </c>
      <c r="D3176" s="230" t="s">
        <v>11</v>
      </c>
      <c r="E3176" s="231">
        <v>45.44</v>
      </c>
      <c r="F3176" s="231"/>
      <c r="G3176" s="225"/>
      <c r="H3176" s="235">
        <f t="shared" si="96"/>
        <v>0</v>
      </c>
      <c r="I3176" s="241"/>
    </row>
    <row r="3177" spans="1:9" s="215" customFormat="1" ht="12.75" hidden="1" customHeight="1" outlineLevel="1" x14ac:dyDescent="0.2">
      <c r="A3177" s="215" t="s">
        <v>1279</v>
      </c>
      <c r="B3177" s="224" t="s">
        <v>5762</v>
      </c>
      <c r="C3177" s="225" t="s">
        <v>5745</v>
      </c>
      <c r="D3177" s="226" t="s">
        <v>11</v>
      </c>
      <c r="E3177" s="227">
        <v>123.03</v>
      </c>
      <c r="F3177" s="227"/>
      <c r="G3177" s="229"/>
      <c r="H3177" s="235">
        <f t="shared" si="96"/>
        <v>0</v>
      </c>
      <c r="I3177" s="241"/>
    </row>
    <row r="3178" spans="1:9" s="215" customFormat="1" ht="25.5" hidden="1" customHeight="1" outlineLevel="1" x14ac:dyDescent="0.2">
      <c r="A3178" s="215" t="s">
        <v>1279</v>
      </c>
      <c r="B3178" s="228" t="s">
        <v>5763</v>
      </c>
      <c r="C3178" s="229" t="s">
        <v>5746</v>
      </c>
      <c r="D3178" s="230" t="s">
        <v>11</v>
      </c>
      <c r="E3178" s="231">
        <v>52.18</v>
      </c>
      <c r="F3178" s="231"/>
      <c r="G3178" s="198"/>
      <c r="H3178" s="198"/>
      <c r="I3178" s="241"/>
    </row>
    <row r="3179" spans="1:9" s="215" customFormat="1" ht="12.75" hidden="1" customHeight="1" outlineLevel="1" x14ac:dyDescent="0.2">
      <c r="A3179" s="215" t="s">
        <v>1279</v>
      </c>
      <c r="B3179" s="216" t="s">
        <v>2403</v>
      </c>
      <c r="C3179" s="217" t="s">
        <v>2961</v>
      </c>
      <c r="D3179" s="218"/>
      <c r="E3179" s="219"/>
      <c r="F3179" s="219"/>
      <c r="G3179" s="520" t="s">
        <v>1732</v>
      </c>
      <c r="H3179" s="234">
        <f>H3181+H3201</f>
        <v>6697.2599999999993</v>
      </c>
      <c r="I3179" s="242" t="str">
        <f>IF(H3179=H3160,"OKAY","REVER")</f>
        <v>OKAY</v>
      </c>
    </row>
    <row r="3180" spans="1:9" s="215" customFormat="1" ht="12.75" hidden="1" customHeight="1" outlineLevel="1" x14ac:dyDescent="0.2">
      <c r="A3180" s="215" t="s">
        <v>1279</v>
      </c>
      <c r="B3180" s="224" t="s">
        <v>5764</v>
      </c>
      <c r="C3180" s="225" t="s">
        <v>5739</v>
      </c>
      <c r="D3180" s="226" t="s">
        <v>11</v>
      </c>
      <c r="E3180" s="227">
        <v>58.47</v>
      </c>
      <c r="F3180" s="227"/>
      <c r="G3180" s="232"/>
      <c r="H3180" s="232"/>
      <c r="I3180" s="242"/>
    </row>
    <row r="3181" spans="1:9" s="215" customFormat="1" ht="12.75" hidden="1" customHeight="1" outlineLevel="1" x14ac:dyDescent="0.2">
      <c r="A3181" s="215" t="s">
        <v>1279</v>
      </c>
      <c r="B3181" s="228" t="s">
        <v>5765</v>
      </c>
      <c r="C3181" s="229" t="s">
        <v>5740</v>
      </c>
      <c r="D3181" s="230" t="s">
        <v>11</v>
      </c>
      <c r="E3181" s="231">
        <v>65.98</v>
      </c>
      <c r="F3181" s="231"/>
      <c r="G3181" s="520" t="str">
        <f>$A$1</f>
        <v>EMBASSAMENTO</v>
      </c>
      <c r="H3181" s="234">
        <f>SUM(H3182:H3198)</f>
        <v>708.75</v>
      </c>
      <c r="I3181" s="242"/>
    </row>
    <row r="3182" spans="1:9" s="215" customFormat="1" ht="12.75" hidden="1" customHeight="1" outlineLevel="1" x14ac:dyDescent="0.2">
      <c r="A3182" s="215" t="s">
        <v>1279</v>
      </c>
      <c r="B3182" s="224" t="s">
        <v>5766</v>
      </c>
      <c r="C3182" s="225" t="s">
        <v>5741</v>
      </c>
      <c r="D3182" s="226" t="s">
        <v>11</v>
      </c>
      <c r="E3182" s="227">
        <v>24.9</v>
      </c>
      <c r="F3182" s="227"/>
      <c r="G3182" s="225" t="s">
        <v>5739</v>
      </c>
      <c r="H3182" s="235">
        <f t="shared" ref="H3182:H3198" si="97">SUMIFS($E:$E,$C:$C,G3182,$A:$A,$G$22)</f>
        <v>86.47</v>
      </c>
      <c r="I3182" s="242"/>
    </row>
    <row r="3183" spans="1:9" s="215" customFormat="1" ht="25.5" hidden="1" customHeight="1" outlineLevel="1" x14ac:dyDescent="0.2">
      <c r="A3183" s="215" t="s">
        <v>1279</v>
      </c>
      <c r="B3183" s="228" t="s">
        <v>5767</v>
      </c>
      <c r="C3183" s="229" t="s">
        <v>5742</v>
      </c>
      <c r="D3183" s="230" t="s">
        <v>11</v>
      </c>
      <c r="E3183" s="231">
        <v>72.069999999999993</v>
      </c>
      <c r="F3183" s="231"/>
      <c r="G3183" s="229" t="s">
        <v>5740</v>
      </c>
      <c r="H3183" s="235">
        <f t="shared" si="97"/>
        <v>22.13</v>
      </c>
      <c r="I3183" s="241"/>
    </row>
    <row r="3184" spans="1:9" s="215" customFormat="1" ht="12.75" hidden="1" customHeight="1" outlineLevel="1" x14ac:dyDescent="0.2">
      <c r="A3184" s="215" t="s">
        <v>1279</v>
      </c>
      <c r="B3184" s="224" t="s">
        <v>5768</v>
      </c>
      <c r="C3184" s="225" t="s">
        <v>5743</v>
      </c>
      <c r="D3184" s="226" t="s">
        <v>11</v>
      </c>
      <c r="E3184" s="227">
        <v>42.24</v>
      </c>
      <c r="F3184" s="227"/>
      <c r="G3184" s="225" t="s">
        <v>5741</v>
      </c>
      <c r="H3184" s="235">
        <f t="shared" si="97"/>
        <v>58.94</v>
      </c>
      <c r="I3184" s="241"/>
    </row>
    <row r="3185" spans="1:10" s="215" customFormat="1" ht="25.5" hidden="1" customHeight="1" outlineLevel="1" x14ac:dyDescent="0.2">
      <c r="A3185" s="215" t="s">
        <v>1279</v>
      </c>
      <c r="B3185" s="228" t="s">
        <v>5769</v>
      </c>
      <c r="C3185" s="229" t="s">
        <v>5744</v>
      </c>
      <c r="D3185" s="230" t="s">
        <v>11</v>
      </c>
      <c r="E3185" s="231">
        <v>59.71</v>
      </c>
      <c r="F3185" s="231"/>
      <c r="G3185" s="229" t="s">
        <v>5742</v>
      </c>
      <c r="H3185" s="235">
        <f t="shared" si="97"/>
        <v>21.17</v>
      </c>
      <c r="I3185" s="241"/>
      <c r="J3185" s="403"/>
    </row>
    <row r="3186" spans="1:10" s="215" customFormat="1" ht="12.75" hidden="1" customHeight="1" outlineLevel="1" x14ac:dyDescent="0.2">
      <c r="A3186" s="215" t="s">
        <v>1279</v>
      </c>
      <c r="B3186" s="224" t="s">
        <v>5770</v>
      </c>
      <c r="C3186" s="225" t="s">
        <v>5745</v>
      </c>
      <c r="D3186" s="226" t="s">
        <v>11</v>
      </c>
      <c r="E3186" s="227">
        <v>115.28</v>
      </c>
      <c r="F3186" s="227"/>
      <c r="G3186" s="225" t="s">
        <v>5743</v>
      </c>
      <c r="H3186" s="235">
        <f t="shared" si="97"/>
        <v>99.08</v>
      </c>
      <c r="I3186" s="241"/>
      <c r="J3186" s="403"/>
    </row>
    <row r="3187" spans="1:10" s="215" customFormat="1" ht="25.5" hidden="1" customHeight="1" outlineLevel="1" x14ac:dyDescent="0.2">
      <c r="A3187" s="215" t="s">
        <v>1279</v>
      </c>
      <c r="B3187" s="228" t="s">
        <v>5771</v>
      </c>
      <c r="C3187" s="229" t="s">
        <v>5746</v>
      </c>
      <c r="D3187" s="230" t="s">
        <v>11</v>
      </c>
      <c r="E3187" s="231">
        <v>37.89</v>
      </c>
      <c r="F3187" s="231"/>
      <c r="G3187" s="229" t="s">
        <v>5744</v>
      </c>
      <c r="H3187" s="235">
        <f t="shared" si="97"/>
        <v>6.66</v>
      </c>
      <c r="I3187" s="241"/>
      <c r="J3187" s="403"/>
    </row>
    <row r="3188" spans="1:10" s="215" customFormat="1" ht="12.75" hidden="1" customHeight="1" outlineLevel="1" x14ac:dyDescent="0.2">
      <c r="A3188" s="215" t="s">
        <v>1279</v>
      </c>
      <c r="B3188" s="216" t="s">
        <v>2790</v>
      </c>
      <c r="C3188" s="217" t="s">
        <v>2962</v>
      </c>
      <c r="D3188" s="218"/>
      <c r="E3188" s="219"/>
      <c r="F3188" s="219"/>
      <c r="G3188" s="225" t="s">
        <v>5745</v>
      </c>
      <c r="H3188" s="235">
        <f t="shared" si="97"/>
        <v>318.86</v>
      </c>
      <c r="I3188" s="241"/>
      <c r="J3188" s="403"/>
    </row>
    <row r="3189" spans="1:10" s="215" customFormat="1" ht="25.5" hidden="1" customHeight="1" outlineLevel="1" x14ac:dyDescent="0.2">
      <c r="A3189" s="215" t="s">
        <v>1279</v>
      </c>
      <c r="B3189" s="224" t="s">
        <v>5772</v>
      </c>
      <c r="C3189" s="225" t="s">
        <v>5739</v>
      </c>
      <c r="D3189" s="226" t="s">
        <v>11</v>
      </c>
      <c r="E3189" s="227">
        <v>46.23</v>
      </c>
      <c r="F3189" s="227"/>
      <c r="G3189" s="229" t="s">
        <v>5746</v>
      </c>
      <c r="H3189" s="235">
        <f t="shared" si="97"/>
        <v>95.44</v>
      </c>
      <c r="I3189" s="241"/>
      <c r="J3189" s="403"/>
    </row>
    <row r="3190" spans="1:10" s="215" customFormat="1" ht="12.75" hidden="1" customHeight="1" outlineLevel="1" x14ac:dyDescent="0.2">
      <c r="A3190" s="215" t="s">
        <v>1279</v>
      </c>
      <c r="B3190" s="228" t="s">
        <v>5773</v>
      </c>
      <c r="C3190" s="229" t="s">
        <v>5740</v>
      </c>
      <c r="D3190" s="230" t="s">
        <v>11</v>
      </c>
      <c r="E3190" s="231">
        <v>46.75</v>
      </c>
      <c r="F3190" s="231"/>
      <c r="G3190" s="229"/>
      <c r="H3190" s="235">
        <f t="shared" si="97"/>
        <v>0</v>
      </c>
      <c r="I3190" s="241"/>
      <c r="J3190" s="403"/>
    </row>
    <row r="3191" spans="1:10" s="215" customFormat="1" ht="12.75" hidden="1" customHeight="1" outlineLevel="1" x14ac:dyDescent="0.2">
      <c r="A3191" s="215" t="s">
        <v>1279</v>
      </c>
      <c r="B3191" s="224" t="s">
        <v>5774</v>
      </c>
      <c r="C3191" s="225" t="s">
        <v>5741</v>
      </c>
      <c r="D3191" s="226" t="s">
        <v>11</v>
      </c>
      <c r="E3191" s="227">
        <v>28.47</v>
      </c>
      <c r="F3191" s="227"/>
      <c r="G3191" s="225"/>
      <c r="H3191" s="235">
        <f t="shared" si="97"/>
        <v>0</v>
      </c>
      <c r="I3191" s="241"/>
      <c r="J3191" s="403"/>
    </row>
    <row r="3192" spans="1:10" s="215" customFormat="1" ht="25.5" hidden="1" customHeight="1" outlineLevel="1" x14ac:dyDescent="0.2">
      <c r="A3192" s="215" t="s">
        <v>1279</v>
      </c>
      <c r="B3192" s="228" t="s">
        <v>5775</v>
      </c>
      <c r="C3192" s="229" t="s">
        <v>5742</v>
      </c>
      <c r="D3192" s="230" t="s">
        <v>11</v>
      </c>
      <c r="E3192" s="231">
        <v>36.21</v>
      </c>
      <c r="F3192" s="231"/>
      <c r="G3192" s="229"/>
      <c r="H3192" s="235">
        <f t="shared" si="97"/>
        <v>0</v>
      </c>
      <c r="I3192" s="241"/>
      <c r="J3192" s="403"/>
    </row>
    <row r="3193" spans="1:10" s="215" customFormat="1" ht="12.75" hidden="1" customHeight="1" outlineLevel="1" x14ac:dyDescent="0.2">
      <c r="A3193" s="215" t="s">
        <v>1279</v>
      </c>
      <c r="B3193" s="224" t="s">
        <v>5776</v>
      </c>
      <c r="C3193" s="225" t="s">
        <v>5743</v>
      </c>
      <c r="D3193" s="226" t="s">
        <v>11</v>
      </c>
      <c r="E3193" s="227">
        <v>10.53</v>
      </c>
      <c r="F3193" s="227"/>
      <c r="G3193" s="225"/>
      <c r="H3193" s="235">
        <f t="shared" si="97"/>
        <v>0</v>
      </c>
      <c r="I3193" s="241"/>
      <c r="J3193" s="403"/>
    </row>
    <row r="3194" spans="1:10" s="215" customFormat="1" ht="25.5" hidden="1" customHeight="1" outlineLevel="1" x14ac:dyDescent="0.2">
      <c r="A3194" s="215" t="s">
        <v>1279</v>
      </c>
      <c r="B3194" s="228" t="s">
        <v>5777</v>
      </c>
      <c r="C3194" s="229" t="s">
        <v>5744</v>
      </c>
      <c r="D3194" s="230" t="s">
        <v>11</v>
      </c>
      <c r="E3194" s="231">
        <v>41.45</v>
      </c>
      <c r="F3194" s="231"/>
      <c r="G3194" s="229"/>
      <c r="H3194" s="235">
        <f t="shared" si="97"/>
        <v>0</v>
      </c>
      <c r="I3194" s="241"/>
      <c r="J3194" s="403"/>
    </row>
    <row r="3195" spans="1:10" s="215" customFormat="1" ht="12.75" hidden="1" customHeight="1" outlineLevel="1" x14ac:dyDescent="0.2">
      <c r="A3195" s="215" t="s">
        <v>1279</v>
      </c>
      <c r="B3195" s="224" t="s">
        <v>5778</v>
      </c>
      <c r="C3195" s="225" t="s">
        <v>5745</v>
      </c>
      <c r="D3195" s="226" t="s">
        <v>11</v>
      </c>
      <c r="E3195" s="227">
        <v>130.59</v>
      </c>
      <c r="F3195" s="227"/>
      <c r="G3195" s="225"/>
      <c r="H3195" s="235">
        <f t="shared" si="97"/>
        <v>0</v>
      </c>
      <c r="I3195" s="241"/>
      <c r="J3195" s="403"/>
    </row>
    <row r="3196" spans="1:10" s="215" customFormat="1" ht="25.5" hidden="1" customHeight="1" outlineLevel="1" x14ac:dyDescent="0.2">
      <c r="A3196" s="215" t="s">
        <v>1279</v>
      </c>
      <c r="B3196" s="228" t="s">
        <v>5779</v>
      </c>
      <c r="C3196" s="229" t="s">
        <v>5746</v>
      </c>
      <c r="D3196" s="230" t="s">
        <v>11</v>
      </c>
      <c r="E3196" s="231">
        <v>31.62</v>
      </c>
      <c r="F3196" s="231"/>
      <c r="G3196" s="229"/>
      <c r="H3196" s="235">
        <f t="shared" si="97"/>
        <v>0</v>
      </c>
      <c r="I3196" s="241"/>
      <c r="J3196" s="403"/>
    </row>
    <row r="3197" spans="1:10" s="215" customFormat="1" ht="12.75" hidden="1" customHeight="1" outlineLevel="1" x14ac:dyDescent="0.2">
      <c r="A3197" s="215" t="s">
        <v>1279</v>
      </c>
      <c r="B3197" s="216" t="s">
        <v>2791</v>
      </c>
      <c r="C3197" s="217" t="s">
        <v>2963</v>
      </c>
      <c r="D3197" s="218"/>
      <c r="E3197" s="219"/>
      <c r="F3197" s="219"/>
      <c r="G3197" s="225"/>
      <c r="H3197" s="235">
        <f t="shared" si="97"/>
        <v>0</v>
      </c>
      <c r="I3197" s="241"/>
      <c r="J3197" s="403"/>
    </row>
    <row r="3198" spans="1:10" s="215" customFormat="1" ht="12.75" hidden="1" customHeight="1" outlineLevel="1" x14ac:dyDescent="0.2">
      <c r="A3198" s="215" t="s">
        <v>1279</v>
      </c>
      <c r="B3198" s="224" t="s">
        <v>5780</v>
      </c>
      <c r="C3198" s="225" t="s">
        <v>5739</v>
      </c>
      <c r="D3198" s="226" t="s">
        <v>11</v>
      </c>
      <c r="E3198" s="227">
        <v>44.75</v>
      </c>
      <c r="F3198" s="227"/>
      <c r="G3198" s="229"/>
      <c r="H3198" s="235">
        <f t="shared" si="97"/>
        <v>0</v>
      </c>
      <c r="I3198" s="241"/>
      <c r="J3198" s="403"/>
    </row>
    <row r="3199" spans="1:10" s="215" customFormat="1" ht="12.75" hidden="1" customHeight="1" outlineLevel="1" x14ac:dyDescent="0.2">
      <c r="A3199" s="215" t="s">
        <v>1279</v>
      </c>
      <c r="B3199" s="228" t="s">
        <v>5781</v>
      </c>
      <c r="C3199" s="229" t="s">
        <v>5740</v>
      </c>
      <c r="D3199" s="230" t="s">
        <v>11</v>
      </c>
      <c r="E3199" s="231">
        <v>52.49</v>
      </c>
      <c r="F3199" s="231"/>
      <c r="G3199" s="198"/>
      <c r="H3199" s="198"/>
      <c r="I3199" s="241"/>
      <c r="J3199" s="403"/>
    </row>
    <row r="3200" spans="1:10" s="215" customFormat="1" ht="12.75" hidden="1" customHeight="1" outlineLevel="1" x14ac:dyDescent="0.2">
      <c r="A3200" s="215" t="s">
        <v>1279</v>
      </c>
      <c r="B3200" s="224" t="s">
        <v>5782</v>
      </c>
      <c r="C3200" s="225" t="s">
        <v>5741</v>
      </c>
      <c r="D3200" s="226" t="s">
        <v>11</v>
      </c>
      <c r="E3200" s="227">
        <v>18.14</v>
      </c>
      <c r="F3200" s="227"/>
      <c r="G3200" s="198"/>
      <c r="H3200" s="198"/>
      <c r="I3200" s="241"/>
      <c r="J3200" s="403"/>
    </row>
    <row r="3201" spans="1:10" s="215" customFormat="1" ht="25.5" hidden="1" customHeight="1" outlineLevel="1" x14ac:dyDescent="0.2">
      <c r="A3201" s="215" t="s">
        <v>1279</v>
      </c>
      <c r="B3201" s="228" t="s">
        <v>5783</v>
      </c>
      <c r="C3201" s="229" t="s">
        <v>5742</v>
      </c>
      <c r="D3201" s="230" t="s">
        <v>11</v>
      </c>
      <c r="E3201" s="231">
        <v>42.41</v>
      </c>
      <c r="F3201" s="231"/>
      <c r="G3201" s="520" t="str">
        <f>$A$2</f>
        <v>TORRE</v>
      </c>
      <c r="H3201" s="234">
        <f>SUM(H3202:H3218)</f>
        <v>5988.5099999999993</v>
      </c>
      <c r="I3201" s="241"/>
      <c r="J3201" s="403"/>
    </row>
    <row r="3202" spans="1:10" s="215" customFormat="1" ht="12.75" hidden="1" customHeight="1" outlineLevel="1" x14ac:dyDescent="0.2">
      <c r="A3202" s="215" t="s">
        <v>1279</v>
      </c>
      <c r="B3202" s="224" t="s">
        <v>5784</v>
      </c>
      <c r="C3202" s="225" t="s">
        <v>5743</v>
      </c>
      <c r="D3202" s="226" t="s">
        <v>11</v>
      </c>
      <c r="E3202" s="227">
        <v>10.14</v>
      </c>
      <c r="F3202" s="227"/>
      <c r="G3202" s="225" t="s">
        <v>5739</v>
      </c>
      <c r="H3202" s="235">
        <f t="shared" ref="H3202:H3218" si="98">SUMIFS($E:$E,$C:$C,G3202,$A:$A,$G$30)</f>
        <v>929.56999999999982</v>
      </c>
      <c r="I3202" s="241"/>
      <c r="J3202" s="403"/>
    </row>
    <row r="3203" spans="1:10" s="215" customFormat="1" ht="25.5" hidden="1" customHeight="1" outlineLevel="1" x14ac:dyDescent="0.2">
      <c r="A3203" s="215" t="s">
        <v>1279</v>
      </c>
      <c r="B3203" s="228" t="s">
        <v>5785</v>
      </c>
      <c r="C3203" s="229" t="s">
        <v>5744</v>
      </c>
      <c r="D3203" s="230" t="s">
        <v>11</v>
      </c>
      <c r="E3203" s="231">
        <v>45.65</v>
      </c>
      <c r="F3203" s="231"/>
      <c r="G3203" s="229" t="s">
        <v>5740</v>
      </c>
      <c r="H3203" s="235">
        <f t="shared" si="98"/>
        <v>1014.29</v>
      </c>
      <c r="I3203" s="241"/>
      <c r="J3203" s="403"/>
    </row>
    <row r="3204" spans="1:10" s="215" customFormat="1" ht="12.75" hidden="1" customHeight="1" outlineLevel="1" x14ac:dyDescent="0.2">
      <c r="A3204" s="215" t="s">
        <v>1279</v>
      </c>
      <c r="B3204" s="224" t="s">
        <v>5786</v>
      </c>
      <c r="C3204" s="225" t="s">
        <v>5745</v>
      </c>
      <c r="D3204" s="226" t="s">
        <v>11</v>
      </c>
      <c r="E3204" s="227">
        <v>47.73</v>
      </c>
      <c r="F3204" s="227"/>
      <c r="G3204" s="225" t="s">
        <v>5741</v>
      </c>
      <c r="H3204" s="235">
        <f t="shared" si="98"/>
        <v>415.21000000000004</v>
      </c>
      <c r="I3204" s="241"/>
      <c r="J3204" s="403"/>
    </row>
    <row r="3205" spans="1:10" s="215" customFormat="1" ht="25.5" hidden="1" customHeight="1" outlineLevel="1" x14ac:dyDescent="0.2">
      <c r="A3205" s="215" t="s">
        <v>1279</v>
      </c>
      <c r="B3205" s="228" t="s">
        <v>5787</v>
      </c>
      <c r="C3205" s="229" t="s">
        <v>5746</v>
      </c>
      <c r="D3205" s="230" t="s">
        <v>11</v>
      </c>
      <c r="E3205" s="231">
        <v>31.69</v>
      </c>
      <c r="F3205" s="231"/>
      <c r="G3205" s="229" t="s">
        <v>5742</v>
      </c>
      <c r="H3205" s="235">
        <f t="shared" si="98"/>
        <v>668.63</v>
      </c>
      <c r="I3205" s="241"/>
      <c r="J3205" s="403"/>
    </row>
    <row r="3206" spans="1:10" s="215" customFormat="1" ht="12.75" hidden="1" customHeight="1" outlineLevel="1" x14ac:dyDescent="0.2">
      <c r="A3206" s="215" t="s">
        <v>1279</v>
      </c>
      <c r="B3206" s="216" t="s">
        <v>2792</v>
      </c>
      <c r="C3206" s="217" t="s">
        <v>2964</v>
      </c>
      <c r="D3206" s="218"/>
      <c r="E3206" s="219"/>
      <c r="F3206" s="219"/>
      <c r="G3206" s="225" t="s">
        <v>5743</v>
      </c>
      <c r="H3206" s="235">
        <f t="shared" si="98"/>
        <v>336.83000000000004</v>
      </c>
      <c r="I3206" s="241"/>
      <c r="J3206" s="403"/>
    </row>
    <row r="3207" spans="1:10" s="215" customFormat="1" ht="25.5" hidden="1" customHeight="1" outlineLevel="1" x14ac:dyDescent="0.2">
      <c r="A3207" s="215" t="s">
        <v>1279</v>
      </c>
      <c r="B3207" s="224" t="s">
        <v>5788</v>
      </c>
      <c r="C3207" s="225" t="s">
        <v>5739</v>
      </c>
      <c r="D3207" s="226" t="s">
        <v>11</v>
      </c>
      <c r="E3207" s="227">
        <v>46.6</v>
      </c>
      <c r="F3207" s="227"/>
      <c r="G3207" s="229" t="s">
        <v>5744</v>
      </c>
      <c r="H3207" s="235">
        <f t="shared" si="98"/>
        <v>617.39999999999986</v>
      </c>
      <c r="I3207" s="241"/>
      <c r="J3207" s="403"/>
    </row>
    <row r="3208" spans="1:10" s="215" customFormat="1" ht="12.75" hidden="1" customHeight="1" outlineLevel="1" x14ac:dyDescent="0.2">
      <c r="A3208" s="215" t="s">
        <v>1279</v>
      </c>
      <c r="B3208" s="228" t="s">
        <v>5789</v>
      </c>
      <c r="C3208" s="229" t="s">
        <v>5740</v>
      </c>
      <c r="D3208" s="230" t="s">
        <v>11</v>
      </c>
      <c r="E3208" s="231">
        <v>46.87</v>
      </c>
      <c r="F3208" s="231"/>
      <c r="G3208" s="225" t="s">
        <v>5745</v>
      </c>
      <c r="H3208" s="235">
        <f t="shared" si="98"/>
        <v>1255.8700000000001</v>
      </c>
      <c r="I3208" s="241"/>
      <c r="J3208" s="403"/>
    </row>
    <row r="3209" spans="1:10" s="215" customFormat="1" ht="25.5" hidden="1" customHeight="1" outlineLevel="1" x14ac:dyDescent="0.2">
      <c r="A3209" s="215" t="s">
        <v>1279</v>
      </c>
      <c r="B3209" s="224" t="s">
        <v>5790</v>
      </c>
      <c r="C3209" s="225" t="s">
        <v>5741</v>
      </c>
      <c r="D3209" s="226" t="s">
        <v>11</v>
      </c>
      <c r="E3209" s="227">
        <v>17.75</v>
      </c>
      <c r="F3209" s="227"/>
      <c r="G3209" s="229" t="s">
        <v>5746</v>
      </c>
      <c r="H3209" s="235">
        <f t="shared" si="98"/>
        <v>750.71</v>
      </c>
      <c r="I3209" s="241"/>
      <c r="J3209" s="403"/>
    </row>
    <row r="3210" spans="1:10" s="215" customFormat="1" ht="25.5" hidden="1" customHeight="1" outlineLevel="1" x14ac:dyDescent="0.2">
      <c r="A3210" s="215" t="s">
        <v>1279</v>
      </c>
      <c r="B3210" s="228" t="s">
        <v>5791</v>
      </c>
      <c r="C3210" s="229" t="s">
        <v>5742</v>
      </c>
      <c r="D3210" s="230" t="s">
        <v>11</v>
      </c>
      <c r="E3210" s="231">
        <v>36.58</v>
      </c>
      <c r="F3210" s="231"/>
      <c r="G3210" s="229"/>
      <c r="H3210" s="235">
        <f t="shared" si="98"/>
        <v>0</v>
      </c>
      <c r="I3210" s="241"/>
      <c r="J3210" s="403"/>
    </row>
    <row r="3211" spans="1:10" s="215" customFormat="1" ht="12.75" hidden="1" customHeight="1" outlineLevel="1" x14ac:dyDescent="0.2">
      <c r="A3211" s="215" t="s">
        <v>1279</v>
      </c>
      <c r="B3211" s="224" t="s">
        <v>5792</v>
      </c>
      <c r="C3211" s="225" t="s">
        <v>5743</v>
      </c>
      <c r="D3211" s="226" t="s">
        <v>11</v>
      </c>
      <c r="E3211" s="227">
        <v>10.3</v>
      </c>
      <c r="F3211" s="227"/>
      <c r="G3211" s="225"/>
      <c r="H3211" s="235">
        <f t="shared" si="98"/>
        <v>0</v>
      </c>
      <c r="I3211" s="241"/>
      <c r="J3211" s="403"/>
    </row>
    <row r="3212" spans="1:10" s="215" customFormat="1" ht="25.5" hidden="1" customHeight="1" outlineLevel="1" x14ac:dyDescent="0.2">
      <c r="A3212" s="215" t="s">
        <v>1279</v>
      </c>
      <c r="B3212" s="228" t="s">
        <v>5793</v>
      </c>
      <c r="C3212" s="229" t="s">
        <v>5744</v>
      </c>
      <c r="D3212" s="230" t="s">
        <v>11</v>
      </c>
      <c r="E3212" s="231">
        <v>40.49</v>
      </c>
      <c r="F3212" s="231"/>
      <c r="G3212" s="229"/>
      <c r="H3212" s="235">
        <f t="shared" si="98"/>
        <v>0</v>
      </c>
      <c r="I3212" s="241"/>
      <c r="J3212" s="403"/>
    </row>
    <row r="3213" spans="1:10" s="215" customFormat="1" ht="12.75" hidden="1" customHeight="1" outlineLevel="1" x14ac:dyDescent="0.2">
      <c r="A3213" s="215" t="s">
        <v>1279</v>
      </c>
      <c r="B3213" s="224" t="s">
        <v>5794</v>
      </c>
      <c r="C3213" s="225" t="s">
        <v>5745</v>
      </c>
      <c r="D3213" s="226" t="s">
        <v>11</v>
      </c>
      <c r="E3213" s="227">
        <v>48.49</v>
      </c>
      <c r="F3213" s="227"/>
      <c r="G3213" s="225"/>
      <c r="H3213" s="235">
        <f t="shared" si="98"/>
        <v>0</v>
      </c>
      <c r="I3213" s="241"/>
      <c r="J3213" s="403"/>
    </row>
    <row r="3214" spans="1:10" s="215" customFormat="1" ht="25.5" hidden="1" customHeight="1" outlineLevel="1" x14ac:dyDescent="0.2">
      <c r="A3214" s="215" t="s">
        <v>1279</v>
      </c>
      <c r="B3214" s="228" t="s">
        <v>5795</v>
      </c>
      <c r="C3214" s="229" t="s">
        <v>5746</v>
      </c>
      <c r="D3214" s="230" t="s">
        <v>11</v>
      </c>
      <c r="E3214" s="231">
        <v>31.7</v>
      </c>
      <c r="F3214" s="231"/>
      <c r="G3214" s="229"/>
      <c r="H3214" s="235">
        <f t="shared" si="98"/>
        <v>0</v>
      </c>
      <c r="I3214" s="241"/>
      <c r="J3214" s="403"/>
    </row>
    <row r="3215" spans="1:10" s="215" customFormat="1" ht="12.75" hidden="1" customHeight="1" outlineLevel="1" x14ac:dyDescent="0.2">
      <c r="A3215" s="215" t="s">
        <v>1279</v>
      </c>
      <c r="B3215" s="216" t="s">
        <v>5796</v>
      </c>
      <c r="C3215" s="217" t="s">
        <v>2965</v>
      </c>
      <c r="D3215" s="218"/>
      <c r="E3215" s="219"/>
      <c r="F3215" s="219"/>
      <c r="G3215" s="225"/>
      <c r="H3215" s="235">
        <f t="shared" si="98"/>
        <v>0</v>
      </c>
      <c r="I3215" s="241"/>
      <c r="J3215" s="403"/>
    </row>
    <row r="3216" spans="1:10" s="215" customFormat="1" ht="12.75" hidden="1" customHeight="1" outlineLevel="1" x14ac:dyDescent="0.2">
      <c r="A3216" s="215" t="s">
        <v>1279</v>
      </c>
      <c r="B3216" s="224" t="s">
        <v>5797</v>
      </c>
      <c r="C3216" s="225" t="s">
        <v>5739</v>
      </c>
      <c r="D3216" s="226" t="s">
        <v>11</v>
      </c>
      <c r="E3216" s="227">
        <v>44.83</v>
      </c>
      <c r="F3216" s="227"/>
      <c r="G3216" s="229"/>
      <c r="H3216" s="235">
        <f t="shared" si="98"/>
        <v>0</v>
      </c>
      <c r="I3216" s="241"/>
      <c r="J3216" s="403"/>
    </row>
    <row r="3217" spans="1:10" s="215" customFormat="1" ht="12.75" hidden="1" customHeight="1" outlineLevel="1" x14ac:dyDescent="0.2">
      <c r="A3217" s="215" t="s">
        <v>1279</v>
      </c>
      <c r="B3217" s="228" t="s">
        <v>5798</v>
      </c>
      <c r="C3217" s="229" t="s">
        <v>5740</v>
      </c>
      <c r="D3217" s="230" t="s">
        <v>11</v>
      </c>
      <c r="E3217" s="231">
        <v>52.56</v>
      </c>
      <c r="F3217" s="231"/>
      <c r="G3217" s="225"/>
      <c r="H3217" s="235">
        <f t="shared" si="98"/>
        <v>0</v>
      </c>
      <c r="I3217" s="241"/>
      <c r="J3217" s="403"/>
    </row>
    <row r="3218" spans="1:10" s="215" customFormat="1" ht="12.75" hidden="1" customHeight="1" outlineLevel="1" x14ac:dyDescent="0.2">
      <c r="A3218" s="215" t="s">
        <v>1279</v>
      </c>
      <c r="B3218" s="224" t="s">
        <v>5799</v>
      </c>
      <c r="C3218" s="225" t="s">
        <v>5741</v>
      </c>
      <c r="D3218" s="226" t="s">
        <v>11</v>
      </c>
      <c r="E3218" s="227">
        <v>23.68</v>
      </c>
      <c r="F3218" s="227"/>
      <c r="G3218" s="229"/>
      <c r="H3218" s="235">
        <f t="shared" si="98"/>
        <v>0</v>
      </c>
      <c r="I3218" s="241"/>
      <c r="J3218" s="403"/>
    </row>
    <row r="3219" spans="1:10" s="215" customFormat="1" ht="25.5" hidden="1" customHeight="1" outlineLevel="1" x14ac:dyDescent="0.2">
      <c r="A3219" s="215" t="s">
        <v>1279</v>
      </c>
      <c r="B3219" s="228" t="s">
        <v>5800</v>
      </c>
      <c r="C3219" s="229" t="s">
        <v>5742</v>
      </c>
      <c r="D3219" s="230" t="s">
        <v>11</v>
      </c>
      <c r="E3219" s="231">
        <v>42.55</v>
      </c>
      <c r="F3219" s="231"/>
      <c r="G3219" s="241"/>
      <c r="H3219" s="241"/>
      <c r="I3219" s="241"/>
      <c r="J3219" s="403"/>
    </row>
    <row r="3220" spans="1:10" s="215" customFormat="1" ht="12.75" hidden="1" customHeight="1" outlineLevel="1" x14ac:dyDescent="0.2">
      <c r="A3220" s="215" t="s">
        <v>1279</v>
      </c>
      <c r="B3220" s="224" t="s">
        <v>5801</v>
      </c>
      <c r="C3220" s="225" t="s">
        <v>5743</v>
      </c>
      <c r="D3220" s="226" t="s">
        <v>11</v>
      </c>
      <c r="E3220" s="227">
        <v>10.14</v>
      </c>
      <c r="F3220" s="227"/>
      <c r="G3220" s="241"/>
      <c r="H3220" s="241"/>
      <c r="I3220" s="241"/>
      <c r="J3220" s="403"/>
    </row>
    <row r="3221" spans="1:10" s="215" customFormat="1" ht="25.5" hidden="1" customHeight="1" outlineLevel="1" x14ac:dyDescent="0.2">
      <c r="A3221" s="215" t="s">
        <v>1279</v>
      </c>
      <c r="B3221" s="228" t="s">
        <v>5802</v>
      </c>
      <c r="C3221" s="229" t="s">
        <v>5744</v>
      </c>
      <c r="D3221" s="230" t="s">
        <v>11</v>
      </c>
      <c r="E3221" s="231">
        <v>45.65</v>
      </c>
      <c r="F3221" s="231"/>
      <c r="G3221" s="241"/>
      <c r="H3221" s="241"/>
      <c r="I3221" s="241"/>
      <c r="J3221" s="403"/>
    </row>
    <row r="3222" spans="1:10" s="215" customFormat="1" ht="12.75" hidden="1" customHeight="1" outlineLevel="1" x14ac:dyDescent="0.2">
      <c r="A3222" s="215" t="s">
        <v>1279</v>
      </c>
      <c r="B3222" s="224" t="s">
        <v>5803</v>
      </c>
      <c r="C3222" s="225" t="s">
        <v>5745</v>
      </c>
      <c r="D3222" s="226" t="s">
        <v>11</v>
      </c>
      <c r="E3222" s="227">
        <v>47.73</v>
      </c>
      <c r="F3222" s="227"/>
      <c r="G3222" s="241"/>
      <c r="H3222" s="241"/>
      <c r="I3222" s="241"/>
      <c r="J3222" s="403"/>
    </row>
    <row r="3223" spans="1:10" s="215" customFormat="1" ht="25.5" hidden="1" customHeight="1" outlineLevel="1" x14ac:dyDescent="0.2">
      <c r="A3223" s="215" t="s">
        <v>1279</v>
      </c>
      <c r="B3223" s="228" t="s">
        <v>5804</v>
      </c>
      <c r="C3223" s="229" t="s">
        <v>5746</v>
      </c>
      <c r="D3223" s="230" t="s">
        <v>11</v>
      </c>
      <c r="E3223" s="231">
        <v>31.69</v>
      </c>
      <c r="F3223" s="231"/>
      <c r="G3223" s="241"/>
      <c r="H3223" s="241"/>
      <c r="I3223" s="241"/>
      <c r="J3223" s="403"/>
    </row>
    <row r="3224" spans="1:10" s="215" customFormat="1" ht="12.75" hidden="1" customHeight="1" outlineLevel="1" x14ac:dyDescent="0.2">
      <c r="A3224" s="215" t="s">
        <v>1279</v>
      </c>
      <c r="B3224" s="216" t="s">
        <v>5805</v>
      </c>
      <c r="C3224" s="217" t="s">
        <v>2966</v>
      </c>
      <c r="D3224" s="218"/>
      <c r="E3224" s="219"/>
      <c r="F3224" s="219"/>
      <c r="G3224" s="241"/>
      <c r="H3224" s="241"/>
      <c r="I3224" s="241"/>
      <c r="J3224" s="403"/>
    </row>
    <row r="3225" spans="1:10" s="215" customFormat="1" ht="12.75" hidden="1" customHeight="1" outlineLevel="1" x14ac:dyDescent="0.2">
      <c r="A3225" s="215" t="s">
        <v>1279</v>
      </c>
      <c r="B3225" s="224" t="s">
        <v>5806</v>
      </c>
      <c r="C3225" s="225" t="s">
        <v>5739</v>
      </c>
      <c r="D3225" s="226" t="s">
        <v>11</v>
      </c>
      <c r="E3225" s="227">
        <v>46.76</v>
      </c>
      <c r="F3225" s="227"/>
    </row>
    <row r="3226" spans="1:10" s="215" customFormat="1" ht="12.75" hidden="1" customHeight="1" outlineLevel="1" x14ac:dyDescent="0.2">
      <c r="A3226" s="215" t="s">
        <v>1279</v>
      </c>
      <c r="B3226" s="228" t="s">
        <v>5807</v>
      </c>
      <c r="C3226" s="229" t="s">
        <v>5740</v>
      </c>
      <c r="D3226" s="230" t="s">
        <v>11</v>
      </c>
      <c r="E3226" s="231">
        <v>49.42</v>
      </c>
      <c r="F3226" s="231"/>
    </row>
    <row r="3227" spans="1:10" s="215" customFormat="1" ht="12.75" hidden="1" customHeight="1" outlineLevel="1" x14ac:dyDescent="0.2">
      <c r="A3227" s="215" t="s">
        <v>1279</v>
      </c>
      <c r="B3227" s="224" t="s">
        <v>5808</v>
      </c>
      <c r="C3227" s="225" t="s">
        <v>5741</v>
      </c>
      <c r="D3227" s="226" t="s">
        <v>11</v>
      </c>
      <c r="E3227" s="227">
        <v>17.760000000000002</v>
      </c>
      <c r="F3227" s="227"/>
    </row>
    <row r="3228" spans="1:10" s="215" customFormat="1" ht="25.5" hidden="1" customHeight="1" outlineLevel="1" x14ac:dyDescent="0.2">
      <c r="A3228" s="215" t="s">
        <v>1279</v>
      </c>
      <c r="B3228" s="228" t="s">
        <v>5809</v>
      </c>
      <c r="C3228" s="229" t="s">
        <v>5742</v>
      </c>
      <c r="D3228" s="230" t="s">
        <v>11</v>
      </c>
      <c r="E3228" s="231">
        <v>36.590000000000003</v>
      </c>
      <c r="F3228" s="231"/>
    </row>
    <row r="3229" spans="1:10" s="215" customFormat="1" ht="12.75" hidden="1" customHeight="1" outlineLevel="1" x14ac:dyDescent="0.2">
      <c r="A3229" s="215" t="s">
        <v>1279</v>
      </c>
      <c r="B3229" s="224" t="s">
        <v>5810</v>
      </c>
      <c r="C3229" s="225" t="s">
        <v>5743</v>
      </c>
      <c r="D3229" s="226" t="s">
        <v>11</v>
      </c>
      <c r="E3229" s="227">
        <v>10.31</v>
      </c>
      <c r="F3229" s="227"/>
    </row>
    <row r="3230" spans="1:10" s="215" customFormat="1" ht="25.5" hidden="1" customHeight="1" outlineLevel="1" x14ac:dyDescent="0.2">
      <c r="A3230" s="215" t="s">
        <v>1279</v>
      </c>
      <c r="B3230" s="228" t="s">
        <v>5811</v>
      </c>
      <c r="C3230" s="229" t="s">
        <v>5744</v>
      </c>
      <c r="D3230" s="230" t="s">
        <v>11</v>
      </c>
      <c r="E3230" s="231">
        <v>40.51</v>
      </c>
      <c r="F3230" s="231"/>
    </row>
    <row r="3231" spans="1:10" s="215" customFormat="1" ht="12.75" hidden="1" customHeight="1" outlineLevel="1" x14ac:dyDescent="0.2">
      <c r="A3231" s="215" t="s">
        <v>1279</v>
      </c>
      <c r="B3231" s="224" t="s">
        <v>5812</v>
      </c>
      <c r="C3231" s="225" t="s">
        <v>5745</v>
      </c>
      <c r="D3231" s="226" t="s">
        <v>11</v>
      </c>
      <c r="E3231" s="227">
        <v>48.49</v>
      </c>
      <c r="F3231" s="227"/>
    </row>
    <row r="3232" spans="1:10" s="215" customFormat="1" ht="25.5" hidden="1" customHeight="1" outlineLevel="1" x14ac:dyDescent="0.2">
      <c r="A3232" s="215" t="s">
        <v>1279</v>
      </c>
      <c r="B3232" s="228" t="s">
        <v>5813</v>
      </c>
      <c r="C3232" s="229" t="s">
        <v>5746</v>
      </c>
      <c r="D3232" s="230" t="s">
        <v>11</v>
      </c>
      <c r="E3232" s="231">
        <v>31.7</v>
      </c>
      <c r="F3232" s="231"/>
    </row>
    <row r="3233" spans="1:6" s="215" customFormat="1" ht="12.75" hidden="1" customHeight="1" outlineLevel="1" x14ac:dyDescent="0.2">
      <c r="A3233" s="215" t="s">
        <v>1279</v>
      </c>
      <c r="B3233" s="216" t="s">
        <v>5814</v>
      </c>
      <c r="C3233" s="217" t="s">
        <v>2967</v>
      </c>
      <c r="D3233" s="218"/>
      <c r="E3233" s="219"/>
      <c r="F3233" s="219"/>
    </row>
    <row r="3234" spans="1:6" s="215" customFormat="1" ht="12.75" hidden="1" customHeight="1" outlineLevel="1" x14ac:dyDescent="0.2">
      <c r="A3234" s="215" t="s">
        <v>1279</v>
      </c>
      <c r="B3234" s="224" t="s">
        <v>5815</v>
      </c>
      <c r="C3234" s="225" t="s">
        <v>5739</v>
      </c>
      <c r="D3234" s="226" t="s">
        <v>11</v>
      </c>
      <c r="E3234" s="227">
        <v>44.83</v>
      </c>
      <c r="F3234" s="227"/>
    </row>
    <row r="3235" spans="1:6" s="215" customFormat="1" ht="12.75" hidden="1" customHeight="1" outlineLevel="1" x14ac:dyDescent="0.2">
      <c r="A3235" s="215" t="s">
        <v>1279</v>
      </c>
      <c r="B3235" s="228" t="s">
        <v>5816</v>
      </c>
      <c r="C3235" s="229" t="s">
        <v>5740</v>
      </c>
      <c r="D3235" s="230" t="s">
        <v>11</v>
      </c>
      <c r="E3235" s="231">
        <v>52.56</v>
      </c>
      <c r="F3235" s="231"/>
    </row>
    <row r="3236" spans="1:6" s="215" customFormat="1" ht="12.75" hidden="1" customHeight="1" outlineLevel="1" x14ac:dyDescent="0.2">
      <c r="A3236" s="215" t="s">
        <v>1279</v>
      </c>
      <c r="B3236" s="224" t="s">
        <v>5817</v>
      </c>
      <c r="C3236" s="225" t="s">
        <v>5741</v>
      </c>
      <c r="D3236" s="226" t="s">
        <v>11</v>
      </c>
      <c r="E3236" s="227">
        <v>18.22</v>
      </c>
      <c r="F3236" s="227"/>
    </row>
    <row r="3237" spans="1:6" s="215" customFormat="1" ht="25.5" hidden="1" customHeight="1" outlineLevel="1" x14ac:dyDescent="0.2">
      <c r="A3237" s="215" t="s">
        <v>1279</v>
      </c>
      <c r="B3237" s="228" t="s">
        <v>5818</v>
      </c>
      <c r="C3237" s="229" t="s">
        <v>5742</v>
      </c>
      <c r="D3237" s="230" t="s">
        <v>11</v>
      </c>
      <c r="E3237" s="231">
        <v>42.55</v>
      </c>
      <c r="F3237" s="231"/>
    </row>
    <row r="3238" spans="1:6" s="215" customFormat="1" ht="12.75" hidden="1" customHeight="1" outlineLevel="1" x14ac:dyDescent="0.2">
      <c r="A3238" s="215" t="s">
        <v>1279</v>
      </c>
      <c r="B3238" s="224" t="s">
        <v>5819</v>
      </c>
      <c r="C3238" s="225" t="s">
        <v>5743</v>
      </c>
      <c r="D3238" s="226" t="s">
        <v>11</v>
      </c>
      <c r="E3238" s="227">
        <v>10.14</v>
      </c>
      <c r="F3238" s="227"/>
    </row>
    <row r="3239" spans="1:6" s="215" customFormat="1" ht="25.5" hidden="1" customHeight="1" outlineLevel="1" x14ac:dyDescent="0.2">
      <c r="A3239" s="215" t="s">
        <v>1279</v>
      </c>
      <c r="B3239" s="228" t="s">
        <v>5820</v>
      </c>
      <c r="C3239" s="229" t="s">
        <v>5744</v>
      </c>
      <c r="D3239" s="230" t="s">
        <v>11</v>
      </c>
      <c r="E3239" s="231">
        <v>45.65</v>
      </c>
      <c r="F3239" s="231"/>
    </row>
    <row r="3240" spans="1:6" s="215" customFormat="1" ht="12.75" hidden="1" customHeight="1" outlineLevel="1" x14ac:dyDescent="0.2">
      <c r="A3240" s="215" t="s">
        <v>1279</v>
      </c>
      <c r="B3240" s="224" t="s">
        <v>5821</v>
      </c>
      <c r="C3240" s="225" t="s">
        <v>5745</v>
      </c>
      <c r="D3240" s="226" t="s">
        <v>11</v>
      </c>
      <c r="E3240" s="227">
        <v>47.73</v>
      </c>
      <c r="F3240" s="227"/>
    </row>
    <row r="3241" spans="1:6" s="215" customFormat="1" ht="25.5" hidden="1" customHeight="1" outlineLevel="1" x14ac:dyDescent="0.2">
      <c r="A3241" s="215" t="s">
        <v>1279</v>
      </c>
      <c r="B3241" s="228" t="s">
        <v>5822</v>
      </c>
      <c r="C3241" s="229" t="s">
        <v>5746</v>
      </c>
      <c r="D3241" s="230" t="s">
        <v>11</v>
      </c>
      <c r="E3241" s="231">
        <v>31.69</v>
      </c>
      <c r="F3241" s="231"/>
    </row>
    <row r="3242" spans="1:6" s="215" customFormat="1" ht="12.75" hidden="1" customHeight="1" outlineLevel="1" x14ac:dyDescent="0.2">
      <c r="A3242" s="215" t="s">
        <v>1279</v>
      </c>
      <c r="B3242" s="216" t="s">
        <v>5823</v>
      </c>
      <c r="C3242" s="217" t="s">
        <v>2968</v>
      </c>
      <c r="D3242" s="218"/>
      <c r="E3242" s="219"/>
      <c r="F3242" s="219"/>
    </row>
    <row r="3243" spans="1:6" s="215" customFormat="1" ht="12.75" hidden="1" customHeight="1" outlineLevel="1" x14ac:dyDescent="0.2">
      <c r="A3243" s="215" t="s">
        <v>1279</v>
      </c>
      <c r="B3243" s="224" t="s">
        <v>5824</v>
      </c>
      <c r="C3243" s="225" t="s">
        <v>5739</v>
      </c>
      <c r="D3243" s="226" t="s">
        <v>11</v>
      </c>
      <c r="E3243" s="227">
        <v>46.76</v>
      </c>
      <c r="F3243" s="227"/>
    </row>
    <row r="3244" spans="1:6" s="215" customFormat="1" ht="12.75" hidden="1" customHeight="1" outlineLevel="1" x14ac:dyDescent="0.2">
      <c r="A3244" s="215" t="s">
        <v>1279</v>
      </c>
      <c r="B3244" s="228" t="s">
        <v>5825</v>
      </c>
      <c r="C3244" s="229" t="s">
        <v>5740</v>
      </c>
      <c r="D3244" s="230" t="s">
        <v>11</v>
      </c>
      <c r="E3244" s="231">
        <v>49.42</v>
      </c>
      <c r="F3244" s="231"/>
    </row>
    <row r="3245" spans="1:6" s="215" customFormat="1" ht="12.75" hidden="1" customHeight="1" outlineLevel="1" x14ac:dyDescent="0.2">
      <c r="A3245" s="215" t="s">
        <v>1279</v>
      </c>
      <c r="B3245" s="224" t="s">
        <v>5826</v>
      </c>
      <c r="C3245" s="225" t="s">
        <v>5741</v>
      </c>
      <c r="D3245" s="226" t="s">
        <v>11</v>
      </c>
      <c r="E3245" s="227">
        <v>17.760000000000002</v>
      </c>
      <c r="F3245" s="227"/>
    </row>
    <row r="3246" spans="1:6" s="215" customFormat="1" ht="25.5" hidden="1" customHeight="1" outlineLevel="1" x14ac:dyDescent="0.2">
      <c r="A3246" s="215" t="s">
        <v>1279</v>
      </c>
      <c r="B3246" s="228" t="s">
        <v>5827</v>
      </c>
      <c r="C3246" s="229" t="s">
        <v>5742</v>
      </c>
      <c r="D3246" s="230" t="s">
        <v>11</v>
      </c>
      <c r="E3246" s="231">
        <v>36.590000000000003</v>
      </c>
      <c r="F3246" s="231"/>
    </row>
    <row r="3247" spans="1:6" s="215" customFormat="1" ht="12.75" hidden="1" customHeight="1" outlineLevel="1" x14ac:dyDescent="0.2">
      <c r="A3247" s="215" t="s">
        <v>1279</v>
      </c>
      <c r="B3247" s="224" t="s">
        <v>5828</v>
      </c>
      <c r="C3247" s="225" t="s">
        <v>5743</v>
      </c>
      <c r="D3247" s="226" t="s">
        <v>11</v>
      </c>
      <c r="E3247" s="227">
        <v>10.31</v>
      </c>
      <c r="F3247" s="227"/>
    </row>
    <row r="3248" spans="1:6" s="215" customFormat="1" ht="25.5" hidden="1" customHeight="1" outlineLevel="1" x14ac:dyDescent="0.2">
      <c r="A3248" s="215" t="s">
        <v>1279</v>
      </c>
      <c r="B3248" s="228" t="s">
        <v>5829</v>
      </c>
      <c r="C3248" s="229" t="s">
        <v>5744</v>
      </c>
      <c r="D3248" s="230" t="s">
        <v>11</v>
      </c>
      <c r="E3248" s="231">
        <v>40.51</v>
      </c>
      <c r="F3248" s="231"/>
    </row>
    <row r="3249" spans="1:6" s="215" customFormat="1" ht="12.75" hidden="1" customHeight="1" outlineLevel="1" x14ac:dyDescent="0.2">
      <c r="A3249" s="215" t="s">
        <v>1279</v>
      </c>
      <c r="B3249" s="224" t="s">
        <v>5830</v>
      </c>
      <c r="C3249" s="225" t="s">
        <v>5745</v>
      </c>
      <c r="D3249" s="226" t="s">
        <v>11</v>
      </c>
      <c r="E3249" s="227">
        <v>48.49</v>
      </c>
      <c r="F3249" s="227"/>
    </row>
    <row r="3250" spans="1:6" s="215" customFormat="1" ht="25.5" hidden="1" customHeight="1" outlineLevel="1" x14ac:dyDescent="0.2">
      <c r="A3250" s="215" t="s">
        <v>1279</v>
      </c>
      <c r="B3250" s="228" t="s">
        <v>5831</v>
      </c>
      <c r="C3250" s="229" t="s">
        <v>5746</v>
      </c>
      <c r="D3250" s="230" t="s">
        <v>11</v>
      </c>
      <c r="E3250" s="231">
        <v>31.7</v>
      </c>
      <c r="F3250" s="231"/>
    </row>
    <row r="3251" spans="1:6" s="215" customFormat="1" ht="12.75" hidden="1" customHeight="1" outlineLevel="1" x14ac:dyDescent="0.2">
      <c r="A3251" s="215" t="s">
        <v>1279</v>
      </c>
      <c r="B3251" s="216" t="s">
        <v>5832</v>
      </c>
      <c r="C3251" s="217" t="s">
        <v>2969</v>
      </c>
      <c r="D3251" s="218"/>
      <c r="E3251" s="219"/>
      <c r="F3251" s="219"/>
    </row>
    <row r="3252" spans="1:6" s="215" customFormat="1" ht="12.75" hidden="1" customHeight="1" outlineLevel="1" x14ac:dyDescent="0.2">
      <c r="A3252" s="215" t="s">
        <v>1279</v>
      </c>
      <c r="B3252" s="224" t="s">
        <v>5833</v>
      </c>
      <c r="C3252" s="225" t="s">
        <v>5739</v>
      </c>
      <c r="D3252" s="226" t="s">
        <v>11</v>
      </c>
      <c r="E3252" s="227">
        <v>44.83</v>
      </c>
      <c r="F3252" s="227"/>
    </row>
    <row r="3253" spans="1:6" s="215" customFormat="1" ht="12.75" hidden="1" customHeight="1" outlineLevel="1" x14ac:dyDescent="0.2">
      <c r="A3253" s="215" t="s">
        <v>1279</v>
      </c>
      <c r="B3253" s="228" t="s">
        <v>5834</v>
      </c>
      <c r="C3253" s="229" t="s">
        <v>5740</v>
      </c>
      <c r="D3253" s="230" t="s">
        <v>11</v>
      </c>
      <c r="E3253" s="231">
        <v>52.56</v>
      </c>
      <c r="F3253" s="231"/>
    </row>
    <row r="3254" spans="1:6" s="215" customFormat="1" ht="12.75" hidden="1" customHeight="1" outlineLevel="1" x14ac:dyDescent="0.2">
      <c r="A3254" s="215" t="s">
        <v>1279</v>
      </c>
      <c r="B3254" s="224" t="s">
        <v>5835</v>
      </c>
      <c r="C3254" s="225" t="s">
        <v>5741</v>
      </c>
      <c r="D3254" s="226" t="s">
        <v>11</v>
      </c>
      <c r="E3254" s="227">
        <v>23.68</v>
      </c>
      <c r="F3254" s="227"/>
    </row>
    <row r="3255" spans="1:6" s="215" customFormat="1" ht="25.5" hidden="1" customHeight="1" outlineLevel="1" x14ac:dyDescent="0.2">
      <c r="A3255" s="215" t="s">
        <v>1279</v>
      </c>
      <c r="B3255" s="228" t="s">
        <v>5836</v>
      </c>
      <c r="C3255" s="229" t="s">
        <v>5742</v>
      </c>
      <c r="D3255" s="230" t="s">
        <v>11</v>
      </c>
      <c r="E3255" s="231">
        <v>42.55</v>
      </c>
      <c r="F3255" s="231"/>
    </row>
    <row r="3256" spans="1:6" s="215" customFormat="1" ht="12.75" hidden="1" customHeight="1" outlineLevel="1" x14ac:dyDescent="0.2">
      <c r="A3256" s="215" t="s">
        <v>1279</v>
      </c>
      <c r="B3256" s="224" t="s">
        <v>5837</v>
      </c>
      <c r="C3256" s="225" t="s">
        <v>5743</v>
      </c>
      <c r="D3256" s="226" t="s">
        <v>11</v>
      </c>
      <c r="E3256" s="227">
        <v>10.14</v>
      </c>
      <c r="F3256" s="227"/>
    </row>
    <row r="3257" spans="1:6" s="215" customFormat="1" ht="25.5" hidden="1" customHeight="1" outlineLevel="1" x14ac:dyDescent="0.2">
      <c r="A3257" s="215" t="s">
        <v>1279</v>
      </c>
      <c r="B3257" s="228" t="s">
        <v>5838</v>
      </c>
      <c r="C3257" s="229" t="s">
        <v>5744</v>
      </c>
      <c r="D3257" s="230" t="s">
        <v>11</v>
      </c>
      <c r="E3257" s="231">
        <v>45.65</v>
      </c>
      <c r="F3257" s="231"/>
    </row>
    <row r="3258" spans="1:6" s="215" customFormat="1" ht="12.75" hidden="1" customHeight="1" outlineLevel="1" x14ac:dyDescent="0.2">
      <c r="A3258" s="215" t="s">
        <v>1279</v>
      </c>
      <c r="B3258" s="224" t="s">
        <v>5839</v>
      </c>
      <c r="C3258" s="225" t="s">
        <v>5745</v>
      </c>
      <c r="D3258" s="226" t="s">
        <v>11</v>
      </c>
      <c r="E3258" s="227">
        <v>47.73</v>
      </c>
      <c r="F3258" s="227"/>
    </row>
    <row r="3259" spans="1:6" s="215" customFormat="1" ht="25.5" hidden="1" customHeight="1" outlineLevel="1" x14ac:dyDescent="0.2">
      <c r="A3259" s="215" t="s">
        <v>1279</v>
      </c>
      <c r="B3259" s="228" t="s">
        <v>5840</v>
      </c>
      <c r="C3259" s="229" t="s">
        <v>5746</v>
      </c>
      <c r="D3259" s="230" t="s">
        <v>11</v>
      </c>
      <c r="E3259" s="231">
        <v>31.69</v>
      </c>
      <c r="F3259" s="231"/>
    </row>
    <row r="3260" spans="1:6" s="215" customFormat="1" ht="12.75" hidden="1" customHeight="1" outlineLevel="1" x14ac:dyDescent="0.2">
      <c r="A3260" s="215" t="s">
        <v>1279</v>
      </c>
      <c r="B3260" s="216" t="s">
        <v>5841</v>
      </c>
      <c r="C3260" s="217" t="s">
        <v>2970</v>
      </c>
      <c r="D3260" s="218"/>
      <c r="E3260" s="219"/>
      <c r="F3260" s="219"/>
    </row>
    <row r="3261" spans="1:6" s="215" customFormat="1" ht="12.75" hidden="1" customHeight="1" outlineLevel="1" x14ac:dyDescent="0.2">
      <c r="A3261" s="215" t="s">
        <v>1279</v>
      </c>
      <c r="B3261" s="224" t="s">
        <v>5842</v>
      </c>
      <c r="C3261" s="225" t="s">
        <v>5739</v>
      </c>
      <c r="D3261" s="226" t="s">
        <v>11</v>
      </c>
      <c r="E3261" s="227">
        <v>46.76</v>
      </c>
      <c r="F3261" s="227"/>
    </row>
    <row r="3262" spans="1:6" s="215" customFormat="1" ht="12.75" hidden="1" customHeight="1" outlineLevel="1" x14ac:dyDescent="0.2">
      <c r="A3262" s="215" t="s">
        <v>1279</v>
      </c>
      <c r="B3262" s="228" t="s">
        <v>5843</v>
      </c>
      <c r="C3262" s="229" t="s">
        <v>5740</v>
      </c>
      <c r="D3262" s="230" t="s">
        <v>11</v>
      </c>
      <c r="E3262" s="231">
        <v>46.89</v>
      </c>
      <c r="F3262" s="231"/>
    </row>
    <row r="3263" spans="1:6" s="215" customFormat="1" ht="12.75" hidden="1" customHeight="1" outlineLevel="1" x14ac:dyDescent="0.2">
      <c r="A3263" s="215" t="s">
        <v>1279</v>
      </c>
      <c r="B3263" s="224" t="s">
        <v>5844</v>
      </c>
      <c r="C3263" s="225" t="s">
        <v>5741</v>
      </c>
      <c r="D3263" s="226" t="s">
        <v>11</v>
      </c>
      <c r="E3263" s="227">
        <v>17.760000000000002</v>
      </c>
      <c r="F3263" s="227"/>
    </row>
    <row r="3264" spans="1:6" s="215" customFormat="1" ht="25.5" hidden="1" customHeight="1" outlineLevel="1" x14ac:dyDescent="0.2">
      <c r="A3264" s="215" t="s">
        <v>1279</v>
      </c>
      <c r="B3264" s="228" t="s">
        <v>5845</v>
      </c>
      <c r="C3264" s="229" t="s">
        <v>5742</v>
      </c>
      <c r="D3264" s="230" t="s">
        <v>11</v>
      </c>
      <c r="E3264" s="231">
        <v>36.590000000000003</v>
      </c>
      <c r="F3264" s="231"/>
    </row>
    <row r="3265" spans="1:6" s="215" customFormat="1" ht="12.75" hidden="1" customHeight="1" outlineLevel="1" x14ac:dyDescent="0.2">
      <c r="A3265" s="215" t="s">
        <v>1279</v>
      </c>
      <c r="B3265" s="224" t="s">
        <v>5846</v>
      </c>
      <c r="C3265" s="225" t="s">
        <v>5743</v>
      </c>
      <c r="D3265" s="226" t="s">
        <v>11</v>
      </c>
      <c r="E3265" s="227">
        <v>10.31</v>
      </c>
      <c r="F3265" s="227"/>
    </row>
    <row r="3266" spans="1:6" s="215" customFormat="1" ht="25.5" hidden="1" customHeight="1" outlineLevel="1" x14ac:dyDescent="0.2">
      <c r="A3266" s="215" t="s">
        <v>1279</v>
      </c>
      <c r="B3266" s="228" t="s">
        <v>5847</v>
      </c>
      <c r="C3266" s="229" t="s">
        <v>5744</v>
      </c>
      <c r="D3266" s="230" t="s">
        <v>11</v>
      </c>
      <c r="E3266" s="231">
        <v>40.49</v>
      </c>
      <c r="F3266" s="231"/>
    </row>
    <row r="3267" spans="1:6" s="215" customFormat="1" ht="12.75" hidden="1" customHeight="1" outlineLevel="1" x14ac:dyDescent="0.2">
      <c r="A3267" s="215" t="s">
        <v>1279</v>
      </c>
      <c r="B3267" s="224" t="s">
        <v>5848</v>
      </c>
      <c r="C3267" s="225" t="s">
        <v>5745</v>
      </c>
      <c r="D3267" s="226" t="s">
        <v>11</v>
      </c>
      <c r="E3267" s="227">
        <v>48.49</v>
      </c>
      <c r="F3267" s="227"/>
    </row>
    <row r="3268" spans="1:6" s="215" customFormat="1" ht="25.5" hidden="1" customHeight="1" outlineLevel="1" x14ac:dyDescent="0.2">
      <c r="A3268" s="215" t="s">
        <v>1279</v>
      </c>
      <c r="B3268" s="228" t="s">
        <v>5849</v>
      </c>
      <c r="C3268" s="229" t="s">
        <v>5746</v>
      </c>
      <c r="D3268" s="230" t="s">
        <v>11</v>
      </c>
      <c r="E3268" s="231">
        <v>31.7</v>
      </c>
      <c r="F3268" s="231"/>
    </row>
    <row r="3269" spans="1:6" s="215" customFormat="1" ht="12.75" hidden="1" customHeight="1" outlineLevel="1" x14ac:dyDescent="0.2">
      <c r="A3269" s="215" t="s">
        <v>1279</v>
      </c>
      <c r="B3269" s="216" t="s">
        <v>5850</v>
      </c>
      <c r="C3269" s="217" t="s">
        <v>2971</v>
      </c>
      <c r="D3269" s="218"/>
      <c r="E3269" s="219"/>
      <c r="F3269" s="219"/>
    </row>
    <row r="3270" spans="1:6" s="215" customFormat="1" ht="12.75" hidden="1" customHeight="1" outlineLevel="1" x14ac:dyDescent="0.2">
      <c r="A3270" s="215" t="s">
        <v>1279</v>
      </c>
      <c r="B3270" s="224" t="s">
        <v>5851</v>
      </c>
      <c r="C3270" s="225" t="s">
        <v>5739</v>
      </c>
      <c r="D3270" s="226" t="s">
        <v>11</v>
      </c>
      <c r="E3270" s="227">
        <v>46.86</v>
      </c>
      <c r="F3270" s="227"/>
    </row>
    <row r="3271" spans="1:6" s="215" customFormat="1" ht="12.75" hidden="1" customHeight="1" outlineLevel="1" x14ac:dyDescent="0.2">
      <c r="A3271" s="215" t="s">
        <v>1279</v>
      </c>
      <c r="B3271" s="228" t="s">
        <v>5852</v>
      </c>
      <c r="C3271" s="229" t="s">
        <v>5740</v>
      </c>
      <c r="D3271" s="230" t="s">
        <v>11</v>
      </c>
      <c r="E3271" s="231">
        <v>74.069999999999993</v>
      </c>
      <c r="F3271" s="231"/>
    </row>
    <row r="3272" spans="1:6" s="215" customFormat="1" ht="12.75" hidden="1" customHeight="1" outlineLevel="1" x14ac:dyDescent="0.2">
      <c r="A3272" s="215" t="s">
        <v>1279</v>
      </c>
      <c r="B3272" s="224" t="s">
        <v>5853</v>
      </c>
      <c r="C3272" s="225" t="s">
        <v>5741</v>
      </c>
      <c r="D3272" s="226" t="s">
        <v>11</v>
      </c>
      <c r="E3272" s="227">
        <v>18.010000000000002</v>
      </c>
      <c r="F3272" s="227"/>
    </row>
    <row r="3273" spans="1:6" s="215" customFormat="1" ht="25.5" hidden="1" customHeight="1" outlineLevel="1" x14ac:dyDescent="0.2">
      <c r="A3273" s="215" t="s">
        <v>1279</v>
      </c>
      <c r="B3273" s="228" t="s">
        <v>5854</v>
      </c>
      <c r="C3273" s="229" t="s">
        <v>5742</v>
      </c>
      <c r="D3273" s="230" t="s">
        <v>11</v>
      </c>
      <c r="E3273" s="231">
        <v>62.1</v>
      </c>
      <c r="F3273" s="231"/>
    </row>
    <row r="3274" spans="1:6" s="215" customFormat="1" ht="12.75" hidden="1" customHeight="1" outlineLevel="1" x14ac:dyDescent="0.2">
      <c r="A3274" s="215" t="s">
        <v>1279</v>
      </c>
      <c r="B3274" s="224" t="s">
        <v>5855</v>
      </c>
      <c r="C3274" s="225" t="s">
        <v>5743</v>
      </c>
      <c r="D3274" s="226" t="s">
        <v>11</v>
      </c>
      <c r="E3274" s="227">
        <v>10.14</v>
      </c>
      <c r="F3274" s="227"/>
    </row>
    <row r="3275" spans="1:6" s="215" customFormat="1" ht="25.5" hidden="1" customHeight="1" outlineLevel="1" x14ac:dyDescent="0.2">
      <c r="A3275" s="215" t="s">
        <v>1279</v>
      </c>
      <c r="B3275" s="228" t="s">
        <v>5856</v>
      </c>
      <c r="C3275" s="229" t="s">
        <v>5744</v>
      </c>
      <c r="D3275" s="230" t="s">
        <v>11</v>
      </c>
      <c r="E3275" s="231">
        <v>63.09</v>
      </c>
      <c r="F3275" s="231"/>
    </row>
    <row r="3276" spans="1:6" s="215" customFormat="1" ht="12.75" hidden="1" customHeight="1" outlineLevel="1" x14ac:dyDescent="0.2">
      <c r="A3276" s="215" t="s">
        <v>1279</v>
      </c>
      <c r="B3276" s="224" t="s">
        <v>5857</v>
      </c>
      <c r="C3276" s="225" t="s">
        <v>5745</v>
      </c>
      <c r="D3276" s="226" t="s">
        <v>11</v>
      </c>
      <c r="E3276" s="227">
        <v>47.73</v>
      </c>
      <c r="F3276" s="227"/>
    </row>
    <row r="3277" spans="1:6" s="215" customFormat="1" ht="25.5" hidden="1" customHeight="1" outlineLevel="1" x14ac:dyDescent="0.2">
      <c r="A3277" s="215" t="s">
        <v>1279</v>
      </c>
      <c r="B3277" s="228" t="s">
        <v>5858</v>
      </c>
      <c r="C3277" s="229" t="s">
        <v>5746</v>
      </c>
      <c r="D3277" s="230" t="s">
        <v>11</v>
      </c>
      <c r="E3277" s="231">
        <v>42.25</v>
      </c>
      <c r="F3277" s="231"/>
    </row>
    <row r="3278" spans="1:6" s="215" customFormat="1" ht="12.75" hidden="1" customHeight="1" outlineLevel="1" x14ac:dyDescent="0.2">
      <c r="A3278" s="215" t="s">
        <v>1279</v>
      </c>
      <c r="B3278" s="216" t="s">
        <v>5859</v>
      </c>
      <c r="C3278" s="217" t="s">
        <v>2972</v>
      </c>
      <c r="D3278" s="218"/>
      <c r="E3278" s="219"/>
      <c r="F3278" s="219"/>
    </row>
    <row r="3279" spans="1:6" s="215" customFormat="1" ht="12.75" hidden="1" customHeight="1" outlineLevel="1" x14ac:dyDescent="0.2">
      <c r="A3279" s="215" t="s">
        <v>1279</v>
      </c>
      <c r="B3279" s="224" t="s">
        <v>5860</v>
      </c>
      <c r="C3279" s="225" t="s">
        <v>5739</v>
      </c>
      <c r="D3279" s="226" t="s">
        <v>11</v>
      </c>
      <c r="E3279" s="227">
        <v>44.12</v>
      </c>
      <c r="F3279" s="227"/>
    </row>
    <row r="3280" spans="1:6" s="215" customFormat="1" ht="12.75" hidden="1" customHeight="1" outlineLevel="1" x14ac:dyDescent="0.2">
      <c r="A3280" s="215" t="s">
        <v>1279</v>
      </c>
      <c r="B3280" s="228" t="s">
        <v>5861</v>
      </c>
      <c r="C3280" s="229" t="s">
        <v>5740</v>
      </c>
      <c r="D3280" s="230" t="s">
        <v>11</v>
      </c>
      <c r="E3280" s="231">
        <v>49.11</v>
      </c>
      <c r="F3280" s="231"/>
    </row>
    <row r="3281" spans="1:6" s="215" customFormat="1" ht="12.75" hidden="1" customHeight="1" outlineLevel="1" x14ac:dyDescent="0.2">
      <c r="A3281" s="215" t="s">
        <v>1279</v>
      </c>
      <c r="B3281" s="224" t="s">
        <v>5862</v>
      </c>
      <c r="C3281" s="225" t="s">
        <v>5741</v>
      </c>
      <c r="D3281" s="226" t="s">
        <v>11</v>
      </c>
      <c r="E3281" s="227">
        <v>14.82</v>
      </c>
      <c r="F3281" s="227"/>
    </row>
    <row r="3282" spans="1:6" s="215" customFormat="1" ht="25.5" hidden="1" customHeight="1" outlineLevel="1" x14ac:dyDescent="0.2">
      <c r="A3282" s="215" t="s">
        <v>1279</v>
      </c>
      <c r="B3282" s="228" t="s">
        <v>5863</v>
      </c>
      <c r="C3282" s="229" t="s">
        <v>5742</v>
      </c>
      <c r="D3282" s="230" t="s">
        <v>11</v>
      </c>
      <c r="E3282" s="231">
        <v>18.91</v>
      </c>
      <c r="F3282" s="231"/>
    </row>
    <row r="3283" spans="1:6" s="215" customFormat="1" ht="12.75" hidden="1" customHeight="1" outlineLevel="1" x14ac:dyDescent="0.2">
      <c r="A3283" s="215" t="s">
        <v>1279</v>
      </c>
      <c r="B3283" s="224" t="s">
        <v>5864</v>
      </c>
      <c r="C3283" s="225" t="s">
        <v>5743</v>
      </c>
      <c r="D3283" s="226" t="s">
        <v>11</v>
      </c>
      <c r="E3283" s="227">
        <v>51.63</v>
      </c>
      <c r="F3283" s="227"/>
    </row>
    <row r="3284" spans="1:6" s="215" customFormat="1" ht="25.5" hidden="1" customHeight="1" outlineLevel="1" x14ac:dyDescent="0.2">
      <c r="A3284" s="215" t="s">
        <v>1279</v>
      </c>
      <c r="B3284" s="228" t="s">
        <v>5865</v>
      </c>
      <c r="C3284" s="229" t="s">
        <v>5744</v>
      </c>
      <c r="D3284" s="230" t="s">
        <v>11</v>
      </c>
      <c r="E3284" s="231">
        <v>14.38</v>
      </c>
      <c r="F3284" s="231"/>
    </row>
    <row r="3285" spans="1:6" s="215" customFormat="1" ht="12.75" hidden="1" customHeight="1" outlineLevel="1" x14ac:dyDescent="0.2">
      <c r="A3285" s="215" t="s">
        <v>1279</v>
      </c>
      <c r="B3285" s="224" t="s">
        <v>5866</v>
      </c>
      <c r="C3285" s="225" t="s">
        <v>5745</v>
      </c>
      <c r="D3285" s="226" t="s">
        <v>11</v>
      </c>
      <c r="E3285" s="227">
        <v>106.29</v>
      </c>
      <c r="F3285" s="227"/>
    </row>
    <row r="3286" spans="1:6" s="215" customFormat="1" ht="25.5" hidden="1" customHeight="1" outlineLevel="1" x14ac:dyDescent="0.2">
      <c r="A3286" s="215" t="s">
        <v>1279</v>
      </c>
      <c r="B3286" s="228" t="s">
        <v>5867</v>
      </c>
      <c r="C3286" s="229" t="s">
        <v>5746</v>
      </c>
      <c r="D3286" s="230" t="s">
        <v>11</v>
      </c>
      <c r="E3286" s="231">
        <v>48.13</v>
      </c>
      <c r="F3286" s="231"/>
    </row>
    <row r="3287" spans="1:6" s="215" customFormat="1" ht="12.75" hidden="1" customHeight="1" outlineLevel="1" x14ac:dyDescent="0.2">
      <c r="A3287" s="215" t="s">
        <v>1279</v>
      </c>
      <c r="B3287" s="216" t="s">
        <v>5868</v>
      </c>
      <c r="C3287" s="217" t="s">
        <v>2973</v>
      </c>
      <c r="D3287" s="218"/>
      <c r="E3287" s="219"/>
      <c r="F3287" s="219"/>
    </row>
    <row r="3288" spans="1:6" s="215" customFormat="1" ht="12.75" hidden="1" customHeight="1" outlineLevel="1" x14ac:dyDescent="0.2">
      <c r="A3288" s="215" t="s">
        <v>1279</v>
      </c>
      <c r="B3288" s="224" t="s">
        <v>5869</v>
      </c>
      <c r="C3288" s="225" t="s">
        <v>5739</v>
      </c>
      <c r="D3288" s="226" t="s">
        <v>11</v>
      </c>
      <c r="E3288" s="227">
        <v>53.88</v>
      </c>
      <c r="F3288" s="227"/>
    </row>
    <row r="3289" spans="1:6" s="215" customFormat="1" ht="12.75" hidden="1" customHeight="1" outlineLevel="1" x14ac:dyDescent="0.2">
      <c r="A3289" s="215" t="s">
        <v>1279</v>
      </c>
      <c r="B3289" s="228" t="s">
        <v>5870</v>
      </c>
      <c r="C3289" s="229" t="s">
        <v>5740</v>
      </c>
      <c r="D3289" s="230" t="s">
        <v>11</v>
      </c>
      <c r="E3289" s="231">
        <v>44.72</v>
      </c>
      <c r="F3289" s="231"/>
    </row>
    <row r="3290" spans="1:6" s="215" customFormat="1" ht="12.75" hidden="1" customHeight="1" outlineLevel="1" x14ac:dyDescent="0.2">
      <c r="A3290" s="215" t="s">
        <v>1279</v>
      </c>
      <c r="B3290" s="224" t="s">
        <v>5871</v>
      </c>
      <c r="C3290" s="225" t="s">
        <v>5741</v>
      </c>
      <c r="D3290" s="226" t="s">
        <v>11</v>
      </c>
      <c r="E3290" s="227">
        <v>5.68</v>
      </c>
      <c r="F3290" s="227"/>
    </row>
    <row r="3291" spans="1:6" s="215" customFormat="1" ht="25.5" hidden="1" customHeight="1" outlineLevel="1" x14ac:dyDescent="0.2">
      <c r="A3291" s="215" t="s">
        <v>1279</v>
      </c>
      <c r="B3291" s="228" t="s">
        <v>5872</v>
      </c>
      <c r="C3291" s="229" t="s">
        <v>5742</v>
      </c>
      <c r="D3291" s="230" t="s">
        <v>11</v>
      </c>
      <c r="E3291" s="231">
        <v>9.33</v>
      </c>
      <c r="F3291" s="231"/>
    </row>
    <row r="3292" spans="1:6" s="215" customFormat="1" ht="12.75" hidden="1" customHeight="1" outlineLevel="1" x14ac:dyDescent="0.2">
      <c r="A3292" s="215" t="s">
        <v>1279</v>
      </c>
      <c r="B3292" s="224" t="s">
        <v>5873</v>
      </c>
      <c r="C3292" s="225" t="s">
        <v>5743</v>
      </c>
      <c r="D3292" s="226" t="s">
        <v>11</v>
      </c>
      <c r="E3292" s="227">
        <v>15.98</v>
      </c>
      <c r="F3292" s="227"/>
    </row>
    <row r="3293" spans="1:6" s="215" customFormat="1" ht="25.5" hidden="1" customHeight="1" outlineLevel="1" x14ac:dyDescent="0.2">
      <c r="A3293" s="215" t="s">
        <v>1279</v>
      </c>
      <c r="B3293" s="228" t="s">
        <v>5874</v>
      </c>
      <c r="C3293" s="229" t="s">
        <v>5744</v>
      </c>
      <c r="D3293" s="230" t="s">
        <v>11</v>
      </c>
      <c r="E3293" s="231">
        <v>7.3</v>
      </c>
      <c r="F3293" s="231"/>
    </row>
    <row r="3294" spans="1:6" s="215" customFormat="1" ht="12.75" hidden="1" customHeight="1" outlineLevel="1" x14ac:dyDescent="0.2">
      <c r="A3294" s="215" t="s">
        <v>1279</v>
      </c>
      <c r="B3294" s="224" t="s">
        <v>5875</v>
      </c>
      <c r="C3294" s="225" t="s">
        <v>5745</v>
      </c>
      <c r="D3294" s="226" t="s">
        <v>11</v>
      </c>
      <c r="E3294" s="227">
        <v>92.62</v>
      </c>
      <c r="F3294" s="227"/>
    </row>
    <row r="3295" spans="1:6" s="215" customFormat="1" ht="25.5" hidden="1" customHeight="1" outlineLevel="1" x14ac:dyDescent="0.2">
      <c r="A3295" s="215" t="s">
        <v>1279</v>
      </c>
      <c r="B3295" s="228" t="s">
        <v>5876</v>
      </c>
      <c r="C3295" s="229" t="s">
        <v>5746</v>
      </c>
      <c r="D3295" s="230" t="s">
        <v>11</v>
      </c>
      <c r="E3295" s="231">
        <v>48.43</v>
      </c>
      <c r="F3295" s="231"/>
    </row>
    <row r="3296" spans="1:6" s="215" customFormat="1" ht="12.75" hidden="1" customHeight="1" outlineLevel="1" x14ac:dyDescent="0.2">
      <c r="A3296" s="215" t="s">
        <v>1279</v>
      </c>
      <c r="B3296" s="216" t="s">
        <v>5877</v>
      </c>
      <c r="C3296" s="217" t="s">
        <v>2974</v>
      </c>
      <c r="D3296" s="218"/>
      <c r="E3296" s="219"/>
      <c r="F3296" s="219"/>
    </row>
    <row r="3297" spans="1:6" s="215" customFormat="1" ht="12.75" hidden="1" customHeight="1" outlineLevel="1" x14ac:dyDescent="0.2">
      <c r="A3297" s="215" t="s">
        <v>1279</v>
      </c>
      <c r="B3297" s="224" t="s">
        <v>5878</v>
      </c>
      <c r="C3297" s="225" t="s">
        <v>5739</v>
      </c>
      <c r="D3297" s="226" t="s">
        <v>11</v>
      </c>
      <c r="E3297" s="227">
        <v>43.01</v>
      </c>
      <c r="F3297" s="227"/>
    </row>
    <row r="3298" spans="1:6" s="215" customFormat="1" ht="12.75" hidden="1" customHeight="1" outlineLevel="1" x14ac:dyDescent="0.2">
      <c r="A3298" s="215" t="s">
        <v>1279</v>
      </c>
      <c r="B3298" s="228" t="s">
        <v>5879</v>
      </c>
      <c r="C3298" s="229" t="s">
        <v>5740</v>
      </c>
      <c r="D3298" s="230" t="s">
        <v>11</v>
      </c>
      <c r="E3298" s="231">
        <v>50.8</v>
      </c>
      <c r="F3298" s="231"/>
    </row>
    <row r="3299" spans="1:6" s="215" customFormat="1" ht="12.75" hidden="1" customHeight="1" outlineLevel="1" x14ac:dyDescent="0.2">
      <c r="A3299" s="215" t="s">
        <v>1279</v>
      </c>
      <c r="B3299" s="224" t="s">
        <v>5880</v>
      </c>
      <c r="C3299" s="225" t="s">
        <v>5741</v>
      </c>
      <c r="D3299" s="226" t="s">
        <v>11</v>
      </c>
      <c r="E3299" s="227">
        <v>1.76</v>
      </c>
      <c r="F3299" s="227"/>
    </row>
    <row r="3300" spans="1:6" s="215" customFormat="1" ht="25.5" hidden="1" customHeight="1" outlineLevel="1" x14ac:dyDescent="0.2">
      <c r="A3300" s="215" t="s">
        <v>1279</v>
      </c>
      <c r="B3300" s="228" t="s">
        <v>5881</v>
      </c>
      <c r="C3300" s="229" t="s">
        <v>5742</v>
      </c>
      <c r="D3300" s="230" t="s">
        <v>11</v>
      </c>
      <c r="E3300" s="231">
        <v>18.809999999999999</v>
      </c>
      <c r="F3300" s="231"/>
    </row>
    <row r="3301" spans="1:6" s="215" customFormat="1" ht="12.75" hidden="1" customHeight="1" outlineLevel="1" x14ac:dyDescent="0.2">
      <c r="A3301" s="215" t="s">
        <v>1279</v>
      </c>
      <c r="B3301" s="224" t="s">
        <v>5882</v>
      </c>
      <c r="C3301" s="225" t="s">
        <v>5743</v>
      </c>
      <c r="D3301" s="226" t="s">
        <v>11</v>
      </c>
      <c r="E3301" s="227">
        <v>8.5299999999999994</v>
      </c>
      <c r="F3301" s="227"/>
    </row>
    <row r="3302" spans="1:6" s="215" customFormat="1" ht="25.5" hidden="1" customHeight="1" outlineLevel="1" x14ac:dyDescent="0.2">
      <c r="A3302" s="215" t="s">
        <v>1279</v>
      </c>
      <c r="B3302" s="228" t="s">
        <v>5883</v>
      </c>
      <c r="C3302" s="229" t="s">
        <v>5744</v>
      </c>
      <c r="D3302" s="230" t="s">
        <v>11</v>
      </c>
      <c r="E3302" s="231">
        <v>9.17</v>
      </c>
      <c r="F3302" s="231"/>
    </row>
    <row r="3303" spans="1:6" s="215" customFormat="1" ht="12.75" hidden="1" customHeight="1" outlineLevel="1" x14ac:dyDescent="0.2">
      <c r="A3303" s="215" t="s">
        <v>1279</v>
      </c>
      <c r="B3303" s="224" t="s">
        <v>5884</v>
      </c>
      <c r="C3303" s="225" t="s">
        <v>5745</v>
      </c>
      <c r="D3303" s="226" t="s">
        <v>11</v>
      </c>
      <c r="E3303" s="227">
        <v>43.43</v>
      </c>
      <c r="F3303" s="227"/>
    </row>
    <row r="3304" spans="1:6" s="215" customFormat="1" ht="25.5" hidden="1" customHeight="1" outlineLevel="1" x14ac:dyDescent="0.2">
      <c r="A3304" s="215" t="s">
        <v>1279</v>
      </c>
      <c r="B3304" s="228" t="s">
        <v>5885</v>
      </c>
      <c r="C3304" s="229" t="s">
        <v>5746</v>
      </c>
      <c r="D3304" s="230" t="s">
        <v>11</v>
      </c>
      <c r="E3304" s="231">
        <v>48.75</v>
      </c>
      <c r="F3304" s="231"/>
    </row>
    <row r="3305" spans="1:6" s="215" customFormat="1" ht="12.75" hidden="1" customHeight="1" outlineLevel="1" x14ac:dyDescent="0.2">
      <c r="A3305" s="215" t="s">
        <v>1279</v>
      </c>
      <c r="B3305" s="216" t="s">
        <v>5886</v>
      </c>
      <c r="C3305" s="217" t="s">
        <v>2975</v>
      </c>
      <c r="D3305" s="218"/>
      <c r="E3305" s="219"/>
      <c r="F3305" s="219"/>
    </row>
    <row r="3306" spans="1:6" s="215" customFormat="1" ht="12.75" hidden="1" customHeight="1" outlineLevel="1" x14ac:dyDescent="0.2">
      <c r="A3306" s="215" t="s">
        <v>1279</v>
      </c>
      <c r="B3306" s="224" t="s">
        <v>5887</v>
      </c>
      <c r="C3306" s="225" t="s">
        <v>5739</v>
      </c>
      <c r="D3306" s="226" t="s">
        <v>11</v>
      </c>
      <c r="E3306" s="227">
        <v>45.18</v>
      </c>
      <c r="F3306" s="227"/>
    </row>
    <row r="3307" spans="1:6" s="215" customFormat="1" ht="12.75" hidden="1" customHeight="1" outlineLevel="1" x14ac:dyDescent="0.2">
      <c r="A3307" s="215" t="s">
        <v>1279</v>
      </c>
      <c r="B3307" s="228" t="s">
        <v>5888</v>
      </c>
      <c r="C3307" s="229" t="s">
        <v>5740</v>
      </c>
      <c r="D3307" s="230" t="s">
        <v>11</v>
      </c>
      <c r="E3307" s="231">
        <v>45.12</v>
      </c>
      <c r="F3307" s="231"/>
    </row>
    <row r="3308" spans="1:6" s="215" customFormat="1" ht="12.75" hidden="1" customHeight="1" outlineLevel="1" x14ac:dyDescent="0.2">
      <c r="A3308" s="215" t="s">
        <v>1279</v>
      </c>
      <c r="B3308" s="224" t="s">
        <v>5889</v>
      </c>
      <c r="C3308" s="225" t="s">
        <v>5741</v>
      </c>
      <c r="D3308" s="226" t="s">
        <v>11</v>
      </c>
      <c r="E3308" s="227">
        <v>2.67</v>
      </c>
      <c r="F3308" s="227"/>
    </row>
    <row r="3309" spans="1:6" s="215" customFormat="1" ht="25.5" hidden="1" customHeight="1" outlineLevel="1" x14ac:dyDescent="0.2">
      <c r="A3309" s="215" t="s">
        <v>1279</v>
      </c>
      <c r="B3309" s="228" t="s">
        <v>5890</v>
      </c>
      <c r="C3309" s="229" t="s">
        <v>5742</v>
      </c>
      <c r="D3309" s="230" t="s">
        <v>11</v>
      </c>
      <c r="E3309" s="231">
        <v>9.3800000000000008</v>
      </c>
      <c r="F3309" s="231"/>
    </row>
    <row r="3310" spans="1:6" s="215" customFormat="1" ht="12.75" hidden="1" customHeight="1" outlineLevel="1" x14ac:dyDescent="0.2">
      <c r="A3310" s="215" t="s">
        <v>1279</v>
      </c>
      <c r="B3310" s="224" t="s">
        <v>5891</v>
      </c>
      <c r="C3310" s="225" t="s">
        <v>5743</v>
      </c>
      <c r="D3310" s="226" t="s">
        <v>11</v>
      </c>
      <c r="E3310" s="227">
        <v>6.42</v>
      </c>
      <c r="F3310" s="227"/>
    </row>
    <row r="3311" spans="1:6" s="215" customFormat="1" ht="25.5" hidden="1" customHeight="1" outlineLevel="1" x14ac:dyDescent="0.2">
      <c r="A3311" s="215" t="s">
        <v>1279</v>
      </c>
      <c r="B3311" s="228" t="s">
        <v>5892</v>
      </c>
      <c r="C3311" s="229" t="s">
        <v>5744</v>
      </c>
      <c r="D3311" s="230" t="s">
        <v>11</v>
      </c>
      <c r="E3311" s="231">
        <v>6.88</v>
      </c>
      <c r="F3311" s="231"/>
    </row>
    <row r="3312" spans="1:6" s="215" customFormat="1" ht="12.75" hidden="1" customHeight="1" outlineLevel="1" x14ac:dyDescent="0.2">
      <c r="A3312" s="215" t="s">
        <v>1279</v>
      </c>
      <c r="B3312" s="224" t="s">
        <v>5893</v>
      </c>
      <c r="C3312" s="225" t="s">
        <v>5745</v>
      </c>
      <c r="D3312" s="226" t="s">
        <v>11</v>
      </c>
      <c r="E3312" s="227">
        <v>42.53</v>
      </c>
      <c r="F3312" s="227"/>
    </row>
    <row r="3313" spans="1:6" s="215" customFormat="1" ht="25.5" hidden="1" customHeight="1" outlineLevel="1" x14ac:dyDescent="0.2">
      <c r="A3313" s="215" t="s">
        <v>1279</v>
      </c>
      <c r="B3313" s="228" t="s">
        <v>5894</v>
      </c>
      <c r="C3313" s="229" t="s">
        <v>5746</v>
      </c>
      <c r="D3313" s="230" t="s">
        <v>11</v>
      </c>
      <c r="E3313" s="231">
        <v>48.48</v>
      </c>
      <c r="F3313" s="231"/>
    </row>
    <row r="3314" spans="1:6" s="215" customFormat="1" ht="12.75" hidden="1" customHeight="1" outlineLevel="1" x14ac:dyDescent="0.2">
      <c r="A3314" s="215" t="s">
        <v>1279</v>
      </c>
      <c r="B3314" s="216" t="s">
        <v>5895</v>
      </c>
      <c r="C3314" s="217" t="s">
        <v>2976</v>
      </c>
      <c r="D3314" s="218"/>
      <c r="E3314" s="219"/>
      <c r="F3314" s="219"/>
    </row>
    <row r="3315" spans="1:6" s="215" customFormat="1" ht="12.75" hidden="1" customHeight="1" outlineLevel="1" x14ac:dyDescent="0.2">
      <c r="A3315" s="215" t="s">
        <v>1279</v>
      </c>
      <c r="B3315" s="224" t="s">
        <v>5896</v>
      </c>
      <c r="C3315" s="225" t="s">
        <v>5739</v>
      </c>
      <c r="D3315" s="226" t="s">
        <v>11</v>
      </c>
      <c r="E3315" s="227">
        <v>49.21</v>
      </c>
      <c r="F3315" s="227"/>
    </row>
    <row r="3316" spans="1:6" s="215" customFormat="1" ht="12.75" hidden="1" customHeight="1" outlineLevel="1" x14ac:dyDescent="0.2">
      <c r="A3316" s="215" t="s">
        <v>1279</v>
      </c>
      <c r="B3316" s="228" t="s">
        <v>5897</v>
      </c>
      <c r="C3316" s="229" t="s">
        <v>5740</v>
      </c>
      <c r="D3316" s="230" t="s">
        <v>11</v>
      </c>
      <c r="E3316" s="231">
        <v>66.099999999999994</v>
      </c>
      <c r="F3316" s="231"/>
    </row>
    <row r="3317" spans="1:6" s="215" customFormat="1" ht="12.75" hidden="1" customHeight="1" outlineLevel="1" x14ac:dyDescent="0.2">
      <c r="A3317" s="215" t="s">
        <v>1279</v>
      </c>
      <c r="B3317" s="224" t="s">
        <v>5898</v>
      </c>
      <c r="C3317" s="225" t="s">
        <v>5741</v>
      </c>
      <c r="D3317" s="226" t="s">
        <v>11</v>
      </c>
      <c r="E3317" s="227">
        <v>2.87</v>
      </c>
      <c r="F3317" s="227"/>
    </row>
    <row r="3318" spans="1:6" s="215" customFormat="1" ht="25.5" hidden="1" customHeight="1" outlineLevel="1" x14ac:dyDescent="0.2">
      <c r="A3318" s="215" t="s">
        <v>1279</v>
      </c>
      <c r="B3318" s="228" t="s">
        <v>5899</v>
      </c>
      <c r="C3318" s="229" t="s">
        <v>5742</v>
      </c>
      <c r="D3318" s="230" t="s">
        <v>11</v>
      </c>
      <c r="E3318" s="231">
        <v>20.41</v>
      </c>
      <c r="F3318" s="231"/>
    </row>
    <row r="3319" spans="1:6" s="215" customFormat="1" ht="12.75" hidden="1" customHeight="1" outlineLevel="1" x14ac:dyDescent="0.2">
      <c r="A3319" s="215" t="s">
        <v>1279</v>
      </c>
      <c r="B3319" s="224" t="s">
        <v>5900</v>
      </c>
      <c r="C3319" s="225" t="s">
        <v>5743</v>
      </c>
      <c r="D3319" s="226" t="s">
        <v>11</v>
      </c>
      <c r="E3319" s="227">
        <v>9</v>
      </c>
      <c r="F3319" s="227"/>
    </row>
    <row r="3320" spans="1:6" s="215" customFormat="1" ht="25.5" hidden="1" customHeight="1" outlineLevel="1" x14ac:dyDescent="0.2">
      <c r="A3320" s="215" t="s">
        <v>1279</v>
      </c>
      <c r="B3320" s="228" t="s">
        <v>5901</v>
      </c>
      <c r="C3320" s="229" t="s">
        <v>5744</v>
      </c>
      <c r="D3320" s="230" t="s">
        <v>11</v>
      </c>
      <c r="E3320" s="231">
        <v>11.12</v>
      </c>
      <c r="F3320" s="231"/>
    </row>
    <row r="3321" spans="1:6" s="215" customFormat="1" ht="12.75" hidden="1" customHeight="1" outlineLevel="1" x14ac:dyDescent="0.2">
      <c r="A3321" s="215" t="s">
        <v>1279</v>
      </c>
      <c r="B3321" s="224" t="s">
        <v>5902</v>
      </c>
      <c r="C3321" s="225" t="s">
        <v>5745</v>
      </c>
      <c r="D3321" s="226" t="s">
        <v>11</v>
      </c>
      <c r="E3321" s="227">
        <v>46.65</v>
      </c>
      <c r="F3321" s="227"/>
    </row>
    <row r="3322" spans="1:6" s="215" customFormat="1" ht="25.5" hidden="1" customHeight="1" outlineLevel="1" x14ac:dyDescent="0.2">
      <c r="A3322" s="215" t="s">
        <v>1279</v>
      </c>
      <c r="B3322" s="228" t="s">
        <v>5903</v>
      </c>
      <c r="C3322" s="229" t="s">
        <v>5746</v>
      </c>
      <c r="D3322" s="230" t="s">
        <v>11</v>
      </c>
      <c r="E3322" s="231">
        <v>58.66</v>
      </c>
      <c r="F3322" s="231"/>
    </row>
    <row r="3323" spans="1:6" s="215" customFormat="1" ht="12.75" hidden="1" customHeight="1" outlineLevel="1" x14ac:dyDescent="0.2">
      <c r="A3323" s="215" t="s">
        <v>1279</v>
      </c>
      <c r="B3323" s="216" t="s">
        <v>5904</v>
      </c>
      <c r="C3323" s="217" t="s">
        <v>2978</v>
      </c>
      <c r="D3323" s="218"/>
      <c r="E3323" s="219"/>
      <c r="F3323" s="219"/>
    </row>
    <row r="3324" spans="1:6" s="215" customFormat="1" ht="12.75" hidden="1" customHeight="1" outlineLevel="1" x14ac:dyDescent="0.2">
      <c r="A3324" s="215" t="s">
        <v>1279</v>
      </c>
      <c r="B3324" s="224" t="s">
        <v>5905</v>
      </c>
      <c r="C3324" s="225" t="s">
        <v>5739</v>
      </c>
      <c r="D3324" s="226" t="s">
        <v>11</v>
      </c>
      <c r="E3324" s="227">
        <v>70.400000000000006</v>
      </c>
      <c r="F3324" s="227"/>
    </row>
    <row r="3325" spans="1:6" s="215" customFormat="1" ht="12.75" hidden="1" customHeight="1" outlineLevel="1" x14ac:dyDescent="0.2">
      <c r="A3325" s="215" t="s">
        <v>1279</v>
      </c>
      <c r="B3325" s="228" t="s">
        <v>5906</v>
      </c>
      <c r="C3325" s="229" t="s">
        <v>5740</v>
      </c>
      <c r="D3325" s="230" t="s">
        <v>11</v>
      </c>
      <c r="E3325" s="231">
        <v>50.89</v>
      </c>
      <c r="F3325" s="231"/>
    </row>
    <row r="3326" spans="1:6" s="215" customFormat="1" ht="12.75" hidden="1" customHeight="1" outlineLevel="1" x14ac:dyDescent="0.2">
      <c r="A3326" s="215" t="s">
        <v>1279</v>
      </c>
      <c r="B3326" s="224" t="s">
        <v>5907</v>
      </c>
      <c r="C3326" s="225" t="s">
        <v>5741</v>
      </c>
      <c r="D3326" s="226" t="s">
        <v>11</v>
      </c>
      <c r="E3326" s="227">
        <v>77.7</v>
      </c>
      <c r="F3326" s="227"/>
    </row>
    <row r="3327" spans="1:6" s="215" customFormat="1" ht="25.5" hidden="1" customHeight="1" outlineLevel="1" x14ac:dyDescent="0.2">
      <c r="A3327" s="215" t="s">
        <v>1279</v>
      </c>
      <c r="B3327" s="228" t="s">
        <v>5908</v>
      </c>
      <c r="C3327" s="229" t="s">
        <v>5742</v>
      </c>
      <c r="D3327" s="230" t="s">
        <v>11</v>
      </c>
      <c r="E3327" s="231">
        <v>27.09</v>
      </c>
      <c r="F3327" s="231"/>
    </row>
    <row r="3328" spans="1:6" s="215" customFormat="1" ht="12.75" hidden="1" customHeight="1" outlineLevel="1" x14ac:dyDescent="0.2">
      <c r="A3328" s="215" t="s">
        <v>1279</v>
      </c>
      <c r="B3328" s="224" t="s">
        <v>5909</v>
      </c>
      <c r="C3328" s="225" t="s">
        <v>5743</v>
      </c>
      <c r="D3328" s="226" t="s">
        <v>11</v>
      </c>
      <c r="E3328" s="227">
        <v>12.41</v>
      </c>
      <c r="F3328" s="227"/>
    </row>
    <row r="3329" spans="1:6" s="215" customFormat="1" ht="25.5" hidden="1" customHeight="1" outlineLevel="1" x14ac:dyDescent="0.2">
      <c r="A3329" s="215" t="s">
        <v>1279</v>
      </c>
      <c r="B3329" s="228" t="s">
        <v>5910</v>
      </c>
      <c r="C3329" s="229" t="s">
        <v>5744</v>
      </c>
      <c r="D3329" s="230" t="s">
        <v>11</v>
      </c>
      <c r="E3329" s="231">
        <v>4.55</v>
      </c>
      <c r="F3329" s="231"/>
    </row>
    <row r="3330" spans="1:6" s="215" customFormat="1" ht="12.75" hidden="1" customHeight="1" outlineLevel="1" x14ac:dyDescent="0.2">
      <c r="A3330" s="215" t="s">
        <v>1279</v>
      </c>
      <c r="B3330" s="224" t="s">
        <v>5911</v>
      </c>
      <c r="C3330" s="225" t="s">
        <v>5745</v>
      </c>
      <c r="D3330" s="226" t="s">
        <v>11</v>
      </c>
      <c r="E3330" s="227">
        <v>71</v>
      </c>
      <c r="F3330" s="227"/>
    </row>
    <row r="3331" spans="1:6" s="215" customFormat="1" ht="25.5" hidden="1" customHeight="1" outlineLevel="1" x14ac:dyDescent="0.2">
      <c r="A3331" s="215" t="s">
        <v>1279</v>
      </c>
      <c r="B3331" s="228" t="s">
        <v>5912</v>
      </c>
      <c r="C3331" s="229" t="s">
        <v>5746</v>
      </c>
      <c r="D3331" s="230" t="s">
        <v>11</v>
      </c>
      <c r="E3331" s="231">
        <v>46.2</v>
      </c>
      <c r="F3331" s="231"/>
    </row>
    <row r="3332" spans="1:6" s="215" customFormat="1" ht="12.75" hidden="1" customHeight="1" outlineLevel="1" x14ac:dyDescent="0.2">
      <c r="A3332" s="215" t="s">
        <v>1279</v>
      </c>
      <c r="B3332" s="216" t="s">
        <v>5913</v>
      </c>
      <c r="C3332" s="217" t="s">
        <v>2980</v>
      </c>
      <c r="D3332" s="218"/>
      <c r="E3332" s="219"/>
      <c r="F3332" s="219"/>
    </row>
    <row r="3333" spans="1:6" s="215" customFormat="1" ht="12.75" hidden="1" customHeight="1" outlineLevel="1" x14ac:dyDescent="0.2">
      <c r="A3333" s="215" t="s">
        <v>1279</v>
      </c>
      <c r="B3333" s="224" t="s">
        <v>5914</v>
      </c>
      <c r="C3333" s="225" t="s">
        <v>5739</v>
      </c>
      <c r="D3333" s="226" t="s">
        <v>11</v>
      </c>
      <c r="E3333" s="227">
        <v>30.8</v>
      </c>
      <c r="F3333" s="227"/>
    </row>
    <row r="3334" spans="1:6" s="215" customFormat="1" ht="12.75" hidden="1" customHeight="1" outlineLevel="1" x14ac:dyDescent="0.2">
      <c r="A3334" s="215" t="s">
        <v>1279</v>
      </c>
      <c r="B3334" s="228" t="s">
        <v>5915</v>
      </c>
      <c r="C3334" s="229" t="s">
        <v>5740</v>
      </c>
      <c r="D3334" s="230" t="s">
        <v>11</v>
      </c>
      <c r="E3334" s="231">
        <v>22.25</v>
      </c>
      <c r="F3334" s="231"/>
    </row>
    <row r="3335" spans="1:6" s="215" customFormat="1" ht="12.75" hidden="1" customHeight="1" outlineLevel="1" x14ac:dyDescent="0.2">
      <c r="A3335" s="215" t="s">
        <v>1279</v>
      </c>
      <c r="B3335" s="224" t="s">
        <v>5916</v>
      </c>
      <c r="C3335" s="225" t="s">
        <v>5741</v>
      </c>
      <c r="D3335" s="226" t="s">
        <v>11</v>
      </c>
      <c r="E3335" s="227">
        <v>12.16</v>
      </c>
      <c r="F3335" s="227"/>
    </row>
    <row r="3336" spans="1:6" s="215" customFormat="1" ht="25.5" hidden="1" customHeight="1" outlineLevel="1" x14ac:dyDescent="0.2">
      <c r="A3336" s="215" t="s">
        <v>1279</v>
      </c>
      <c r="B3336" s="228" t="s">
        <v>5917</v>
      </c>
      <c r="C3336" s="229" t="s">
        <v>5742</v>
      </c>
      <c r="D3336" s="230" t="s">
        <v>11</v>
      </c>
      <c r="E3336" s="231">
        <v>5.41</v>
      </c>
      <c r="F3336" s="231"/>
    </row>
    <row r="3337" spans="1:6" s="215" customFormat="1" ht="12.75" hidden="1" customHeight="1" outlineLevel="1" x14ac:dyDescent="0.2">
      <c r="A3337" s="215" t="s">
        <v>1279</v>
      </c>
      <c r="B3337" s="224" t="s">
        <v>5918</v>
      </c>
      <c r="C3337" s="225" t="s">
        <v>5743</v>
      </c>
      <c r="D3337" s="226" t="s">
        <v>11</v>
      </c>
      <c r="E3337" s="227">
        <v>12.16</v>
      </c>
      <c r="F3337" s="227"/>
    </row>
    <row r="3338" spans="1:6" s="215" customFormat="1" ht="25.5" hidden="1" customHeight="1" outlineLevel="1" x14ac:dyDescent="0.2">
      <c r="A3338" s="215" t="s">
        <v>1279</v>
      </c>
      <c r="B3338" s="228" t="s">
        <v>5919</v>
      </c>
      <c r="C3338" s="229" t="s">
        <v>5744</v>
      </c>
      <c r="D3338" s="230" t="s">
        <v>11</v>
      </c>
      <c r="E3338" s="231">
        <v>5.49</v>
      </c>
      <c r="F3338" s="231"/>
    </row>
    <row r="3339" spans="1:6" s="215" customFormat="1" ht="12.75" hidden="1" customHeight="1" outlineLevel="1" x14ac:dyDescent="0.2">
      <c r="A3339" s="215" t="s">
        <v>1279</v>
      </c>
      <c r="B3339" s="224" t="s">
        <v>5920</v>
      </c>
      <c r="C3339" s="225" t="s">
        <v>5745</v>
      </c>
      <c r="D3339" s="226" t="s">
        <v>11</v>
      </c>
      <c r="E3339" s="227">
        <v>19.48</v>
      </c>
      <c r="F3339" s="227"/>
    </row>
    <row r="3340" spans="1:6" s="215" customFormat="1" ht="25.5" hidden="1" customHeight="1" outlineLevel="1" x14ac:dyDescent="0.2">
      <c r="A3340" s="215" t="s">
        <v>1279</v>
      </c>
      <c r="B3340" s="228" t="s">
        <v>5921</v>
      </c>
      <c r="C3340" s="229" t="s">
        <v>5746</v>
      </c>
      <c r="D3340" s="230" t="s">
        <v>11</v>
      </c>
      <c r="E3340" s="231">
        <v>23.71</v>
      </c>
      <c r="F3340" s="231"/>
    </row>
    <row r="3341" spans="1:6" s="215" customFormat="1" ht="12.75" hidden="1" customHeight="1" outlineLevel="1" x14ac:dyDescent="0.2">
      <c r="A3341" s="215" t="s">
        <v>1279</v>
      </c>
      <c r="B3341" s="216" t="s">
        <v>5922</v>
      </c>
      <c r="C3341" s="217" t="s">
        <v>2983</v>
      </c>
      <c r="D3341" s="218"/>
      <c r="E3341" s="219"/>
      <c r="F3341" s="219"/>
    </row>
    <row r="3342" spans="1:6" s="215" customFormat="1" ht="12.75" hidden="1" customHeight="1" outlineLevel="1" x14ac:dyDescent="0.2">
      <c r="A3342" s="215" t="s">
        <v>1279</v>
      </c>
      <c r="B3342" s="224" t="s">
        <v>5923</v>
      </c>
      <c r="C3342" s="225" t="s">
        <v>5739</v>
      </c>
      <c r="D3342" s="226" t="s">
        <v>11</v>
      </c>
      <c r="E3342" s="227">
        <v>37.020000000000003</v>
      </c>
      <c r="F3342" s="227"/>
    </row>
    <row r="3343" spans="1:6" s="215" customFormat="1" ht="12.75" hidden="1" customHeight="1" outlineLevel="1" x14ac:dyDescent="0.2">
      <c r="A3343" s="215" t="s">
        <v>1279</v>
      </c>
      <c r="B3343" s="228" t="s">
        <v>5924</v>
      </c>
      <c r="C3343" s="229" t="s">
        <v>5740</v>
      </c>
      <c r="D3343" s="230" t="s">
        <v>11</v>
      </c>
      <c r="E3343" s="231">
        <v>17.55</v>
      </c>
      <c r="F3343" s="231"/>
    </row>
    <row r="3344" spans="1:6" s="215" customFormat="1" ht="12.75" hidden="1" customHeight="1" outlineLevel="1" x14ac:dyDescent="0.2">
      <c r="A3344" s="215" t="s">
        <v>1279</v>
      </c>
      <c r="B3344" s="224" t="s">
        <v>5925</v>
      </c>
      <c r="C3344" s="225" t="s">
        <v>5741</v>
      </c>
      <c r="D3344" s="226" t="s">
        <v>11</v>
      </c>
      <c r="E3344" s="227">
        <v>13.94</v>
      </c>
      <c r="F3344" s="227"/>
    </row>
    <row r="3345" spans="1:10" s="215" customFormat="1" ht="25.5" hidden="1" customHeight="1" outlineLevel="1" x14ac:dyDescent="0.2">
      <c r="A3345" s="215" t="s">
        <v>1279</v>
      </c>
      <c r="B3345" s="228" t="s">
        <v>5926</v>
      </c>
      <c r="C3345" s="229" t="s">
        <v>5742</v>
      </c>
      <c r="D3345" s="230" t="s">
        <v>11</v>
      </c>
      <c r="E3345" s="231">
        <v>3.58</v>
      </c>
      <c r="F3345" s="231"/>
    </row>
    <row r="3346" spans="1:10" s="215" customFormat="1" ht="12.75" hidden="1" customHeight="1" outlineLevel="1" x14ac:dyDescent="0.2">
      <c r="A3346" s="215" t="s">
        <v>1279</v>
      </c>
      <c r="B3346" s="224" t="s">
        <v>5927</v>
      </c>
      <c r="C3346" s="225" t="s">
        <v>5743</v>
      </c>
      <c r="D3346" s="226" t="s">
        <v>11</v>
      </c>
      <c r="E3346" s="227">
        <v>13.38</v>
      </c>
      <c r="F3346" s="227"/>
    </row>
    <row r="3347" spans="1:10" s="215" customFormat="1" ht="25.5" hidden="1" customHeight="1" outlineLevel="1" x14ac:dyDescent="0.2">
      <c r="A3347" s="215" t="s">
        <v>1279</v>
      </c>
      <c r="B3347" s="228" t="s">
        <v>5928</v>
      </c>
      <c r="C3347" s="229" t="s">
        <v>5744</v>
      </c>
      <c r="D3347" s="230" t="s">
        <v>11</v>
      </c>
      <c r="E3347" s="231">
        <v>4.22</v>
      </c>
      <c r="F3347" s="231"/>
    </row>
    <row r="3348" spans="1:10" s="215" customFormat="1" ht="12.75" hidden="1" customHeight="1" outlineLevel="1" x14ac:dyDescent="0.2">
      <c r="A3348" s="215" t="s">
        <v>1279</v>
      </c>
      <c r="B3348" s="224" t="s">
        <v>5929</v>
      </c>
      <c r="C3348" s="225" t="s">
        <v>5745</v>
      </c>
      <c r="D3348" s="226" t="s">
        <v>11</v>
      </c>
      <c r="E3348" s="227">
        <v>32.36</v>
      </c>
      <c r="F3348" s="227"/>
    </row>
    <row r="3349" spans="1:10" s="215" customFormat="1" ht="25.5" hidden="1" customHeight="1" outlineLevel="1" x14ac:dyDescent="0.2">
      <c r="A3349" s="215" t="s">
        <v>1279</v>
      </c>
      <c r="B3349" s="228" t="s">
        <v>5930</v>
      </c>
      <c r="C3349" s="229" t="s">
        <v>5746</v>
      </c>
      <c r="D3349" s="230" t="s">
        <v>11</v>
      </c>
      <c r="E3349" s="231">
        <v>10.85</v>
      </c>
      <c r="F3349" s="231"/>
    </row>
    <row r="3350" spans="1:10" s="215" customFormat="1" collapsed="1" x14ac:dyDescent="0.2">
      <c r="B3350" s="515" t="s">
        <v>5931</v>
      </c>
      <c r="C3350" s="516" t="s">
        <v>5932</v>
      </c>
      <c r="D3350" s="521"/>
      <c r="E3350" s="524">
        <f>SUM(E3352:E3455)</f>
        <v>6697.3200000000006</v>
      </c>
      <c r="F3350" s="524"/>
      <c r="G3350" s="516"/>
      <c r="H3350" s="234">
        <f>SUM(H3351:H3367)</f>
        <v>6697.3200000000006</v>
      </c>
      <c r="I3350" s="242" t="str">
        <f>IF(H3350=E3350,"OKAY","REVER")</f>
        <v>OKAY</v>
      </c>
      <c r="J3350" s="405"/>
    </row>
    <row r="3351" spans="1:10" s="215" customFormat="1" ht="12.75" hidden="1" customHeight="1" outlineLevel="1" x14ac:dyDescent="0.2">
      <c r="A3351" s="215" t="s">
        <v>1278</v>
      </c>
      <c r="B3351" s="216" t="s">
        <v>2793</v>
      </c>
      <c r="C3351" s="217" t="s">
        <v>2958</v>
      </c>
      <c r="D3351" s="218"/>
      <c r="E3351" s="219"/>
      <c r="F3351" s="219"/>
      <c r="G3351" s="225" t="s">
        <v>5933</v>
      </c>
      <c r="H3351" s="235">
        <f t="shared" ref="H3351:H3367" si="99">SUMIF($C:$C,G3351,$E:$E)</f>
        <v>2052.4899999999998</v>
      </c>
      <c r="I3351" s="241"/>
    </row>
    <row r="3352" spans="1:10" s="215" customFormat="1" ht="12.75" hidden="1" customHeight="1" outlineLevel="1" x14ac:dyDescent="0.2">
      <c r="A3352" s="215" t="s">
        <v>1278</v>
      </c>
      <c r="B3352" s="224" t="s">
        <v>2794</v>
      </c>
      <c r="C3352" s="225" t="s">
        <v>5933</v>
      </c>
      <c r="D3352" s="226" t="s">
        <v>11</v>
      </c>
      <c r="E3352" s="227">
        <v>108.6</v>
      </c>
      <c r="F3352" s="227"/>
      <c r="G3352" s="229" t="s">
        <v>5934</v>
      </c>
      <c r="H3352" s="235">
        <f t="shared" si="99"/>
        <v>1163.95</v>
      </c>
      <c r="I3352" s="241"/>
    </row>
    <row r="3353" spans="1:10" s="215" customFormat="1" ht="12.75" hidden="1" customHeight="1" outlineLevel="1" x14ac:dyDescent="0.2">
      <c r="A3353" s="215" t="s">
        <v>1278</v>
      </c>
      <c r="B3353" s="228" t="s">
        <v>2795</v>
      </c>
      <c r="C3353" s="229" t="s">
        <v>5934</v>
      </c>
      <c r="D3353" s="230" t="s">
        <v>11</v>
      </c>
      <c r="E3353" s="231">
        <v>80.12</v>
      </c>
      <c r="F3353" s="231"/>
      <c r="G3353" s="225" t="s">
        <v>5936</v>
      </c>
      <c r="H3353" s="235">
        <f t="shared" si="99"/>
        <v>1059.98</v>
      </c>
      <c r="I3353" s="241"/>
    </row>
    <row r="3354" spans="1:10" s="215" customFormat="1" ht="12.75" hidden="1" customHeight="1" outlineLevel="1" x14ac:dyDescent="0.2">
      <c r="A3354" s="215" t="s">
        <v>1278</v>
      </c>
      <c r="B3354" s="224" t="s">
        <v>5935</v>
      </c>
      <c r="C3354" s="225" t="s">
        <v>5936</v>
      </c>
      <c r="D3354" s="226" t="s">
        <v>11</v>
      </c>
      <c r="E3354" s="227">
        <v>105.74</v>
      </c>
      <c r="F3354" s="227"/>
      <c r="G3354" s="229" t="s">
        <v>5938</v>
      </c>
      <c r="H3354" s="235">
        <f t="shared" si="99"/>
        <v>2420.9000000000005</v>
      </c>
      <c r="I3354" s="241"/>
    </row>
    <row r="3355" spans="1:10" s="215" customFormat="1" ht="12.75" hidden="1" customHeight="1" outlineLevel="1" x14ac:dyDescent="0.2">
      <c r="A3355" s="215" t="s">
        <v>1278</v>
      </c>
      <c r="B3355" s="228" t="s">
        <v>5937</v>
      </c>
      <c r="C3355" s="229" t="s">
        <v>5938</v>
      </c>
      <c r="D3355" s="230" t="s">
        <v>11</v>
      </c>
      <c r="E3355" s="231">
        <v>414.3</v>
      </c>
      <c r="F3355" s="231"/>
      <c r="G3355" s="225"/>
      <c r="H3355" s="235">
        <f t="shared" si="99"/>
        <v>0</v>
      </c>
      <c r="I3355" s="241"/>
    </row>
    <row r="3356" spans="1:10" s="215" customFormat="1" ht="12.75" hidden="1" customHeight="1" outlineLevel="1" x14ac:dyDescent="0.2">
      <c r="A3356" s="215" t="s">
        <v>1279</v>
      </c>
      <c r="B3356" s="216" t="s">
        <v>2796</v>
      </c>
      <c r="C3356" s="217" t="s">
        <v>2960</v>
      </c>
      <c r="D3356" s="218"/>
      <c r="E3356" s="219"/>
      <c r="F3356" s="219"/>
      <c r="G3356" s="229"/>
      <c r="H3356" s="235">
        <f t="shared" si="99"/>
        <v>0</v>
      </c>
      <c r="I3356" s="241"/>
    </row>
    <row r="3357" spans="1:10" s="215" customFormat="1" ht="12.75" hidden="1" customHeight="1" outlineLevel="1" x14ac:dyDescent="0.2">
      <c r="A3357" s="215" t="s">
        <v>1279</v>
      </c>
      <c r="B3357" s="224" t="s">
        <v>2797</v>
      </c>
      <c r="C3357" s="225" t="s">
        <v>5933</v>
      </c>
      <c r="D3357" s="226" t="s">
        <v>11</v>
      </c>
      <c r="E3357" s="227">
        <v>116.45</v>
      </c>
      <c r="F3357" s="227"/>
      <c r="G3357" s="225"/>
      <c r="H3357" s="235">
        <f t="shared" si="99"/>
        <v>0</v>
      </c>
      <c r="I3357" s="198"/>
    </row>
    <row r="3358" spans="1:10" s="215" customFormat="1" ht="12.75" hidden="1" customHeight="1" outlineLevel="1" x14ac:dyDescent="0.2">
      <c r="A3358" s="215" t="s">
        <v>1279</v>
      </c>
      <c r="B3358" s="228" t="s">
        <v>5939</v>
      </c>
      <c r="C3358" s="229" t="s">
        <v>5934</v>
      </c>
      <c r="D3358" s="230" t="s">
        <v>11</v>
      </c>
      <c r="E3358" s="231">
        <v>126.4</v>
      </c>
      <c r="F3358" s="231"/>
      <c r="G3358" s="229"/>
      <c r="H3358" s="235">
        <f t="shared" si="99"/>
        <v>0</v>
      </c>
      <c r="I3358" s="241"/>
    </row>
    <row r="3359" spans="1:10" s="215" customFormat="1" ht="12.75" hidden="1" customHeight="1" outlineLevel="1" x14ac:dyDescent="0.2">
      <c r="A3359" s="215" t="s">
        <v>1279</v>
      </c>
      <c r="B3359" s="224" t="s">
        <v>5940</v>
      </c>
      <c r="C3359" s="225" t="s">
        <v>5936</v>
      </c>
      <c r="D3359" s="226" t="s">
        <v>11</v>
      </c>
      <c r="E3359" s="227">
        <v>108.06</v>
      </c>
      <c r="F3359" s="227"/>
      <c r="G3359" s="229"/>
      <c r="H3359" s="235">
        <f t="shared" si="99"/>
        <v>0</v>
      </c>
      <c r="I3359" s="241"/>
    </row>
    <row r="3360" spans="1:10" s="215" customFormat="1" ht="12.75" hidden="1" customHeight="1" outlineLevel="1" x14ac:dyDescent="0.2">
      <c r="A3360" s="215" t="s">
        <v>1279</v>
      </c>
      <c r="B3360" s="228" t="s">
        <v>5941</v>
      </c>
      <c r="C3360" s="229" t="s">
        <v>5938</v>
      </c>
      <c r="D3360" s="230" t="s">
        <v>11</v>
      </c>
      <c r="E3360" s="231">
        <v>175.2</v>
      </c>
      <c r="F3360" s="231"/>
      <c r="G3360" s="225"/>
      <c r="H3360" s="235">
        <f t="shared" si="99"/>
        <v>0</v>
      </c>
      <c r="I3360" s="241"/>
    </row>
    <row r="3361" spans="1:10" s="215" customFormat="1" ht="12.75" hidden="1" customHeight="1" outlineLevel="1" x14ac:dyDescent="0.2">
      <c r="A3361" s="215" t="s">
        <v>1279</v>
      </c>
      <c r="B3361" s="216" t="s">
        <v>2798</v>
      </c>
      <c r="C3361" s="217" t="s">
        <v>2961</v>
      </c>
      <c r="D3361" s="218"/>
      <c r="E3361" s="219"/>
      <c r="F3361" s="219"/>
      <c r="G3361" s="229"/>
      <c r="H3361" s="235">
        <f t="shared" si="99"/>
        <v>0</v>
      </c>
      <c r="I3361" s="241"/>
    </row>
    <row r="3362" spans="1:10" s="215" customFormat="1" ht="12.75" hidden="1" customHeight="1" outlineLevel="1" x14ac:dyDescent="0.2">
      <c r="A3362" s="215" t="s">
        <v>1279</v>
      </c>
      <c r="B3362" s="224" t="s">
        <v>2799</v>
      </c>
      <c r="C3362" s="225" t="s">
        <v>5933</v>
      </c>
      <c r="D3362" s="226" t="s">
        <v>11</v>
      </c>
      <c r="E3362" s="227">
        <v>124.46</v>
      </c>
      <c r="F3362" s="227"/>
      <c r="G3362" s="225"/>
      <c r="H3362" s="235">
        <f t="shared" si="99"/>
        <v>0</v>
      </c>
      <c r="I3362" s="241"/>
    </row>
    <row r="3363" spans="1:10" s="215" customFormat="1" ht="12.75" hidden="1" customHeight="1" outlineLevel="1" x14ac:dyDescent="0.2">
      <c r="A3363" s="215" t="s">
        <v>1279</v>
      </c>
      <c r="B3363" s="228" t="s">
        <v>5942</v>
      </c>
      <c r="C3363" s="229" t="s">
        <v>5934</v>
      </c>
      <c r="D3363" s="230" t="s">
        <v>11</v>
      </c>
      <c r="E3363" s="231">
        <v>96.96</v>
      </c>
      <c r="F3363" s="231"/>
      <c r="G3363" s="229"/>
      <c r="H3363" s="235">
        <f t="shared" si="99"/>
        <v>0</v>
      </c>
      <c r="I3363" s="241"/>
    </row>
    <row r="3364" spans="1:10" s="215" customFormat="1" ht="12.75" hidden="1" customHeight="1" outlineLevel="1" x14ac:dyDescent="0.2">
      <c r="A3364" s="215" t="s">
        <v>1279</v>
      </c>
      <c r="B3364" s="224" t="s">
        <v>5943</v>
      </c>
      <c r="C3364" s="225" t="s">
        <v>5936</v>
      </c>
      <c r="D3364" s="226" t="s">
        <v>11</v>
      </c>
      <c r="E3364" s="227">
        <v>101.94</v>
      </c>
      <c r="F3364" s="227"/>
      <c r="G3364" s="225"/>
      <c r="H3364" s="235">
        <f t="shared" si="99"/>
        <v>0</v>
      </c>
      <c r="I3364" s="241"/>
    </row>
    <row r="3365" spans="1:10" s="215" customFormat="1" ht="12.75" hidden="1" customHeight="1" outlineLevel="1" x14ac:dyDescent="0.2">
      <c r="A3365" s="215" t="s">
        <v>1279</v>
      </c>
      <c r="B3365" s="228" t="s">
        <v>5944</v>
      </c>
      <c r="C3365" s="229" t="s">
        <v>5938</v>
      </c>
      <c r="D3365" s="230" t="s">
        <v>11</v>
      </c>
      <c r="E3365" s="231">
        <v>153.16999999999999</v>
      </c>
      <c r="F3365" s="231"/>
      <c r="G3365" s="229"/>
      <c r="H3365" s="235">
        <f t="shared" si="99"/>
        <v>0</v>
      </c>
      <c r="I3365" s="241"/>
    </row>
    <row r="3366" spans="1:10" s="215" customFormat="1" ht="12.75" hidden="1" customHeight="1" outlineLevel="1" x14ac:dyDescent="0.2">
      <c r="A3366" s="215" t="s">
        <v>1279</v>
      </c>
      <c r="B3366" s="216" t="s">
        <v>2800</v>
      </c>
      <c r="C3366" s="217" t="s">
        <v>2962</v>
      </c>
      <c r="D3366" s="218"/>
      <c r="E3366" s="219"/>
      <c r="F3366" s="219"/>
      <c r="G3366" s="225"/>
      <c r="H3366" s="235">
        <f t="shared" si="99"/>
        <v>0</v>
      </c>
      <c r="I3366" s="241"/>
    </row>
    <row r="3367" spans="1:10" s="215" customFormat="1" ht="12.75" hidden="1" customHeight="1" outlineLevel="1" x14ac:dyDescent="0.2">
      <c r="A3367" s="215" t="s">
        <v>1279</v>
      </c>
      <c r="B3367" s="224" t="s">
        <v>2801</v>
      </c>
      <c r="C3367" s="225" t="s">
        <v>5933</v>
      </c>
      <c r="D3367" s="226" t="s">
        <v>11</v>
      </c>
      <c r="E3367" s="227">
        <v>92.98</v>
      </c>
      <c r="F3367" s="227"/>
      <c r="G3367" s="229"/>
      <c r="H3367" s="235">
        <f t="shared" si="99"/>
        <v>0</v>
      </c>
      <c r="I3367" s="241"/>
    </row>
    <row r="3368" spans="1:10" s="215" customFormat="1" ht="12.75" hidden="1" customHeight="1" outlineLevel="1" x14ac:dyDescent="0.2">
      <c r="A3368" s="215" t="s">
        <v>1279</v>
      </c>
      <c r="B3368" s="228" t="s">
        <v>5945</v>
      </c>
      <c r="C3368" s="229" t="s">
        <v>5934</v>
      </c>
      <c r="D3368" s="230" t="s">
        <v>11</v>
      </c>
      <c r="E3368" s="231">
        <v>64.680000000000007</v>
      </c>
      <c r="F3368" s="231"/>
      <c r="G3368" s="198"/>
      <c r="H3368" s="198"/>
      <c r="I3368" s="241"/>
    </row>
    <row r="3369" spans="1:10" s="215" customFormat="1" ht="12.75" hidden="1" customHeight="1" outlineLevel="1" x14ac:dyDescent="0.2">
      <c r="A3369" s="215" t="s">
        <v>1279</v>
      </c>
      <c r="B3369" s="224" t="s">
        <v>5946</v>
      </c>
      <c r="C3369" s="225" t="s">
        <v>5936</v>
      </c>
      <c r="D3369" s="226" t="s">
        <v>11</v>
      </c>
      <c r="E3369" s="227">
        <v>51.98</v>
      </c>
      <c r="F3369" s="227"/>
      <c r="G3369" s="520" t="s">
        <v>1732</v>
      </c>
      <c r="H3369" s="234">
        <f>H3371+H3391</f>
        <v>6697.32</v>
      </c>
      <c r="I3369" s="242" t="str">
        <f>IF(H3369=H3350,"OKAY","REVER")</f>
        <v>OKAY</v>
      </c>
    </row>
    <row r="3370" spans="1:10" s="215" customFormat="1" ht="12.75" hidden="1" customHeight="1" outlineLevel="1" x14ac:dyDescent="0.2">
      <c r="A3370" s="215" t="s">
        <v>1279</v>
      </c>
      <c r="B3370" s="228" t="s">
        <v>5947</v>
      </c>
      <c r="C3370" s="229" t="s">
        <v>5938</v>
      </c>
      <c r="D3370" s="230" t="s">
        <v>11</v>
      </c>
      <c r="E3370" s="231">
        <v>162.21</v>
      </c>
      <c r="F3370" s="231"/>
      <c r="G3370" s="232"/>
      <c r="H3370" s="232"/>
      <c r="I3370" s="242"/>
    </row>
    <row r="3371" spans="1:10" s="215" customFormat="1" ht="12.75" hidden="1" customHeight="1" outlineLevel="1" x14ac:dyDescent="0.2">
      <c r="A3371" s="215" t="s">
        <v>1279</v>
      </c>
      <c r="B3371" s="216" t="s">
        <v>2802</v>
      </c>
      <c r="C3371" s="217" t="s">
        <v>2963</v>
      </c>
      <c r="D3371" s="218"/>
      <c r="E3371" s="219"/>
      <c r="F3371" s="219"/>
      <c r="G3371" s="520" t="str">
        <f>$A$1</f>
        <v>EMBASSAMENTO</v>
      </c>
      <c r="H3371" s="234">
        <f>SUM(H3372:H3388)</f>
        <v>708.76</v>
      </c>
      <c r="I3371" s="242"/>
    </row>
    <row r="3372" spans="1:10" s="215" customFormat="1" ht="12.75" hidden="1" customHeight="1" outlineLevel="1" x14ac:dyDescent="0.2">
      <c r="A3372" s="215" t="s">
        <v>1279</v>
      </c>
      <c r="B3372" s="224" t="s">
        <v>2803</v>
      </c>
      <c r="C3372" s="225" t="s">
        <v>5933</v>
      </c>
      <c r="D3372" s="226" t="s">
        <v>11</v>
      </c>
      <c r="E3372" s="227">
        <v>97.24</v>
      </c>
      <c r="F3372" s="227"/>
      <c r="G3372" s="225" t="s">
        <v>5933</v>
      </c>
      <c r="H3372" s="235">
        <f t="shared" ref="H3372:H3388" si="100">SUMIFS($E:$E,$C:$C,G3372,$A:$A,$G$22)</f>
        <v>108.6</v>
      </c>
      <c r="I3372" s="242"/>
    </row>
    <row r="3373" spans="1:10" s="215" customFormat="1" ht="12.75" hidden="1" customHeight="1" outlineLevel="1" x14ac:dyDescent="0.2">
      <c r="A3373" s="215" t="s">
        <v>1279</v>
      </c>
      <c r="B3373" s="228" t="s">
        <v>5948</v>
      </c>
      <c r="C3373" s="229" t="s">
        <v>5934</v>
      </c>
      <c r="D3373" s="230" t="s">
        <v>11</v>
      </c>
      <c r="E3373" s="231">
        <v>60.56</v>
      </c>
      <c r="F3373" s="231"/>
      <c r="G3373" s="229" t="s">
        <v>5934</v>
      </c>
      <c r="H3373" s="235">
        <f t="shared" si="100"/>
        <v>80.12</v>
      </c>
      <c r="I3373" s="241"/>
    </row>
    <row r="3374" spans="1:10" s="215" customFormat="1" ht="12.75" hidden="1" customHeight="1" outlineLevel="1" x14ac:dyDescent="0.2">
      <c r="A3374" s="215" t="s">
        <v>1279</v>
      </c>
      <c r="B3374" s="224" t="s">
        <v>5949</v>
      </c>
      <c r="C3374" s="225" t="s">
        <v>5936</v>
      </c>
      <c r="D3374" s="226" t="s">
        <v>11</v>
      </c>
      <c r="E3374" s="227">
        <v>55.79</v>
      </c>
      <c r="F3374" s="227"/>
      <c r="G3374" s="225" t="s">
        <v>5936</v>
      </c>
      <c r="H3374" s="235">
        <f t="shared" si="100"/>
        <v>105.74</v>
      </c>
      <c r="I3374" s="241"/>
    </row>
    <row r="3375" spans="1:10" s="215" customFormat="1" ht="12.75" hidden="1" customHeight="1" outlineLevel="1" x14ac:dyDescent="0.2">
      <c r="A3375" s="215" t="s">
        <v>1279</v>
      </c>
      <c r="B3375" s="228" t="s">
        <v>5950</v>
      </c>
      <c r="C3375" s="229" t="s">
        <v>5938</v>
      </c>
      <c r="D3375" s="230" t="s">
        <v>11</v>
      </c>
      <c r="E3375" s="231">
        <v>79.42</v>
      </c>
      <c r="F3375" s="231"/>
      <c r="G3375" s="229" t="s">
        <v>5938</v>
      </c>
      <c r="H3375" s="235">
        <f t="shared" si="100"/>
        <v>414.3</v>
      </c>
      <c r="I3375" s="241"/>
      <c r="J3375" s="403"/>
    </row>
    <row r="3376" spans="1:10" s="215" customFormat="1" ht="12.75" hidden="1" customHeight="1" outlineLevel="1" x14ac:dyDescent="0.2">
      <c r="A3376" s="215" t="s">
        <v>1279</v>
      </c>
      <c r="B3376" s="216" t="s">
        <v>2804</v>
      </c>
      <c r="C3376" s="217" t="s">
        <v>2964</v>
      </c>
      <c r="D3376" s="218"/>
      <c r="E3376" s="219"/>
      <c r="F3376" s="219"/>
      <c r="G3376" s="225"/>
      <c r="H3376" s="235">
        <f t="shared" si="100"/>
        <v>0</v>
      </c>
      <c r="I3376" s="241"/>
      <c r="J3376" s="403"/>
    </row>
    <row r="3377" spans="1:10" s="215" customFormat="1" ht="12.75" hidden="1" customHeight="1" outlineLevel="1" x14ac:dyDescent="0.2">
      <c r="A3377" s="215" t="s">
        <v>1279</v>
      </c>
      <c r="B3377" s="224" t="s">
        <v>2805</v>
      </c>
      <c r="C3377" s="225" t="s">
        <v>5933</v>
      </c>
      <c r="D3377" s="226" t="s">
        <v>11</v>
      </c>
      <c r="E3377" s="227">
        <v>93.47</v>
      </c>
      <c r="F3377" s="227"/>
      <c r="G3377" s="229"/>
      <c r="H3377" s="235">
        <f t="shared" si="100"/>
        <v>0</v>
      </c>
      <c r="I3377" s="241"/>
      <c r="J3377" s="403"/>
    </row>
    <row r="3378" spans="1:10" s="215" customFormat="1" ht="12.75" hidden="1" customHeight="1" outlineLevel="1" x14ac:dyDescent="0.2">
      <c r="A3378" s="215" t="s">
        <v>1279</v>
      </c>
      <c r="B3378" s="228" t="s">
        <v>5951</v>
      </c>
      <c r="C3378" s="229" t="s">
        <v>5934</v>
      </c>
      <c r="D3378" s="230" t="s">
        <v>11</v>
      </c>
      <c r="E3378" s="231">
        <v>54.33</v>
      </c>
      <c r="F3378" s="231"/>
      <c r="G3378" s="225"/>
      <c r="H3378" s="235">
        <f t="shared" si="100"/>
        <v>0</v>
      </c>
      <c r="I3378" s="241"/>
      <c r="J3378" s="403"/>
    </row>
    <row r="3379" spans="1:10" s="215" customFormat="1" ht="12.75" hidden="1" customHeight="1" outlineLevel="1" x14ac:dyDescent="0.2">
      <c r="A3379" s="215" t="s">
        <v>1279</v>
      </c>
      <c r="B3379" s="224" t="s">
        <v>5952</v>
      </c>
      <c r="C3379" s="225" t="s">
        <v>5936</v>
      </c>
      <c r="D3379" s="226" t="s">
        <v>11</v>
      </c>
      <c r="E3379" s="227">
        <v>50.79</v>
      </c>
      <c r="F3379" s="227"/>
      <c r="G3379" s="229"/>
      <c r="H3379" s="235">
        <f t="shared" si="100"/>
        <v>0</v>
      </c>
      <c r="I3379" s="241"/>
      <c r="J3379" s="403"/>
    </row>
    <row r="3380" spans="1:10" s="215" customFormat="1" ht="12.75" hidden="1" customHeight="1" outlineLevel="1" x14ac:dyDescent="0.2">
      <c r="A3380" s="215" t="s">
        <v>1279</v>
      </c>
      <c r="B3380" s="228" t="s">
        <v>5953</v>
      </c>
      <c r="C3380" s="229" t="s">
        <v>5938</v>
      </c>
      <c r="D3380" s="230" t="s">
        <v>11</v>
      </c>
      <c r="E3380" s="231">
        <v>80.19</v>
      </c>
      <c r="F3380" s="231"/>
      <c r="G3380" s="229"/>
      <c r="H3380" s="235">
        <f t="shared" si="100"/>
        <v>0</v>
      </c>
      <c r="I3380" s="241"/>
      <c r="J3380" s="403"/>
    </row>
    <row r="3381" spans="1:10" s="215" customFormat="1" ht="12.75" hidden="1" customHeight="1" outlineLevel="1" x14ac:dyDescent="0.2">
      <c r="A3381" s="215" t="s">
        <v>1279</v>
      </c>
      <c r="B3381" s="216" t="s">
        <v>5954</v>
      </c>
      <c r="C3381" s="217" t="s">
        <v>2965</v>
      </c>
      <c r="D3381" s="218"/>
      <c r="E3381" s="219"/>
      <c r="F3381" s="219"/>
      <c r="G3381" s="225"/>
      <c r="H3381" s="235">
        <f t="shared" si="100"/>
        <v>0</v>
      </c>
      <c r="I3381" s="241"/>
      <c r="J3381" s="403"/>
    </row>
    <row r="3382" spans="1:10" s="215" customFormat="1" ht="12.75" hidden="1" customHeight="1" outlineLevel="1" x14ac:dyDescent="0.2">
      <c r="A3382" s="215" t="s">
        <v>1279</v>
      </c>
      <c r="B3382" s="224" t="s">
        <v>5955</v>
      </c>
      <c r="C3382" s="225" t="s">
        <v>5933</v>
      </c>
      <c r="D3382" s="226" t="s">
        <v>11</v>
      </c>
      <c r="E3382" s="227">
        <v>97.39</v>
      </c>
      <c r="F3382" s="227"/>
      <c r="G3382" s="229"/>
      <c r="H3382" s="235">
        <f t="shared" si="100"/>
        <v>0</v>
      </c>
      <c r="I3382" s="241"/>
      <c r="J3382" s="403"/>
    </row>
    <row r="3383" spans="1:10" s="215" customFormat="1" ht="12.75" hidden="1" customHeight="1" outlineLevel="1" x14ac:dyDescent="0.2">
      <c r="A3383" s="215" t="s">
        <v>1279</v>
      </c>
      <c r="B3383" s="228" t="s">
        <v>5956</v>
      </c>
      <c r="C3383" s="229" t="s">
        <v>5934</v>
      </c>
      <c r="D3383" s="230" t="s">
        <v>11</v>
      </c>
      <c r="E3383" s="231">
        <v>66.23</v>
      </c>
      <c r="F3383" s="231"/>
      <c r="G3383" s="225"/>
      <c r="H3383" s="235">
        <f t="shared" si="100"/>
        <v>0</v>
      </c>
      <c r="I3383" s="241"/>
      <c r="J3383" s="403"/>
    </row>
    <row r="3384" spans="1:10" s="215" customFormat="1" ht="12.75" hidden="1" customHeight="1" outlineLevel="1" x14ac:dyDescent="0.2">
      <c r="A3384" s="215" t="s">
        <v>1279</v>
      </c>
      <c r="B3384" s="224" t="s">
        <v>5957</v>
      </c>
      <c r="C3384" s="225" t="s">
        <v>5936</v>
      </c>
      <c r="D3384" s="226" t="s">
        <v>11</v>
      </c>
      <c r="E3384" s="227">
        <v>55.79</v>
      </c>
      <c r="F3384" s="227"/>
      <c r="G3384" s="229"/>
      <c r="H3384" s="235">
        <f t="shared" si="100"/>
        <v>0</v>
      </c>
      <c r="I3384" s="241"/>
      <c r="J3384" s="403"/>
    </row>
    <row r="3385" spans="1:10" s="215" customFormat="1" ht="12.75" hidden="1" customHeight="1" outlineLevel="1" x14ac:dyDescent="0.2">
      <c r="A3385" s="215" t="s">
        <v>1279</v>
      </c>
      <c r="B3385" s="228" t="s">
        <v>5958</v>
      </c>
      <c r="C3385" s="229" t="s">
        <v>5938</v>
      </c>
      <c r="D3385" s="230" t="s">
        <v>11</v>
      </c>
      <c r="E3385" s="231">
        <v>79.42</v>
      </c>
      <c r="F3385" s="231"/>
      <c r="G3385" s="225"/>
      <c r="H3385" s="235">
        <f t="shared" si="100"/>
        <v>0</v>
      </c>
      <c r="I3385" s="241"/>
      <c r="J3385" s="403"/>
    </row>
    <row r="3386" spans="1:10" s="215" customFormat="1" ht="12.75" hidden="1" customHeight="1" outlineLevel="1" x14ac:dyDescent="0.2">
      <c r="A3386" s="215" t="s">
        <v>1279</v>
      </c>
      <c r="B3386" s="216" t="s">
        <v>5959</v>
      </c>
      <c r="C3386" s="217" t="s">
        <v>2966</v>
      </c>
      <c r="D3386" s="218"/>
      <c r="E3386" s="219"/>
      <c r="F3386" s="219"/>
      <c r="G3386" s="229"/>
      <c r="H3386" s="235">
        <f t="shared" si="100"/>
        <v>0</v>
      </c>
      <c r="I3386" s="241"/>
      <c r="J3386" s="403"/>
    </row>
    <row r="3387" spans="1:10" s="215" customFormat="1" ht="12.75" hidden="1" customHeight="1" outlineLevel="1" x14ac:dyDescent="0.2">
      <c r="A3387" s="215" t="s">
        <v>1279</v>
      </c>
      <c r="B3387" s="224" t="s">
        <v>5960</v>
      </c>
      <c r="C3387" s="225" t="s">
        <v>5933</v>
      </c>
      <c r="D3387" s="226" t="s">
        <v>11</v>
      </c>
      <c r="E3387" s="227">
        <v>96.18</v>
      </c>
      <c r="F3387" s="227"/>
      <c r="G3387" s="225"/>
      <c r="H3387" s="235">
        <f t="shared" si="100"/>
        <v>0</v>
      </c>
      <c r="I3387" s="241"/>
      <c r="J3387" s="403"/>
    </row>
    <row r="3388" spans="1:10" s="215" customFormat="1" ht="12.75" hidden="1" customHeight="1" outlineLevel="1" x14ac:dyDescent="0.2">
      <c r="A3388" s="215" t="s">
        <v>1279</v>
      </c>
      <c r="B3388" s="228" t="s">
        <v>5961</v>
      </c>
      <c r="C3388" s="229" t="s">
        <v>5934</v>
      </c>
      <c r="D3388" s="230" t="s">
        <v>11</v>
      </c>
      <c r="E3388" s="231">
        <v>54.35</v>
      </c>
      <c r="F3388" s="231"/>
      <c r="G3388" s="229"/>
      <c r="H3388" s="235">
        <f t="shared" si="100"/>
        <v>0</v>
      </c>
      <c r="I3388" s="241"/>
      <c r="J3388" s="403"/>
    </row>
    <row r="3389" spans="1:10" s="215" customFormat="1" ht="12.75" hidden="1" customHeight="1" outlineLevel="1" x14ac:dyDescent="0.2">
      <c r="A3389" s="215" t="s">
        <v>1279</v>
      </c>
      <c r="B3389" s="224" t="s">
        <v>5962</v>
      </c>
      <c r="C3389" s="225" t="s">
        <v>5936</v>
      </c>
      <c r="D3389" s="226" t="s">
        <v>11</v>
      </c>
      <c r="E3389" s="227">
        <v>50.82</v>
      </c>
      <c r="F3389" s="227"/>
      <c r="G3389" s="198"/>
      <c r="H3389" s="198"/>
      <c r="I3389" s="241"/>
      <c r="J3389" s="403"/>
    </row>
    <row r="3390" spans="1:10" s="215" customFormat="1" ht="12.75" hidden="1" customHeight="1" outlineLevel="1" x14ac:dyDescent="0.2">
      <c r="A3390" s="215" t="s">
        <v>1279</v>
      </c>
      <c r="B3390" s="228" t="s">
        <v>5963</v>
      </c>
      <c r="C3390" s="229" t="s">
        <v>5938</v>
      </c>
      <c r="D3390" s="230" t="s">
        <v>11</v>
      </c>
      <c r="E3390" s="231">
        <v>80.19</v>
      </c>
      <c r="F3390" s="231"/>
      <c r="G3390" s="198"/>
      <c r="H3390" s="198"/>
      <c r="I3390" s="241"/>
      <c r="J3390" s="403"/>
    </row>
    <row r="3391" spans="1:10" s="215" customFormat="1" ht="12.75" hidden="1" customHeight="1" outlineLevel="1" x14ac:dyDescent="0.2">
      <c r="A3391" s="215" t="s">
        <v>1279</v>
      </c>
      <c r="B3391" s="216" t="s">
        <v>5964</v>
      </c>
      <c r="C3391" s="217" t="s">
        <v>2967</v>
      </c>
      <c r="D3391" s="218"/>
      <c r="E3391" s="219"/>
      <c r="F3391" s="219"/>
      <c r="G3391" s="520" t="str">
        <f>$A$2</f>
        <v>TORRE</v>
      </c>
      <c r="H3391" s="234">
        <f>SUM(H3392:H3408)</f>
        <v>5988.5599999999995</v>
      </c>
      <c r="I3391" s="241"/>
      <c r="J3391" s="403"/>
    </row>
    <row r="3392" spans="1:10" s="215" customFormat="1" ht="12.75" hidden="1" customHeight="1" outlineLevel="1" x14ac:dyDescent="0.2">
      <c r="A3392" s="215" t="s">
        <v>1279</v>
      </c>
      <c r="B3392" s="224" t="s">
        <v>5965</v>
      </c>
      <c r="C3392" s="225" t="s">
        <v>5933</v>
      </c>
      <c r="D3392" s="226" t="s">
        <v>11</v>
      </c>
      <c r="E3392" s="227">
        <v>97.39</v>
      </c>
      <c r="F3392" s="227"/>
      <c r="G3392" s="225" t="s">
        <v>5933</v>
      </c>
      <c r="H3392" s="235">
        <f t="shared" ref="H3392:H3408" si="101">SUMIFS($E:$E,$C:$C,G3392,$A:$A,$G$30)</f>
        <v>1943.8899999999996</v>
      </c>
      <c r="I3392" s="241"/>
      <c r="J3392" s="403"/>
    </row>
    <row r="3393" spans="1:10" s="215" customFormat="1" ht="12.75" hidden="1" customHeight="1" outlineLevel="1" x14ac:dyDescent="0.2">
      <c r="A3393" s="215" t="s">
        <v>1279</v>
      </c>
      <c r="B3393" s="228" t="s">
        <v>5966</v>
      </c>
      <c r="C3393" s="229" t="s">
        <v>5934</v>
      </c>
      <c r="D3393" s="230" t="s">
        <v>11</v>
      </c>
      <c r="E3393" s="231">
        <v>60.77</v>
      </c>
      <c r="F3393" s="231"/>
      <c r="G3393" s="229" t="s">
        <v>5934</v>
      </c>
      <c r="H3393" s="235">
        <f t="shared" si="101"/>
        <v>1083.83</v>
      </c>
      <c r="I3393" s="241"/>
      <c r="J3393" s="403"/>
    </row>
    <row r="3394" spans="1:10" s="215" customFormat="1" ht="12.75" hidden="1" customHeight="1" outlineLevel="1" x14ac:dyDescent="0.2">
      <c r="A3394" s="215" t="s">
        <v>1279</v>
      </c>
      <c r="B3394" s="224" t="s">
        <v>5967</v>
      </c>
      <c r="C3394" s="225" t="s">
        <v>5936</v>
      </c>
      <c r="D3394" s="226" t="s">
        <v>11</v>
      </c>
      <c r="E3394" s="227">
        <v>55.79</v>
      </c>
      <c r="F3394" s="227"/>
      <c r="G3394" s="225" t="s">
        <v>5936</v>
      </c>
      <c r="H3394" s="235">
        <f t="shared" si="101"/>
        <v>954.24000000000012</v>
      </c>
      <c r="I3394" s="241"/>
      <c r="J3394" s="403"/>
    </row>
    <row r="3395" spans="1:10" s="215" customFormat="1" ht="12.75" hidden="1" customHeight="1" outlineLevel="1" x14ac:dyDescent="0.2">
      <c r="A3395" s="215" t="s">
        <v>1279</v>
      </c>
      <c r="B3395" s="228" t="s">
        <v>5968</v>
      </c>
      <c r="C3395" s="229" t="s">
        <v>5938</v>
      </c>
      <c r="D3395" s="230" t="s">
        <v>11</v>
      </c>
      <c r="E3395" s="231">
        <v>79.42</v>
      </c>
      <c r="F3395" s="231"/>
      <c r="G3395" s="229" t="s">
        <v>5938</v>
      </c>
      <c r="H3395" s="235">
        <f t="shared" si="101"/>
        <v>2006.6000000000001</v>
      </c>
      <c r="I3395" s="241"/>
      <c r="J3395" s="403"/>
    </row>
    <row r="3396" spans="1:10" s="215" customFormat="1" ht="12.75" hidden="1" customHeight="1" outlineLevel="1" x14ac:dyDescent="0.2">
      <c r="A3396" s="215" t="s">
        <v>1279</v>
      </c>
      <c r="B3396" s="216" t="s">
        <v>5969</v>
      </c>
      <c r="C3396" s="217" t="s">
        <v>2968</v>
      </c>
      <c r="D3396" s="218"/>
      <c r="E3396" s="219"/>
      <c r="F3396" s="219"/>
      <c r="G3396" s="225"/>
      <c r="H3396" s="235">
        <f t="shared" si="101"/>
        <v>0</v>
      </c>
      <c r="I3396" s="241"/>
      <c r="J3396" s="403"/>
    </row>
    <row r="3397" spans="1:10" s="215" customFormat="1" ht="12.75" hidden="1" customHeight="1" outlineLevel="1" x14ac:dyDescent="0.2">
      <c r="A3397" s="215" t="s">
        <v>1279</v>
      </c>
      <c r="B3397" s="224" t="s">
        <v>5970</v>
      </c>
      <c r="C3397" s="225" t="s">
        <v>5933</v>
      </c>
      <c r="D3397" s="226" t="s">
        <v>11</v>
      </c>
      <c r="E3397" s="227">
        <v>96.18</v>
      </c>
      <c r="F3397" s="227"/>
      <c r="G3397" s="229"/>
      <c r="H3397" s="235">
        <f t="shared" si="101"/>
        <v>0</v>
      </c>
      <c r="I3397" s="241"/>
      <c r="J3397" s="403"/>
    </row>
    <row r="3398" spans="1:10" s="215" customFormat="1" ht="12.75" hidden="1" customHeight="1" outlineLevel="1" x14ac:dyDescent="0.2">
      <c r="A3398" s="215" t="s">
        <v>1279</v>
      </c>
      <c r="B3398" s="228" t="s">
        <v>5971</v>
      </c>
      <c r="C3398" s="229" t="s">
        <v>5934</v>
      </c>
      <c r="D3398" s="230" t="s">
        <v>11</v>
      </c>
      <c r="E3398" s="231">
        <v>54.35</v>
      </c>
      <c r="F3398" s="231"/>
      <c r="G3398" s="225"/>
      <c r="H3398" s="235">
        <f t="shared" si="101"/>
        <v>0</v>
      </c>
      <c r="I3398" s="241"/>
      <c r="J3398" s="403"/>
    </row>
    <row r="3399" spans="1:10" s="215" customFormat="1" ht="12.75" hidden="1" customHeight="1" outlineLevel="1" x14ac:dyDescent="0.2">
      <c r="A3399" s="215" t="s">
        <v>1279</v>
      </c>
      <c r="B3399" s="224" t="s">
        <v>5972</v>
      </c>
      <c r="C3399" s="225" t="s">
        <v>5936</v>
      </c>
      <c r="D3399" s="226" t="s">
        <v>11</v>
      </c>
      <c r="E3399" s="227">
        <v>50.82</v>
      </c>
      <c r="F3399" s="227"/>
      <c r="G3399" s="229"/>
      <c r="H3399" s="235">
        <f t="shared" si="101"/>
        <v>0</v>
      </c>
      <c r="I3399" s="241"/>
      <c r="J3399" s="403"/>
    </row>
    <row r="3400" spans="1:10" s="215" customFormat="1" ht="12.75" hidden="1" customHeight="1" outlineLevel="1" x14ac:dyDescent="0.2">
      <c r="A3400" s="215" t="s">
        <v>1279</v>
      </c>
      <c r="B3400" s="228" t="s">
        <v>5973</v>
      </c>
      <c r="C3400" s="229" t="s">
        <v>5938</v>
      </c>
      <c r="D3400" s="230" t="s">
        <v>11</v>
      </c>
      <c r="E3400" s="231">
        <v>80.19</v>
      </c>
      <c r="F3400" s="231"/>
      <c r="G3400" s="229"/>
      <c r="H3400" s="235">
        <f t="shared" si="101"/>
        <v>0</v>
      </c>
      <c r="I3400" s="241"/>
      <c r="J3400" s="403"/>
    </row>
    <row r="3401" spans="1:10" s="215" customFormat="1" ht="12.75" hidden="1" customHeight="1" outlineLevel="1" x14ac:dyDescent="0.2">
      <c r="A3401" s="215" t="s">
        <v>1279</v>
      </c>
      <c r="B3401" s="216" t="s">
        <v>5974</v>
      </c>
      <c r="C3401" s="217" t="s">
        <v>2969</v>
      </c>
      <c r="D3401" s="218"/>
      <c r="E3401" s="219"/>
      <c r="F3401" s="219"/>
      <c r="G3401" s="225"/>
      <c r="H3401" s="235">
        <f t="shared" si="101"/>
        <v>0</v>
      </c>
      <c r="I3401" s="241"/>
      <c r="J3401" s="403"/>
    </row>
    <row r="3402" spans="1:10" s="215" customFormat="1" ht="12.75" hidden="1" customHeight="1" outlineLevel="1" x14ac:dyDescent="0.2">
      <c r="A3402" s="215" t="s">
        <v>1279</v>
      </c>
      <c r="B3402" s="224" t="s">
        <v>5975</v>
      </c>
      <c r="C3402" s="225" t="s">
        <v>5933</v>
      </c>
      <c r="D3402" s="226" t="s">
        <v>11</v>
      </c>
      <c r="E3402" s="227">
        <v>97.39</v>
      </c>
      <c r="F3402" s="227"/>
      <c r="G3402" s="229"/>
      <c r="H3402" s="235">
        <f t="shared" si="101"/>
        <v>0</v>
      </c>
      <c r="I3402" s="241"/>
      <c r="J3402" s="403"/>
    </row>
    <row r="3403" spans="1:10" s="215" customFormat="1" ht="12.75" hidden="1" customHeight="1" outlineLevel="1" x14ac:dyDescent="0.2">
      <c r="A3403" s="215" t="s">
        <v>1279</v>
      </c>
      <c r="B3403" s="228" t="s">
        <v>5976</v>
      </c>
      <c r="C3403" s="229" t="s">
        <v>5934</v>
      </c>
      <c r="D3403" s="230" t="s">
        <v>11</v>
      </c>
      <c r="E3403" s="231">
        <v>66.23</v>
      </c>
      <c r="F3403" s="231"/>
      <c r="G3403" s="225"/>
      <c r="H3403" s="235">
        <f t="shared" si="101"/>
        <v>0</v>
      </c>
      <c r="I3403" s="241"/>
      <c r="J3403" s="403"/>
    </row>
    <row r="3404" spans="1:10" s="215" customFormat="1" ht="12.75" hidden="1" customHeight="1" outlineLevel="1" x14ac:dyDescent="0.2">
      <c r="A3404" s="215" t="s">
        <v>1279</v>
      </c>
      <c r="B3404" s="224" t="s">
        <v>5977</v>
      </c>
      <c r="C3404" s="225" t="s">
        <v>5936</v>
      </c>
      <c r="D3404" s="226" t="s">
        <v>11</v>
      </c>
      <c r="E3404" s="227">
        <v>55.79</v>
      </c>
      <c r="F3404" s="227"/>
      <c r="G3404" s="229"/>
      <c r="H3404" s="235">
        <f t="shared" si="101"/>
        <v>0</v>
      </c>
      <c r="I3404" s="241"/>
      <c r="J3404" s="403"/>
    </row>
    <row r="3405" spans="1:10" s="215" customFormat="1" ht="12.75" hidden="1" customHeight="1" outlineLevel="1" x14ac:dyDescent="0.2">
      <c r="A3405" s="215" t="s">
        <v>1279</v>
      </c>
      <c r="B3405" s="228" t="s">
        <v>5978</v>
      </c>
      <c r="C3405" s="229" t="s">
        <v>5938</v>
      </c>
      <c r="D3405" s="230" t="s">
        <v>11</v>
      </c>
      <c r="E3405" s="231">
        <v>79.42</v>
      </c>
      <c r="F3405" s="231"/>
      <c r="G3405" s="225"/>
      <c r="H3405" s="235">
        <f t="shared" si="101"/>
        <v>0</v>
      </c>
      <c r="I3405" s="241"/>
      <c r="J3405" s="403"/>
    </row>
    <row r="3406" spans="1:10" s="215" customFormat="1" ht="12.75" hidden="1" customHeight="1" outlineLevel="1" x14ac:dyDescent="0.2">
      <c r="A3406" s="215" t="s">
        <v>1279</v>
      </c>
      <c r="B3406" s="216" t="s">
        <v>5979</v>
      </c>
      <c r="C3406" s="217" t="s">
        <v>2970</v>
      </c>
      <c r="D3406" s="218"/>
      <c r="E3406" s="219"/>
      <c r="F3406" s="219"/>
      <c r="G3406" s="229"/>
      <c r="H3406" s="235">
        <f t="shared" si="101"/>
        <v>0</v>
      </c>
      <c r="I3406" s="241"/>
      <c r="J3406" s="403"/>
    </row>
    <row r="3407" spans="1:10" s="215" customFormat="1" ht="12.75" hidden="1" customHeight="1" outlineLevel="1" x14ac:dyDescent="0.2">
      <c r="A3407" s="215" t="s">
        <v>1279</v>
      </c>
      <c r="B3407" s="224" t="s">
        <v>5980</v>
      </c>
      <c r="C3407" s="225" t="s">
        <v>5933</v>
      </c>
      <c r="D3407" s="226" t="s">
        <v>11</v>
      </c>
      <c r="E3407" s="227">
        <v>93.65</v>
      </c>
      <c r="F3407" s="227"/>
      <c r="G3407" s="225"/>
      <c r="H3407" s="235">
        <f t="shared" si="101"/>
        <v>0</v>
      </c>
      <c r="I3407" s="241"/>
      <c r="J3407" s="403"/>
    </row>
    <row r="3408" spans="1:10" s="215" customFormat="1" ht="12.75" hidden="1" customHeight="1" outlineLevel="1" x14ac:dyDescent="0.2">
      <c r="A3408" s="215" t="s">
        <v>1279</v>
      </c>
      <c r="B3408" s="228" t="s">
        <v>5981</v>
      </c>
      <c r="C3408" s="229" t="s">
        <v>5934</v>
      </c>
      <c r="D3408" s="230" t="s">
        <v>11</v>
      </c>
      <c r="E3408" s="231">
        <v>54.35</v>
      </c>
      <c r="F3408" s="231"/>
      <c r="G3408" s="229"/>
      <c r="H3408" s="235">
        <f t="shared" si="101"/>
        <v>0</v>
      </c>
      <c r="I3408" s="241"/>
      <c r="J3408" s="403"/>
    </row>
    <row r="3409" spans="1:10" s="215" customFormat="1" ht="12.75" hidden="1" customHeight="1" outlineLevel="1" x14ac:dyDescent="0.2">
      <c r="A3409" s="215" t="s">
        <v>1279</v>
      </c>
      <c r="B3409" s="224" t="s">
        <v>5982</v>
      </c>
      <c r="C3409" s="225" t="s">
        <v>5936</v>
      </c>
      <c r="D3409" s="226" t="s">
        <v>11</v>
      </c>
      <c r="E3409" s="227">
        <v>50.81</v>
      </c>
      <c r="F3409" s="227"/>
      <c r="G3409" s="241"/>
      <c r="H3409" s="241"/>
      <c r="I3409" s="241"/>
      <c r="J3409" s="403"/>
    </row>
    <row r="3410" spans="1:10" s="215" customFormat="1" ht="12.75" hidden="1" customHeight="1" outlineLevel="1" x14ac:dyDescent="0.2">
      <c r="A3410" s="215" t="s">
        <v>1279</v>
      </c>
      <c r="B3410" s="228" t="s">
        <v>5983</v>
      </c>
      <c r="C3410" s="229" t="s">
        <v>5938</v>
      </c>
      <c r="D3410" s="230" t="s">
        <v>11</v>
      </c>
      <c r="E3410" s="231">
        <v>80.19</v>
      </c>
      <c r="F3410" s="231"/>
      <c r="G3410" s="241"/>
      <c r="H3410" s="241"/>
      <c r="I3410" s="241"/>
      <c r="J3410" s="403"/>
    </row>
    <row r="3411" spans="1:10" s="215" customFormat="1" ht="12.75" hidden="1" customHeight="1" outlineLevel="1" x14ac:dyDescent="0.2">
      <c r="A3411" s="215" t="s">
        <v>1279</v>
      </c>
      <c r="B3411" s="216" t="s">
        <v>5984</v>
      </c>
      <c r="C3411" s="217" t="s">
        <v>2971</v>
      </c>
      <c r="D3411" s="218"/>
      <c r="E3411" s="219"/>
      <c r="F3411" s="219"/>
      <c r="G3411" s="241"/>
      <c r="H3411" s="241"/>
      <c r="I3411" s="241"/>
      <c r="J3411" s="403"/>
    </row>
    <row r="3412" spans="1:10" s="215" customFormat="1" ht="12.75" hidden="1" customHeight="1" outlineLevel="1" x14ac:dyDescent="0.2">
      <c r="A3412" s="215" t="s">
        <v>1279</v>
      </c>
      <c r="B3412" s="224" t="s">
        <v>5985</v>
      </c>
      <c r="C3412" s="225" t="s">
        <v>5933</v>
      </c>
      <c r="D3412" s="226" t="s">
        <v>11</v>
      </c>
      <c r="E3412" s="227">
        <v>120.93</v>
      </c>
      <c r="F3412" s="227"/>
      <c r="G3412" s="241"/>
      <c r="H3412" s="241"/>
      <c r="I3412" s="241"/>
      <c r="J3412" s="403"/>
    </row>
    <row r="3413" spans="1:10" s="215" customFormat="1" ht="12.75" hidden="1" customHeight="1" outlineLevel="1" x14ac:dyDescent="0.2">
      <c r="A3413" s="215" t="s">
        <v>1279</v>
      </c>
      <c r="B3413" s="228" t="s">
        <v>5986</v>
      </c>
      <c r="C3413" s="229" t="s">
        <v>5934</v>
      </c>
      <c r="D3413" s="230" t="s">
        <v>11</v>
      </c>
      <c r="E3413" s="231">
        <v>80.11</v>
      </c>
      <c r="F3413" s="231"/>
      <c r="G3413" s="241"/>
      <c r="H3413" s="241"/>
      <c r="I3413" s="241"/>
      <c r="J3413" s="403"/>
    </row>
    <row r="3414" spans="1:10" s="215" customFormat="1" ht="12.75" hidden="1" customHeight="1" outlineLevel="1" x14ac:dyDescent="0.2">
      <c r="A3414" s="215" t="s">
        <v>1279</v>
      </c>
      <c r="B3414" s="224" t="s">
        <v>5987</v>
      </c>
      <c r="C3414" s="225" t="s">
        <v>5936</v>
      </c>
      <c r="D3414" s="226" t="s">
        <v>11</v>
      </c>
      <c r="E3414" s="227">
        <v>73.23</v>
      </c>
      <c r="F3414" s="227"/>
      <c r="G3414" s="241"/>
      <c r="H3414" s="241"/>
      <c r="I3414" s="241"/>
      <c r="J3414" s="403"/>
    </row>
    <row r="3415" spans="1:10" s="215" customFormat="1" ht="12.75" hidden="1" customHeight="1" outlineLevel="1" x14ac:dyDescent="0.2">
      <c r="A3415" s="215" t="s">
        <v>1279</v>
      </c>
      <c r="B3415" s="228" t="s">
        <v>5988</v>
      </c>
      <c r="C3415" s="229" t="s">
        <v>5938</v>
      </c>
      <c r="D3415" s="230" t="s">
        <v>11</v>
      </c>
      <c r="E3415" s="231">
        <v>89.99</v>
      </c>
      <c r="F3415" s="231"/>
    </row>
    <row r="3416" spans="1:10" s="215" customFormat="1" ht="12.75" hidden="1" customHeight="1" outlineLevel="1" x14ac:dyDescent="0.2">
      <c r="A3416" s="215" t="s">
        <v>1279</v>
      </c>
      <c r="B3416" s="216" t="s">
        <v>5989</v>
      </c>
      <c r="C3416" s="217" t="s">
        <v>2972</v>
      </c>
      <c r="D3416" s="218"/>
      <c r="E3416" s="219"/>
      <c r="F3416" s="219"/>
    </row>
    <row r="3417" spans="1:10" s="215" customFormat="1" ht="12.75" hidden="1" customHeight="1" outlineLevel="1" x14ac:dyDescent="0.2">
      <c r="A3417" s="215" t="s">
        <v>1279</v>
      </c>
      <c r="B3417" s="224" t="s">
        <v>5990</v>
      </c>
      <c r="C3417" s="225" t="s">
        <v>5933</v>
      </c>
      <c r="D3417" s="226" t="s">
        <v>11</v>
      </c>
      <c r="E3417" s="227">
        <v>93.23</v>
      </c>
      <c r="F3417" s="227"/>
    </row>
    <row r="3418" spans="1:10" s="215" customFormat="1" ht="12.75" hidden="1" customHeight="1" outlineLevel="1" x14ac:dyDescent="0.2">
      <c r="A3418" s="215" t="s">
        <v>1279</v>
      </c>
      <c r="B3418" s="228" t="s">
        <v>5991</v>
      </c>
      <c r="C3418" s="229" t="s">
        <v>5934</v>
      </c>
      <c r="D3418" s="230" t="s">
        <v>11</v>
      </c>
      <c r="E3418" s="231">
        <v>33.72</v>
      </c>
      <c r="F3418" s="231"/>
    </row>
    <row r="3419" spans="1:10" s="215" customFormat="1" ht="12.75" hidden="1" customHeight="1" outlineLevel="1" x14ac:dyDescent="0.2">
      <c r="A3419" s="215" t="s">
        <v>1279</v>
      </c>
      <c r="B3419" s="224" t="s">
        <v>5992</v>
      </c>
      <c r="C3419" s="225" t="s">
        <v>5936</v>
      </c>
      <c r="D3419" s="226" t="s">
        <v>11</v>
      </c>
      <c r="E3419" s="227">
        <v>66.010000000000005</v>
      </c>
      <c r="F3419" s="227"/>
    </row>
    <row r="3420" spans="1:10" s="215" customFormat="1" ht="12.75" hidden="1" customHeight="1" outlineLevel="1" x14ac:dyDescent="0.2">
      <c r="A3420" s="215" t="s">
        <v>1279</v>
      </c>
      <c r="B3420" s="228" t="s">
        <v>5993</v>
      </c>
      <c r="C3420" s="229" t="s">
        <v>5938</v>
      </c>
      <c r="D3420" s="230" t="s">
        <v>11</v>
      </c>
      <c r="E3420" s="231">
        <v>154.41999999999999</v>
      </c>
      <c r="F3420" s="231"/>
    </row>
    <row r="3421" spans="1:10" s="215" customFormat="1" ht="12.75" hidden="1" customHeight="1" outlineLevel="1" x14ac:dyDescent="0.2">
      <c r="A3421" s="215" t="s">
        <v>1279</v>
      </c>
      <c r="B3421" s="216" t="s">
        <v>5994</v>
      </c>
      <c r="C3421" s="217" t="s">
        <v>2973</v>
      </c>
      <c r="D3421" s="218"/>
      <c r="E3421" s="219"/>
      <c r="F3421" s="219"/>
    </row>
    <row r="3422" spans="1:10" s="215" customFormat="1" ht="12.75" hidden="1" customHeight="1" outlineLevel="1" x14ac:dyDescent="0.2">
      <c r="A3422" s="215" t="s">
        <v>1279</v>
      </c>
      <c r="B3422" s="224" t="s">
        <v>5995</v>
      </c>
      <c r="C3422" s="225" t="s">
        <v>5933</v>
      </c>
      <c r="D3422" s="226" t="s">
        <v>11</v>
      </c>
      <c r="E3422" s="227">
        <v>98.61</v>
      </c>
      <c r="F3422" s="227"/>
    </row>
    <row r="3423" spans="1:10" s="215" customFormat="1" ht="12.75" hidden="1" customHeight="1" outlineLevel="1" x14ac:dyDescent="0.2">
      <c r="A3423" s="215" t="s">
        <v>1279</v>
      </c>
      <c r="B3423" s="228" t="s">
        <v>5996</v>
      </c>
      <c r="C3423" s="229" t="s">
        <v>5934</v>
      </c>
      <c r="D3423" s="230" t="s">
        <v>11</v>
      </c>
      <c r="E3423" s="231">
        <v>15.01</v>
      </c>
      <c r="F3423" s="231"/>
    </row>
    <row r="3424" spans="1:10" s="215" customFormat="1" ht="12.75" hidden="1" customHeight="1" outlineLevel="1" x14ac:dyDescent="0.2">
      <c r="A3424" s="215" t="s">
        <v>1279</v>
      </c>
      <c r="B3424" s="224" t="s">
        <v>5997</v>
      </c>
      <c r="C3424" s="225" t="s">
        <v>5936</v>
      </c>
      <c r="D3424" s="226" t="s">
        <v>11</v>
      </c>
      <c r="E3424" s="227">
        <v>23.28</v>
      </c>
      <c r="F3424" s="227"/>
    </row>
    <row r="3425" spans="1:6" s="215" customFormat="1" ht="12.75" hidden="1" customHeight="1" outlineLevel="1" x14ac:dyDescent="0.2">
      <c r="A3425" s="215" t="s">
        <v>1279</v>
      </c>
      <c r="B3425" s="228" t="s">
        <v>5998</v>
      </c>
      <c r="C3425" s="229" t="s">
        <v>5938</v>
      </c>
      <c r="D3425" s="230" t="s">
        <v>11</v>
      </c>
      <c r="E3425" s="231">
        <v>141.06</v>
      </c>
      <c r="F3425" s="231"/>
    </row>
    <row r="3426" spans="1:6" s="215" customFormat="1" ht="12.75" hidden="1" customHeight="1" outlineLevel="1" x14ac:dyDescent="0.2">
      <c r="A3426" s="215" t="s">
        <v>1279</v>
      </c>
      <c r="B3426" s="216" t="s">
        <v>5999</v>
      </c>
      <c r="C3426" s="217" t="s">
        <v>2974</v>
      </c>
      <c r="D3426" s="218"/>
      <c r="E3426" s="219"/>
      <c r="F3426" s="219"/>
    </row>
    <row r="3427" spans="1:6" s="215" customFormat="1" ht="12.75" hidden="1" customHeight="1" outlineLevel="1" x14ac:dyDescent="0.2">
      <c r="A3427" s="215" t="s">
        <v>1279</v>
      </c>
      <c r="B3427" s="224" t="s">
        <v>6000</v>
      </c>
      <c r="C3427" s="225" t="s">
        <v>5933</v>
      </c>
      <c r="D3427" s="226" t="s">
        <v>11</v>
      </c>
      <c r="E3427" s="227">
        <v>93.81</v>
      </c>
      <c r="F3427" s="227"/>
    </row>
    <row r="3428" spans="1:6" s="215" customFormat="1" ht="12.75" hidden="1" customHeight="1" outlineLevel="1" x14ac:dyDescent="0.2">
      <c r="A3428" s="215" t="s">
        <v>1279</v>
      </c>
      <c r="B3428" s="228" t="s">
        <v>6001</v>
      </c>
      <c r="C3428" s="229" t="s">
        <v>5934</v>
      </c>
      <c r="D3428" s="230" t="s">
        <v>11</v>
      </c>
      <c r="E3428" s="231">
        <v>20.57</v>
      </c>
      <c r="F3428" s="231"/>
    </row>
    <row r="3429" spans="1:6" s="215" customFormat="1" ht="12.75" hidden="1" customHeight="1" outlineLevel="1" x14ac:dyDescent="0.2">
      <c r="A3429" s="215" t="s">
        <v>1279</v>
      </c>
      <c r="B3429" s="224" t="s">
        <v>6002</v>
      </c>
      <c r="C3429" s="225" t="s">
        <v>5936</v>
      </c>
      <c r="D3429" s="226" t="s">
        <v>11</v>
      </c>
      <c r="E3429" s="227">
        <v>17.71</v>
      </c>
      <c r="F3429" s="227"/>
    </row>
    <row r="3430" spans="1:6" s="215" customFormat="1" ht="12.75" hidden="1" customHeight="1" outlineLevel="1" x14ac:dyDescent="0.2">
      <c r="A3430" s="215" t="s">
        <v>1279</v>
      </c>
      <c r="B3430" s="228" t="s">
        <v>6003</v>
      </c>
      <c r="C3430" s="229" t="s">
        <v>5938</v>
      </c>
      <c r="D3430" s="230" t="s">
        <v>11</v>
      </c>
      <c r="E3430" s="231">
        <v>92.18</v>
      </c>
      <c r="F3430" s="231"/>
    </row>
    <row r="3431" spans="1:6" s="215" customFormat="1" ht="12.75" hidden="1" customHeight="1" outlineLevel="1" x14ac:dyDescent="0.2">
      <c r="A3431" s="215" t="s">
        <v>1279</v>
      </c>
      <c r="B3431" s="216" t="s">
        <v>6004</v>
      </c>
      <c r="C3431" s="217" t="s">
        <v>2975</v>
      </c>
      <c r="D3431" s="218"/>
      <c r="E3431" s="219"/>
      <c r="F3431" s="219"/>
    </row>
    <row r="3432" spans="1:6" s="215" customFormat="1" ht="12.75" hidden="1" customHeight="1" outlineLevel="1" x14ac:dyDescent="0.2">
      <c r="A3432" s="215" t="s">
        <v>1279</v>
      </c>
      <c r="B3432" s="224" t="s">
        <v>6005</v>
      </c>
      <c r="C3432" s="225" t="s">
        <v>5933</v>
      </c>
      <c r="D3432" s="226" t="s">
        <v>11</v>
      </c>
      <c r="E3432" s="227">
        <v>90.3</v>
      </c>
      <c r="F3432" s="227"/>
    </row>
    <row r="3433" spans="1:6" s="215" customFormat="1" ht="12.75" hidden="1" customHeight="1" outlineLevel="1" x14ac:dyDescent="0.2">
      <c r="A3433" s="215" t="s">
        <v>1279</v>
      </c>
      <c r="B3433" s="228" t="s">
        <v>6006</v>
      </c>
      <c r="C3433" s="229" t="s">
        <v>5934</v>
      </c>
      <c r="D3433" s="230" t="s">
        <v>11</v>
      </c>
      <c r="E3433" s="231">
        <v>12.05</v>
      </c>
      <c r="F3433" s="231"/>
    </row>
    <row r="3434" spans="1:6" s="215" customFormat="1" ht="12.75" hidden="1" customHeight="1" outlineLevel="1" x14ac:dyDescent="0.2">
      <c r="A3434" s="215" t="s">
        <v>1279</v>
      </c>
      <c r="B3434" s="224" t="s">
        <v>6007</v>
      </c>
      <c r="C3434" s="225" t="s">
        <v>5936</v>
      </c>
      <c r="D3434" s="226" t="s">
        <v>11</v>
      </c>
      <c r="E3434" s="227">
        <v>13.3</v>
      </c>
      <c r="F3434" s="227"/>
    </row>
    <row r="3435" spans="1:6" s="215" customFormat="1" ht="12.75" hidden="1" customHeight="1" outlineLevel="1" x14ac:dyDescent="0.2">
      <c r="A3435" s="215" t="s">
        <v>1279</v>
      </c>
      <c r="B3435" s="228" t="s">
        <v>6008</v>
      </c>
      <c r="C3435" s="229" t="s">
        <v>5938</v>
      </c>
      <c r="D3435" s="230" t="s">
        <v>11</v>
      </c>
      <c r="E3435" s="231">
        <v>91.01</v>
      </c>
      <c r="F3435" s="231"/>
    </row>
    <row r="3436" spans="1:6" s="215" customFormat="1" ht="12.75" hidden="1" customHeight="1" outlineLevel="1" x14ac:dyDescent="0.2">
      <c r="A3436" s="215" t="s">
        <v>1279</v>
      </c>
      <c r="B3436" s="216" t="s">
        <v>6009</v>
      </c>
      <c r="C3436" s="217" t="s">
        <v>2976</v>
      </c>
      <c r="D3436" s="218"/>
      <c r="E3436" s="219"/>
      <c r="F3436" s="219"/>
    </row>
    <row r="3437" spans="1:6" s="215" customFormat="1" ht="12.75" hidden="1" customHeight="1" outlineLevel="1" x14ac:dyDescent="0.2">
      <c r="A3437" s="215" t="s">
        <v>1279</v>
      </c>
      <c r="B3437" s="224" t="s">
        <v>6010</v>
      </c>
      <c r="C3437" s="225" t="s">
        <v>5933</v>
      </c>
      <c r="D3437" s="226" t="s">
        <v>11</v>
      </c>
      <c r="E3437" s="227">
        <v>115.31</v>
      </c>
      <c r="F3437" s="227"/>
    </row>
    <row r="3438" spans="1:6" s="215" customFormat="1" ht="12.75" hidden="1" customHeight="1" outlineLevel="1" x14ac:dyDescent="0.2">
      <c r="A3438" s="215" t="s">
        <v>1279</v>
      </c>
      <c r="B3438" s="228" t="s">
        <v>6011</v>
      </c>
      <c r="C3438" s="229" t="s">
        <v>5934</v>
      </c>
      <c r="D3438" s="230" t="s">
        <v>11</v>
      </c>
      <c r="E3438" s="231">
        <v>23.28</v>
      </c>
      <c r="F3438" s="231"/>
    </row>
    <row r="3439" spans="1:6" s="215" customFormat="1" ht="12.75" hidden="1" customHeight="1" outlineLevel="1" x14ac:dyDescent="0.2">
      <c r="A3439" s="215" t="s">
        <v>1279</v>
      </c>
      <c r="B3439" s="224" t="s">
        <v>6012</v>
      </c>
      <c r="C3439" s="225" t="s">
        <v>5936</v>
      </c>
      <c r="D3439" s="226" t="s">
        <v>11</v>
      </c>
      <c r="E3439" s="227">
        <v>20.12</v>
      </c>
      <c r="F3439" s="227"/>
    </row>
    <row r="3440" spans="1:6" s="215" customFormat="1" ht="12.75" hidden="1" customHeight="1" outlineLevel="1" x14ac:dyDescent="0.2">
      <c r="A3440" s="215" t="s">
        <v>1279</v>
      </c>
      <c r="B3440" s="228" t="s">
        <v>6013</v>
      </c>
      <c r="C3440" s="229" t="s">
        <v>5938</v>
      </c>
      <c r="D3440" s="230" t="s">
        <v>11</v>
      </c>
      <c r="E3440" s="231">
        <v>105.31</v>
      </c>
      <c r="F3440" s="231"/>
    </row>
    <row r="3441" spans="1:10" s="215" customFormat="1" ht="12.75" hidden="1" customHeight="1" outlineLevel="1" x14ac:dyDescent="0.2">
      <c r="A3441" s="215" t="s">
        <v>1279</v>
      </c>
      <c r="B3441" s="216" t="s">
        <v>6014</v>
      </c>
      <c r="C3441" s="217" t="s">
        <v>2978</v>
      </c>
      <c r="D3441" s="218"/>
      <c r="E3441" s="219"/>
      <c r="F3441" s="219"/>
    </row>
    <row r="3442" spans="1:10" s="215" customFormat="1" ht="12.75" hidden="1" customHeight="1" outlineLevel="1" x14ac:dyDescent="0.2">
      <c r="A3442" s="215" t="s">
        <v>1279</v>
      </c>
      <c r="B3442" s="224" t="s">
        <v>6015</v>
      </c>
      <c r="C3442" s="225" t="s">
        <v>5933</v>
      </c>
      <c r="D3442" s="226" t="s">
        <v>11</v>
      </c>
      <c r="E3442" s="227">
        <v>121.29</v>
      </c>
      <c r="F3442" s="227"/>
    </row>
    <row r="3443" spans="1:10" s="215" customFormat="1" ht="12.75" hidden="1" customHeight="1" outlineLevel="1" x14ac:dyDescent="0.2">
      <c r="A3443" s="215" t="s">
        <v>1279</v>
      </c>
      <c r="B3443" s="228" t="s">
        <v>6016</v>
      </c>
      <c r="C3443" s="229" t="s">
        <v>5934</v>
      </c>
      <c r="D3443" s="230" t="s">
        <v>11</v>
      </c>
      <c r="E3443" s="231">
        <v>104.79</v>
      </c>
      <c r="F3443" s="231"/>
    </row>
    <row r="3444" spans="1:10" s="215" customFormat="1" ht="12.75" hidden="1" customHeight="1" outlineLevel="1" x14ac:dyDescent="0.2">
      <c r="A3444" s="215" t="s">
        <v>1279</v>
      </c>
      <c r="B3444" s="224" t="s">
        <v>6017</v>
      </c>
      <c r="C3444" s="225" t="s">
        <v>5936</v>
      </c>
      <c r="D3444" s="226" t="s">
        <v>11</v>
      </c>
      <c r="E3444" s="227">
        <v>16.96</v>
      </c>
      <c r="F3444" s="227"/>
    </row>
    <row r="3445" spans="1:10" s="215" customFormat="1" ht="12.75" hidden="1" customHeight="1" outlineLevel="1" x14ac:dyDescent="0.2">
      <c r="A3445" s="215" t="s">
        <v>1279</v>
      </c>
      <c r="B3445" s="228" t="s">
        <v>6018</v>
      </c>
      <c r="C3445" s="229" t="s">
        <v>5938</v>
      </c>
      <c r="D3445" s="230" t="s">
        <v>11</v>
      </c>
      <c r="E3445" s="231">
        <v>117.21</v>
      </c>
      <c r="F3445" s="231"/>
    </row>
    <row r="3446" spans="1:10" s="215" customFormat="1" ht="12.75" hidden="1" customHeight="1" outlineLevel="1" x14ac:dyDescent="0.2">
      <c r="A3446" s="215" t="s">
        <v>1279</v>
      </c>
      <c r="B3446" s="216" t="s">
        <v>6019</v>
      </c>
      <c r="C3446" s="217" t="s">
        <v>2980</v>
      </c>
      <c r="D3446" s="218"/>
      <c r="E3446" s="219"/>
      <c r="F3446" s="219"/>
    </row>
    <row r="3447" spans="1:10" s="215" customFormat="1" ht="12.75" hidden="1" customHeight="1" outlineLevel="1" x14ac:dyDescent="0.2">
      <c r="A3447" s="215" t="s">
        <v>1279</v>
      </c>
      <c r="B3447" s="224" t="s">
        <v>6020</v>
      </c>
      <c r="C3447" s="225" t="s">
        <v>5933</v>
      </c>
      <c r="D3447" s="226" t="s">
        <v>11</v>
      </c>
      <c r="E3447" s="227">
        <v>53.06</v>
      </c>
      <c r="F3447" s="227"/>
    </row>
    <row r="3448" spans="1:10" s="215" customFormat="1" ht="12.75" hidden="1" customHeight="1" outlineLevel="1" x14ac:dyDescent="0.2">
      <c r="A3448" s="215" t="s">
        <v>1279</v>
      </c>
      <c r="B3448" s="228" t="s">
        <v>6021</v>
      </c>
      <c r="C3448" s="229" t="s">
        <v>5934</v>
      </c>
      <c r="D3448" s="230" t="s">
        <v>11</v>
      </c>
      <c r="E3448" s="231">
        <v>17.57</v>
      </c>
      <c r="F3448" s="231"/>
    </row>
    <row r="3449" spans="1:10" s="215" customFormat="1" ht="12.75" hidden="1" customHeight="1" outlineLevel="1" x14ac:dyDescent="0.2">
      <c r="A3449" s="215" t="s">
        <v>1279</v>
      </c>
      <c r="B3449" s="224" t="s">
        <v>6022</v>
      </c>
      <c r="C3449" s="225" t="s">
        <v>5936</v>
      </c>
      <c r="D3449" s="226" t="s">
        <v>11</v>
      </c>
      <c r="E3449" s="227">
        <v>17.649999999999999</v>
      </c>
      <c r="F3449" s="227"/>
    </row>
    <row r="3450" spans="1:10" s="215" customFormat="1" ht="12.75" hidden="1" customHeight="1" outlineLevel="1" x14ac:dyDescent="0.2">
      <c r="A3450" s="215" t="s">
        <v>1279</v>
      </c>
      <c r="B3450" s="228" t="s">
        <v>6023</v>
      </c>
      <c r="C3450" s="229" t="s">
        <v>5938</v>
      </c>
      <c r="D3450" s="230" t="s">
        <v>11</v>
      </c>
      <c r="E3450" s="231">
        <v>43.19</v>
      </c>
      <c r="F3450" s="231"/>
    </row>
    <row r="3451" spans="1:10" s="215" customFormat="1" ht="12.75" hidden="1" customHeight="1" outlineLevel="1" x14ac:dyDescent="0.2">
      <c r="A3451" s="215" t="s">
        <v>1279</v>
      </c>
      <c r="B3451" s="216" t="s">
        <v>6024</v>
      </c>
      <c r="C3451" s="217" t="s">
        <v>2983</v>
      </c>
      <c r="D3451" s="218"/>
      <c r="E3451" s="219"/>
      <c r="F3451" s="219"/>
    </row>
    <row r="3452" spans="1:10" s="215" customFormat="1" ht="12.75" hidden="1" customHeight="1" outlineLevel="1" x14ac:dyDescent="0.2">
      <c r="A3452" s="215" t="s">
        <v>1279</v>
      </c>
      <c r="B3452" s="224" t="s">
        <v>6025</v>
      </c>
      <c r="C3452" s="225" t="s">
        <v>5933</v>
      </c>
      <c r="D3452" s="226" t="s">
        <v>11</v>
      </c>
      <c r="E3452" s="227">
        <v>54.57</v>
      </c>
      <c r="F3452" s="227"/>
    </row>
    <row r="3453" spans="1:10" s="215" customFormat="1" ht="12.75" hidden="1" customHeight="1" outlineLevel="1" x14ac:dyDescent="0.2">
      <c r="A3453" s="215" t="s">
        <v>1279</v>
      </c>
      <c r="B3453" s="228" t="s">
        <v>6026</v>
      </c>
      <c r="C3453" s="229" t="s">
        <v>5934</v>
      </c>
      <c r="D3453" s="230" t="s">
        <v>11</v>
      </c>
      <c r="E3453" s="231">
        <v>17.52</v>
      </c>
      <c r="F3453" s="231"/>
    </row>
    <row r="3454" spans="1:10" s="215" customFormat="1" ht="12.75" hidden="1" customHeight="1" outlineLevel="1" x14ac:dyDescent="0.2">
      <c r="A3454" s="215" t="s">
        <v>1279</v>
      </c>
      <c r="B3454" s="224" t="s">
        <v>6027</v>
      </c>
      <c r="C3454" s="225" t="s">
        <v>5936</v>
      </c>
      <c r="D3454" s="226" t="s">
        <v>11</v>
      </c>
      <c r="E3454" s="227">
        <v>17.600000000000001</v>
      </c>
      <c r="F3454" s="227"/>
    </row>
    <row r="3455" spans="1:10" s="215" customFormat="1" ht="12.75" hidden="1" customHeight="1" outlineLevel="1" x14ac:dyDescent="0.2">
      <c r="A3455" s="215" t="s">
        <v>1279</v>
      </c>
      <c r="B3455" s="228" t="s">
        <v>6028</v>
      </c>
      <c r="C3455" s="229" t="s">
        <v>5938</v>
      </c>
      <c r="D3455" s="230" t="s">
        <v>11</v>
      </c>
      <c r="E3455" s="231">
        <v>43.21</v>
      </c>
      <c r="F3455" s="231"/>
    </row>
    <row r="3456" spans="1:10" s="215" customFormat="1" collapsed="1" x14ac:dyDescent="0.2">
      <c r="B3456" s="515" t="s">
        <v>2806</v>
      </c>
      <c r="C3456" s="516" t="s">
        <v>6029</v>
      </c>
      <c r="D3456" s="521"/>
      <c r="E3456" s="524">
        <f>SUM(E3458:E3606)</f>
        <v>394.37999999999994</v>
      </c>
      <c r="F3456" s="524"/>
      <c r="G3456" s="516"/>
      <c r="H3456" s="234">
        <f>SUM(H3457:H3473)</f>
        <v>394.37999999999994</v>
      </c>
      <c r="I3456" s="242" t="str">
        <f>IF(H3456=E3456,"OKAY","REVER")</f>
        <v>OKAY</v>
      </c>
      <c r="J3456" s="405"/>
    </row>
    <row r="3457" spans="1:9" s="215" customFormat="1" ht="12.75" hidden="1" customHeight="1" outlineLevel="1" x14ac:dyDescent="0.2">
      <c r="A3457" s="215" t="s">
        <v>1278</v>
      </c>
      <c r="B3457" s="216" t="s">
        <v>2807</v>
      </c>
      <c r="C3457" s="217" t="s">
        <v>2958</v>
      </c>
      <c r="D3457" s="218"/>
      <c r="E3457" s="219"/>
      <c r="F3457" s="219"/>
      <c r="G3457" s="225" t="s">
        <v>6030</v>
      </c>
      <c r="H3457" s="235">
        <f t="shared" ref="H3457:H3473" si="102">SUMIF($C:$C,G3457,$E:$E)</f>
        <v>64.67</v>
      </c>
      <c r="I3457" s="241"/>
    </row>
    <row r="3458" spans="1:9" s="215" customFormat="1" ht="12.75" hidden="1" customHeight="1" outlineLevel="1" x14ac:dyDescent="0.2">
      <c r="A3458" s="215" t="s">
        <v>1278</v>
      </c>
      <c r="B3458" s="224" t="s">
        <v>2808</v>
      </c>
      <c r="C3458" s="225" t="s">
        <v>6030</v>
      </c>
      <c r="D3458" s="226" t="s">
        <v>11</v>
      </c>
      <c r="E3458" s="227">
        <v>0.11</v>
      </c>
      <c r="F3458" s="227"/>
      <c r="G3458" s="229" t="s">
        <v>6032</v>
      </c>
      <c r="H3458" s="235">
        <f t="shared" si="102"/>
        <v>64.67</v>
      </c>
      <c r="I3458" s="241"/>
    </row>
    <row r="3459" spans="1:9" s="215" customFormat="1" ht="12.75" hidden="1" customHeight="1" outlineLevel="1" x14ac:dyDescent="0.2">
      <c r="A3459" s="215" t="s">
        <v>1278</v>
      </c>
      <c r="B3459" s="228" t="s">
        <v>6031</v>
      </c>
      <c r="C3459" s="229" t="s">
        <v>6032</v>
      </c>
      <c r="D3459" s="230" t="s">
        <v>11</v>
      </c>
      <c r="E3459" s="231">
        <v>0.11</v>
      </c>
      <c r="F3459" s="231"/>
      <c r="G3459" s="225" t="s">
        <v>6034</v>
      </c>
      <c r="H3459" s="235">
        <f t="shared" si="102"/>
        <v>64.67</v>
      </c>
      <c r="I3459" s="241"/>
    </row>
    <row r="3460" spans="1:9" s="215" customFormat="1" ht="12.75" hidden="1" customHeight="1" outlineLevel="1" x14ac:dyDescent="0.2">
      <c r="A3460" s="215" t="s">
        <v>1278</v>
      </c>
      <c r="B3460" s="224" t="s">
        <v>6033</v>
      </c>
      <c r="C3460" s="225" t="s">
        <v>6034</v>
      </c>
      <c r="D3460" s="226" t="s">
        <v>11</v>
      </c>
      <c r="E3460" s="227">
        <v>0.11</v>
      </c>
      <c r="F3460" s="227"/>
      <c r="G3460" s="229" t="s">
        <v>6046</v>
      </c>
      <c r="H3460" s="235">
        <f t="shared" si="102"/>
        <v>26.830000000000002</v>
      </c>
      <c r="I3460" s="241"/>
    </row>
    <row r="3461" spans="1:9" s="215" customFormat="1" ht="12.75" hidden="1" customHeight="1" outlineLevel="1" x14ac:dyDescent="0.2">
      <c r="A3461" s="215" t="s">
        <v>1278</v>
      </c>
      <c r="B3461" s="228" t="s">
        <v>6035</v>
      </c>
      <c r="C3461" s="229" t="s">
        <v>6036</v>
      </c>
      <c r="D3461" s="230" t="s">
        <v>11</v>
      </c>
      <c r="E3461" s="231">
        <v>0.4</v>
      </c>
      <c r="F3461" s="231"/>
      <c r="G3461" s="225" t="s">
        <v>6048</v>
      </c>
      <c r="H3461" s="235">
        <f t="shared" si="102"/>
        <v>26.830000000000002</v>
      </c>
      <c r="I3461" s="241"/>
    </row>
    <row r="3462" spans="1:9" s="215" customFormat="1" ht="12.75" hidden="1" customHeight="1" outlineLevel="1" x14ac:dyDescent="0.2">
      <c r="A3462" s="215" t="s">
        <v>1278</v>
      </c>
      <c r="B3462" s="224" t="s">
        <v>6037</v>
      </c>
      <c r="C3462" s="225" t="s">
        <v>6038</v>
      </c>
      <c r="D3462" s="226" t="s">
        <v>11</v>
      </c>
      <c r="E3462" s="227">
        <v>0.4</v>
      </c>
      <c r="F3462" s="227"/>
      <c r="G3462" s="229" t="s">
        <v>6050</v>
      </c>
      <c r="H3462" s="235">
        <f t="shared" si="102"/>
        <v>26.830000000000002</v>
      </c>
      <c r="I3462" s="241"/>
    </row>
    <row r="3463" spans="1:9" s="215" customFormat="1" ht="25.5" hidden="1" customHeight="1" outlineLevel="1" x14ac:dyDescent="0.2">
      <c r="A3463" s="215" t="s">
        <v>1278</v>
      </c>
      <c r="B3463" s="228" t="s">
        <v>6039</v>
      </c>
      <c r="C3463" s="229" t="s">
        <v>6040</v>
      </c>
      <c r="D3463" s="230" t="s">
        <v>11</v>
      </c>
      <c r="E3463" s="231">
        <v>0.4</v>
      </c>
      <c r="F3463" s="231"/>
      <c r="G3463" s="225" t="s">
        <v>6052</v>
      </c>
      <c r="H3463" s="235">
        <f t="shared" si="102"/>
        <v>39.560000000000009</v>
      </c>
      <c r="I3463" s="198"/>
    </row>
    <row r="3464" spans="1:9" s="215" customFormat="1" ht="12.75" hidden="1" customHeight="1" outlineLevel="1" x14ac:dyDescent="0.2">
      <c r="A3464" s="215" t="s">
        <v>1279</v>
      </c>
      <c r="B3464" s="216" t="s">
        <v>6041</v>
      </c>
      <c r="C3464" s="217" t="s">
        <v>2960</v>
      </c>
      <c r="D3464" s="218"/>
      <c r="E3464" s="219"/>
      <c r="F3464" s="219"/>
      <c r="G3464" s="229" t="s">
        <v>6054</v>
      </c>
      <c r="H3464" s="235">
        <f t="shared" si="102"/>
        <v>39.560000000000009</v>
      </c>
      <c r="I3464" s="241"/>
    </row>
    <row r="3465" spans="1:9" s="215" customFormat="1" ht="12.75" hidden="1" customHeight="1" outlineLevel="1" x14ac:dyDescent="0.2">
      <c r="A3465" s="215" t="s">
        <v>1279</v>
      </c>
      <c r="B3465" s="224" t="s">
        <v>6042</v>
      </c>
      <c r="C3465" s="225" t="s">
        <v>6030</v>
      </c>
      <c r="D3465" s="226" t="s">
        <v>11</v>
      </c>
      <c r="E3465" s="227">
        <v>5.56</v>
      </c>
      <c r="F3465" s="227"/>
      <c r="G3465" s="225" t="s">
        <v>6056</v>
      </c>
      <c r="H3465" s="235">
        <f t="shared" si="102"/>
        <v>39.560000000000009</v>
      </c>
      <c r="I3465" s="241"/>
    </row>
    <row r="3466" spans="1:9" s="215" customFormat="1" ht="12.75" hidden="1" customHeight="1" outlineLevel="1" x14ac:dyDescent="0.2">
      <c r="A3466" s="215" t="s">
        <v>1279</v>
      </c>
      <c r="B3466" s="228" t="s">
        <v>6043</v>
      </c>
      <c r="C3466" s="229" t="s">
        <v>6032</v>
      </c>
      <c r="D3466" s="230" t="s">
        <v>11</v>
      </c>
      <c r="E3466" s="231">
        <v>5.56</v>
      </c>
      <c r="F3466" s="231"/>
      <c r="G3466" s="229" t="s">
        <v>6036</v>
      </c>
      <c r="H3466" s="235">
        <f t="shared" si="102"/>
        <v>0.4</v>
      </c>
      <c r="I3466" s="241"/>
    </row>
    <row r="3467" spans="1:9" s="215" customFormat="1" ht="12.75" hidden="1" customHeight="1" outlineLevel="1" x14ac:dyDescent="0.2">
      <c r="A3467" s="215" t="s">
        <v>1279</v>
      </c>
      <c r="B3467" s="224" t="s">
        <v>6044</v>
      </c>
      <c r="C3467" s="225" t="s">
        <v>6034</v>
      </c>
      <c r="D3467" s="226" t="s">
        <v>11</v>
      </c>
      <c r="E3467" s="227">
        <v>5.56</v>
      </c>
      <c r="F3467" s="227"/>
      <c r="G3467" s="225" t="s">
        <v>6038</v>
      </c>
      <c r="H3467" s="235">
        <f t="shared" si="102"/>
        <v>0.4</v>
      </c>
      <c r="I3467" s="241"/>
    </row>
    <row r="3468" spans="1:9" s="215" customFormat="1" ht="12.75" hidden="1" customHeight="1" outlineLevel="1" x14ac:dyDescent="0.2">
      <c r="A3468" s="215" t="s">
        <v>1279</v>
      </c>
      <c r="B3468" s="228" t="s">
        <v>6045</v>
      </c>
      <c r="C3468" s="229" t="s">
        <v>6046</v>
      </c>
      <c r="D3468" s="230" t="s">
        <v>11</v>
      </c>
      <c r="E3468" s="231">
        <v>2.82</v>
      </c>
      <c r="F3468" s="231"/>
      <c r="G3468" s="229" t="s">
        <v>6040</v>
      </c>
      <c r="H3468" s="235">
        <f t="shared" si="102"/>
        <v>0.4</v>
      </c>
      <c r="I3468" s="241"/>
    </row>
    <row r="3469" spans="1:9" s="215" customFormat="1" ht="12.75" hidden="1" customHeight="1" outlineLevel="1" x14ac:dyDescent="0.2">
      <c r="A3469" s="215" t="s">
        <v>1279</v>
      </c>
      <c r="B3469" s="224" t="s">
        <v>6047</v>
      </c>
      <c r="C3469" s="225" t="s">
        <v>6048</v>
      </c>
      <c r="D3469" s="226" t="s">
        <v>11</v>
      </c>
      <c r="E3469" s="227">
        <v>2.82</v>
      </c>
      <c r="F3469" s="227"/>
      <c r="G3469" s="229"/>
      <c r="H3469" s="235">
        <f t="shared" si="102"/>
        <v>0</v>
      </c>
      <c r="I3469" s="241"/>
    </row>
    <row r="3470" spans="1:9" s="215" customFormat="1" ht="12.75" hidden="1" customHeight="1" outlineLevel="1" x14ac:dyDescent="0.2">
      <c r="A3470" s="215" t="s">
        <v>1279</v>
      </c>
      <c r="B3470" s="228" t="s">
        <v>6049</v>
      </c>
      <c r="C3470" s="229" t="s">
        <v>6050</v>
      </c>
      <c r="D3470" s="230" t="s">
        <v>11</v>
      </c>
      <c r="E3470" s="231">
        <v>2.82</v>
      </c>
      <c r="F3470" s="231"/>
      <c r="G3470" s="225"/>
      <c r="H3470" s="235">
        <f t="shared" si="102"/>
        <v>0</v>
      </c>
      <c r="I3470" s="241"/>
    </row>
    <row r="3471" spans="1:9" s="215" customFormat="1" ht="12.75" hidden="1" customHeight="1" outlineLevel="1" x14ac:dyDescent="0.2">
      <c r="A3471" s="215" t="s">
        <v>1279</v>
      </c>
      <c r="B3471" s="224" t="s">
        <v>6051</v>
      </c>
      <c r="C3471" s="225" t="s">
        <v>6052</v>
      </c>
      <c r="D3471" s="226" t="s">
        <v>11</v>
      </c>
      <c r="E3471" s="227">
        <v>2.16</v>
      </c>
      <c r="F3471" s="227"/>
      <c r="G3471" s="229"/>
      <c r="H3471" s="235">
        <f t="shared" si="102"/>
        <v>0</v>
      </c>
      <c r="I3471" s="241"/>
    </row>
    <row r="3472" spans="1:9" s="215" customFormat="1" ht="12.75" hidden="1" customHeight="1" outlineLevel="1" x14ac:dyDescent="0.2">
      <c r="A3472" s="215" t="s">
        <v>1279</v>
      </c>
      <c r="B3472" s="228" t="s">
        <v>6053</v>
      </c>
      <c r="C3472" s="229" t="s">
        <v>6054</v>
      </c>
      <c r="D3472" s="230" t="s">
        <v>11</v>
      </c>
      <c r="E3472" s="231">
        <v>2.16</v>
      </c>
      <c r="F3472" s="231"/>
      <c r="G3472" s="225"/>
      <c r="H3472" s="235">
        <f t="shared" si="102"/>
        <v>0</v>
      </c>
      <c r="I3472" s="241"/>
    </row>
    <row r="3473" spans="1:10" s="215" customFormat="1" ht="12.75" hidden="1" customHeight="1" outlineLevel="1" x14ac:dyDescent="0.2">
      <c r="A3473" s="215" t="s">
        <v>1279</v>
      </c>
      <c r="B3473" s="224" t="s">
        <v>6055</v>
      </c>
      <c r="C3473" s="225" t="s">
        <v>6056</v>
      </c>
      <c r="D3473" s="226" t="s">
        <v>11</v>
      </c>
      <c r="E3473" s="227">
        <v>2.16</v>
      </c>
      <c r="F3473" s="227"/>
      <c r="G3473" s="229"/>
      <c r="H3473" s="235">
        <f t="shared" si="102"/>
        <v>0</v>
      </c>
      <c r="I3473" s="241"/>
    </row>
    <row r="3474" spans="1:10" s="215" customFormat="1" ht="12.75" hidden="1" customHeight="1" outlineLevel="1" x14ac:dyDescent="0.2">
      <c r="A3474" s="215" t="s">
        <v>1279</v>
      </c>
      <c r="B3474" s="216" t="s">
        <v>6057</v>
      </c>
      <c r="C3474" s="217" t="s">
        <v>2961</v>
      </c>
      <c r="D3474" s="218"/>
      <c r="E3474" s="219"/>
      <c r="F3474" s="219"/>
      <c r="G3474" s="198"/>
      <c r="H3474" s="198"/>
      <c r="I3474" s="241"/>
    </row>
    <row r="3475" spans="1:10" s="215" customFormat="1" ht="12.75" hidden="1" customHeight="1" outlineLevel="1" x14ac:dyDescent="0.2">
      <c r="A3475" s="215" t="s">
        <v>1279</v>
      </c>
      <c r="B3475" s="228" t="s">
        <v>6058</v>
      </c>
      <c r="C3475" s="229" t="s">
        <v>6030</v>
      </c>
      <c r="D3475" s="230" t="s">
        <v>11</v>
      </c>
      <c r="E3475" s="231">
        <v>4.2</v>
      </c>
      <c r="F3475" s="231"/>
      <c r="G3475" s="520" t="s">
        <v>1732</v>
      </c>
      <c r="H3475" s="234">
        <f>H3477+H3497</f>
        <v>394.37999999999994</v>
      </c>
      <c r="I3475" s="242" t="str">
        <f>IF(H3475=H3456,"OKAY","REVER")</f>
        <v>OKAY</v>
      </c>
    </row>
    <row r="3476" spans="1:10" s="215" customFormat="1" ht="12.75" hidden="1" customHeight="1" outlineLevel="1" x14ac:dyDescent="0.2">
      <c r="A3476" s="215" t="s">
        <v>1279</v>
      </c>
      <c r="B3476" s="224" t="s">
        <v>6059</v>
      </c>
      <c r="C3476" s="225" t="s">
        <v>6032</v>
      </c>
      <c r="D3476" s="226" t="s">
        <v>11</v>
      </c>
      <c r="E3476" s="227">
        <v>4.2</v>
      </c>
      <c r="F3476" s="227"/>
      <c r="G3476" s="232"/>
      <c r="H3476" s="232"/>
      <c r="I3476" s="242"/>
    </row>
    <row r="3477" spans="1:10" s="215" customFormat="1" ht="12.75" hidden="1" customHeight="1" outlineLevel="1" x14ac:dyDescent="0.2">
      <c r="A3477" s="215" t="s">
        <v>1279</v>
      </c>
      <c r="B3477" s="228" t="s">
        <v>6060</v>
      </c>
      <c r="C3477" s="229" t="s">
        <v>6034</v>
      </c>
      <c r="D3477" s="230" t="s">
        <v>11</v>
      </c>
      <c r="E3477" s="231">
        <v>4.2</v>
      </c>
      <c r="F3477" s="231"/>
      <c r="G3477" s="520" t="str">
        <f>$A$1</f>
        <v>EMBASSAMENTO</v>
      </c>
      <c r="H3477" s="234">
        <f>SUM(H3478:H3494)</f>
        <v>1.5299999999999998</v>
      </c>
      <c r="I3477" s="242"/>
    </row>
    <row r="3478" spans="1:10" s="215" customFormat="1" ht="12.75" hidden="1" customHeight="1" outlineLevel="1" x14ac:dyDescent="0.2">
      <c r="A3478" s="215" t="s">
        <v>1279</v>
      </c>
      <c r="B3478" s="224" t="s">
        <v>6061</v>
      </c>
      <c r="C3478" s="225" t="s">
        <v>6046</v>
      </c>
      <c r="D3478" s="226" t="s">
        <v>11</v>
      </c>
      <c r="E3478" s="227">
        <v>2.19</v>
      </c>
      <c r="F3478" s="227"/>
      <c r="G3478" s="225" t="s">
        <v>6030</v>
      </c>
      <c r="H3478" s="235">
        <f t="shared" ref="H3478:H3494" si="103">SUMIFS($E:$E,$C:$C,G3478,$A:$A,$G$22)</f>
        <v>0.11</v>
      </c>
      <c r="I3478" s="242"/>
    </row>
    <row r="3479" spans="1:10" s="215" customFormat="1" ht="12.75" hidden="1" customHeight="1" outlineLevel="1" x14ac:dyDescent="0.2">
      <c r="A3479" s="215" t="s">
        <v>1279</v>
      </c>
      <c r="B3479" s="228" t="s">
        <v>6062</v>
      </c>
      <c r="C3479" s="229" t="s">
        <v>6048</v>
      </c>
      <c r="D3479" s="230" t="s">
        <v>11</v>
      </c>
      <c r="E3479" s="231">
        <v>2.19</v>
      </c>
      <c r="F3479" s="231"/>
      <c r="G3479" s="229" t="s">
        <v>6032</v>
      </c>
      <c r="H3479" s="235">
        <f t="shared" si="103"/>
        <v>0.11</v>
      </c>
      <c r="I3479" s="241"/>
    </row>
    <row r="3480" spans="1:10" s="215" customFormat="1" ht="12.75" hidden="1" customHeight="1" outlineLevel="1" x14ac:dyDescent="0.2">
      <c r="A3480" s="215" t="s">
        <v>1279</v>
      </c>
      <c r="B3480" s="224" t="s">
        <v>6063</v>
      </c>
      <c r="C3480" s="225" t="s">
        <v>6050</v>
      </c>
      <c r="D3480" s="226" t="s">
        <v>11</v>
      </c>
      <c r="E3480" s="227">
        <v>2.19</v>
      </c>
      <c r="F3480" s="227"/>
      <c r="G3480" s="225" t="s">
        <v>6034</v>
      </c>
      <c r="H3480" s="235">
        <f t="shared" si="103"/>
        <v>0.11</v>
      </c>
      <c r="I3480" s="241"/>
    </row>
    <row r="3481" spans="1:10" s="215" customFormat="1" ht="12.75" hidden="1" customHeight="1" outlineLevel="1" x14ac:dyDescent="0.2">
      <c r="A3481" s="215" t="s">
        <v>1279</v>
      </c>
      <c r="B3481" s="228" t="s">
        <v>6064</v>
      </c>
      <c r="C3481" s="229" t="s">
        <v>6052</v>
      </c>
      <c r="D3481" s="230" t="s">
        <v>11</v>
      </c>
      <c r="E3481" s="231">
        <v>3.31</v>
      </c>
      <c r="F3481" s="231"/>
      <c r="G3481" s="229" t="s">
        <v>6046</v>
      </c>
      <c r="H3481" s="235">
        <f t="shared" si="103"/>
        <v>0</v>
      </c>
      <c r="I3481" s="241"/>
      <c r="J3481" s="403"/>
    </row>
    <row r="3482" spans="1:10" s="215" customFormat="1" ht="12.75" hidden="1" customHeight="1" outlineLevel="1" x14ac:dyDescent="0.2">
      <c r="A3482" s="215" t="s">
        <v>1279</v>
      </c>
      <c r="B3482" s="224" t="s">
        <v>6065</v>
      </c>
      <c r="C3482" s="225" t="s">
        <v>6054</v>
      </c>
      <c r="D3482" s="226" t="s">
        <v>11</v>
      </c>
      <c r="E3482" s="227">
        <v>3.31</v>
      </c>
      <c r="F3482" s="227"/>
      <c r="G3482" s="225" t="s">
        <v>6048</v>
      </c>
      <c r="H3482" s="235">
        <f t="shared" si="103"/>
        <v>0</v>
      </c>
      <c r="I3482" s="241"/>
      <c r="J3482" s="403"/>
    </row>
    <row r="3483" spans="1:10" s="215" customFormat="1" ht="12.75" hidden="1" customHeight="1" outlineLevel="1" x14ac:dyDescent="0.2">
      <c r="A3483" s="215" t="s">
        <v>1279</v>
      </c>
      <c r="B3483" s="228" t="s">
        <v>6066</v>
      </c>
      <c r="C3483" s="229" t="s">
        <v>6056</v>
      </c>
      <c r="D3483" s="230" t="s">
        <v>11</v>
      </c>
      <c r="E3483" s="231">
        <v>3.31</v>
      </c>
      <c r="F3483" s="231"/>
      <c r="G3483" s="229" t="s">
        <v>6050</v>
      </c>
      <c r="H3483" s="235">
        <f t="shared" si="103"/>
        <v>0</v>
      </c>
      <c r="I3483" s="241"/>
      <c r="J3483" s="403"/>
    </row>
    <row r="3484" spans="1:10" s="215" customFormat="1" ht="25.5" hidden="1" customHeight="1" outlineLevel="1" x14ac:dyDescent="0.2">
      <c r="A3484" s="215" t="s">
        <v>1279</v>
      </c>
      <c r="B3484" s="216" t="s">
        <v>6067</v>
      </c>
      <c r="C3484" s="217" t="s">
        <v>2962</v>
      </c>
      <c r="D3484" s="218"/>
      <c r="E3484" s="219"/>
      <c r="F3484" s="219"/>
      <c r="G3484" s="225" t="s">
        <v>6052</v>
      </c>
      <c r="H3484" s="235">
        <f t="shared" si="103"/>
        <v>0</v>
      </c>
      <c r="I3484" s="241"/>
      <c r="J3484" s="403"/>
    </row>
    <row r="3485" spans="1:10" s="215" customFormat="1" ht="12.75" hidden="1" customHeight="1" outlineLevel="1" x14ac:dyDescent="0.2">
      <c r="A3485" s="215" t="s">
        <v>1279</v>
      </c>
      <c r="B3485" s="224" t="s">
        <v>6068</v>
      </c>
      <c r="C3485" s="225" t="s">
        <v>6030</v>
      </c>
      <c r="D3485" s="226" t="s">
        <v>11</v>
      </c>
      <c r="E3485" s="227">
        <v>2.52</v>
      </c>
      <c r="F3485" s="227"/>
      <c r="G3485" s="229" t="s">
        <v>6054</v>
      </c>
      <c r="H3485" s="235">
        <f t="shared" si="103"/>
        <v>0</v>
      </c>
      <c r="I3485" s="241"/>
      <c r="J3485" s="403"/>
    </row>
    <row r="3486" spans="1:10" s="215" customFormat="1" ht="12.75" hidden="1" customHeight="1" outlineLevel="1" x14ac:dyDescent="0.2">
      <c r="A3486" s="215" t="s">
        <v>1279</v>
      </c>
      <c r="B3486" s="228" t="s">
        <v>6069</v>
      </c>
      <c r="C3486" s="229" t="s">
        <v>6032</v>
      </c>
      <c r="D3486" s="230" t="s">
        <v>11</v>
      </c>
      <c r="E3486" s="231">
        <v>2.52</v>
      </c>
      <c r="F3486" s="231"/>
      <c r="G3486" s="225" t="s">
        <v>6056</v>
      </c>
      <c r="H3486" s="235">
        <f t="shared" si="103"/>
        <v>0</v>
      </c>
      <c r="I3486" s="241"/>
      <c r="J3486" s="403"/>
    </row>
    <row r="3487" spans="1:10" s="215" customFormat="1" ht="12.75" hidden="1" customHeight="1" outlineLevel="1" x14ac:dyDescent="0.2">
      <c r="A3487" s="215" t="s">
        <v>1279</v>
      </c>
      <c r="B3487" s="224" t="s">
        <v>6070</v>
      </c>
      <c r="C3487" s="225" t="s">
        <v>6034</v>
      </c>
      <c r="D3487" s="226" t="s">
        <v>11</v>
      </c>
      <c r="E3487" s="227">
        <v>2.52</v>
      </c>
      <c r="F3487" s="227"/>
      <c r="G3487" s="229" t="s">
        <v>6036</v>
      </c>
      <c r="H3487" s="235">
        <f t="shared" si="103"/>
        <v>0.4</v>
      </c>
      <c r="I3487" s="241"/>
      <c r="J3487" s="403"/>
    </row>
    <row r="3488" spans="1:10" s="215" customFormat="1" ht="12.75" hidden="1" customHeight="1" outlineLevel="1" x14ac:dyDescent="0.2">
      <c r="A3488" s="215" t="s">
        <v>1279</v>
      </c>
      <c r="B3488" s="228" t="s">
        <v>6071</v>
      </c>
      <c r="C3488" s="229" t="s">
        <v>6046</v>
      </c>
      <c r="D3488" s="230" t="s">
        <v>11</v>
      </c>
      <c r="E3488" s="231">
        <v>2.19</v>
      </c>
      <c r="F3488" s="231"/>
      <c r="G3488" s="225" t="s">
        <v>6038</v>
      </c>
      <c r="H3488" s="235">
        <f t="shared" si="103"/>
        <v>0.4</v>
      </c>
      <c r="I3488" s="241"/>
      <c r="J3488" s="403"/>
    </row>
    <row r="3489" spans="1:10" s="215" customFormat="1" ht="12.75" hidden="1" customHeight="1" outlineLevel="1" x14ac:dyDescent="0.2">
      <c r="A3489" s="215" t="s">
        <v>1279</v>
      </c>
      <c r="B3489" s="224" t="s">
        <v>6072</v>
      </c>
      <c r="C3489" s="225" t="s">
        <v>6048</v>
      </c>
      <c r="D3489" s="226" t="s">
        <v>11</v>
      </c>
      <c r="E3489" s="227">
        <v>2.19</v>
      </c>
      <c r="F3489" s="227"/>
      <c r="G3489" s="229" t="s">
        <v>6040</v>
      </c>
      <c r="H3489" s="235">
        <f t="shared" si="103"/>
        <v>0.4</v>
      </c>
      <c r="I3489" s="241"/>
      <c r="J3489" s="403"/>
    </row>
    <row r="3490" spans="1:10" s="215" customFormat="1" ht="12.75" hidden="1" customHeight="1" outlineLevel="1" x14ac:dyDescent="0.2">
      <c r="A3490" s="215" t="s">
        <v>1279</v>
      </c>
      <c r="B3490" s="228" t="s">
        <v>6073</v>
      </c>
      <c r="C3490" s="229" t="s">
        <v>6050</v>
      </c>
      <c r="D3490" s="230" t="s">
        <v>11</v>
      </c>
      <c r="E3490" s="231">
        <v>2.19</v>
      </c>
      <c r="F3490" s="231"/>
      <c r="G3490" s="229"/>
      <c r="H3490" s="235">
        <f t="shared" si="103"/>
        <v>0</v>
      </c>
      <c r="I3490" s="241"/>
      <c r="J3490" s="403"/>
    </row>
    <row r="3491" spans="1:10" s="215" customFormat="1" ht="12.75" hidden="1" customHeight="1" outlineLevel="1" x14ac:dyDescent="0.2">
      <c r="A3491" s="215" t="s">
        <v>1279</v>
      </c>
      <c r="B3491" s="224" t="s">
        <v>6074</v>
      </c>
      <c r="C3491" s="225" t="s">
        <v>6052</v>
      </c>
      <c r="D3491" s="226" t="s">
        <v>11</v>
      </c>
      <c r="E3491" s="227">
        <v>3.33</v>
      </c>
      <c r="F3491" s="227"/>
      <c r="G3491" s="225"/>
      <c r="H3491" s="235">
        <f t="shared" si="103"/>
        <v>0</v>
      </c>
      <c r="I3491" s="241"/>
      <c r="J3491" s="403"/>
    </row>
    <row r="3492" spans="1:10" s="215" customFormat="1" ht="12.75" hidden="1" customHeight="1" outlineLevel="1" x14ac:dyDescent="0.2">
      <c r="A3492" s="215" t="s">
        <v>1279</v>
      </c>
      <c r="B3492" s="228" t="s">
        <v>6075</v>
      </c>
      <c r="C3492" s="229" t="s">
        <v>6054</v>
      </c>
      <c r="D3492" s="230" t="s">
        <v>11</v>
      </c>
      <c r="E3492" s="231">
        <v>3.33</v>
      </c>
      <c r="F3492" s="231"/>
      <c r="G3492" s="229"/>
      <c r="H3492" s="235">
        <f t="shared" si="103"/>
        <v>0</v>
      </c>
      <c r="I3492" s="241"/>
      <c r="J3492" s="403"/>
    </row>
    <row r="3493" spans="1:10" s="215" customFormat="1" ht="12.75" hidden="1" customHeight="1" outlineLevel="1" x14ac:dyDescent="0.2">
      <c r="A3493" s="215" t="s">
        <v>1279</v>
      </c>
      <c r="B3493" s="224" t="s">
        <v>6076</v>
      </c>
      <c r="C3493" s="225" t="s">
        <v>6056</v>
      </c>
      <c r="D3493" s="226" t="s">
        <v>11</v>
      </c>
      <c r="E3493" s="227">
        <v>3.33</v>
      </c>
      <c r="F3493" s="227"/>
      <c r="G3493" s="225"/>
      <c r="H3493" s="235">
        <f t="shared" si="103"/>
        <v>0</v>
      </c>
      <c r="I3493" s="241"/>
      <c r="J3493" s="403"/>
    </row>
    <row r="3494" spans="1:10" s="215" customFormat="1" ht="12.75" hidden="1" customHeight="1" outlineLevel="1" x14ac:dyDescent="0.2">
      <c r="A3494" s="215" t="s">
        <v>1279</v>
      </c>
      <c r="B3494" s="216" t="s">
        <v>6077</v>
      </c>
      <c r="C3494" s="217" t="s">
        <v>2963</v>
      </c>
      <c r="D3494" s="218"/>
      <c r="E3494" s="219"/>
      <c r="F3494" s="219"/>
      <c r="G3494" s="229"/>
      <c r="H3494" s="235">
        <f t="shared" si="103"/>
        <v>0</v>
      </c>
      <c r="I3494" s="241"/>
      <c r="J3494" s="403"/>
    </row>
    <row r="3495" spans="1:10" s="215" customFormat="1" ht="12.75" hidden="1" customHeight="1" outlineLevel="1" x14ac:dyDescent="0.2">
      <c r="A3495" s="215" t="s">
        <v>1279</v>
      </c>
      <c r="B3495" s="228" t="s">
        <v>6078</v>
      </c>
      <c r="C3495" s="229" t="s">
        <v>6030</v>
      </c>
      <c r="D3495" s="230" t="s">
        <v>11</v>
      </c>
      <c r="E3495" s="231">
        <v>4.2300000000000004</v>
      </c>
      <c r="F3495" s="231"/>
      <c r="G3495" s="198"/>
      <c r="H3495" s="198"/>
      <c r="I3495" s="241"/>
      <c r="J3495" s="403"/>
    </row>
    <row r="3496" spans="1:10" s="215" customFormat="1" ht="12.75" hidden="1" customHeight="1" outlineLevel="1" x14ac:dyDescent="0.2">
      <c r="A3496" s="215" t="s">
        <v>1279</v>
      </c>
      <c r="B3496" s="224" t="s">
        <v>6079</v>
      </c>
      <c r="C3496" s="225" t="s">
        <v>6032</v>
      </c>
      <c r="D3496" s="226" t="s">
        <v>11</v>
      </c>
      <c r="E3496" s="227">
        <v>4.2300000000000004</v>
      </c>
      <c r="F3496" s="227"/>
      <c r="G3496" s="198"/>
      <c r="H3496" s="198"/>
      <c r="I3496" s="241"/>
      <c r="J3496" s="403"/>
    </row>
    <row r="3497" spans="1:10" s="215" customFormat="1" ht="12.75" hidden="1" customHeight="1" outlineLevel="1" x14ac:dyDescent="0.2">
      <c r="A3497" s="215" t="s">
        <v>1279</v>
      </c>
      <c r="B3497" s="228" t="s">
        <v>6080</v>
      </c>
      <c r="C3497" s="229" t="s">
        <v>6034</v>
      </c>
      <c r="D3497" s="230" t="s">
        <v>11</v>
      </c>
      <c r="E3497" s="231">
        <v>4.2300000000000004</v>
      </c>
      <c r="F3497" s="231"/>
      <c r="G3497" s="520" t="str">
        <f>$A$2</f>
        <v>TORRE</v>
      </c>
      <c r="H3497" s="234">
        <f>SUM(H3498:H3514)</f>
        <v>392.84999999999997</v>
      </c>
      <c r="I3497" s="241"/>
      <c r="J3497" s="403"/>
    </row>
    <row r="3498" spans="1:10" s="215" customFormat="1" ht="12.75" hidden="1" customHeight="1" outlineLevel="1" x14ac:dyDescent="0.2">
      <c r="A3498" s="215" t="s">
        <v>1279</v>
      </c>
      <c r="B3498" s="224" t="s">
        <v>6081</v>
      </c>
      <c r="C3498" s="225" t="s">
        <v>6046</v>
      </c>
      <c r="D3498" s="226" t="s">
        <v>11</v>
      </c>
      <c r="E3498" s="227">
        <v>2.19</v>
      </c>
      <c r="F3498" s="227"/>
      <c r="G3498" s="225" t="s">
        <v>6030</v>
      </c>
      <c r="H3498" s="235">
        <f t="shared" ref="H3498:H3514" si="104">SUMIFS($E:$E,$C:$C,G3498,$A:$A,$G$30)</f>
        <v>64.559999999999988</v>
      </c>
      <c r="I3498" s="241"/>
      <c r="J3498" s="403"/>
    </row>
    <row r="3499" spans="1:10" s="215" customFormat="1" ht="12.75" hidden="1" customHeight="1" outlineLevel="1" x14ac:dyDescent="0.2">
      <c r="A3499" s="215" t="s">
        <v>1279</v>
      </c>
      <c r="B3499" s="228" t="s">
        <v>6082</v>
      </c>
      <c r="C3499" s="229" t="s">
        <v>6048</v>
      </c>
      <c r="D3499" s="230" t="s">
        <v>11</v>
      </c>
      <c r="E3499" s="231">
        <v>2.19</v>
      </c>
      <c r="F3499" s="231"/>
      <c r="G3499" s="229" t="s">
        <v>6032</v>
      </c>
      <c r="H3499" s="235">
        <f t="shared" si="104"/>
        <v>64.559999999999988</v>
      </c>
      <c r="I3499" s="241"/>
      <c r="J3499" s="403"/>
    </row>
    <row r="3500" spans="1:10" s="215" customFormat="1" ht="12.75" hidden="1" customHeight="1" outlineLevel="1" x14ac:dyDescent="0.2">
      <c r="A3500" s="215" t="s">
        <v>1279</v>
      </c>
      <c r="B3500" s="224" t="s">
        <v>6083</v>
      </c>
      <c r="C3500" s="225" t="s">
        <v>6050</v>
      </c>
      <c r="D3500" s="226" t="s">
        <v>11</v>
      </c>
      <c r="E3500" s="227">
        <v>2.19</v>
      </c>
      <c r="F3500" s="227"/>
      <c r="G3500" s="225" t="s">
        <v>6034</v>
      </c>
      <c r="H3500" s="235">
        <f t="shared" si="104"/>
        <v>64.559999999999988</v>
      </c>
      <c r="I3500" s="241"/>
      <c r="J3500" s="403"/>
    </row>
    <row r="3501" spans="1:10" s="215" customFormat="1" ht="12.75" hidden="1" customHeight="1" outlineLevel="1" x14ac:dyDescent="0.2">
      <c r="A3501" s="215" t="s">
        <v>1279</v>
      </c>
      <c r="B3501" s="228" t="s">
        <v>6084</v>
      </c>
      <c r="C3501" s="229" t="s">
        <v>6052</v>
      </c>
      <c r="D3501" s="230" t="s">
        <v>11</v>
      </c>
      <c r="E3501" s="231">
        <v>3.33</v>
      </c>
      <c r="F3501" s="231"/>
      <c r="G3501" s="229" t="s">
        <v>6046</v>
      </c>
      <c r="H3501" s="235">
        <f t="shared" si="104"/>
        <v>26.830000000000002</v>
      </c>
      <c r="I3501" s="241"/>
      <c r="J3501" s="403"/>
    </row>
    <row r="3502" spans="1:10" s="215" customFormat="1" ht="12.75" hidden="1" customHeight="1" outlineLevel="1" x14ac:dyDescent="0.2">
      <c r="A3502" s="215" t="s">
        <v>1279</v>
      </c>
      <c r="B3502" s="224" t="s">
        <v>6085</v>
      </c>
      <c r="C3502" s="225" t="s">
        <v>6054</v>
      </c>
      <c r="D3502" s="226" t="s">
        <v>11</v>
      </c>
      <c r="E3502" s="227">
        <v>3.33</v>
      </c>
      <c r="F3502" s="227"/>
      <c r="G3502" s="225" t="s">
        <v>6048</v>
      </c>
      <c r="H3502" s="235">
        <f t="shared" si="104"/>
        <v>26.830000000000002</v>
      </c>
      <c r="I3502" s="241"/>
      <c r="J3502" s="403"/>
    </row>
    <row r="3503" spans="1:10" s="215" customFormat="1" ht="12.75" hidden="1" customHeight="1" outlineLevel="1" x14ac:dyDescent="0.2">
      <c r="A3503" s="215" t="s">
        <v>1279</v>
      </c>
      <c r="B3503" s="228" t="s">
        <v>6086</v>
      </c>
      <c r="C3503" s="229" t="s">
        <v>6056</v>
      </c>
      <c r="D3503" s="230" t="s">
        <v>11</v>
      </c>
      <c r="E3503" s="231">
        <v>3.33</v>
      </c>
      <c r="F3503" s="231"/>
      <c r="G3503" s="229" t="s">
        <v>6050</v>
      </c>
      <c r="H3503" s="235">
        <f t="shared" si="104"/>
        <v>26.830000000000002</v>
      </c>
      <c r="I3503" s="241"/>
      <c r="J3503" s="403"/>
    </row>
    <row r="3504" spans="1:10" s="215" customFormat="1" ht="25.5" hidden="1" customHeight="1" outlineLevel="1" x14ac:dyDescent="0.2">
      <c r="A3504" s="215" t="s">
        <v>1279</v>
      </c>
      <c r="B3504" s="216" t="s">
        <v>6087</v>
      </c>
      <c r="C3504" s="217" t="s">
        <v>2964</v>
      </c>
      <c r="D3504" s="218"/>
      <c r="E3504" s="219"/>
      <c r="F3504" s="219"/>
      <c r="G3504" s="225" t="s">
        <v>6052</v>
      </c>
      <c r="H3504" s="235">
        <f t="shared" si="104"/>
        <v>39.560000000000009</v>
      </c>
      <c r="I3504" s="241"/>
      <c r="J3504" s="403"/>
    </row>
    <row r="3505" spans="1:10" s="215" customFormat="1" ht="12.75" hidden="1" customHeight="1" outlineLevel="1" x14ac:dyDescent="0.2">
      <c r="A3505" s="215" t="s">
        <v>1279</v>
      </c>
      <c r="B3505" s="224" t="s">
        <v>6088</v>
      </c>
      <c r="C3505" s="225" t="s">
        <v>6030</v>
      </c>
      <c r="D3505" s="226" t="s">
        <v>11</v>
      </c>
      <c r="E3505" s="227">
        <v>2.52</v>
      </c>
      <c r="F3505" s="227"/>
      <c r="G3505" s="229" t="s">
        <v>6054</v>
      </c>
      <c r="H3505" s="235">
        <f t="shared" si="104"/>
        <v>39.560000000000009</v>
      </c>
      <c r="I3505" s="241"/>
      <c r="J3505" s="403"/>
    </row>
    <row r="3506" spans="1:10" s="215" customFormat="1" ht="12.75" hidden="1" customHeight="1" outlineLevel="1" x14ac:dyDescent="0.2">
      <c r="A3506" s="215" t="s">
        <v>1279</v>
      </c>
      <c r="B3506" s="228" t="s">
        <v>6089</v>
      </c>
      <c r="C3506" s="229" t="s">
        <v>6032</v>
      </c>
      <c r="D3506" s="230" t="s">
        <v>11</v>
      </c>
      <c r="E3506" s="231">
        <v>2.52</v>
      </c>
      <c r="F3506" s="231"/>
      <c r="G3506" s="225" t="s">
        <v>6056</v>
      </c>
      <c r="H3506" s="235">
        <f t="shared" si="104"/>
        <v>39.560000000000009</v>
      </c>
      <c r="I3506" s="241"/>
      <c r="J3506" s="403"/>
    </row>
    <row r="3507" spans="1:10" s="215" customFormat="1" ht="12.75" hidden="1" customHeight="1" outlineLevel="1" x14ac:dyDescent="0.2">
      <c r="A3507" s="215" t="s">
        <v>1279</v>
      </c>
      <c r="B3507" s="224" t="s">
        <v>6090</v>
      </c>
      <c r="C3507" s="225" t="s">
        <v>6034</v>
      </c>
      <c r="D3507" s="226" t="s">
        <v>11</v>
      </c>
      <c r="E3507" s="227">
        <v>2.52</v>
      </c>
      <c r="F3507" s="227"/>
      <c r="G3507" s="229" t="s">
        <v>6036</v>
      </c>
      <c r="H3507" s="235">
        <f t="shared" si="104"/>
        <v>0</v>
      </c>
      <c r="I3507" s="241"/>
      <c r="J3507" s="403"/>
    </row>
    <row r="3508" spans="1:10" s="215" customFormat="1" ht="12.75" hidden="1" customHeight="1" outlineLevel="1" x14ac:dyDescent="0.2">
      <c r="A3508" s="215" t="s">
        <v>1279</v>
      </c>
      <c r="B3508" s="228" t="s">
        <v>6091</v>
      </c>
      <c r="C3508" s="229" t="s">
        <v>6046</v>
      </c>
      <c r="D3508" s="230" t="s">
        <v>11</v>
      </c>
      <c r="E3508" s="231">
        <v>2.19</v>
      </c>
      <c r="F3508" s="231"/>
      <c r="G3508" s="225" t="s">
        <v>6038</v>
      </c>
      <c r="H3508" s="235">
        <f t="shared" si="104"/>
        <v>0</v>
      </c>
      <c r="I3508" s="241"/>
      <c r="J3508" s="403"/>
    </row>
    <row r="3509" spans="1:10" s="215" customFormat="1" ht="12.75" hidden="1" customHeight="1" outlineLevel="1" x14ac:dyDescent="0.2">
      <c r="A3509" s="215" t="s">
        <v>1279</v>
      </c>
      <c r="B3509" s="224" t="s">
        <v>6092</v>
      </c>
      <c r="C3509" s="225" t="s">
        <v>6048</v>
      </c>
      <c r="D3509" s="226" t="s">
        <v>11</v>
      </c>
      <c r="E3509" s="227">
        <v>2.19</v>
      </c>
      <c r="F3509" s="227"/>
      <c r="G3509" s="229" t="s">
        <v>6040</v>
      </c>
      <c r="H3509" s="235">
        <f t="shared" si="104"/>
        <v>0</v>
      </c>
      <c r="I3509" s="241"/>
      <c r="J3509" s="403"/>
    </row>
    <row r="3510" spans="1:10" s="215" customFormat="1" ht="12.75" hidden="1" customHeight="1" outlineLevel="1" x14ac:dyDescent="0.2">
      <c r="A3510" s="215" t="s">
        <v>1279</v>
      </c>
      <c r="B3510" s="228" t="s">
        <v>6093</v>
      </c>
      <c r="C3510" s="229" t="s">
        <v>6050</v>
      </c>
      <c r="D3510" s="230" t="s">
        <v>11</v>
      </c>
      <c r="E3510" s="231">
        <v>2.19</v>
      </c>
      <c r="F3510" s="231"/>
      <c r="G3510" s="229"/>
      <c r="H3510" s="235">
        <f t="shared" si="104"/>
        <v>0</v>
      </c>
      <c r="I3510" s="241"/>
      <c r="J3510" s="403"/>
    </row>
    <row r="3511" spans="1:10" s="215" customFormat="1" ht="12.75" hidden="1" customHeight="1" outlineLevel="1" x14ac:dyDescent="0.2">
      <c r="A3511" s="215" t="s">
        <v>1279</v>
      </c>
      <c r="B3511" s="224" t="s">
        <v>6094</v>
      </c>
      <c r="C3511" s="225" t="s">
        <v>6052</v>
      </c>
      <c r="D3511" s="226" t="s">
        <v>11</v>
      </c>
      <c r="E3511" s="227">
        <v>3.46</v>
      </c>
      <c r="F3511" s="227"/>
      <c r="G3511" s="225"/>
      <c r="H3511" s="235">
        <f t="shared" si="104"/>
        <v>0</v>
      </c>
      <c r="I3511" s="241"/>
      <c r="J3511" s="403"/>
    </row>
    <row r="3512" spans="1:10" s="215" customFormat="1" ht="12.75" hidden="1" customHeight="1" outlineLevel="1" x14ac:dyDescent="0.2">
      <c r="A3512" s="215" t="s">
        <v>1279</v>
      </c>
      <c r="B3512" s="228" t="s">
        <v>6095</v>
      </c>
      <c r="C3512" s="229" t="s">
        <v>6054</v>
      </c>
      <c r="D3512" s="230" t="s">
        <v>11</v>
      </c>
      <c r="E3512" s="231">
        <v>3.46</v>
      </c>
      <c r="F3512" s="231"/>
      <c r="G3512" s="229"/>
      <c r="H3512" s="235">
        <f t="shared" si="104"/>
        <v>0</v>
      </c>
      <c r="I3512" s="241"/>
      <c r="J3512" s="403"/>
    </row>
    <row r="3513" spans="1:10" s="215" customFormat="1" ht="12.75" hidden="1" customHeight="1" outlineLevel="1" x14ac:dyDescent="0.2">
      <c r="A3513" s="215" t="s">
        <v>1279</v>
      </c>
      <c r="B3513" s="224" t="s">
        <v>6096</v>
      </c>
      <c r="C3513" s="225" t="s">
        <v>6056</v>
      </c>
      <c r="D3513" s="226" t="s">
        <v>11</v>
      </c>
      <c r="E3513" s="227">
        <v>3.46</v>
      </c>
      <c r="F3513" s="227"/>
      <c r="G3513" s="225"/>
      <c r="H3513" s="235">
        <f t="shared" si="104"/>
        <v>0</v>
      </c>
      <c r="I3513" s="241"/>
      <c r="J3513" s="403"/>
    </row>
    <row r="3514" spans="1:10" s="215" customFormat="1" ht="12.75" hidden="1" customHeight="1" outlineLevel="1" x14ac:dyDescent="0.2">
      <c r="A3514" s="215" t="s">
        <v>1279</v>
      </c>
      <c r="B3514" s="216" t="s">
        <v>6097</v>
      </c>
      <c r="C3514" s="217" t="s">
        <v>2965</v>
      </c>
      <c r="D3514" s="218"/>
      <c r="E3514" s="219"/>
      <c r="F3514" s="219"/>
      <c r="G3514" s="229"/>
      <c r="H3514" s="235">
        <f t="shared" si="104"/>
        <v>0</v>
      </c>
      <c r="I3514" s="241"/>
      <c r="J3514" s="403"/>
    </row>
    <row r="3515" spans="1:10" s="215" customFormat="1" ht="12.75" hidden="1" customHeight="1" outlineLevel="1" x14ac:dyDescent="0.2">
      <c r="A3515" s="215" t="s">
        <v>1279</v>
      </c>
      <c r="B3515" s="228" t="s">
        <v>6098</v>
      </c>
      <c r="C3515" s="229" t="s">
        <v>6030</v>
      </c>
      <c r="D3515" s="230" t="s">
        <v>11</v>
      </c>
      <c r="E3515" s="231">
        <v>4.2300000000000004</v>
      </c>
      <c r="F3515" s="231"/>
      <c r="G3515" s="241"/>
      <c r="H3515" s="241"/>
      <c r="I3515" s="241"/>
      <c r="J3515" s="403"/>
    </row>
    <row r="3516" spans="1:10" s="215" customFormat="1" ht="12.75" hidden="1" customHeight="1" outlineLevel="1" x14ac:dyDescent="0.2">
      <c r="A3516" s="215" t="s">
        <v>1279</v>
      </c>
      <c r="B3516" s="224" t="s">
        <v>6099</v>
      </c>
      <c r="C3516" s="225" t="s">
        <v>6032</v>
      </c>
      <c r="D3516" s="226" t="s">
        <v>11</v>
      </c>
      <c r="E3516" s="227">
        <v>4.2300000000000004</v>
      </c>
      <c r="F3516" s="227"/>
      <c r="G3516" s="241"/>
      <c r="H3516" s="241"/>
      <c r="I3516" s="241"/>
      <c r="J3516" s="403"/>
    </row>
    <row r="3517" spans="1:10" s="215" customFormat="1" ht="12.75" hidden="1" customHeight="1" outlineLevel="1" x14ac:dyDescent="0.2">
      <c r="A3517" s="215" t="s">
        <v>1279</v>
      </c>
      <c r="B3517" s="228" t="s">
        <v>6100</v>
      </c>
      <c r="C3517" s="229" t="s">
        <v>6034</v>
      </c>
      <c r="D3517" s="230" t="s">
        <v>11</v>
      </c>
      <c r="E3517" s="231">
        <v>4.2300000000000004</v>
      </c>
      <c r="F3517" s="231"/>
      <c r="G3517" s="241"/>
      <c r="H3517" s="241"/>
      <c r="I3517" s="241"/>
      <c r="J3517" s="403"/>
    </row>
    <row r="3518" spans="1:10" s="215" customFormat="1" ht="12.75" hidden="1" customHeight="1" outlineLevel="1" x14ac:dyDescent="0.2">
      <c r="A3518" s="215" t="s">
        <v>1279</v>
      </c>
      <c r="B3518" s="224" t="s">
        <v>6101</v>
      </c>
      <c r="C3518" s="225" t="s">
        <v>6046</v>
      </c>
      <c r="D3518" s="226" t="s">
        <v>11</v>
      </c>
      <c r="E3518" s="227">
        <v>2.19</v>
      </c>
      <c r="F3518" s="227"/>
      <c r="G3518" s="241"/>
      <c r="H3518" s="241"/>
      <c r="I3518" s="241"/>
      <c r="J3518" s="403"/>
    </row>
    <row r="3519" spans="1:10" s="215" customFormat="1" ht="12.75" hidden="1" customHeight="1" outlineLevel="1" x14ac:dyDescent="0.2">
      <c r="A3519" s="215" t="s">
        <v>1279</v>
      </c>
      <c r="B3519" s="228" t="s">
        <v>6102</v>
      </c>
      <c r="C3519" s="229" t="s">
        <v>6048</v>
      </c>
      <c r="D3519" s="230" t="s">
        <v>11</v>
      </c>
      <c r="E3519" s="231">
        <v>2.19</v>
      </c>
      <c r="F3519" s="231"/>
      <c r="G3519" s="241"/>
      <c r="H3519" s="241"/>
      <c r="I3519" s="241"/>
      <c r="J3519" s="403"/>
    </row>
    <row r="3520" spans="1:10" s="215" customFormat="1" ht="12.75" hidden="1" customHeight="1" outlineLevel="1" x14ac:dyDescent="0.2">
      <c r="A3520" s="215" t="s">
        <v>1279</v>
      </c>
      <c r="B3520" s="224" t="s">
        <v>6103</v>
      </c>
      <c r="C3520" s="225" t="s">
        <v>6050</v>
      </c>
      <c r="D3520" s="226" t="s">
        <v>11</v>
      </c>
      <c r="E3520" s="227">
        <v>2.19</v>
      </c>
      <c r="F3520" s="227"/>
      <c r="G3520" s="241"/>
      <c r="H3520" s="241"/>
      <c r="I3520" s="241"/>
      <c r="J3520" s="403"/>
    </row>
    <row r="3521" spans="1:6" s="215" customFormat="1" ht="12.75" hidden="1" customHeight="1" outlineLevel="1" x14ac:dyDescent="0.2">
      <c r="A3521" s="215" t="s">
        <v>1279</v>
      </c>
      <c r="B3521" s="228" t="s">
        <v>6104</v>
      </c>
      <c r="C3521" s="229" t="s">
        <v>6052</v>
      </c>
      <c r="D3521" s="230" t="s">
        <v>11</v>
      </c>
      <c r="E3521" s="231">
        <v>3.33</v>
      </c>
      <c r="F3521" s="231"/>
    </row>
    <row r="3522" spans="1:6" s="215" customFormat="1" ht="12.75" hidden="1" customHeight="1" outlineLevel="1" x14ac:dyDescent="0.2">
      <c r="A3522" s="215" t="s">
        <v>1279</v>
      </c>
      <c r="B3522" s="224" t="s">
        <v>6105</v>
      </c>
      <c r="C3522" s="225" t="s">
        <v>6054</v>
      </c>
      <c r="D3522" s="226" t="s">
        <v>11</v>
      </c>
      <c r="E3522" s="227">
        <v>3.33</v>
      </c>
      <c r="F3522" s="227"/>
    </row>
    <row r="3523" spans="1:6" s="215" customFormat="1" ht="12.75" hidden="1" customHeight="1" outlineLevel="1" x14ac:dyDescent="0.2">
      <c r="A3523" s="215" t="s">
        <v>1279</v>
      </c>
      <c r="B3523" s="228" t="s">
        <v>6106</v>
      </c>
      <c r="C3523" s="229" t="s">
        <v>6056</v>
      </c>
      <c r="D3523" s="230" t="s">
        <v>11</v>
      </c>
      <c r="E3523" s="231">
        <v>3.33</v>
      </c>
      <c r="F3523" s="231"/>
    </row>
    <row r="3524" spans="1:6" s="215" customFormat="1" ht="12.75" hidden="1" customHeight="1" outlineLevel="1" x14ac:dyDescent="0.2">
      <c r="A3524" s="215" t="s">
        <v>1279</v>
      </c>
      <c r="B3524" s="216" t="s">
        <v>6107</v>
      </c>
      <c r="C3524" s="217" t="s">
        <v>2966</v>
      </c>
      <c r="D3524" s="218"/>
      <c r="E3524" s="219"/>
      <c r="F3524" s="219"/>
    </row>
    <row r="3525" spans="1:6" s="215" customFormat="1" ht="12.75" hidden="1" customHeight="1" outlineLevel="1" x14ac:dyDescent="0.2">
      <c r="A3525" s="215" t="s">
        <v>1279</v>
      </c>
      <c r="B3525" s="224" t="s">
        <v>6108</v>
      </c>
      <c r="C3525" s="225" t="s">
        <v>6030</v>
      </c>
      <c r="D3525" s="226" t="s">
        <v>11</v>
      </c>
      <c r="E3525" s="227">
        <v>2.5499999999999998</v>
      </c>
      <c r="F3525" s="227"/>
    </row>
    <row r="3526" spans="1:6" s="215" customFormat="1" ht="12.75" hidden="1" customHeight="1" outlineLevel="1" x14ac:dyDescent="0.2">
      <c r="A3526" s="215" t="s">
        <v>1279</v>
      </c>
      <c r="B3526" s="228" t="s">
        <v>6109</v>
      </c>
      <c r="C3526" s="229" t="s">
        <v>6032</v>
      </c>
      <c r="D3526" s="230" t="s">
        <v>11</v>
      </c>
      <c r="E3526" s="231">
        <v>2.5499999999999998</v>
      </c>
      <c r="F3526" s="231"/>
    </row>
    <row r="3527" spans="1:6" s="215" customFormat="1" ht="12.75" hidden="1" customHeight="1" outlineLevel="1" x14ac:dyDescent="0.2">
      <c r="A3527" s="215" t="s">
        <v>1279</v>
      </c>
      <c r="B3527" s="224" t="s">
        <v>6110</v>
      </c>
      <c r="C3527" s="225" t="s">
        <v>6034</v>
      </c>
      <c r="D3527" s="226" t="s">
        <v>11</v>
      </c>
      <c r="E3527" s="227">
        <v>2.5499999999999998</v>
      </c>
      <c r="F3527" s="227"/>
    </row>
    <row r="3528" spans="1:6" s="215" customFormat="1" ht="12.75" hidden="1" customHeight="1" outlineLevel="1" x14ac:dyDescent="0.2">
      <c r="A3528" s="215" t="s">
        <v>1279</v>
      </c>
      <c r="B3528" s="228" t="s">
        <v>6111</v>
      </c>
      <c r="C3528" s="229" t="s">
        <v>6046</v>
      </c>
      <c r="D3528" s="230" t="s">
        <v>11</v>
      </c>
      <c r="E3528" s="231">
        <v>2.19</v>
      </c>
      <c r="F3528" s="231"/>
    </row>
    <row r="3529" spans="1:6" s="215" customFormat="1" ht="12.75" hidden="1" customHeight="1" outlineLevel="1" x14ac:dyDescent="0.2">
      <c r="A3529" s="215" t="s">
        <v>1279</v>
      </c>
      <c r="B3529" s="224" t="s">
        <v>6112</v>
      </c>
      <c r="C3529" s="225" t="s">
        <v>6048</v>
      </c>
      <c r="D3529" s="226" t="s">
        <v>11</v>
      </c>
      <c r="E3529" s="227">
        <v>2.19</v>
      </c>
      <c r="F3529" s="227"/>
    </row>
    <row r="3530" spans="1:6" s="215" customFormat="1" ht="12.75" hidden="1" customHeight="1" outlineLevel="1" x14ac:dyDescent="0.2">
      <c r="A3530" s="215" t="s">
        <v>1279</v>
      </c>
      <c r="B3530" s="228" t="s">
        <v>6113</v>
      </c>
      <c r="C3530" s="229" t="s">
        <v>6050</v>
      </c>
      <c r="D3530" s="230" t="s">
        <v>11</v>
      </c>
      <c r="E3530" s="231">
        <v>2.19</v>
      </c>
      <c r="F3530" s="231"/>
    </row>
    <row r="3531" spans="1:6" s="215" customFormat="1" ht="12.75" hidden="1" customHeight="1" outlineLevel="1" x14ac:dyDescent="0.2">
      <c r="A3531" s="215" t="s">
        <v>1279</v>
      </c>
      <c r="B3531" s="224" t="s">
        <v>6114</v>
      </c>
      <c r="C3531" s="225" t="s">
        <v>6052</v>
      </c>
      <c r="D3531" s="226" t="s">
        <v>11</v>
      </c>
      <c r="E3531" s="227">
        <v>3.48</v>
      </c>
      <c r="F3531" s="227"/>
    </row>
    <row r="3532" spans="1:6" s="215" customFormat="1" ht="12.75" hidden="1" customHeight="1" outlineLevel="1" x14ac:dyDescent="0.2">
      <c r="A3532" s="215" t="s">
        <v>1279</v>
      </c>
      <c r="B3532" s="228" t="s">
        <v>6115</v>
      </c>
      <c r="C3532" s="229" t="s">
        <v>6054</v>
      </c>
      <c r="D3532" s="230" t="s">
        <v>11</v>
      </c>
      <c r="E3532" s="231">
        <v>3.48</v>
      </c>
      <c r="F3532" s="231"/>
    </row>
    <row r="3533" spans="1:6" s="215" customFormat="1" ht="12.75" hidden="1" customHeight="1" outlineLevel="1" x14ac:dyDescent="0.2">
      <c r="A3533" s="215" t="s">
        <v>1279</v>
      </c>
      <c r="B3533" s="224" t="s">
        <v>6116</v>
      </c>
      <c r="C3533" s="225" t="s">
        <v>6056</v>
      </c>
      <c r="D3533" s="226" t="s">
        <v>11</v>
      </c>
      <c r="E3533" s="227">
        <v>3.48</v>
      </c>
      <c r="F3533" s="227"/>
    </row>
    <row r="3534" spans="1:6" s="215" customFormat="1" ht="12.75" hidden="1" customHeight="1" outlineLevel="1" x14ac:dyDescent="0.2">
      <c r="A3534" s="215" t="s">
        <v>1279</v>
      </c>
      <c r="B3534" s="216" t="s">
        <v>6117</v>
      </c>
      <c r="C3534" s="217" t="s">
        <v>2967</v>
      </c>
      <c r="D3534" s="218"/>
      <c r="E3534" s="219"/>
      <c r="F3534" s="219"/>
    </row>
    <row r="3535" spans="1:6" s="215" customFormat="1" ht="12.75" hidden="1" customHeight="1" outlineLevel="1" x14ac:dyDescent="0.2">
      <c r="A3535" s="215" t="s">
        <v>1279</v>
      </c>
      <c r="B3535" s="228" t="s">
        <v>6118</v>
      </c>
      <c r="C3535" s="229" t="s">
        <v>6030</v>
      </c>
      <c r="D3535" s="230" t="s">
        <v>11</v>
      </c>
      <c r="E3535" s="231">
        <v>4.2300000000000004</v>
      </c>
      <c r="F3535" s="231"/>
    </row>
    <row r="3536" spans="1:6" s="215" customFormat="1" ht="12.75" hidden="1" customHeight="1" outlineLevel="1" x14ac:dyDescent="0.2">
      <c r="A3536" s="215" t="s">
        <v>1279</v>
      </c>
      <c r="B3536" s="224" t="s">
        <v>6119</v>
      </c>
      <c r="C3536" s="225" t="s">
        <v>6032</v>
      </c>
      <c r="D3536" s="226" t="s">
        <v>11</v>
      </c>
      <c r="E3536" s="227">
        <v>4.2300000000000004</v>
      </c>
      <c r="F3536" s="227"/>
    </row>
    <row r="3537" spans="1:6" s="215" customFormat="1" ht="12.75" hidden="1" customHeight="1" outlineLevel="1" x14ac:dyDescent="0.2">
      <c r="A3537" s="215" t="s">
        <v>1279</v>
      </c>
      <c r="B3537" s="228" t="s">
        <v>6120</v>
      </c>
      <c r="C3537" s="229" t="s">
        <v>6034</v>
      </c>
      <c r="D3537" s="230" t="s">
        <v>11</v>
      </c>
      <c r="E3537" s="231">
        <v>4.2300000000000004</v>
      </c>
      <c r="F3537" s="231"/>
    </row>
    <row r="3538" spans="1:6" s="215" customFormat="1" ht="12.75" hidden="1" customHeight="1" outlineLevel="1" x14ac:dyDescent="0.2">
      <c r="A3538" s="215" t="s">
        <v>1279</v>
      </c>
      <c r="B3538" s="224" t="s">
        <v>6121</v>
      </c>
      <c r="C3538" s="225" t="s">
        <v>6046</v>
      </c>
      <c r="D3538" s="226" t="s">
        <v>11</v>
      </c>
      <c r="E3538" s="227">
        <v>2.19</v>
      </c>
      <c r="F3538" s="227"/>
    </row>
    <row r="3539" spans="1:6" s="215" customFormat="1" ht="12.75" hidden="1" customHeight="1" outlineLevel="1" x14ac:dyDescent="0.2">
      <c r="A3539" s="215" t="s">
        <v>1279</v>
      </c>
      <c r="B3539" s="228" t="s">
        <v>6122</v>
      </c>
      <c r="C3539" s="229" t="s">
        <v>6048</v>
      </c>
      <c r="D3539" s="230" t="s">
        <v>11</v>
      </c>
      <c r="E3539" s="231">
        <v>2.19</v>
      </c>
      <c r="F3539" s="231"/>
    </row>
    <row r="3540" spans="1:6" s="215" customFormat="1" ht="12.75" hidden="1" customHeight="1" outlineLevel="1" x14ac:dyDescent="0.2">
      <c r="A3540" s="215" t="s">
        <v>1279</v>
      </c>
      <c r="B3540" s="224" t="s">
        <v>6123</v>
      </c>
      <c r="C3540" s="225" t="s">
        <v>6050</v>
      </c>
      <c r="D3540" s="226" t="s">
        <v>11</v>
      </c>
      <c r="E3540" s="227">
        <v>2.19</v>
      </c>
      <c r="F3540" s="227"/>
    </row>
    <row r="3541" spans="1:6" s="215" customFormat="1" ht="12.75" hidden="1" customHeight="1" outlineLevel="1" x14ac:dyDescent="0.2">
      <c r="A3541" s="215" t="s">
        <v>1279</v>
      </c>
      <c r="B3541" s="228" t="s">
        <v>6124</v>
      </c>
      <c r="C3541" s="229" t="s">
        <v>6052</v>
      </c>
      <c r="D3541" s="230" t="s">
        <v>11</v>
      </c>
      <c r="E3541" s="231">
        <v>3.33</v>
      </c>
      <c r="F3541" s="231"/>
    </row>
    <row r="3542" spans="1:6" s="215" customFormat="1" ht="12.75" hidden="1" customHeight="1" outlineLevel="1" x14ac:dyDescent="0.2">
      <c r="A3542" s="215" t="s">
        <v>1279</v>
      </c>
      <c r="B3542" s="224" t="s">
        <v>6125</v>
      </c>
      <c r="C3542" s="225" t="s">
        <v>6054</v>
      </c>
      <c r="D3542" s="226" t="s">
        <v>11</v>
      </c>
      <c r="E3542" s="227">
        <v>3.33</v>
      </c>
      <c r="F3542" s="227"/>
    </row>
    <row r="3543" spans="1:6" s="215" customFormat="1" ht="12.75" hidden="1" customHeight="1" outlineLevel="1" x14ac:dyDescent="0.2">
      <c r="A3543" s="215" t="s">
        <v>1279</v>
      </c>
      <c r="B3543" s="228" t="s">
        <v>6126</v>
      </c>
      <c r="C3543" s="229" t="s">
        <v>6056</v>
      </c>
      <c r="D3543" s="230" t="s">
        <v>11</v>
      </c>
      <c r="E3543" s="231">
        <v>3.33</v>
      </c>
      <c r="F3543" s="231"/>
    </row>
    <row r="3544" spans="1:6" s="215" customFormat="1" ht="12.75" hidden="1" customHeight="1" outlineLevel="1" x14ac:dyDescent="0.2">
      <c r="A3544" s="215" t="s">
        <v>1279</v>
      </c>
      <c r="B3544" s="216" t="s">
        <v>6127</v>
      </c>
      <c r="C3544" s="217" t="s">
        <v>2968</v>
      </c>
      <c r="D3544" s="218"/>
      <c r="E3544" s="219"/>
      <c r="F3544" s="219"/>
    </row>
    <row r="3545" spans="1:6" s="215" customFormat="1" ht="12.75" hidden="1" customHeight="1" outlineLevel="1" x14ac:dyDescent="0.2">
      <c r="A3545" s="215" t="s">
        <v>1279</v>
      </c>
      <c r="B3545" s="224" t="s">
        <v>6128</v>
      </c>
      <c r="C3545" s="225" t="s">
        <v>6030</v>
      </c>
      <c r="D3545" s="226" t="s">
        <v>11</v>
      </c>
      <c r="E3545" s="227">
        <v>2.5499999999999998</v>
      </c>
      <c r="F3545" s="227"/>
    </row>
    <row r="3546" spans="1:6" s="215" customFormat="1" ht="12.75" hidden="1" customHeight="1" outlineLevel="1" x14ac:dyDescent="0.2">
      <c r="A3546" s="215" t="s">
        <v>1279</v>
      </c>
      <c r="B3546" s="228" t="s">
        <v>6129</v>
      </c>
      <c r="C3546" s="229" t="s">
        <v>6032</v>
      </c>
      <c r="D3546" s="230" t="s">
        <v>11</v>
      </c>
      <c r="E3546" s="231">
        <v>2.5499999999999998</v>
      </c>
      <c r="F3546" s="231"/>
    </row>
    <row r="3547" spans="1:6" s="215" customFormat="1" ht="12.75" hidden="1" customHeight="1" outlineLevel="1" x14ac:dyDescent="0.2">
      <c r="A3547" s="215" t="s">
        <v>1279</v>
      </c>
      <c r="B3547" s="224" t="s">
        <v>6130</v>
      </c>
      <c r="C3547" s="225" t="s">
        <v>6034</v>
      </c>
      <c r="D3547" s="226" t="s">
        <v>11</v>
      </c>
      <c r="E3547" s="227">
        <v>2.5499999999999998</v>
      </c>
      <c r="F3547" s="227"/>
    </row>
    <row r="3548" spans="1:6" s="215" customFormat="1" ht="12.75" hidden="1" customHeight="1" outlineLevel="1" x14ac:dyDescent="0.2">
      <c r="A3548" s="215" t="s">
        <v>1279</v>
      </c>
      <c r="B3548" s="228" t="s">
        <v>6131</v>
      </c>
      <c r="C3548" s="229" t="s">
        <v>6046</v>
      </c>
      <c r="D3548" s="230" t="s">
        <v>11</v>
      </c>
      <c r="E3548" s="231">
        <v>2.19</v>
      </c>
      <c r="F3548" s="231"/>
    </row>
    <row r="3549" spans="1:6" s="215" customFormat="1" ht="12.75" hidden="1" customHeight="1" outlineLevel="1" x14ac:dyDescent="0.2">
      <c r="A3549" s="215" t="s">
        <v>1279</v>
      </c>
      <c r="B3549" s="224" t="s">
        <v>6132</v>
      </c>
      <c r="C3549" s="225" t="s">
        <v>6048</v>
      </c>
      <c r="D3549" s="226" t="s">
        <v>11</v>
      </c>
      <c r="E3549" s="227">
        <v>2.19</v>
      </c>
      <c r="F3549" s="227"/>
    </row>
    <row r="3550" spans="1:6" s="215" customFormat="1" ht="12.75" hidden="1" customHeight="1" outlineLevel="1" x14ac:dyDescent="0.2">
      <c r="A3550" s="215" t="s">
        <v>1279</v>
      </c>
      <c r="B3550" s="228" t="s">
        <v>6133</v>
      </c>
      <c r="C3550" s="229" t="s">
        <v>6050</v>
      </c>
      <c r="D3550" s="230" t="s">
        <v>11</v>
      </c>
      <c r="E3550" s="231">
        <v>2.19</v>
      </c>
      <c r="F3550" s="231"/>
    </row>
    <row r="3551" spans="1:6" s="215" customFormat="1" ht="12.75" hidden="1" customHeight="1" outlineLevel="1" x14ac:dyDescent="0.2">
      <c r="A3551" s="215" t="s">
        <v>1279</v>
      </c>
      <c r="B3551" s="224" t="s">
        <v>6134</v>
      </c>
      <c r="C3551" s="225" t="s">
        <v>6052</v>
      </c>
      <c r="D3551" s="226" t="s">
        <v>11</v>
      </c>
      <c r="E3551" s="227">
        <v>3.48</v>
      </c>
      <c r="F3551" s="227"/>
    </row>
    <row r="3552" spans="1:6" s="215" customFormat="1" ht="12.75" hidden="1" customHeight="1" outlineLevel="1" x14ac:dyDescent="0.2">
      <c r="A3552" s="215" t="s">
        <v>1279</v>
      </c>
      <c r="B3552" s="228" t="s">
        <v>6135</v>
      </c>
      <c r="C3552" s="229" t="s">
        <v>6054</v>
      </c>
      <c r="D3552" s="230" t="s">
        <v>11</v>
      </c>
      <c r="E3552" s="231">
        <v>3.48</v>
      </c>
      <c r="F3552" s="231"/>
    </row>
    <row r="3553" spans="1:6" s="215" customFormat="1" ht="12.75" hidden="1" customHeight="1" outlineLevel="1" x14ac:dyDescent="0.2">
      <c r="A3553" s="215" t="s">
        <v>1279</v>
      </c>
      <c r="B3553" s="224" t="s">
        <v>6136</v>
      </c>
      <c r="C3553" s="225" t="s">
        <v>6056</v>
      </c>
      <c r="D3553" s="226" t="s">
        <v>11</v>
      </c>
      <c r="E3553" s="227">
        <v>3.48</v>
      </c>
      <c r="F3553" s="227"/>
    </row>
    <row r="3554" spans="1:6" s="215" customFormat="1" ht="12.75" hidden="1" customHeight="1" outlineLevel="1" x14ac:dyDescent="0.2">
      <c r="A3554" s="215" t="s">
        <v>1279</v>
      </c>
      <c r="B3554" s="216" t="s">
        <v>6137</v>
      </c>
      <c r="C3554" s="217" t="s">
        <v>2969</v>
      </c>
      <c r="D3554" s="218"/>
      <c r="E3554" s="219"/>
      <c r="F3554" s="219"/>
    </row>
    <row r="3555" spans="1:6" s="215" customFormat="1" ht="12.75" hidden="1" customHeight="1" outlineLevel="1" x14ac:dyDescent="0.2">
      <c r="A3555" s="215" t="s">
        <v>1279</v>
      </c>
      <c r="B3555" s="228" t="s">
        <v>6138</v>
      </c>
      <c r="C3555" s="229" t="s">
        <v>6030</v>
      </c>
      <c r="D3555" s="230" t="s">
        <v>11</v>
      </c>
      <c r="E3555" s="231">
        <v>4.2300000000000004</v>
      </c>
      <c r="F3555" s="231"/>
    </row>
    <row r="3556" spans="1:6" s="215" customFormat="1" ht="12.75" hidden="1" customHeight="1" outlineLevel="1" x14ac:dyDescent="0.2">
      <c r="A3556" s="215" t="s">
        <v>1279</v>
      </c>
      <c r="B3556" s="224" t="s">
        <v>6139</v>
      </c>
      <c r="C3556" s="225" t="s">
        <v>6032</v>
      </c>
      <c r="D3556" s="226" t="s">
        <v>11</v>
      </c>
      <c r="E3556" s="227">
        <v>4.2300000000000004</v>
      </c>
      <c r="F3556" s="227"/>
    </row>
    <row r="3557" spans="1:6" s="215" customFormat="1" ht="12.75" hidden="1" customHeight="1" outlineLevel="1" x14ac:dyDescent="0.2">
      <c r="A3557" s="215" t="s">
        <v>1279</v>
      </c>
      <c r="B3557" s="228" t="s">
        <v>6140</v>
      </c>
      <c r="C3557" s="229" t="s">
        <v>6034</v>
      </c>
      <c r="D3557" s="230" t="s">
        <v>11</v>
      </c>
      <c r="E3557" s="231">
        <v>4.2300000000000004</v>
      </c>
      <c r="F3557" s="231"/>
    </row>
    <row r="3558" spans="1:6" s="215" customFormat="1" ht="12.75" hidden="1" customHeight="1" outlineLevel="1" x14ac:dyDescent="0.2">
      <c r="A3558" s="215" t="s">
        <v>1279</v>
      </c>
      <c r="B3558" s="224" t="s">
        <v>6141</v>
      </c>
      <c r="C3558" s="225" t="s">
        <v>6046</v>
      </c>
      <c r="D3558" s="226" t="s">
        <v>11</v>
      </c>
      <c r="E3558" s="227">
        <v>2.19</v>
      </c>
      <c r="F3558" s="227"/>
    </row>
    <row r="3559" spans="1:6" s="215" customFormat="1" ht="12.75" hidden="1" customHeight="1" outlineLevel="1" x14ac:dyDescent="0.2">
      <c r="A3559" s="215" t="s">
        <v>1279</v>
      </c>
      <c r="B3559" s="228" t="s">
        <v>6142</v>
      </c>
      <c r="C3559" s="229" t="s">
        <v>6048</v>
      </c>
      <c r="D3559" s="230" t="s">
        <v>11</v>
      </c>
      <c r="E3559" s="231">
        <v>2.19</v>
      </c>
      <c r="F3559" s="231"/>
    </row>
    <row r="3560" spans="1:6" s="215" customFormat="1" ht="12.75" hidden="1" customHeight="1" outlineLevel="1" x14ac:dyDescent="0.2">
      <c r="A3560" s="215" t="s">
        <v>1279</v>
      </c>
      <c r="B3560" s="224" t="s">
        <v>6143</v>
      </c>
      <c r="C3560" s="225" t="s">
        <v>6050</v>
      </c>
      <c r="D3560" s="226" t="s">
        <v>11</v>
      </c>
      <c r="E3560" s="227">
        <v>2.19</v>
      </c>
      <c r="F3560" s="227"/>
    </row>
    <row r="3561" spans="1:6" s="215" customFormat="1" ht="12.75" hidden="1" customHeight="1" outlineLevel="1" x14ac:dyDescent="0.2">
      <c r="A3561" s="215" t="s">
        <v>1279</v>
      </c>
      <c r="B3561" s="228" t="s">
        <v>6144</v>
      </c>
      <c r="C3561" s="229" t="s">
        <v>6052</v>
      </c>
      <c r="D3561" s="230" t="s">
        <v>11</v>
      </c>
      <c r="E3561" s="231">
        <v>3.33</v>
      </c>
      <c r="F3561" s="231"/>
    </row>
    <row r="3562" spans="1:6" s="215" customFormat="1" ht="12.75" hidden="1" customHeight="1" outlineLevel="1" x14ac:dyDescent="0.2">
      <c r="A3562" s="215" t="s">
        <v>1279</v>
      </c>
      <c r="B3562" s="224" t="s">
        <v>6145</v>
      </c>
      <c r="C3562" s="225" t="s">
        <v>6054</v>
      </c>
      <c r="D3562" s="226" t="s">
        <v>11</v>
      </c>
      <c r="E3562" s="227">
        <v>3.33</v>
      </c>
      <c r="F3562" s="227"/>
    </row>
    <row r="3563" spans="1:6" s="215" customFormat="1" ht="12.75" hidden="1" customHeight="1" outlineLevel="1" x14ac:dyDescent="0.2">
      <c r="A3563" s="215" t="s">
        <v>1279</v>
      </c>
      <c r="B3563" s="228" t="s">
        <v>6146</v>
      </c>
      <c r="C3563" s="229" t="s">
        <v>6056</v>
      </c>
      <c r="D3563" s="230" t="s">
        <v>11</v>
      </c>
      <c r="E3563" s="231">
        <v>3.33</v>
      </c>
      <c r="F3563" s="231"/>
    </row>
    <row r="3564" spans="1:6" s="215" customFormat="1" ht="12.75" hidden="1" customHeight="1" outlineLevel="1" x14ac:dyDescent="0.2">
      <c r="A3564" s="215" t="s">
        <v>1279</v>
      </c>
      <c r="B3564" s="216" t="s">
        <v>6147</v>
      </c>
      <c r="C3564" s="217" t="s">
        <v>2970</v>
      </c>
      <c r="D3564" s="218"/>
      <c r="E3564" s="219"/>
      <c r="F3564" s="219"/>
    </row>
    <row r="3565" spans="1:6" s="215" customFormat="1" ht="12.75" hidden="1" customHeight="1" outlineLevel="1" x14ac:dyDescent="0.2">
      <c r="A3565" s="215" t="s">
        <v>1279</v>
      </c>
      <c r="B3565" s="224" t="s">
        <v>6148</v>
      </c>
      <c r="C3565" s="225" t="s">
        <v>6030</v>
      </c>
      <c r="D3565" s="226" t="s">
        <v>11</v>
      </c>
      <c r="E3565" s="227">
        <v>2.52</v>
      </c>
      <c r="F3565" s="227"/>
    </row>
    <row r="3566" spans="1:6" s="215" customFormat="1" ht="12.75" hidden="1" customHeight="1" outlineLevel="1" x14ac:dyDescent="0.2">
      <c r="A3566" s="215" t="s">
        <v>1279</v>
      </c>
      <c r="B3566" s="228" t="s">
        <v>6149</v>
      </c>
      <c r="C3566" s="229" t="s">
        <v>6032</v>
      </c>
      <c r="D3566" s="230" t="s">
        <v>11</v>
      </c>
      <c r="E3566" s="231">
        <v>2.52</v>
      </c>
      <c r="F3566" s="231"/>
    </row>
    <row r="3567" spans="1:6" s="215" customFormat="1" ht="12.75" hidden="1" customHeight="1" outlineLevel="1" x14ac:dyDescent="0.2">
      <c r="A3567" s="215" t="s">
        <v>1279</v>
      </c>
      <c r="B3567" s="224" t="s">
        <v>6150</v>
      </c>
      <c r="C3567" s="225" t="s">
        <v>6034</v>
      </c>
      <c r="D3567" s="226" t="s">
        <v>11</v>
      </c>
      <c r="E3567" s="227">
        <v>2.52</v>
      </c>
      <c r="F3567" s="227"/>
    </row>
    <row r="3568" spans="1:6" s="215" customFormat="1" ht="12.75" hidden="1" customHeight="1" outlineLevel="1" x14ac:dyDescent="0.2">
      <c r="A3568" s="215" t="s">
        <v>1279</v>
      </c>
      <c r="B3568" s="228" t="s">
        <v>6151</v>
      </c>
      <c r="C3568" s="229" t="s">
        <v>6046</v>
      </c>
      <c r="D3568" s="230" t="s">
        <v>11</v>
      </c>
      <c r="E3568" s="231">
        <v>2.19</v>
      </c>
      <c r="F3568" s="231"/>
    </row>
    <row r="3569" spans="1:6" s="215" customFormat="1" ht="12.75" hidden="1" customHeight="1" outlineLevel="1" x14ac:dyDescent="0.2">
      <c r="A3569" s="215" t="s">
        <v>1279</v>
      </c>
      <c r="B3569" s="224" t="s">
        <v>6152</v>
      </c>
      <c r="C3569" s="225" t="s">
        <v>6048</v>
      </c>
      <c r="D3569" s="226" t="s">
        <v>11</v>
      </c>
      <c r="E3569" s="227">
        <v>2.19</v>
      </c>
      <c r="F3569" s="227"/>
    </row>
    <row r="3570" spans="1:6" s="215" customFormat="1" ht="12.75" hidden="1" customHeight="1" outlineLevel="1" x14ac:dyDescent="0.2">
      <c r="A3570" s="215" t="s">
        <v>1279</v>
      </c>
      <c r="B3570" s="228" t="s">
        <v>6153</v>
      </c>
      <c r="C3570" s="229" t="s">
        <v>6050</v>
      </c>
      <c r="D3570" s="230" t="s">
        <v>11</v>
      </c>
      <c r="E3570" s="231">
        <v>2.19</v>
      </c>
      <c r="F3570" s="231"/>
    </row>
    <row r="3571" spans="1:6" s="215" customFormat="1" ht="12.75" hidden="1" customHeight="1" outlineLevel="1" x14ac:dyDescent="0.2">
      <c r="A3571" s="215" t="s">
        <v>1279</v>
      </c>
      <c r="B3571" s="224" t="s">
        <v>6154</v>
      </c>
      <c r="C3571" s="225" t="s">
        <v>6052</v>
      </c>
      <c r="D3571" s="226" t="s">
        <v>11</v>
      </c>
      <c r="E3571" s="227">
        <v>3.46</v>
      </c>
      <c r="F3571" s="227"/>
    </row>
    <row r="3572" spans="1:6" s="215" customFormat="1" ht="12.75" hidden="1" customHeight="1" outlineLevel="1" x14ac:dyDescent="0.2">
      <c r="A3572" s="215" t="s">
        <v>1279</v>
      </c>
      <c r="B3572" s="228" t="s">
        <v>6155</v>
      </c>
      <c r="C3572" s="229" t="s">
        <v>6054</v>
      </c>
      <c r="D3572" s="230" t="s">
        <v>11</v>
      </c>
      <c r="E3572" s="231">
        <v>3.46</v>
      </c>
      <c r="F3572" s="231"/>
    </row>
    <row r="3573" spans="1:6" s="215" customFormat="1" ht="12.75" hidden="1" customHeight="1" outlineLevel="1" x14ac:dyDescent="0.2">
      <c r="A3573" s="215" t="s">
        <v>1279</v>
      </c>
      <c r="B3573" s="224" t="s">
        <v>6156</v>
      </c>
      <c r="C3573" s="225" t="s">
        <v>6056</v>
      </c>
      <c r="D3573" s="226" t="s">
        <v>11</v>
      </c>
      <c r="E3573" s="227">
        <v>3.46</v>
      </c>
      <c r="F3573" s="227"/>
    </row>
    <row r="3574" spans="1:6" s="215" customFormat="1" ht="12.75" hidden="1" customHeight="1" outlineLevel="1" x14ac:dyDescent="0.2">
      <c r="A3574" s="215" t="s">
        <v>1279</v>
      </c>
      <c r="B3574" s="216" t="s">
        <v>6157</v>
      </c>
      <c r="C3574" s="217" t="s">
        <v>2971</v>
      </c>
      <c r="D3574" s="218"/>
      <c r="E3574" s="219"/>
      <c r="F3574" s="219"/>
    </row>
    <row r="3575" spans="1:6" s="215" customFormat="1" ht="12.75" hidden="1" customHeight="1" outlineLevel="1" x14ac:dyDescent="0.2">
      <c r="A3575" s="215" t="s">
        <v>1279</v>
      </c>
      <c r="B3575" s="228" t="s">
        <v>6158</v>
      </c>
      <c r="C3575" s="229" t="s">
        <v>6030</v>
      </c>
      <c r="D3575" s="230" t="s">
        <v>11</v>
      </c>
      <c r="E3575" s="231">
        <v>4.25</v>
      </c>
      <c r="F3575" s="231"/>
    </row>
    <row r="3576" spans="1:6" s="215" customFormat="1" ht="12.75" hidden="1" customHeight="1" outlineLevel="1" x14ac:dyDescent="0.2">
      <c r="A3576" s="215" t="s">
        <v>1279</v>
      </c>
      <c r="B3576" s="224" t="s">
        <v>6159</v>
      </c>
      <c r="C3576" s="225" t="s">
        <v>6032</v>
      </c>
      <c r="D3576" s="226" t="s">
        <v>11</v>
      </c>
      <c r="E3576" s="227">
        <v>4.25</v>
      </c>
      <c r="F3576" s="227"/>
    </row>
    <row r="3577" spans="1:6" s="215" customFormat="1" ht="12.75" hidden="1" customHeight="1" outlineLevel="1" x14ac:dyDescent="0.2">
      <c r="A3577" s="215" t="s">
        <v>1279</v>
      </c>
      <c r="B3577" s="228" t="s">
        <v>6160</v>
      </c>
      <c r="C3577" s="229" t="s">
        <v>6034</v>
      </c>
      <c r="D3577" s="230" t="s">
        <v>11</v>
      </c>
      <c r="E3577" s="231">
        <v>4.25</v>
      </c>
      <c r="F3577" s="231"/>
    </row>
    <row r="3578" spans="1:6" s="215" customFormat="1" ht="12.75" hidden="1" customHeight="1" outlineLevel="1" x14ac:dyDescent="0.2">
      <c r="A3578" s="215" t="s">
        <v>1279</v>
      </c>
      <c r="B3578" s="224" t="s">
        <v>6161</v>
      </c>
      <c r="C3578" s="225" t="s">
        <v>6046</v>
      </c>
      <c r="D3578" s="226" t="s">
        <v>11</v>
      </c>
      <c r="E3578" s="227">
        <v>2.11</v>
      </c>
      <c r="F3578" s="227"/>
    </row>
    <row r="3579" spans="1:6" s="215" customFormat="1" ht="12.75" hidden="1" customHeight="1" outlineLevel="1" x14ac:dyDescent="0.2">
      <c r="A3579" s="215" t="s">
        <v>1279</v>
      </c>
      <c r="B3579" s="228" t="s">
        <v>6162</v>
      </c>
      <c r="C3579" s="229" t="s">
        <v>6048</v>
      </c>
      <c r="D3579" s="230" t="s">
        <v>11</v>
      </c>
      <c r="E3579" s="231">
        <v>2.11</v>
      </c>
      <c r="F3579" s="231"/>
    </row>
    <row r="3580" spans="1:6" s="215" customFormat="1" ht="12.75" hidden="1" customHeight="1" outlineLevel="1" x14ac:dyDescent="0.2">
      <c r="A3580" s="215" t="s">
        <v>1279</v>
      </c>
      <c r="B3580" s="224" t="s">
        <v>6163</v>
      </c>
      <c r="C3580" s="225" t="s">
        <v>6050</v>
      </c>
      <c r="D3580" s="226" t="s">
        <v>11</v>
      </c>
      <c r="E3580" s="227">
        <v>2.11</v>
      </c>
      <c r="F3580" s="227"/>
    </row>
    <row r="3581" spans="1:6" s="215" customFormat="1" ht="12.75" hidden="1" customHeight="1" outlineLevel="1" x14ac:dyDescent="0.2">
      <c r="A3581" s="215" t="s">
        <v>1279</v>
      </c>
      <c r="B3581" s="228" t="s">
        <v>6164</v>
      </c>
      <c r="C3581" s="229" t="s">
        <v>6052</v>
      </c>
      <c r="D3581" s="230" t="s">
        <v>11</v>
      </c>
      <c r="E3581" s="231">
        <v>3.32</v>
      </c>
      <c r="F3581" s="231"/>
    </row>
    <row r="3582" spans="1:6" s="215" customFormat="1" ht="12.75" hidden="1" customHeight="1" outlineLevel="1" x14ac:dyDescent="0.2">
      <c r="A3582" s="215" t="s">
        <v>1279</v>
      </c>
      <c r="B3582" s="224" t="s">
        <v>6165</v>
      </c>
      <c r="C3582" s="225" t="s">
        <v>6054</v>
      </c>
      <c r="D3582" s="226" t="s">
        <v>11</v>
      </c>
      <c r="E3582" s="227">
        <v>3.32</v>
      </c>
      <c r="F3582" s="227"/>
    </row>
    <row r="3583" spans="1:6" s="215" customFormat="1" ht="12.75" hidden="1" customHeight="1" outlineLevel="1" x14ac:dyDescent="0.2">
      <c r="A3583" s="215" t="s">
        <v>1279</v>
      </c>
      <c r="B3583" s="228" t="s">
        <v>6166</v>
      </c>
      <c r="C3583" s="229" t="s">
        <v>6056</v>
      </c>
      <c r="D3583" s="230" t="s">
        <v>11</v>
      </c>
      <c r="E3583" s="231">
        <v>3.32</v>
      </c>
      <c r="F3583" s="231"/>
    </row>
    <row r="3584" spans="1:6" s="215" customFormat="1" ht="12.75" hidden="1" customHeight="1" outlineLevel="1" x14ac:dyDescent="0.2">
      <c r="A3584" s="215" t="s">
        <v>1279</v>
      </c>
      <c r="B3584" s="216" t="s">
        <v>6167</v>
      </c>
      <c r="C3584" s="217" t="s">
        <v>2972</v>
      </c>
      <c r="D3584" s="218"/>
      <c r="E3584" s="219"/>
      <c r="F3584" s="219"/>
    </row>
    <row r="3585" spans="1:6" s="215" customFormat="1" ht="12.75" hidden="1" customHeight="1" outlineLevel="1" x14ac:dyDescent="0.2">
      <c r="A3585" s="215" t="s">
        <v>1279</v>
      </c>
      <c r="B3585" s="224" t="s">
        <v>6168</v>
      </c>
      <c r="C3585" s="225" t="s">
        <v>6030</v>
      </c>
      <c r="D3585" s="226" t="s">
        <v>11</v>
      </c>
      <c r="E3585" s="227">
        <v>4.29</v>
      </c>
      <c r="F3585" s="227"/>
    </row>
    <row r="3586" spans="1:6" s="215" customFormat="1" ht="12.75" hidden="1" customHeight="1" outlineLevel="1" x14ac:dyDescent="0.2">
      <c r="A3586" s="215" t="s">
        <v>1279</v>
      </c>
      <c r="B3586" s="228" t="s">
        <v>6169</v>
      </c>
      <c r="C3586" s="229" t="s">
        <v>6032</v>
      </c>
      <c r="D3586" s="230" t="s">
        <v>11</v>
      </c>
      <c r="E3586" s="231">
        <v>4.29</v>
      </c>
      <c r="F3586" s="231"/>
    </row>
    <row r="3587" spans="1:6" s="215" customFormat="1" ht="12.75" hidden="1" customHeight="1" outlineLevel="1" x14ac:dyDescent="0.2">
      <c r="A3587" s="215" t="s">
        <v>1279</v>
      </c>
      <c r="B3587" s="224" t="s">
        <v>6170</v>
      </c>
      <c r="C3587" s="225" t="s">
        <v>6034</v>
      </c>
      <c r="D3587" s="226" t="s">
        <v>11</v>
      </c>
      <c r="E3587" s="227">
        <v>4.29</v>
      </c>
      <c r="F3587" s="227"/>
    </row>
    <row r="3588" spans="1:6" s="215" customFormat="1" ht="12.75" hidden="1" customHeight="1" outlineLevel="1" x14ac:dyDescent="0.2">
      <c r="A3588" s="215" t="s">
        <v>1279</v>
      </c>
      <c r="B3588" s="228" t="s">
        <v>6171</v>
      </c>
      <c r="C3588" s="229" t="s">
        <v>6052</v>
      </c>
      <c r="D3588" s="230" t="s">
        <v>11</v>
      </c>
      <c r="E3588" s="231">
        <v>0.24</v>
      </c>
      <c r="F3588" s="231"/>
    </row>
    <row r="3589" spans="1:6" s="215" customFormat="1" ht="12.75" hidden="1" customHeight="1" outlineLevel="1" x14ac:dyDescent="0.2">
      <c r="A3589" s="215" t="s">
        <v>1279</v>
      </c>
      <c r="B3589" s="224" t="s">
        <v>6172</v>
      </c>
      <c r="C3589" s="225" t="s">
        <v>6054</v>
      </c>
      <c r="D3589" s="226" t="s">
        <v>11</v>
      </c>
      <c r="E3589" s="227">
        <v>0.24</v>
      </c>
      <c r="F3589" s="227"/>
    </row>
    <row r="3590" spans="1:6" s="215" customFormat="1" ht="12.75" hidden="1" customHeight="1" outlineLevel="1" x14ac:dyDescent="0.2">
      <c r="A3590" s="215" t="s">
        <v>1279</v>
      </c>
      <c r="B3590" s="228" t="s">
        <v>6173</v>
      </c>
      <c r="C3590" s="229" t="s">
        <v>6056</v>
      </c>
      <c r="D3590" s="230" t="s">
        <v>11</v>
      </c>
      <c r="E3590" s="231">
        <v>0.24</v>
      </c>
      <c r="F3590" s="231"/>
    </row>
    <row r="3591" spans="1:6" s="215" customFormat="1" ht="12.75" hidden="1" customHeight="1" outlineLevel="1" x14ac:dyDescent="0.2">
      <c r="A3591" s="215" t="s">
        <v>1279</v>
      </c>
      <c r="B3591" s="216" t="s">
        <v>6174</v>
      </c>
      <c r="C3591" s="217" t="s">
        <v>2973</v>
      </c>
      <c r="D3591" s="218"/>
      <c r="E3591" s="219"/>
      <c r="F3591" s="219"/>
    </row>
    <row r="3592" spans="1:6" s="215" customFormat="1" ht="12.75" hidden="1" customHeight="1" outlineLevel="1" x14ac:dyDescent="0.2">
      <c r="A3592" s="215" t="s">
        <v>1279</v>
      </c>
      <c r="B3592" s="224" t="s">
        <v>6175</v>
      </c>
      <c r="C3592" s="225" t="s">
        <v>6030</v>
      </c>
      <c r="D3592" s="226" t="s">
        <v>11</v>
      </c>
      <c r="E3592" s="227">
        <v>2.5499999999999998</v>
      </c>
      <c r="F3592" s="227"/>
    </row>
    <row r="3593" spans="1:6" s="215" customFormat="1" ht="12.75" hidden="1" customHeight="1" outlineLevel="1" x14ac:dyDescent="0.2">
      <c r="A3593" s="215" t="s">
        <v>1279</v>
      </c>
      <c r="B3593" s="228" t="s">
        <v>6176</v>
      </c>
      <c r="C3593" s="229" t="s">
        <v>6032</v>
      </c>
      <c r="D3593" s="230" t="s">
        <v>11</v>
      </c>
      <c r="E3593" s="231">
        <v>2.5499999999999998</v>
      </c>
      <c r="F3593" s="231"/>
    </row>
    <row r="3594" spans="1:6" s="215" customFormat="1" ht="12.75" hidden="1" customHeight="1" outlineLevel="1" x14ac:dyDescent="0.2">
      <c r="A3594" s="215" t="s">
        <v>1279</v>
      </c>
      <c r="B3594" s="224" t="s">
        <v>6177</v>
      </c>
      <c r="C3594" s="225" t="s">
        <v>6034</v>
      </c>
      <c r="D3594" s="226" t="s">
        <v>11</v>
      </c>
      <c r="E3594" s="227">
        <v>2.5499999999999998</v>
      </c>
      <c r="F3594" s="227"/>
    </row>
    <row r="3595" spans="1:6" s="215" customFormat="1" ht="12.75" hidden="1" customHeight="1" outlineLevel="1" x14ac:dyDescent="0.2">
      <c r="A3595" s="215" t="s">
        <v>1279</v>
      </c>
      <c r="B3595" s="216" t="s">
        <v>6178</v>
      </c>
      <c r="C3595" s="217" t="s">
        <v>2974</v>
      </c>
      <c r="D3595" s="218"/>
      <c r="E3595" s="219"/>
      <c r="F3595" s="219"/>
    </row>
    <row r="3596" spans="1:6" s="215" customFormat="1" ht="12.75" hidden="1" customHeight="1" outlineLevel="1" x14ac:dyDescent="0.2">
      <c r="A3596" s="215" t="s">
        <v>1279</v>
      </c>
      <c r="B3596" s="228" t="s">
        <v>6179</v>
      </c>
      <c r="C3596" s="229" t="s">
        <v>6030</v>
      </c>
      <c r="D3596" s="230" t="s">
        <v>11</v>
      </c>
      <c r="E3596" s="231">
        <v>4.2699999999999996</v>
      </c>
      <c r="F3596" s="231"/>
    </row>
    <row r="3597" spans="1:6" s="215" customFormat="1" ht="12.75" hidden="1" customHeight="1" outlineLevel="1" x14ac:dyDescent="0.2">
      <c r="A3597" s="215" t="s">
        <v>1279</v>
      </c>
      <c r="B3597" s="224" t="s">
        <v>6180</v>
      </c>
      <c r="C3597" s="225" t="s">
        <v>6032</v>
      </c>
      <c r="D3597" s="226" t="s">
        <v>11</v>
      </c>
      <c r="E3597" s="227">
        <v>4.2699999999999996</v>
      </c>
      <c r="F3597" s="227"/>
    </row>
    <row r="3598" spans="1:6" s="215" customFormat="1" ht="12.75" hidden="1" customHeight="1" outlineLevel="1" x14ac:dyDescent="0.2">
      <c r="A3598" s="215" t="s">
        <v>1279</v>
      </c>
      <c r="B3598" s="228" t="s">
        <v>6181</v>
      </c>
      <c r="C3598" s="229" t="s">
        <v>6034</v>
      </c>
      <c r="D3598" s="230" t="s">
        <v>11</v>
      </c>
      <c r="E3598" s="231">
        <v>4.2699999999999996</v>
      </c>
      <c r="F3598" s="231"/>
    </row>
    <row r="3599" spans="1:6" s="215" customFormat="1" ht="12.75" hidden="1" customHeight="1" outlineLevel="1" x14ac:dyDescent="0.2">
      <c r="A3599" s="215" t="s">
        <v>1279</v>
      </c>
      <c r="B3599" s="216" t="s">
        <v>6182</v>
      </c>
      <c r="C3599" s="217" t="s">
        <v>2975</v>
      </c>
      <c r="D3599" s="218"/>
      <c r="E3599" s="219"/>
      <c r="F3599" s="219"/>
    </row>
    <row r="3600" spans="1:6" s="215" customFormat="1" ht="12.75" hidden="1" customHeight="1" outlineLevel="1" x14ac:dyDescent="0.2">
      <c r="A3600" s="215" t="s">
        <v>1279</v>
      </c>
      <c r="B3600" s="224" t="s">
        <v>6183</v>
      </c>
      <c r="C3600" s="225" t="s">
        <v>6030</v>
      </c>
      <c r="D3600" s="226" t="s">
        <v>11</v>
      </c>
      <c r="E3600" s="227">
        <v>2.5499999999999998</v>
      </c>
      <c r="F3600" s="227"/>
    </row>
    <row r="3601" spans="1:10" s="215" customFormat="1" ht="12.75" hidden="1" customHeight="1" outlineLevel="1" x14ac:dyDescent="0.2">
      <c r="A3601" s="215" t="s">
        <v>1279</v>
      </c>
      <c r="B3601" s="228" t="s">
        <v>6184</v>
      </c>
      <c r="C3601" s="229" t="s">
        <v>6032</v>
      </c>
      <c r="D3601" s="230" t="s">
        <v>11</v>
      </c>
      <c r="E3601" s="231">
        <v>2.5499999999999998</v>
      </c>
      <c r="F3601" s="231"/>
    </row>
    <row r="3602" spans="1:10" s="215" customFormat="1" ht="12.75" hidden="1" customHeight="1" outlineLevel="1" x14ac:dyDescent="0.2">
      <c r="A3602" s="215" t="s">
        <v>1279</v>
      </c>
      <c r="B3602" s="224" t="s">
        <v>6185</v>
      </c>
      <c r="C3602" s="225" t="s">
        <v>6034</v>
      </c>
      <c r="D3602" s="226" t="s">
        <v>11</v>
      </c>
      <c r="E3602" s="227">
        <v>2.5499999999999998</v>
      </c>
      <c r="F3602" s="227"/>
    </row>
    <row r="3603" spans="1:10" s="215" customFormat="1" ht="12.75" hidden="1" customHeight="1" outlineLevel="1" x14ac:dyDescent="0.2">
      <c r="A3603" s="215" t="s">
        <v>1279</v>
      </c>
      <c r="B3603" s="216" t="s">
        <v>6186</v>
      </c>
      <c r="C3603" s="217" t="s">
        <v>2976</v>
      </c>
      <c r="D3603" s="218"/>
      <c r="E3603" s="219"/>
      <c r="F3603" s="219"/>
    </row>
    <row r="3604" spans="1:10" s="215" customFormat="1" ht="12.75" hidden="1" customHeight="1" outlineLevel="1" x14ac:dyDescent="0.2">
      <c r="A3604" s="215" t="s">
        <v>1279</v>
      </c>
      <c r="B3604" s="228" t="s">
        <v>6187</v>
      </c>
      <c r="C3604" s="229" t="s">
        <v>6030</v>
      </c>
      <c r="D3604" s="230" t="s">
        <v>11</v>
      </c>
      <c r="E3604" s="231">
        <v>7.31</v>
      </c>
      <c r="F3604" s="231"/>
    </row>
    <row r="3605" spans="1:10" s="215" customFormat="1" ht="12.75" hidden="1" customHeight="1" outlineLevel="1" x14ac:dyDescent="0.2">
      <c r="A3605" s="215" t="s">
        <v>1279</v>
      </c>
      <c r="B3605" s="224" t="s">
        <v>6188</v>
      </c>
      <c r="C3605" s="225" t="s">
        <v>6032</v>
      </c>
      <c r="D3605" s="226" t="s">
        <v>11</v>
      </c>
      <c r="E3605" s="227">
        <v>7.31</v>
      </c>
      <c r="F3605" s="227"/>
    </row>
    <row r="3606" spans="1:10" s="215" customFormat="1" ht="12.75" hidden="1" customHeight="1" outlineLevel="1" x14ac:dyDescent="0.2">
      <c r="A3606" s="215" t="s">
        <v>1279</v>
      </c>
      <c r="B3606" s="228" t="s">
        <v>6189</v>
      </c>
      <c r="C3606" s="229" t="s">
        <v>6034</v>
      </c>
      <c r="D3606" s="230" t="s">
        <v>11</v>
      </c>
      <c r="E3606" s="231">
        <v>7.31</v>
      </c>
      <c r="F3606" s="231"/>
    </row>
    <row r="3607" spans="1:10" s="215" customFormat="1" collapsed="1" x14ac:dyDescent="0.2">
      <c r="B3607" s="515" t="s">
        <v>2821</v>
      </c>
      <c r="C3607" s="516" t="s">
        <v>6190</v>
      </c>
      <c r="D3607" s="521"/>
      <c r="E3607" s="524">
        <f>SUM(E3609:E3654)</f>
        <v>576.57999999999981</v>
      </c>
      <c r="F3607" s="524"/>
      <c r="G3607" s="516"/>
      <c r="H3607" s="234">
        <f>SUM(H3608:H3624)</f>
        <v>576.58000000000015</v>
      </c>
      <c r="I3607" s="242" t="str">
        <f>IF(H3607=E3607,"OKAY","REVER")</f>
        <v>OKAY</v>
      </c>
      <c r="J3607" s="405"/>
    </row>
    <row r="3608" spans="1:10" s="215" customFormat="1" ht="12.75" hidden="1" customHeight="1" outlineLevel="1" x14ac:dyDescent="0.2">
      <c r="A3608" s="215" t="s">
        <v>1278</v>
      </c>
      <c r="B3608" s="216" t="s">
        <v>2809</v>
      </c>
      <c r="C3608" s="217" t="s">
        <v>2958</v>
      </c>
      <c r="D3608" s="218"/>
      <c r="E3608" s="219"/>
      <c r="F3608" s="219"/>
      <c r="G3608" s="225" t="s">
        <v>6192</v>
      </c>
      <c r="H3608" s="235">
        <f t="shared" ref="H3608:H3624" si="105">SUMIF($C:$C,G3608,$E:$E)</f>
        <v>148.38999999999999</v>
      </c>
      <c r="I3608" s="241"/>
    </row>
    <row r="3609" spans="1:10" s="215" customFormat="1" ht="12.75" hidden="1" customHeight="1" outlineLevel="1" x14ac:dyDescent="0.2">
      <c r="A3609" s="215" t="s">
        <v>1278</v>
      </c>
      <c r="B3609" s="224" t="s">
        <v>2810</v>
      </c>
      <c r="C3609" s="225" t="s">
        <v>6191</v>
      </c>
      <c r="D3609" s="226" t="s">
        <v>11</v>
      </c>
      <c r="E3609" s="227">
        <v>12.65</v>
      </c>
      <c r="F3609" s="227"/>
      <c r="G3609" s="229" t="s">
        <v>6191</v>
      </c>
      <c r="H3609" s="235">
        <f t="shared" si="105"/>
        <v>428.19000000000011</v>
      </c>
      <c r="I3609" s="241"/>
    </row>
    <row r="3610" spans="1:10" s="215" customFormat="1" ht="12.75" hidden="1" customHeight="1" outlineLevel="1" x14ac:dyDescent="0.2">
      <c r="A3610" s="215" t="s">
        <v>1279</v>
      </c>
      <c r="B3610" s="216" t="s">
        <v>2811</v>
      </c>
      <c r="C3610" s="217" t="s">
        <v>2960</v>
      </c>
      <c r="D3610" s="218"/>
      <c r="E3610" s="219"/>
      <c r="F3610" s="219"/>
      <c r="G3610" s="225"/>
      <c r="H3610" s="235">
        <f t="shared" si="105"/>
        <v>0</v>
      </c>
      <c r="I3610" s="241"/>
    </row>
    <row r="3611" spans="1:10" s="215" customFormat="1" ht="12.75" hidden="1" customHeight="1" outlineLevel="1" x14ac:dyDescent="0.2">
      <c r="A3611" s="215" t="s">
        <v>1279</v>
      </c>
      <c r="B3611" s="228" t="s">
        <v>2812</v>
      </c>
      <c r="C3611" s="229" t="s">
        <v>6191</v>
      </c>
      <c r="D3611" s="230" t="s">
        <v>11</v>
      </c>
      <c r="E3611" s="231">
        <v>11.73</v>
      </c>
      <c r="F3611" s="231"/>
      <c r="G3611" s="225"/>
      <c r="H3611" s="235">
        <f t="shared" si="105"/>
        <v>0</v>
      </c>
      <c r="I3611" s="241"/>
    </row>
    <row r="3612" spans="1:10" s="215" customFormat="1" ht="12.75" hidden="1" customHeight="1" outlineLevel="1" x14ac:dyDescent="0.2">
      <c r="A3612" s="215" t="s">
        <v>1279</v>
      </c>
      <c r="B3612" s="216" t="s">
        <v>2813</v>
      </c>
      <c r="C3612" s="217" t="s">
        <v>2961</v>
      </c>
      <c r="D3612" s="218"/>
      <c r="E3612" s="219"/>
      <c r="F3612" s="219"/>
      <c r="G3612" s="225"/>
      <c r="H3612" s="235">
        <f t="shared" si="105"/>
        <v>0</v>
      </c>
      <c r="I3612" s="241"/>
    </row>
    <row r="3613" spans="1:10" s="215" customFormat="1" ht="12.75" hidden="1" customHeight="1" outlineLevel="1" x14ac:dyDescent="0.2">
      <c r="A3613" s="215" t="s">
        <v>1279</v>
      </c>
      <c r="B3613" s="224" t="s">
        <v>2814</v>
      </c>
      <c r="C3613" s="225" t="s">
        <v>6192</v>
      </c>
      <c r="D3613" s="226" t="s">
        <v>11</v>
      </c>
      <c r="E3613" s="227">
        <v>5.66</v>
      </c>
      <c r="F3613" s="227"/>
      <c r="G3613" s="225"/>
      <c r="H3613" s="235">
        <f t="shared" si="105"/>
        <v>0</v>
      </c>
      <c r="I3613" s="241"/>
    </row>
    <row r="3614" spans="1:10" s="215" customFormat="1" ht="12.75" hidden="1" customHeight="1" outlineLevel="1" x14ac:dyDescent="0.2">
      <c r="A3614" s="215" t="s">
        <v>1279</v>
      </c>
      <c r="B3614" s="228" t="s">
        <v>6193</v>
      </c>
      <c r="C3614" s="229" t="s">
        <v>6191</v>
      </c>
      <c r="D3614" s="230" t="s">
        <v>11</v>
      </c>
      <c r="E3614" s="231">
        <v>35.68</v>
      </c>
      <c r="F3614" s="231"/>
      <c r="G3614" s="225"/>
      <c r="H3614" s="235">
        <f t="shared" si="105"/>
        <v>0</v>
      </c>
      <c r="I3614" s="198"/>
    </row>
    <row r="3615" spans="1:10" s="215" customFormat="1" ht="12.75" hidden="1" customHeight="1" outlineLevel="1" x14ac:dyDescent="0.2">
      <c r="A3615" s="215" t="s">
        <v>1279</v>
      </c>
      <c r="B3615" s="216" t="s">
        <v>2815</v>
      </c>
      <c r="C3615" s="217" t="s">
        <v>2962</v>
      </c>
      <c r="D3615" s="218"/>
      <c r="E3615" s="219"/>
      <c r="F3615" s="219"/>
      <c r="G3615" s="225"/>
      <c r="H3615" s="235">
        <f t="shared" si="105"/>
        <v>0</v>
      </c>
      <c r="I3615" s="241"/>
    </row>
    <row r="3616" spans="1:10" s="215" customFormat="1" ht="12.75" hidden="1" customHeight="1" outlineLevel="1" x14ac:dyDescent="0.2">
      <c r="A3616" s="215" t="s">
        <v>1279</v>
      </c>
      <c r="B3616" s="224" t="s">
        <v>2816</v>
      </c>
      <c r="C3616" s="225" t="s">
        <v>6192</v>
      </c>
      <c r="D3616" s="226" t="s">
        <v>11</v>
      </c>
      <c r="E3616" s="227">
        <v>19.739999999999998</v>
      </c>
      <c r="F3616" s="227"/>
      <c r="G3616" s="225"/>
      <c r="H3616" s="235">
        <f t="shared" si="105"/>
        <v>0</v>
      </c>
      <c r="I3616" s="241"/>
    </row>
    <row r="3617" spans="1:10" s="215" customFormat="1" ht="12.75" hidden="1" customHeight="1" outlineLevel="1" x14ac:dyDescent="0.2">
      <c r="A3617" s="215" t="s">
        <v>1279</v>
      </c>
      <c r="B3617" s="228" t="s">
        <v>6194</v>
      </c>
      <c r="C3617" s="229" t="s">
        <v>6191</v>
      </c>
      <c r="D3617" s="230" t="s">
        <v>11</v>
      </c>
      <c r="E3617" s="231">
        <v>25.06</v>
      </c>
      <c r="F3617" s="231"/>
      <c r="G3617" s="225"/>
      <c r="H3617" s="235">
        <f t="shared" si="105"/>
        <v>0</v>
      </c>
      <c r="I3617" s="241"/>
    </row>
    <row r="3618" spans="1:10" s="215" customFormat="1" ht="12.75" hidden="1" customHeight="1" outlineLevel="1" x14ac:dyDescent="0.2">
      <c r="A3618" s="215" t="s">
        <v>1279</v>
      </c>
      <c r="B3618" s="216" t="s">
        <v>2817</v>
      </c>
      <c r="C3618" s="217" t="s">
        <v>2963</v>
      </c>
      <c r="D3618" s="218"/>
      <c r="E3618" s="219"/>
      <c r="F3618" s="219"/>
      <c r="G3618" s="225"/>
      <c r="H3618" s="235">
        <f t="shared" si="105"/>
        <v>0</v>
      </c>
      <c r="I3618" s="241"/>
    </row>
    <row r="3619" spans="1:10" s="215" customFormat="1" ht="12.75" hidden="1" customHeight="1" outlineLevel="1" x14ac:dyDescent="0.2">
      <c r="A3619" s="215" t="s">
        <v>1279</v>
      </c>
      <c r="B3619" s="224" t="s">
        <v>2818</v>
      </c>
      <c r="C3619" s="225" t="s">
        <v>6192</v>
      </c>
      <c r="D3619" s="226" t="s">
        <v>11</v>
      </c>
      <c r="E3619" s="227">
        <v>8.83</v>
      </c>
      <c r="F3619" s="227"/>
      <c r="G3619" s="225"/>
      <c r="H3619" s="235">
        <f t="shared" si="105"/>
        <v>0</v>
      </c>
      <c r="I3619" s="241"/>
    </row>
    <row r="3620" spans="1:10" s="215" customFormat="1" ht="12.75" hidden="1" customHeight="1" outlineLevel="1" x14ac:dyDescent="0.2">
      <c r="A3620" s="215" t="s">
        <v>1279</v>
      </c>
      <c r="B3620" s="228" t="s">
        <v>6195</v>
      </c>
      <c r="C3620" s="229" t="s">
        <v>6191</v>
      </c>
      <c r="D3620" s="230" t="s">
        <v>11</v>
      </c>
      <c r="E3620" s="231">
        <v>24.78</v>
      </c>
      <c r="F3620" s="231"/>
      <c r="G3620" s="229"/>
      <c r="H3620" s="235">
        <f t="shared" si="105"/>
        <v>0</v>
      </c>
      <c r="I3620" s="241"/>
    </row>
    <row r="3621" spans="1:10" s="215" customFormat="1" ht="12.75" hidden="1" customHeight="1" outlineLevel="1" x14ac:dyDescent="0.2">
      <c r="A3621" s="215" t="s">
        <v>1279</v>
      </c>
      <c r="B3621" s="216" t="s">
        <v>2819</v>
      </c>
      <c r="C3621" s="217" t="s">
        <v>2964</v>
      </c>
      <c r="D3621" s="218"/>
      <c r="E3621" s="219"/>
      <c r="F3621" s="219"/>
      <c r="G3621" s="225"/>
      <c r="H3621" s="235">
        <f t="shared" si="105"/>
        <v>0</v>
      </c>
      <c r="I3621" s="241"/>
    </row>
    <row r="3622" spans="1:10" s="215" customFormat="1" ht="12.75" hidden="1" customHeight="1" outlineLevel="1" x14ac:dyDescent="0.2">
      <c r="A3622" s="215" t="s">
        <v>1279</v>
      </c>
      <c r="B3622" s="224" t="s">
        <v>2820</v>
      </c>
      <c r="C3622" s="225" t="s">
        <v>6192</v>
      </c>
      <c r="D3622" s="226" t="s">
        <v>11</v>
      </c>
      <c r="E3622" s="227">
        <v>19.71</v>
      </c>
      <c r="F3622" s="227"/>
      <c r="G3622" s="229"/>
      <c r="H3622" s="235">
        <f t="shared" si="105"/>
        <v>0</v>
      </c>
      <c r="I3622" s="241"/>
    </row>
    <row r="3623" spans="1:10" s="215" customFormat="1" ht="12.75" hidden="1" customHeight="1" outlineLevel="1" x14ac:dyDescent="0.2">
      <c r="A3623" s="215" t="s">
        <v>1279</v>
      </c>
      <c r="B3623" s="228" t="s">
        <v>6196</v>
      </c>
      <c r="C3623" s="229" t="s">
        <v>6191</v>
      </c>
      <c r="D3623" s="230" t="s">
        <v>11</v>
      </c>
      <c r="E3623" s="231">
        <v>24.97</v>
      </c>
      <c r="F3623" s="231"/>
      <c r="G3623" s="225"/>
      <c r="H3623" s="235">
        <f t="shared" si="105"/>
        <v>0</v>
      </c>
      <c r="I3623" s="241"/>
    </row>
    <row r="3624" spans="1:10" s="215" customFormat="1" ht="12.75" hidden="1" customHeight="1" outlineLevel="1" x14ac:dyDescent="0.2">
      <c r="A3624" s="215" t="s">
        <v>1279</v>
      </c>
      <c r="B3624" s="216" t="s">
        <v>6197</v>
      </c>
      <c r="C3624" s="217" t="s">
        <v>2965</v>
      </c>
      <c r="D3624" s="218"/>
      <c r="E3624" s="219"/>
      <c r="F3624" s="219"/>
      <c r="G3624" s="229"/>
      <c r="H3624" s="235">
        <f t="shared" si="105"/>
        <v>0</v>
      </c>
      <c r="I3624" s="241"/>
    </row>
    <row r="3625" spans="1:10" s="215" customFormat="1" ht="12.75" hidden="1" customHeight="1" outlineLevel="1" x14ac:dyDescent="0.2">
      <c r="A3625" s="215" t="s">
        <v>1279</v>
      </c>
      <c r="B3625" s="224" t="s">
        <v>6198</v>
      </c>
      <c r="C3625" s="225" t="s">
        <v>6192</v>
      </c>
      <c r="D3625" s="226" t="s">
        <v>11</v>
      </c>
      <c r="E3625" s="227">
        <v>8.83</v>
      </c>
      <c r="F3625" s="227"/>
      <c r="G3625" s="198"/>
      <c r="H3625" s="198"/>
      <c r="I3625" s="241"/>
    </row>
    <row r="3626" spans="1:10" s="215" customFormat="1" ht="12.75" hidden="1" customHeight="1" outlineLevel="1" x14ac:dyDescent="0.2">
      <c r="A3626" s="215" t="s">
        <v>1279</v>
      </c>
      <c r="B3626" s="228" t="s">
        <v>6199</v>
      </c>
      <c r="C3626" s="229" t="s">
        <v>6191</v>
      </c>
      <c r="D3626" s="230" t="s">
        <v>11</v>
      </c>
      <c r="E3626" s="231">
        <v>24.99</v>
      </c>
      <c r="F3626" s="231"/>
      <c r="G3626" s="520" t="s">
        <v>1732</v>
      </c>
      <c r="H3626" s="234">
        <f>H3628+H3648</f>
        <v>576.58000000000004</v>
      </c>
      <c r="I3626" s="242" t="str">
        <f>IF(H3626=H3607,"OKAY","REVER")</f>
        <v>OKAY</v>
      </c>
    </row>
    <row r="3627" spans="1:10" s="215" customFormat="1" ht="12.75" hidden="1" customHeight="1" outlineLevel="1" x14ac:dyDescent="0.2">
      <c r="A3627" s="215" t="s">
        <v>1279</v>
      </c>
      <c r="B3627" s="216" t="s">
        <v>6200</v>
      </c>
      <c r="C3627" s="217" t="s">
        <v>2966</v>
      </c>
      <c r="D3627" s="218"/>
      <c r="E3627" s="219"/>
      <c r="F3627" s="219"/>
      <c r="G3627" s="232"/>
      <c r="H3627" s="232"/>
      <c r="I3627" s="242"/>
    </row>
    <row r="3628" spans="1:10" s="215" customFormat="1" ht="12.75" hidden="1" customHeight="1" outlineLevel="1" x14ac:dyDescent="0.2">
      <c r="A3628" s="215" t="s">
        <v>1279</v>
      </c>
      <c r="B3628" s="224" t="s">
        <v>6201</v>
      </c>
      <c r="C3628" s="225" t="s">
        <v>6192</v>
      </c>
      <c r="D3628" s="226" t="s">
        <v>11</v>
      </c>
      <c r="E3628" s="227">
        <v>19.71</v>
      </c>
      <c r="F3628" s="227"/>
      <c r="G3628" s="520" t="str">
        <f>$A$1</f>
        <v>EMBASSAMENTO</v>
      </c>
      <c r="H3628" s="234">
        <f>SUM(H3629:H3645)</f>
        <v>12.65</v>
      </c>
      <c r="I3628" s="242"/>
    </row>
    <row r="3629" spans="1:10" s="215" customFormat="1" ht="12.75" hidden="1" customHeight="1" outlineLevel="1" x14ac:dyDescent="0.2">
      <c r="A3629" s="215" t="s">
        <v>1279</v>
      </c>
      <c r="B3629" s="228" t="s">
        <v>6202</v>
      </c>
      <c r="C3629" s="229" t="s">
        <v>6191</v>
      </c>
      <c r="D3629" s="230" t="s">
        <v>11</v>
      </c>
      <c r="E3629" s="231">
        <v>24.99</v>
      </c>
      <c r="F3629" s="231"/>
      <c r="G3629" s="225" t="s">
        <v>6192</v>
      </c>
      <c r="H3629" s="235">
        <f t="shared" ref="H3629:H3645" si="106">SUMIFS($E:$E,$C:$C,G3629,$A:$A,$G$22)</f>
        <v>0</v>
      </c>
      <c r="I3629" s="242"/>
    </row>
    <row r="3630" spans="1:10" s="215" customFormat="1" ht="12.75" hidden="1" customHeight="1" outlineLevel="1" x14ac:dyDescent="0.2">
      <c r="A3630" s="215" t="s">
        <v>1279</v>
      </c>
      <c r="B3630" s="216" t="s">
        <v>6203</v>
      </c>
      <c r="C3630" s="217" t="s">
        <v>2967</v>
      </c>
      <c r="D3630" s="218"/>
      <c r="E3630" s="219"/>
      <c r="F3630" s="219"/>
      <c r="G3630" s="229" t="s">
        <v>6191</v>
      </c>
      <c r="H3630" s="235">
        <f t="shared" si="106"/>
        <v>12.65</v>
      </c>
      <c r="I3630" s="241"/>
    </row>
    <row r="3631" spans="1:10" s="215" customFormat="1" ht="12.75" hidden="1" customHeight="1" outlineLevel="1" x14ac:dyDescent="0.2">
      <c r="A3631" s="215" t="s">
        <v>1279</v>
      </c>
      <c r="B3631" s="224" t="s">
        <v>6204</v>
      </c>
      <c r="C3631" s="225" t="s">
        <v>6192</v>
      </c>
      <c r="D3631" s="226" t="s">
        <v>11</v>
      </c>
      <c r="E3631" s="227">
        <v>8.83</v>
      </c>
      <c r="F3631" s="227"/>
      <c r="G3631" s="225"/>
      <c r="H3631" s="235">
        <f t="shared" si="106"/>
        <v>0</v>
      </c>
      <c r="I3631" s="241"/>
    </row>
    <row r="3632" spans="1:10" s="215" customFormat="1" ht="12.75" hidden="1" customHeight="1" outlineLevel="1" x14ac:dyDescent="0.2">
      <c r="A3632" s="215" t="s">
        <v>1279</v>
      </c>
      <c r="B3632" s="228" t="s">
        <v>6205</v>
      </c>
      <c r="C3632" s="229" t="s">
        <v>6191</v>
      </c>
      <c r="D3632" s="230" t="s">
        <v>11</v>
      </c>
      <c r="E3632" s="231">
        <v>24.99</v>
      </c>
      <c r="F3632" s="231"/>
      <c r="G3632" s="225"/>
      <c r="H3632" s="235">
        <f t="shared" si="106"/>
        <v>0</v>
      </c>
      <c r="I3632" s="241"/>
      <c r="J3632" s="403"/>
    </row>
    <row r="3633" spans="1:10" s="215" customFormat="1" ht="12.75" hidden="1" customHeight="1" outlineLevel="1" x14ac:dyDescent="0.2">
      <c r="A3633" s="215" t="s">
        <v>1279</v>
      </c>
      <c r="B3633" s="216" t="s">
        <v>6206</v>
      </c>
      <c r="C3633" s="217" t="s">
        <v>2968</v>
      </c>
      <c r="D3633" s="218"/>
      <c r="E3633" s="219"/>
      <c r="F3633" s="219"/>
      <c r="G3633" s="225"/>
      <c r="H3633" s="235">
        <f t="shared" si="106"/>
        <v>0</v>
      </c>
      <c r="I3633" s="241"/>
      <c r="J3633" s="403"/>
    </row>
    <row r="3634" spans="1:10" s="215" customFormat="1" ht="12.75" hidden="1" customHeight="1" outlineLevel="1" x14ac:dyDescent="0.2">
      <c r="A3634" s="215" t="s">
        <v>1279</v>
      </c>
      <c r="B3634" s="224" t="s">
        <v>6207</v>
      </c>
      <c r="C3634" s="225" t="s">
        <v>6192</v>
      </c>
      <c r="D3634" s="226" t="s">
        <v>11</v>
      </c>
      <c r="E3634" s="227">
        <v>19.71</v>
      </c>
      <c r="F3634" s="227"/>
      <c r="G3634" s="225"/>
      <c r="H3634" s="235">
        <f t="shared" si="106"/>
        <v>0</v>
      </c>
      <c r="I3634" s="241"/>
      <c r="J3634" s="403"/>
    </row>
    <row r="3635" spans="1:10" s="215" customFormat="1" ht="12.75" hidden="1" customHeight="1" outlineLevel="1" x14ac:dyDescent="0.2">
      <c r="A3635" s="215" t="s">
        <v>1279</v>
      </c>
      <c r="B3635" s="228" t="s">
        <v>6208</v>
      </c>
      <c r="C3635" s="229" t="s">
        <v>6191</v>
      </c>
      <c r="D3635" s="230" t="s">
        <v>11</v>
      </c>
      <c r="E3635" s="231">
        <v>24.99</v>
      </c>
      <c r="F3635" s="231"/>
      <c r="G3635" s="225"/>
      <c r="H3635" s="235">
        <f t="shared" si="106"/>
        <v>0</v>
      </c>
      <c r="I3635" s="241"/>
      <c r="J3635" s="403"/>
    </row>
    <row r="3636" spans="1:10" s="215" customFormat="1" ht="12.75" hidden="1" customHeight="1" outlineLevel="1" x14ac:dyDescent="0.2">
      <c r="A3636" s="215" t="s">
        <v>1279</v>
      </c>
      <c r="B3636" s="216" t="s">
        <v>6209</v>
      </c>
      <c r="C3636" s="217" t="s">
        <v>2969</v>
      </c>
      <c r="D3636" s="218"/>
      <c r="E3636" s="219"/>
      <c r="F3636" s="219"/>
      <c r="G3636" s="225"/>
      <c r="H3636" s="235">
        <f t="shared" si="106"/>
        <v>0</v>
      </c>
      <c r="I3636" s="241"/>
      <c r="J3636" s="403"/>
    </row>
    <row r="3637" spans="1:10" s="215" customFormat="1" ht="12.75" hidden="1" customHeight="1" outlineLevel="1" x14ac:dyDescent="0.2">
      <c r="A3637" s="215" t="s">
        <v>1279</v>
      </c>
      <c r="B3637" s="224" t="s">
        <v>6210</v>
      </c>
      <c r="C3637" s="225" t="s">
        <v>6192</v>
      </c>
      <c r="D3637" s="226" t="s">
        <v>11</v>
      </c>
      <c r="E3637" s="227">
        <v>8.83</v>
      </c>
      <c r="F3637" s="227"/>
      <c r="G3637" s="225"/>
      <c r="H3637" s="235">
        <f t="shared" si="106"/>
        <v>0</v>
      </c>
      <c r="I3637" s="241"/>
      <c r="J3637" s="403"/>
    </row>
    <row r="3638" spans="1:10" s="215" customFormat="1" ht="12.75" hidden="1" customHeight="1" outlineLevel="1" x14ac:dyDescent="0.2">
      <c r="A3638" s="215" t="s">
        <v>1279</v>
      </c>
      <c r="B3638" s="228" t="s">
        <v>6211</v>
      </c>
      <c r="C3638" s="229" t="s">
        <v>6191</v>
      </c>
      <c r="D3638" s="230" t="s">
        <v>11</v>
      </c>
      <c r="E3638" s="231">
        <v>24.99</v>
      </c>
      <c r="F3638" s="231"/>
      <c r="G3638" s="225"/>
      <c r="H3638" s="235">
        <f t="shared" si="106"/>
        <v>0</v>
      </c>
      <c r="I3638" s="241"/>
      <c r="J3638" s="403"/>
    </row>
    <row r="3639" spans="1:10" s="215" customFormat="1" ht="12.75" hidden="1" customHeight="1" outlineLevel="1" x14ac:dyDescent="0.2">
      <c r="A3639" s="215" t="s">
        <v>1279</v>
      </c>
      <c r="B3639" s="216" t="s">
        <v>6212</v>
      </c>
      <c r="C3639" s="217" t="s">
        <v>2970</v>
      </c>
      <c r="D3639" s="218"/>
      <c r="E3639" s="219"/>
      <c r="F3639" s="219"/>
      <c r="G3639" s="225"/>
      <c r="H3639" s="235">
        <f t="shared" si="106"/>
        <v>0</v>
      </c>
      <c r="I3639" s="241"/>
      <c r="J3639" s="403"/>
    </row>
    <row r="3640" spans="1:10" s="215" customFormat="1" ht="12.75" hidden="1" customHeight="1" outlineLevel="1" x14ac:dyDescent="0.2">
      <c r="A3640" s="215" t="s">
        <v>1279</v>
      </c>
      <c r="B3640" s="224" t="s">
        <v>6213</v>
      </c>
      <c r="C3640" s="225" t="s">
        <v>6192</v>
      </c>
      <c r="D3640" s="226" t="s">
        <v>11</v>
      </c>
      <c r="E3640" s="227">
        <v>19.71</v>
      </c>
      <c r="F3640" s="227"/>
      <c r="G3640" s="225"/>
      <c r="H3640" s="235">
        <f t="shared" si="106"/>
        <v>0</v>
      </c>
      <c r="I3640" s="241"/>
      <c r="J3640" s="403"/>
    </row>
    <row r="3641" spans="1:10" s="215" customFormat="1" ht="12.75" hidden="1" customHeight="1" outlineLevel="1" x14ac:dyDescent="0.2">
      <c r="A3641" s="215" t="s">
        <v>1279</v>
      </c>
      <c r="B3641" s="228" t="s">
        <v>6214</v>
      </c>
      <c r="C3641" s="229" t="s">
        <v>6191</v>
      </c>
      <c r="D3641" s="230" t="s">
        <v>11</v>
      </c>
      <c r="E3641" s="231">
        <v>24.99</v>
      </c>
      <c r="F3641" s="231"/>
      <c r="G3641" s="229"/>
      <c r="H3641" s="235">
        <f t="shared" si="106"/>
        <v>0</v>
      </c>
      <c r="I3641" s="241"/>
      <c r="J3641" s="403"/>
    </row>
    <row r="3642" spans="1:10" s="215" customFormat="1" ht="12.75" hidden="1" customHeight="1" outlineLevel="1" x14ac:dyDescent="0.2">
      <c r="A3642" s="215" t="s">
        <v>1279</v>
      </c>
      <c r="B3642" s="216" t="s">
        <v>6215</v>
      </c>
      <c r="C3642" s="217" t="s">
        <v>2971</v>
      </c>
      <c r="D3642" s="218"/>
      <c r="E3642" s="219"/>
      <c r="F3642" s="219"/>
      <c r="G3642" s="225"/>
      <c r="H3642" s="235">
        <f t="shared" si="106"/>
        <v>0</v>
      </c>
      <c r="I3642" s="241"/>
      <c r="J3642" s="403"/>
    </row>
    <row r="3643" spans="1:10" s="215" customFormat="1" ht="12.75" hidden="1" customHeight="1" outlineLevel="1" x14ac:dyDescent="0.2">
      <c r="A3643" s="215" t="s">
        <v>1279</v>
      </c>
      <c r="B3643" s="224" t="s">
        <v>6216</v>
      </c>
      <c r="C3643" s="225" t="s">
        <v>6192</v>
      </c>
      <c r="D3643" s="226" t="s">
        <v>11</v>
      </c>
      <c r="E3643" s="227">
        <v>8.83</v>
      </c>
      <c r="F3643" s="227"/>
      <c r="G3643" s="229"/>
      <c r="H3643" s="235">
        <f t="shared" si="106"/>
        <v>0</v>
      </c>
      <c r="I3643" s="241"/>
      <c r="J3643" s="403"/>
    </row>
    <row r="3644" spans="1:10" s="215" customFormat="1" ht="12.75" hidden="1" customHeight="1" outlineLevel="1" x14ac:dyDescent="0.2">
      <c r="A3644" s="215" t="s">
        <v>1279</v>
      </c>
      <c r="B3644" s="228" t="s">
        <v>6217</v>
      </c>
      <c r="C3644" s="229" t="s">
        <v>6191</v>
      </c>
      <c r="D3644" s="230" t="s">
        <v>11</v>
      </c>
      <c r="E3644" s="231">
        <v>25.5</v>
      </c>
      <c r="F3644" s="231"/>
      <c r="G3644" s="225"/>
      <c r="H3644" s="235">
        <f t="shared" si="106"/>
        <v>0</v>
      </c>
      <c r="I3644" s="241"/>
      <c r="J3644" s="403"/>
    </row>
    <row r="3645" spans="1:10" s="215" customFormat="1" ht="12.75" hidden="1" customHeight="1" outlineLevel="1" x14ac:dyDescent="0.2">
      <c r="A3645" s="215" t="s">
        <v>1279</v>
      </c>
      <c r="B3645" s="216" t="s">
        <v>6218</v>
      </c>
      <c r="C3645" s="217" t="s">
        <v>2972</v>
      </c>
      <c r="D3645" s="218"/>
      <c r="E3645" s="219"/>
      <c r="F3645" s="219"/>
      <c r="G3645" s="229"/>
      <c r="H3645" s="235">
        <f t="shared" si="106"/>
        <v>0</v>
      </c>
      <c r="I3645" s="241"/>
      <c r="J3645" s="403"/>
    </row>
    <row r="3646" spans="1:10" s="215" customFormat="1" ht="12.75" hidden="1" customHeight="1" outlineLevel="1" x14ac:dyDescent="0.2">
      <c r="A3646" s="215" t="s">
        <v>1279</v>
      </c>
      <c r="B3646" s="224" t="s">
        <v>6219</v>
      </c>
      <c r="C3646" s="225" t="s">
        <v>6191</v>
      </c>
      <c r="D3646" s="226" t="s">
        <v>11</v>
      </c>
      <c r="E3646" s="227">
        <v>35.450000000000003</v>
      </c>
      <c r="F3646" s="227"/>
      <c r="G3646" s="198"/>
      <c r="H3646" s="198"/>
      <c r="I3646" s="241"/>
      <c r="J3646" s="403"/>
    </row>
    <row r="3647" spans="1:10" s="215" customFormat="1" ht="12.75" hidden="1" customHeight="1" outlineLevel="1" x14ac:dyDescent="0.2">
      <c r="A3647" s="215" t="s">
        <v>1279</v>
      </c>
      <c r="B3647" s="216" t="s">
        <v>6220</v>
      </c>
      <c r="C3647" s="217" t="s">
        <v>2973</v>
      </c>
      <c r="D3647" s="218"/>
      <c r="E3647" s="219"/>
      <c r="F3647" s="219"/>
      <c r="G3647" s="198"/>
      <c r="H3647" s="198"/>
      <c r="I3647" s="241"/>
      <c r="J3647" s="403"/>
    </row>
    <row r="3648" spans="1:10" s="215" customFormat="1" ht="12.75" hidden="1" customHeight="1" outlineLevel="1" x14ac:dyDescent="0.2">
      <c r="A3648" s="215" t="s">
        <v>1279</v>
      </c>
      <c r="B3648" s="228" t="s">
        <v>6221</v>
      </c>
      <c r="C3648" s="229" t="s">
        <v>6191</v>
      </c>
      <c r="D3648" s="230" t="s">
        <v>11</v>
      </c>
      <c r="E3648" s="231">
        <v>23.56</v>
      </c>
      <c r="F3648" s="231"/>
      <c r="G3648" s="520" t="str">
        <f>$A$2</f>
        <v>TORRE</v>
      </c>
      <c r="H3648" s="234">
        <f>SUM(H3649:H3654)</f>
        <v>563.93000000000006</v>
      </c>
      <c r="I3648" s="241"/>
      <c r="J3648" s="403"/>
    </row>
    <row r="3649" spans="1:10" s="215" customFormat="1" ht="12.75" hidden="1" customHeight="1" outlineLevel="1" x14ac:dyDescent="0.2">
      <c r="A3649" s="215" t="s">
        <v>1279</v>
      </c>
      <c r="B3649" s="216" t="s">
        <v>6222</v>
      </c>
      <c r="C3649" s="217" t="s">
        <v>2974</v>
      </c>
      <c r="D3649" s="218"/>
      <c r="E3649" s="219"/>
      <c r="F3649" s="219"/>
      <c r="G3649" s="225" t="s">
        <v>6192</v>
      </c>
      <c r="H3649" s="235">
        <f t="shared" ref="H3649:H3654" si="107">SUMIFS($E:$E,$C:$C,G3649,$A:$A,$G$30)</f>
        <v>148.38999999999999</v>
      </c>
      <c r="I3649" s="241"/>
      <c r="J3649" s="403"/>
    </row>
    <row r="3650" spans="1:10" s="215" customFormat="1" ht="12.75" hidden="1" customHeight="1" outlineLevel="1" x14ac:dyDescent="0.2">
      <c r="A3650" s="215" t="s">
        <v>1279</v>
      </c>
      <c r="B3650" s="224" t="s">
        <v>6223</v>
      </c>
      <c r="C3650" s="225" t="s">
        <v>6191</v>
      </c>
      <c r="D3650" s="226" t="s">
        <v>11</v>
      </c>
      <c r="E3650" s="227">
        <v>17.41</v>
      </c>
      <c r="F3650" s="227"/>
      <c r="G3650" s="229" t="s">
        <v>6191</v>
      </c>
      <c r="H3650" s="235">
        <f t="shared" si="107"/>
        <v>415.54000000000008</v>
      </c>
      <c r="I3650" s="241"/>
      <c r="J3650" s="403"/>
    </row>
    <row r="3651" spans="1:10" s="215" customFormat="1" ht="12.75" hidden="1" customHeight="1" outlineLevel="1" x14ac:dyDescent="0.2">
      <c r="A3651" s="215" t="s">
        <v>1279</v>
      </c>
      <c r="B3651" s="216" t="s">
        <v>6224</v>
      </c>
      <c r="C3651" s="217" t="s">
        <v>2975</v>
      </c>
      <c r="D3651" s="218"/>
      <c r="E3651" s="219"/>
      <c r="F3651" s="219"/>
      <c r="G3651" s="225"/>
      <c r="H3651" s="235">
        <f t="shared" si="107"/>
        <v>0</v>
      </c>
      <c r="I3651" s="241"/>
      <c r="J3651" s="403"/>
    </row>
    <row r="3652" spans="1:10" s="215" customFormat="1" ht="12.75" hidden="1" customHeight="1" outlineLevel="1" x14ac:dyDescent="0.2">
      <c r="A3652" s="215" t="s">
        <v>1279</v>
      </c>
      <c r="B3652" s="228" t="s">
        <v>6225</v>
      </c>
      <c r="C3652" s="229" t="s">
        <v>6191</v>
      </c>
      <c r="D3652" s="230" t="s">
        <v>11</v>
      </c>
      <c r="E3652" s="231">
        <v>23.55</v>
      </c>
      <c r="F3652" s="231"/>
      <c r="G3652" s="225"/>
      <c r="H3652" s="235">
        <f t="shared" si="107"/>
        <v>0</v>
      </c>
      <c r="I3652" s="241"/>
      <c r="J3652" s="403"/>
    </row>
    <row r="3653" spans="1:10" s="215" customFormat="1" ht="12.75" hidden="1" customHeight="1" outlineLevel="1" x14ac:dyDescent="0.2">
      <c r="A3653" s="215" t="s">
        <v>1279</v>
      </c>
      <c r="B3653" s="216" t="s">
        <v>6226</v>
      </c>
      <c r="C3653" s="217" t="s">
        <v>2976</v>
      </c>
      <c r="D3653" s="218"/>
      <c r="E3653" s="219"/>
      <c r="F3653" s="219"/>
      <c r="G3653" s="225"/>
      <c r="H3653" s="235">
        <f t="shared" si="107"/>
        <v>0</v>
      </c>
      <c r="I3653" s="241"/>
      <c r="J3653" s="403"/>
    </row>
    <row r="3654" spans="1:10" s="215" customFormat="1" ht="12.75" hidden="1" customHeight="1" outlineLevel="1" x14ac:dyDescent="0.2">
      <c r="A3654" s="215" t="s">
        <v>1279</v>
      </c>
      <c r="B3654" s="224" t="s">
        <v>6227</v>
      </c>
      <c r="C3654" s="225" t="s">
        <v>6191</v>
      </c>
      <c r="D3654" s="226" t="s">
        <v>11</v>
      </c>
      <c r="E3654" s="227">
        <v>17.91</v>
      </c>
      <c r="F3654" s="227"/>
      <c r="G3654" s="225"/>
      <c r="H3654" s="235">
        <f t="shared" si="107"/>
        <v>0</v>
      </c>
      <c r="I3654" s="241"/>
      <c r="J3654" s="403"/>
    </row>
    <row r="3655" spans="1:10" s="215" customFormat="1" collapsed="1" x14ac:dyDescent="0.2">
      <c r="B3655" s="515" t="s">
        <v>6229</v>
      </c>
      <c r="C3655" s="516" t="s">
        <v>6230</v>
      </c>
      <c r="D3655" s="521"/>
      <c r="E3655" s="524">
        <f>SUM(E3657:E3718)</f>
        <v>131.45999999999995</v>
      </c>
      <c r="F3655" s="524"/>
      <c r="G3655" s="516"/>
      <c r="H3655" s="234">
        <f>SUM(H3656:H3672)</f>
        <v>131.46</v>
      </c>
      <c r="I3655" s="242" t="str">
        <f>IF(H3655=E3655,"OKAY","REVER")</f>
        <v>OKAY</v>
      </c>
      <c r="J3655" s="405"/>
    </row>
    <row r="3656" spans="1:10" s="215" customFormat="1" ht="25.5" hidden="1" customHeight="1" outlineLevel="1" x14ac:dyDescent="0.2">
      <c r="A3656" s="215" t="s">
        <v>1278</v>
      </c>
      <c r="B3656" s="216" t="s">
        <v>6231</v>
      </c>
      <c r="C3656" s="217" t="s">
        <v>2958</v>
      </c>
      <c r="D3656" s="218"/>
      <c r="E3656" s="219"/>
      <c r="F3656" s="219"/>
      <c r="G3656" s="225" t="s">
        <v>6238</v>
      </c>
      <c r="H3656" s="235">
        <f t="shared" ref="H3656:H3672" si="108">SUMIF($C:$C,G3656,$E:$E)</f>
        <v>64.559999999999988</v>
      </c>
      <c r="I3656" s="241"/>
    </row>
    <row r="3657" spans="1:10" s="215" customFormat="1" ht="25.5" hidden="1" customHeight="1" outlineLevel="1" x14ac:dyDescent="0.2">
      <c r="A3657" s="215" t="s">
        <v>1278</v>
      </c>
      <c r="B3657" s="228" t="s">
        <v>6232</v>
      </c>
      <c r="C3657" s="229" t="s">
        <v>6233</v>
      </c>
      <c r="D3657" s="230" t="s">
        <v>11</v>
      </c>
      <c r="E3657" s="231">
        <v>0.11</v>
      </c>
      <c r="F3657" s="231"/>
      <c r="G3657" s="229" t="s">
        <v>6233</v>
      </c>
      <c r="H3657" s="235">
        <f t="shared" si="108"/>
        <v>0.11</v>
      </c>
      <c r="I3657" s="241"/>
    </row>
    <row r="3658" spans="1:10" s="215" customFormat="1" ht="38.25" hidden="1" customHeight="1" outlineLevel="1" x14ac:dyDescent="0.2">
      <c r="A3658" s="215" t="s">
        <v>1278</v>
      </c>
      <c r="B3658" s="224" t="s">
        <v>6234</v>
      </c>
      <c r="C3658" s="225" t="s">
        <v>6235</v>
      </c>
      <c r="D3658" s="226" t="s">
        <v>11</v>
      </c>
      <c r="E3658" s="227">
        <v>0.4</v>
      </c>
      <c r="F3658" s="227"/>
      <c r="G3658" s="225" t="s">
        <v>6240</v>
      </c>
      <c r="H3658" s="235">
        <f t="shared" si="108"/>
        <v>26.18</v>
      </c>
      <c r="I3658" s="241"/>
    </row>
    <row r="3659" spans="1:10" s="215" customFormat="1" ht="38.25" hidden="1" customHeight="1" outlineLevel="1" x14ac:dyDescent="0.2">
      <c r="A3659" s="215" t="s">
        <v>1278</v>
      </c>
      <c r="B3659" s="216" t="s">
        <v>6236</v>
      </c>
      <c r="C3659" s="217" t="s">
        <v>2960</v>
      </c>
      <c r="D3659" s="218"/>
      <c r="E3659" s="219"/>
      <c r="F3659" s="219"/>
      <c r="G3659" s="229" t="s">
        <v>6242</v>
      </c>
      <c r="H3659" s="235">
        <f t="shared" si="108"/>
        <v>0.65</v>
      </c>
      <c r="I3659" s="241"/>
    </row>
    <row r="3660" spans="1:10" s="215" customFormat="1" ht="38.25" hidden="1" customHeight="1" outlineLevel="1" x14ac:dyDescent="0.2">
      <c r="A3660" s="215" t="s">
        <v>1278</v>
      </c>
      <c r="B3660" s="228" t="s">
        <v>6237</v>
      </c>
      <c r="C3660" s="229" t="s">
        <v>6238</v>
      </c>
      <c r="D3660" s="230" t="s">
        <v>11</v>
      </c>
      <c r="E3660" s="231">
        <v>5.56</v>
      </c>
      <c r="F3660" s="231"/>
      <c r="G3660" s="225" t="s">
        <v>6244</v>
      </c>
      <c r="H3660" s="235">
        <f t="shared" si="108"/>
        <v>39.320000000000007</v>
      </c>
      <c r="I3660" s="241"/>
    </row>
    <row r="3661" spans="1:10" s="215" customFormat="1" ht="38.25" hidden="1" customHeight="1" outlineLevel="1" x14ac:dyDescent="0.2">
      <c r="A3661" s="215" t="s">
        <v>1279</v>
      </c>
      <c r="B3661" s="224" t="s">
        <v>6239</v>
      </c>
      <c r="C3661" s="225" t="s">
        <v>6240</v>
      </c>
      <c r="D3661" s="226" t="s">
        <v>11</v>
      </c>
      <c r="E3661" s="227">
        <v>2.17</v>
      </c>
      <c r="F3661" s="227"/>
      <c r="G3661" s="229" t="s">
        <v>6292</v>
      </c>
      <c r="H3661" s="235">
        <f t="shared" si="108"/>
        <v>0.24</v>
      </c>
      <c r="I3661" s="241"/>
    </row>
    <row r="3662" spans="1:10" s="215" customFormat="1" ht="25.5" hidden="1" customHeight="1" outlineLevel="1" x14ac:dyDescent="0.2">
      <c r="A3662" s="215" t="s">
        <v>1279</v>
      </c>
      <c r="B3662" s="228" t="s">
        <v>6241</v>
      </c>
      <c r="C3662" s="229" t="s">
        <v>6242</v>
      </c>
      <c r="D3662" s="230" t="s">
        <v>11</v>
      </c>
      <c r="E3662" s="231">
        <v>0.65</v>
      </c>
      <c r="F3662" s="231"/>
      <c r="G3662" s="225" t="s">
        <v>6235</v>
      </c>
      <c r="H3662" s="235">
        <f t="shared" si="108"/>
        <v>0.4</v>
      </c>
      <c r="I3662" s="198"/>
    </row>
    <row r="3663" spans="1:10" s="215" customFormat="1" ht="38.25" hidden="1" customHeight="1" outlineLevel="1" x14ac:dyDescent="0.2">
      <c r="A3663" s="215" t="s">
        <v>1279</v>
      </c>
      <c r="B3663" s="224" t="s">
        <v>6243</v>
      </c>
      <c r="C3663" s="225" t="s">
        <v>6244</v>
      </c>
      <c r="D3663" s="226" t="s">
        <v>11</v>
      </c>
      <c r="E3663" s="227">
        <v>2.16</v>
      </c>
      <c r="F3663" s="227"/>
      <c r="G3663" s="229"/>
      <c r="H3663" s="235">
        <f t="shared" si="108"/>
        <v>0</v>
      </c>
      <c r="I3663" s="241"/>
    </row>
    <row r="3664" spans="1:10" s="215" customFormat="1" ht="12.75" hidden="1" customHeight="1" outlineLevel="1" x14ac:dyDescent="0.2">
      <c r="A3664" s="215" t="s">
        <v>1279</v>
      </c>
      <c r="B3664" s="216" t="s">
        <v>6245</v>
      </c>
      <c r="C3664" s="217" t="s">
        <v>2961</v>
      </c>
      <c r="D3664" s="218"/>
      <c r="E3664" s="219"/>
      <c r="F3664" s="219"/>
      <c r="G3664" s="229"/>
      <c r="H3664" s="235">
        <f t="shared" si="108"/>
        <v>0</v>
      </c>
      <c r="I3664" s="241"/>
    </row>
    <row r="3665" spans="1:10" s="215" customFormat="1" ht="25.5" hidden="1" customHeight="1" outlineLevel="1" x14ac:dyDescent="0.2">
      <c r="A3665" s="215" t="s">
        <v>1279</v>
      </c>
      <c r="B3665" s="228" t="s">
        <v>6246</v>
      </c>
      <c r="C3665" s="229" t="s">
        <v>6238</v>
      </c>
      <c r="D3665" s="230" t="s">
        <v>11</v>
      </c>
      <c r="E3665" s="231">
        <v>4.2</v>
      </c>
      <c r="F3665" s="231"/>
      <c r="G3665" s="225"/>
      <c r="H3665" s="235">
        <f t="shared" si="108"/>
        <v>0</v>
      </c>
      <c r="I3665" s="241"/>
    </row>
    <row r="3666" spans="1:10" s="215" customFormat="1" ht="25.5" hidden="1" customHeight="1" outlineLevel="1" x14ac:dyDescent="0.2">
      <c r="A3666" s="215" t="s">
        <v>1279</v>
      </c>
      <c r="B3666" s="224" t="s">
        <v>6247</v>
      </c>
      <c r="C3666" s="225" t="s">
        <v>6240</v>
      </c>
      <c r="D3666" s="226" t="s">
        <v>11</v>
      </c>
      <c r="E3666" s="227">
        <v>2.19</v>
      </c>
      <c r="F3666" s="227"/>
      <c r="G3666" s="229"/>
      <c r="H3666" s="235">
        <f t="shared" si="108"/>
        <v>0</v>
      </c>
      <c r="I3666" s="241"/>
    </row>
    <row r="3667" spans="1:10" s="215" customFormat="1" ht="38.25" hidden="1" customHeight="1" outlineLevel="1" x14ac:dyDescent="0.2">
      <c r="A3667" s="215" t="s">
        <v>1279</v>
      </c>
      <c r="B3667" s="228" t="s">
        <v>6248</v>
      </c>
      <c r="C3667" s="229" t="s">
        <v>6244</v>
      </c>
      <c r="D3667" s="230" t="s">
        <v>11</v>
      </c>
      <c r="E3667" s="231">
        <v>3.31</v>
      </c>
      <c r="F3667" s="231"/>
      <c r="G3667" s="225"/>
      <c r="H3667" s="235">
        <f t="shared" si="108"/>
        <v>0</v>
      </c>
      <c r="I3667" s="241"/>
    </row>
    <row r="3668" spans="1:10" s="215" customFormat="1" ht="12.75" hidden="1" customHeight="1" outlineLevel="1" x14ac:dyDescent="0.2">
      <c r="A3668" s="215" t="s">
        <v>1279</v>
      </c>
      <c r="B3668" s="216" t="s">
        <v>6249</v>
      </c>
      <c r="C3668" s="217" t="s">
        <v>2962</v>
      </c>
      <c r="D3668" s="218"/>
      <c r="E3668" s="219"/>
      <c r="F3668" s="219"/>
      <c r="G3668" s="229"/>
      <c r="H3668" s="235">
        <f t="shared" si="108"/>
        <v>0</v>
      </c>
      <c r="I3668" s="241"/>
    </row>
    <row r="3669" spans="1:10" s="215" customFormat="1" ht="25.5" hidden="1" customHeight="1" outlineLevel="1" x14ac:dyDescent="0.2">
      <c r="A3669" s="215" t="s">
        <v>1279</v>
      </c>
      <c r="B3669" s="224" t="s">
        <v>6250</v>
      </c>
      <c r="C3669" s="225" t="s">
        <v>6238</v>
      </c>
      <c r="D3669" s="226" t="s">
        <v>11</v>
      </c>
      <c r="E3669" s="227">
        <v>2.52</v>
      </c>
      <c r="F3669" s="227"/>
      <c r="G3669" s="225"/>
      <c r="H3669" s="235">
        <f t="shared" si="108"/>
        <v>0</v>
      </c>
      <c r="I3669" s="241"/>
    </row>
    <row r="3670" spans="1:10" s="215" customFormat="1" ht="25.5" hidden="1" customHeight="1" outlineLevel="1" x14ac:dyDescent="0.2">
      <c r="A3670" s="215" t="s">
        <v>1279</v>
      </c>
      <c r="B3670" s="228" t="s">
        <v>6251</v>
      </c>
      <c r="C3670" s="229" t="s">
        <v>6240</v>
      </c>
      <c r="D3670" s="230" t="s">
        <v>11</v>
      </c>
      <c r="E3670" s="231">
        <v>2.19</v>
      </c>
      <c r="F3670" s="231"/>
      <c r="G3670" s="229"/>
      <c r="H3670" s="235">
        <f t="shared" si="108"/>
        <v>0</v>
      </c>
      <c r="I3670" s="241"/>
    </row>
    <row r="3671" spans="1:10" s="215" customFormat="1" ht="38.25" hidden="1" customHeight="1" outlineLevel="1" x14ac:dyDescent="0.2">
      <c r="A3671" s="215" t="s">
        <v>1279</v>
      </c>
      <c r="B3671" s="224" t="s">
        <v>6252</v>
      </c>
      <c r="C3671" s="225" t="s">
        <v>6244</v>
      </c>
      <c r="D3671" s="226" t="s">
        <v>11</v>
      </c>
      <c r="E3671" s="227">
        <v>3.33</v>
      </c>
      <c r="F3671" s="227"/>
      <c r="G3671" s="225"/>
      <c r="H3671" s="235">
        <f t="shared" si="108"/>
        <v>0</v>
      </c>
      <c r="I3671" s="241"/>
    </row>
    <row r="3672" spans="1:10" s="215" customFormat="1" ht="12.75" hidden="1" customHeight="1" outlineLevel="1" x14ac:dyDescent="0.2">
      <c r="A3672" s="215" t="s">
        <v>1279</v>
      </c>
      <c r="B3672" s="216" t="s">
        <v>6253</v>
      </c>
      <c r="C3672" s="217" t="s">
        <v>2963</v>
      </c>
      <c r="D3672" s="218"/>
      <c r="E3672" s="219"/>
      <c r="F3672" s="219"/>
      <c r="G3672" s="229"/>
      <c r="H3672" s="235">
        <f t="shared" si="108"/>
        <v>0</v>
      </c>
      <c r="I3672" s="241"/>
    </row>
    <row r="3673" spans="1:10" s="215" customFormat="1" ht="25.5" hidden="1" customHeight="1" outlineLevel="1" x14ac:dyDescent="0.2">
      <c r="A3673" s="215" t="s">
        <v>1279</v>
      </c>
      <c r="B3673" s="228" t="s">
        <v>6254</v>
      </c>
      <c r="C3673" s="229" t="s">
        <v>6238</v>
      </c>
      <c r="D3673" s="230" t="s">
        <v>11</v>
      </c>
      <c r="E3673" s="231">
        <v>4.2300000000000004</v>
      </c>
      <c r="F3673" s="231"/>
      <c r="G3673" s="198"/>
      <c r="H3673" s="198"/>
      <c r="I3673" s="241"/>
    </row>
    <row r="3674" spans="1:10" s="215" customFormat="1" ht="25.5" hidden="1" customHeight="1" outlineLevel="1" x14ac:dyDescent="0.2">
      <c r="A3674" s="215" t="s">
        <v>1279</v>
      </c>
      <c r="B3674" s="224" t="s">
        <v>6255</v>
      </c>
      <c r="C3674" s="225" t="s">
        <v>6240</v>
      </c>
      <c r="D3674" s="226" t="s">
        <v>11</v>
      </c>
      <c r="E3674" s="227">
        <v>2.19</v>
      </c>
      <c r="F3674" s="227"/>
      <c r="G3674" s="520" t="s">
        <v>1732</v>
      </c>
      <c r="H3674" s="234">
        <f>H3676+H3696</f>
        <v>131.46</v>
      </c>
      <c r="I3674" s="242" t="str">
        <f>IF(H3674=H3655,"OKAY","REVER")</f>
        <v>OKAY</v>
      </c>
    </row>
    <row r="3675" spans="1:10" s="215" customFormat="1" ht="38.25" hidden="1" customHeight="1" outlineLevel="1" x14ac:dyDescent="0.2">
      <c r="A3675" s="215" t="s">
        <v>1279</v>
      </c>
      <c r="B3675" s="228" t="s">
        <v>6256</v>
      </c>
      <c r="C3675" s="229" t="s">
        <v>6244</v>
      </c>
      <c r="D3675" s="230" t="s">
        <v>11</v>
      </c>
      <c r="E3675" s="231">
        <v>3.33</v>
      </c>
      <c r="F3675" s="231"/>
      <c r="G3675" s="232"/>
      <c r="H3675" s="232"/>
      <c r="I3675" s="242"/>
    </row>
    <row r="3676" spans="1:10" s="215" customFormat="1" ht="12.75" hidden="1" customHeight="1" outlineLevel="1" x14ac:dyDescent="0.2">
      <c r="A3676" s="215" t="s">
        <v>1279</v>
      </c>
      <c r="B3676" s="216" t="s">
        <v>6257</v>
      </c>
      <c r="C3676" s="217" t="s">
        <v>2964</v>
      </c>
      <c r="D3676" s="218"/>
      <c r="E3676" s="219"/>
      <c r="F3676" s="219"/>
      <c r="G3676" s="520" t="str">
        <f>$A$1</f>
        <v>EMBASSAMENTO</v>
      </c>
      <c r="H3676" s="234">
        <f>SUM(H3677:H3693)</f>
        <v>6.07</v>
      </c>
      <c r="I3676" s="242"/>
    </row>
    <row r="3677" spans="1:10" s="215" customFormat="1" ht="25.5" hidden="1" customHeight="1" outlineLevel="1" x14ac:dyDescent="0.2">
      <c r="A3677" s="215" t="s">
        <v>1279</v>
      </c>
      <c r="B3677" s="224" t="s">
        <v>6258</v>
      </c>
      <c r="C3677" s="225" t="s">
        <v>6238</v>
      </c>
      <c r="D3677" s="226" t="s">
        <v>11</v>
      </c>
      <c r="E3677" s="227">
        <v>2.52</v>
      </c>
      <c r="F3677" s="227"/>
      <c r="G3677" s="225" t="s">
        <v>6238</v>
      </c>
      <c r="H3677" s="235">
        <f t="shared" ref="H3677:H3693" si="109">SUMIFS($E:$E,$C:$C,G3677,$A:$A,$G$22)</f>
        <v>5.56</v>
      </c>
      <c r="I3677" s="242"/>
    </row>
    <row r="3678" spans="1:10" s="215" customFormat="1" ht="25.5" hidden="1" customHeight="1" outlineLevel="1" x14ac:dyDescent="0.2">
      <c r="A3678" s="215" t="s">
        <v>1279</v>
      </c>
      <c r="B3678" s="228" t="s">
        <v>6259</v>
      </c>
      <c r="C3678" s="229" t="s">
        <v>6240</v>
      </c>
      <c r="D3678" s="230" t="s">
        <v>11</v>
      </c>
      <c r="E3678" s="231">
        <v>2.19</v>
      </c>
      <c r="F3678" s="231"/>
      <c r="G3678" s="229" t="s">
        <v>6233</v>
      </c>
      <c r="H3678" s="235">
        <f t="shared" si="109"/>
        <v>0.11</v>
      </c>
      <c r="I3678" s="241"/>
    </row>
    <row r="3679" spans="1:10" s="215" customFormat="1" ht="38.25" hidden="1" customHeight="1" outlineLevel="1" x14ac:dyDescent="0.2">
      <c r="A3679" s="215" t="s">
        <v>1279</v>
      </c>
      <c r="B3679" s="224" t="s">
        <v>6260</v>
      </c>
      <c r="C3679" s="225" t="s">
        <v>6244</v>
      </c>
      <c r="D3679" s="226" t="s">
        <v>11</v>
      </c>
      <c r="E3679" s="227">
        <v>3.46</v>
      </c>
      <c r="F3679" s="227"/>
      <c r="G3679" s="225" t="s">
        <v>6240</v>
      </c>
      <c r="H3679" s="235">
        <f t="shared" si="109"/>
        <v>0</v>
      </c>
      <c r="I3679" s="241"/>
    </row>
    <row r="3680" spans="1:10" s="215" customFormat="1" ht="38.25" hidden="1" customHeight="1" outlineLevel="1" x14ac:dyDescent="0.2">
      <c r="A3680" s="215" t="s">
        <v>1279</v>
      </c>
      <c r="B3680" s="216" t="s">
        <v>6261</v>
      </c>
      <c r="C3680" s="217" t="s">
        <v>2965</v>
      </c>
      <c r="D3680" s="218"/>
      <c r="E3680" s="219"/>
      <c r="F3680" s="219"/>
      <c r="G3680" s="229" t="s">
        <v>6242</v>
      </c>
      <c r="H3680" s="235">
        <f t="shared" si="109"/>
        <v>0</v>
      </c>
      <c r="I3680" s="241"/>
      <c r="J3680" s="403"/>
    </row>
    <row r="3681" spans="1:10" s="215" customFormat="1" ht="38.25" hidden="1" customHeight="1" outlineLevel="1" x14ac:dyDescent="0.2">
      <c r="A3681" s="215" t="s">
        <v>1279</v>
      </c>
      <c r="B3681" s="228" t="s">
        <v>6262</v>
      </c>
      <c r="C3681" s="229" t="s">
        <v>6238</v>
      </c>
      <c r="D3681" s="230" t="s">
        <v>11</v>
      </c>
      <c r="E3681" s="231">
        <v>4.2300000000000004</v>
      </c>
      <c r="F3681" s="231"/>
      <c r="G3681" s="225" t="s">
        <v>6244</v>
      </c>
      <c r="H3681" s="235">
        <f t="shared" si="109"/>
        <v>0</v>
      </c>
      <c r="I3681" s="241"/>
      <c r="J3681" s="403"/>
    </row>
    <row r="3682" spans="1:10" s="215" customFormat="1" ht="38.25" hidden="1" customHeight="1" outlineLevel="1" x14ac:dyDescent="0.2">
      <c r="A3682" s="215" t="s">
        <v>1279</v>
      </c>
      <c r="B3682" s="224" t="s">
        <v>6263</v>
      </c>
      <c r="C3682" s="225" t="s">
        <v>6240</v>
      </c>
      <c r="D3682" s="226" t="s">
        <v>11</v>
      </c>
      <c r="E3682" s="227">
        <v>2.19</v>
      </c>
      <c r="F3682" s="227"/>
      <c r="G3682" s="229" t="s">
        <v>6292</v>
      </c>
      <c r="H3682" s="235">
        <f t="shared" si="109"/>
        <v>0</v>
      </c>
      <c r="I3682" s="241"/>
      <c r="J3682" s="403"/>
    </row>
    <row r="3683" spans="1:10" s="215" customFormat="1" ht="38.25" hidden="1" customHeight="1" outlineLevel="1" x14ac:dyDescent="0.2">
      <c r="A3683" s="215" t="s">
        <v>1279</v>
      </c>
      <c r="B3683" s="228" t="s">
        <v>6264</v>
      </c>
      <c r="C3683" s="229" t="s">
        <v>6244</v>
      </c>
      <c r="D3683" s="230" t="s">
        <v>11</v>
      </c>
      <c r="E3683" s="231">
        <v>3.33</v>
      </c>
      <c r="F3683" s="231"/>
      <c r="G3683" s="225" t="s">
        <v>6235</v>
      </c>
      <c r="H3683" s="235">
        <f t="shared" si="109"/>
        <v>0.4</v>
      </c>
      <c r="I3683" s="241"/>
      <c r="J3683" s="403"/>
    </row>
    <row r="3684" spans="1:10" s="215" customFormat="1" ht="12.75" hidden="1" customHeight="1" outlineLevel="1" x14ac:dyDescent="0.2">
      <c r="A3684" s="215" t="s">
        <v>1279</v>
      </c>
      <c r="B3684" s="216" t="s">
        <v>6265</v>
      </c>
      <c r="C3684" s="217" t="s">
        <v>2966</v>
      </c>
      <c r="D3684" s="218"/>
      <c r="E3684" s="219"/>
      <c r="F3684" s="219"/>
      <c r="G3684" s="229"/>
      <c r="H3684" s="235">
        <f t="shared" si="109"/>
        <v>0</v>
      </c>
      <c r="I3684" s="241"/>
      <c r="J3684" s="403"/>
    </row>
    <row r="3685" spans="1:10" s="215" customFormat="1" ht="25.5" hidden="1" customHeight="1" outlineLevel="1" x14ac:dyDescent="0.2">
      <c r="A3685" s="215" t="s">
        <v>1279</v>
      </c>
      <c r="B3685" s="224" t="s">
        <v>6266</v>
      </c>
      <c r="C3685" s="225" t="s">
        <v>6238</v>
      </c>
      <c r="D3685" s="226" t="s">
        <v>11</v>
      </c>
      <c r="E3685" s="227">
        <v>2.5499999999999998</v>
      </c>
      <c r="F3685" s="227"/>
      <c r="G3685" s="229"/>
      <c r="H3685" s="235">
        <f t="shared" si="109"/>
        <v>0</v>
      </c>
      <c r="I3685" s="241"/>
      <c r="J3685" s="403"/>
    </row>
    <row r="3686" spans="1:10" s="215" customFormat="1" ht="25.5" hidden="1" customHeight="1" outlineLevel="1" x14ac:dyDescent="0.2">
      <c r="A3686" s="215" t="s">
        <v>1279</v>
      </c>
      <c r="B3686" s="228" t="s">
        <v>6267</v>
      </c>
      <c r="C3686" s="229" t="s">
        <v>6240</v>
      </c>
      <c r="D3686" s="230" t="s">
        <v>11</v>
      </c>
      <c r="E3686" s="231">
        <v>2.19</v>
      </c>
      <c r="F3686" s="231"/>
      <c r="G3686" s="225"/>
      <c r="H3686" s="235">
        <f t="shared" si="109"/>
        <v>0</v>
      </c>
      <c r="I3686" s="241"/>
      <c r="J3686" s="403"/>
    </row>
    <row r="3687" spans="1:10" s="215" customFormat="1" ht="38.25" hidden="1" customHeight="1" outlineLevel="1" x14ac:dyDescent="0.2">
      <c r="A3687" s="215" t="s">
        <v>1279</v>
      </c>
      <c r="B3687" s="224" t="s">
        <v>6268</v>
      </c>
      <c r="C3687" s="225" t="s">
        <v>6244</v>
      </c>
      <c r="D3687" s="226" t="s">
        <v>11</v>
      </c>
      <c r="E3687" s="227">
        <v>3.48</v>
      </c>
      <c r="F3687" s="227"/>
      <c r="G3687" s="229"/>
      <c r="H3687" s="235">
        <f t="shared" si="109"/>
        <v>0</v>
      </c>
      <c r="I3687" s="241"/>
      <c r="J3687" s="403"/>
    </row>
    <row r="3688" spans="1:10" s="215" customFormat="1" ht="12.75" hidden="1" customHeight="1" outlineLevel="1" x14ac:dyDescent="0.2">
      <c r="A3688" s="215" t="s">
        <v>1279</v>
      </c>
      <c r="B3688" s="216" t="s">
        <v>6269</v>
      </c>
      <c r="C3688" s="217" t="s">
        <v>2967</v>
      </c>
      <c r="D3688" s="218"/>
      <c r="E3688" s="219"/>
      <c r="F3688" s="219"/>
      <c r="G3688" s="225"/>
      <c r="H3688" s="235">
        <f t="shared" si="109"/>
        <v>0</v>
      </c>
      <c r="I3688" s="241"/>
      <c r="J3688" s="403"/>
    </row>
    <row r="3689" spans="1:10" s="215" customFormat="1" ht="25.5" hidden="1" customHeight="1" outlineLevel="1" x14ac:dyDescent="0.2">
      <c r="A3689" s="215" t="s">
        <v>1279</v>
      </c>
      <c r="B3689" s="228" t="s">
        <v>6270</v>
      </c>
      <c r="C3689" s="229" t="s">
        <v>6238</v>
      </c>
      <c r="D3689" s="230" t="s">
        <v>11</v>
      </c>
      <c r="E3689" s="231">
        <v>4.2300000000000004</v>
      </c>
      <c r="F3689" s="231"/>
      <c r="G3689" s="229"/>
      <c r="H3689" s="235">
        <f t="shared" si="109"/>
        <v>0</v>
      </c>
      <c r="I3689" s="241"/>
      <c r="J3689" s="403"/>
    </row>
    <row r="3690" spans="1:10" s="215" customFormat="1" ht="25.5" hidden="1" customHeight="1" outlineLevel="1" x14ac:dyDescent="0.2">
      <c r="A3690" s="215" t="s">
        <v>1279</v>
      </c>
      <c r="B3690" s="224" t="s">
        <v>6271</v>
      </c>
      <c r="C3690" s="225" t="s">
        <v>6240</v>
      </c>
      <c r="D3690" s="226" t="s">
        <v>11</v>
      </c>
      <c r="E3690" s="227">
        <v>2.19</v>
      </c>
      <c r="F3690" s="227"/>
      <c r="G3690" s="225"/>
      <c r="H3690" s="235">
        <f t="shared" si="109"/>
        <v>0</v>
      </c>
      <c r="I3690" s="241"/>
      <c r="J3690" s="403"/>
    </row>
    <row r="3691" spans="1:10" s="215" customFormat="1" ht="38.25" hidden="1" customHeight="1" outlineLevel="1" x14ac:dyDescent="0.2">
      <c r="A3691" s="215" t="s">
        <v>1279</v>
      </c>
      <c r="B3691" s="228" t="s">
        <v>6272</v>
      </c>
      <c r="C3691" s="229" t="s">
        <v>6244</v>
      </c>
      <c r="D3691" s="230" t="s">
        <v>11</v>
      </c>
      <c r="E3691" s="231">
        <v>3.33</v>
      </c>
      <c r="F3691" s="231"/>
      <c r="G3691" s="229"/>
      <c r="H3691" s="235">
        <f t="shared" si="109"/>
        <v>0</v>
      </c>
      <c r="I3691" s="241"/>
      <c r="J3691" s="403"/>
    </row>
    <row r="3692" spans="1:10" s="215" customFormat="1" ht="12.75" hidden="1" customHeight="1" outlineLevel="1" x14ac:dyDescent="0.2">
      <c r="A3692" s="215" t="s">
        <v>1279</v>
      </c>
      <c r="B3692" s="216" t="s">
        <v>6273</v>
      </c>
      <c r="C3692" s="217" t="s">
        <v>2968</v>
      </c>
      <c r="D3692" s="218"/>
      <c r="E3692" s="219"/>
      <c r="F3692" s="219"/>
      <c r="G3692" s="225"/>
      <c r="H3692" s="235">
        <f t="shared" si="109"/>
        <v>0</v>
      </c>
      <c r="I3692" s="241"/>
      <c r="J3692" s="403"/>
    </row>
    <row r="3693" spans="1:10" s="215" customFormat="1" ht="25.5" hidden="1" customHeight="1" outlineLevel="1" x14ac:dyDescent="0.2">
      <c r="A3693" s="215" t="s">
        <v>1279</v>
      </c>
      <c r="B3693" s="224" t="s">
        <v>6274</v>
      </c>
      <c r="C3693" s="225" t="s">
        <v>6238</v>
      </c>
      <c r="D3693" s="226" t="s">
        <v>11</v>
      </c>
      <c r="E3693" s="227">
        <v>2.5499999999999998</v>
      </c>
      <c r="F3693" s="227"/>
      <c r="G3693" s="229"/>
      <c r="H3693" s="235">
        <f t="shared" si="109"/>
        <v>0</v>
      </c>
      <c r="I3693" s="241"/>
      <c r="J3693" s="403"/>
    </row>
    <row r="3694" spans="1:10" s="215" customFormat="1" ht="25.5" hidden="1" customHeight="1" outlineLevel="1" x14ac:dyDescent="0.2">
      <c r="A3694" s="215" t="s">
        <v>1279</v>
      </c>
      <c r="B3694" s="228" t="s">
        <v>6275</v>
      </c>
      <c r="C3694" s="229" t="s">
        <v>6240</v>
      </c>
      <c r="D3694" s="230" t="s">
        <v>11</v>
      </c>
      <c r="E3694" s="231">
        <v>2.19</v>
      </c>
      <c r="F3694" s="231"/>
      <c r="G3694" s="198"/>
      <c r="H3694" s="198"/>
      <c r="I3694" s="241"/>
      <c r="J3694" s="403"/>
    </row>
    <row r="3695" spans="1:10" s="215" customFormat="1" ht="38.25" hidden="1" customHeight="1" outlineLevel="1" x14ac:dyDescent="0.2">
      <c r="A3695" s="215" t="s">
        <v>1279</v>
      </c>
      <c r="B3695" s="224" t="s">
        <v>6276</v>
      </c>
      <c r="C3695" s="225" t="s">
        <v>6244</v>
      </c>
      <c r="D3695" s="226" t="s">
        <v>11</v>
      </c>
      <c r="E3695" s="227">
        <v>3.48</v>
      </c>
      <c r="F3695" s="227"/>
      <c r="G3695" s="198"/>
      <c r="H3695" s="198"/>
      <c r="I3695" s="241"/>
      <c r="J3695" s="403"/>
    </row>
    <row r="3696" spans="1:10" s="215" customFormat="1" ht="12.75" hidden="1" customHeight="1" outlineLevel="1" x14ac:dyDescent="0.2">
      <c r="A3696" s="215" t="s">
        <v>1279</v>
      </c>
      <c r="B3696" s="216" t="s">
        <v>6277</v>
      </c>
      <c r="C3696" s="217" t="s">
        <v>2969</v>
      </c>
      <c r="D3696" s="218"/>
      <c r="E3696" s="219"/>
      <c r="F3696" s="219"/>
      <c r="G3696" s="520" t="str">
        <f>$A$2</f>
        <v>TORRE</v>
      </c>
      <c r="H3696" s="234">
        <f>SUM(H3697:H3713)</f>
        <v>125.39000000000001</v>
      </c>
      <c r="I3696" s="241"/>
      <c r="J3696" s="403"/>
    </row>
    <row r="3697" spans="1:10" s="215" customFormat="1" ht="25.5" hidden="1" customHeight="1" outlineLevel="1" x14ac:dyDescent="0.2">
      <c r="A3697" s="215" t="s">
        <v>1279</v>
      </c>
      <c r="B3697" s="228" t="s">
        <v>6278</v>
      </c>
      <c r="C3697" s="229" t="s">
        <v>6238</v>
      </c>
      <c r="D3697" s="230" t="s">
        <v>11</v>
      </c>
      <c r="E3697" s="231">
        <v>4.2300000000000004</v>
      </c>
      <c r="F3697" s="231"/>
      <c r="G3697" s="225" t="s">
        <v>6238</v>
      </c>
      <c r="H3697" s="235">
        <f t="shared" ref="H3697:H3713" si="110">SUMIFS($E:$E,$C:$C,G3697,$A:$A,$G$30)</f>
        <v>59</v>
      </c>
      <c r="I3697" s="241"/>
      <c r="J3697" s="403"/>
    </row>
    <row r="3698" spans="1:10" s="215" customFormat="1" ht="25.5" hidden="1" customHeight="1" outlineLevel="1" x14ac:dyDescent="0.2">
      <c r="A3698" s="215" t="s">
        <v>1279</v>
      </c>
      <c r="B3698" s="224" t="s">
        <v>6279</v>
      </c>
      <c r="C3698" s="225" t="s">
        <v>6240</v>
      </c>
      <c r="D3698" s="226" t="s">
        <v>11</v>
      </c>
      <c r="E3698" s="227">
        <v>2.19</v>
      </c>
      <c r="F3698" s="227"/>
      <c r="G3698" s="229" t="s">
        <v>6233</v>
      </c>
      <c r="H3698" s="235">
        <f t="shared" si="110"/>
        <v>0</v>
      </c>
      <c r="I3698" s="241"/>
      <c r="J3698" s="403"/>
    </row>
    <row r="3699" spans="1:10" s="215" customFormat="1" ht="38.25" hidden="1" customHeight="1" outlineLevel="1" x14ac:dyDescent="0.2">
      <c r="A3699" s="215" t="s">
        <v>1279</v>
      </c>
      <c r="B3699" s="228" t="s">
        <v>6280</v>
      </c>
      <c r="C3699" s="229" t="s">
        <v>6244</v>
      </c>
      <c r="D3699" s="230" t="s">
        <v>11</v>
      </c>
      <c r="E3699" s="231">
        <v>3.33</v>
      </c>
      <c r="F3699" s="231"/>
      <c r="G3699" s="225" t="s">
        <v>6240</v>
      </c>
      <c r="H3699" s="235">
        <f t="shared" si="110"/>
        <v>26.18</v>
      </c>
      <c r="I3699" s="241"/>
      <c r="J3699" s="403"/>
    </row>
    <row r="3700" spans="1:10" s="215" customFormat="1" ht="38.25" hidden="1" customHeight="1" outlineLevel="1" x14ac:dyDescent="0.2">
      <c r="A3700" s="215" t="s">
        <v>1279</v>
      </c>
      <c r="B3700" s="216" t="s">
        <v>6281</v>
      </c>
      <c r="C3700" s="217" t="s">
        <v>2970</v>
      </c>
      <c r="D3700" s="218"/>
      <c r="E3700" s="219"/>
      <c r="F3700" s="219"/>
      <c r="G3700" s="229" t="s">
        <v>6242</v>
      </c>
      <c r="H3700" s="235">
        <f t="shared" si="110"/>
        <v>0.65</v>
      </c>
      <c r="I3700" s="241"/>
      <c r="J3700" s="403"/>
    </row>
    <row r="3701" spans="1:10" s="215" customFormat="1" ht="38.25" hidden="1" customHeight="1" outlineLevel="1" x14ac:dyDescent="0.2">
      <c r="A3701" s="215" t="s">
        <v>1279</v>
      </c>
      <c r="B3701" s="224" t="s">
        <v>6282</v>
      </c>
      <c r="C3701" s="225" t="s">
        <v>6238</v>
      </c>
      <c r="D3701" s="226" t="s">
        <v>11</v>
      </c>
      <c r="E3701" s="227">
        <v>2.52</v>
      </c>
      <c r="F3701" s="227"/>
      <c r="G3701" s="225" t="s">
        <v>6244</v>
      </c>
      <c r="H3701" s="235">
        <f t="shared" si="110"/>
        <v>39.320000000000007</v>
      </c>
      <c r="I3701" s="241"/>
      <c r="J3701" s="403"/>
    </row>
    <row r="3702" spans="1:10" s="215" customFormat="1" ht="38.25" hidden="1" customHeight="1" outlineLevel="1" x14ac:dyDescent="0.2">
      <c r="A3702" s="215" t="s">
        <v>1279</v>
      </c>
      <c r="B3702" s="228" t="s">
        <v>6283</v>
      </c>
      <c r="C3702" s="229" t="s">
        <v>6240</v>
      </c>
      <c r="D3702" s="230" t="s">
        <v>11</v>
      </c>
      <c r="E3702" s="231">
        <v>2.19</v>
      </c>
      <c r="F3702" s="231"/>
      <c r="G3702" s="229" t="s">
        <v>6292</v>
      </c>
      <c r="H3702" s="235">
        <f t="shared" si="110"/>
        <v>0.24</v>
      </c>
      <c r="I3702" s="241"/>
      <c r="J3702" s="403"/>
    </row>
    <row r="3703" spans="1:10" s="215" customFormat="1" ht="38.25" hidden="1" customHeight="1" outlineLevel="1" x14ac:dyDescent="0.2">
      <c r="A3703" s="215" t="s">
        <v>1279</v>
      </c>
      <c r="B3703" s="224" t="s">
        <v>6284</v>
      </c>
      <c r="C3703" s="225" t="s">
        <v>6244</v>
      </c>
      <c r="D3703" s="226" t="s">
        <v>11</v>
      </c>
      <c r="E3703" s="227">
        <v>3.46</v>
      </c>
      <c r="F3703" s="227"/>
      <c r="G3703" s="225" t="s">
        <v>6235</v>
      </c>
      <c r="H3703" s="235">
        <f t="shared" si="110"/>
        <v>0</v>
      </c>
      <c r="I3703" s="241"/>
      <c r="J3703" s="403"/>
    </row>
    <row r="3704" spans="1:10" s="215" customFormat="1" ht="12.75" hidden="1" customHeight="1" outlineLevel="1" x14ac:dyDescent="0.2">
      <c r="A3704" s="215" t="s">
        <v>1279</v>
      </c>
      <c r="B3704" s="216" t="s">
        <v>6285</v>
      </c>
      <c r="C3704" s="217" t="s">
        <v>2971</v>
      </c>
      <c r="D3704" s="218"/>
      <c r="E3704" s="219"/>
      <c r="F3704" s="219"/>
      <c r="G3704" s="229"/>
      <c r="H3704" s="235">
        <f t="shared" si="110"/>
        <v>0</v>
      </c>
      <c r="I3704" s="241"/>
      <c r="J3704" s="403"/>
    </row>
    <row r="3705" spans="1:10" s="215" customFormat="1" ht="25.5" hidden="1" customHeight="1" outlineLevel="1" x14ac:dyDescent="0.2">
      <c r="A3705" s="215" t="s">
        <v>1279</v>
      </c>
      <c r="B3705" s="228" t="s">
        <v>6286</v>
      </c>
      <c r="C3705" s="229" t="s">
        <v>6238</v>
      </c>
      <c r="D3705" s="230" t="s">
        <v>11</v>
      </c>
      <c r="E3705" s="231">
        <v>4.25</v>
      </c>
      <c r="F3705" s="231"/>
      <c r="G3705" s="229"/>
      <c r="H3705" s="235">
        <f t="shared" si="110"/>
        <v>0</v>
      </c>
      <c r="I3705" s="241"/>
      <c r="J3705" s="403"/>
    </row>
    <row r="3706" spans="1:10" s="215" customFormat="1" ht="25.5" hidden="1" customHeight="1" outlineLevel="1" x14ac:dyDescent="0.2">
      <c r="A3706" s="215" t="s">
        <v>1279</v>
      </c>
      <c r="B3706" s="224" t="s">
        <v>6287</v>
      </c>
      <c r="C3706" s="225" t="s">
        <v>6240</v>
      </c>
      <c r="D3706" s="226" t="s">
        <v>11</v>
      </c>
      <c r="E3706" s="227">
        <v>2.11</v>
      </c>
      <c r="F3706" s="227"/>
      <c r="G3706" s="225"/>
      <c r="H3706" s="235">
        <f t="shared" si="110"/>
        <v>0</v>
      </c>
      <c r="I3706" s="241"/>
      <c r="J3706" s="403"/>
    </row>
    <row r="3707" spans="1:10" s="215" customFormat="1" ht="38.25" hidden="1" customHeight="1" outlineLevel="1" x14ac:dyDescent="0.2">
      <c r="A3707" s="215" t="s">
        <v>1279</v>
      </c>
      <c r="B3707" s="228" t="s">
        <v>6288</v>
      </c>
      <c r="C3707" s="229" t="s">
        <v>6244</v>
      </c>
      <c r="D3707" s="230" t="s">
        <v>11</v>
      </c>
      <c r="E3707" s="231">
        <v>3.32</v>
      </c>
      <c r="F3707" s="231"/>
      <c r="G3707" s="229"/>
      <c r="H3707" s="235">
        <f t="shared" si="110"/>
        <v>0</v>
      </c>
      <c r="I3707" s="241"/>
      <c r="J3707" s="403"/>
    </row>
    <row r="3708" spans="1:10" s="215" customFormat="1" ht="12.75" hidden="1" customHeight="1" outlineLevel="1" x14ac:dyDescent="0.2">
      <c r="A3708" s="215" t="s">
        <v>1279</v>
      </c>
      <c r="B3708" s="216" t="s">
        <v>6289</v>
      </c>
      <c r="C3708" s="217" t="s">
        <v>2972</v>
      </c>
      <c r="D3708" s="218"/>
      <c r="E3708" s="219"/>
      <c r="F3708" s="219"/>
      <c r="G3708" s="225"/>
      <c r="H3708" s="235">
        <f t="shared" si="110"/>
        <v>0</v>
      </c>
      <c r="I3708" s="241"/>
      <c r="J3708" s="403"/>
    </row>
    <row r="3709" spans="1:10" s="215" customFormat="1" ht="25.5" hidden="1" customHeight="1" outlineLevel="1" x14ac:dyDescent="0.2">
      <c r="A3709" s="215" t="s">
        <v>1279</v>
      </c>
      <c r="B3709" s="224" t="s">
        <v>6290</v>
      </c>
      <c r="C3709" s="225" t="s">
        <v>6238</v>
      </c>
      <c r="D3709" s="226" t="s">
        <v>11</v>
      </c>
      <c r="E3709" s="227">
        <v>4.29</v>
      </c>
      <c r="F3709" s="227"/>
      <c r="G3709" s="229"/>
      <c r="H3709" s="235">
        <f t="shared" si="110"/>
        <v>0</v>
      </c>
      <c r="I3709" s="241"/>
      <c r="J3709" s="403"/>
    </row>
    <row r="3710" spans="1:10" s="215" customFormat="1" ht="38.25" hidden="1" customHeight="1" outlineLevel="1" x14ac:dyDescent="0.2">
      <c r="A3710" s="215" t="s">
        <v>1279</v>
      </c>
      <c r="B3710" s="228" t="s">
        <v>6291</v>
      </c>
      <c r="C3710" s="229" t="s">
        <v>6292</v>
      </c>
      <c r="D3710" s="230" t="s">
        <v>11</v>
      </c>
      <c r="E3710" s="231">
        <v>0.24</v>
      </c>
      <c r="F3710" s="231"/>
      <c r="G3710" s="225"/>
      <c r="H3710" s="235">
        <f t="shared" si="110"/>
        <v>0</v>
      </c>
      <c r="I3710" s="241"/>
      <c r="J3710" s="403"/>
    </row>
    <row r="3711" spans="1:10" s="215" customFormat="1" ht="12.75" hidden="1" customHeight="1" outlineLevel="1" x14ac:dyDescent="0.2">
      <c r="A3711" s="215" t="s">
        <v>1279</v>
      </c>
      <c r="B3711" s="216" t="s">
        <v>6293</v>
      </c>
      <c r="C3711" s="217" t="s">
        <v>2973</v>
      </c>
      <c r="D3711" s="218"/>
      <c r="E3711" s="219"/>
      <c r="F3711" s="219"/>
      <c r="G3711" s="229"/>
      <c r="H3711" s="235">
        <f t="shared" si="110"/>
        <v>0</v>
      </c>
      <c r="I3711" s="241"/>
      <c r="J3711" s="403"/>
    </row>
    <row r="3712" spans="1:10" s="215" customFormat="1" ht="25.5" hidden="1" customHeight="1" outlineLevel="1" x14ac:dyDescent="0.2">
      <c r="A3712" s="215" t="s">
        <v>1279</v>
      </c>
      <c r="B3712" s="224" t="s">
        <v>6294</v>
      </c>
      <c r="C3712" s="225" t="s">
        <v>6238</v>
      </c>
      <c r="D3712" s="226" t="s">
        <v>11</v>
      </c>
      <c r="E3712" s="227">
        <v>2.5499999999999998</v>
      </c>
      <c r="F3712" s="227"/>
      <c r="G3712" s="225"/>
      <c r="H3712" s="235">
        <f t="shared" si="110"/>
        <v>0</v>
      </c>
      <c r="I3712" s="241"/>
      <c r="J3712" s="403"/>
    </row>
    <row r="3713" spans="1:10" s="215" customFormat="1" ht="12.75" hidden="1" customHeight="1" outlineLevel="1" x14ac:dyDescent="0.2">
      <c r="A3713" s="215" t="s">
        <v>1279</v>
      </c>
      <c r="B3713" s="216" t="s">
        <v>6295</v>
      </c>
      <c r="C3713" s="217" t="s">
        <v>2974</v>
      </c>
      <c r="D3713" s="218"/>
      <c r="E3713" s="219"/>
      <c r="F3713" s="219"/>
      <c r="G3713" s="229"/>
      <c r="H3713" s="235">
        <f t="shared" si="110"/>
        <v>0</v>
      </c>
      <c r="I3713" s="241"/>
      <c r="J3713" s="403"/>
    </row>
    <row r="3714" spans="1:10" s="215" customFormat="1" ht="25.5" hidden="1" customHeight="1" outlineLevel="1" x14ac:dyDescent="0.2">
      <c r="A3714" s="215" t="s">
        <v>1279</v>
      </c>
      <c r="B3714" s="228" t="s">
        <v>6296</v>
      </c>
      <c r="C3714" s="229" t="s">
        <v>6238</v>
      </c>
      <c r="D3714" s="230" t="s">
        <v>11</v>
      </c>
      <c r="E3714" s="231">
        <v>4.2699999999999996</v>
      </c>
      <c r="F3714" s="231"/>
      <c r="G3714" s="241"/>
      <c r="H3714" s="241"/>
      <c r="I3714" s="241"/>
      <c r="J3714" s="403"/>
    </row>
    <row r="3715" spans="1:10" s="215" customFormat="1" ht="12.75" hidden="1" customHeight="1" outlineLevel="1" x14ac:dyDescent="0.2">
      <c r="A3715" s="215" t="s">
        <v>1279</v>
      </c>
      <c r="B3715" s="216" t="s">
        <v>6297</v>
      </c>
      <c r="C3715" s="217" t="s">
        <v>2975</v>
      </c>
      <c r="D3715" s="218"/>
      <c r="E3715" s="219"/>
      <c r="F3715" s="219"/>
      <c r="G3715" s="241"/>
      <c r="H3715" s="241"/>
      <c r="I3715" s="241"/>
      <c r="J3715" s="403"/>
    </row>
    <row r="3716" spans="1:10" s="215" customFormat="1" ht="25.5" hidden="1" customHeight="1" outlineLevel="1" x14ac:dyDescent="0.2">
      <c r="A3716" s="215" t="s">
        <v>1279</v>
      </c>
      <c r="B3716" s="224" t="s">
        <v>6298</v>
      </c>
      <c r="C3716" s="225" t="s">
        <v>6238</v>
      </c>
      <c r="D3716" s="226" t="s">
        <v>11</v>
      </c>
      <c r="E3716" s="227">
        <v>2.5499999999999998</v>
      </c>
      <c r="F3716" s="227"/>
      <c r="G3716" s="241"/>
      <c r="H3716" s="241"/>
      <c r="I3716" s="241"/>
      <c r="J3716" s="403"/>
    </row>
    <row r="3717" spans="1:10" s="215" customFormat="1" ht="12.75" hidden="1" customHeight="1" outlineLevel="1" x14ac:dyDescent="0.2">
      <c r="A3717" s="215" t="s">
        <v>1279</v>
      </c>
      <c r="B3717" s="216" t="s">
        <v>6299</v>
      </c>
      <c r="C3717" s="217" t="s">
        <v>2976</v>
      </c>
      <c r="D3717" s="218"/>
      <c r="E3717" s="219"/>
      <c r="F3717" s="219"/>
      <c r="G3717" s="241"/>
      <c r="H3717" s="241"/>
      <c r="I3717" s="241"/>
      <c r="J3717" s="403"/>
    </row>
    <row r="3718" spans="1:10" s="215" customFormat="1" ht="25.5" hidden="1" customHeight="1" outlineLevel="1" x14ac:dyDescent="0.2">
      <c r="A3718" s="215" t="s">
        <v>1279</v>
      </c>
      <c r="B3718" s="228" t="s">
        <v>6300</v>
      </c>
      <c r="C3718" s="229" t="s">
        <v>6238</v>
      </c>
      <c r="D3718" s="230" t="s">
        <v>11</v>
      </c>
      <c r="E3718" s="231">
        <v>7.31</v>
      </c>
      <c r="F3718" s="231"/>
      <c r="G3718" s="241"/>
      <c r="H3718" s="241"/>
      <c r="I3718" s="241"/>
      <c r="J3718" s="403"/>
    </row>
    <row r="3719" spans="1:10" s="215" customFormat="1" collapsed="1" x14ac:dyDescent="0.2">
      <c r="B3719" s="515" t="s">
        <v>6301</v>
      </c>
      <c r="C3719" s="516" t="s">
        <v>1711</v>
      </c>
      <c r="D3719" s="521"/>
      <c r="E3719" s="524">
        <f>SUM(E3721:E4276)</f>
        <v>7116.7500000000018</v>
      </c>
      <c r="F3719" s="524"/>
      <c r="G3719" s="516"/>
      <c r="H3719" s="234">
        <f>SUM(H3720:H3757)</f>
        <v>7116.7500000000009</v>
      </c>
      <c r="I3719" s="242" t="str">
        <f>IF(H3719=E3719,"OKAY","REVER")</f>
        <v>OKAY</v>
      </c>
      <c r="J3719" s="405"/>
    </row>
    <row r="3720" spans="1:10" s="215" customFormat="1" ht="38.25" hidden="1" customHeight="1" outlineLevel="1" x14ac:dyDescent="0.2">
      <c r="A3720" s="215" t="s">
        <v>1278</v>
      </c>
      <c r="B3720" s="216" t="s">
        <v>6302</v>
      </c>
      <c r="C3720" s="217" t="s">
        <v>2958</v>
      </c>
      <c r="D3720" s="218"/>
      <c r="E3720" s="219"/>
      <c r="F3720" s="219"/>
      <c r="G3720" s="225" t="s">
        <v>7004</v>
      </c>
      <c r="H3720" s="235">
        <f t="shared" ref="H3720:H3734" si="111">SUMIF($C:$C,G3720,$E:$E)</f>
        <v>65.84</v>
      </c>
      <c r="I3720" s="241" t="s">
        <v>7337</v>
      </c>
      <c r="J3720" s="238" t="s">
        <v>7340</v>
      </c>
    </row>
    <row r="3721" spans="1:10" s="215" customFormat="1" ht="38.25" hidden="1" customHeight="1" outlineLevel="1" x14ac:dyDescent="0.2">
      <c r="A3721" s="215" t="s">
        <v>1278</v>
      </c>
      <c r="B3721" s="224" t="s">
        <v>6303</v>
      </c>
      <c r="C3721" s="225" t="s">
        <v>6980</v>
      </c>
      <c r="D3721" s="226" t="s">
        <v>11</v>
      </c>
      <c r="E3721" s="227">
        <v>0.31</v>
      </c>
      <c r="F3721" s="227"/>
      <c r="G3721" s="229" t="s">
        <v>6980</v>
      </c>
      <c r="H3721" s="235">
        <f t="shared" si="111"/>
        <v>77.199999999999989</v>
      </c>
      <c r="I3721" s="241" t="s">
        <v>7337</v>
      </c>
      <c r="J3721" s="238" t="s">
        <v>7340</v>
      </c>
    </row>
    <row r="3722" spans="1:10" s="215" customFormat="1" ht="38.25" hidden="1" customHeight="1" outlineLevel="1" x14ac:dyDescent="0.2">
      <c r="A3722" s="215" t="s">
        <v>1278</v>
      </c>
      <c r="B3722" s="228" t="s">
        <v>6305</v>
      </c>
      <c r="C3722" s="229" t="s">
        <v>6981</v>
      </c>
      <c r="D3722" s="230" t="s">
        <v>11</v>
      </c>
      <c r="E3722" s="231">
        <v>1.84</v>
      </c>
      <c r="F3722" s="231"/>
      <c r="G3722" s="225" t="s">
        <v>6981</v>
      </c>
      <c r="H3722" s="235">
        <f t="shared" si="111"/>
        <v>34.96</v>
      </c>
      <c r="I3722" s="241" t="s">
        <v>7337</v>
      </c>
      <c r="J3722" s="238" t="s">
        <v>7340</v>
      </c>
    </row>
    <row r="3723" spans="1:10" s="215" customFormat="1" ht="38.25" hidden="1" customHeight="1" outlineLevel="1" x14ac:dyDescent="0.2">
      <c r="A3723" s="215" t="s">
        <v>1278</v>
      </c>
      <c r="B3723" s="224" t="s">
        <v>6307</v>
      </c>
      <c r="C3723" s="225" t="s">
        <v>6982</v>
      </c>
      <c r="D3723" s="226" t="s">
        <v>11</v>
      </c>
      <c r="E3723" s="227">
        <v>1.06</v>
      </c>
      <c r="F3723" s="227"/>
      <c r="G3723" s="229" t="s">
        <v>6982</v>
      </c>
      <c r="H3723" s="235">
        <f t="shared" si="111"/>
        <v>1.73</v>
      </c>
      <c r="I3723" s="241" t="s">
        <v>7338</v>
      </c>
      <c r="J3723" s="238" t="s">
        <v>7341</v>
      </c>
    </row>
    <row r="3724" spans="1:10" s="215" customFormat="1" ht="38.25" hidden="1" customHeight="1" outlineLevel="1" x14ac:dyDescent="0.2">
      <c r="A3724" s="215" t="s">
        <v>1278</v>
      </c>
      <c r="B3724" s="228" t="s">
        <v>6309</v>
      </c>
      <c r="C3724" s="229" t="s">
        <v>6983</v>
      </c>
      <c r="D3724" s="230" t="s">
        <v>11</v>
      </c>
      <c r="E3724" s="231">
        <v>16.93</v>
      </c>
      <c r="F3724" s="231"/>
      <c r="G3724" s="225" t="s">
        <v>7037</v>
      </c>
      <c r="H3724" s="235">
        <f t="shared" si="111"/>
        <v>3.31</v>
      </c>
      <c r="I3724" s="241" t="s">
        <v>7338</v>
      </c>
      <c r="J3724" s="238" t="s">
        <v>7341</v>
      </c>
    </row>
    <row r="3725" spans="1:10" s="215" customFormat="1" ht="38.25" hidden="1" customHeight="1" outlineLevel="1" x14ac:dyDescent="0.2">
      <c r="A3725" s="215" t="s">
        <v>1278</v>
      </c>
      <c r="B3725" s="224" t="s">
        <v>6311</v>
      </c>
      <c r="C3725" s="225" t="s">
        <v>6984</v>
      </c>
      <c r="D3725" s="226" t="s">
        <v>11</v>
      </c>
      <c r="E3725" s="227">
        <v>71.010000000000005</v>
      </c>
      <c r="F3725" s="227"/>
      <c r="G3725" s="229" t="s">
        <v>6983</v>
      </c>
      <c r="H3725" s="235">
        <f t="shared" si="111"/>
        <v>310.95000000000005</v>
      </c>
      <c r="I3725" s="241" t="s">
        <v>7338</v>
      </c>
      <c r="J3725" s="238" t="s">
        <v>7341</v>
      </c>
    </row>
    <row r="3726" spans="1:10" s="215" customFormat="1" ht="38.25" hidden="1" customHeight="1" outlineLevel="1" x14ac:dyDescent="0.2">
      <c r="A3726" s="215" t="s">
        <v>1278</v>
      </c>
      <c r="B3726" s="228" t="s">
        <v>6313</v>
      </c>
      <c r="C3726" s="229" t="s">
        <v>6985</v>
      </c>
      <c r="D3726" s="230" t="s">
        <v>11</v>
      </c>
      <c r="E3726" s="231">
        <v>3.82</v>
      </c>
      <c r="F3726" s="231"/>
      <c r="G3726" s="225" t="s">
        <v>6984</v>
      </c>
      <c r="H3726" s="235">
        <f t="shared" si="111"/>
        <v>469.34</v>
      </c>
      <c r="I3726" s="198" t="s">
        <v>7338</v>
      </c>
      <c r="J3726" s="238" t="s">
        <v>7341</v>
      </c>
    </row>
    <row r="3727" spans="1:10" s="215" customFormat="1" ht="38.25" hidden="1" customHeight="1" outlineLevel="1" x14ac:dyDescent="0.2">
      <c r="A3727" s="215" t="s">
        <v>1278</v>
      </c>
      <c r="B3727" s="224" t="s">
        <v>6315</v>
      </c>
      <c r="C3727" s="225" t="s">
        <v>6986</v>
      </c>
      <c r="D3727" s="226" t="s">
        <v>11</v>
      </c>
      <c r="E3727" s="227">
        <v>13.62</v>
      </c>
      <c r="F3727" s="227"/>
      <c r="G3727" s="229" t="s">
        <v>7005</v>
      </c>
      <c r="H3727" s="235">
        <f t="shared" si="111"/>
        <v>47.67</v>
      </c>
      <c r="I3727" s="241" t="s">
        <v>7339</v>
      </c>
      <c r="J3727" s="238" t="s">
        <v>7342</v>
      </c>
    </row>
    <row r="3728" spans="1:10" s="215" customFormat="1" ht="38.25" hidden="1" customHeight="1" outlineLevel="1" x14ac:dyDescent="0.2">
      <c r="A3728" s="215" t="s">
        <v>1278</v>
      </c>
      <c r="B3728" s="228" t="s">
        <v>6317</v>
      </c>
      <c r="C3728" s="229" t="s">
        <v>6987</v>
      </c>
      <c r="D3728" s="230" t="s">
        <v>11</v>
      </c>
      <c r="E3728" s="231">
        <v>9.3000000000000007</v>
      </c>
      <c r="F3728" s="231"/>
      <c r="G3728" s="225" t="s">
        <v>7038</v>
      </c>
      <c r="H3728" s="235">
        <f t="shared" si="111"/>
        <v>110.98</v>
      </c>
      <c r="I3728" s="241" t="s">
        <v>7339</v>
      </c>
      <c r="J3728" s="238" t="s">
        <v>7342</v>
      </c>
    </row>
    <row r="3729" spans="1:10" s="215" customFormat="1" ht="38.25" hidden="1" customHeight="1" outlineLevel="1" x14ac:dyDescent="0.2">
      <c r="A3729" s="215" t="s">
        <v>1278</v>
      </c>
      <c r="B3729" s="224" t="s">
        <v>6988</v>
      </c>
      <c r="C3729" s="225" t="s">
        <v>6989</v>
      </c>
      <c r="D3729" s="226" t="s">
        <v>11</v>
      </c>
      <c r="E3729" s="227">
        <v>11.87</v>
      </c>
      <c r="F3729" s="227"/>
      <c r="G3729" s="229" t="s">
        <v>6985</v>
      </c>
      <c r="H3729" s="235">
        <f t="shared" si="111"/>
        <v>532.96</v>
      </c>
      <c r="I3729" s="241" t="s">
        <v>7339</v>
      </c>
      <c r="J3729" s="238" t="s">
        <v>7342</v>
      </c>
    </row>
    <row r="3730" spans="1:10" s="215" customFormat="1" ht="38.25" hidden="1" customHeight="1" outlineLevel="1" x14ac:dyDescent="0.2">
      <c r="A3730" s="215" t="s">
        <v>1278</v>
      </c>
      <c r="B3730" s="228" t="s">
        <v>6990</v>
      </c>
      <c r="C3730" s="229" t="s">
        <v>6991</v>
      </c>
      <c r="D3730" s="230" t="s">
        <v>11</v>
      </c>
      <c r="E3730" s="231">
        <v>58.94</v>
      </c>
      <c r="F3730" s="231"/>
      <c r="G3730" s="225" t="s">
        <v>6986</v>
      </c>
      <c r="H3730" s="235">
        <f t="shared" si="111"/>
        <v>508.46999999999997</v>
      </c>
      <c r="I3730" s="241" t="s">
        <v>7339</v>
      </c>
      <c r="J3730" s="238" t="s">
        <v>7342</v>
      </c>
    </row>
    <row r="3731" spans="1:10" s="215" customFormat="1" ht="38.25" hidden="1" customHeight="1" outlineLevel="1" x14ac:dyDescent="0.2">
      <c r="A3731" s="215" t="s">
        <v>1278</v>
      </c>
      <c r="B3731" s="224" t="s">
        <v>6992</v>
      </c>
      <c r="C3731" s="225" t="s">
        <v>6993</v>
      </c>
      <c r="D3731" s="226" t="s">
        <v>11</v>
      </c>
      <c r="E3731" s="227">
        <v>6.66</v>
      </c>
      <c r="F3731" s="227"/>
      <c r="G3731" s="229" t="s">
        <v>7006</v>
      </c>
      <c r="H3731" s="235">
        <f t="shared" si="111"/>
        <v>26.010000000000005</v>
      </c>
      <c r="I3731" s="241" t="s">
        <v>7337</v>
      </c>
      <c r="J3731" s="238" t="s">
        <v>7340</v>
      </c>
    </row>
    <row r="3732" spans="1:10" s="215" customFormat="1" ht="38.25" hidden="1" customHeight="1" outlineLevel="1" x14ac:dyDescent="0.2">
      <c r="A3732" s="215" t="s">
        <v>1278</v>
      </c>
      <c r="B3732" s="228" t="s">
        <v>6994</v>
      </c>
      <c r="C3732" s="229" t="s">
        <v>6995</v>
      </c>
      <c r="D3732" s="230" t="s">
        <v>11</v>
      </c>
      <c r="E3732" s="231">
        <v>99.08</v>
      </c>
      <c r="F3732" s="231"/>
      <c r="G3732" s="225" t="s">
        <v>7007</v>
      </c>
      <c r="H3732" s="235">
        <f t="shared" si="111"/>
        <v>45.919999999999995</v>
      </c>
      <c r="I3732" s="241" t="s">
        <v>7337</v>
      </c>
      <c r="J3732" s="238" t="s">
        <v>7340</v>
      </c>
    </row>
    <row r="3733" spans="1:10" s="215" customFormat="1" ht="38.25" hidden="1" customHeight="1" outlineLevel="1" x14ac:dyDescent="0.2">
      <c r="A3733" s="215" t="s">
        <v>1278</v>
      </c>
      <c r="B3733" s="224" t="s">
        <v>6996</v>
      </c>
      <c r="C3733" s="225" t="s">
        <v>6997</v>
      </c>
      <c r="D3733" s="226" t="s">
        <v>11</v>
      </c>
      <c r="E3733" s="227">
        <v>81.78</v>
      </c>
      <c r="F3733" s="227"/>
      <c r="G3733" s="229" t="s">
        <v>7313</v>
      </c>
      <c r="H3733" s="235">
        <f t="shared" si="111"/>
        <v>1.34</v>
      </c>
      <c r="I3733" s="241" t="s">
        <v>7338</v>
      </c>
      <c r="J3733" s="238" t="s">
        <v>7341</v>
      </c>
    </row>
    <row r="3734" spans="1:10" s="215" customFormat="1" ht="38.25" hidden="1" customHeight="1" outlineLevel="1" x14ac:dyDescent="0.2">
      <c r="A3734" s="215" t="s">
        <v>1278</v>
      </c>
      <c r="B3734" s="228" t="s">
        <v>6998</v>
      </c>
      <c r="C3734" s="229" t="s">
        <v>6999</v>
      </c>
      <c r="D3734" s="230" t="s">
        <v>11</v>
      </c>
      <c r="E3734" s="231">
        <v>125.57</v>
      </c>
      <c r="F3734" s="231"/>
      <c r="G3734" s="225" t="s">
        <v>6987</v>
      </c>
      <c r="H3734" s="235">
        <f t="shared" si="111"/>
        <v>93.049999999999983</v>
      </c>
      <c r="I3734" s="241" t="s">
        <v>7338</v>
      </c>
      <c r="J3734" s="238" t="s">
        <v>7341</v>
      </c>
    </row>
    <row r="3735" spans="1:10" s="215" customFormat="1" ht="38.25" hidden="1" customHeight="1" outlineLevel="1" x14ac:dyDescent="0.2">
      <c r="A3735" s="215" t="s">
        <v>1278</v>
      </c>
      <c r="B3735" s="224" t="s">
        <v>7000</v>
      </c>
      <c r="C3735" s="225" t="s">
        <v>7001</v>
      </c>
      <c r="D3735" s="226" t="s">
        <v>11</v>
      </c>
      <c r="E3735" s="227">
        <v>13.66</v>
      </c>
      <c r="F3735" s="227"/>
      <c r="G3735" s="229" t="s">
        <v>7010</v>
      </c>
      <c r="H3735" s="235">
        <f t="shared" ref="H3735:H3757" si="112">SUMIF($C:$C,G3735,$E:$E)</f>
        <v>240.13999999999996</v>
      </c>
      <c r="I3735" s="241" t="s">
        <v>7338</v>
      </c>
      <c r="J3735" s="238" t="s">
        <v>7341</v>
      </c>
    </row>
    <row r="3736" spans="1:10" s="215" customFormat="1" ht="38.25" hidden="1" customHeight="1" outlineLevel="1" x14ac:dyDescent="0.2">
      <c r="A3736" s="215" t="s">
        <v>1278</v>
      </c>
      <c r="B3736" s="228" t="s">
        <v>7002</v>
      </c>
      <c r="C3736" s="229" t="s">
        <v>7003</v>
      </c>
      <c r="D3736" s="230" t="s">
        <v>11</v>
      </c>
      <c r="E3736" s="231">
        <v>193.29</v>
      </c>
      <c r="F3736" s="231"/>
      <c r="G3736" s="225" t="s">
        <v>7012</v>
      </c>
      <c r="H3736" s="235">
        <f t="shared" si="112"/>
        <v>60.76</v>
      </c>
      <c r="I3736" s="241" t="s">
        <v>7339</v>
      </c>
      <c r="J3736" s="238" t="s">
        <v>7342</v>
      </c>
    </row>
    <row r="3737" spans="1:10" s="215" customFormat="1" ht="38.25" hidden="1" customHeight="1" outlineLevel="1" x14ac:dyDescent="0.2">
      <c r="A3737" s="215" t="s">
        <v>1279</v>
      </c>
      <c r="B3737" s="216" t="s">
        <v>6319</v>
      </c>
      <c r="C3737" s="217" t="s">
        <v>2960</v>
      </c>
      <c r="D3737" s="218"/>
      <c r="E3737" s="219"/>
      <c r="F3737" s="219"/>
      <c r="G3737" s="229" t="s">
        <v>7014</v>
      </c>
      <c r="H3737" s="235">
        <f t="shared" si="112"/>
        <v>165.44</v>
      </c>
      <c r="I3737" s="241" t="s">
        <v>7339</v>
      </c>
      <c r="J3737" s="238" t="s">
        <v>7342</v>
      </c>
    </row>
    <row r="3738" spans="1:10" s="215" customFormat="1" ht="38.25" hidden="1" customHeight="1" outlineLevel="1" x14ac:dyDescent="0.2">
      <c r="A3738" s="215" t="s">
        <v>1279</v>
      </c>
      <c r="B3738" s="224" t="s">
        <v>6320</v>
      </c>
      <c r="C3738" s="225" t="s">
        <v>7004</v>
      </c>
      <c r="D3738" s="226" t="s">
        <v>11</v>
      </c>
      <c r="E3738" s="227">
        <v>4.75</v>
      </c>
      <c r="F3738" s="227"/>
      <c r="G3738" s="225" t="s">
        <v>6989</v>
      </c>
      <c r="H3738" s="235">
        <f t="shared" si="112"/>
        <v>462.77</v>
      </c>
      <c r="I3738" s="241" t="s">
        <v>7339</v>
      </c>
      <c r="J3738" s="238" t="s">
        <v>7342</v>
      </c>
    </row>
    <row r="3739" spans="1:10" s="215" customFormat="1" ht="38.25" hidden="1" customHeight="1" outlineLevel="1" x14ac:dyDescent="0.2">
      <c r="A3739" s="215" t="s">
        <v>1279</v>
      </c>
      <c r="B3739" s="228" t="s">
        <v>6321</v>
      </c>
      <c r="C3739" s="229" t="s">
        <v>6980</v>
      </c>
      <c r="D3739" s="230" t="s">
        <v>11</v>
      </c>
      <c r="E3739" s="231">
        <v>4.59</v>
      </c>
      <c r="F3739" s="231"/>
      <c r="G3739" s="229" t="s">
        <v>6991</v>
      </c>
      <c r="H3739" s="235">
        <f t="shared" si="112"/>
        <v>233.98</v>
      </c>
      <c r="I3739" s="241" t="s">
        <v>7339</v>
      </c>
      <c r="J3739" s="238" t="s">
        <v>7342</v>
      </c>
    </row>
    <row r="3740" spans="1:10" s="215" customFormat="1" ht="38.25" hidden="1" customHeight="1" outlineLevel="1" x14ac:dyDescent="0.2">
      <c r="A3740" s="215" t="s">
        <v>1279</v>
      </c>
      <c r="B3740" s="224" t="s">
        <v>6322</v>
      </c>
      <c r="C3740" s="225" t="s">
        <v>6981</v>
      </c>
      <c r="D3740" s="226" t="s">
        <v>11</v>
      </c>
      <c r="E3740" s="227">
        <v>1.7</v>
      </c>
      <c r="F3740" s="227"/>
      <c r="G3740" s="225" t="s">
        <v>7018</v>
      </c>
      <c r="H3740" s="235">
        <f t="shared" si="112"/>
        <v>39.209999999999994</v>
      </c>
      <c r="I3740" s="242" t="s">
        <v>7337</v>
      </c>
      <c r="J3740" s="238" t="s">
        <v>7340</v>
      </c>
    </row>
    <row r="3741" spans="1:10" s="215" customFormat="1" ht="38.25" hidden="1" customHeight="1" outlineLevel="1" x14ac:dyDescent="0.2">
      <c r="A3741" s="215" t="s">
        <v>1279</v>
      </c>
      <c r="B3741" s="228" t="s">
        <v>6323</v>
      </c>
      <c r="C3741" s="229" t="s">
        <v>6982</v>
      </c>
      <c r="D3741" s="230" t="s">
        <v>11</v>
      </c>
      <c r="E3741" s="231">
        <v>0.67</v>
      </c>
      <c r="F3741" s="231"/>
      <c r="G3741" s="229" t="s">
        <v>7020</v>
      </c>
      <c r="H3741" s="235">
        <f t="shared" si="112"/>
        <v>40.479999999999997</v>
      </c>
      <c r="I3741" s="242" t="s">
        <v>7337</v>
      </c>
      <c r="J3741" s="238" t="s">
        <v>7340</v>
      </c>
    </row>
    <row r="3742" spans="1:10" s="215" customFormat="1" ht="38.25" hidden="1" customHeight="1" outlineLevel="1" x14ac:dyDescent="0.2">
      <c r="A3742" s="215" t="s">
        <v>1279</v>
      </c>
      <c r="B3742" s="224" t="s">
        <v>6325</v>
      </c>
      <c r="C3742" s="225" t="s">
        <v>6983</v>
      </c>
      <c r="D3742" s="226" t="s">
        <v>11</v>
      </c>
      <c r="E3742" s="227">
        <v>35.49</v>
      </c>
      <c r="F3742" s="227"/>
      <c r="G3742" s="225" t="s">
        <v>7049</v>
      </c>
      <c r="H3742" s="235">
        <f t="shared" si="112"/>
        <v>3.83</v>
      </c>
      <c r="I3742" s="241" t="s">
        <v>7338</v>
      </c>
      <c r="J3742" s="238" t="s">
        <v>7341</v>
      </c>
    </row>
    <row r="3743" spans="1:10" s="215" customFormat="1" ht="38.25" hidden="1" customHeight="1" outlineLevel="1" x14ac:dyDescent="0.2">
      <c r="A3743" s="215" t="s">
        <v>1279</v>
      </c>
      <c r="B3743" s="228" t="s">
        <v>6326</v>
      </c>
      <c r="C3743" s="229" t="s">
        <v>6984</v>
      </c>
      <c r="D3743" s="230" t="s">
        <v>11</v>
      </c>
      <c r="E3743" s="231">
        <v>23.99</v>
      </c>
      <c r="F3743" s="231"/>
      <c r="G3743" s="229" t="s">
        <v>6993</v>
      </c>
      <c r="H3743" s="235">
        <f t="shared" si="112"/>
        <v>241.72000000000006</v>
      </c>
      <c r="I3743" s="241" t="s">
        <v>7338</v>
      </c>
      <c r="J3743" s="238" t="s">
        <v>7341</v>
      </c>
    </row>
    <row r="3744" spans="1:10" s="215" customFormat="1" ht="38.25" hidden="1" customHeight="1" outlineLevel="1" x14ac:dyDescent="0.2">
      <c r="A3744" s="215" t="s">
        <v>1279</v>
      </c>
      <c r="B3744" s="224" t="s">
        <v>6327</v>
      </c>
      <c r="C3744" s="225" t="s">
        <v>7005</v>
      </c>
      <c r="D3744" s="226" t="s">
        <v>11</v>
      </c>
      <c r="E3744" s="227">
        <v>2.82</v>
      </c>
      <c r="F3744" s="227"/>
      <c r="G3744" s="225" t="s">
        <v>6995</v>
      </c>
      <c r="H3744" s="235">
        <f t="shared" si="112"/>
        <v>375.73000000000013</v>
      </c>
      <c r="I3744" s="241" t="s">
        <v>7338</v>
      </c>
      <c r="J3744" s="238" t="s">
        <v>7341</v>
      </c>
    </row>
    <row r="3745" spans="1:10" s="215" customFormat="1" ht="38.25" hidden="1" customHeight="1" outlineLevel="1" x14ac:dyDescent="0.2">
      <c r="A3745" s="215" t="s">
        <v>1279</v>
      </c>
      <c r="B3745" s="228" t="s">
        <v>6328</v>
      </c>
      <c r="C3745" s="229" t="s">
        <v>6985</v>
      </c>
      <c r="D3745" s="230" t="s">
        <v>11</v>
      </c>
      <c r="E3745" s="231">
        <v>29.86</v>
      </c>
      <c r="F3745" s="231"/>
      <c r="G3745" s="229" t="s">
        <v>7024</v>
      </c>
      <c r="H3745" s="235">
        <f t="shared" si="112"/>
        <v>35.810000000000009</v>
      </c>
      <c r="I3745" s="241" t="s">
        <v>7339</v>
      </c>
      <c r="J3745" s="238" t="s">
        <v>7342</v>
      </c>
    </row>
    <row r="3746" spans="1:10" s="215" customFormat="1" ht="38.25" hidden="1" customHeight="1" outlineLevel="1" x14ac:dyDescent="0.2">
      <c r="A3746" s="215" t="s">
        <v>1279</v>
      </c>
      <c r="B3746" s="224" t="s">
        <v>6330</v>
      </c>
      <c r="C3746" s="225" t="s">
        <v>6986</v>
      </c>
      <c r="D3746" s="226" t="s">
        <v>11</v>
      </c>
      <c r="E3746" s="227">
        <v>12.58</v>
      </c>
      <c r="F3746" s="227"/>
      <c r="G3746" s="225" t="s">
        <v>7026</v>
      </c>
      <c r="H3746" s="235">
        <f t="shared" si="112"/>
        <v>141.88</v>
      </c>
      <c r="I3746" s="241" t="s">
        <v>7339</v>
      </c>
      <c r="J3746" s="238" t="s">
        <v>7342</v>
      </c>
    </row>
    <row r="3747" spans="1:10" s="215" customFormat="1" ht="38.25" hidden="1" customHeight="1" outlineLevel="1" x14ac:dyDescent="0.2">
      <c r="A3747" s="215" t="s">
        <v>1279</v>
      </c>
      <c r="B3747" s="228" t="s">
        <v>6331</v>
      </c>
      <c r="C3747" s="229" t="s">
        <v>7006</v>
      </c>
      <c r="D3747" s="230" t="s">
        <v>11</v>
      </c>
      <c r="E3747" s="231">
        <v>2.16</v>
      </c>
      <c r="F3747" s="231"/>
      <c r="G3747" s="229" t="s">
        <v>7028</v>
      </c>
      <c r="H3747" s="235">
        <f t="shared" si="112"/>
        <v>266.84000000000003</v>
      </c>
      <c r="I3747" s="241" t="s">
        <v>7339</v>
      </c>
      <c r="J3747" s="238" t="s">
        <v>7342</v>
      </c>
    </row>
    <row r="3748" spans="1:10" s="215" customFormat="1" ht="38.25" hidden="1" customHeight="1" outlineLevel="1" x14ac:dyDescent="0.2">
      <c r="A3748" s="215" t="s">
        <v>1279</v>
      </c>
      <c r="B3748" s="224" t="s">
        <v>6332</v>
      </c>
      <c r="C3748" s="225" t="s">
        <v>7007</v>
      </c>
      <c r="D3748" s="226" t="s">
        <v>11</v>
      </c>
      <c r="E3748" s="227">
        <v>4.6399999999999997</v>
      </c>
      <c r="F3748" s="227"/>
      <c r="G3748" s="225" t="s">
        <v>7030</v>
      </c>
      <c r="H3748" s="235">
        <f t="shared" si="112"/>
        <v>56.329999999999991</v>
      </c>
      <c r="I3748" s="241" t="s">
        <v>7339</v>
      </c>
      <c r="J3748" s="238" t="s">
        <v>7342</v>
      </c>
    </row>
    <row r="3749" spans="1:10" s="215" customFormat="1" ht="38.25" hidden="1" customHeight="1" outlineLevel="1" x14ac:dyDescent="0.2">
      <c r="A3749" s="215" t="s">
        <v>1279</v>
      </c>
      <c r="B3749" s="228" t="s">
        <v>7008</v>
      </c>
      <c r="C3749" s="229" t="s">
        <v>6987</v>
      </c>
      <c r="D3749" s="230" t="s">
        <v>11</v>
      </c>
      <c r="E3749" s="231">
        <v>6.94</v>
      </c>
      <c r="F3749" s="231"/>
      <c r="G3749" s="229" t="s">
        <v>7260</v>
      </c>
      <c r="H3749" s="235">
        <f t="shared" si="112"/>
        <v>2.73</v>
      </c>
      <c r="I3749" s="241" t="s">
        <v>7337</v>
      </c>
      <c r="J3749" s="403"/>
    </row>
    <row r="3750" spans="1:10" s="215" customFormat="1" ht="38.25" hidden="1" customHeight="1" outlineLevel="1" x14ac:dyDescent="0.2">
      <c r="A3750" s="215" t="s">
        <v>1279</v>
      </c>
      <c r="B3750" s="224" t="s">
        <v>7009</v>
      </c>
      <c r="C3750" s="225" t="s">
        <v>7010</v>
      </c>
      <c r="D3750" s="226" t="s">
        <v>11</v>
      </c>
      <c r="E3750" s="227">
        <v>39.130000000000003</v>
      </c>
      <c r="F3750" s="227"/>
      <c r="G3750" s="225" t="s">
        <v>7249</v>
      </c>
      <c r="H3750" s="235">
        <f t="shared" si="112"/>
        <v>1.81</v>
      </c>
      <c r="I3750" s="241" t="s">
        <v>7338</v>
      </c>
      <c r="J3750" s="403"/>
    </row>
    <row r="3751" spans="1:10" s="215" customFormat="1" ht="38.25" hidden="1" customHeight="1" outlineLevel="1" x14ac:dyDescent="0.2">
      <c r="A3751" s="215" t="s">
        <v>1279</v>
      </c>
      <c r="B3751" s="228" t="s">
        <v>7011</v>
      </c>
      <c r="C3751" s="229" t="s">
        <v>7012</v>
      </c>
      <c r="D3751" s="230" t="s">
        <v>11</v>
      </c>
      <c r="E3751" s="231">
        <v>4.7300000000000004</v>
      </c>
      <c r="F3751" s="231"/>
      <c r="G3751" s="229" t="s">
        <v>7277</v>
      </c>
      <c r="H3751" s="235">
        <f t="shared" si="112"/>
        <v>9.99</v>
      </c>
      <c r="I3751" s="241" t="s">
        <v>7338</v>
      </c>
      <c r="J3751" s="403"/>
    </row>
    <row r="3752" spans="1:10" s="215" customFormat="1" ht="38.25" hidden="1" customHeight="1" outlineLevel="1" x14ac:dyDescent="0.2">
      <c r="A3752" s="215" t="s">
        <v>1279</v>
      </c>
      <c r="B3752" s="224" t="s">
        <v>7013</v>
      </c>
      <c r="C3752" s="225" t="s">
        <v>7014</v>
      </c>
      <c r="D3752" s="226" t="s">
        <v>11</v>
      </c>
      <c r="E3752" s="227">
        <v>6.88</v>
      </c>
      <c r="F3752" s="227"/>
      <c r="G3752" s="225" t="s">
        <v>6997</v>
      </c>
      <c r="H3752" s="235">
        <f t="shared" si="112"/>
        <v>439.16000000000014</v>
      </c>
      <c r="I3752" s="241" t="s">
        <v>7338</v>
      </c>
      <c r="J3752" s="403"/>
    </row>
    <row r="3753" spans="1:10" s="215" customFormat="1" ht="51" hidden="1" outlineLevel="1" x14ac:dyDescent="0.2">
      <c r="A3753" s="215" t="s">
        <v>1279</v>
      </c>
      <c r="B3753" s="228" t="s">
        <v>7015</v>
      </c>
      <c r="C3753" s="229" t="s">
        <v>6989</v>
      </c>
      <c r="D3753" s="230" t="s">
        <v>11</v>
      </c>
      <c r="E3753" s="231">
        <v>50.45</v>
      </c>
      <c r="F3753" s="231"/>
      <c r="G3753" s="229" t="s">
        <v>6999</v>
      </c>
      <c r="H3753" s="235">
        <f t="shared" si="112"/>
        <v>956.20999999999981</v>
      </c>
      <c r="I3753" s="241" t="s">
        <v>7338</v>
      </c>
      <c r="J3753" s="403"/>
    </row>
    <row r="3754" spans="1:10" s="215" customFormat="1" ht="38.25" hidden="1" customHeight="1" outlineLevel="1" x14ac:dyDescent="0.2">
      <c r="A3754" s="215" t="s">
        <v>1279</v>
      </c>
      <c r="B3754" s="224" t="s">
        <v>7016</v>
      </c>
      <c r="C3754" s="225" t="s">
        <v>6991</v>
      </c>
      <c r="D3754" s="226" t="s">
        <v>11</v>
      </c>
      <c r="E3754" s="227">
        <v>18.350000000000001</v>
      </c>
      <c r="F3754" s="227"/>
      <c r="G3754" s="225" t="s">
        <v>7264</v>
      </c>
      <c r="H3754" s="235">
        <f t="shared" si="112"/>
        <v>7.93</v>
      </c>
      <c r="I3754" s="241" t="s">
        <v>7339</v>
      </c>
      <c r="J3754" s="403"/>
    </row>
    <row r="3755" spans="1:10" s="215" customFormat="1" ht="38.25" hidden="1" customHeight="1" outlineLevel="1" x14ac:dyDescent="0.2">
      <c r="A3755" s="215" t="s">
        <v>1279</v>
      </c>
      <c r="B3755" s="228" t="s">
        <v>7017</v>
      </c>
      <c r="C3755" s="229" t="s">
        <v>7018</v>
      </c>
      <c r="D3755" s="230" t="s">
        <v>11</v>
      </c>
      <c r="E3755" s="231">
        <v>2.16</v>
      </c>
      <c r="F3755" s="231"/>
      <c r="G3755" s="229" t="s">
        <v>7034</v>
      </c>
      <c r="H3755" s="235">
        <f t="shared" si="112"/>
        <v>8.6300000000000008</v>
      </c>
      <c r="I3755" s="241" t="s">
        <v>7339</v>
      </c>
      <c r="J3755" s="403"/>
    </row>
    <row r="3756" spans="1:10" s="215" customFormat="1" ht="38.25" hidden="1" customHeight="1" outlineLevel="1" x14ac:dyDescent="0.2">
      <c r="A3756" s="215" t="s">
        <v>1279</v>
      </c>
      <c r="B3756" s="224" t="s">
        <v>7019</v>
      </c>
      <c r="C3756" s="225" t="s">
        <v>7020</v>
      </c>
      <c r="D3756" s="226" t="s">
        <v>11</v>
      </c>
      <c r="E3756" s="227">
        <v>2.42</v>
      </c>
      <c r="F3756" s="227"/>
      <c r="G3756" s="225" t="s">
        <v>7001</v>
      </c>
      <c r="H3756" s="235">
        <f t="shared" si="112"/>
        <v>394.53000000000003</v>
      </c>
      <c r="I3756" s="241" t="s">
        <v>7339</v>
      </c>
      <c r="J3756" s="403"/>
    </row>
    <row r="3757" spans="1:10" s="215" customFormat="1" ht="38.25" hidden="1" customHeight="1" outlineLevel="1" x14ac:dyDescent="0.2">
      <c r="A3757" s="215" t="s">
        <v>1279</v>
      </c>
      <c r="B3757" s="228" t="s">
        <v>7021</v>
      </c>
      <c r="C3757" s="229" t="s">
        <v>6993</v>
      </c>
      <c r="D3757" s="230" t="s">
        <v>11</v>
      </c>
      <c r="E3757" s="231">
        <v>15.93</v>
      </c>
      <c r="F3757" s="231"/>
      <c r="G3757" s="229" t="s">
        <v>7003</v>
      </c>
      <c r="H3757" s="235">
        <f t="shared" si="112"/>
        <v>601.1099999999999</v>
      </c>
      <c r="I3757" s="241" t="s">
        <v>7339</v>
      </c>
      <c r="J3757" s="403"/>
    </row>
    <row r="3758" spans="1:10" s="215" customFormat="1" ht="38.25" hidden="1" customHeight="1" outlineLevel="1" x14ac:dyDescent="0.2">
      <c r="A3758" s="215" t="s">
        <v>1279</v>
      </c>
      <c r="B3758" s="224" t="s">
        <v>7022</v>
      </c>
      <c r="C3758" s="225" t="s">
        <v>6995</v>
      </c>
      <c r="D3758" s="226" t="s">
        <v>11</v>
      </c>
      <c r="E3758" s="227">
        <v>56.83</v>
      </c>
      <c r="F3758" s="227"/>
      <c r="I3758" s="241"/>
      <c r="J3758" s="403"/>
    </row>
    <row r="3759" spans="1:10" s="215" customFormat="1" ht="38.25" hidden="1" customHeight="1" outlineLevel="1" x14ac:dyDescent="0.2">
      <c r="A3759" s="215" t="s">
        <v>1279</v>
      </c>
      <c r="B3759" s="228" t="s">
        <v>7023</v>
      </c>
      <c r="C3759" s="229" t="s">
        <v>7024</v>
      </c>
      <c r="D3759" s="230" t="s">
        <v>11</v>
      </c>
      <c r="E3759" s="231">
        <v>2.2000000000000002</v>
      </c>
      <c r="F3759" s="231"/>
      <c r="I3759" s="241"/>
      <c r="J3759" s="403"/>
    </row>
    <row r="3760" spans="1:10" s="215" customFormat="1" ht="38.25" hidden="1" customHeight="1" outlineLevel="1" x14ac:dyDescent="0.2">
      <c r="A3760" s="215" t="s">
        <v>1279</v>
      </c>
      <c r="B3760" s="224" t="s">
        <v>7025</v>
      </c>
      <c r="C3760" s="225" t="s">
        <v>7026</v>
      </c>
      <c r="D3760" s="226" t="s">
        <v>11</v>
      </c>
      <c r="E3760" s="227">
        <v>10.06</v>
      </c>
      <c r="F3760" s="227"/>
      <c r="I3760" s="241"/>
      <c r="J3760" s="403"/>
    </row>
    <row r="3761" spans="1:10" s="215" customFormat="1" ht="38.25" hidden="1" customHeight="1" outlineLevel="1" x14ac:dyDescent="0.2">
      <c r="A3761" s="215" t="s">
        <v>1279</v>
      </c>
      <c r="B3761" s="228" t="s">
        <v>7027</v>
      </c>
      <c r="C3761" s="229" t="s">
        <v>7028</v>
      </c>
      <c r="D3761" s="230" t="s">
        <v>11</v>
      </c>
      <c r="E3761" s="231">
        <v>22.72</v>
      </c>
      <c r="F3761" s="231"/>
      <c r="I3761" s="241"/>
      <c r="J3761" s="403"/>
    </row>
    <row r="3762" spans="1:10" s="215" customFormat="1" ht="38.25" hidden="1" customHeight="1" outlineLevel="1" x14ac:dyDescent="0.2">
      <c r="A3762" s="215" t="s">
        <v>1279</v>
      </c>
      <c r="B3762" s="224" t="s">
        <v>7029</v>
      </c>
      <c r="C3762" s="225" t="s">
        <v>7030</v>
      </c>
      <c r="D3762" s="226" t="s">
        <v>11</v>
      </c>
      <c r="E3762" s="227">
        <v>5.79</v>
      </c>
      <c r="F3762" s="227"/>
      <c r="I3762" s="241"/>
      <c r="J3762" s="403"/>
    </row>
    <row r="3763" spans="1:10" s="215" customFormat="1" ht="38.25" hidden="1" customHeight="1" outlineLevel="1" x14ac:dyDescent="0.2">
      <c r="A3763" s="215" t="s">
        <v>1279</v>
      </c>
      <c r="B3763" s="228" t="s">
        <v>7031</v>
      </c>
      <c r="C3763" s="229" t="s">
        <v>6997</v>
      </c>
      <c r="D3763" s="230" t="s">
        <v>11</v>
      </c>
      <c r="E3763" s="231">
        <v>35.24</v>
      </c>
      <c r="F3763" s="231"/>
      <c r="I3763" s="241"/>
      <c r="J3763" s="403"/>
    </row>
    <row r="3764" spans="1:10" s="215" customFormat="1" ht="38.25" hidden="1" customHeight="1" outlineLevel="1" x14ac:dyDescent="0.2">
      <c r="A3764" s="215" t="s">
        <v>1279</v>
      </c>
      <c r="B3764" s="224" t="s">
        <v>7032</v>
      </c>
      <c r="C3764" s="225" t="s">
        <v>6999</v>
      </c>
      <c r="D3764" s="226" t="s">
        <v>11</v>
      </c>
      <c r="E3764" s="227">
        <v>92.98</v>
      </c>
      <c r="F3764" s="227"/>
      <c r="I3764" s="241"/>
      <c r="J3764" s="403"/>
    </row>
    <row r="3765" spans="1:10" s="215" customFormat="1" ht="38.25" hidden="1" customHeight="1" outlineLevel="1" x14ac:dyDescent="0.2">
      <c r="A3765" s="215" t="s">
        <v>1279</v>
      </c>
      <c r="B3765" s="228" t="s">
        <v>7033</v>
      </c>
      <c r="C3765" s="229" t="s">
        <v>7034</v>
      </c>
      <c r="D3765" s="230" t="s">
        <v>11</v>
      </c>
      <c r="E3765" s="231">
        <v>3.48</v>
      </c>
      <c r="F3765" s="231"/>
      <c r="I3765" s="241"/>
      <c r="J3765" s="403"/>
    </row>
    <row r="3766" spans="1:10" s="215" customFormat="1" ht="38.25" hidden="1" customHeight="1" outlineLevel="1" x14ac:dyDescent="0.2">
      <c r="A3766" s="215" t="s">
        <v>1279</v>
      </c>
      <c r="B3766" s="224" t="s">
        <v>7035</v>
      </c>
      <c r="C3766" s="225" t="s">
        <v>7001</v>
      </c>
      <c r="D3766" s="226" t="s">
        <v>11</v>
      </c>
      <c r="E3766" s="227">
        <v>16.940000000000001</v>
      </c>
      <c r="F3766" s="227"/>
      <c r="I3766" s="241"/>
      <c r="J3766" s="403"/>
    </row>
    <row r="3767" spans="1:10" s="215" customFormat="1" ht="38.25" hidden="1" customHeight="1" outlineLevel="1" x14ac:dyDescent="0.2">
      <c r="A3767" s="215" t="s">
        <v>1279</v>
      </c>
      <c r="B3767" s="228" t="s">
        <v>7036</v>
      </c>
      <c r="C3767" s="229" t="s">
        <v>7003</v>
      </c>
      <c r="D3767" s="230" t="s">
        <v>11</v>
      </c>
      <c r="E3767" s="231">
        <v>30.04</v>
      </c>
      <c r="F3767" s="231"/>
      <c r="G3767" s="520" t="s">
        <v>1732</v>
      </c>
      <c r="H3767" s="234">
        <f>H3769+H3789</f>
        <v>0</v>
      </c>
      <c r="I3767" s="242" t="str">
        <f>IF(H3767=H3719,"OKAY","REVER")</f>
        <v>REVER</v>
      </c>
      <c r="J3767" s="403"/>
    </row>
    <row r="3768" spans="1:10" s="215" customFormat="1" ht="38.25" hidden="1" customHeight="1" outlineLevel="1" x14ac:dyDescent="0.2">
      <c r="A3768" s="215" t="s">
        <v>1279</v>
      </c>
      <c r="B3768" s="216" t="s">
        <v>6334</v>
      </c>
      <c r="C3768" s="217" t="s">
        <v>2961</v>
      </c>
      <c r="D3768" s="218"/>
      <c r="E3768" s="219"/>
      <c r="F3768" s="219"/>
      <c r="G3768" s="232"/>
      <c r="H3768" s="232"/>
      <c r="I3768" s="241"/>
      <c r="J3768" s="403"/>
    </row>
    <row r="3769" spans="1:10" s="215" customFormat="1" ht="38.25" hidden="1" customHeight="1" outlineLevel="1" x14ac:dyDescent="0.2">
      <c r="A3769" s="215" t="s">
        <v>1279</v>
      </c>
      <c r="B3769" s="224" t="s">
        <v>6335</v>
      </c>
      <c r="C3769" s="225" t="s">
        <v>7004</v>
      </c>
      <c r="D3769" s="226" t="s">
        <v>11</v>
      </c>
      <c r="E3769" s="227">
        <v>4.2</v>
      </c>
      <c r="F3769" s="227"/>
      <c r="G3769" s="520" t="str">
        <f>$A$1</f>
        <v>EMBASSAMENTO</v>
      </c>
      <c r="H3769" s="234">
        <f>SUM(H3770:H3786)</f>
        <v>0</v>
      </c>
      <c r="I3769" s="241"/>
      <c r="J3769" s="403"/>
    </row>
    <row r="3770" spans="1:10" s="215" customFormat="1" ht="38.25" hidden="1" customHeight="1" outlineLevel="1" x14ac:dyDescent="0.2">
      <c r="A3770" s="215" t="s">
        <v>1279</v>
      </c>
      <c r="B3770" s="228" t="s">
        <v>6336</v>
      </c>
      <c r="C3770" s="229" t="s">
        <v>6980</v>
      </c>
      <c r="D3770" s="230" t="s">
        <v>11</v>
      </c>
      <c r="E3770" s="231">
        <v>5.86</v>
      </c>
      <c r="F3770" s="231"/>
      <c r="G3770" s="229" t="s">
        <v>6304</v>
      </c>
      <c r="H3770" s="235">
        <f t="shared" ref="H3770:H3786" si="113">SUMIFS($E:$E,$C:$C,G3770,$A:$A,$G$22)</f>
        <v>0</v>
      </c>
      <c r="I3770" s="241"/>
      <c r="J3770" s="403"/>
    </row>
    <row r="3771" spans="1:10" s="215" customFormat="1" ht="38.25" hidden="1" customHeight="1" outlineLevel="1" x14ac:dyDescent="0.2">
      <c r="A3771" s="215" t="s">
        <v>1279</v>
      </c>
      <c r="B3771" s="224" t="s">
        <v>6337</v>
      </c>
      <c r="C3771" s="225" t="s">
        <v>6981</v>
      </c>
      <c r="D3771" s="226" t="s">
        <v>11</v>
      </c>
      <c r="E3771" s="227">
        <v>1.75</v>
      </c>
      <c r="F3771" s="227"/>
      <c r="G3771" s="225" t="s">
        <v>6306</v>
      </c>
      <c r="H3771" s="235">
        <f t="shared" si="113"/>
        <v>0</v>
      </c>
      <c r="I3771" s="241"/>
      <c r="J3771" s="403"/>
    </row>
    <row r="3772" spans="1:10" s="215" customFormat="1" ht="38.25" hidden="1" customHeight="1" outlineLevel="1" x14ac:dyDescent="0.2">
      <c r="A3772" s="215" t="s">
        <v>1279</v>
      </c>
      <c r="B3772" s="228" t="s">
        <v>6338</v>
      </c>
      <c r="C3772" s="229" t="s">
        <v>7037</v>
      </c>
      <c r="D3772" s="230" t="s">
        <v>11</v>
      </c>
      <c r="E3772" s="231">
        <v>3.31</v>
      </c>
      <c r="F3772" s="231"/>
      <c r="G3772" s="229" t="s">
        <v>6308</v>
      </c>
      <c r="H3772" s="235">
        <f t="shared" si="113"/>
        <v>0</v>
      </c>
      <c r="I3772" s="241"/>
      <c r="J3772" s="403"/>
    </row>
    <row r="3773" spans="1:10" s="215" customFormat="1" ht="38.25" hidden="1" customHeight="1" outlineLevel="1" x14ac:dyDescent="0.2">
      <c r="A3773" s="215" t="s">
        <v>1279</v>
      </c>
      <c r="B3773" s="224" t="s">
        <v>6339</v>
      </c>
      <c r="C3773" s="225" t="s">
        <v>6983</v>
      </c>
      <c r="D3773" s="226" t="s">
        <v>11</v>
      </c>
      <c r="E3773" s="227">
        <v>11.11</v>
      </c>
      <c r="F3773" s="227"/>
      <c r="G3773" s="225" t="s">
        <v>6324</v>
      </c>
      <c r="H3773" s="235">
        <f t="shared" si="113"/>
        <v>0</v>
      </c>
      <c r="I3773" s="241"/>
      <c r="J3773" s="403"/>
    </row>
    <row r="3774" spans="1:10" s="215" customFormat="1" ht="38.25" hidden="1" customHeight="1" outlineLevel="1" x14ac:dyDescent="0.2">
      <c r="A3774" s="215" t="s">
        <v>1279</v>
      </c>
      <c r="B3774" s="228" t="s">
        <v>6340</v>
      </c>
      <c r="C3774" s="229" t="s">
        <v>6984</v>
      </c>
      <c r="D3774" s="230" t="s">
        <v>11</v>
      </c>
      <c r="E3774" s="231">
        <v>20.170000000000002</v>
      </c>
      <c r="F3774" s="231"/>
      <c r="G3774" s="229" t="s">
        <v>6310</v>
      </c>
      <c r="H3774" s="235">
        <f t="shared" si="113"/>
        <v>0</v>
      </c>
      <c r="I3774" s="241"/>
      <c r="J3774" s="403"/>
    </row>
    <row r="3775" spans="1:10" s="215" customFormat="1" ht="38.25" hidden="1" customHeight="1" outlineLevel="1" x14ac:dyDescent="0.2">
      <c r="A3775" s="215" t="s">
        <v>1279</v>
      </c>
      <c r="B3775" s="224" t="s">
        <v>6341</v>
      </c>
      <c r="C3775" s="225" t="s">
        <v>7005</v>
      </c>
      <c r="D3775" s="226" t="s">
        <v>11</v>
      </c>
      <c r="E3775" s="227">
        <v>2.8</v>
      </c>
      <c r="F3775" s="227"/>
      <c r="G3775" s="225" t="s">
        <v>6312</v>
      </c>
      <c r="H3775" s="235">
        <f t="shared" si="113"/>
        <v>0</v>
      </c>
      <c r="I3775" s="241"/>
      <c r="J3775" s="403"/>
    </row>
    <row r="3776" spans="1:10" s="215" customFormat="1" ht="38.25" hidden="1" customHeight="1" outlineLevel="1" x14ac:dyDescent="0.2">
      <c r="A3776" s="215" t="s">
        <v>1279</v>
      </c>
      <c r="B3776" s="228" t="s">
        <v>6342</v>
      </c>
      <c r="C3776" s="229" t="s">
        <v>7038</v>
      </c>
      <c r="D3776" s="230" t="s">
        <v>11</v>
      </c>
      <c r="E3776" s="231">
        <v>8.74</v>
      </c>
      <c r="F3776" s="231"/>
      <c r="G3776" s="229" t="s">
        <v>6329</v>
      </c>
      <c r="H3776" s="235">
        <f t="shared" si="113"/>
        <v>0</v>
      </c>
      <c r="I3776" s="241"/>
      <c r="J3776" s="403"/>
    </row>
    <row r="3777" spans="1:10" s="215" customFormat="1" ht="12.75" hidden="1" customHeight="1" outlineLevel="1" x14ac:dyDescent="0.2">
      <c r="A3777" s="215" t="s">
        <v>1279</v>
      </c>
      <c r="B3777" s="224" t="s">
        <v>6343</v>
      </c>
      <c r="C3777" s="225" t="s">
        <v>6985</v>
      </c>
      <c r="D3777" s="226" t="s">
        <v>11</v>
      </c>
      <c r="E3777" s="227">
        <v>42.01</v>
      </c>
      <c r="F3777" s="227"/>
      <c r="G3777" s="225" t="s">
        <v>6314</v>
      </c>
      <c r="H3777" s="235">
        <f t="shared" si="113"/>
        <v>0</v>
      </c>
      <c r="I3777" s="241"/>
      <c r="J3777" s="403"/>
    </row>
    <row r="3778" spans="1:10" s="215" customFormat="1" ht="38.25" hidden="1" customHeight="1" outlineLevel="1" x14ac:dyDescent="0.2">
      <c r="A3778" s="215" t="s">
        <v>1279</v>
      </c>
      <c r="B3778" s="228" t="s">
        <v>6344</v>
      </c>
      <c r="C3778" s="229" t="s">
        <v>6986</v>
      </c>
      <c r="D3778" s="230" t="s">
        <v>11</v>
      </c>
      <c r="E3778" s="231">
        <v>33.24</v>
      </c>
      <c r="F3778" s="231"/>
      <c r="G3778" s="229" t="s">
        <v>6333</v>
      </c>
      <c r="H3778" s="235">
        <f t="shared" si="113"/>
        <v>0</v>
      </c>
      <c r="I3778" s="241"/>
      <c r="J3778" s="403"/>
    </row>
    <row r="3779" spans="1:10" s="215" customFormat="1" ht="38.25" hidden="1" customHeight="1" outlineLevel="1" x14ac:dyDescent="0.2">
      <c r="A3779" s="215" t="s">
        <v>1279</v>
      </c>
      <c r="B3779" s="224" t="s">
        <v>6345</v>
      </c>
      <c r="C3779" s="225" t="s">
        <v>7006</v>
      </c>
      <c r="D3779" s="226" t="s">
        <v>11</v>
      </c>
      <c r="E3779" s="227">
        <v>2.17</v>
      </c>
      <c r="F3779" s="227"/>
      <c r="G3779" s="225" t="s">
        <v>6487</v>
      </c>
      <c r="H3779" s="235">
        <f t="shared" si="113"/>
        <v>0</v>
      </c>
      <c r="I3779" s="241"/>
      <c r="J3779" s="403"/>
    </row>
    <row r="3780" spans="1:10" s="215" customFormat="1" ht="38.25" hidden="1" customHeight="1" outlineLevel="1" x14ac:dyDescent="0.2">
      <c r="A3780" s="215" t="s">
        <v>1279</v>
      </c>
      <c r="B3780" s="228" t="s">
        <v>7039</v>
      </c>
      <c r="C3780" s="229" t="s">
        <v>7007</v>
      </c>
      <c r="D3780" s="230" t="s">
        <v>11</v>
      </c>
      <c r="E3780" s="231">
        <v>4.38</v>
      </c>
      <c r="F3780" s="231"/>
      <c r="G3780" s="229" t="s">
        <v>6316</v>
      </c>
      <c r="H3780" s="235">
        <f t="shared" si="113"/>
        <v>0</v>
      </c>
      <c r="I3780" s="241"/>
      <c r="J3780" s="403"/>
    </row>
    <row r="3781" spans="1:10" s="215" customFormat="1" ht="38.25" hidden="1" customHeight="1" outlineLevel="1" x14ac:dyDescent="0.2">
      <c r="A3781" s="215" t="s">
        <v>1279</v>
      </c>
      <c r="B3781" s="224" t="s">
        <v>7040</v>
      </c>
      <c r="C3781" s="225" t="s">
        <v>6987</v>
      </c>
      <c r="D3781" s="226" t="s">
        <v>11</v>
      </c>
      <c r="E3781" s="227">
        <v>7.14</v>
      </c>
      <c r="F3781" s="227"/>
      <c r="G3781" s="225" t="s">
        <v>6318</v>
      </c>
      <c r="H3781" s="235">
        <f t="shared" si="113"/>
        <v>0</v>
      </c>
      <c r="I3781" s="241"/>
      <c r="J3781" s="403"/>
    </row>
    <row r="3782" spans="1:10" s="215" customFormat="1" ht="38.25" hidden="1" customHeight="1" outlineLevel="1" x14ac:dyDescent="0.2">
      <c r="A3782" s="215" t="s">
        <v>1279</v>
      </c>
      <c r="B3782" s="228" t="s">
        <v>7041</v>
      </c>
      <c r="C3782" s="229" t="s">
        <v>7010</v>
      </c>
      <c r="D3782" s="230" t="s">
        <v>11</v>
      </c>
      <c r="E3782" s="231">
        <v>11.29</v>
      </c>
      <c r="F3782" s="231"/>
      <c r="G3782" s="229"/>
      <c r="H3782" s="235">
        <f t="shared" si="113"/>
        <v>0</v>
      </c>
      <c r="I3782" s="241"/>
      <c r="J3782" s="403"/>
    </row>
    <row r="3783" spans="1:10" s="215" customFormat="1" ht="38.25" hidden="1" customHeight="1" outlineLevel="1" x14ac:dyDescent="0.2">
      <c r="A3783" s="215" t="s">
        <v>1279</v>
      </c>
      <c r="B3783" s="224" t="s">
        <v>7042</v>
      </c>
      <c r="C3783" s="225" t="s">
        <v>7012</v>
      </c>
      <c r="D3783" s="226" t="s">
        <v>11</v>
      </c>
      <c r="E3783" s="227">
        <v>5.79</v>
      </c>
      <c r="F3783" s="227"/>
      <c r="G3783" s="225"/>
      <c r="H3783" s="235">
        <f t="shared" si="113"/>
        <v>0</v>
      </c>
      <c r="I3783" s="241"/>
      <c r="J3783" s="403"/>
    </row>
    <row r="3784" spans="1:10" s="215" customFormat="1" ht="38.25" hidden="1" customHeight="1" outlineLevel="1" x14ac:dyDescent="0.2">
      <c r="A3784" s="215" t="s">
        <v>1279</v>
      </c>
      <c r="B3784" s="228" t="s">
        <v>7043</v>
      </c>
      <c r="C3784" s="229" t="s">
        <v>7014</v>
      </c>
      <c r="D3784" s="230" t="s">
        <v>11</v>
      </c>
      <c r="E3784" s="231">
        <v>20.53</v>
      </c>
      <c r="F3784" s="231"/>
      <c r="G3784" s="229"/>
      <c r="H3784" s="235">
        <f t="shared" si="113"/>
        <v>0</v>
      </c>
    </row>
    <row r="3785" spans="1:10" s="215" customFormat="1" ht="38.25" hidden="1" customHeight="1" outlineLevel="1" x14ac:dyDescent="0.2">
      <c r="A3785" s="215" t="s">
        <v>1279</v>
      </c>
      <c r="B3785" s="224" t="s">
        <v>7044</v>
      </c>
      <c r="C3785" s="225" t="s">
        <v>6989</v>
      </c>
      <c r="D3785" s="226" t="s">
        <v>11</v>
      </c>
      <c r="E3785" s="227">
        <v>52.6</v>
      </c>
      <c r="F3785" s="227"/>
      <c r="G3785" s="225"/>
      <c r="H3785" s="235">
        <f t="shared" si="113"/>
        <v>0</v>
      </c>
    </row>
    <row r="3786" spans="1:10" s="215" customFormat="1" ht="38.25" hidden="1" customHeight="1" outlineLevel="1" x14ac:dyDescent="0.2">
      <c r="A3786" s="215" t="s">
        <v>1279</v>
      </c>
      <c r="B3786" s="228" t="s">
        <v>7045</v>
      </c>
      <c r="C3786" s="229" t="s">
        <v>6991</v>
      </c>
      <c r="D3786" s="230" t="s">
        <v>11</v>
      </c>
      <c r="E3786" s="231">
        <v>13.6</v>
      </c>
      <c r="F3786" s="231"/>
      <c r="G3786" s="229"/>
      <c r="H3786" s="235">
        <f t="shared" si="113"/>
        <v>0</v>
      </c>
    </row>
    <row r="3787" spans="1:10" s="215" customFormat="1" ht="38.25" hidden="1" customHeight="1" outlineLevel="1" x14ac:dyDescent="0.2">
      <c r="A3787" s="215" t="s">
        <v>1279</v>
      </c>
      <c r="B3787" s="224" t="s">
        <v>7046</v>
      </c>
      <c r="C3787" s="225" t="s">
        <v>7018</v>
      </c>
      <c r="D3787" s="226" t="s">
        <v>11</v>
      </c>
      <c r="E3787" s="227">
        <v>3.3</v>
      </c>
      <c r="F3787" s="227"/>
      <c r="G3787" s="198"/>
      <c r="H3787" s="198"/>
    </row>
    <row r="3788" spans="1:10" s="215" customFormat="1" ht="38.25" hidden="1" customHeight="1" outlineLevel="1" x14ac:dyDescent="0.2">
      <c r="A3788" s="215" t="s">
        <v>1279</v>
      </c>
      <c r="B3788" s="228" t="s">
        <v>7047</v>
      </c>
      <c r="C3788" s="229" t="s">
        <v>7020</v>
      </c>
      <c r="D3788" s="230" t="s">
        <v>11</v>
      </c>
      <c r="E3788" s="231">
        <v>3.61</v>
      </c>
      <c r="F3788" s="231"/>
      <c r="G3788" s="198"/>
      <c r="H3788" s="198"/>
    </row>
    <row r="3789" spans="1:10" s="215" customFormat="1" ht="12.75" hidden="1" customHeight="1" outlineLevel="1" x14ac:dyDescent="0.2">
      <c r="A3789" s="215" t="s">
        <v>1279</v>
      </c>
      <c r="B3789" s="224" t="s">
        <v>7048</v>
      </c>
      <c r="C3789" s="225" t="s">
        <v>7049</v>
      </c>
      <c r="D3789" s="226" t="s">
        <v>11</v>
      </c>
      <c r="E3789" s="227">
        <v>3.83</v>
      </c>
      <c r="F3789" s="227"/>
      <c r="G3789" s="520" t="str">
        <f>$A$2</f>
        <v>TORRE</v>
      </c>
      <c r="H3789" s="234">
        <f>SUM(H3790:H4276)</f>
        <v>0</v>
      </c>
    </row>
    <row r="3790" spans="1:10" s="215" customFormat="1" ht="38.25" hidden="1" customHeight="1" outlineLevel="1" x14ac:dyDescent="0.2">
      <c r="A3790" s="215" t="s">
        <v>1279</v>
      </c>
      <c r="B3790" s="228" t="s">
        <v>7050</v>
      </c>
      <c r="C3790" s="229" t="s">
        <v>6993</v>
      </c>
      <c r="D3790" s="230" t="s">
        <v>11</v>
      </c>
      <c r="E3790" s="231">
        <v>15.08</v>
      </c>
      <c r="F3790" s="231"/>
      <c r="G3790" s="229" t="s">
        <v>6304</v>
      </c>
      <c r="H3790" s="235">
        <f t="shared" ref="H3790:H3806" si="114">SUMIFS($E:$E,$C:$C,G3790,$A:$A,$G$30)</f>
        <v>0</v>
      </c>
    </row>
    <row r="3791" spans="1:10" s="215" customFormat="1" ht="38.25" hidden="1" customHeight="1" outlineLevel="1" x14ac:dyDescent="0.2">
      <c r="A3791" s="215" t="s">
        <v>1279</v>
      </c>
      <c r="B3791" s="224" t="s">
        <v>7051</v>
      </c>
      <c r="C3791" s="225" t="s">
        <v>6995</v>
      </c>
      <c r="D3791" s="226" t="s">
        <v>11</v>
      </c>
      <c r="E3791" s="227">
        <v>27.14</v>
      </c>
      <c r="F3791" s="227"/>
      <c r="G3791" s="225" t="s">
        <v>6306</v>
      </c>
      <c r="H3791" s="235">
        <f t="shared" si="114"/>
        <v>0</v>
      </c>
    </row>
    <row r="3792" spans="1:10" s="215" customFormat="1" ht="38.25" hidden="1" customHeight="1" outlineLevel="1" x14ac:dyDescent="0.2">
      <c r="A3792" s="215" t="s">
        <v>1279</v>
      </c>
      <c r="B3792" s="228" t="s">
        <v>7052</v>
      </c>
      <c r="C3792" s="229" t="s">
        <v>7024</v>
      </c>
      <c r="D3792" s="230" t="s">
        <v>11</v>
      </c>
      <c r="E3792" s="231">
        <v>3.72</v>
      </c>
      <c r="F3792" s="231"/>
      <c r="G3792" s="229" t="s">
        <v>6308</v>
      </c>
      <c r="H3792" s="235">
        <f t="shared" si="114"/>
        <v>0</v>
      </c>
    </row>
    <row r="3793" spans="1:8" s="215" customFormat="1" ht="38.25" hidden="1" customHeight="1" outlineLevel="1" x14ac:dyDescent="0.2">
      <c r="A3793" s="215" t="s">
        <v>1279</v>
      </c>
      <c r="B3793" s="224" t="s">
        <v>7053</v>
      </c>
      <c r="C3793" s="225" t="s">
        <v>7026</v>
      </c>
      <c r="D3793" s="226" t="s">
        <v>11</v>
      </c>
      <c r="E3793" s="227">
        <v>3.29</v>
      </c>
      <c r="F3793" s="227"/>
      <c r="G3793" s="225" t="s">
        <v>6324</v>
      </c>
      <c r="H3793" s="235">
        <f t="shared" si="114"/>
        <v>0</v>
      </c>
    </row>
    <row r="3794" spans="1:8" s="215" customFormat="1" ht="38.25" hidden="1" customHeight="1" outlineLevel="1" x14ac:dyDescent="0.2">
      <c r="A3794" s="215" t="s">
        <v>1279</v>
      </c>
      <c r="B3794" s="228" t="s">
        <v>7054</v>
      </c>
      <c r="C3794" s="229" t="s">
        <v>7028</v>
      </c>
      <c r="D3794" s="230" t="s">
        <v>11</v>
      </c>
      <c r="E3794" s="231">
        <v>34</v>
      </c>
      <c r="F3794" s="231"/>
      <c r="G3794" s="229" t="s">
        <v>6310</v>
      </c>
      <c r="H3794" s="235">
        <f t="shared" si="114"/>
        <v>0</v>
      </c>
    </row>
    <row r="3795" spans="1:8" s="215" customFormat="1" ht="38.25" hidden="1" customHeight="1" outlineLevel="1" x14ac:dyDescent="0.2">
      <c r="A3795" s="215" t="s">
        <v>1279</v>
      </c>
      <c r="B3795" s="224" t="s">
        <v>7055</v>
      </c>
      <c r="C3795" s="225" t="s">
        <v>7030</v>
      </c>
      <c r="D3795" s="226" t="s">
        <v>11</v>
      </c>
      <c r="E3795" s="227">
        <v>11.27</v>
      </c>
      <c r="F3795" s="227"/>
      <c r="G3795" s="225" t="s">
        <v>6312</v>
      </c>
      <c r="H3795" s="235">
        <f t="shared" si="114"/>
        <v>0</v>
      </c>
    </row>
    <row r="3796" spans="1:8" s="215" customFormat="1" ht="38.25" hidden="1" customHeight="1" outlineLevel="1" x14ac:dyDescent="0.2">
      <c r="A3796" s="215" t="s">
        <v>1279</v>
      </c>
      <c r="B3796" s="228" t="s">
        <v>7056</v>
      </c>
      <c r="C3796" s="229" t="s">
        <v>6997</v>
      </c>
      <c r="D3796" s="230" t="s">
        <v>11</v>
      </c>
      <c r="E3796" s="231">
        <v>17.559999999999999</v>
      </c>
      <c r="F3796" s="231"/>
      <c r="G3796" s="229" t="s">
        <v>6329</v>
      </c>
      <c r="H3796" s="235">
        <f t="shared" si="114"/>
        <v>0</v>
      </c>
    </row>
    <row r="3797" spans="1:8" s="215" customFormat="1" ht="38.25" hidden="1" customHeight="1" outlineLevel="1" x14ac:dyDescent="0.2">
      <c r="A3797" s="215" t="s">
        <v>1279</v>
      </c>
      <c r="B3797" s="224" t="s">
        <v>7057</v>
      </c>
      <c r="C3797" s="225" t="s">
        <v>6999</v>
      </c>
      <c r="D3797" s="226" t="s">
        <v>11</v>
      </c>
      <c r="E3797" s="227">
        <v>73.069999999999993</v>
      </c>
      <c r="F3797" s="227"/>
      <c r="G3797" s="225" t="s">
        <v>6314</v>
      </c>
      <c r="H3797" s="235">
        <f t="shared" si="114"/>
        <v>0</v>
      </c>
    </row>
    <row r="3798" spans="1:8" s="215" customFormat="1" ht="38.25" hidden="1" customHeight="1" outlineLevel="1" x14ac:dyDescent="0.2">
      <c r="A3798" s="215" t="s">
        <v>1279</v>
      </c>
      <c r="B3798" s="228" t="s">
        <v>7058</v>
      </c>
      <c r="C3798" s="229" t="s">
        <v>7034</v>
      </c>
      <c r="D3798" s="230" t="s">
        <v>11</v>
      </c>
      <c r="E3798" s="231">
        <v>5.15</v>
      </c>
      <c r="F3798" s="231"/>
      <c r="G3798" s="229" t="s">
        <v>6333</v>
      </c>
      <c r="H3798" s="235">
        <f t="shared" si="114"/>
        <v>0</v>
      </c>
    </row>
    <row r="3799" spans="1:8" s="215" customFormat="1" ht="38.25" hidden="1" customHeight="1" outlineLevel="1" x14ac:dyDescent="0.2">
      <c r="A3799" s="215" t="s">
        <v>1279</v>
      </c>
      <c r="B3799" s="224" t="s">
        <v>7059</v>
      </c>
      <c r="C3799" s="225" t="s">
        <v>7001</v>
      </c>
      <c r="D3799" s="226" t="s">
        <v>11</v>
      </c>
      <c r="E3799" s="227">
        <v>20.329999999999998</v>
      </c>
      <c r="F3799" s="227"/>
      <c r="G3799" s="225" t="s">
        <v>6487</v>
      </c>
      <c r="H3799" s="235">
        <f t="shared" si="114"/>
        <v>0</v>
      </c>
    </row>
    <row r="3800" spans="1:8" s="215" customFormat="1" ht="38.25" hidden="1" customHeight="1" outlineLevel="1" x14ac:dyDescent="0.2">
      <c r="A3800" s="215" t="s">
        <v>1279</v>
      </c>
      <c r="B3800" s="228" t="s">
        <v>7060</v>
      </c>
      <c r="C3800" s="229" t="s">
        <v>7003</v>
      </c>
      <c r="D3800" s="230" t="s">
        <v>11</v>
      </c>
      <c r="E3800" s="231">
        <v>42.21</v>
      </c>
      <c r="F3800" s="231"/>
      <c r="G3800" s="229" t="s">
        <v>6316</v>
      </c>
      <c r="H3800" s="235">
        <f t="shared" si="114"/>
        <v>0</v>
      </c>
    </row>
    <row r="3801" spans="1:8" s="215" customFormat="1" ht="12.75" hidden="1" customHeight="1" outlineLevel="1" x14ac:dyDescent="0.2">
      <c r="A3801" s="215" t="s">
        <v>1279</v>
      </c>
      <c r="B3801" s="216" t="s">
        <v>6346</v>
      </c>
      <c r="C3801" s="217" t="s">
        <v>2962</v>
      </c>
      <c r="D3801" s="218"/>
      <c r="E3801" s="219"/>
      <c r="F3801" s="219"/>
      <c r="G3801" s="225" t="s">
        <v>6318</v>
      </c>
      <c r="H3801" s="235">
        <f t="shared" si="114"/>
        <v>0</v>
      </c>
    </row>
    <row r="3802" spans="1:8" s="215" customFormat="1" ht="38.25" hidden="1" customHeight="1" outlineLevel="1" x14ac:dyDescent="0.2">
      <c r="A3802" s="215" t="s">
        <v>1279</v>
      </c>
      <c r="B3802" s="224" t="s">
        <v>6347</v>
      </c>
      <c r="C3802" s="225" t="s">
        <v>7004</v>
      </c>
      <c r="D3802" s="226" t="s">
        <v>11</v>
      </c>
      <c r="E3802" s="227">
        <v>2.5299999999999998</v>
      </c>
      <c r="F3802" s="227"/>
      <c r="G3802" s="229"/>
      <c r="H3802" s="235">
        <f t="shared" si="114"/>
        <v>0</v>
      </c>
    </row>
    <row r="3803" spans="1:8" s="215" customFormat="1" ht="38.25" hidden="1" customHeight="1" outlineLevel="1" x14ac:dyDescent="0.2">
      <c r="A3803" s="215" t="s">
        <v>1279</v>
      </c>
      <c r="B3803" s="228" t="s">
        <v>6348</v>
      </c>
      <c r="C3803" s="229" t="s">
        <v>6980</v>
      </c>
      <c r="D3803" s="230" t="s">
        <v>11</v>
      </c>
      <c r="E3803" s="231">
        <v>3.54</v>
      </c>
      <c r="F3803" s="231"/>
      <c r="G3803" s="225"/>
      <c r="H3803" s="235">
        <f t="shared" si="114"/>
        <v>0</v>
      </c>
    </row>
    <row r="3804" spans="1:8" s="215" customFormat="1" ht="38.25" hidden="1" customHeight="1" outlineLevel="1" x14ac:dyDescent="0.2">
      <c r="A3804" s="215" t="s">
        <v>1279</v>
      </c>
      <c r="B3804" s="224" t="s">
        <v>6349</v>
      </c>
      <c r="C3804" s="225" t="s">
        <v>6981</v>
      </c>
      <c r="D3804" s="226" t="s">
        <v>11</v>
      </c>
      <c r="E3804" s="227">
        <v>1.49</v>
      </c>
      <c r="F3804" s="227"/>
      <c r="G3804" s="229"/>
      <c r="H3804" s="235">
        <f t="shared" si="114"/>
        <v>0</v>
      </c>
    </row>
    <row r="3805" spans="1:8" s="215" customFormat="1" ht="38.25" hidden="1" customHeight="1" outlineLevel="1" x14ac:dyDescent="0.2">
      <c r="A3805" s="215" t="s">
        <v>1279</v>
      </c>
      <c r="B3805" s="228" t="s">
        <v>6350</v>
      </c>
      <c r="C3805" s="229" t="s">
        <v>6983</v>
      </c>
      <c r="D3805" s="230" t="s">
        <v>11</v>
      </c>
      <c r="E3805" s="231">
        <v>10.78</v>
      </c>
      <c r="F3805" s="231"/>
      <c r="G3805" s="225"/>
      <c r="H3805" s="235">
        <f t="shared" si="114"/>
        <v>0</v>
      </c>
    </row>
    <row r="3806" spans="1:8" s="215" customFormat="1" ht="38.25" hidden="1" customHeight="1" outlineLevel="1" x14ac:dyDescent="0.2">
      <c r="A3806" s="215" t="s">
        <v>1279</v>
      </c>
      <c r="B3806" s="224" t="s">
        <v>6351</v>
      </c>
      <c r="C3806" s="225" t="s">
        <v>6984</v>
      </c>
      <c r="D3806" s="226" t="s">
        <v>11</v>
      </c>
      <c r="E3806" s="227">
        <v>15.02</v>
      </c>
      <c r="F3806" s="227"/>
      <c r="G3806" s="229"/>
      <c r="H3806" s="235">
        <f t="shared" si="114"/>
        <v>0</v>
      </c>
    </row>
    <row r="3807" spans="1:8" s="215" customFormat="1" ht="38.25" hidden="1" customHeight="1" outlineLevel="1" x14ac:dyDescent="0.2">
      <c r="A3807" s="215" t="s">
        <v>1279</v>
      </c>
      <c r="B3807" s="228" t="s">
        <v>6352</v>
      </c>
      <c r="C3807" s="229" t="s">
        <v>7005</v>
      </c>
      <c r="D3807" s="230" t="s">
        <v>11</v>
      </c>
      <c r="E3807" s="231">
        <v>2.81</v>
      </c>
      <c r="F3807" s="231"/>
    </row>
    <row r="3808" spans="1:8" s="215" customFormat="1" ht="38.25" hidden="1" customHeight="1" outlineLevel="1" x14ac:dyDescent="0.2">
      <c r="A3808" s="215" t="s">
        <v>1279</v>
      </c>
      <c r="B3808" s="224" t="s">
        <v>6353</v>
      </c>
      <c r="C3808" s="225" t="s">
        <v>7038</v>
      </c>
      <c r="D3808" s="226" t="s">
        <v>11</v>
      </c>
      <c r="E3808" s="227">
        <v>7.67</v>
      </c>
      <c r="F3808" s="227"/>
    </row>
    <row r="3809" spans="1:10" s="215" customFormat="1" ht="38.25" hidden="1" customHeight="1" outlineLevel="1" x14ac:dyDescent="0.2">
      <c r="A3809" s="215" t="s">
        <v>1279</v>
      </c>
      <c r="B3809" s="228" t="s">
        <v>6354</v>
      </c>
      <c r="C3809" s="229" t="s">
        <v>6985</v>
      </c>
      <c r="D3809" s="230" t="s">
        <v>11</v>
      </c>
      <c r="E3809" s="231">
        <v>27.08</v>
      </c>
      <c r="F3809" s="231"/>
    </row>
    <row r="3810" spans="1:10" s="215" customFormat="1" ht="38.25" hidden="1" customHeight="1" outlineLevel="1" x14ac:dyDescent="0.2">
      <c r="A3810" s="215" t="s">
        <v>1279</v>
      </c>
      <c r="B3810" s="224" t="s">
        <v>6355</v>
      </c>
      <c r="C3810" s="225" t="s">
        <v>6986</v>
      </c>
      <c r="D3810" s="226" t="s">
        <v>11</v>
      </c>
      <c r="E3810" s="227">
        <v>29.73</v>
      </c>
      <c r="F3810" s="227"/>
    </row>
    <row r="3811" spans="1:10" s="215" customFormat="1" ht="38.25" hidden="1" customHeight="1" outlineLevel="1" x14ac:dyDescent="0.2">
      <c r="A3811" s="215" t="s">
        <v>1279</v>
      </c>
      <c r="B3811" s="228" t="s">
        <v>6356</v>
      </c>
      <c r="C3811" s="229" t="s">
        <v>7006</v>
      </c>
      <c r="D3811" s="230" t="s">
        <v>11</v>
      </c>
      <c r="E3811" s="231">
        <v>2.17</v>
      </c>
      <c r="F3811" s="231"/>
    </row>
    <row r="3812" spans="1:10" s="215" customFormat="1" ht="38.25" hidden="1" customHeight="1" outlineLevel="1" x14ac:dyDescent="0.2">
      <c r="A3812" s="215" t="s">
        <v>1279</v>
      </c>
      <c r="B3812" s="224" t="s">
        <v>6357</v>
      </c>
      <c r="C3812" s="225" t="s">
        <v>7007</v>
      </c>
      <c r="D3812" s="226" t="s">
        <v>11</v>
      </c>
      <c r="E3812" s="227">
        <v>3.16</v>
      </c>
      <c r="F3812" s="227"/>
    </row>
    <row r="3813" spans="1:10" s="215" customFormat="1" ht="12.75" hidden="1" customHeight="1" outlineLevel="1" x14ac:dyDescent="0.2">
      <c r="A3813" s="215" t="s">
        <v>1279</v>
      </c>
      <c r="B3813" s="228" t="s">
        <v>7061</v>
      </c>
      <c r="C3813" s="229" t="s">
        <v>6987</v>
      </c>
      <c r="D3813" s="230" t="s">
        <v>11</v>
      </c>
      <c r="E3813" s="231">
        <v>4.13</v>
      </c>
      <c r="F3813" s="231"/>
    </row>
    <row r="3814" spans="1:10" s="215" customFormat="1" ht="38.25" hidden="1" customHeight="1" outlineLevel="1" x14ac:dyDescent="0.2">
      <c r="A3814" s="215" t="s">
        <v>1279</v>
      </c>
      <c r="B3814" s="224" t="s">
        <v>7062</v>
      </c>
      <c r="C3814" s="225" t="s">
        <v>7010</v>
      </c>
      <c r="D3814" s="226" t="s">
        <v>11</v>
      </c>
      <c r="E3814" s="227">
        <v>11.34</v>
      </c>
      <c r="F3814" s="227"/>
    </row>
    <row r="3815" spans="1:10" s="215" customFormat="1" ht="38.25" hidden="1" customHeight="1" outlineLevel="1" x14ac:dyDescent="0.2">
      <c r="A3815" s="215" t="s">
        <v>1279</v>
      </c>
      <c r="B3815" s="228" t="s">
        <v>7063</v>
      </c>
      <c r="C3815" s="229" t="s">
        <v>7012</v>
      </c>
      <c r="D3815" s="230" t="s">
        <v>11</v>
      </c>
      <c r="E3815" s="231">
        <v>3.47</v>
      </c>
      <c r="F3815" s="231"/>
    </row>
    <row r="3816" spans="1:10" s="215" customFormat="1" ht="38.25" hidden="1" customHeight="1" outlineLevel="1" x14ac:dyDescent="0.2">
      <c r="A3816" s="215" t="s">
        <v>1279</v>
      </c>
      <c r="B3816" s="224" t="s">
        <v>7064</v>
      </c>
      <c r="C3816" s="225" t="s">
        <v>7014</v>
      </c>
      <c r="D3816" s="226" t="s">
        <v>11</v>
      </c>
      <c r="E3816" s="227">
        <v>12.49</v>
      </c>
      <c r="F3816" s="227"/>
    </row>
    <row r="3817" spans="1:10" s="215" customFormat="1" ht="38.25" hidden="1" customHeight="1" outlineLevel="1" x14ac:dyDescent="0.2">
      <c r="A3817" s="215" t="s">
        <v>1279</v>
      </c>
      <c r="B3817" s="228" t="s">
        <v>7065</v>
      </c>
      <c r="C3817" s="229" t="s">
        <v>6989</v>
      </c>
      <c r="D3817" s="230" t="s">
        <v>11</v>
      </c>
      <c r="E3817" s="231">
        <v>23.29</v>
      </c>
      <c r="F3817" s="231"/>
    </row>
    <row r="3818" spans="1:10" s="215" customFormat="1" ht="38.25" hidden="1" customHeight="1" outlineLevel="1" x14ac:dyDescent="0.2">
      <c r="A3818" s="215" t="s">
        <v>1279</v>
      </c>
      <c r="B3818" s="224" t="s">
        <v>7066</v>
      </c>
      <c r="C3818" s="225" t="s">
        <v>6991</v>
      </c>
      <c r="D3818" s="226" t="s">
        <v>11</v>
      </c>
      <c r="E3818" s="227">
        <v>17.13</v>
      </c>
      <c r="F3818" s="227"/>
    </row>
    <row r="3819" spans="1:10" s="215" customFormat="1" ht="38.25" hidden="1" customHeight="1" outlineLevel="1" x14ac:dyDescent="0.2">
      <c r="A3819" s="215" t="s">
        <v>1279</v>
      </c>
      <c r="B3819" s="228" t="s">
        <v>7067</v>
      </c>
      <c r="C3819" s="229" t="s">
        <v>7018</v>
      </c>
      <c r="D3819" s="230" t="s">
        <v>11</v>
      </c>
      <c r="E3819" s="231">
        <v>3.3</v>
      </c>
      <c r="F3819" s="231"/>
    </row>
    <row r="3820" spans="1:10" s="215" customFormat="1" ht="38.25" hidden="1" customHeight="1" outlineLevel="1" x14ac:dyDescent="0.2">
      <c r="A3820" s="215" t="s">
        <v>1279</v>
      </c>
      <c r="B3820" s="224" t="s">
        <v>7068</v>
      </c>
      <c r="C3820" s="225" t="s">
        <v>7020</v>
      </c>
      <c r="D3820" s="226" t="s">
        <v>11</v>
      </c>
      <c r="E3820" s="227">
        <v>1.86</v>
      </c>
      <c r="F3820" s="227"/>
      <c r="G3820" s="241"/>
      <c r="H3820" s="241"/>
      <c r="I3820" s="241"/>
      <c r="J3820" s="403"/>
    </row>
    <row r="3821" spans="1:10" s="215" customFormat="1" ht="38.25" hidden="1" customHeight="1" outlineLevel="1" x14ac:dyDescent="0.2">
      <c r="A3821" s="215" t="s">
        <v>1279</v>
      </c>
      <c r="B3821" s="228" t="s">
        <v>7069</v>
      </c>
      <c r="C3821" s="229" t="s">
        <v>6993</v>
      </c>
      <c r="D3821" s="230" t="s">
        <v>11</v>
      </c>
      <c r="E3821" s="231">
        <v>14.34</v>
      </c>
      <c r="F3821" s="231"/>
      <c r="G3821" s="241"/>
      <c r="H3821" s="241"/>
      <c r="I3821" s="241"/>
      <c r="J3821" s="403"/>
    </row>
    <row r="3822" spans="1:10" s="215" customFormat="1" ht="38.25" hidden="1" customHeight="1" outlineLevel="1" x14ac:dyDescent="0.2">
      <c r="A3822" s="215" t="s">
        <v>1279</v>
      </c>
      <c r="B3822" s="224" t="s">
        <v>7070</v>
      </c>
      <c r="C3822" s="225" t="s">
        <v>6995</v>
      </c>
      <c r="D3822" s="226" t="s">
        <v>11</v>
      </c>
      <c r="E3822" s="227">
        <v>6.99</v>
      </c>
      <c r="F3822" s="227"/>
      <c r="G3822" s="241"/>
      <c r="H3822" s="241"/>
      <c r="I3822" s="241"/>
      <c r="J3822" s="403"/>
    </row>
    <row r="3823" spans="1:10" s="215" customFormat="1" ht="38.25" hidden="1" customHeight="1" outlineLevel="1" x14ac:dyDescent="0.2">
      <c r="A3823" s="215" t="s">
        <v>1279</v>
      </c>
      <c r="B3823" s="228" t="s">
        <v>7071</v>
      </c>
      <c r="C3823" s="229" t="s">
        <v>7024</v>
      </c>
      <c r="D3823" s="230" t="s">
        <v>11</v>
      </c>
      <c r="E3823" s="231">
        <v>2.2000000000000002</v>
      </c>
      <c r="F3823" s="231"/>
      <c r="G3823" s="241"/>
      <c r="H3823" s="241"/>
      <c r="I3823" s="241"/>
      <c r="J3823" s="403"/>
    </row>
    <row r="3824" spans="1:10" s="215" customFormat="1" ht="38.25" hidden="1" customHeight="1" outlineLevel="1" x14ac:dyDescent="0.2">
      <c r="A3824" s="215" t="s">
        <v>1279</v>
      </c>
      <c r="B3824" s="224" t="s">
        <v>7072</v>
      </c>
      <c r="C3824" s="225" t="s">
        <v>7026</v>
      </c>
      <c r="D3824" s="226" t="s">
        <v>11</v>
      </c>
      <c r="E3824" s="227">
        <v>13.09</v>
      </c>
      <c r="F3824" s="227"/>
    </row>
    <row r="3825" spans="1:6" s="215" customFormat="1" ht="12.75" hidden="1" customHeight="1" outlineLevel="1" x14ac:dyDescent="0.2">
      <c r="A3825" s="215" t="s">
        <v>1279</v>
      </c>
      <c r="B3825" s="228" t="s">
        <v>7073</v>
      </c>
      <c r="C3825" s="229" t="s">
        <v>7028</v>
      </c>
      <c r="D3825" s="230" t="s">
        <v>11</v>
      </c>
      <c r="E3825" s="231">
        <v>19.75</v>
      </c>
      <c r="F3825" s="231"/>
    </row>
    <row r="3826" spans="1:6" s="215" customFormat="1" ht="38.25" hidden="1" customHeight="1" outlineLevel="1" x14ac:dyDescent="0.2">
      <c r="A3826" s="215" t="s">
        <v>1279</v>
      </c>
      <c r="B3826" s="224" t="s">
        <v>7074</v>
      </c>
      <c r="C3826" s="225" t="s">
        <v>7030</v>
      </c>
      <c r="D3826" s="226" t="s">
        <v>11</v>
      </c>
      <c r="E3826" s="227">
        <v>3.54</v>
      </c>
      <c r="F3826" s="227"/>
    </row>
    <row r="3827" spans="1:6" s="215" customFormat="1" ht="38.25" hidden="1" customHeight="1" outlineLevel="1" x14ac:dyDescent="0.2">
      <c r="A3827" s="215" t="s">
        <v>1279</v>
      </c>
      <c r="B3827" s="228" t="s">
        <v>7075</v>
      </c>
      <c r="C3827" s="229" t="s">
        <v>6997</v>
      </c>
      <c r="D3827" s="230" t="s">
        <v>11</v>
      </c>
      <c r="E3827" s="231">
        <v>19.79</v>
      </c>
      <c r="F3827" s="231"/>
    </row>
    <row r="3828" spans="1:6" s="215" customFormat="1" ht="38.25" hidden="1" customHeight="1" outlineLevel="1" x14ac:dyDescent="0.2">
      <c r="A3828" s="215" t="s">
        <v>1279</v>
      </c>
      <c r="B3828" s="224" t="s">
        <v>7076</v>
      </c>
      <c r="C3828" s="225" t="s">
        <v>6999</v>
      </c>
      <c r="D3828" s="226" t="s">
        <v>11</v>
      </c>
      <c r="E3828" s="227">
        <v>55.76</v>
      </c>
      <c r="F3828" s="227"/>
    </row>
    <row r="3829" spans="1:6" s="215" customFormat="1" ht="38.25" hidden="1" customHeight="1" outlineLevel="1" x14ac:dyDescent="0.2">
      <c r="A3829" s="215" t="s">
        <v>1279</v>
      </c>
      <c r="B3829" s="228" t="s">
        <v>7077</v>
      </c>
      <c r="C3829" s="229" t="s">
        <v>7001</v>
      </c>
      <c r="D3829" s="230" t="s">
        <v>11</v>
      </c>
      <c r="E3829" s="231">
        <v>11.84</v>
      </c>
      <c r="F3829" s="231"/>
    </row>
    <row r="3830" spans="1:6" s="215" customFormat="1" ht="38.25" hidden="1" customHeight="1" outlineLevel="1" x14ac:dyDescent="0.2">
      <c r="A3830" s="215" t="s">
        <v>1279</v>
      </c>
      <c r="B3830" s="224" t="s">
        <v>7078</v>
      </c>
      <c r="C3830" s="225" t="s">
        <v>7003</v>
      </c>
      <c r="D3830" s="226" t="s">
        <v>11</v>
      </c>
      <c r="E3830" s="227">
        <v>74.83</v>
      </c>
      <c r="F3830" s="227"/>
    </row>
    <row r="3831" spans="1:6" s="215" customFormat="1" ht="38.25" hidden="1" customHeight="1" outlineLevel="1" x14ac:dyDescent="0.2">
      <c r="A3831" s="215" t="s">
        <v>1279</v>
      </c>
      <c r="B3831" s="216" t="s">
        <v>6358</v>
      </c>
      <c r="C3831" s="217" t="s">
        <v>2963</v>
      </c>
      <c r="D3831" s="218"/>
      <c r="E3831" s="219"/>
      <c r="F3831" s="219"/>
    </row>
    <row r="3832" spans="1:6" s="215" customFormat="1" ht="38.25" hidden="1" customHeight="1" outlineLevel="1" x14ac:dyDescent="0.2">
      <c r="A3832" s="215" t="s">
        <v>1279</v>
      </c>
      <c r="B3832" s="228" t="s">
        <v>6359</v>
      </c>
      <c r="C3832" s="229" t="s">
        <v>7004</v>
      </c>
      <c r="D3832" s="230" t="s">
        <v>11</v>
      </c>
      <c r="E3832" s="231">
        <v>4.21</v>
      </c>
      <c r="F3832" s="231"/>
    </row>
    <row r="3833" spans="1:6" s="215" customFormat="1" ht="38.25" hidden="1" customHeight="1" outlineLevel="1" x14ac:dyDescent="0.2">
      <c r="A3833" s="215" t="s">
        <v>1279</v>
      </c>
      <c r="B3833" s="224" t="s">
        <v>6360</v>
      </c>
      <c r="C3833" s="225" t="s">
        <v>6980</v>
      </c>
      <c r="D3833" s="226" t="s">
        <v>11</v>
      </c>
      <c r="E3833" s="227">
        <v>5.4</v>
      </c>
      <c r="F3833" s="227"/>
    </row>
    <row r="3834" spans="1:6" s="215" customFormat="1" ht="38.25" hidden="1" customHeight="1" outlineLevel="1" x14ac:dyDescent="0.2">
      <c r="A3834" s="215" t="s">
        <v>1279</v>
      </c>
      <c r="B3834" s="228" t="s">
        <v>6361</v>
      </c>
      <c r="C3834" s="229" t="s">
        <v>6981</v>
      </c>
      <c r="D3834" s="230" t="s">
        <v>11</v>
      </c>
      <c r="E3834" s="231">
        <v>1.5</v>
      </c>
      <c r="F3834" s="231"/>
    </row>
    <row r="3835" spans="1:6" s="215" customFormat="1" ht="38.25" hidden="1" customHeight="1" outlineLevel="1" x14ac:dyDescent="0.2">
      <c r="A3835" s="215" t="s">
        <v>1279</v>
      </c>
      <c r="B3835" s="224" t="s">
        <v>6362</v>
      </c>
      <c r="C3835" s="225" t="s">
        <v>6983</v>
      </c>
      <c r="D3835" s="226" t="s">
        <v>11</v>
      </c>
      <c r="E3835" s="227">
        <v>10.06</v>
      </c>
      <c r="F3835" s="227"/>
    </row>
    <row r="3836" spans="1:6" s="215" customFormat="1" ht="38.25" hidden="1" customHeight="1" outlineLevel="1" x14ac:dyDescent="0.2">
      <c r="A3836" s="215" t="s">
        <v>1279</v>
      </c>
      <c r="B3836" s="228" t="s">
        <v>6363</v>
      </c>
      <c r="C3836" s="229" t="s">
        <v>6984</v>
      </c>
      <c r="D3836" s="230" t="s">
        <v>11</v>
      </c>
      <c r="E3836" s="231">
        <v>14.16</v>
      </c>
      <c r="F3836" s="231"/>
    </row>
    <row r="3837" spans="1:6" s="215" customFormat="1" ht="12.75" hidden="1" customHeight="1" outlineLevel="1" x14ac:dyDescent="0.2">
      <c r="A3837" s="215" t="s">
        <v>1279</v>
      </c>
      <c r="B3837" s="224" t="s">
        <v>6364</v>
      </c>
      <c r="C3837" s="225" t="s">
        <v>7005</v>
      </c>
      <c r="D3837" s="226" t="s">
        <v>11</v>
      </c>
      <c r="E3837" s="227">
        <v>2.8</v>
      </c>
      <c r="F3837" s="227"/>
    </row>
    <row r="3838" spans="1:6" s="215" customFormat="1" ht="38.25" hidden="1" customHeight="1" outlineLevel="1" x14ac:dyDescent="0.2">
      <c r="A3838" s="215" t="s">
        <v>1279</v>
      </c>
      <c r="B3838" s="228" t="s">
        <v>6365</v>
      </c>
      <c r="C3838" s="229" t="s">
        <v>7038</v>
      </c>
      <c r="D3838" s="230" t="s">
        <v>11</v>
      </c>
      <c r="E3838" s="231">
        <v>7.72</v>
      </c>
      <c r="F3838" s="231"/>
    </row>
    <row r="3839" spans="1:6" s="215" customFormat="1" ht="38.25" hidden="1" customHeight="1" outlineLevel="1" x14ac:dyDescent="0.2">
      <c r="A3839" s="215" t="s">
        <v>1279</v>
      </c>
      <c r="B3839" s="224" t="s">
        <v>6366</v>
      </c>
      <c r="C3839" s="225" t="s">
        <v>6985</v>
      </c>
      <c r="D3839" s="226" t="s">
        <v>11</v>
      </c>
      <c r="E3839" s="227">
        <v>30.02</v>
      </c>
      <c r="F3839" s="227"/>
    </row>
    <row r="3840" spans="1:6" s="215" customFormat="1" ht="38.25" hidden="1" customHeight="1" outlineLevel="1" x14ac:dyDescent="0.2">
      <c r="A3840" s="215" t="s">
        <v>1279</v>
      </c>
      <c r="B3840" s="228" t="s">
        <v>6367</v>
      </c>
      <c r="C3840" s="229" t="s">
        <v>6986</v>
      </c>
      <c r="D3840" s="230" t="s">
        <v>11</v>
      </c>
      <c r="E3840" s="231">
        <v>29.08</v>
      </c>
      <c r="F3840" s="231"/>
    </row>
    <row r="3841" spans="1:6" s="215" customFormat="1" ht="38.25" hidden="1" customHeight="1" outlineLevel="1" x14ac:dyDescent="0.2">
      <c r="A3841" s="215" t="s">
        <v>1279</v>
      </c>
      <c r="B3841" s="224" t="s">
        <v>6368</v>
      </c>
      <c r="C3841" s="225" t="s">
        <v>7006</v>
      </c>
      <c r="D3841" s="226" t="s">
        <v>11</v>
      </c>
      <c r="E3841" s="227">
        <v>2.17</v>
      </c>
      <c r="F3841" s="227"/>
    </row>
    <row r="3842" spans="1:6" s="215" customFormat="1" ht="38.25" hidden="1" customHeight="1" outlineLevel="1" x14ac:dyDescent="0.2">
      <c r="A3842" s="215" t="s">
        <v>1279</v>
      </c>
      <c r="B3842" s="228" t="s">
        <v>6369</v>
      </c>
      <c r="C3842" s="229" t="s">
        <v>7007</v>
      </c>
      <c r="D3842" s="230" t="s">
        <v>11</v>
      </c>
      <c r="E3842" s="231">
        <v>3.54</v>
      </c>
      <c r="F3842" s="231"/>
    </row>
    <row r="3843" spans="1:6" s="215" customFormat="1" ht="38.25" hidden="1" customHeight="1" outlineLevel="1" x14ac:dyDescent="0.2">
      <c r="A3843" s="215" t="s">
        <v>1279</v>
      </c>
      <c r="B3843" s="224" t="s">
        <v>7079</v>
      </c>
      <c r="C3843" s="225" t="s">
        <v>6987</v>
      </c>
      <c r="D3843" s="226" t="s">
        <v>11</v>
      </c>
      <c r="E3843" s="227">
        <v>4.05</v>
      </c>
      <c r="F3843" s="227"/>
    </row>
    <row r="3844" spans="1:6" s="215" customFormat="1" ht="38.25" hidden="1" customHeight="1" outlineLevel="1" x14ac:dyDescent="0.2">
      <c r="A3844" s="215" t="s">
        <v>1279</v>
      </c>
      <c r="B3844" s="228" t="s">
        <v>7080</v>
      </c>
      <c r="C3844" s="229" t="s">
        <v>7010</v>
      </c>
      <c r="D3844" s="230" t="s">
        <v>11</v>
      </c>
      <c r="E3844" s="231">
        <v>11.29</v>
      </c>
      <c r="F3844" s="231"/>
    </row>
    <row r="3845" spans="1:6" s="215" customFormat="1" ht="38.25" hidden="1" customHeight="1" outlineLevel="1" x14ac:dyDescent="0.2">
      <c r="A3845" s="215" t="s">
        <v>1279</v>
      </c>
      <c r="B3845" s="224" t="s">
        <v>7081</v>
      </c>
      <c r="C3845" s="225" t="s">
        <v>7012</v>
      </c>
      <c r="D3845" s="226" t="s">
        <v>11</v>
      </c>
      <c r="E3845" s="227">
        <v>4.62</v>
      </c>
      <c r="F3845" s="227"/>
    </row>
    <row r="3846" spans="1:6" s="215" customFormat="1" ht="38.25" hidden="1" customHeight="1" outlineLevel="1" x14ac:dyDescent="0.2">
      <c r="A3846" s="215" t="s">
        <v>1279</v>
      </c>
      <c r="B3846" s="228" t="s">
        <v>7082</v>
      </c>
      <c r="C3846" s="229" t="s">
        <v>7014</v>
      </c>
      <c r="D3846" s="230" t="s">
        <v>11</v>
      </c>
      <c r="E3846" s="231">
        <v>14.75</v>
      </c>
      <c r="F3846" s="231"/>
    </row>
    <row r="3847" spans="1:6" s="215" customFormat="1" ht="38.25" hidden="1" customHeight="1" outlineLevel="1" x14ac:dyDescent="0.2">
      <c r="A3847" s="215" t="s">
        <v>1279</v>
      </c>
      <c r="B3847" s="224" t="s">
        <v>7083</v>
      </c>
      <c r="C3847" s="225" t="s">
        <v>6989</v>
      </c>
      <c r="D3847" s="226" t="s">
        <v>11</v>
      </c>
      <c r="E3847" s="227">
        <v>28.04</v>
      </c>
      <c r="F3847" s="227"/>
    </row>
    <row r="3848" spans="1:6" s="215" customFormat="1" ht="38.25" hidden="1" customHeight="1" outlineLevel="1" x14ac:dyDescent="0.2">
      <c r="A3848" s="215" t="s">
        <v>1279</v>
      </c>
      <c r="B3848" s="228" t="s">
        <v>7084</v>
      </c>
      <c r="C3848" s="229" t="s">
        <v>6991</v>
      </c>
      <c r="D3848" s="230" t="s">
        <v>11</v>
      </c>
      <c r="E3848" s="231">
        <v>6.85</v>
      </c>
      <c r="F3848" s="231"/>
    </row>
    <row r="3849" spans="1:6" s="215" customFormat="1" ht="12.75" hidden="1" customHeight="1" outlineLevel="1" x14ac:dyDescent="0.2">
      <c r="A3849" s="215" t="s">
        <v>1279</v>
      </c>
      <c r="B3849" s="224" t="s">
        <v>7085</v>
      </c>
      <c r="C3849" s="225" t="s">
        <v>7018</v>
      </c>
      <c r="D3849" s="226" t="s">
        <v>11</v>
      </c>
      <c r="E3849" s="227">
        <v>3.3</v>
      </c>
      <c r="F3849" s="227"/>
    </row>
    <row r="3850" spans="1:6" s="215" customFormat="1" ht="38.25" hidden="1" customHeight="1" outlineLevel="1" x14ac:dyDescent="0.2">
      <c r="A3850" s="215" t="s">
        <v>1279</v>
      </c>
      <c r="B3850" s="228" t="s">
        <v>7086</v>
      </c>
      <c r="C3850" s="229" t="s">
        <v>7020</v>
      </c>
      <c r="D3850" s="230" t="s">
        <v>11</v>
      </c>
      <c r="E3850" s="231">
        <v>3.61</v>
      </c>
      <c r="F3850" s="231"/>
    </row>
    <row r="3851" spans="1:6" s="215" customFormat="1" ht="38.25" hidden="1" customHeight="1" outlineLevel="1" x14ac:dyDescent="0.2">
      <c r="A3851" s="215" t="s">
        <v>1279</v>
      </c>
      <c r="B3851" s="224" t="s">
        <v>7087</v>
      </c>
      <c r="C3851" s="225" t="s">
        <v>6993</v>
      </c>
      <c r="D3851" s="226" t="s">
        <v>11</v>
      </c>
      <c r="E3851" s="227">
        <v>14.64</v>
      </c>
      <c r="F3851" s="227"/>
    </row>
    <row r="3852" spans="1:6" s="215" customFormat="1" ht="38.25" hidden="1" customHeight="1" outlineLevel="1" x14ac:dyDescent="0.2">
      <c r="A3852" s="215" t="s">
        <v>1279</v>
      </c>
      <c r="B3852" s="228" t="s">
        <v>7088</v>
      </c>
      <c r="C3852" s="229" t="s">
        <v>6995</v>
      </c>
      <c r="D3852" s="230" t="s">
        <v>11</v>
      </c>
      <c r="E3852" s="231">
        <v>6.69</v>
      </c>
      <c r="F3852" s="231"/>
    </row>
    <row r="3853" spans="1:6" s="215" customFormat="1" ht="38.25" hidden="1" customHeight="1" outlineLevel="1" x14ac:dyDescent="0.2">
      <c r="A3853" s="215" t="s">
        <v>1279</v>
      </c>
      <c r="B3853" s="224" t="s">
        <v>7089</v>
      </c>
      <c r="C3853" s="225" t="s">
        <v>7024</v>
      </c>
      <c r="D3853" s="226" t="s">
        <v>11</v>
      </c>
      <c r="E3853" s="227">
        <v>3.78</v>
      </c>
      <c r="F3853" s="227"/>
    </row>
    <row r="3854" spans="1:6" s="215" customFormat="1" ht="38.25" hidden="1" customHeight="1" outlineLevel="1" x14ac:dyDescent="0.2">
      <c r="A3854" s="215" t="s">
        <v>1279</v>
      </c>
      <c r="B3854" s="228" t="s">
        <v>7090</v>
      </c>
      <c r="C3854" s="229" t="s">
        <v>7026</v>
      </c>
      <c r="D3854" s="230" t="s">
        <v>11</v>
      </c>
      <c r="E3854" s="231">
        <v>12.51</v>
      </c>
      <c r="F3854" s="231"/>
    </row>
    <row r="3855" spans="1:6" s="215" customFormat="1" ht="38.25" hidden="1" customHeight="1" outlineLevel="1" x14ac:dyDescent="0.2">
      <c r="A3855" s="215" t="s">
        <v>1279</v>
      </c>
      <c r="B3855" s="224" t="s">
        <v>7091</v>
      </c>
      <c r="C3855" s="225" t="s">
        <v>7028</v>
      </c>
      <c r="D3855" s="226" t="s">
        <v>11</v>
      </c>
      <c r="E3855" s="227">
        <v>20.32</v>
      </c>
      <c r="F3855" s="227"/>
    </row>
    <row r="3856" spans="1:6" s="215" customFormat="1" ht="38.25" hidden="1" customHeight="1" outlineLevel="1" x14ac:dyDescent="0.2">
      <c r="A3856" s="215" t="s">
        <v>1279</v>
      </c>
      <c r="B3856" s="228" t="s">
        <v>7092</v>
      </c>
      <c r="C3856" s="229" t="s">
        <v>7030</v>
      </c>
      <c r="D3856" s="230" t="s">
        <v>11</v>
      </c>
      <c r="E3856" s="231">
        <v>3.44</v>
      </c>
      <c r="F3856" s="231"/>
    </row>
    <row r="3857" spans="1:10" s="215" customFormat="1" ht="38.25" hidden="1" customHeight="1" outlineLevel="1" x14ac:dyDescent="0.2">
      <c r="A3857" s="215" t="s">
        <v>1279</v>
      </c>
      <c r="B3857" s="224" t="s">
        <v>7093</v>
      </c>
      <c r="C3857" s="225" t="s">
        <v>6997</v>
      </c>
      <c r="D3857" s="226" t="s">
        <v>11</v>
      </c>
      <c r="E3857" s="227">
        <v>19.86</v>
      </c>
      <c r="F3857" s="227"/>
    </row>
    <row r="3858" spans="1:10" s="215" customFormat="1" ht="38.25" hidden="1" customHeight="1" outlineLevel="1" x14ac:dyDescent="0.2">
      <c r="A3858" s="215" t="s">
        <v>1279</v>
      </c>
      <c r="B3858" s="228" t="s">
        <v>7094</v>
      </c>
      <c r="C3858" s="229" t="s">
        <v>6999</v>
      </c>
      <c r="D3858" s="230" t="s">
        <v>11</v>
      </c>
      <c r="E3858" s="231">
        <v>35.89</v>
      </c>
      <c r="F3858" s="231"/>
    </row>
    <row r="3859" spans="1:10" s="215" customFormat="1" ht="38.25" hidden="1" customHeight="1" outlineLevel="1" x14ac:dyDescent="0.2">
      <c r="A3859" s="215" t="s">
        <v>1279</v>
      </c>
      <c r="B3859" s="224" t="s">
        <v>7095</v>
      </c>
      <c r="C3859" s="225" t="s">
        <v>7001</v>
      </c>
      <c r="D3859" s="226" t="s">
        <v>11</v>
      </c>
      <c r="E3859" s="227">
        <v>11.84</v>
      </c>
      <c r="F3859" s="227"/>
    </row>
    <row r="3860" spans="1:10" s="215" customFormat="1" ht="38.25" hidden="1" customHeight="1" outlineLevel="1" x14ac:dyDescent="0.2">
      <c r="A3860" s="215" t="s">
        <v>1279</v>
      </c>
      <c r="B3860" s="228" t="s">
        <v>7096</v>
      </c>
      <c r="C3860" s="229" t="s">
        <v>7003</v>
      </c>
      <c r="D3860" s="230" t="s">
        <v>11</v>
      </c>
      <c r="E3860" s="231">
        <v>11.84</v>
      </c>
      <c r="F3860" s="231"/>
      <c r="J3860" s="403"/>
    </row>
    <row r="3861" spans="1:10" s="215" customFormat="1" ht="12.75" hidden="1" customHeight="1" outlineLevel="1" x14ac:dyDescent="0.2">
      <c r="A3861" s="215" t="s">
        <v>1279</v>
      </c>
      <c r="B3861" s="216" t="s">
        <v>6370</v>
      </c>
      <c r="C3861" s="217" t="s">
        <v>2964</v>
      </c>
      <c r="D3861" s="218"/>
      <c r="E3861" s="219"/>
      <c r="F3861" s="219"/>
      <c r="J3861" s="403"/>
    </row>
    <row r="3862" spans="1:10" s="215" customFormat="1" ht="38.25" hidden="1" customHeight="1" outlineLevel="1" x14ac:dyDescent="0.2">
      <c r="A3862" s="215" t="s">
        <v>1279</v>
      </c>
      <c r="B3862" s="224" t="s">
        <v>6371</v>
      </c>
      <c r="C3862" s="225" t="s">
        <v>7004</v>
      </c>
      <c r="D3862" s="226" t="s">
        <v>11</v>
      </c>
      <c r="E3862" s="227">
        <v>2.5299999999999998</v>
      </c>
      <c r="F3862" s="227"/>
      <c r="J3862" s="403"/>
    </row>
    <row r="3863" spans="1:10" s="215" customFormat="1" ht="38.25" hidden="1" customHeight="1" outlineLevel="1" x14ac:dyDescent="0.2">
      <c r="A3863" s="215" t="s">
        <v>1279</v>
      </c>
      <c r="B3863" s="228" t="s">
        <v>6372</v>
      </c>
      <c r="C3863" s="229" t="s">
        <v>6980</v>
      </c>
      <c r="D3863" s="230" t="s">
        <v>11</v>
      </c>
      <c r="E3863" s="231">
        <v>3.51</v>
      </c>
      <c r="F3863" s="231"/>
      <c r="G3863" s="241"/>
      <c r="H3863" s="241"/>
      <c r="I3863" s="241"/>
      <c r="J3863" s="403"/>
    </row>
    <row r="3864" spans="1:10" s="215" customFormat="1" ht="38.25" hidden="1" customHeight="1" outlineLevel="1" x14ac:dyDescent="0.2">
      <c r="A3864" s="215" t="s">
        <v>1279</v>
      </c>
      <c r="B3864" s="224" t="s">
        <v>6373</v>
      </c>
      <c r="C3864" s="225" t="s">
        <v>6981</v>
      </c>
      <c r="D3864" s="226" t="s">
        <v>11</v>
      </c>
      <c r="E3864" s="227">
        <v>1.49</v>
      </c>
      <c r="F3864" s="227"/>
      <c r="G3864" s="241"/>
      <c r="H3864" s="241"/>
      <c r="I3864" s="241"/>
      <c r="J3864" s="403"/>
    </row>
    <row r="3865" spans="1:10" s="215" customFormat="1" ht="38.25" hidden="1" customHeight="1" outlineLevel="1" x14ac:dyDescent="0.2">
      <c r="A3865" s="215" t="s">
        <v>1279</v>
      </c>
      <c r="B3865" s="228" t="s">
        <v>6374</v>
      </c>
      <c r="C3865" s="229" t="s">
        <v>6983</v>
      </c>
      <c r="D3865" s="230" t="s">
        <v>11</v>
      </c>
      <c r="E3865" s="231">
        <v>10.8</v>
      </c>
      <c r="F3865" s="231"/>
      <c r="G3865" s="241"/>
      <c r="H3865" s="241"/>
      <c r="I3865" s="241"/>
      <c r="J3865" s="403"/>
    </row>
    <row r="3866" spans="1:10" s="215" customFormat="1" ht="38.25" hidden="1" customHeight="1" outlineLevel="1" x14ac:dyDescent="0.2">
      <c r="A3866" s="215" t="s">
        <v>1279</v>
      </c>
      <c r="B3866" s="224" t="s">
        <v>6375</v>
      </c>
      <c r="C3866" s="225" t="s">
        <v>6984</v>
      </c>
      <c r="D3866" s="226" t="s">
        <v>11</v>
      </c>
      <c r="E3866" s="227">
        <v>15.07</v>
      </c>
      <c r="F3866" s="227"/>
      <c r="G3866" s="241"/>
      <c r="H3866" s="241"/>
      <c r="I3866" s="241"/>
      <c r="J3866" s="403"/>
    </row>
    <row r="3867" spans="1:10" s="215" customFormat="1" ht="38.25" hidden="1" customHeight="1" outlineLevel="1" x14ac:dyDescent="0.2">
      <c r="A3867" s="215" t="s">
        <v>1279</v>
      </c>
      <c r="B3867" s="228" t="s">
        <v>6376</v>
      </c>
      <c r="C3867" s="229" t="s">
        <v>7005</v>
      </c>
      <c r="D3867" s="230" t="s">
        <v>11</v>
      </c>
      <c r="E3867" s="231">
        <v>2.8</v>
      </c>
      <c r="F3867" s="231"/>
      <c r="G3867" s="241"/>
      <c r="H3867" s="241"/>
      <c r="I3867" s="241"/>
      <c r="J3867" s="403"/>
    </row>
    <row r="3868" spans="1:10" s="215" customFormat="1" ht="38.25" hidden="1" customHeight="1" outlineLevel="1" x14ac:dyDescent="0.2">
      <c r="A3868" s="215" t="s">
        <v>1279</v>
      </c>
      <c r="B3868" s="224" t="s">
        <v>6377</v>
      </c>
      <c r="C3868" s="225" t="s">
        <v>7038</v>
      </c>
      <c r="D3868" s="226" t="s">
        <v>11</v>
      </c>
      <c r="E3868" s="227">
        <v>7.72</v>
      </c>
      <c r="F3868" s="227"/>
    </row>
    <row r="3869" spans="1:10" s="215" customFormat="1" ht="38.25" hidden="1" customHeight="1" outlineLevel="1" x14ac:dyDescent="0.2">
      <c r="A3869" s="215" t="s">
        <v>1279</v>
      </c>
      <c r="B3869" s="228" t="s">
        <v>6378</v>
      </c>
      <c r="C3869" s="229" t="s">
        <v>6985</v>
      </c>
      <c r="D3869" s="230" t="s">
        <v>11</v>
      </c>
      <c r="E3869" s="231">
        <v>27.21</v>
      </c>
      <c r="F3869" s="231"/>
    </row>
    <row r="3870" spans="1:10" s="215" customFormat="1" ht="38.25" hidden="1" customHeight="1" outlineLevel="1" x14ac:dyDescent="0.2">
      <c r="A3870" s="215" t="s">
        <v>1279</v>
      </c>
      <c r="B3870" s="224" t="s">
        <v>6379</v>
      </c>
      <c r="C3870" s="225" t="s">
        <v>6986</v>
      </c>
      <c r="D3870" s="226" t="s">
        <v>11</v>
      </c>
      <c r="E3870" s="227">
        <v>30.04</v>
      </c>
      <c r="F3870" s="227"/>
    </row>
    <row r="3871" spans="1:10" s="215" customFormat="1" ht="38.25" hidden="1" customHeight="1" outlineLevel="1" x14ac:dyDescent="0.2">
      <c r="A3871" s="215" t="s">
        <v>1279</v>
      </c>
      <c r="B3871" s="228" t="s">
        <v>6380</v>
      </c>
      <c r="C3871" s="229" t="s">
        <v>7006</v>
      </c>
      <c r="D3871" s="230" t="s">
        <v>11</v>
      </c>
      <c r="E3871" s="231">
        <v>2.17</v>
      </c>
      <c r="F3871" s="231"/>
    </row>
    <row r="3872" spans="1:10" s="215" customFormat="1" ht="38.25" hidden="1" customHeight="1" outlineLevel="1" x14ac:dyDescent="0.2">
      <c r="A3872" s="215" t="s">
        <v>1279</v>
      </c>
      <c r="B3872" s="224" t="s">
        <v>6381</v>
      </c>
      <c r="C3872" s="225" t="s">
        <v>7007</v>
      </c>
      <c r="D3872" s="226" t="s">
        <v>11</v>
      </c>
      <c r="E3872" s="227">
        <v>2.4300000000000002</v>
      </c>
      <c r="F3872" s="227"/>
    </row>
    <row r="3873" spans="1:6" s="215" customFormat="1" ht="12.75" hidden="1" customHeight="1" outlineLevel="1" x14ac:dyDescent="0.2">
      <c r="A3873" s="215" t="s">
        <v>1279</v>
      </c>
      <c r="B3873" s="228" t="s">
        <v>7097</v>
      </c>
      <c r="C3873" s="229" t="s">
        <v>6987</v>
      </c>
      <c r="D3873" s="230" t="s">
        <v>11</v>
      </c>
      <c r="E3873" s="231">
        <v>4.05</v>
      </c>
      <c r="F3873" s="231"/>
    </row>
    <row r="3874" spans="1:6" s="215" customFormat="1" ht="38.25" hidden="1" customHeight="1" outlineLevel="1" x14ac:dyDescent="0.2">
      <c r="A3874" s="215" t="s">
        <v>1279</v>
      </c>
      <c r="B3874" s="224" t="s">
        <v>7098</v>
      </c>
      <c r="C3874" s="225" t="s">
        <v>7010</v>
      </c>
      <c r="D3874" s="226" t="s">
        <v>11</v>
      </c>
      <c r="E3874" s="227">
        <v>11.29</v>
      </c>
      <c r="F3874" s="227"/>
    </row>
    <row r="3875" spans="1:6" s="215" customFormat="1" ht="38.25" hidden="1" customHeight="1" outlineLevel="1" x14ac:dyDescent="0.2">
      <c r="A3875" s="215" t="s">
        <v>1279</v>
      </c>
      <c r="B3875" s="228" t="s">
        <v>7099</v>
      </c>
      <c r="C3875" s="229" t="s">
        <v>7012</v>
      </c>
      <c r="D3875" s="230" t="s">
        <v>11</v>
      </c>
      <c r="E3875" s="231">
        <v>3.5</v>
      </c>
      <c r="F3875" s="231"/>
    </row>
    <row r="3876" spans="1:6" s="215" customFormat="1" ht="38.25" hidden="1" customHeight="1" outlineLevel="1" x14ac:dyDescent="0.2">
      <c r="A3876" s="215" t="s">
        <v>1279</v>
      </c>
      <c r="B3876" s="224" t="s">
        <v>7100</v>
      </c>
      <c r="C3876" s="225" t="s">
        <v>7014</v>
      </c>
      <c r="D3876" s="226" t="s">
        <v>11</v>
      </c>
      <c r="E3876" s="227">
        <v>12.22</v>
      </c>
      <c r="F3876" s="227"/>
    </row>
    <row r="3877" spans="1:6" s="215" customFormat="1" ht="38.25" hidden="1" customHeight="1" outlineLevel="1" x14ac:dyDescent="0.2">
      <c r="A3877" s="215" t="s">
        <v>1279</v>
      </c>
      <c r="B3877" s="228" t="s">
        <v>7101</v>
      </c>
      <c r="C3877" s="229" t="s">
        <v>6989</v>
      </c>
      <c r="D3877" s="230" t="s">
        <v>11</v>
      </c>
      <c r="E3877" s="231">
        <v>24.44</v>
      </c>
      <c r="F3877" s="231"/>
    </row>
    <row r="3878" spans="1:6" s="215" customFormat="1" ht="38.25" hidden="1" customHeight="1" outlineLevel="1" x14ac:dyDescent="0.2">
      <c r="A3878" s="215" t="s">
        <v>1279</v>
      </c>
      <c r="B3878" s="224" t="s">
        <v>7102</v>
      </c>
      <c r="C3878" s="225" t="s">
        <v>6991</v>
      </c>
      <c r="D3878" s="226" t="s">
        <v>11</v>
      </c>
      <c r="E3878" s="227">
        <v>6.46</v>
      </c>
      <c r="F3878" s="227"/>
    </row>
    <row r="3879" spans="1:6" s="215" customFormat="1" ht="38.25" hidden="1" customHeight="1" outlineLevel="1" x14ac:dyDescent="0.2">
      <c r="A3879" s="215" t="s">
        <v>1279</v>
      </c>
      <c r="B3879" s="228" t="s">
        <v>7103</v>
      </c>
      <c r="C3879" s="229" t="s">
        <v>7018</v>
      </c>
      <c r="D3879" s="230" t="s">
        <v>11</v>
      </c>
      <c r="E3879" s="231">
        <v>3.47</v>
      </c>
      <c r="F3879" s="231"/>
    </row>
    <row r="3880" spans="1:6" s="215" customFormat="1" ht="38.25" hidden="1" customHeight="1" outlineLevel="1" x14ac:dyDescent="0.2">
      <c r="A3880" s="215" t="s">
        <v>1279</v>
      </c>
      <c r="B3880" s="224" t="s">
        <v>7104</v>
      </c>
      <c r="C3880" s="225" t="s">
        <v>7020</v>
      </c>
      <c r="D3880" s="226" t="s">
        <v>11</v>
      </c>
      <c r="E3880" s="227">
        <v>3.08</v>
      </c>
      <c r="F3880" s="227"/>
    </row>
    <row r="3881" spans="1:6" s="215" customFormat="1" ht="38.25" hidden="1" customHeight="1" outlineLevel="1" x14ac:dyDescent="0.2">
      <c r="A3881" s="215" t="s">
        <v>1279</v>
      </c>
      <c r="B3881" s="228" t="s">
        <v>7105</v>
      </c>
      <c r="C3881" s="229" t="s">
        <v>6993</v>
      </c>
      <c r="D3881" s="230" t="s">
        <v>11</v>
      </c>
      <c r="E3881" s="231">
        <v>16.03</v>
      </c>
      <c r="F3881" s="231"/>
    </row>
    <row r="3882" spans="1:6" s="215" customFormat="1" ht="38.25" hidden="1" customHeight="1" outlineLevel="1" x14ac:dyDescent="0.2">
      <c r="A3882" s="215" t="s">
        <v>1279</v>
      </c>
      <c r="B3882" s="224" t="s">
        <v>7106</v>
      </c>
      <c r="C3882" s="225" t="s">
        <v>6995</v>
      </c>
      <c r="D3882" s="226" t="s">
        <v>11</v>
      </c>
      <c r="E3882" s="227">
        <v>6.86</v>
      </c>
      <c r="F3882" s="227"/>
    </row>
    <row r="3883" spans="1:6" s="215" customFormat="1" ht="38.25" hidden="1" customHeight="1" outlineLevel="1" x14ac:dyDescent="0.2">
      <c r="A3883" s="215" t="s">
        <v>1279</v>
      </c>
      <c r="B3883" s="228" t="s">
        <v>7107</v>
      </c>
      <c r="C3883" s="229" t="s">
        <v>7024</v>
      </c>
      <c r="D3883" s="230" t="s">
        <v>11</v>
      </c>
      <c r="E3883" s="231">
        <v>2.2000000000000002</v>
      </c>
      <c r="F3883" s="231"/>
    </row>
    <row r="3884" spans="1:6" s="215" customFormat="1" ht="38.25" hidden="1" customHeight="1" outlineLevel="1" x14ac:dyDescent="0.2">
      <c r="A3884" s="215" t="s">
        <v>1279</v>
      </c>
      <c r="B3884" s="224" t="s">
        <v>7108</v>
      </c>
      <c r="C3884" s="225" t="s">
        <v>7026</v>
      </c>
      <c r="D3884" s="226" t="s">
        <v>11</v>
      </c>
      <c r="E3884" s="227">
        <v>12.55</v>
      </c>
      <c r="F3884" s="227"/>
    </row>
    <row r="3885" spans="1:6" s="215" customFormat="1" ht="12.75" hidden="1" customHeight="1" outlineLevel="1" x14ac:dyDescent="0.2">
      <c r="A3885" s="215" t="s">
        <v>1279</v>
      </c>
      <c r="B3885" s="228" t="s">
        <v>7109</v>
      </c>
      <c r="C3885" s="229" t="s">
        <v>7028</v>
      </c>
      <c r="D3885" s="230" t="s">
        <v>11</v>
      </c>
      <c r="E3885" s="231">
        <v>15.71</v>
      </c>
      <c r="F3885" s="231"/>
    </row>
    <row r="3886" spans="1:6" s="215" customFormat="1" ht="38.25" hidden="1" customHeight="1" outlineLevel="1" x14ac:dyDescent="0.2">
      <c r="A3886" s="215" t="s">
        <v>1279</v>
      </c>
      <c r="B3886" s="224" t="s">
        <v>7110</v>
      </c>
      <c r="C3886" s="225" t="s">
        <v>7030</v>
      </c>
      <c r="D3886" s="226" t="s">
        <v>11</v>
      </c>
      <c r="E3886" s="227">
        <v>3.44</v>
      </c>
      <c r="F3886" s="227"/>
    </row>
    <row r="3887" spans="1:6" s="215" customFormat="1" ht="38.25" hidden="1" customHeight="1" outlineLevel="1" x14ac:dyDescent="0.2">
      <c r="A3887" s="215" t="s">
        <v>1279</v>
      </c>
      <c r="B3887" s="228" t="s">
        <v>7111</v>
      </c>
      <c r="C3887" s="229" t="s">
        <v>6997</v>
      </c>
      <c r="D3887" s="230" t="s">
        <v>11</v>
      </c>
      <c r="E3887" s="231">
        <v>19.86</v>
      </c>
      <c r="F3887" s="231"/>
    </row>
    <row r="3888" spans="1:6" s="215" customFormat="1" ht="38.25" hidden="1" customHeight="1" outlineLevel="1" x14ac:dyDescent="0.2">
      <c r="A3888" s="215" t="s">
        <v>1279</v>
      </c>
      <c r="B3888" s="224" t="s">
        <v>7112</v>
      </c>
      <c r="C3888" s="225" t="s">
        <v>6999</v>
      </c>
      <c r="D3888" s="226" t="s">
        <v>11</v>
      </c>
      <c r="E3888" s="227">
        <v>35.89</v>
      </c>
      <c r="F3888" s="227"/>
    </row>
    <row r="3889" spans="1:10" s="215" customFormat="1" ht="38.25" hidden="1" customHeight="1" outlineLevel="1" x14ac:dyDescent="0.2">
      <c r="A3889" s="215" t="s">
        <v>1279</v>
      </c>
      <c r="B3889" s="228" t="s">
        <v>7113</v>
      </c>
      <c r="C3889" s="229" t="s">
        <v>7001</v>
      </c>
      <c r="D3889" s="230" t="s">
        <v>11</v>
      </c>
      <c r="E3889" s="231">
        <v>11.84</v>
      </c>
      <c r="F3889" s="231"/>
    </row>
    <row r="3890" spans="1:10" s="215" customFormat="1" ht="38.25" hidden="1" customHeight="1" outlineLevel="1" x14ac:dyDescent="0.2">
      <c r="A3890" s="215" t="s">
        <v>1279</v>
      </c>
      <c r="B3890" s="224" t="s">
        <v>7114</v>
      </c>
      <c r="C3890" s="225" t="s">
        <v>7003</v>
      </c>
      <c r="D3890" s="226" t="s">
        <v>11</v>
      </c>
      <c r="E3890" s="227">
        <v>12.6</v>
      </c>
      <c r="F3890" s="227"/>
    </row>
    <row r="3891" spans="1:10" s="215" customFormat="1" ht="38.25" hidden="1" customHeight="1" outlineLevel="1" x14ac:dyDescent="0.2">
      <c r="A3891" s="215" t="s">
        <v>1279</v>
      </c>
      <c r="B3891" s="216" t="s">
        <v>6382</v>
      </c>
      <c r="C3891" s="217" t="s">
        <v>2965</v>
      </c>
      <c r="D3891" s="218"/>
      <c r="E3891" s="219"/>
      <c r="F3891" s="219"/>
    </row>
    <row r="3892" spans="1:10" s="215" customFormat="1" ht="38.25" hidden="1" customHeight="1" outlineLevel="1" x14ac:dyDescent="0.2">
      <c r="A3892" s="215" t="s">
        <v>1279</v>
      </c>
      <c r="B3892" s="228" t="s">
        <v>6383</v>
      </c>
      <c r="C3892" s="229" t="s">
        <v>7004</v>
      </c>
      <c r="D3892" s="230" t="s">
        <v>11</v>
      </c>
      <c r="E3892" s="231">
        <v>4.21</v>
      </c>
      <c r="F3892" s="231"/>
    </row>
    <row r="3893" spans="1:10" s="215" customFormat="1" ht="38.25" hidden="1" customHeight="1" outlineLevel="1" x14ac:dyDescent="0.2">
      <c r="A3893" s="215" t="s">
        <v>1279</v>
      </c>
      <c r="B3893" s="224" t="s">
        <v>6384</v>
      </c>
      <c r="C3893" s="225" t="s">
        <v>6980</v>
      </c>
      <c r="D3893" s="226" t="s">
        <v>11</v>
      </c>
      <c r="E3893" s="227">
        <v>5.4</v>
      </c>
      <c r="F3893" s="227"/>
    </row>
    <row r="3894" spans="1:10" s="215" customFormat="1" ht="38.25" hidden="1" customHeight="1" outlineLevel="1" x14ac:dyDescent="0.2">
      <c r="A3894" s="215" t="s">
        <v>1279</v>
      </c>
      <c r="B3894" s="228" t="s">
        <v>6385</v>
      </c>
      <c r="C3894" s="229" t="s">
        <v>6981</v>
      </c>
      <c r="D3894" s="230" t="s">
        <v>11</v>
      </c>
      <c r="E3894" s="231">
        <v>1.5</v>
      </c>
      <c r="F3894" s="231"/>
    </row>
    <row r="3895" spans="1:10" s="215" customFormat="1" ht="38.25" hidden="1" customHeight="1" outlineLevel="1" x14ac:dyDescent="0.2">
      <c r="A3895" s="215" t="s">
        <v>1279</v>
      </c>
      <c r="B3895" s="224" t="s">
        <v>6386</v>
      </c>
      <c r="C3895" s="225" t="s">
        <v>6983</v>
      </c>
      <c r="D3895" s="226" t="s">
        <v>11</v>
      </c>
      <c r="E3895" s="227">
        <v>10.11</v>
      </c>
      <c r="F3895" s="227"/>
    </row>
    <row r="3896" spans="1:10" s="215" customFormat="1" ht="38.25" hidden="1" customHeight="1" outlineLevel="1" x14ac:dyDescent="0.2">
      <c r="A3896" s="215" t="s">
        <v>1279</v>
      </c>
      <c r="B3896" s="228" t="s">
        <v>6387</v>
      </c>
      <c r="C3896" s="229" t="s">
        <v>6984</v>
      </c>
      <c r="D3896" s="230" t="s">
        <v>11</v>
      </c>
      <c r="E3896" s="231">
        <v>14.16</v>
      </c>
      <c r="F3896" s="231"/>
    </row>
    <row r="3897" spans="1:10" s="215" customFormat="1" ht="12.75" hidden="1" customHeight="1" outlineLevel="1" x14ac:dyDescent="0.2">
      <c r="A3897" s="215" t="s">
        <v>1279</v>
      </c>
      <c r="B3897" s="224" t="s">
        <v>6388</v>
      </c>
      <c r="C3897" s="225" t="s">
        <v>7005</v>
      </c>
      <c r="D3897" s="226" t="s">
        <v>11</v>
      </c>
      <c r="E3897" s="227">
        <v>2.8</v>
      </c>
      <c r="F3897" s="227"/>
    </row>
    <row r="3898" spans="1:10" s="215" customFormat="1" ht="38.25" hidden="1" customHeight="1" outlineLevel="1" x14ac:dyDescent="0.2">
      <c r="A3898" s="215" t="s">
        <v>1279</v>
      </c>
      <c r="B3898" s="228" t="s">
        <v>6389</v>
      </c>
      <c r="C3898" s="229" t="s">
        <v>7038</v>
      </c>
      <c r="D3898" s="230" t="s">
        <v>11</v>
      </c>
      <c r="E3898" s="231">
        <v>7.72</v>
      </c>
      <c r="F3898" s="231"/>
    </row>
    <row r="3899" spans="1:10" s="215" customFormat="1" ht="38.25" hidden="1" customHeight="1" outlineLevel="1" x14ac:dyDescent="0.2">
      <c r="A3899" s="215" t="s">
        <v>1279</v>
      </c>
      <c r="B3899" s="224" t="s">
        <v>6390</v>
      </c>
      <c r="C3899" s="225" t="s">
        <v>6985</v>
      </c>
      <c r="D3899" s="226" t="s">
        <v>11</v>
      </c>
      <c r="E3899" s="227">
        <v>30.04</v>
      </c>
      <c r="F3899" s="227"/>
    </row>
    <row r="3900" spans="1:10" s="215" customFormat="1" ht="38.25" hidden="1" customHeight="1" outlineLevel="1" x14ac:dyDescent="0.2">
      <c r="A3900" s="215" t="s">
        <v>1279</v>
      </c>
      <c r="B3900" s="228" t="s">
        <v>6391</v>
      </c>
      <c r="C3900" s="229" t="s">
        <v>6986</v>
      </c>
      <c r="D3900" s="230" t="s">
        <v>11</v>
      </c>
      <c r="E3900" s="231">
        <v>29.17</v>
      </c>
      <c r="F3900" s="231"/>
    </row>
    <row r="3901" spans="1:10" s="215" customFormat="1" ht="38.25" hidden="1" customHeight="1" outlineLevel="1" x14ac:dyDescent="0.2">
      <c r="A3901" s="215" t="s">
        <v>1279</v>
      </c>
      <c r="B3901" s="224" t="s">
        <v>6392</v>
      </c>
      <c r="C3901" s="225" t="s">
        <v>7006</v>
      </c>
      <c r="D3901" s="226" t="s">
        <v>11</v>
      </c>
      <c r="E3901" s="227">
        <v>2.17</v>
      </c>
      <c r="F3901" s="227"/>
    </row>
    <row r="3902" spans="1:10" s="215" customFormat="1" ht="38.25" hidden="1" customHeight="1" outlineLevel="1" x14ac:dyDescent="0.2">
      <c r="A3902" s="215" t="s">
        <v>1279</v>
      </c>
      <c r="B3902" s="228" t="s">
        <v>6393</v>
      </c>
      <c r="C3902" s="229" t="s">
        <v>7007</v>
      </c>
      <c r="D3902" s="230" t="s">
        <v>11</v>
      </c>
      <c r="E3902" s="231">
        <v>3.54</v>
      </c>
      <c r="F3902" s="231"/>
    </row>
    <row r="3903" spans="1:10" s="215" customFormat="1" ht="38.25" hidden="1" customHeight="1" outlineLevel="1" x14ac:dyDescent="0.2">
      <c r="A3903" s="215" t="s">
        <v>1279</v>
      </c>
      <c r="B3903" s="224" t="s">
        <v>7115</v>
      </c>
      <c r="C3903" s="225" t="s">
        <v>6987</v>
      </c>
      <c r="D3903" s="226" t="s">
        <v>11</v>
      </c>
      <c r="E3903" s="227">
        <v>4.05</v>
      </c>
      <c r="F3903" s="227"/>
    </row>
    <row r="3904" spans="1:10" s="215" customFormat="1" ht="38.25" hidden="1" customHeight="1" outlineLevel="1" x14ac:dyDescent="0.2">
      <c r="A3904" s="215" t="s">
        <v>1279</v>
      </c>
      <c r="B3904" s="228" t="s">
        <v>7116</v>
      </c>
      <c r="C3904" s="229" t="s">
        <v>7010</v>
      </c>
      <c r="D3904" s="230" t="s">
        <v>11</v>
      </c>
      <c r="E3904" s="231">
        <v>11.29</v>
      </c>
      <c r="F3904" s="231"/>
      <c r="G3904" s="241"/>
      <c r="H3904" s="241"/>
      <c r="I3904" s="241"/>
      <c r="J3904" s="403"/>
    </row>
    <row r="3905" spans="1:10" s="215" customFormat="1" ht="38.25" hidden="1" customHeight="1" outlineLevel="1" x14ac:dyDescent="0.2">
      <c r="A3905" s="215" t="s">
        <v>1279</v>
      </c>
      <c r="B3905" s="224" t="s">
        <v>7117</v>
      </c>
      <c r="C3905" s="225" t="s">
        <v>7012</v>
      </c>
      <c r="D3905" s="226" t="s">
        <v>11</v>
      </c>
      <c r="E3905" s="227">
        <v>4.62</v>
      </c>
      <c r="F3905" s="227"/>
      <c r="G3905" s="241"/>
      <c r="H3905" s="241"/>
      <c r="I3905" s="241"/>
      <c r="J3905" s="403"/>
    </row>
    <row r="3906" spans="1:10" s="215" customFormat="1" ht="38.25" hidden="1" customHeight="1" outlineLevel="1" x14ac:dyDescent="0.2">
      <c r="A3906" s="215" t="s">
        <v>1279</v>
      </c>
      <c r="B3906" s="228" t="s">
        <v>7118</v>
      </c>
      <c r="C3906" s="229" t="s">
        <v>7014</v>
      </c>
      <c r="D3906" s="230" t="s">
        <v>11</v>
      </c>
      <c r="E3906" s="231">
        <v>12.23</v>
      </c>
      <c r="F3906" s="231"/>
      <c r="G3906" s="241"/>
      <c r="H3906" s="241"/>
      <c r="I3906" s="241"/>
      <c r="J3906" s="403"/>
    </row>
    <row r="3907" spans="1:10" s="215" customFormat="1" ht="38.25" hidden="1" customHeight="1" outlineLevel="1" x14ac:dyDescent="0.2">
      <c r="A3907" s="215" t="s">
        <v>1279</v>
      </c>
      <c r="B3907" s="224" t="s">
        <v>7119</v>
      </c>
      <c r="C3907" s="225" t="s">
        <v>6989</v>
      </c>
      <c r="D3907" s="226" t="s">
        <v>11</v>
      </c>
      <c r="E3907" s="227">
        <v>28.17</v>
      </c>
      <c r="F3907" s="227"/>
      <c r="G3907" s="241"/>
      <c r="H3907" s="241"/>
      <c r="I3907" s="241"/>
      <c r="J3907" s="403"/>
    </row>
    <row r="3908" spans="1:10" s="215" customFormat="1" ht="38.25" hidden="1" customHeight="1" outlineLevel="1" x14ac:dyDescent="0.2">
      <c r="A3908" s="215" t="s">
        <v>1279</v>
      </c>
      <c r="B3908" s="228" t="s">
        <v>7120</v>
      </c>
      <c r="C3908" s="229" t="s">
        <v>6991</v>
      </c>
      <c r="D3908" s="230" t="s">
        <v>11</v>
      </c>
      <c r="E3908" s="231">
        <v>12.39</v>
      </c>
      <c r="F3908" s="231"/>
    </row>
    <row r="3909" spans="1:10" s="215" customFormat="1" ht="12.75" hidden="1" customHeight="1" outlineLevel="1" x14ac:dyDescent="0.2">
      <c r="A3909" s="215" t="s">
        <v>1279</v>
      </c>
      <c r="B3909" s="224" t="s">
        <v>7121</v>
      </c>
      <c r="C3909" s="225" t="s">
        <v>7018</v>
      </c>
      <c r="D3909" s="226" t="s">
        <v>11</v>
      </c>
      <c r="E3909" s="227">
        <v>3.3</v>
      </c>
      <c r="F3909" s="227"/>
    </row>
    <row r="3910" spans="1:10" s="215" customFormat="1" ht="38.25" hidden="1" customHeight="1" outlineLevel="1" x14ac:dyDescent="0.2">
      <c r="A3910" s="215" t="s">
        <v>1279</v>
      </c>
      <c r="B3910" s="228" t="s">
        <v>7122</v>
      </c>
      <c r="C3910" s="229" t="s">
        <v>7020</v>
      </c>
      <c r="D3910" s="230" t="s">
        <v>11</v>
      </c>
      <c r="E3910" s="231">
        <v>3.61</v>
      </c>
      <c r="F3910" s="231"/>
    </row>
    <row r="3911" spans="1:10" s="215" customFormat="1" ht="38.25" hidden="1" customHeight="1" outlineLevel="1" x14ac:dyDescent="0.2">
      <c r="A3911" s="215" t="s">
        <v>1279</v>
      </c>
      <c r="B3911" s="224" t="s">
        <v>7123</v>
      </c>
      <c r="C3911" s="225" t="s">
        <v>6993</v>
      </c>
      <c r="D3911" s="226" t="s">
        <v>11</v>
      </c>
      <c r="E3911" s="227">
        <v>14.64</v>
      </c>
      <c r="F3911" s="227"/>
    </row>
    <row r="3912" spans="1:10" s="215" customFormat="1" ht="38.25" hidden="1" customHeight="1" outlineLevel="1" x14ac:dyDescent="0.2">
      <c r="A3912" s="215" t="s">
        <v>1279</v>
      </c>
      <c r="B3912" s="228" t="s">
        <v>7124</v>
      </c>
      <c r="C3912" s="229" t="s">
        <v>6995</v>
      </c>
      <c r="D3912" s="230" t="s">
        <v>11</v>
      </c>
      <c r="E3912" s="231">
        <v>6.72</v>
      </c>
      <c r="F3912" s="231"/>
    </row>
    <row r="3913" spans="1:10" s="215" customFormat="1" ht="38.25" hidden="1" customHeight="1" outlineLevel="1" x14ac:dyDescent="0.2">
      <c r="A3913" s="215" t="s">
        <v>1279</v>
      </c>
      <c r="B3913" s="224" t="s">
        <v>7125</v>
      </c>
      <c r="C3913" s="225" t="s">
        <v>7024</v>
      </c>
      <c r="D3913" s="226" t="s">
        <v>11</v>
      </c>
      <c r="E3913" s="227">
        <v>3.78</v>
      </c>
      <c r="F3913" s="227"/>
    </row>
    <row r="3914" spans="1:10" s="215" customFormat="1" ht="38.25" hidden="1" customHeight="1" outlineLevel="1" x14ac:dyDescent="0.2">
      <c r="A3914" s="215" t="s">
        <v>1279</v>
      </c>
      <c r="B3914" s="228" t="s">
        <v>7126</v>
      </c>
      <c r="C3914" s="229" t="s">
        <v>7026</v>
      </c>
      <c r="D3914" s="230" t="s">
        <v>11</v>
      </c>
      <c r="E3914" s="231">
        <v>12.51</v>
      </c>
      <c r="F3914" s="231"/>
    </row>
    <row r="3915" spans="1:10" s="215" customFormat="1" ht="38.25" hidden="1" customHeight="1" outlineLevel="1" x14ac:dyDescent="0.2">
      <c r="A3915" s="215" t="s">
        <v>1279</v>
      </c>
      <c r="B3915" s="224" t="s">
        <v>7127</v>
      </c>
      <c r="C3915" s="225" t="s">
        <v>7028</v>
      </c>
      <c r="D3915" s="226" t="s">
        <v>11</v>
      </c>
      <c r="E3915" s="227">
        <v>20.32</v>
      </c>
      <c r="F3915" s="227"/>
    </row>
    <row r="3916" spans="1:10" s="215" customFormat="1" ht="38.25" hidden="1" customHeight="1" outlineLevel="1" x14ac:dyDescent="0.2">
      <c r="A3916" s="215" t="s">
        <v>1279</v>
      </c>
      <c r="B3916" s="228" t="s">
        <v>7128</v>
      </c>
      <c r="C3916" s="229" t="s">
        <v>7030</v>
      </c>
      <c r="D3916" s="230" t="s">
        <v>11</v>
      </c>
      <c r="E3916" s="231">
        <v>3.42</v>
      </c>
      <c r="F3916" s="231"/>
    </row>
    <row r="3917" spans="1:10" s="215" customFormat="1" ht="38.25" hidden="1" customHeight="1" outlineLevel="1" x14ac:dyDescent="0.2">
      <c r="A3917" s="215" t="s">
        <v>1279</v>
      </c>
      <c r="B3917" s="224" t="s">
        <v>7129</v>
      </c>
      <c r="C3917" s="225" t="s">
        <v>6997</v>
      </c>
      <c r="D3917" s="226" t="s">
        <v>11</v>
      </c>
      <c r="E3917" s="227">
        <v>19.86</v>
      </c>
      <c r="F3917" s="227"/>
    </row>
    <row r="3918" spans="1:10" s="215" customFormat="1" ht="38.25" hidden="1" customHeight="1" outlineLevel="1" x14ac:dyDescent="0.2">
      <c r="A3918" s="215" t="s">
        <v>1279</v>
      </c>
      <c r="B3918" s="228" t="s">
        <v>7130</v>
      </c>
      <c r="C3918" s="229" t="s">
        <v>6999</v>
      </c>
      <c r="D3918" s="230" t="s">
        <v>11</v>
      </c>
      <c r="E3918" s="231">
        <v>35.89</v>
      </c>
      <c r="F3918" s="231"/>
    </row>
    <row r="3919" spans="1:10" s="215" customFormat="1" ht="38.25" hidden="1" customHeight="1" outlineLevel="1" x14ac:dyDescent="0.2">
      <c r="A3919" s="215" t="s">
        <v>1279</v>
      </c>
      <c r="B3919" s="224" t="s">
        <v>7131</v>
      </c>
      <c r="C3919" s="225" t="s">
        <v>7001</v>
      </c>
      <c r="D3919" s="226" t="s">
        <v>11</v>
      </c>
      <c r="E3919" s="227">
        <v>11.84</v>
      </c>
      <c r="F3919" s="227"/>
    </row>
    <row r="3920" spans="1:10" s="215" customFormat="1" ht="38.25" hidden="1" customHeight="1" outlineLevel="1" x14ac:dyDescent="0.2">
      <c r="A3920" s="215" t="s">
        <v>1279</v>
      </c>
      <c r="B3920" s="228" t="s">
        <v>7132</v>
      </c>
      <c r="C3920" s="229" t="s">
        <v>7003</v>
      </c>
      <c r="D3920" s="230" t="s">
        <v>11</v>
      </c>
      <c r="E3920" s="231">
        <v>11.84</v>
      </c>
      <c r="F3920" s="231"/>
    </row>
    <row r="3921" spans="1:6" s="215" customFormat="1" ht="12.75" hidden="1" customHeight="1" outlineLevel="1" x14ac:dyDescent="0.2">
      <c r="A3921" s="215" t="s">
        <v>1279</v>
      </c>
      <c r="B3921" s="216" t="s">
        <v>6394</v>
      </c>
      <c r="C3921" s="217" t="s">
        <v>2966</v>
      </c>
      <c r="D3921" s="218"/>
      <c r="E3921" s="219"/>
      <c r="F3921" s="219"/>
    </row>
    <row r="3922" spans="1:6" s="215" customFormat="1" ht="38.25" hidden="1" customHeight="1" outlineLevel="1" x14ac:dyDescent="0.2">
      <c r="A3922" s="215" t="s">
        <v>1279</v>
      </c>
      <c r="B3922" s="224" t="s">
        <v>6395</v>
      </c>
      <c r="C3922" s="225" t="s">
        <v>7004</v>
      </c>
      <c r="D3922" s="226" t="s">
        <v>11</v>
      </c>
      <c r="E3922" s="227">
        <v>5.0599999999999996</v>
      </c>
      <c r="F3922" s="227"/>
    </row>
    <row r="3923" spans="1:6" s="215" customFormat="1" ht="38.25" hidden="1" customHeight="1" outlineLevel="1" x14ac:dyDescent="0.2">
      <c r="A3923" s="215" t="s">
        <v>1279</v>
      </c>
      <c r="B3923" s="228" t="s">
        <v>6396</v>
      </c>
      <c r="C3923" s="229" t="s">
        <v>6980</v>
      </c>
      <c r="D3923" s="230" t="s">
        <v>11</v>
      </c>
      <c r="E3923" s="231">
        <v>3.51</v>
      </c>
      <c r="F3923" s="231"/>
    </row>
    <row r="3924" spans="1:6" s="215" customFormat="1" ht="38.25" hidden="1" customHeight="1" outlineLevel="1" x14ac:dyDescent="0.2">
      <c r="A3924" s="215" t="s">
        <v>1279</v>
      </c>
      <c r="B3924" s="224" t="s">
        <v>6397</v>
      </c>
      <c r="C3924" s="225" t="s">
        <v>6981</v>
      </c>
      <c r="D3924" s="226" t="s">
        <v>11</v>
      </c>
      <c r="E3924" s="227">
        <v>1.49</v>
      </c>
      <c r="F3924" s="227"/>
    </row>
    <row r="3925" spans="1:6" s="215" customFormat="1" ht="38.25" hidden="1" customHeight="1" outlineLevel="1" x14ac:dyDescent="0.2">
      <c r="A3925" s="215" t="s">
        <v>1279</v>
      </c>
      <c r="B3925" s="228" t="s">
        <v>6398</v>
      </c>
      <c r="C3925" s="229" t="s">
        <v>6983</v>
      </c>
      <c r="D3925" s="230" t="s">
        <v>11</v>
      </c>
      <c r="E3925" s="231">
        <v>10.8</v>
      </c>
      <c r="F3925" s="231"/>
    </row>
    <row r="3926" spans="1:6" s="215" customFormat="1" ht="38.25" hidden="1" customHeight="1" outlineLevel="1" x14ac:dyDescent="0.2">
      <c r="A3926" s="215" t="s">
        <v>1279</v>
      </c>
      <c r="B3926" s="224" t="s">
        <v>6399</v>
      </c>
      <c r="C3926" s="225" t="s">
        <v>6984</v>
      </c>
      <c r="D3926" s="226" t="s">
        <v>11</v>
      </c>
      <c r="E3926" s="227">
        <v>15.07</v>
      </c>
      <c r="F3926" s="227"/>
    </row>
    <row r="3927" spans="1:6" s="215" customFormat="1" ht="38.25" hidden="1" customHeight="1" outlineLevel="1" x14ac:dyDescent="0.2">
      <c r="A3927" s="215" t="s">
        <v>1279</v>
      </c>
      <c r="B3927" s="228" t="s">
        <v>6400</v>
      </c>
      <c r="C3927" s="229" t="s">
        <v>7005</v>
      </c>
      <c r="D3927" s="230" t="s">
        <v>11</v>
      </c>
      <c r="E3927" s="231">
        <v>2.8</v>
      </c>
      <c r="F3927" s="231"/>
    </row>
    <row r="3928" spans="1:6" s="215" customFormat="1" ht="38.25" hidden="1" customHeight="1" outlineLevel="1" x14ac:dyDescent="0.2">
      <c r="A3928" s="215" t="s">
        <v>1279</v>
      </c>
      <c r="B3928" s="224" t="s">
        <v>6401</v>
      </c>
      <c r="C3928" s="225" t="s">
        <v>7038</v>
      </c>
      <c r="D3928" s="226" t="s">
        <v>11</v>
      </c>
      <c r="E3928" s="227">
        <v>7.72</v>
      </c>
      <c r="F3928" s="227"/>
    </row>
    <row r="3929" spans="1:6" s="215" customFormat="1" ht="38.25" hidden="1" customHeight="1" outlineLevel="1" x14ac:dyDescent="0.2">
      <c r="A3929" s="215" t="s">
        <v>1279</v>
      </c>
      <c r="B3929" s="228" t="s">
        <v>6402</v>
      </c>
      <c r="C3929" s="229" t="s">
        <v>6985</v>
      </c>
      <c r="D3929" s="230" t="s">
        <v>11</v>
      </c>
      <c r="E3929" s="231">
        <v>27.24</v>
      </c>
      <c r="F3929" s="231"/>
    </row>
    <row r="3930" spans="1:6" s="215" customFormat="1" ht="38.25" hidden="1" customHeight="1" outlineLevel="1" x14ac:dyDescent="0.2">
      <c r="A3930" s="215" t="s">
        <v>1279</v>
      </c>
      <c r="B3930" s="224" t="s">
        <v>6403</v>
      </c>
      <c r="C3930" s="225" t="s">
        <v>6986</v>
      </c>
      <c r="D3930" s="226" t="s">
        <v>11</v>
      </c>
      <c r="E3930" s="227">
        <v>30.21</v>
      </c>
      <c r="F3930" s="227"/>
    </row>
    <row r="3931" spans="1:6" s="215" customFormat="1" ht="38.25" hidden="1" customHeight="1" outlineLevel="1" x14ac:dyDescent="0.2">
      <c r="A3931" s="215" t="s">
        <v>1279</v>
      </c>
      <c r="B3931" s="228" t="s">
        <v>6404</v>
      </c>
      <c r="C3931" s="229" t="s">
        <v>7006</v>
      </c>
      <c r="D3931" s="230" t="s">
        <v>11</v>
      </c>
      <c r="E3931" s="231">
        <v>2.16</v>
      </c>
      <c r="F3931" s="231"/>
    </row>
    <row r="3932" spans="1:6" s="215" customFormat="1" ht="38.25" hidden="1" customHeight="1" outlineLevel="1" x14ac:dyDescent="0.2">
      <c r="A3932" s="215" t="s">
        <v>1279</v>
      </c>
      <c r="B3932" s="224" t="s">
        <v>6405</v>
      </c>
      <c r="C3932" s="225" t="s">
        <v>7007</v>
      </c>
      <c r="D3932" s="226" t="s">
        <v>11</v>
      </c>
      <c r="E3932" s="227">
        <v>2.4300000000000002</v>
      </c>
      <c r="F3932" s="227"/>
    </row>
    <row r="3933" spans="1:6" s="215" customFormat="1" ht="12.75" hidden="1" customHeight="1" outlineLevel="1" x14ac:dyDescent="0.2">
      <c r="A3933" s="215" t="s">
        <v>1279</v>
      </c>
      <c r="B3933" s="228" t="s">
        <v>7133</v>
      </c>
      <c r="C3933" s="229" t="s">
        <v>6987</v>
      </c>
      <c r="D3933" s="230" t="s">
        <v>11</v>
      </c>
      <c r="E3933" s="231">
        <v>4.05</v>
      </c>
      <c r="F3933" s="231"/>
    </row>
    <row r="3934" spans="1:6" s="215" customFormat="1" ht="38.25" hidden="1" customHeight="1" outlineLevel="1" x14ac:dyDescent="0.2">
      <c r="A3934" s="215" t="s">
        <v>1279</v>
      </c>
      <c r="B3934" s="224" t="s">
        <v>7134</v>
      </c>
      <c r="C3934" s="225" t="s">
        <v>7010</v>
      </c>
      <c r="D3934" s="226" t="s">
        <v>11</v>
      </c>
      <c r="E3934" s="227">
        <v>11.29</v>
      </c>
      <c r="F3934" s="227"/>
    </row>
    <row r="3935" spans="1:6" s="215" customFormat="1" ht="38.25" hidden="1" customHeight="1" outlineLevel="1" x14ac:dyDescent="0.2">
      <c r="A3935" s="215" t="s">
        <v>1279</v>
      </c>
      <c r="B3935" s="228" t="s">
        <v>7135</v>
      </c>
      <c r="C3935" s="229" t="s">
        <v>7012</v>
      </c>
      <c r="D3935" s="230" t="s">
        <v>11</v>
      </c>
      <c r="E3935" s="231">
        <v>3.5</v>
      </c>
      <c r="F3935" s="231"/>
    </row>
    <row r="3936" spans="1:6" s="215" customFormat="1" ht="38.25" hidden="1" customHeight="1" outlineLevel="1" x14ac:dyDescent="0.2">
      <c r="A3936" s="215" t="s">
        <v>1279</v>
      </c>
      <c r="B3936" s="224" t="s">
        <v>7136</v>
      </c>
      <c r="C3936" s="225" t="s">
        <v>7014</v>
      </c>
      <c r="D3936" s="226" t="s">
        <v>11</v>
      </c>
      <c r="E3936" s="227">
        <v>12.22</v>
      </c>
      <c r="F3936" s="227"/>
    </row>
    <row r="3937" spans="1:10" s="215" customFormat="1" ht="38.25" hidden="1" customHeight="1" outlineLevel="1" x14ac:dyDescent="0.2">
      <c r="A3937" s="215" t="s">
        <v>1279</v>
      </c>
      <c r="B3937" s="228" t="s">
        <v>7137</v>
      </c>
      <c r="C3937" s="229" t="s">
        <v>6989</v>
      </c>
      <c r="D3937" s="230" t="s">
        <v>11</v>
      </c>
      <c r="E3937" s="231">
        <v>24.46</v>
      </c>
      <c r="F3937" s="231"/>
    </row>
    <row r="3938" spans="1:10" s="215" customFormat="1" ht="38.25" hidden="1" customHeight="1" outlineLevel="1" x14ac:dyDescent="0.2">
      <c r="A3938" s="215" t="s">
        <v>1279</v>
      </c>
      <c r="B3938" s="224" t="s">
        <v>7138</v>
      </c>
      <c r="C3938" s="225" t="s">
        <v>6991</v>
      </c>
      <c r="D3938" s="226" t="s">
        <v>11</v>
      </c>
      <c r="E3938" s="227">
        <v>6.46</v>
      </c>
      <c r="F3938" s="227"/>
    </row>
    <row r="3939" spans="1:10" s="215" customFormat="1" ht="38.25" hidden="1" customHeight="1" outlineLevel="1" x14ac:dyDescent="0.2">
      <c r="A3939" s="215" t="s">
        <v>1279</v>
      </c>
      <c r="B3939" s="228" t="s">
        <v>7139</v>
      </c>
      <c r="C3939" s="229" t="s">
        <v>7018</v>
      </c>
      <c r="D3939" s="230" t="s">
        <v>11</v>
      </c>
      <c r="E3939" s="231">
        <v>3.49</v>
      </c>
      <c r="F3939" s="231"/>
    </row>
    <row r="3940" spans="1:10" s="215" customFormat="1" ht="38.25" hidden="1" customHeight="1" outlineLevel="1" x14ac:dyDescent="0.2">
      <c r="A3940" s="215" t="s">
        <v>1279</v>
      </c>
      <c r="B3940" s="224" t="s">
        <v>7140</v>
      </c>
      <c r="C3940" s="225" t="s">
        <v>7020</v>
      </c>
      <c r="D3940" s="226" t="s">
        <v>11</v>
      </c>
      <c r="E3940" s="227">
        <v>3.08</v>
      </c>
      <c r="F3940" s="227"/>
    </row>
    <row r="3941" spans="1:10" s="215" customFormat="1" ht="38.25" hidden="1" customHeight="1" outlineLevel="1" x14ac:dyDescent="0.2">
      <c r="A3941" s="215" t="s">
        <v>1279</v>
      </c>
      <c r="B3941" s="228" t="s">
        <v>7141</v>
      </c>
      <c r="C3941" s="229" t="s">
        <v>6993</v>
      </c>
      <c r="D3941" s="230" t="s">
        <v>11</v>
      </c>
      <c r="E3941" s="231">
        <v>14.64</v>
      </c>
      <c r="F3941" s="231"/>
    </row>
    <row r="3942" spans="1:10" s="215" customFormat="1" ht="38.25" hidden="1" customHeight="1" outlineLevel="1" x14ac:dyDescent="0.2">
      <c r="A3942" s="215" t="s">
        <v>1279</v>
      </c>
      <c r="B3942" s="224" t="s">
        <v>7142</v>
      </c>
      <c r="C3942" s="225" t="s">
        <v>6995</v>
      </c>
      <c r="D3942" s="226" t="s">
        <v>11</v>
      </c>
      <c r="E3942" s="227">
        <v>6.87</v>
      </c>
      <c r="F3942" s="227"/>
    </row>
    <row r="3943" spans="1:10" s="215" customFormat="1" ht="38.25" hidden="1" customHeight="1" outlineLevel="1" x14ac:dyDescent="0.2">
      <c r="A3943" s="215" t="s">
        <v>1279</v>
      </c>
      <c r="B3943" s="228" t="s">
        <v>7143</v>
      </c>
      <c r="C3943" s="229" t="s">
        <v>7024</v>
      </c>
      <c r="D3943" s="230" t="s">
        <v>11</v>
      </c>
      <c r="E3943" s="231">
        <v>2.2000000000000002</v>
      </c>
      <c r="F3943" s="231"/>
    </row>
    <row r="3944" spans="1:10" s="215" customFormat="1" ht="38.25" hidden="1" customHeight="1" outlineLevel="1" x14ac:dyDescent="0.2">
      <c r="A3944" s="215" t="s">
        <v>1279</v>
      </c>
      <c r="B3944" s="224" t="s">
        <v>7144</v>
      </c>
      <c r="C3944" s="225" t="s">
        <v>7026</v>
      </c>
      <c r="D3944" s="226" t="s">
        <v>11</v>
      </c>
      <c r="E3944" s="227">
        <v>12.99</v>
      </c>
      <c r="F3944" s="227"/>
      <c r="G3944" s="241"/>
      <c r="H3944" s="241"/>
      <c r="I3944" s="241"/>
      <c r="J3944" s="403"/>
    </row>
    <row r="3945" spans="1:10" s="215" customFormat="1" ht="12.75" hidden="1" customHeight="1" outlineLevel="1" x14ac:dyDescent="0.2">
      <c r="A3945" s="215" t="s">
        <v>1279</v>
      </c>
      <c r="B3945" s="228" t="s">
        <v>7145</v>
      </c>
      <c r="C3945" s="229" t="s">
        <v>7028</v>
      </c>
      <c r="D3945" s="230" t="s">
        <v>11</v>
      </c>
      <c r="E3945" s="231">
        <v>17.100000000000001</v>
      </c>
      <c r="F3945" s="231"/>
      <c r="G3945" s="241"/>
      <c r="H3945" s="241"/>
      <c r="I3945" s="241"/>
      <c r="J3945" s="403"/>
    </row>
    <row r="3946" spans="1:10" s="215" customFormat="1" ht="38.25" hidden="1" customHeight="1" outlineLevel="1" x14ac:dyDescent="0.2">
      <c r="A3946" s="215" t="s">
        <v>1279</v>
      </c>
      <c r="B3946" s="224" t="s">
        <v>7146</v>
      </c>
      <c r="C3946" s="225" t="s">
        <v>7030</v>
      </c>
      <c r="D3946" s="226" t="s">
        <v>11</v>
      </c>
      <c r="E3946" s="227">
        <v>3.44</v>
      </c>
      <c r="F3946" s="227"/>
      <c r="G3946" s="241"/>
      <c r="H3946" s="241"/>
      <c r="I3946" s="241"/>
      <c r="J3946" s="403"/>
    </row>
    <row r="3947" spans="1:10" s="215" customFormat="1" ht="38.25" hidden="1" customHeight="1" outlineLevel="1" x14ac:dyDescent="0.2">
      <c r="A3947" s="215" t="s">
        <v>1279</v>
      </c>
      <c r="B3947" s="228" t="s">
        <v>7147</v>
      </c>
      <c r="C3947" s="229" t="s">
        <v>6997</v>
      </c>
      <c r="D3947" s="230" t="s">
        <v>11</v>
      </c>
      <c r="E3947" s="231">
        <v>19.86</v>
      </c>
      <c r="F3947" s="231"/>
      <c r="G3947" s="241"/>
      <c r="H3947" s="241"/>
      <c r="I3947" s="241"/>
      <c r="J3947" s="403"/>
    </row>
    <row r="3948" spans="1:10" s="215" customFormat="1" ht="38.25" hidden="1" customHeight="1" outlineLevel="1" x14ac:dyDescent="0.2">
      <c r="A3948" s="215" t="s">
        <v>1279</v>
      </c>
      <c r="B3948" s="224" t="s">
        <v>7148</v>
      </c>
      <c r="C3948" s="225" t="s">
        <v>6999</v>
      </c>
      <c r="D3948" s="226" t="s">
        <v>11</v>
      </c>
      <c r="E3948" s="227">
        <v>35.89</v>
      </c>
      <c r="F3948" s="227"/>
    </row>
    <row r="3949" spans="1:10" s="215" customFormat="1" ht="38.25" hidden="1" customHeight="1" outlineLevel="1" x14ac:dyDescent="0.2">
      <c r="A3949" s="215" t="s">
        <v>1279</v>
      </c>
      <c r="B3949" s="228" t="s">
        <v>7149</v>
      </c>
      <c r="C3949" s="229" t="s">
        <v>7001</v>
      </c>
      <c r="D3949" s="230" t="s">
        <v>11</v>
      </c>
      <c r="E3949" s="231">
        <v>11.84</v>
      </c>
      <c r="F3949" s="231"/>
    </row>
    <row r="3950" spans="1:10" s="215" customFormat="1" ht="38.25" hidden="1" customHeight="1" outlineLevel="1" x14ac:dyDescent="0.2">
      <c r="A3950" s="215" t="s">
        <v>1279</v>
      </c>
      <c r="B3950" s="224" t="s">
        <v>7150</v>
      </c>
      <c r="C3950" s="225" t="s">
        <v>7003</v>
      </c>
      <c r="D3950" s="226" t="s">
        <v>11</v>
      </c>
      <c r="E3950" s="227">
        <v>12.6</v>
      </c>
      <c r="F3950" s="227"/>
    </row>
    <row r="3951" spans="1:10" s="215" customFormat="1" ht="38.25" hidden="1" customHeight="1" outlineLevel="1" x14ac:dyDescent="0.2">
      <c r="A3951" s="215" t="s">
        <v>1279</v>
      </c>
      <c r="B3951" s="216" t="s">
        <v>6406</v>
      </c>
      <c r="C3951" s="217" t="s">
        <v>2967</v>
      </c>
      <c r="D3951" s="218"/>
      <c r="E3951" s="219"/>
      <c r="F3951" s="219"/>
    </row>
    <row r="3952" spans="1:10" s="215" customFormat="1" ht="38.25" hidden="1" customHeight="1" outlineLevel="1" x14ac:dyDescent="0.2">
      <c r="A3952" s="215" t="s">
        <v>1279</v>
      </c>
      <c r="B3952" s="228" t="s">
        <v>6407</v>
      </c>
      <c r="C3952" s="229" t="s">
        <v>7004</v>
      </c>
      <c r="D3952" s="230" t="s">
        <v>11</v>
      </c>
      <c r="E3952" s="231">
        <v>4.21</v>
      </c>
      <c r="F3952" s="231"/>
    </row>
    <row r="3953" spans="1:6" s="215" customFormat="1" ht="38.25" hidden="1" customHeight="1" outlineLevel="1" x14ac:dyDescent="0.2">
      <c r="A3953" s="215" t="s">
        <v>1279</v>
      </c>
      <c r="B3953" s="224" t="s">
        <v>6408</v>
      </c>
      <c r="C3953" s="225" t="s">
        <v>6980</v>
      </c>
      <c r="D3953" s="226" t="s">
        <v>11</v>
      </c>
      <c r="E3953" s="227">
        <v>5.4</v>
      </c>
      <c r="F3953" s="227"/>
    </row>
    <row r="3954" spans="1:6" s="215" customFormat="1" ht="38.25" hidden="1" customHeight="1" outlineLevel="1" x14ac:dyDescent="0.2">
      <c r="A3954" s="215" t="s">
        <v>1279</v>
      </c>
      <c r="B3954" s="228" t="s">
        <v>6409</v>
      </c>
      <c r="C3954" s="229" t="s">
        <v>6981</v>
      </c>
      <c r="D3954" s="230" t="s">
        <v>11</v>
      </c>
      <c r="E3954" s="231">
        <v>1.5</v>
      </c>
      <c r="F3954" s="231"/>
    </row>
    <row r="3955" spans="1:6" s="215" customFormat="1" ht="38.25" hidden="1" customHeight="1" outlineLevel="1" x14ac:dyDescent="0.2">
      <c r="A3955" s="215" t="s">
        <v>1279</v>
      </c>
      <c r="B3955" s="224" t="s">
        <v>6410</v>
      </c>
      <c r="C3955" s="225" t="s">
        <v>6983</v>
      </c>
      <c r="D3955" s="226" t="s">
        <v>11</v>
      </c>
      <c r="E3955" s="227">
        <v>10.11</v>
      </c>
      <c r="F3955" s="227"/>
    </row>
    <row r="3956" spans="1:6" s="215" customFormat="1" ht="38.25" hidden="1" customHeight="1" outlineLevel="1" x14ac:dyDescent="0.2">
      <c r="A3956" s="215" t="s">
        <v>1279</v>
      </c>
      <c r="B3956" s="228" t="s">
        <v>6411</v>
      </c>
      <c r="C3956" s="229" t="s">
        <v>6984</v>
      </c>
      <c r="D3956" s="230" t="s">
        <v>11</v>
      </c>
      <c r="E3956" s="231">
        <v>14.16</v>
      </c>
      <c r="F3956" s="231"/>
    </row>
    <row r="3957" spans="1:6" s="215" customFormat="1" ht="12.75" hidden="1" customHeight="1" outlineLevel="1" x14ac:dyDescent="0.2">
      <c r="A3957" s="215" t="s">
        <v>1279</v>
      </c>
      <c r="B3957" s="224" t="s">
        <v>6412</v>
      </c>
      <c r="C3957" s="225" t="s">
        <v>7005</v>
      </c>
      <c r="D3957" s="226" t="s">
        <v>11</v>
      </c>
      <c r="E3957" s="227">
        <v>2.8</v>
      </c>
      <c r="F3957" s="227"/>
    </row>
    <row r="3958" spans="1:6" s="215" customFormat="1" ht="38.25" hidden="1" customHeight="1" outlineLevel="1" x14ac:dyDescent="0.2">
      <c r="A3958" s="215" t="s">
        <v>1279</v>
      </c>
      <c r="B3958" s="228" t="s">
        <v>6413</v>
      </c>
      <c r="C3958" s="229" t="s">
        <v>7038</v>
      </c>
      <c r="D3958" s="230" t="s">
        <v>11</v>
      </c>
      <c r="E3958" s="231">
        <v>7.72</v>
      </c>
      <c r="F3958" s="231"/>
    </row>
    <row r="3959" spans="1:6" s="215" customFormat="1" ht="38.25" hidden="1" customHeight="1" outlineLevel="1" x14ac:dyDescent="0.2">
      <c r="A3959" s="215" t="s">
        <v>1279</v>
      </c>
      <c r="B3959" s="224" t="s">
        <v>6414</v>
      </c>
      <c r="C3959" s="225" t="s">
        <v>6985</v>
      </c>
      <c r="D3959" s="226" t="s">
        <v>11</v>
      </c>
      <c r="E3959" s="227">
        <v>30.04</v>
      </c>
      <c r="F3959" s="227"/>
    </row>
    <row r="3960" spans="1:6" s="215" customFormat="1" ht="38.25" hidden="1" customHeight="1" outlineLevel="1" x14ac:dyDescent="0.2">
      <c r="A3960" s="215" t="s">
        <v>1279</v>
      </c>
      <c r="B3960" s="228" t="s">
        <v>6415</v>
      </c>
      <c r="C3960" s="229" t="s">
        <v>6986</v>
      </c>
      <c r="D3960" s="230" t="s">
        <v>11</v>
      </c>
      <c r="E3960" s="231">
        <v>29.17</v>
      </c>
      <c r="F3960" s="231"/>
    </row>
    <row r="3961" spans="1:6" s="215" customFormat="1" ht="38.25" hidden="1" customHeight="1" outlineLevel="1" x14ac:dyDescent="0.2">
      <c r="A3961" s="215" t="s">
        <v>1279</v>
      </c>
      <c r="B3961" s="224" t="s">
        <v>6416</v>
      </c>
      <c r="C3961" s="225" t="s">
        <v>7006</v>
      </c>
      <c r="D3961" s="226" t="s">
        <v>11</v>
      </c>
      <c r="E3961" s="227">
        <v>2.17</v>
      </c>
      <c r="F3961" s="227"/>
    </row>
    <row r="3962" spans="1:6" s="215" customFormat="1" ht="38.25" hidden="1" customHeight="1" outlineLevel="1" x14ac:dyDescent="0.2">
      <c r="A3962" s="215" t="s">
        <v>1279</v>
      </c>
      <c r="B3962" s="228" t="s">
        <v>6417</v>
      </c>
      <c r="C3962" s="229" t="s">
        <v>7007</v>
      </c>
      <c r="D3962" s="230" t="s">
        <v>11</v>
      </c>
      <c r="E3962" s="231">
        <v>3.54</v>
      </c>
      <c r="F3962" s="231"/>
    </row>
    <row r="3963" spans="1:6" s="215" customFormat="1" ht="38.25" hidden="1" customHeight="1" outlineLevel="1" x14ac:dyDescent="0.2">
      <c r="A3963" s="215" t="s">
        <v>1279</v>
      </c>
      <c r="B3963" s="224" t="s">
        <v>7151</v>
      </c>
      <c r="C3963" s="225" t="s">
        <v>6987</v>
      </c>
      <c r="D3963" s="226" t="s">
        <v>11</v>
      </c>
      <c r="E3963" s="227">
        <v>4.05</v>
      </c>
      <c r="F3963" s="227"/>
    </row>
    <row r="3964" spans="1:6" s="215" customFormat="1" ht="38.25" hidden="1" customHeight="1" outlineLevel="1" x14ac:dyDescent="0.2">
      <c r="A3964" s="215" t="s">
        <v>1279</v>
      </c>
      <c r="B3964" s="228" t="s">
        <v>7152</v>
      </c>
      <c r="C3964" s="229" t="s">
        <v>7010</v>
      </c>
      <c r="D3964" s="230" t="s">
        <v>11</v>
      </c>
      <c r="E3964" s="231">
        <v>11.29</v>
      </c>
      <c r="F3964" s="231"/>
    </row>
    <row r="3965" spans="1:6" s="215" customFormat="1" ht="38.25" hidden="1" customHeight="1" outlineLevel="1" x14ac:dyDescent="0.2">
      <c r="A3965" s="215" t="s">
        <v>1279</v>
      </c>
      <c r="B3965" s="224" t="s">
        <v>7153</v>
      </c>
      <c r="C3965" s="225" t="s">
        <v>7012</v>
      </c>
      <c r="D3965" s="226" t="s">
        <v>11</v>
      </c>
      <c r="E3965" s="227">
        <v>4.62</v>
      </c>
      <c r="F3965" s="227"/>
    </row>
    <row r="3966" spans="1:6" s="215" customFormat="1" ht="38.25" hidden="1" customHeight="1" outlineLevel="1" x14ac:dyDescent="0.2">
      <c r="A3966" s="215" t="s">
        <v>1279</v>
      </c>
      <c r="B3966" s="228" t="s">
        <v>7154</v>
      </c>
      <c r="C3966" s="229" t="s">
        <v>7014</v>
      </c>
      <c r="D3966" s="230" t="s">
        <v>11</v>
      </c>
      <c r="E3966" s="231">
        <v>12.23</v>
      </c>
      <c r="F3966" s="231"/>
    </row>
    <row r="3967" spans="1:6" s="215" customFormat="1" ht="38.25" hidden="1" customHeight="1" outlineLevel="1" x14ac:dyDescent="0.2">
      <c r="A3967" s="215" t="s">
        <v>1279</v>
      </c>
      <c r="B3967" s="224" t="s">
        <v>7155</v>
      </c>
      <c r="C3967" s="225" t="s">
        <v>6989</v>
      </c>
      <c r="D3967" s="226" t="s">
        <v>11</v>
      </c>
      <c r="E3967" s="227">
        <v>28.17</v>
      </c>
      <c r="F3967" s="227"/>
    </row>
    <row r="3968" spans="1:6" s="215" customFormat="1" ht="12.75" hidden="1" customHeight="1" outlineLevel="1" x14ac:dyDescent="0.2">
      <c r="A3968" s="215" t="s">
        <v>1279</v>
      </c>
      <c r="B3968" s="228" t="s">
        <v>7156</v>
      </c>
      <c r="C3968" s="229" t="s">
        <v>6991</v>
      </c>
      <c r="D3968" s="230" t="s">
        <v>11</v>
      </c>
      <c r="E3968" s="231">
        <v>6.93</v>
      </c>
      <c r="F3968" s="231"/>
    </row>
    <row r="3969" spans="1:10" s="215" customFormat="1" ht="38.25" hidden="1" customHeight="1" outlineLevel="1" x14ac:dyDescent="0.2">
      <c r="A3969" s="215" t="s">
        <v>1279</v>
      </c>
      <c r="B3969" s="224" t="s">
        <v>7157</v>
      </c>
      <c r="C3969" s="225" t="s">
        <v>7018</v>
      </c>
      <c r="D3969" s="226" t="s">
        <v>11</v>
      </c>
      <c r="E3969" s="227">
        <v>3.3</v>
      </c>
      <c r="F3969" s="227"/>
    </row>
    <row r="3970" spans="1:10" s="215" customFormat="1" ht="38.25" hidden="1" customHeight="1" outlineLevel="1" x14ac:dyDescent="0.2">
      <c r="A3970" s="215" t="s">
        <v>1279</v>
      </c>
      <c r="B3970" s="228" t="s">
        <v>7158</v>
      </c>
      <c r="C3970" s="229" t="s">
        <v>7020</v>
      </c>
      <c r="D3970" s="230" t="s">
        <v>11</v>
      </c>
      <c r="E3970" s="231">
        <v>3.61</v>
      </c>
      <c r="F3970" s="231"/>
    </row>
    <row r="3971" spans="1:10" s="215" customFormat="1" ht="38.25" hidden="1" customHeight="1" outlineLevel="1" x14ac:dyDescent="0.2">
      <c r="A3971" s="215" t="s">
        <v>1279</v>
      </c>
      <c r="B3971" s="224" t="s">
        <v>7159</v>
      </c>
      <c r="C3971" s="225" t="s">
        <v>6993</v>
      </c>
      <c r="D3971" s="226" t="s">
        <v>11</v>
      </c>
      <c r="E3971" s="227">
        <v>14.64</v>
      </c>
      <c r="F3971" s="227"/>
    </row>
    <row r="3972" spans="1:10" s="215" customFormat="1" ht="38.25" hidden="1" customHeight="1" outlineLevel="1" x14ac:dyDescent="0.2">
      <c r="A3972" s="215" t="s">
        <v>1279</v>
      </c>
      <c r="B3972" s="228" t="s">
        <v>7160</v>
      </c>
      <c r="C3972" s="229" t="s">
        <v>6995</v>
      </c>
      <c r="D3972" s="230" t="s">
        <v>11</v>
      </c>
      <c r="E3972" s="231">
        <v>6.72</v>
      </c>
      <c r="F3972" s="231"/>
    </row>
    <row r="3973" spans="1:10" s="215" customFormat="1" ht="38.25" hidden="1" customHeight="1" outlineLevel="1" x14ac:dyDescent="0.2">
      <c r="A3973" s="215" t="s">
        <v>1279</v>
      </c>
      <c r="B3973" s="224" t="s">
        <v>7161</v>
      </c>
      <c r="C3973" s="225" t="s">
        <v>7024</v>
      </c>
      <c r="D3973" s="226" t="s">
        <v>11</v>
      </c>
      <c r="E3973" s="227">
        <v>3.78</v>
      </c>
      <c r="F3973" s="227"/>
    </row>
    <row r="3974" spans="1:10" s="215" customFormat="1" ht="38.25" hidden="1" customHeight="1" outlineLevel="1" x14ac:dyDescent="0.2">
      <c r="A3974" s="215" t="s">
        <v>1279</v>
      </c>
      <c r="B3974" s="228" t="s">
        <v>7162</v>
      </c>
      <c r="C3974" s="229" t="s">
        <v>7026</v>
      </c>
      <c r="D3974" s="230" t="s">
        <v>11</v>
      </c>
      <c r="E3974" s="231">
        <v>12.51</v>
      </c>
      <c r="F3974" s="231"/>
    </row>
    <row r="3975" spans="1:10" s="215" customFormat="1" ht="38.25" hidden="1" customHeight="1" outlineLevel="1" x14ac:dyDescent="0.2">
      <c r="A3975" s="215" t="s">
        <v>1279</v>
      </c>
      <c r="B3975" s="224" t="s">
        <v>7163</v>
      </c>
      <c r="C3975" s="225" t="s">
        <v>7028</v>
      </c>
      <c r="D3975" s="226" t="s">
        <v>11</v>
      </c>
      <c r="E3975" s="227">
        <v>20.32</v>
      </c>
      <c r="F3975" s="227"/>
    </row>
    <row r="3976" spans="1:10" s="215" customFormat="1" ht="38.25" hidden="1" customHeight="1" outlineLevel="1" x14ac:dyDescent="0.2">
      <c r="A3976" s="215" t="s">
        <v>1279</v>
      </c>
      <c r="B3976" s="228" t="s">
        <v>7164</v>
      </c>
      <c r="C3976" s="229" t="s">
        <v>7030</v>
      </c>
      <c r="D3976" s="230" t="s">
        <v>11</v>
      </c>
      <c r="E3976" s="231">
        <v>3.42</v>
      </c>
      <c r="F3976" s="231"/>
    </row>
    <row r="3977" spans="1:10" s="215" customFormat="1" ht="38.25" hidden="1" customHeight="1" outlineLevel="1" x14ac:dyDescent="0.2">
      <c r="A3977" s="215" t="s">
        <v>1279</v>
      </c>
      <c r="B3977" s="224" t="s">
        <v>7165</v>
      </c>
      <c r="C3977" s="225" t="s">
        <v>6997</v>
      </c>
      <c r="D3977" s="226" t="s">
        <v>11</v>
      </c>
      <c r="E3977" s="227">
        <v>19.86</v>
      </c>
      <c r="F3977" s="227"/>
    </row>
    <row r="3978" spans="1:10" s="215" customFormat="1" ht="38.25" hidden="1" customHeight="1" outlineLevel="1" x14ac:dyDescent="0.2">
      <c r="A3978" s="215" t="s">
        <v>1279</v>
      </c>
      <c r="B3978" s="228" t="s">
        <v>7166</v>
      </c>
      <c r="C3978" s="229" t="s">
        <v>6999</v>
      </c>
      <c r="D3978" s="230" t="s">
        <v>11</v>
      </c>
      <c r="E3978" s="231">
        <v>35.89</v>
      </c>
      <c r="F3978" s="231"/>
    </row>
    <row r="3979" spans="1:10" s="215" customFormat="1" ht="38.25" hidden="1" customHeight="1" outlineLevel="1" x14ac:dyDescent="0.2">
      <c r="A3979" s="215" t="s">
        <v>1279</v>
      </c>
      <c r="B3979" s="224" t="s">
        <v>7167</v>
      </c>
      <c r="C3979" s="225" t="s">
        <v>7001</v>
      </c>
      <c r="D3979" s="226" t="s">
        <v>11</v>
      </c>
      <c r="E3979" s="227">
        <v>11.84</v>
      </c>
      <c r="F3979" s="227"/>
    </row>
    <row r="3980" spans="1:10" s="215" customFormat="1" ht="12.75" hidden="1" customHeight="1" outlineLevel="1" x14ac:dyDescent="0.2">
      <c r="A3980" s="215" t="s">
        <v>1279</v>
      </c>
      <c r="B3980" s="228" t="s">
        <v>7168</v>
      </c>
      <c r="C3980" s="229" t="s">
        <v>7003</v>
      </c>
      <c r="D3980" s="230" t="s">
        <v>11</v>
      </c>
      <c r="E3980" s="231">
        <v>11.84</v>
      </c>
      <c r="F3980" s="231"/>
    </row>
    <row r="3981" spans="1:10" s="215" customFormat="1" ht="38.25" hidden="1" customHeight="1" outlineLevel="1" x14ac:dyDescent="0.2">
      <c r="A3981" s="215" t="s">
        <v>1279</v>
      </c>
      <c r="B3981" s="216" t="s">
        <v>6418</v>
      </c>
      <c r="C3981" s="217" t="s">
        <v>2968</v>
      </c>
      <c r="D3981" s="218"/>
      <c r="E3981" s="219"/>
      <c r="F3981" s="219"/>
    </row>
    <row r="3982" spans="1:10" s="215" customFormat="1" ht="38.25" hidden="1" customHeight="1" outlineLevel="1" x14ac:dyDescent="0.2">
      <c r="A3982" s="215" t="s">
        <v>1279</v>
      </c>
      <c r="B3982" s="224" t="s">
        <v>6419</v>
      </c>
      <c r="C3982" s="225" t="s">
        <v>7004</v>
      </c>
      <c r="D3982" s="226" t="s">
        <v>11</v>
      </c>
      <c r="E3982" s="227">
        <v>5.0599999999999996</v>
      </c>
      <c r="F3982" s="227"/>
    </row>
    <row r="3983" spans="1:10" s="215" customFormat="1" ht="38.25" hidden="1" customHeight="1" outlineLevel="1" x14ac:dyDescent="0.2">
      <c r="A3983" s="215" t="s">
        <v>1279</v>
      </c>
      <c r="B3983" s="228" t="s">
        <v>6420</v>
      </c>
      <c r="C3983" s="229" t="s">
        <v>6980</v>
      </c>
      <c r="D3983" s="230" t="s">
        <v>11</v>
      </c>
      <c r="E3983" s="231">
        <v>3.51</v>
      </c>
      <c r="F3983" s="231"/>
    </row>
    <row r="3984" spans="1:10" s="215" customFormat="1" ht="38.25" hidden="1" customHeight="1" outlineLevel="1" x14ac:dyDescent="0.2">
      <c r="A3984" s="215" t="s">
        <v>1279</v>
      </c>
      <c r="B3984" s="224" t="s">
        <v>6421</v>
      </c>
      <c r="C3984" s="225" t="s">
        <v>6981</v>
      </c>
      <c r="D3984" s="226" t="s">
        <v>11</v>
      </c>
      <c r="E3984" s="227">
        <v>1.49</v>
      </c>
      <c r="F3984" s="227"/>
      <c r="G3984" s="241"/>
      <c r="H3984" s="241"/>
      <c r="I3984" s="241"/>
      <c r="J3984" s="403"/>
    </row>
    <row r="3985" spans="1:10" s="215" customFormat="1" ht="38.25" hidden="1" customHeight="1" outlineLevel="1" x14ac:dyDescent="0.2">
      <c r="A3985" s="215" t="s">
        <v>1279</v>
      </c>
      <c r="B3985" s="228" t="s">
        <v>6422</v>
      </c>
      <c r="C3985" s="229" t="s">
        <v>6983</v>
      </c>
      <c r="D3985" s="230" t="s">
        <v>11</v>
      </c>
      <c r="E3985" s="231">
        <v>10.8</v>
      </c>
      <c r="F3985" s="231"/>
      <c r="G3985" s="241"/>
      <c r="H3985" s="241"/>
      <c r="I3985" s="241"/>
      <c r="J3985" s="403"/>
    </row>
    <row r="3986" spans="1:10" s="215" customFormat="1" ht="38.25" hidden="1" customHeight="1" outlineLevel="1" x14ac:dyDescent="0.2">
      <c r="A3986" s="215" t="s">
        <v>1279</v>
      </c>
      <c r="B3986" s="224" t="s">
        <v>6423</v>
      </c>
      <c r="C3986" s="225" t="s">
        <v>6984</v>
      </c>
      <c r="D3986" s="226" t="s">
        <v>11</v>
      </c>
      <c r="E3986" s="227">
        <v>15.07</v>
      </c>
      <c r="F3986" s="227"/>
      <c r="G3986" s="241"/>
      <c r="H3986" s="241"/>
      <c r="I3986" s="241"/>
      <c r="J3986" s="403"/>
    </row>
    <row r="3987" spans="1:10" s="215" customFormat="1" ht="38.25" hidden="1" customHeight="1" outlineLevel="1" x14ac:dyDescent="0.2">
      <c r="A3987" s="215" t="s">
        <v>1279</v>
      </c>
      <c r="B3987" s="228" t="s">
        <v>6424</v>
      </c>
      <c r="C3987" s="229" t="s">
        <v>7005</v>
      </c>
      <c r="D3987" s="230" t="s">
        <v>11</v>
      </c>
      <c r="E3987" s="231">
        <v>2.8</v>
      </c>
      <c r="F3987" s="231"/>
      <c r="G3987" s="241"/>
      <c r="H3987" s="241"/>
      <c r="I3987" s="241"/>
      <c r="J3987" s="403"/>
    </row>
    <row r="3988" spans="1:10" s="215" customFormat="1" ht="38.25" hidden="1" customHeight="1" outlineLevel="1" x14ac:dyDescent="0.2">
      <c r="A3988" s="215" t="s">
        <v>1279</v>
      </c>
      <c r="B3988" s="224" t="s">
        <v>6425</v>
      </c>
      <c r="C3988" s="225" t="s">
        <v>7038</v>
      </c>
      <c r="D3988" s="226" t="s">
        <v>11</v>
      </c>
      <c r="E3988" s="227">
        <v>7.72</v>
      </c>
      <c r="F3988" s="227"/>
    </row>
    <row r="3989" spans="1:10" s="215" customFormat="1" ht="38.25" hidden="1" customHeight="1" outlineLevel="1" x14ac:dyDescent="0.2">
      <c r="A3989" s="215" t="s">
        <v>1279</v>
      </c>
      <c r="B3989" s="228" t="s">
        <v>6426</v>
      </c>
      <c r="C3989" s="229" t="s">
        <v>6985</v>
      </c>
      <c r="D3989" s="230" t="s">
        <v>11</v>
      </c>
      <c r="E3989" s="231">
        <v>27.24</v>
      </c>
      <c r="F3989" s="231"/>
    </row>
    <row r="3990" spans="1:10" s="215" customFormat="1" ht="38.25" hidden="1" customHeight="1" outlineLevel="1" x14ac:dyDescent="0.2">
      <c r="A3990" s="215" t="s">
        <v>1279</v>
      </c>
      <c r="B3990" s="224" t="s">
        <v>6427</v>
      </c>
      <c r="C3990" s="225" t="s">
        <v>6986</v>
      </c>
      <c r="D3990" s="226" t="s">
        <v>11</v>
      </c>
      <c r="E3990" s="227">
        <v>30.21</v>
      </c>
      <c r="F3990" s="227"/>
    </row>
    <row r="3991" spans="1:10" s="215" customFormat="1" ht="38.25" hidden="1" customHeight="1" outlineLevel="1" x14ac:dyDescent="0.2">
      <c r="A3991" s="215" t="s">
        <v>1279</v>
      </c>
      <c r="B3991" s="228" t="s">
        <v>6428</v>
      </c>
      <c r="C3991" s="229" t="s">
        <v>7006</v>
      </c>
      <c r="D3991" s="230" t="s">
        <v>11</v>
      </c>
      <c r="E3991" s="231">
        <v>2.16</v>
      </c>
      <c r="F3991" s="231"/>
    </row>
    <row r="3992" spans="1:10" s="215" customFormat="1" ht="12.75" hidden="1" customHeight="1" outlineLevel="1" x14ac:dyDescent="0.2">
      <c r="A3992" s="215" t="s">
        <v>1279</v>
      </c>
      <c r="B3992" s="224" t="s">
        <v>6429</v>
      </c>
      <c r="C3992" s="225" t="s">
        <v>7007</v>
      </c>
      <c r="D3992" s="226" t="s">
        <v>11</v>
      </c>
      <c r="E3992" s="227">
        <v>2.4300000000000002</v>
      </c>
      <c r="F3992" s="227"/>
    </row>
    <row r="3993" spans="1:10" s="215" customFormat="1" ht="38.25" hidden="1" customHeight="1" outlineLevel="1" x14ac:dyDescent="0.2">
      <c r="A3993" s="215" t="s">
        <v>1279</v>
      </c>
      <c r="B3993" s="228" t="s">
        <v>7169</v>
      </c>
      <c r="C3993" s="229" t="s">
        <v>6987</v>
      </c>
      <c r="D3993" s="230" t="s">
        <v>11</v>
      </c>
      <c r="E3993" s="231">
        <v>4.05</v>
      </c>
      <c r="F3993" s="231"/>
    </row>
    <row r="3994" spans="1:10" s="215" customFormat="1" ht="38.25" hidden="1" customHeight="1" outlineLevel="1" x14ac:dyDescent="0.2">
      <c r="A3994" s="215" t="s">
        <v>1279</v>
      </c>
      <c r="B3994" s="224" t="s">
        <v>7170</v>
      </c>
      <c r="C3994" s="225" t="s">
        <v>7010</v>
      </c>
      <c r="D3994" s="226" t="s">
        <v>11</v>
      </c>
      <c r="E3994" s="227">
        <v>11.29</v>
      </c>
      <c r="F3994" s="227"/>
    </row>
    <row r="3995" spans="1:10" s="215" customFormat="1" ht="38.25" hidden="1" customHeight="1" outlineLevel="1" x14ac:dyDescent="0.2">
      <c r="A3995" s="215" t="s">
        <v>1279</v>
      </c>
      <c r="B3995" s="228" t="s">
        <v>7171</v>
      </c>
      <c r="C3995" s="229" t="s">
        <v>7012</v>
      </c>
      <c r="D3995" s="230" t="s">
        <v>11</v>
      </c>
      <c r="E3995" s="231">
        <v>3.5</v>
      </c>
      <c r="F3995" s="231"/>
    </row>
    <row r="3996" spans="1:10" s="215" customFormat="1" ht="38.25" hidden="1" customHeight="1" outlineLevel="1" x14ac:dyDescent="0.2">
      <c r="A3996" s="215" t="s">
        <v>1279</v>
      </c>
      <c r="B3996" s="224" t="s">
        <v>7172</v>
      </c>
      <c r="C3996" s="225" t="s">
        <v>7014</v>
      </c>
      <c r="D3996" s="226" t="s">
        <v>11</v>
      </c>
      <c r="E3996" s="227">
        <v>12.22</v>
      </c>
      <c r="F3996" s="227"/>
    </row>
    <row r="3997" spans="1:10" s="215" customFormat="1" ht="38.25" hidden="1" customHeight="1" outlineLevel="1" x14ac:dyDescent="0.2">
      <c r="A3997" s="215" t="s">
        <v>1279</v>
      </c>
      <c r="B3997" s="228" t="s">
        <v>7173</v>
      </c>
      <c r="C3997" s="229" t="s">
        <v>6989</v>
      </c>
      <c r="D3997" s="230" t="s">
        <v>11</v>
      </c>
      <c r="E3997" s="231">
        <v>24.46</v>
      </c>
      <c r="F3997" s="231"/>
    </row>
    <row r="3998" spans="1:10" s="215" customFormat="1" ht="38.25" hidden="1" customHeight="1" outlineLevel="1" x14ac:dyDescent="0.2">
      <c r="A3998" s="215" t="s">
        <v>1279</v>
      </c>
      <c r="B3998" s="224" t="s">
        <v>7174</v>
      </c>
      <c r="C3998" s="225" t="s">
        <v>6991</v>
      </c>
      <c r="D3998" s="226" t="s">
        <v>11</v>
      </c>
      <c r="E3998" s="227">
        <v>6.46</v>
      </c>
      <c r="F3998" s="227"/>
    </row>
    <row r="3999" spans="1:10" s="215" customFormat="1" ht="38.25" hidden="1" customHeight="1" outlineLevel="1" x14ac:dyDescent="0.2">
      <c r="A3999" s="215" t="s">
        <v>1279</v>
      </c>
      <c r="B3999" s="228" t="s">
        <v>7175</v>
      </c>
      <c r="C3999" s="229" t="s">
        <v>7018</v>
      </c>
      <c r="D3999" s="230" t="s">
        <v>11</v>
      </c>
      <c r="E3999" s="231">
        <v>3.49</v>
      </c>
      <c r="F3999" s="231"/>
    </row>
    <row r="4000" spans="1:10" s="215" customFormat="1" ht="38.25" hidden="1" customHeight="1" outlineLevel="1" x14ac:dyDescent="0.2">
      <c r="A4000" s="215" t="s">
        <v>1279</v>
      </c>
      <c r="B4000" s="224" t="s">
        <v>7176</v>
      </c>
      <c r="C4000" s="225" t="s">
        <v>7020</v>
      </c>
      <c r="D4000" s="226" t="s">
        <v>11</v>
      </c>
      <c r="E4000" s="227">
        <v>3.08</v>
      </c>
      <c r="F4000" s="227"/>
    </row>
    <row r="4001" spans="1:6" s="215" customFormat="1" ht="38.25" hidden="1" customHeight="1" outlineLevel="1" x14ac:dyDescent="0.2">
      <c r="A4001" s="215" t="s">
        <v>1279</v>
      </c>
      <c r="B4001" s="228" t="s">
        <v>7177</v>
      </c>
      <c r="C4001" s="229" t="s">
        <v>6993</v>
      </c>
      <c r="D4001" s="230" t="s">
        <v>11</v>
      </c>
      <c r="E4001" s="231">
        <v>14.64</v>
      </c>
      <c r="F4001" s="231"/>
    </row>
    <row r="4002" spans="1:6" s="215" customFormat="1" ht="38.25" hidden="1" customHeight="1" outlineLevel="1" x14ac:dyDescent="0.2">
      <c r="A4002" s="215" t="s">
        <v>1279</v>
      </c>
      <c r="B4002" s="224" t="s">
        <v>7178</v>
      </c>
      <c r="C4002" s="225" t="s">
        <v>6995</v>
      </c>
      <c r="D4002" s="226" t="s">
        <v>11</v>
      </c>
      <c r="E4002" s="227">
        <v>6.87</v>
      </c>
      <c r="F4002" s="227"/>
    </row>
    <row r="4003" spans="1:6" s="215" customFormat="1" ht="38.25" hidden="1" customHeight="1" outlineLevel="1" x14ac:dyDescent="0.2">
      <c r="A4003" s="215" t="s">
        <v>1279</v>
      </c>
      <c r="B4003" s="228" t="s">
        <v>7179</v>
      </c>
      <c r="C4003" s="229" t="s">
        <v>7024</v>
      </c>
      <c r="D4003" s="230" t="s">
        <v>11</v>
      </c>
      <c r="E4003" s="231">
        <v>2.2000000000000002</v>
      </c>
      <c r="F4003" s="231"/>
    </row>
    <row r="4004" spans="1:6" s="215" customFormat="1" ht="12.75" hidden="1" customHeight="1" outlineLevel="1" x14ac:dyDescent="0.2">
      <c r="A4004" s="215" t="s">
        <v>1279</v>
      </c>
      <c r="B4004" s="224" t="s">
        <v>7180</v>
      </c>
      <c r="C4004" s="225" t="s">
        <v>7026</v>
      </c>
      <c r="D4004" s="226" t="s">
        <v>11</v>
      </c>
      <c r="E4004" s="227">
        <v>12.99</v>
      </c>
      <c r="F4004" s="227"/>
    </row>
    <row r="4005" spans="1:6" s="215" customFormat="1" ht="38.25" hidden="1" customHeight="1" outlineLevel="1" x14ac:dyDescent="0.2">
      <c r="A4005" s="215" t="s">
        <v>1279</v>
      </c>
      <c r="B4005" s="228" t="s">
        <v>7181</v>
      </c>
      <c r="C4005" s="229" t="s">
        <v>7028</v>
      </c>
      <c r="D4005" s="230" t="s">
        <v>11</v>
      </c>
      <c r="E4005" s="231">
        <v>17.100000000000001</v>
      </c>
      <c r="F4005" s="231"/>
    </row>
    <row r="4006" spans="1:6" s="215" customFormat="1" ht="38.25" hidden="1" customHeight="1" outlineLevel="1" x14ac:dyDescent="0.2">
      <c r="A4006" s="215" t="s">
        <v>1279</v>
      </c>
      <c r="B4006" s="224" t="s">
        <v>7182</v>
      </c>
      <c r="C4006" s="225" t="s">
        <v>7030</v>
      </c>
      <c r="D4006" s="226" t="s">
        <v>11</v>
      </c>
      <c r="E4006" s="227">
        <v>3.44</v>
      </c>
      <c r="F4006" s="227"/>
    </row>
    <row r="4007" spans="1:6" s="215" customFormat="1" ht="38.25" hidden="1" customHeight="1" outlineLevel="1" x14ac:dyDescent="0.2">
      <c r="A4007" s="215" t="s">
        <v>1279</v>
      </c>
      <c r="B4007" s="228" t="s">
        <v>7183</v>
      </c>
      <c r="C4007" s="229" t="s">
        <v>6997</v>
      </c>
      <c r="D4007" s="230" t="s">
        <v>11</v>
      </c>
      <c r="E4007" s="231">
        <v>19.86</v>
      </c>
      <c r="F4007" s="231"/>
    </row>
    <row r="4008" spans="1:6" s="215" customFormat="1" ht="38.25" hidden="1" customHeight="1" outlineLevel="1" x14ac:dyDescent="0.2">
      <c r="A4008" s="215" t="s">
        <v>1279</v>
      </c>
      <c r="B4008" s="224" t="s">
        <v>7184</v>
      </c>
      <c r="C4008" s="225" t="s">
        <v>6999</v>
      </c>
      <c r="D4008" s="226" t="s">
        <v>11</v>
      </c>
      <c r="E4008" s="227">
        <v>35.89</v>
      </c>
      <c r="F4008" s="227"/>
    </row>
    <row r="4009" spans="1:6" s="215" customFormat="1" ht="38.25" hidden="1" customHeight="1" outlineLevel="1" x14ac:dyDescent="0.2">
      <c r="A4009" s="215" t="s">
        <v>1279</v>
      </c>
      <c r="B4009" s="228" t="s">
        <v>7185</v>
      </c>
      <c r="C4009" s="229" t="s">
        <v>7001</v>
      </c>
      <c r="D4009" s="230" t="s">
        <v>11</v>
      </c>
      <c r="E4009" s="231">
        <v>11.84</v>
      </c>
      <c r="F4009" s="231"/>
    </row>
    <row r="4010" spans="1:6" s="215" customFormat="1" ht="38.25" hidden="1" customHeight="1" outlineLevel="1" x14ac:dyDescent="0.2">
      <c r="A4010" s="215" t="s">
        <v>1279</v>
      </c>
      <c r="B4010" s="224" t="s">
        <v>7186</v>
      </c>
      <c r="C4010" s="225" t="s">
        <v>7003</v>
      </c>
      <c r="D4010" s="226" t="s">
        <v>11</v>
      </c>
      <c r="E4010" s="227">
        <v>12.6</v>
      </c>
      <c r="F4010" s="227"/>
    </row>
    <row r="4011" spans="1:6" s="215" customFormat="1" ht="38.25" hidden="1" customHeight="1" outlineLevel="1" x14ac:dyDescent="0.2">
      <c r="A4011" s="215" t="s">
        <v>1279</v>
      </c>
      <c r="B4011" s="216" t="s">
        <v>6430</v>
      </c>
      <c r="C4011" s="217" t="s">
        <v>2969</v>
      </c>
      <c r="D4011" s="218"/>
      <c r="E4011" s="219"/>
      <c r="F4011" s="219"/>
    </row>
    <row r="4012" spans="1:6" s="215" customFormat="1" ht="38.25" hidden="1" customHeight="1" outlineLevel="1" x14ac:dyDescent="0.2">
      <c r="A4012" s="215" t="s">
        <v>1279</v>
      </c>
      <c r="B4012" s="228" t="s">
        <v>6431</v>
      </c>
      <c r="C4012" s="229" t="s">
        <v>7004</v>
      </c>
      <c r="D4012" s="230" t="s">
        <v>11</v>
      </c>
      <c r="E4012" s="231">
        <v>4.21</v>
      </c>
      <c r="F4012" s="231"/>
    </row>
    <row r="4013" spans="1:6" s="215" customFormat="1" ht="38.25" hidden="1" customHeight="1" outlineLevel="1" x14ac:dyDescent="0.2">
      <c r="A4013" s="215" t="s">
        <v>1279</v>
      </c>
      <c r="B4013" s="224" t="s">
        <v>6432</v>
      </c>
      <c r="C4013" s="225" t="s">
        <v>6980</v>
      </c>
      <c r="D4013" s="226" t="s">
        <v>11</v>
      </c>
      <c r="E4013" s="227">
        <v>5.4</v>
      </c>
      <c r="F4013" s="227"/>
    </row>
    <row r="4014" spans="1:6" s="215" customFormat="1" ht="38.25" hidden="1" customHeight="1" outlineLevel="1" x14ac:dyDescent="0.2">
      <c r="A4014" s="215" t="s">
        <v>1279</v>
      </c>
      <c r="B4014" s="228" t="s">
        <v>6433</v>
      </c>
      <c r="C4014" s="229" t="s">
        <v>6981</v>
      </c>
      <c r="D4014" s="230" t="s">
        <v>11</v>
      </c>
      <c r="E4014" s="231">
        <v>1.5</v>
      </c>
      <c r="F4014" s="231"/>
    </row>
    <row r="4015" spans="1:6" s="215" customFormat="1" ht="38.25" hidden="1" customHeight="1" outlineLevel="1" x14ac:dyDescent="0.2">
      <c r="A4015" s="215" t="s">
        <v>1279</v>
      </c>
      <c r="B4015" s="224" t="s">
        <v>6434</v>
      </c>
      <c r="C4015" s="225" t="s">
        <v>6983</v>
      </c>
      <c r="D4015" s="226" t="s">
        <v>11</v>
      </c>
      <c r="E4015" s="227">
        <v>10.11</v>
      </c>
      <c r="F4015" s="227"/>
    </row>
    <row r="4016" spans="1:6" s="215" customFormat="1" ht="38.25" hidden="1" customHeight="1" outlineLevel="1" x14ac:dyDescent="0.2">
      <c r="A4016" s="215" t="s">
        <v>1279</v>
      </c>
      <c r="B4016" s="228" t="s">
        <v>6435</v>
      </c>
      <c r="C4016" s="229" t="s">
        <v>6984</v>
      </c>
      <c r="D4016" s="230" t="s">
        <v>11</v>
      </c>
      <c r="E4016" s="231">
        <v>14.16</v>
      </c>
      <c r="F4016" s="231"/>
    </row>
    <row r="4017" spans="1:10" s="215" customFormat="1" ht="12.75" hidden="1" customHeight="1" outlineLevel="1" x14ac:dyDescent="0.2">
      <c r="A4017" s="215" t="s">
        <v>1279</v>
      </c>
      <c r="B4017" s="224" t="s">
        <v>6436</v>
      </c>
      <c r="C4017" s="225" t="s">
        <v>7005</v>
      </c>
      <c r="D4017" s="226" t="s">
        <v>11</v>
      </c>
      <c r="E4017" s="227">
        <v>2.8</v>
      </c>
      <c r="F4017" s="227"/>
    </row>
    <row r="4018" spans="1:10" s="215" customFormat="1" ht="38.25" hidden="1" customHeight="1" outlineLevel="1" x14ac:dyDescent="0.2">
      <c r="A4018" s="215" t="s">
        <v>1279</v>
      </c>
      <c r="B4018" s="228" t="s">
        <v>6437</v>
      </c>
      <c r="C4018" s="229" t="s">
        <v>7038</v>
      </c>
      <c r="D4018" s="230" t="s">
        <v>11</v>
      </c>
      <c r="E4018" s="231">
        <v>7.72</v>
      </c>
      <c r="F4018" s="231"/>
    </row>
    <row r="4019" spans="1:10" s="215" customFormat="1" ht="38.25" hidden="1" customHeight="1" outlineLevel="1" x14ac:dyDescent="0.2">
      <c r="A4019" s="215" t="s">
        <v>1279</v>
      </c>
      <c r="B4019" s="224" t="s">
        <v>6438</v>
      </c>
      <c r="C4019" s="225" t="s">
        <v>6985</v>
      </c>
      <c r="D4019" s="226" t="s">
        <v>11</v>
      </c>
      <c r="E4019" s="227">
        <v>30.04</v>
      </c>
      <c r="F4019" s="227"/>
    </row>
    <row r="4020" spans="1:10" s="215" customFormat="1" ht="38.25" hidden="1" customHeight="1" outlineLevel="1" x14ac:dyDescent="0.2">
      <c r="A4020" s="215" t="s">
        <v>1279</v>
      </c>
      <c r="B4020" s="228" t="s">
        <v>6439</v>
      </c>
      <c r="C4020" s="229" t="s">
        <v>6986</v>
      </c>
      <c r="D4020" s="230" t="s">
        <v>11</v>
      </c>
      <c r="E4020" s="231">
        <v>29.17</v>
      </c>
      <c r="F4020" s="231"/>
    </row>
    <row r="4021" spans="1:10" s="215" customFormat="1" ht="38.25" hidden="1" customHeight="1" outlineLevel="1" x14ac:dyDescent="0.2">
      <c r="A4021" s="215" t="s">
        <v>1279</v>
      </c>
      <c r="B4021" s="224" t="s">
        <v>6440</v>
      </c>
      <c r="C4021" s="225" t="s">
        <v>7006</v>
      </c>
      <c r="D4021" s="226" t="s">
        <v>11</v>
      </c>
      <c r="E4021" s="227">
        <v>2.17</v>
      </c>
      <c r="F4021" s="227"/>
    </row>
    <row r="4022" spans="1:10" s="215" customFormat="1" ht="38.25" hidden="1" customHeight="1" outlineLevel="1" x14ac:dyDescent="0.2">
      <c r="A4022" s="215" t="s">
        <v>1279</v>
      </c>
      <c r="B4022" s="228" t="s">
        <v>6441</v>
      </c>
      <c r="C4022" s="229" t="s">
        <v>7007</v>
      </c>
      <c r="D4022" s="230" t="s">
        <v>11</v>
      </c>
      <c r="E4022" s="231">
        <v>3.54</v>
      </c>
      <c r="F4022" s="231"/>
    </row>
    <row r="4023" spans="1:10" s="215" customFormat="1" ht="38.25" hidden="1" customHeight="1" outlineLevel="1" x14ac:dyDescent="0.2">
      <c r="A4023" s="215" t="s">
        <v>1279</v>
      </c>
      <c r="B4023" s="224" t="s">
        <v>7187</v>
      </c>
      <c r="C4023" s="225" t="s">
        <v>6987</v>
      </c>
      <c r="D4023" s="226" t="s">
        <v>11</v>
      </c>
      <c r="E4023" s="227">
        <v>4.05</v>
      </c>
      <c r="F4023" s="227"/>
    </row>
    <row r="4024" spans="1:10" s="215" customFormat="1" ht="38.25" hidden="1" customHeight="1" outlineLevel="1" x14ac:dyDescent="0.2">
      <c r="A4024" s="215" t="s">
        <v>1279</v>
      </c>
      <c r="B4024" s="228" t="s">
        <v>7188</v>
      </c>
      <c r="C4024" s="229" t="s">
        <v>7010</v>
      </c>
      <c r="D4024" s="230" t="s">
        <v>11</v>
      </c>
      <c r="E4024" s="231">
        <v>11.29</v>
      </c>
      <c r="F4024" s="231"/>
      <c r="G4024" s="241"/>
      <c r="H4024" s="241"/>
      <c r="I4024" s="241"/>
      <c r="J4024" s="403"/>
    </row>
    <row r="4025" spans="1:10" s="215" customFormat="1" ht="38.25" hidden="1" customHeight="1" outlineLevel="1" x14ac:dyDescent="0.2">
      <c r="A4025" s="215" t="s">
        <v>1279</v>
      </c>
      <c r="B4025" s="224" t="s">
        <v>7189</v>
      </c>
      <c r="C4025" s="225" t="s">
        <v>7012</v>
      </c>
      <c r="D4025" s="226" t="s">
        <v>11</v>
      </c>
      <c r="E4025" s="227">
        <v>4.62</v>
      </c>
      <c r="F4025" s="227"/>
      <c r="G4025" s="241"/>
      <c r="H4025" s="241"/>
      <c r="I4025" s="241"/>
      <c r="J4025" s="403"/>
    </row>
    <row r="4026" spans="1:10" s="215" customFormat="1" ht="12.75" hidden="1" customHeight="1" outlineLevel="1" x14ac:dyDescent="0.2">
      <c r="A4026" s="215" t="s">
        <v>1279</v>
      </c>
      <c r="B4026" s="228" t="s">
        <v>7190</v>
      </c>
      <c r="C4026" s="229" t="s">
        <v>7014</v>
      </c>
      <c r="D4026" s="230" t="s">
        <v>11</v>
      </c>
      <c r="E4026" s="231">
        <v>12.23</v>
      </c>
      <c r="F4026" s="231"/>
      <c r="G4026" s="241"/>
      <c r="H4026" s="241"/>
      <c r="I4026" s="241"/>
      <c r="J4026" s="403"/>
    </row>
    <row r="4027" spans="1:10" s="215" customFormat="1" ht="38.25" hidden="1" customHeight="1" outlineLevel="1" x14ac:dyDescent="0.2">
      <c r="A4027" s="215" t="s">
        <v>1279</v>
      </c>
      <c r="B4027" s="224" t="s">
        <v>7191</v>
      </c>
      <c r="C4027" s="225" t="s">
        <v>6989</v>
      </c>
      <c r="D4027" s="226" t="s">
        <v>11</v>
      </c>
      <c r="E4027" s="227">
        <v>28.17</v>
      </c>
      <c r="F4027" s="227"/>
      <c r="G4027" s="241"/>
      <c r="H4027" s="241"/>
      <c r="I4027" s="241"/>
      <c r="J4027" s="403"/>
    </row>
    <row r="4028" spans="1:10" s="215" customFormat="1" ht="38.25" hidden="1" customHeight="1" outlineLevel="1" x14ac:dyDescent="0.2">
      <c r="A4028" s="215" t="s">
        <v>1279</v>
      </c>
      <c r="B4028" s="228" t="s">
        <v>7192</v>
      </c>
      <c r="C4028" s="229" t="s">
        <v>6991</v>
      </c>
      <c r="D4028" s="230" t="s">
        <v>11</v>
      </c>
      <c r="E4028" s="231">
        <v>12.39</v>
      </c>
      <c r="F4028" s="231"/>
    </row>
    <row r="4029" spans="1:10" s="215" customFormat="1" ht="38.25" hidden="1" customHeight="1" outlineLevel="1" x14ac:dyDescent="0.2">
      <c r="A4029" s="215" t="s">
        <v>1279</v>
      </c>
      <c r="B4029" s="224" t="s">
        <v>7193</v>
      </c>
      <c r="C4029" s="225" t="s">
        <v>7018</v>
      </c>
      <c r="D4029" s="226" t="s">
        <v>11</v>
      </c>
      <c r="E4029" s="227">
        <v>3.3</v>
      </c>
      <c r="F4029" s="227"/>
    </row>
    <row r="4030" spans="1:10" s="215" customFormat="1" ht="38.25" hidden="1" customHeight="1" outlineLevel="1" x14ac:dyDescent="0.2">
      <c r="A4030" s="215" t="s">
        <v>1279</v>
      </c>
      <c r="B4030" s="228" t="s">
        <v>7194</v>
      </c>
      <c r="C4030" s="229" t="s">
        <v>7020</v>
      </c>
      <c r="D4030" s="230" t="s">
        <v>11</v>
      </c>
      <c r="E4030" s="231">
        <v>3.61</v>
      </c>
      <c r="F4030" s="231"/>
    </row>
    <row r="4031" spans="1:10" s="215" customFormat="1" ht="38.25" hidden="1" customHeight="1" outlineLevel="1" x14ac:dyDescent="0.2">
      <c r="A4031" s="215" t="s">
        <v>1279</v>
      </c>
      <c r="B4031" s="224" t="s">
        <v>7195</v>
      </c>
      <c r="C4031" s="225" t="s">
        <v>6993</v>
      </c>
      <c r="D4031" s="226" t="s">
        <v>11</v>
      </c>
      <c r="E4031" s="227">
        <v>14.64</v>
      </c>
      <c r="F4031" s="227"/>
    </row>
    <row r="4032" spans="1:10" s="215" customFormat="1" ht="38.25" hidden="1" customHeight="1" outlineLevel="1" x14ac:dyDescent="0.2">
      <c r="A4032" s="215" t="s">
        <v>1279</v>
      </c>
      <c r="B4032" s="228" t="s">
        <v>7196</v>
      </c>
      <c r="C4032" s="229" t="s">
        <v>6995</v>
      </c>
      <c r="D4032" s="230" t="s">
        <v>11</v>
      </c>
      <c r="E4032" s="231">
        <v>6.72</v>
      </c>
      <c r="F4032" s="231"/>
    </row>
    <row r="4033" spans="1:10" s="215" customFormat="1" ht="38.25" hidden="1" customHeight="1" outlineLevel="1" x14ac:dyDescent="0.2">
      <c r="A4033" s="215" t="s">
        <v>1279</v>
      </c>
      <c r="B4033" s="224" t="s">
        <v>7197</v>
      </c>
      <c r="C4033" s="225" t="s">
        <v>7024</v>
      </c>
      <c r="D4033" s="226" t="s">
        <v>11</v>
      </c>
      <c r="E4033" s="227">
        <v>3.78</v>
      </c>
      <c r="F4033" s="227"/>
    </row>
    <row r="4034" spans="1:10" s="215" customFormat="1" ht="12.75" hidden="1" customHeight="1" outlineLevel="1" x14ac:dyDescent="0.2">
      <c r="A4034" s="215" t="s">
        <v>1279</v>
      </c>
      <c r="B4034" s="228" t="s">
        <v>7198</v>
      </c>
      <c r="C4034" s="229" t="s">
        <v>7026</v>
      </c>
      <c r="D4034" s="230" t="s">
        <v>11</v>
      </c>
      <c r="E4034" s="231">
        <v>12.51</v>
      </c>
      <c r="F4034" s="231"/>
    </row>
    <row r="4035" spans="1:10" s="215" customFormat="1" ht="38.25" hidden="1" customHeight="1" outlineLevel="1" x14ac:dyDescent="0.2">
      <c r="A4035" s="215" t="s">
        <v>1279</v>
      </c>
      <c r="B4035" s="224" t="s">
        <v>7199</v>
      </c>
      <c r="C4035" s="225" t="s">
        <v>7028</v>
      </c>
      <c r="D4035" s="226" t="s">
        <v>11</v>
      </c>
      <c r="E4035" s="227">
        <v>20.32</v>
      </c>
      <c r="F4035" s="227"/>
    </row>
    <row r="4036" spans="1:10" s="215" customFormat="1" ht="38.25" hidden="1" customHeight="1" outlineLevel="1" x14ac:dyDescent="0.2">
      <c r="A4036" s="215" t="s">
        <v>1279</v>
      </c>
      <c r="B4036" s="228" t="s">
        <v>7200</v>
      </c>
      <c r="C4036" s="229" t="s">
        <v>7030</v>
      </c>
      <c r="D4036" s="230" t="s">
        <v>11</v>
      </c>
      <c r="E4036" s="231">
        <v>3.42</v>
      </c>
      <c r="F4036" s="231"/>
    </row>
    <row r="4037" spans="1:10" s="215" customFormat="1" ht="38.25" hidden="1" customHeight="1" outlineLevel="1" x14ac:dyDescent="0.2">
      <c r="A4037" s="215" t="s">
        <v>1279</v>
      </c>
      <c r="B4037" s="224" t="s">
        <v>7201</v>
      </c>
      <c r="C4037" s="225" t="s">
        <v>6997</v>
      </c>
      <c r="D4037" s="226" t="s">
        <v>11</v>
      </c>
      <c r="E4037" s="227">
        <v>19.86</v>
      </c>
      <c r="F4037" s="227"/>
    </row>
    <row r="4038" spans="1:10" s="215" customFormat="1" ht="38.25" hidden="1" customHeight="1" outlineLevel="1" x14ac:dyDescent="0.2">
      <c r="A4038" s="215" t="s">
        <v>1279</v>
      </c>
      <c r="B4038" s="228" t="s">
        <v>7202</v>
      </c>
      <c r="C4038" s="229" t="s">
        <v>6999</v>
      </c>
      <c r="D4038" s="230" t="s">
        <v>11</v>
      </c>
      <c r="E4038" s="231">
        <v>35.89</v>
      </c>
      <c r="F4038" s="231"/>
    </row>
    <row r="4039" spans="1:10" s="215" customFormat="1" ht="38.25" hidden="1" customHeight="1" outlineLevel="1" x14ac:dyDescent="0.2">
      <c r="A4039" s="215" t="s">
        <v>1279</v>
      </c>
      <c r="B4039" s="224" t="s">
        <v>7203</v>
      </c>
      <c r="C4039" s="225" t="s">
        <v>7001</v>
      </c>
      <c r="D4039" s="226" t="s">
        <v>11</v>
      </c>
      <c r="E4039" s="227">
        <v>11.84</v>
      </c>
      <c r="F4039" s="227"/>
    </row>
    <row r="4040" spans="1:10" s="215" customFormat="1" ht="38.25" hidden="1" customHeight="1" outlineLevel="1" x14ac:dyDescent="0.2">
      <c r="A4040" s="215" t="s">
        <v>1279</v>
      </c>
      <c r="B4040" s="228" t="s">
        <v>7204</v>
      </c>
      <c r="C4040" s="229" t="s">
        <v>7003</v>
      </c>
      <c r="D4040" s="230" t="s">
        <v>11</v>
      </c>
      <c r="E4040" s="231">
        <v>11.84</v>
      </c>
      <c r="F4040" s="231"/>
    </row>
    <row r="4041" spans="1:10" s="215" customFormat="1" ht="38.25" hidden="1" customHeight="1" outlineLevel="1" x14ac:dyDescent="0.2">
      <c r="A4041" s="215" t="s">
        <v>1279</v>
      </c>
      <c r="B4041" s="216" t="s">
        <v>6442</v>
      </c>
      <c r="C4041" s="217" t="s">
        <v>2970</v>
      </c>
      <c r="D4041" s="218"/>
      <c r="E4041" s="219"/>
      <c r="F4041" s="219"/>
    </row>
    <row r="4042" spans="1:10" s="215" customFormat="1" ht="12.75" hidden="1" customHeight="1" outlineLevel="1" x14ac:dyDescent="0.2">
      <c r="A4042" s="215" t="s">
        <v>1279</v>
      </c>
      <c r="B4042" s="224" t="s">
        <v>6443</v>
      </c>
      <c r="C4042" s="225" t="s">
        <v>7004</v>
      </c>
      <c r="D4042" s="226" t="s">
        <v>11</v>
      </c>
      <c r="E4042" s="227">
        <v>2.5299999999999998</v>
      </c>
      <c r="F4042" s="227"/>
      <c r="I4042" s="241"/>
      <c r="J4042" s="403"/>
    </row>
    <row r="4043" spans="1:10" s="215" customFormat="1" ht="38.25" hidden="1" customHeight="1" outlineLevel="1" x14ac:dyDescent="0.2">
      <c r="A4043" s="215" t="s">
        <v>1279</v>
      </c>
      <c r="B4043" s="228" t="s">
        <v>6444</v>
      </c>
      <c r="C4043" s="229" t="s">
        <v>6980</v>
      </c>
      <c r="D4043" s="230" t="s">
        <v>11</v>
      </c>
      <c r="E4043" s="231">
        <v>3.51</v>
      </c>
      <c r="F4043" s="231"/>
      <c r="I4043" s="241"/>
      <c r="J4043" s="403"/>
    </row>
    <row r="4044" spans="1:10" s="215" customFormat="1" ht="38.25" hidden="1" customHeight="1" outlineLevel="1" x14ac:dyDescent="0.2">
      <c r="A4044" s="215" t="s">
        <v>1279</v>
      </c>
      <c r="B4044" s="224" t="s">
        <v>6445</v>
      </c>
      <c r="C4044" s="225" t="s">
        <v>6981</v>
      </c>
      <c r="D4044" s="226" t="s">
        <v>11</v>
      </c>
      <c r="E4044" s="227">
        <v>1.49</v>
      </c>
      <c r="F4044" s="227"/>
      <c r="I4044" s="241"/>
      <c r="J4044" s="403"/>
    </row>
    <row r="4045" spans="1:10" s="215" customFormat="1" ht="38.25" hidden="1" customHeight="1" outlineLevel="1" x14ac:dyDescent="0.2">
      <c r="A4045" s="215" t="s">
        <v>1279</v>
      </c>
      <c r="B4045" s="228" t="s">
        <v>6446</v>
      </c>
      <c r="C4045" s="229" t="s">
        <v>6983</v>
      </c>
      <c r="D4045" s="230" t="s">
        <v>11</v>
      </c>
      <c r="E4045" s="231">
        <v>10.8</v>
      </c>
      <c r="F4045" s="231"/>
      <c r="G4045" s="241"/>
      <c r="H4045" s="241"/>
      <c r="I4045" s="241"/>
      <c r="J4045" s="403"/>
    </row>
    <row r="4046" spans="1:10" s="215" customFormat="1" ht="38.25" hidden="1" customHeight="1" outlineLevel="1" x14ac:dyDescent="0.2">
      <c r="A4046" s="215" t="s">
        <v>1279</v>
      </c>
      <c r="B4046" s="224" t="s">
        <v>6447</v>
      </c>
      <c r="C4046" s="225" t="s">
        <v>6984</v>
      </c>
      <c r="D4046" s="226" t="s">
        <v>11</v>
      </c>
      <c r="E4046" s="227">
        <v>15.07</v>
      </c>
      <c r="F4046" s="227"/>
      <c r="G4046" s="241"/>
      <c r="H4046" s="241"/>
      <c r="I4046" s="241"/>
      <c r="J4046" s="403"/>
    </row>
    <row r="4047" spans="1:10" s="215" customFormat="1" ht="38.25" hidden="1" customHeight="1" outlineLevel="1" x14ac:dyDescent="0.2">
      <c r="A4047" s="215" t="s">
        <v>1279</v>
      </c>
      <c r="B4047" s="228" t="s">
        <v>6448</v>
      </c>
      <c r="C4047" s="229" t="s">
        <v>7005</v>
      </c>
      <c r="D4047" s="230" t="s">
        <v>11</v>
      </c>
      <c r="E4047" s="231">
        <v>2.8</v>
      </c>
      <c r="F4047" s="231"/>
      <c r="G4047" s="241"/>
      <c r="H4047" s="241"/>
      <c r="I4047" s="241"/>
      <c r="J4047" s="403"/>
    </row>
    <row r="4048" spans="1:10" s="215" customFormat="1" ht="38.25" hidden="1" customHeight="1" outlineLevel="1" x14ac:dyDescent="0.2">
      <c r="A4048" s="215" t="s">
        <v>1279</v>
      </c>
      <c r="B4048" s="224" t="s">
        <v>6449</v>
      </c>
      <c r="C4048" s="225" t="s">
        <v>7038</v>
      </c>
      <c r="D4048" s="226" t="s">
        <v>11</v>
      </c>
      <c r="E4048" s="227">
        <v>7.72</v>
      </c>
      <c r="F4048" s="227"/>
      <c r="G4048" s="241"/>
      <c r="H4048" s="241"/>
      <c r="I4048" s="241"/>
      <c r="J4048" s="403"/>
    </row>
    <row r="4049" spans="1:6" s="215" customFormat="1" ht="38.25" hidden="1" customHeight="1" outlineLevel="1" x14ac:dyDescent="0.2">
      <c r="A4049" s="215" t="s">
        <v>1279</v>
      </c>
      <c r="B4049" s="228" t="s">
        <v>6450</v>
      </c>
      <c r="C4049" s="229" t="s">
        <v>6985</v>
      </c>
      <c r="D4049" s="230" t="s">
        <v>11</v>
      </c>
      <c r="E4049" s="231">
        <v>27.24</v>
      </c>
      <c r="F4049" s="231"/>
    </row>
    <row r="4050" spans="1:6" s="215" customFormat="1" ht="38.25" hidden="1" customHeight="1" outlineLevel="1" x14ac:dyDescent="0.2">
      <c r="A4050" s="215" t="s">
        <v>1279</v>
      </c>
      <c r="B4050" s="224" t="s">
        <v>6451</v>
      </c>
      <c r="C4050" s="225" t="s">
        <v>6986</v>
      </c>
      <c r="D4050" s="226" t="s">
        <v>11</v>
      </c>
      <c r="E4050" s="227">
        <v>30.21</v>
      </c>
      <c r="F4050" s="227"/>
    </row>
    <row r="4051" spans="1:6" s="215" customFormat="1" ht="38.25" hidden="1" customHeight="1" outlineLevel="1" x14ac:dyDescent="0.2">
      <c r="A4051" s="215" t="s">
        <v>1279</v>
      </c>
      <c r="B4051" s="228" t="s">
        <v>6452</v>
      </c>
      <c r="C4051" s="229" t="s">
        <v>7006</v>
      </c>
      <c r="D4051" s="230" t="s">
        <v>11</v>
      </c>
      <c r="E4051" s="231">
        <v>2.17</v>
      </c>
      <c r="F4051" s="231"/>
    </row>
    <row r="4052" spans="1:6" s="215" customFormat="1" ht="38.25" hidden="1" customHeight="1" outlineLevel="1" x14ac:dyDescent="0.2">
      <c r="A4052" s="215" t="s">
        <v>1279</v>
      </c>
      <c r="B4052" s="224" t="s">
        <v>6453</v>
      </c>
      <c r="C4052" s="225" t="s">
        <v>7007</v>
      </c>
      <c r="D4052" s="226" t="s">
        <v>11</v>
      </c>
      <c r="E4052" s="227">
        <v>2.4300000000000002</v>
      </c>
      <c r="F4052" s="227"/>
    </row>
    <row r="4053" spans="1:6" s="215" customFormat="1" ht="38.25" hidden="1" customHeight="1" outlineLevel="1" x14ac:dyDescent="0.2">
      <c r="A4053" s="215" t="s">
        <v>1279</v>
      </c>
      <c r="B4053" s="228" t="s">
        <v>7205</v>
      </c>
      <c r="C4053" s="229" t="s">
        <v>6987</v>
      </c>
      <c r="D4053" s="230" t="s">
        <v>11</v>
      </c>
      <c r="E4053" s="231">
        <v>4.05</v>
      </c>
      <c r="F4053" s="231"/>
    </row>
    <row r="4054" spans="1:6" s="215" customFormat="1" ht="12.75" hidden="1" customHeight="1" outlineLevel="1" x14ac:dyDescent="0.2">
      <c r="A4054" s="215" t="s">
        <v>1279</v>
      </c>
      <c r="B4054" s="224" t="s">
        <v>7206</v>
      </c>
      <c r="C4054" s="225" t="s">
        <v>7010</v>
      </c>
      <c r="D4054" s="226" t="s">
        <v>11</v>
      </c>
      <c r="E4054" s="227">
        <v>11.29</v>
      </c>
      <c r="F4054" s="227"/>
    </row>
    <row r="4055" spans="1:6" s="215" customFormat="1" ht="38.25" hidden="1" customHeight="1" outlineLevel="1" x14ac:dyDescent="0.2">
      <c r="A4055" s="215" t="s">
        <v>1279</v>
      </c>
      <c r="B4055" s="228" t="s">
        <v>7207</v>
      </c>
      <c r="C4055" s="229" t="s">
        <v>7012</v>
      </c>
      <c r="D4055" s="230" t="s">
        <v>11</v>
      </c>
      <c r="E4055" s="231">
        <v>3.5</v>
      </c>
      <c r="F4055" s="231"/>
    </row>
    <row r="4056" spans="1:6" s="215" customFormat="1" ht="38.25" hidden="1" customHeight="1" outlineLevel="1" x14ac:dyDescent="0.2">
      <c r="A4056" s="215" t="s">
        <v>1279</v>
      </c>
      <c r="B4056" s="224" t="s">
        <v>7208</v>
      </c>
      <c r="C4056" s="225" t="s">
        <v>7014</v>
      </c>
      <c r="D4056" s="226" t="s">
        <v>11</v>
      </c>
      <c r="E4056" s="227">
        <v>12.22</v>
      </c>
      <c r="F4056" s="227"/>
    </row>
    <row r="4057" spans="1:6" s="215" customFormat="1" ht="38.25" hidden="1" customHeight="1" outlineLevel="1" x14ac:dyDescent="0.2">
      <c r="A4057" s="215" t="s">
        <v>1279</v>
      </c>
      <c r="B4057" s="228" t="s">
        <v>7209</v>
      </c>
      <c r="C4057" s="229" t="s">
        <v>6989</v>
      </c>
      <c r="D4057" s="230" t="s">
        <v>11</v>
      </c>
      <c r="E4057" s="231">
        <v>24.45</v>
      </c>
      <c r="F4057" s="231"/>
    </row>
    <row r="4058" spans="1:6" s="215" customFormat="1" ht="38.25" hidden="1" customHeight="1" outlineLevel="1" x14ac:dyDescent="0.2">
      <c r="A4058" s="215" t="s">
        <v>1279</v>
      </c>
      <c r="B4058" s="224" t="s">
        <v>7210</v>
      </c>
      <c r="C4058" s="225" t="s">
        <v>6991</v>
      </c>
      <c r="D4058" s="226" t="s">
        <v>11</v>
      </c>
      <c r="E4058" s="227">
        <v>6.47</v>
      </c>
      <c r="F4058" s="227"/>
    </row>
    <row r="4059" spans="1:6" s="215" customFormat="1" ht="38.25" hidden="1" customHeight="1" outlineLevel="1" x14ac:dyDescent="0.2">
      <c r="A4059" s="215" t="s">
        <v>1279</v>
      </c>
      <c r="B4059" s="228" t="s">
        <v>7211</v>
      </c>
      <c r="C4059" s="229" t="s">
        <v>7018</v>
      </c>
      <c r="D4059" s="230" t="s">
        <v>11</v>
      </c>
      <c r="E4059" s="231">
        <v>3.47</v>
      </c>
      <c r="F4059" s="231"/>
    </row>
    <row r="4060" spans="1:6" s="215" customFormat="1" ht="38.25" hidden="1" customHeight="1" outlineLevel="1" x14ac:dyDescent="0.2">
      <c r="A4060" s="215" t="s">
        <v>1279</v>
      </c>
      <c r="B4060" s="224" t="s">
        <v>7212</v>
      </c>
      <c r="C4060" s="225" t="s">
        <v>7020</v>
      </c>
      <c r="D4060" s="226" t="s">
        <v>11</v>
      </c>
      <c r="E4060" s="227">
        <v>3.08</v>
      </c>
      <c r="F4060" s="227"/>
    </row>
    <row r="4061" spans="1:6" s="215" customFormat="1" ht="38.25" hidden="1" customHeight="1" outlineLevel="1" x14ac:dyDescent="0.2">
      <c r="A4061" s="215" t="s">
        <v>1279</v>
      </c>
      <c r="B4061" s="228" t="s">
        <v>7213</v>
      </c>
      <c r="C4061" s="229" t="s">
        <v>6993</v>
      </c>
      <c r="D4061" s="230" t="s">
        <v>11</v>
      </c>
      <c r="E4061" s="231">
        <v>16.03</v>
      </c>
      <c r="F4061" s="231"/>
    </row>
    <row r="4062" spans="1:6" s="215" customFormat="1" ht="38.25" hidden="1" customHeight="1" outlineLevel="1" x14ac:dyDescent="0.2">
      <c r="A4062" s="215" t="s">
        <v>1279</v>
      </c>
      <c r="B4062" s="224" t="s">
        <v>7214</v>
      </c>
      <c r="C4062" s="225" t="s">
        <v>6995</v>
      </c>
      <c r="D4062" s="226" t="s">
        <v>11</v>
      </c>
      <c r="E4062" s="227">
        <v>6.87</v>
      </c>
      <c r="F4062" s="227"/>
    </row>
    <row r="4063" spans="1:6" s="215" customFormat="1" ht="38.25" hidden="1" customHeight="1" outlineLevel="1" x14ac:dyDescent="0.2">
      <c r="A4063" s="215" t="s">
        <v>1279</v>
      </c>
      <c r="B4063" s="228" t="s">
        <v>7215</v>
      </c>
      <c r="C4063" s="229" t="s">
        <v>7024</v>
      </c>
      <c r="D4063" s="230" t="s">
        <v>11</v>
      </c>
      <c r="E4063" s="231">
        <v>2.2000000000000002</v>
      </c>
      <c r="F4063" s="231"/>
    </row>
    <row r="4064" spans="1:6" s="215" customFormat="1" ht="38.25" hidden="1" customHeight="1" outlineLevel="1" x14ac:dyDescent="0.2">
      <c r="A4064" s="215" t="s">
        <v>1279</v>
      </c>
      <c r="B4064" s="224" t="s">
        <v>7216</v>
      </c>
      <c r="C4064" s="225" t="s">
        <v>7026</v>
      </c>
      <c r="D4064" s="226" t="s">
        <v>11</v>
      </c>
      <c r="E4064" s="227">
        <v>12.67</v>
      </c>
      <c r="F4064" s="227"/>
    </row>
    <row r="4065" spans="1:6" s="215" customFormat="1" ht="38.25" hidden="1" customHeight="1" outlineLevel="1" x14ac:dyDescent="0.2">
      <c r="A4065" s="215" t="s">
        <v>1279</v>
      </c>
      <c r="B4065" s="228" t="s">
        <v>7217</v>
      </c>
      <c r="C4065" s="229" t="s">
        <v>7028</v>
      </c>
      <c r="D4065" s="230" t="s">
        <v>11</v>
      </c>
      <c r="E4065" s="231">
        <v>15.71</v>
      </c>
      <c r="F4065" s="231"/>
    </row>
    <row r="4066" spans="1:6" s="215" customFormat="1" ht="12.75" hidden="1" customHeight="1" outlineLevel="1" x14ac:dyDescent="0.2">
      <c r="A4066" s="215" t="s">
        <v>1279</v>
      </c>
      <c r="B4066" s="224" t="s">
        <v>7218</v>
      </c>
      <c r="C4066" s="225" t="s">
        <v>7030</v>
      </c>
      <c r="D4066" s="226" t="s">
        <v>11</v>
      </c>
      <c r="E4066" s="227">
        <v>3.44</v>
      </c>
      <c r="F4066" s="227"/>
    </row>
    <row r="4067" spans="1:6" s="215" customFormat="1" ht="38.25" hidden="1" customHeight="1" outlineLevel="1" x14ac:dyDescent="0.2">
      <c r="A4067" s="215" t="s">
        <v>1279</v>
      </c>
      <c r="B4067" s="228" t="s">
        <v>7219</v>
      </c>
      <c r="C4067" s="229" t="s">
        <v>6997</v>
      </c>
      <c r="D4067" s="230" t="s">
        <v>11</v>
      </c>
      <c r="E4067" s="231">
        <v>19.86</v>
      </c>
      <c r="F4067" s="231"/>
    </row>
    <row r="4068" spans="1:6" s="215" customFormat="1" ht="38.25" hidden="1" customHeight="1" outlineLevel="1" x14ac:dyDescent="0.2">
      <c r="A4068" s="215" t="s">
        <v>1279</v>
      </c>
      <c r="B4068" s="224" t="s">
        <v>7220</v>
      </c>
      <c r="C4068" s="225" t="s">
        <v>6999</v>
      </c>
      <c r="D4068" s="226" t="s">
        <v>11</v>
      </c>
      <c r="E4068" s="227">
        <v>35.89</v>
      </c>
      <c r="F4068" s="227"/>
    </row>
    <row r="4069" spans="1:6" s="215" customFormat="1" ht="38.25" hidden="1" customHeight="1" outlineLevel="1" x14ac:dyDescent="0.2">
      <c r="A4069" s="215" t="s">
        <v>1279</v>
      </c>
      <c r="B4069" s="228" t="s">
        <v>7221</v>
      </c>
      <c r="C4069" s="229" t="s">
        <v>7001</v>
      </c>
      <c r="D4069" s="230" t="s">
        <v>11</v>
      </c>
      <c r="E4069" s="231">
        <v>11.84</v>
      </c>
      <c r="F4069" s="231"/>
    </row>
    <row r="4070" spans="1:6" s="215" customFormat="1" ht="38.25" hidden="1" customHeight="1" outlineLevel="1" x14ac:dyDescent="0.2">
      <c r="A4070" s="215" t="s">
        <v>1279</v>
      </c>
      <c r="B4070" s="224" t="s">
        <v>7222</v>
      </c>
      <c r="C4070" s="225" t="s">
        <v>7003</v>
      </c>
      <c r="D4070" s="226" t="s">
        <v>11</v>
      </c>
      <c r="E4070" s="227">
        <v>12.6</v>
      </c>
      <c r="F4070" s="227"/>
    </row>
    <row r="4071" spans="1:6" s="215" customFormat="1" ht="38.25" hidden="1" customHeight="1" outlineLevel="1" x14ac:dyDescent="0.2">
      <c r="A4071" s="215" t="s">
        <v>1279</v>
      </c>
      <c r="B4071" s="216" t="s">
        <v>6454</v>
      </c>
      <c r="C4071" s="217" t="s">
        <v>2971</v>
      </c>
      <c r="D4071" s="218"/>
      <c r="E4071" s="219"/>
      <c r="F4071" s="219"/>
    </row>
    <row r="4072" spans="1:6" s="215" customFormat="1" ht="38.25" hidden="1" customHeight="1" outlineLevel="1" x14ac:dyDescent="0.2">
      <c r="A4072" s="215" t="s">
        <v>1279</v>
      </c>
      <c r="B4072" s="228" t="s">
        <v>6455</v>
      </c>
      <c r="C4072" s="229" t="s">
        <v>7004</v>
      </c>
      <c r="D4072" s="230" t="s">
        <v>11</v>
      </c>
      <c r="E4072" s="231">
        <v>4.22</v>
      </c>
      <c r="F4072" s="231"/>
    </row>
    <row r="4073" spans="1:6" s="215" customFormat="1" ht="38.25" hidden="1" customHeight="1" outlineLevel="1" x14ac:dyDescent="0.2">
      <c r="A4073" s="215" t="s">
        <v>1279</v>
      </c>
      <c r="B4073" s="224" t="s">
        <v>6456</v>
      </c>
      <c r="C4073" s="225" t="s">
        <v>6980</v>
      </c>
      <c r="D4073" s="226" t="s">
        <v>11</v>
      </c>
      <c r="E4073" s="227">
        <v>5.65</v>
      </c>
      <c r="F4073" s="227"/>
    </row>
    <row r="4074" spans="1:6" s="215" customFormat="1" ht="38.25" hidden="1" customHeight="1" outlineLevel="1" x14ac:dyDescent="0.2">
      <c r="A4074" s="215" t="s">
        <v>1279</v>
      </c>
      <c r="B4074" s="228" t="s">
        <v>6457</v>
      </c>
      <c r="C4074" s="229" t="s">
        <v>6981</v>
      </c>
      <c r="D4074" s="230" t="s">
        <v>11</v>
      </c>
      <c r="E4074" s="231">
        <v>1.5</v>
      </c>
      <c r="F4074" s="231"/>
    </row>
    <row r="4075" spans="1:6" s="215" customFormat="1" ht="38.25" hidden="1" customHeight="1" outlineLevel="1" x14ac:dyDescent="0.2">
      <c r="A4075" s="215" t="s">
        <v>1279</v>
      </c>
      <c r="B4075" s="224" t="s">
        <v>6458</v>
      </c>
      <c r="C4075" s="225" t="s">
        <v>6983</v>
      </c>
      <c r="D4075" s="226" t="s">
        <v>11</v>
      </c>
      <c r="E4075" s="227">
        <v>13.36</v>
      </c>
      <c r="F4075" s="227"/>
    </row>
    <row r="4076" spans="1:6" s="215" customFormat="1" ht="38.25" hidden="1" customHeight="1" outlineLevel="1" x14ac:dyDescent="0.2">
      <c r="A4076" s="215" t="s">
        <v>1279</v>
      </c>
      <c r="B4076" s="228" t="s">
        <v>6459</v>
      </c>
      <c r="C4076" s="229" t="s">
        <v>6984</v>
      </c>
      <c r="D4076" s="230" t="s">
        <v>11</v>
      </c>
      <c r="E4076" s="231">
        <v>14.81</v>
      </c>
      <c r="F4076" s="231"/>
    </row>
    <row r="4077" spans="1:6" s="215" customFormat="1" ht="38.25" hidden="1" customHeight="1" outlineLevel="1" x14ac:dyDescent="0.2">
      <c r="A4077" s="215" t="s">
        <v>1279</v>
      </c>
      <c r="B4077" s="224" t="s">
        <v>6460</v>
      </c>
      <c r="C4077" s="225" t="s">
        <v>7005</v>
      </c>
      <c r="D4077" s="226" t="s">
        <v>11</v>
      </c>
      <c r="E4077" s="227">
        <v>2.8</v>
      </c>
      <c r="F4077" s="227"/>
    </row>
    <row r="4078" spans="1:6" s="215" customFormat="1" ht="12.75" hidden="1" customHeight="1" outlineLevel="1" x14ac:dyDescent="0.2">
      <c r="A4078" s="215" t="s">
        <v>1279</v>
      </c>
      <c r="B4078" s="228" t="s">
        <v>6461</v>
      </c>
      <c r="C4078" s="229" t="s">
        <v>7038</v>
      </c>
      <c r="D4078" s="230" t="s">
        <v>11</v>
      </c>
      <c r="E4078" s="231">
        <v>8.75</v>
      </c>
      <c r="F4078" s="231"/>
    </row>
    <row r="4079" spans="1:6" s="215" customFormat="1" ht="38.25" hidden="1" customHeight="1" outlineLevel="1" x14ac:dyDescent="0.2">
      <c r="A4079" s="215" t="s">
        <v>1279</v>
      </c>
      <c r="B4079" s="224" t="s">
        <v>6462</v>
      </c>
      <c r="C4079" s="225" t="s">
        <v>6985</v>
      </c>
      <c r="D4079" s="226" t="s">
        <v>11</v>
      </c>
      <c r="E4079" s="227">
        <v>48.04</v>
      </c>
      <c r="F4079" s="227"/>
    </row>
    <row r="4080" spans="1:6" s="215" customFormat="1" ht="38.25" hidden="1" customHeight="1" outlineLevel="1" x14ac:dyDescent="0.2">
      <c r="A4080" s="215" t="s">
        <v>1279</v>
      </c>
      <c r="B4080" s="228" t="s">
        <v>6463</v>
      </c>
      <c r="C4080" s="229" t="s">
        <v>6986</v>
      </c>
      <c r="D4080" s="230" t="s">
        <v>11</v>
      </c>
      <c r="E4080" s="231">
        <v>30.55</v>
      </c>
      <c r="F4080" s="231"/>
    </row>
    <row r="4081" spans="1:10" s="215" customFormat="1" ht="38.25" hidden="1" customHeight="1" outlineLevel="1" x14ac:dyDescent="0.2">
      <c r="A4081" s="215" t="s">
        <v>1279</v>
      </c>
      <c r="B4081" s="224" t="s">
        <v>6464</v>
      </c>
      <c r="C4081" s="225" t="s">
        <v>7006</v>
      </c>
      <c r="D4081" s="226" t="s">
        <v>11</v>
      </c>
      <c r="E4081" s="227">
        <v>2.17</v>
      </c>
      <c r="F4081" s="227"/>
    </row>
    <row r="4082" spans="1:10" s="215" customFormat="1" ht="38.25" hidden="1" customHeight="1" outlineLevel="1" x14ac:dyDescent="0.2">
      <c r="A4082" s="215" t="s">
        <v>1279</v>
      </c>
      <c r="B4082" s="228" t="s">
        <v>6465</v>
      </c>
      <c r="C4082" s="229" t="s">
        <v>7007</v>
      </c>
      <c r="D4082" s="230" t="s">
        <v>11</v>
      </c>
      <c r="E4082" s="231">
        <v>4.1100000000000003</v>
      </c>
      <c r="F4082" s="231"/>
    </row>
    <row r="4083" spans="1:10" s="215" customFormat="1" ht="38.25" hidden="1" customHeight="1" outlineLevel="1" x14ac:dyDescent="0.2">
      <c r="A4083" s="215" t="s">
        <v>1279</v>
      </c>
      <c r="B4083" s="224" t="s">
        <v>7223</v>
      </c>
      <c r="C4083" s="225" t="s">
        <v>6987</v>
      </c>
      <c r="D4083" s="226" t="s">
        <v>11</v>
      </c>
      <c r="E4083" s="227">
        <v>6.69</v>
      </c>
      <c r="F4083" s="227"/>
    </row>
    <row r="4084" spans="1:10" s="215" customFormat="1" ht="38.25" hidden="1" customHeight="1" outlineLevel="1" x14ac:dyDescent="0.2">
      <c r="A4084" s="215" t="s">
        <v>1279</v>
      </c>
      <c r="B4084" s="228" t="s">
        <v>7224</v>
      </c>
      <c r="C4084" s="229" t="s">
        <v>7010</v>
      </c>
      <c r="D4084" s="230" t="s">
        <v>11</v>
      </c>
      <c r="E4084" s="231">
        <v>11.29</v>
      </c>
      <c r="F4084" s="231"/>
    </row>
    <row r="4085" spans="1:10" s="215" customFormat="1" ht="38.25" hidden="1" customHeight="1" outlineLevel="1" x14ac:dyDescent="0.2">
      <c r="A4085" s="215" t="s">
        <v>1279</v>
      </c>
      <c r="B4085" s="224" t="s">
        <v>7225</v>
      </c>
      <c r="C4085" s="225" t="s">
        <v>7012</v>
      </c>
      <c r="D4085" s="226" t="s">
        <v>11</v>
      </c>
      <c r="E4085" s="227">
        <v>4.62</v>
      </c>
      <c r="F4085" s="227"/>
      <c r="G4085" s="241"/>
      <c r="H4085" s="241"/>
      <c r="I4085" s="241"/>
      <c r="J4085" s="403"/>
    </row>
    <row r="4086" spans="1:10" s="215" customFormat="1" ht="38.25" hidden="1" customHeight="1" outlineLevel="1" x14ac:dyDescent="0.2">
      <c r="A4086" s="215" t="s">
        <v>1279</v>
      </c>
      <c r="B4086" s="228" t="s">
        <v>7226</v>
      </c>
      <c r="C4086" s="229" t="s">
        <v>7014</v>
      </c>
      <c r="D4086" s="230" t="s">
        <v>11</v>
      </c>
      <c r="E4086" s="231">
        <v>13.59</v>
      </c>
      <c r="F4086" s="231"/>
      <c r="G4086" s="241"/>
      <c r="H4086" s="241"/>
      <c r="I4086" s="241"/>
      <c r="J4086" s="403"/>
    </row>
    <row r="4087" spans="1:10" s="215" customFormat="1" ht="38.25" hidden="1" customHeight="1" outlineLevel="1" x14ac:dyDescent="0.2">
      <c r="A4087" s="215" t="s">
        <v>1279</v>
      </c>
      <c r="B4087" s="224" t="s">
        <v>7227</v>
      </c>
      <c r="C4087" s="225" t="s">
        <v>6989</v>
      </c>
      <c r="D4087" s="226" t="s">
        <v>11</v>
      </c>
      <c r="E4087" s="227">
        <v>44.51</v>
      </c>
      <c r="F4087" s="227"/>
      <c r="G4087" s="241"/>
      <c r="H4087" s="241"/>
      <c r="I4087" s="241"/>
      <c r="J4087" s="403"/>
    </row>
    <row r="4088" spans="1:10" s="215" customFormat="1" ht="38.25" hidden="1" customHeight="1" outlineLevel="1" x14ac:dyDescent="0.2">
      <c r="A4088" s="215" t="s">
        <v>1279</v>
      </c>
      <c r="B4088" s="228" t="s">
        <v>7228</v>
      </c>
      <c r="C4088" s="229" t="s">
        <v>6991</v>
      </c>
      <c r="D4088" s="230" t="s">
        <v>11</v>
      </c>
      <c r="E4088" s="231">
        <v>6.72</v>
      </c>
      <c r="F4088" s="231"/>
      <c r="G4088" s="241"/>
      <c r="H4088" s="241"/>
      <c r="I4088" s="241"/>
      <c r="J4088" s="403"/>
    </row>
    <row r="4089" spans="1:10" s="215" customFormat="1" ht="38.25" hidden="1" customHeight="1" outlineLevel="1" x14ac:dyDescent="0.2">
      <c r="A4089" s="215" t="s">
        <v>1279</v>
      </c>
      <c r="B4089" s="224" t="s">
        <v>7229</v>
      </c>
      <c r="C4089" s="225" t="s">
        <v>7018</v>
      </c>
      <c r="D4089" s="226" t="s">
        <v>11</v>
      </c>
      <c r="E4089" s="227">
        <v>3.33</v>
      </c>
      <c r="F4089" s="227"/>
    </row>
    <row r="4090" spans="1:10" s="215" customFormat="1" ht="12.75" hidden="1" customHeight="1" outlineLevel="1" x14ac:dyDescent="0.2">
      <c r="A4090" s="215" t="s">
        <v>1279</v>
      </c>
      <c r="B4090" s="228" t="s">
        <v>7230</v>
      </c>
      <c r="C4090" s="229" t="s">
        <v>7020</v>
      </c>
      <c r="D4090" s="230" t="s">
        <v>11</v>
      </c>
      <c r="E4090" s="231">
        <v>2.5099999999999998</v>
      </c>
      <c r="F4090" s="231"/>
    </row>
    <row r="4091" spans="1:10" s="215" customFormat="1" ht="38.25" hidden="1" customHeight="1" outlineLevel="1" x14ac:dyDescent="0.2">
      <c r="A4091" s="215" t="s">
        <v>1279</v>
      </c>
      <c r="B4091" s="224" t="s">
        <v>7231</v>
      </c>
      <c r="C4091" s="225" t="s">
        <v>6993</v>
      </c>
      <c r="D4091" s="226" t="s">
        <v>11</v>
      </c>
      <c r="E4091" s="227">
        <v>18.02</v>
      </c>
      <c r="F4091" s="227"/>
    </row>
    <row r="4092" spans="1:10" s="215" customFormat="1" ht="38.25" hidden="1" customHeight="1" outlineLevel="1" x14ac:dyDescent="0.2">
      <c r="A4092" s="215" t="s">
        <v>1279</v>
      </c>
      <c r="B4092" s="228" t="s">
        <v>7232</v>
      </c>
      <c r="C4092" s="229" t="s">
        <v>6995</v>
      </c>
      <c r="D4092" s="230" t="s">
        <v>11</v>
      </c>
      <c r="E4092" s="231">
        <v>6.69</v>
      </c>
      <c r="F4092" s="231"/>
    </row>
    <row r="4093" spans="1:10" s="215" customFormat="1" ht="38.25" hidden="1" customHeight="1" outlineLevel="1" x14ac:dyDescent="0.2">
      <c r="A4093" s="215" t="s">
        <v>1279</v>
      </c>
      <c r="B4093" s="224" t="s">
        <v>7233</v>
      </c>
      <c r="C4093" s="225" t="s">
        <v>7024</v>
      </c>
      <c r="D4093" s="226" t="s">
        <v>11</v>
      </c>
      <c r="E4093" s="227">
        <v>3.77</v>
      </c>
      <c r="F4093" s="227"/>
    </row>
    <row r="4094" spans="1:10" s="215" customFormat="1" ht="38.25" hidden="1" customHeight="1" outlineLevel="1" x14ac:dyDescent="0.2">
      <c r="A4094" s="215" t="s">
        <v>1279</v>
      </c>
      <c r="B4094" s="228" t="s">
        <v>7234</v>
      </c>
      <c r="C4094" s="229" t="s">
        <v>7026</v>
      </c>
      <c r="D4094" s="230" t="s">
        <v>11</v>
      </c>
      <c r="E4094" s="231">
        <v>14.2</v>
      </c>
      <c r="F4094" s="231"/>
    </row>
    <row r="4095" spans="1:10" s="215" customFormat="1" ht="38.25" hidden="1" customHeight="1" outlineLevel="1" x14ac:dyDescent="0.2">
      <c r="A4095" s="215" t="s">
        <v>1279</v>
      </c>
      <c r="B4095" s="224" t="s">
        <v>7235</v>
      </c>
      <c r="C4095" s="225" t="s">
        <v>7028</v>
      </c>
      <c r="D4095" s="226" t="s">
        <v>11</v>
      </c>
      <c r="E4095" s="227">
        <v>35.47</v>
      </c>
      <c r="F4095" s="227"/>
    </row>
    <row r="4096" spans="1:10" s="215" customFormat="1" ht="38.25" hidden="1" customHeight="1" outlineLevel="1" x14ac:dyDescent="0.2">
      <c r="A4096" s="215" t="s">
        <v>1279</v>
      </c>
      <c r="B4096" s="228" t="s">
        <v>7236</v>
      </c>
      <c r="C4096" s="229" t="s">
        <v>7030</v>
      </c>
      <c r="D4096" s="230" t="s">
        <v>11</v>
      </c>
      <c r="E4096" s="231">
        <v>3.44</v>
      </c>
      <c r="F4096" s="231"/>
    </row>
    <row r="4097" spans="1:6" s="215" customFormat="1" ht="38.25" hidden="1" customHeight="1" outlineLevel="1" x14ac:dyDescent="0.2">
      <c r="A4097" s="215" t="s">
        <v>1279</v>
      </c>
      <c r="B4097" s="224" t="s">
        <v>7237</v>
      </c>
      <c r="C4097" s="225" t="s">
        <v>6997</v>
      </c>
      <c r="D4097" s="226" t="s">
        <v>11</v>
      </c>
      <c r="E4097" s="227">
        <v>26.16</v>
      </c>
      <c r="F4097" s="227"/>
    </row>
    <row r="4098" spans="1:6" s="215" customFormat="1" ht="38.25" hidden="1" customHeight="1" outlineLevel="1" x14ac:dyDescent="0.2">
      <c r="A4098" s="215" t="s">
        <v>1279</v>
      </c>
      <c r="B4098" s="228" t="s">
        <v>7238</v>
      </c>
      <c r="C4098" s="229" t="s">
        <v>6999</v>
      </c>
      <c r="D4098" s="230" t="s">
        <v>11</v>
      </c>
      <c r="E4098" s="231">
        <v>35.89</v>
      </c>
      <c r="F4098" s="231"/>
    </row>
    <row r="4099" spans="1:6" s="215" customFormat="1" ht="38.25" hidden="1" customHeight="1" outlineLevel="1" x14ac:dyDescent="0.2">
      <c r="A4099" s="215" t="s">
        <v>1279</v>
      </c>
      <c r="B4099" s="224" t="s">
        <v>7239</v>
      </c>
      <c r="C4099" s="225" t="s">
        <v>7001</v>
      </c>
      <c r="D4099" s="226" t="s">
        <v>11</v>
      </c>
      <c r="E4099" s="227">
        <v>16.09</v>
      </c>
      <c r="F4099" s="227"/>
    </row>
    <row r="4100" spans="1:6" s="215" customFormat="1" ht="38.25" hidden="1" customHeight="1" outlineLevel="1" x14ac:dyDescent="0.2">
      <c r="A4100" s="215" t="s">
        <v>1279</v>
      </c>
      <c r="B4100" s="228" t="s">
        <v>7240</v>
      </c>
      <c r="C4100" s="229" t="s">
        <v>7003</v>
      </c>
      <c r="D4100" s="230" t="s">
        <v>11</v>
      </c>
      <c r="E4100" s="231">
        <v>11.84</v>
      </c>
      <c r="F4100" s="231"/>
    </row>
    <row r="4101" spans="1:6" s="215" customFormat="1" ht="38.25" hidden="1" customHeight="1" outlineLevel="1" x14ac:dyDescent="0.2">
      <c r="A4101" s="215" t="s">
        <v>1279</v>
      </c>
      <c r="B4101" s="216" t="s">
        <v>6466</v>
      </c>
      <c r="C4101" s="217" t="s">
        <v>2972</v>
      </c>
      <c r="D4101" s="218"/>
      <c r="E4101" s="219"/>
      <c r="F4101" s="219"/>
    </row>
    <row r="4102" spans="1:6" s="215" customFormat="1" ht="12.75" hidden="1" customHeight="1" outlineLevel="1" x14ac:dyDescent="0.2">
      <c r="A4102" s="215" t="s">
        <v>1279</v>
      </c>
      <c r="B4102" s="224" t="s">
        <v>6467</v>
      </c>
      <c r="C4102" s="225" t="s">
        <v>7004</v>
      </c>
      <c r="D4102" s="226" t="s">
        <v>11</v>
      </c>
      <c r="E4102" s="227">
        <v>4.28</v>
      </c>
      <c r="F4102" s="227"/>
    </row>
    <row r="4103" spans="1:6" s="215" customFormat="1" ht="38.25" hidden="1" customHeight="1" outlineLevel="1" x14ac:dyDescent="0.2">
      <c r="A4103" s="215" t="s">
        <v>1279</v>
      </c>
      <c r="B4103" s="228" t="s">
        <v>6468</v>
      </c>
      <c r="C4103" s="229" t="s">
        <v>6980</v>
      </c>
      <c r="D4103" s="230" t="s">
        <v>11</v>
      </c>
      <c r="E4103" s="231">
        <v>4.6100000000000003</v>
      </c>
      <c r="F4103" s="231"/>
    </row>
    <row r="4104" spans="1:6" s="215" customFormat="1" ht="38.25" hidden="1" customHeight="1" outlineLevel="1" x14ac:dyDescent="0.2">
      <c r="A4104" s="215" t="s">
        <v>1279</v>
      </c>
      <c r="B4104" s="224" t="s">
        <v>6469</v>
      </c>
      <c r="C4104" s="225" t="s">
        <v>6981</v>
      </c>
      <c r="D4104" s="226" t="s">
        <v>11</v>
      </c>
      <c r="E4104" s="227">
        <v>1.71</v>
      </c>
      <c r="F4104" s="227"/>
    </row>
    <row r="4105" spans="1:6" s="215" customFormat="1" ht="38.25" hidden="1" customHeight="1" outlineLevel="1" x14ac:dyDescent="0.2">
      <c r="A4105" s="215" t="s">
        <v>1279</v>
      </c>
      <c r="B4105" s="228" t="s">
        <v>6470</v>
      </c>
      <c r="C4105" s="229" t="s">
        <v>6983</v>
      </c>
      <c r="D4105" s="230" t="s">
        <v>11</v>
      </c>
      <c r="E4105" s="231">
        <v>15.52</v>
      </c>
      <c r="F4105" s="231"/>
    </row>
    <row r="4106" spans="1:6" s="215" customFormat="1" ht="38.25" hidden="1" customHeight="1" outlineLevel="1" x14ac:dyDescent="0.2">
      <c r="A4106" s="215" t="s">
        <v>1279</v>
      </c>
      <c r="B4106" s="224" t="s">
        <v>6471</v>
      </c>
      <c r="C4106" s="225" t="s">
        <v>6984</v>
      </c>
      <c r="D4106" s="226" t="s">
        <v>11</v>
      </c>
      <c r="E4106" s="227">
        <v>24.73</v>
      </c>
      <c r="F4106" s="227"/>
    </row>
    <row r="4107" spans="1:6" s="215" customFormat="1" ht="38.25" hidden="1" customHeight="1" outlineLevel="1" x14ac:dyDescent="0.2">
      <c r="A4107" s="215" t="s">
        <v>1279</v>
      </c>
      <c r="B4107" s="228" t="s">
        <v>6472</v>
      </c>
      <c r="C4107" s="229" t="s">
        <v>7005</v>
      </c>
      <c r="D4107" s="230" t="s">
        <v>11</v>
      </c>
      <c r="E4107" s="231">
        <v>2.8</v>
      </c>
      <c r="F4107" s="231"/>
    </row>
    <row r="4108" spans="1:6" s="215" customFormat="1" ht="38.25" hidden="1" customHeight="1" outlineLevel="1" x14ac:dyDescent="0.2">
      <c r="A4108" s="215" t="s">
        <v>1279</v>
      </c>
      <c r="B4108" s="224" t="s">
        <v>6473</v>
      </c>
      <c r="C4108" s="225" t="s">
        <v>6985</v>
      </c>
      <c r="D4108" s="226" t="s">
        <v>11</v>
      </c>
      <c r="E4108" s="227">
        <v>21.9</v>
      </c>
      <c r="F4108" s="227"/>
    </row>
    <row r="4109" spans="1:6" s="215" customFormat="1" ht="38.25" hidden="1" customHeight="1" outlineLevel="1" x14ac:dyDescent="0.2">
      <c r="A4109" s="215" t="s">
        <v>1279</v>
      </c>
      <c r="B4109" s="228" t="s">
        <v>6474</v>
      </c>
      <c r="C4109" s="229" t="s">
        <v>6986</v>
      </c>
      <c r="D4109" s="230" t="s">
        <v>11</v>
      </c>
      <c r="E4109" s="231">
        <v>17.670000000000002</v>
      </c>
      <c r="F4109" s="231"/>
    </row>
    <row r="4110" spans="1:6" s="215" customFormat="1" ht="38.25" hidden="1" customHeight="1" outlineLevel="1" x14ac:dyDescent="0.2">
      <c r="A4110" s="215" t="s">
        <v>1279</v>
      </c>
      <c r="B4110" s="224" t="s">
        <v>6475</v>
      </c>
      <c r="C4110" s="225" t="s">
        <v>7007</v>
      </c>
      <c r="D4110" s="226" t="s">
        <v>11</v>
      </c>
      <c r="E4110" s="227">
        <v>1.65</v>
      </c>
      <c r="F4110" s="227"/>
    </row>
    <row r="4111" spans="1:6" s="215" customFormat="1" ht="38.25" hidden="1" customHeight="1" outlineLevel="1" x14ac:dyDescent="0.2">
      <c r="A4111" s="215" t="s">
        <v>1279</v>
      </c>
      <c r="B4111" s="228" t="s">
        <v>6476</v>
      </c>
      <c r="C4111" s="229" t="s">
        <v>7010</v>
      </c>
      <c r="D4111" s="230" t="s">
        <v>11</v>
      </c>
      <c r="E4111" s="231">
        <v>11.21</v>
      </c>
      <c r="F4111" s="231"/>
    </row>
    <row r="4112" spans="1:6" s="215" customFormat="1" ht="38.25" hidden="1" customHeight="1" outlineLevel="1" x14ac:dyDescent="0.2">
      <c r="A4112" s="215" t="s">
        <v>1279</v>
      </c>
      <c r="B4112" s="224" t="s">
        <v>7241</v>
      </c>
      <c r="C4112" s="225" t="s">
        <v>7012</v>
      </c>
      <c r="D4112" s="226" t="s">
        <v>11</v>
      </c>
      <c r="E4112" s="227">
        <v>2.39</v>
      </c>
      <c r="F4112" s="227"/>
    </row>
    <row r="4113" spans="1:6" s="215" customFormat="1" ht="38.25" hidden="1" customHeight="1" outlineLevel="1" x14ac:dyDescent="0.2">
      <c r="A4113" s="215" t="s">
        <v>1279</v>
      </c>
      <c r="B4113" s="228" t="s">
        <v>7242</v>
      </c>
      <c r="C4113" s="229" t="s">
        <v>7014</v>
      </c>
      <c r="D4113" s="230" t="s">
        <v>11</v>
      </c>
      <c r="E4113" s="231">
        <v>3.17</v>
      </c>
      <c r="F4113" s="231"/>
    </row>
    <row r="4114" spans="1:6" s="215" customFormat="1" ht="12.75" hidden="1" customHeight="1" outlineLevel="1" x14ac:dyDescent="0.2">
      <c r="A4114" s="215" t="s">
        <v>1279</v>
      </c>
      <c r="B4114" s="224" t="s">
        <v>7243</v>
      </c>
      <c r="C4114" s="225" t="s">
        <v>6989</v>
      </c>
      <c r="D4114" s="226" t="s">
        <v>11</v>
      </c>
      <c r="E4114" s="227">
        <v>14.86</v>
      </c>
      <c r="F4114" s="227"/>
    </row>
    <row r="4115" spans="1:6" s="215" customFormat="1" ht="38.25" hidden="1" customHeight="1" outlineLevel="1" x14ac:dyDescent="0.2">
      <c r="A4115" s="215" t="s">
        <v>1279</v>
      </c>
      <c r="B4115" s="228" t="s">
        <v>7244</v>
      </c>
      <c r="C4115" s="229" t="s">
        <v>6991</v>
      </c>
      <c r="D4115" s="230" t="s">
        <v>11</v>
      </c>
      <c r="E4115" s="231">
        <v>3.61</v>
      </c>
      <c r="F4115" s="231"/>
    </row>
    <row r="4116" spans="1:6" s="215" customFormat="1" ht="38.25" hidden="1" customHeight="1" outlineLevel="1" x14ac:dyDescent="0.2">
      <c r="A4116" s="215" t="s">
        <v>1279</v>
      </c>
      <c r="B4116" s="224" t="s">
        <v>7245</v>
      </c>
      <c r="C4116" s="225" t="s">
        <v>7020</v>
      </c>
      <c r="D4116" s="226" t="s">
        <v>11</v>
      </c>
      <c r="E4116" s="227">
        <v>0.83</v>
      </c>
      <c r="F4116" s="227"/>
    </row>
    <row r="4117" spans="1:6" s="215" customFormat="1" ht="38.25" hidden="1" customHeight="1" outlineLevel="1" x14ac:dyDescent="0.2">
      <c r="A4117" s="215" t="s">
        <v>1279</v>
      </c>
      <c r="B4117" s="228" t="s">
        <v>7246</v>
      </c>
      <c r="C4117" s="229" t="s">
        <v>6993</v>
      </c>
      <c r="D4117" s="230" t="s">
        <v>11</v>
      </c>
      <c r="E4117" s="231">
        <v>13.55</v>
      </c>
      <c r="F4117" s="231"/>
    </row>
    <row r="4118" spans="1:6" s="215" customFormat="1" ht="38.25" hidden="1" customHeight="1" outlineLevel="1" x14ac:dyDescent="0.2">
      <c r="A4118" s="215" t="s">
        <v>1279</v>
      </c>
      <c r="B4118" s="224" t="s">
        <v>7247</v>
      </c>
      <c r="C4118" s="225" t="s">
        <v>6995</v>
      </c>
      <c r="D4118" s="226" t="s">
        <v>11</v>
      </c>
      <c r="E4118" s="227">
        <v>51.63</v>
      </c>
      <c r="F4118" s="227"/>
    </row>
    <row r="4119" spans="1:6" s="215" customFormat="1" ht="38.25" hidden="1" customHeight="1" outlineLevel="1" x14ac:dyDescent="0.2">
      <c r="A4119" s="215" t="s">
        <v>1279</v>
      </c>
      <c r="B4119" s="228" t="s">
        <v>7248</v>
      </c>
      <c r="C4119" s="229" t="s">
        <v>7249</v>
      </c>
      <c r="D4119" s="230" t="s">
        <v>11</v>
      </c>
      <c r="E4119" s="231">
        <v>1.81</v>
      </c>
      <c r="F4119" s="231"/>
    </row>
    <row r="4120" spans="1:6" s="215" customFormat="1" ht="38.25" hidden="1" customHeight="1" outlineLevel="1" x14ac:dyDescent="0.2">
      <c r="A4120" s="215" t="s">
        <v>1279</v>
      </c>
      <c r="B4120" s="224" t="s">
        <v>7250</v>
      </c>
      <c r="C4120" s="225" t="s">
        <v>6997</v>
      </c>
      <c r="D4120" s="226" t="s">
        <v>11</v>
      </c>
      <c r="E4120" s="227">
        <v>25.72</v>
      </c>
      <c r="F4120" s="227"/>
    </row>
    <row r="4121" spans="1:6" s="215" customFormat="1" ht="38.25" hidden="1" customHeight="1" outlineLevel="1" x14ac:dyDescent="0.2">
      <c r="A4121" s="215" t="s">
        <v>1279</v>
      </c>
      <c r="B4121" s="228" t="s">
        <v>7251</v>
      </c>
      <c r="C4121" s="229" t="s">
        <v>6999</v>
      </c>
      <c r="D4121" s="230" t="s">
        <v>11</v>
      </c>
      <c r="E4121" s="231">
        <v>83.24</v>
      </c>
      <c r="F4121" s="231"/>
    </row>
    <row r="4122" spans="1:6" s="215" customFormat="1" ht="38.25" hidden="1" customHeight="1" outlineLevel="1" x14ac:dyDescent="0.2">
      <c r="A4122" s="215" t="s">
        <v>1279</v>
      </c>
      <c r="B4122" s="224" t="s">
        <v>7252</v>
      </c>
      <c r="C4122" s="225" t="s">
        <v>7001</v>
      </c>
      <c r="D4122" s="226" t="s">
        <v>11</v>
      </c>
      <c r="E4122" s="227">
        <v>20.59</v>
      </c>
      <c r="F4122" s="227"/>
    </row>
    <row r="4123" spans="1:6" s="215" customFormat="1" ht="38.25" hidden="1" customHeight="1" outlineLevel="1" x14ac:dyDescent="0.2">
      <c r="A4123" s="215" t="s">
        <v>1279</v>
      </c>
      <c r="B4123" s="228" t="s">
        <v>7253</v>
      </c>
      <c r="C4123" s="229" t="s">
        <v>7003</v>
      </c>
      <c r="D4123" s="230" t="s">
        <v>11</v>
      </c>
      <c r="E4123" s="231">
        <v>15.64</v>
      </c>
      <c r="F4123" s="231"/>
    </row>
    <row r="4124" spans="1:6" s="215" customFormat="1" ht="38.25" hidden="1" customHeight="1" outlineLevel="1" x14ac:dyDescent="0.2">
      <c r="A4124" s="215" t="s">
        <v>1279</v>
      </c>
      <c r="B4124" s="216" t="s">
        <v>6477</v>
      </c>
      <c r="C4124" s="217" t="s">
        <v>2973</v>
      </c>
      <c r="D4124" s="218"/>
      <c r="E4124" s="219"/>
      <c r="F4124" s="219"/>
    </row>
    <row r="4125" spans="1:6" s="215" customFormat="1" ht="38.25" hidden="1" customHeight="1" outlineLevel="1" x14ac:dyDescent="0.2">
      <c r="A4125" s="215" t="s">
        <v>1279</v>
      </c>
      <c r="B4125" s="224" t="s">
        <v>6478</v>
      </c>
      <c r="C4125" s="225" t="s">
        <v>7004</v>
      </c>
      <c r="D4125" s="226" t="s">
        <v>11</v>
      </c>
      <c r="E4125" s="227">
        <v>2.54</v>
      </c>
      <c r="F4125" s="227"/>
    </row>
    <row r="4126" spans="1:6" s="215" customFormat="1" ht="12.75" hidden="1" customHeight="1" outlineLevel="1" x14ac:dyDescent="0.2">
      <c r="A4126" s="215" t="s">
        <v>1279</v>
      </c>
      <c r="B4126" s="228" t="s">
        <v>6479</v>
      </c>
      <c r="C4126" s="229" t="s">
        <v>6980</v>
      </c>
      <c r="D4126" s="230" t="s">
        <v>11</v>
      </c>
      <c r="E4126" s="231">
        <v>3.3</v>
      </c>
      <c r="F4126" s="231"/>
    </row>
    <row r="4127" spans="1:6" s="215" customFormat="1" ht="38.25" hidden="1" customHeight="1" outlineLevel="1" x14ac:dyDescent="0.2">
      <c r="A4127" s="215" t="s">
        <v>1279</v>
      </c>
      <c r="B4127" s="224" t="s">
        <v>6480</v>
      </c>
      <c r="C4127" s="225" t="s">
        <v>6981</v>
      </c>
      <c r="D4127" s="226" t="s">
        <v>11</v>
      </c>
      <c r="E4127" s="227">
        <v>1.68</v>
      </c>
      <c r="F4127" s="227"/>
    </row>
    <row r="4128" spans="1:6" s="215" customFormat="1" ht="38.25" hidden="1" customHeight="1" outlineLevel="1" x14ac:dyDescent="0.2">
      <c r="A4128" s="215" t="s">
        <v>1279</v>
      </c>
      <c r="B4128" s="228" t="s">
        <v>6481</v>
      </c>
      <c r="C4128" s="229" t="s">
        <v>6983</v>
      </c>
      <c r="D4128" s="230" t="s">
        <v>11</v>
      </c>
      <c r="E4128" s="231">
        <v>12.03</v>
      </c>
      <c r="F4128" s="231"/>
    </row>
    <row r="4129" spans="1:10" s="215" customFormat="1" ht="38.25" hidden="1" customHeight="1" outlineLevel="1" x14ac:dyDescent="0.2">
      <c r="A4129" s="215" t="s">
        <v>1279</v>
      </c>
      <c r="B4129" s="224" t="s">
        <v>6482</v>
      </c>
      <c r="C4129" s="225" t="s">
        <v>6984</v>
      </c>
      <c r="D4129" s="226" t="s">
        <v>11</v>
      </c>
      <c r="E4129" s="227">
        <v>22.83</v>
      </c>
      <c r="F4129" s="227"/>
      <c r="G4129" s="241"/>
      <c r="H4129" s="241"/>
      <c r="I4129" s="241"/>
      <c r="J4129" s="403"/>
    </row>
    <row r="4130" spans="1:10" s="215" customFormat="1" ht="38.25" hidden="1" customHeight="1" outlineLevel="1" x14ac:dyDescent="0.2">
      <c r="A4130" s="215" t="s">
        <v>1279</v>
      </c>
      <c r="B4130" s="228" t="s">
        <v>6483</v>
      </c>
      <c r="C4130" s="229" t="s">
        <v>7005</v>
      </c>
      <c r="D4130" s="230" t="s">
        <v>11</v>
      </c>
      <c r="E4130" s="231">
        <v>2.87</v>
      </c>
      <c r="F4130" s="231"/>
      <c r="G4130" s="241"/>
      <c r="H4130" s="241"/>
      <c r="I4130" s="241"/>
      <c r="J4130" s="403"/>
    </row>
    <row r="4131" spans="1:10" s="215" customFormat="1" ht="38.25" hidden="1" customHeight="1" outlineLevel="1" x14ac:dyDescent="0.2">
      <c r="A4131" s="215" t="s">
        <v>1279</v>
      </c>
      <c r="B4131" s="224" t="s">
        <v>6484</v>
      </c>
      <c r="C4131" s="225" t="s">
        <v>6985</v>
      </c>
      <c r="D4131" s="226" t="s">
        <v>11</v>
      </c>
      <c r="E4131" s="227">
        <v>23.98</v>
      </c>
      <c r="F4131" s="227"/>
      <c r="G4131" s="241"/>
      <c r="H4131" s="241"/>
      <c r="I4131" s="241"/>
      <c r="J4131" s="403"/>
    </row>
    <row r="4132" spans="1:10" s="215" customFormat="1" ht="38.25" hidden="1" customHeight="1" outlineLevel="1" x14ac:dyDescent="0.2">
      <c r="A4132" s="215" t="s">
        <v>1279</v>
      </c>
      <c r="B4132" s="228" t="s">
        <v>6485</v>
      </c>
      <c r="C4132" s="229" t="s">
        <v>6986</v>
      </c>
      <c r="D4132" s="230" t="s">
        <v>11</v>
      </c>
      <c r="E4132" s="231">
        <v>29.37</v>
      </c>
      <c r="F4132" s="231"/>
      <c r="G4132" s="241"/>
      <c r="H4132" s="241"/>
      <c r="I4132" s="241"/>
      <c r="J4132" s="403"/>
    </row>
    <row r="4133" spans="1:10" s="215" customFormat="1" ht="38.25" hidden="1" customHeight="1" outlineLevel="1" x14ac:dyDescent="0.2">
      <c r="A4133" s="215" t="s">
        <v>1279</v>
      </c>
      <c r="B4133" s="224" t="s">
        <v>6486</v>
      </c>
      <c r="C4133" s="225" t="s">
        <v>7007</v>
      </c>
      <c r="D4133" s="226" t="s">
        <v>11</v>
      </c>
      <c r="E4133" s="227">
        <v>0.74</v>
      </c>
      <c r="F4133" s="227"/>
    </row>
    <row r="4134" spans="1:10" s="215" customFormat="1" ht="38.25" hidden="1" customHeight="1" outlineLevel="1" x14ac:dyDescent="0.2">
      <c r="A4134" s="215" t="s">
        <v>1279</v>
      </c>
      <c r="B4134" s="228" t="s">
        <v>6488</v>
      </c>
      <c r="C4134" s="229" t="s">
        <v>7012</v>
      </c>
      <c r="D4134" s="230" t="s">
        <v>11</v>
      </c>
      <c r="E4134" s="231">
        <v>1.25</v>
      </c>
      <c r="F4134" s="231"/>
    </row>
    <row r="4135" spans="1:10" s="215" customFormat="1" ht="38.25" hidden="1" customHeight="1" outlineLevel="1" x14ac:dyDescent="0.2">
      <c r="A4135" s="215" t="s">
        <v>1279</v>
      </c>
      <c r="B4135" s="224" t="s">
        <v>6489</v>
      </c>
      <c r="C4135" s="225" t="s">
        <v>6989</v>
      </c>
      <c r="D4135" s="226" t="s">
        <v>11</v>
      </c>
      <c r="E4135" s="227">
        <v>7.35</v>
      </c>
      <c r="F4135" s="227"/>
    </row>
    <row r="4136" spans="1:10" s="215" customFormat="1" ht="38.25" hidden="1" customHeight="1" outlineLevel="1" x14ac:dyDescent="0.2">
      <c r="A4136" s="215" t="s">
        <v>1279</v>
      </c>
      <c r="B4136" s="228" t="s">
        <v>7254</v>
      </c>
      <c r="C4136" s="229" t="s">
        <v>6991</v>
      </c>
      <c r="D4136" s="230" t="s">
        <v>11</v>
      </c>
      <c r="E4136" s="231">
        <v>5.68</v>
      </c>
      <c r="F4136" s="231"/>
    </row>
    <row r="4137" spans="1:10" s="215" customFormat="1" ht="38.25" hidden="1" customHeight="1" outlineLevel="1" x14ac:dyDescent="0.2">
      <c r="A4137" s="215" t="s">
        <v>1279</v>
      </c>
      <c r="B4137" s="224" t="s">
        <v>7255</v>
      </c>
      <c r="C4137" s="225" t="s">
        <v>7020</v>
      </c>
      <c r="D4137" s="226" t="s">
        <v>11</v>
      </c>
      <c r="E4137" s="227">
        <v>0.35</v>
      </c>
      <c r="F4137" s="227"/>
    </row>
    <row r="4138" spans="1:10" s="215" customFormat="1" ht="12.75" hidden="1" customHeight="1" outlineLevel="1" x14ac:dyDescent="0.2">
      <c r="A4138" s="215" t="s">
        <v>1279</v>
      </c>
      <c r="B4138" s="228" t="s">
        <v>7256</v>
      </c>
      <c r="C4138" s="229" t="s">
        <v>6993</v>
      </c>
      <c r="D4138" s="230" t="s">
        <v>11</v>
      </c>
      <c r="E4138" s="231">
        <v>5.33</v>
      </c>
      <c r="F4138" s="231"/>
    </row>
    <row r="4139" spans="1:10" s="215" customFormat="1" ht="38.25" hidden="1" customHeight="1" outlineLevel="1" x14ac:dyDescent="0.2">
      <c r="A4139" s="215" t="s">
        <v>1279</v>
      </c>
      <c r="B4139" s="224" t="s">
        <v>7257</v>
      </c>
      <c r="C4139" s="225" t="s">
        <v>6995</v>
      </c>
      <c r="D4139" s="226" t="s">
        <v>11</v>
      </c>
      <c r="E4139" s="227">
        <v>15.98</v>
      </c>
      <c r="F4139" s="227"/>
    </row>
    <row r="4140" spans="1:10" s="215" customFormat="1" ht="38.25" hidden="1" customHeight="1" outlineLevel="1" x14ac:dyDescent="0.2">
      <c r="A4140" s="215" t="s">
        <v>1279</v>
      </c>
      <c r="B4140" s="228" t="s">
        <v>7258</v>
      </c>
      <c r="C4140" s="229" t="s">
        <v>7028</v>
      </c>
      <c r="D4140" s="230" t="s">
        <v>11</v>
      </c>
      <c r="E4140" s="231">
        <v>1.62</v>
      </c>
      <c r="F4140" s="231"/>
    </row>
    <row r="4141" spans="1:10" s="215" customFormat="1" ht="38.25" hidden="1" customHeight="1" outlineLevel="1" x14ac:dyDescent="0.2">
      <c r="A4141" s="215" t="s">
        <v>1279</v>
      </c>
      <c r="B4141" s="224" t="s">
        <v>7259</v>
      </c>
      <c r="C4141" s="225" t="s">
        <v>7260</v>
      </c>
      <c r="D4141" s="226" t="s">
        <v>11</v>
      </c>
      <c r="E4141" s="227">
        <v>0.6</v>
      </c>
      <c r="F4141" s="227"/>
    </row>
    <row r="4142" spans="1:10" s="215" customFormat="1" ht="38.25" hidden="1" customHeight="1" outlineLevel="1" x14ac:dyDescent="0.2">
      <c r="A4142" s="215" t="s">
        <v>1279</v>
      </c>
      <c r="B4142" s="228" t="s">
        <v>7261</v>
      </c>
      <c r="C4142" s="229" t="s">
        <v>6997</v>
      </c>
      <c r="D4142" s="230" t="s">
        <v>11</v>
      </c>
      <c r="E4142" s="231">
        <v>10.85</v>
      </c>
      <c r="F4142" s="231"/>
    </row>
    <row r="4143" spans="1:10" s="215" customFormat="1" ht="38.25" hidden="1" customHeight="1" outlineLevel="1" x14ac:dyDescent="0.2">
      <c r="A4143" s="215" t="s">
        <v>1279</v>
      </c>
      <c r="B4143" s="224" t="s">
        <v>7262</v>
      </c>
      <c r="C4143" s="225" t="s">
        <v>6999</v>
      </c>
      <c r="D4143" s="226" t="s">
        <v>11</v>
      </c>
      <c r="E4143" s="227">
        <v>78.069999999999993</v>
      </c>
      <c r="F4143" s="227"/>
    </row>
    <row r="4144" spans="1:10" s="215" customFormat="1" ht="38.25" hidden="1" customHeight="1" outlineLevel="1" x14ac:dyDescent="0.2">
      <c r="A4144" s="215" t="s">
        <v>1279</v>
      </c>
      <c r="B4144" s="228" t="s">
        <v>7263</v>
      </c>
      <c r="C4144" s="229" t="s">
        <v>7264</v>
      </c>
      <c r="D4144" s="230" t="s">
        <v>11</v>
      </c>
      <c r="E4144" s="231">
        <v>1.99</v>
      </c>
      <c r="F4144" s="231"/>
    </row>
    <row r="4145" spans="1:6" s="215" customFormat="1" ht="38.25" hidden="1" customHeight="1" outlineLevel="1" x14ac:dyDescent="0.2">
      <c r="A4145" s="215" t="s">
        <v>1279</v>
      </c>
      <c r="B4145" s="224" t="s">
        <v>7265</v>
      </c>
      <c r="C4145" s="225" t="s">
        <v>7001</v>
      </c>
      <c r="D4145" s="226" t="s">
        <v>11</v>
      </c>
      <c r="E4145" s="227">
        <v>34.99</v>
      </c>
      <c r="F4145" s="227"/>
    </row>
    <row r="4146" spans="1:6" s="215" customFormat="1" ht="38.25" hidden="1" customHeight="1" outlineLevel="1" x14ac:dyDescent="0.2">
      <c r="A4146" s="215" t="s">
        <v>1279</v>
      </c>
      <c r="B4146" s="228" t="s">
        <v>7266</v>
      </c>
      <c r="C4146" s="229" t="s">
        <v>7003</v>
      </c>
      <c r="D4146" s="230" t="s">
        <v>11</v>
      </c>
      <c r="E4146" s="231">
        <v>14.55</v>
      </c>
      <c r="F4146" s="231"/>
    </row>
    <row r="4147" spans="1:6" s="215" customFormat="1" ht="38.25" hidden="1" customHeight="1" outlineLevel="1" x14ac:dyDescent="0.2">
      <c r="A4147" s="215" t="s">
        <v>1279</v>
      </c>
      <c r="B4147" s="216" t="s">
        <v>6490</v>
      </c>
      <c r="C4147" s="217" t="s">
        <v>2974</v>
      </c>
      <c r="D4147" s="218"/>
      <c r="E4147" s="219"/>
      <c r="F4147" s="219"/>
    </row>
    <row r="4148" spans="1:6" s="215" customFormat="1" ht="38.25" hidden="1" customHeight="1" outlineLevel="1" x14ac:dyDescent="0.2">
      <c r="A4148" s="215" t="s">
        <v>1279</v>
      </c>
      <c r="B4148" s="224" t="s">
        <v>6491</v>
      </c>
      <c r="C4148" s="225" t="s">
        <v>7004</v>
      </c>
      <c r="D4148" s="226" t="s">
        <v>11</v>
      </c>
      <c r="E4148" s="227">
        <v>4.28</v>
      </c>
      <c r="F4148" s="227"/>
    </row>
    <row r="4149" spans="1:6" s="215" customFormat="1" ht="38.25" hidden="1" customHeight="1" outlineLevel="1" x14ac:dyDescent="0.2">
      <c r="A4149" s="215" t="s">
        <v>1279</v>
      </c>
      <c r="B4149" s="228" t="s">
        <v>6492</v>
      </c>
      <c r="C4149" s="229" t="s">
        <v>6980</v>
      </c>
      <c r="D4149" s="230" t="s">
        <v>11</v>
      </c>
      <c r="E4149" s="231">
        <v>4.4000000000000004</v>
      </c>
      <c r="F4149" s="231"/>
    </row>
    <row r="4150" spans="1:6" s="215" customFormat="1" ht="12.75" hidden="1" customHeight="1" outlineLevel="1" x14ac:dyDescent="0.2">
      <c r="A4150" s="215" t="s">
        <v>1279</v>
      </c>
      <c r="B4150" s="224" t="s">
        <v>6493</v>
      </c>
      <c r="C4150" s="225" t="s">
        <v>6981</v>
      </c>
      <c r="D4150" s="226" t="s">
        <v>11</v>
      </c>
      <c r="E4150" s="227">
        <v>1.68</v>
      </c>
      <c r="F4150" s="227"/>
    </row>
    <row r="4151" spans="1:6" s="215" customFormat="1" ht="38.25" hidden="1" customHeight="1" outlineLevel="1" x14ac:dyDescent="0.2">
      <c r="A4151" s="215" t="s">
        <v>1279</v>
      </c>
      <c r="B4151" s="228" t="s">
        <v>6494</v>
      </c>
      <c r="C4151" s="229" t="s">
        <v>6983</v>
      </c>
      <c r="D4151" s="230" t="s">
        <v>11</v>
      </c>
      <c r="E4151" s="231">
        <v>13.85</v>
      </c>
      <c r="F4151" s="231"/>
    </row>
    <row r="4152" spans="1:6" s="215" customFormat="1" ht="38.25" hidden="1" customHeight="1" outlineLevel="1" x14ac:dyDescent="0.2">
      <c r="A4152" s="215" t="s">
        <v>1279</v>
      </c>
      <c r="B4152" s="224" t="s">
        <v>6495</v>
      </c>
      <c r="C4152" s="225" t="s">
        <v>6984</v>
      </c>
      <c r="D4152" s="226" t="s">
        <v>11</v>
      </c>
      <c r="E4152" s="227">
        <v>21.48</v>
      </c>
      <c r="F4152" s="227"/>
    </row>
    <row r="4153" spans="1:6" s="215" customFormat="1" ht="38.25" hidden="1" customHeight="1" outlineLevel="1" x14ac:dyDescent="0.2">
      <c r="A4153" s="215" t="s">
        <v>1279</v>
      </c>
      <c r="B4153" s="228" t="s">
        <v>6496</v>
      </c>
      <c r="C4153" s="229" t="s">
        <v>7005</v>
      </c>
      <c r="D4153" s="230" t="s">
        <v>11</v>
      </c>
      <c r="E4153" s="231">
        <v>2.81</v>
      </c>
      <c r="F4153" s="231"/>
    </row>
    <row r="4154" spans="1:6" s="215" customFormat="1" ht="38.25" hidden="1" customHeight="1" outlineLevel="1" x14ac:dyDescent="0.2">
      <c r="A4154" s="215" t="s">
        <v>1279</v>
      </c>
      <c r="B4154" s="224" t="s">
        <v>6497</v>
      </c>
      <c r="C4154" s="225" t="s">
        <v>7038</v>
      </c>
      <c r="D4154" s="226" t="s">
        <v>11</v>
      </c>
      <c r="E4154" s="227">
        <v>7.78</v>
      </c>
      <c r="F4154" s="227"/>
    </row>
    <row r="4155" spans="1:6" s="215" customFormat="1" ht="38.25" hidden="1" customHeight="1" outlineLevel="1" x14ac:dyDescent="0.2">
      <c r="A4155" s="215" t="s">
        <v>1279</v>
      </c>
      <c r="B4155" s="228" t="s">
        <v>6498</v>
      </c>
      <c r="C4155" s="229" t="s">
        <v>6985</v>
      </c>
      <c r="D4155" s="230" t="s">
        <v>11</v>
      </c>
      <c r="E4155" s="231">
        <v>25.46</v>
      </c>
      <c r="F4155" s="231"/>
    </row>
    <row r="4156" spans="1:6" s="215" customFormat="1" ht="38.25" hidden="1" customHeight="1" outlineLevel="1" x14ac:dyDescent="0.2">
      <c r="A4156" s="215" t="s">
        <v>1279</v>
      </c>
      <c r="B4156" s="224" t="s">
        <v>6499</v>
      </c>
      <c r="C4156" s="225" t="s">
        <v>6986</v>
      </c>
      <c r="D4156" s="226" t="s">
        <v>11</v>
      </c>
      <c r="E4156" s="227">
        <v>19.850000000000001</v>
      </c>
      <c r="F4156" s="227"/>
    </row>
    <row r="4157" spans="1:6" s="215" customFormat="1" ht="38.25" hidden="1" customHeight="1" outlineLevel="1" x14ac:dyDescent="0.2">
      <c r="A4157" s="215" t="s">
        <v>1279</v>
      </c>
      <c r="B4157" s="228" t="s">
        <v>6500</v>
      </c>
      <c r="C4157" s="229" t="s">
        <v>7007</v>
      </c>
      <c r="D4157" s="230" t="s">
        <v>11</v>
      </c>
      <c r="E4157" s="231">
        <v>1.65</v>
      </c>
      <c r="F4157" s="231"/>
    </row>
    <row r="4158" spans="1:6" s="215" customFormat="1" ht="38.25" hidden="1" customHeight="1" outlineLevel="1" x14ac:dyDescent="0.2">
      <c r="A4158" s="215" t="s">
        <v>1279</v>
      </c>
      <c r="B4158" s="224" t="s">
        <v>6501</v>
      </c>
      <c r="C4158" s="225" t="s">
        <v>7012</v>
      </c>
      <c r="D4158" s="226" t="s">
        <v>11</v>
      </c>
      <c r="E4158" s="227">
        <v>2.39</v>
      </c>
      <c r="F4158" s="227"/>
    </row>
    <row r="4159" spans="1:6" s="215" customFormat="1" ht="38.25" hidden="1" customHeight="1" outlineLevel="1" x14ac:dyDescent="0.2">
      <c r="A4159" s="215" t="s">
        <v>1279</v>
      </c>
      <c r="B4159" s="228" t="s">
        <v>7267</v>
      </c>
      <c r="C4159" s="229" t="s">
        <v>7014</v>
      </c>
      <c r="D4159" s="230" t="s">
        <v>11</v>
      </c>
      <c r="E4159" s="231">
        <v>2.74</v>
      </c>
      <c r="F4159" s="231"/>
    </row>
    <row r="4160" spans="1:6" s="215" customFormat="1" ht="38.25" hidden="1" customHeight="1" outlineLevel="1" x14ac:dyDescent="0.2">
      <c r="A4160" s="215" t="s">
        <v>1279</v>
      </c>
      <c r="B4160" s="224" t="s">
        <v>7268</v>
      </c>
      <c r="C4160" s="225" t="s">
        <v>6989</v>
      </c>
      <c r="D4160" s="226" t="s">
        <v>11</v>
      </c>
      <c r="E4160" s="227">
        <v>14.76</v>
      </c>
      <c r="F4160" s="227"/>
    </row>
    <row r="4161" spans="1:10" s="215" customFormat="1" ht="38.25" hidden="1" customHeight="1" outlineLevel="1" x14ac:dyDescent="0.2">
      <c r="A4161" s="215" t="s">
        <v>1279</v>
      </c>
      <c r="B4161" s="228" t="s">
        <v>7269</v>
      </c>
      <c r="C4161" s="229" t="s">
        <v>6991</v>
      </c>
      <c r="D4161" s="230" t="s">
        <v>11</v>
      </c>
      <c r="E4161" s="231">
        <v>1.76</v>
      </c>
      <c r="F4161" s="231"/>
    </row>
    <row r="4162" spans="1:10" s="215" customFormat="1" ht="12.75" hidden="1" customHeight="1" outlineLevel="1" x14ac:dyDescent="0.2">
      <c r="A4162" s="215" t="s">
        <v>1279</v>
      </c>
      <c r="B4162" s="224" t="s">
        <v>7270</v>
      </c>
      <c r="C4162" s="225" t="s">
        <v>7020</v>
      </c>
      <c r="D4162" s="226" t="s">
        <v>11</v>
      </c>
      <c r="E4162" s="227">
        <v>0.35</v>
      </c>
      <c r="F4162" s="227"/>
    </row>
    <row r="4163" spans="1:10" s="215" customFormat="1" ht="38.25" hidden="1" customHeight="1" outlineLevel="1" x14ac:dyDescent="0.2">
      <c r="A4163" s="215" t="s">
        <v>1279</v>
      </c>
      <c r="B4163" s="228" t="s">
        <v>7271</v>
      </c>
      <c r="C4163" s="229" t="s">
        <v>6993</v>
      </c>
      <c r="D4163" s="230" t="s">
        <v>11</v>
      </c>
      <c r="E4163" s="231">
        <v>6.72</v>
      </c>
      <c r="F4163" s="231"/>
    </row>
    <row r="4164" spans="1:10" s="215" customFormat="1" ht="38.25" hidden="1" customHeight="1" outlineLevel="1" x14ac:dyDescent="0.2">
      <c r="A4164" s="215" t="s">
        <v>1279</v>
      </c>
      <c r="B4164" s="224" t="s">
        <v>7272</v>
      </c>
      <c r="C4164" s="225" t="s">
        <v>6995</v>
      </c>
      <c r="D4164" s="226" t="s">
        <v>11</v>
      </c>
      <c r="E4164" s="227">
        <v>6.92</v>
      </c>
      <c r="F4164" s="227"/>
    </row>
    <row r="4165" spans="1:10" s="215" customFormat="1" ht="38.25" hidden="1" customHeight="1" outlineLevel="1" x14ac:dyDescent="0.2">
      <c r="A4165" s="215" t="s">
        <v>1279</v>
      </c>
      <c r="B4165" s="228" t="s">
        <v>7273</v>
      </c>
      <c r="C4165" s="229" t="s">
        <v>7028</v>
      </c>
      <c r="D4165" s="230" t="s">
        <v>11</v>
      </c>
      <c r="E4165" s="231">
        <v>2.1</v>
      </c>
      <c r="F4165" s="231"/>
    </row>
    <row r="4166" spans="1:10" s="215" customFormat="1" ht="38.25" hidden="1" customHeight="1" outlineLevel="1" x14ac:dyDescent="0.2">
      <c r="A4166" s="215" t="s">
        <v>1279</v>
      </c>
      <c r="B4166" s="224" t="s">
        <v>7274</v>
      </c>
      <c r="C4166" s="225" t="s">
        <v>7030</v>
      </c>
      <c r="D4166" s="226" t="s">
        <v>11</v>
      </c>
      <c r="E4166" s="227">
        <v>1.61</v>
      </c>
      <c r="F4166" s="227"/>
    </row>
    <row r="4167" spans="1:10" s="215" customFormat="1" ht="38.25" hidden="1" customHeight="1" outlineLevel="1" x14ac:dyDescent="0.2">
      <c r="A4167" s="215" t="s">
        <v>1279</v>
      </c>
      <c r="B4167" s="228" t="s">
        <v>7275</v>
      </c>
      <c r="C4167" s="229" t="s">
        <v>7260</v>
      </c>
      <c r="D4167" s="230" t="s">
        <v>11</v>
      </c>
      <c r="E4167" s="231">
        <v>0.6</v>
      </c>
      <c r="F4167" s="231"/>
    </row>
    <row r="4168" spans="1:10" s="215" customFormat="1" ht="38.25" hidden="1" customHeight="1" outlineLevel="1" x14ac:dyDescent="0.2">
      <c r="A4168" s="215" t="s">
        <v>1279</v>
      </c>
      <c r="B4168" s="224" t="s">
        <v>7276</v>
      </c>
      <c r="C4168" s="225" t="s">
        <v>7277</v>
      </c>
      <c r="D4168" s="226" t="s">
        <v>11</v>
      </c>
      <c r="E4168" s="227">
        <v>3.61</v>
      </c>
      <c r="F4168" s="227"/>
    </row>
    <row r="4169" spans="1:10" s="215" customFormat="1" ht="38.25" hidden="1" customHeight="1" outlineLevel="1" x14ac:dyDescent="0.2">
      <c r="A4169" s="215" t="s">
        <v>1279</v>
      </c>
      <c r="B4169" s="228" t="s">
        <v>7278</v>
      </c>
      <c r="C4169" s="229" t="s">
        <v>6997</v>
      </c>
      <c r="D4169" s="230" t="s">
        <v>11</v>
      </c>
      <c r="E4169" s="231">
        <v>10.16</v>
      </c>
      <c r="F4169" s="231"/>
      <c r="G4169" s="241"/>
      <c r="H4169" s="241"/>
      <c r="I4169" s="241"/>
      <c r="J4169" s="403"/>
    </row>
    <row r="4170" spans="1:10" s="215" customFormat="1" ht="38.25" hidden="1" customHeight="1" outlineLevel="1" x14ac:dyDescent="0.2">
      <c r="A4170" s="215" t="s">
        <v>1279</v>
      </c>
      <c r="B4170" s="224" t="s">
        <v>7279</v>
      </c>
      <c r="C4170" s="225" t="s">
        <v>6999</v>
      </c>
      <c r="D4170" s="226" t="s">
        <v>11</v>
      </c>
      <c r="E4170" s="227">
        <v>18.52</v>
      </c>
      <c r="F4170" s="227"/>
      <c r="G4170" s="241"/>
      <c r="H4170" s="241"/>
      <c r="I4170" s="241"/>
      <c r="J4170" s="403"/>
    </row>
    <row r="4171" spans="1:10" s="215" customFormat="1" ht="38.25" hidden="1" customHeight="1" outlineLevel="1" x14ac:dyDescent="0.2">
      <c r="A4171" s="215" t="s">
        <v>1279</v>
      </c>
      <c r="B4171" s="228" t="s">
        <v>7280</v>
      </c>
      <c r="C4171" s="229" t="s">
        <v>7264</v>
      </c>
      <c r="D4171" s="230" t="s">
        <v>11</v>
      </c>
      <c r="E4171" s="231">
        <v>1.98</v>
      </c>
      <c r="F4171" s="231"/>
      <c r="G4171" s="241"/>
      <c r="H4171" s="241"/>
      <c r="I4171" s="241"/>
      <c r="J4171" s="403"/>
    </row>
    <row r="4172" spans="1:10" s="215" customFormat="1" ht="38.25" hidden="1" customHeight="1" outlineLevel="1" x14ac:dyDescent="0.2">
      <c r="A4172" s="215" t="s">
        <v>1279</v>
      </c>
      <c r="B4172" s="224" t="s">
        <v>7281</v>
      </c>
      <c r="C4172" s="225" t="s">
        <v>7001</v>
      </c>
      <c r="D4172" s="226" t="s">
        <v>11</v>
      </c>
      <c r="E4172" s="227">
        <v>36</v>
      </c>
      <c r="F4172" s="227"/>
      <c r="G4172" s="241"/>
      <c r="H4172" s="241"/>
      <c r="I4172" s="241"/>
      <c r="J4172" s="403"/>
    </row>
    <row r="4173" spans="1:10" s="215" customFormat="1" ht="38.25" hidden="1" customHeight="1" outlineLevel="1" x14ac:dyDescent="0.2">
      <c r="A4173" s="215" t="s">
        <v>1279</v>
      </c>
      <c r="B4173" s="228" t="s">
        <v>7282</v>
      </c>
      <c r="C4173" s="229" t="s">
        <v>7003</v>
      </c>
      <c r="D4173" s="230" t="s">
        <v>11</v>
      </c>
      <c r="E4173" s="231">
        <v>21.3</v>
      </c>
      <c r="F4173" s="231"/>
    </row>
    <row r="4174" spans="1:10" s="215" customFormat="1" ht="12.75" hidden="1" customHeight="1" outlineLevel="1" x14ac:dyDescent="0.2">
      <c r="A4174" s="215" t="s">
        <v>1279</v>
      </c>
      <c r="B4174" s="216" t="s">
        <v>6502</v>
      </c>
      <c r="C4174" s="217" t="s">
        <v>2975</v>
      </c>
      <c r="D4174" s="218"/>
      <c r="E4174" s="219"/>
      <c r="F4174" s="219"/>
    </row>
    <row r="4175" spans="1:10" s="215" customFormat="1" ht="38.25" hidden="1" customHeight="1" outlineLevel="1" x14ac:dyDescent="0.2">
      <c r="A4175" s="215" t="s">
        <v>1279</v>
      </c>
      <c r="B4175" s="224" t="s">
        <v>6503</v>
      </c>
      <c r="C4175" s="225" t="s">
        <v>7004</v>
      </c>
      <c r="D4175" s="226" t="s">
        <v>11</v>
      </c>
      <c r="E4175" s="227">
        <v>2.54</v>
      </c>
      <c r="F4175" s="227"/>
    </row>
    <row r="4176" spans="1:10" s="215" customFormat="1" ht="38.25" hidden="1" customHeight="1" outlineLevel="1" x14ac:dyDescent="0.2">
      <c r="A4176" s="215" t="s">
        <v>1279</v>
      </c>
      <c r="B4176" s="228" t="s">
        <v>6504</v>
      </c>
      <c r="C4176" s="229" t="s">
        <v>6980</v>
      </c>
      <c r="D4176" s="230" t="s">
        <v>11</v>
      </c>
      <c r="E4176" s="231">
        <v>3.5</v>
      </c>
      <c r="F4176" s="231"/>
    </row>
    <row r="4177" spans="1:6" s="215" customFormat="1" ht="38.25" hidden="1" customHeight="1" outlineLevel="1" x14ac:dyDescent="0.2">
      <c r="A4177" s="215" t="s">
        <v>1279</v>
      </c>
      <c r="B4177" s="224" t="s">
        <v>6505</v>
      </c>
      <c r="C4177" s="225" t="s">
        <v>6981</v>
      </c>
      <c r="D4177" s="226" t="s">
        <v>11</v>
      </c>
      <c r="E4177" s="227">
        <v>1.49</v>
      </c>
      <c r="F4177" s="227"/>
    </row>
    <row r="4178" spans="1:6" s="215" customFormat="1" ht="38.25" hidden="1" customHeight="1" outlineLevel="1" x14ac:dyDescent="0.2">
      <c r="A4178" s="215" t="s">
        <v>1279</v>
      </c>
      <c r="B4178" s="228" t="s">
        <v>6506</v>
      </c>
      <c r="C4178" s="229" t="s">
        <v>6983</v>
      </c>
      <c r="D4178" s="230" t="s">
        <v>11</v>
      </c>
      <c r="E4178" s="231">
        <v>12.04</v>
      </c>
      <c r="F4178" s="231"/>
    </row>
    <row r="4179" spans="1:6" s="215" customFormat="1" ht="38.25" hidden="1" customHeight="1" outlineLevel="1" x14ac:dyDescent="0.2">
      <c r="A4179" s="215" t="s">
        <v>1279</v>
      </c>
      <c r="B4179" s="224" t="s">
        <v>6507</v>
      </c>
      <c r="C4179" s="225" t="s">
        <v>6984</v>
      </c>
      <c r="D4179" s="226" t="s">
        <v>11</v>
      </c>
      <c r="E4179" s="227">
        <v>22.78</v>
      </c>
      <c r="F4179" s="227"/>
    </row>
    <row r="4180" spans="1:6" s="215" customFormat="1" ht="38.25" hidden="1" customHeight="1" outlineLevel="1" x14ac:dyDescent="0.2">
      <c r="A4180" s="215" t="s">
        <v>1279</v>
      </c>
      <c r="B4180" s="228" t="s">
        <v>6508</v>
      </c>
      <c r="C4180" s="229" t="s">
        <v>7005</v>
      </c>
      <c r="D4180" s="230" t="s">
        <v>11</v>
      </c>
      <c r="E4180" s="231">
        <v>2.81</v>
      </c>
      <c r="F4180" s="231"/>
    </row>
    <row r="4181" spans="1:6" s="215" customFormat="1" ht="38.25" hidden="1" customHeight="1" outlineLevel="1" x14ac:dyDescent="0.2">
      <c r="A4181" s="215" t="s">
        <v>1279</v>
      </c>
      <c r="B4181" s="224" t="s">
        <v>6509</v>
      </c>
      <c r="C4181" s="225" t="s">
        <v>7038</v>
      </c>
      <c r="D4181" s="226" t="s">
        <v>11</v>
      </c>
      <c r="E4181" s="227">
        <v>7.77</v>
      </c>
      <c r="F4181" s="227"/>
    </row>
    <row r="4182" spans="1:6" s="215" customFormat="1" ht="38.25" hidden="1" customHeight="1" outlineLevel="1" x14ac:dyDescent="0.2">
      <c r="A4182" s="215" t="s">
        <v>1279</v>
      </c>
      <c r="B4182" s="228" t="s">
        <v>6510</v>
      </c>
      <c r="C4182" s="229" t="s">
        <v>6985</v>
      </c>
      <c r="D4182" s="230" t="s">
        <v>11</v>
      </c>
      <c r="E4182" s="231">
        <v>24.23</v>
      </c>
      <c r="F4182" s="231"/>
    </row>
    <row r="4183" spans="1:6" s="215" customFormat="1" ht="38.25" hidden="1" customHeight="1" outlineLevel="1" x14ac:dyDescent="0.2">
      <c r="A4183" s="215" t="s">
        <v>1279</v>
      </c>
      <c r="B4183" s="224" t="s">
        <v>6511</v>
      </c>
      <c r="C4183" s="225" t="s">
        <v>6986</v>
      </c>
      <c r="D4183" s="226" t="s">
        <v>11</v>
      </c>
      <c r="E4183" s="227">
        <v>20.91</v>
      </c>
      <c r="F4183" s="227"/>
    </row>
    <row r="4184" spans="1:6" s="215" customFormat="1" ht="38.25" hidden="1" customHeight="1" outlineLevel="1" x14ac:dyDescent="0.2">
      <c r="A4184" s="215" t="s">
        <v>1279</v>
      </c>
      <c r="B4184" s="228" t="s">
        <v>6512</v>
      </c>
      <c r="C4184" s="229" t="s">
        <v>7007</v>
      </c>
      <c r="D4184" s="230" t="s">
        <v>11</v>
      </c>
      <c r="E4184" s="231">
        <v>0.74</v>
      </c>
      <c r="F4184" s="231"/>
    </row>
    <row r="4185" spans="1:6" s="215" customFormat="1" ht="38.25" hidden="1" customHeight="1" outlineLevel="1" x14ac:dyDescent="0.2">
      <c r="A4185" s="215" t="s">
        <v>1279</v>
      </c>
      <c r="B4185" s="224" t="s">
        <v>6513</v>
      </c>
      <c r="C4185" s="225" t="s">
        <v>7012</v>
      </c>
      <c r="D4185" s="226" t="s">
        <v>11</v>
      </c>
      <c r="E4185" s="227">
        <v>1.25</v>
      </c>
      <c r="F4185" s="227"/>
    </row>
    <row r="4186" spans="1:6" s="215" customFormat="1" ht="12.75" hidden="1" customHeight="1" outlineLevel="1" x14ac:dyDescent="0.2">
      <c r="A4186" s="215" t="s">
        <v>1279</v>
      </c>
      <c r="B4186" s="228" t="s">
        <v>7283</v>
      </c>
      <c r="C4186" s="229" t="s">
        <v>7014</v>
      </c>
      <c r="D4186" s="230" t="s">
        <v>11</v>
      </c>
      <c r="E4186" s="231">
        <v>2.71</v>
      </c>
      <c r="F4186" s="231"/>
    </row>
    <row r="4187" spans="1:6" s="215" customFormat="1" ht="38.25" hidden="1" customHeight="1" outlineLevel="1" x14ac:dyDescent="0.2">
      <c r="A4187" s="215" t="s">
        <v>1279</v>
      </c>
      <c r="B4187" s="224" t="s">
        <v>7284</v>
      </c>
      <c r="C4187" s="225" t="s">
        <v>6989</v>
      </c>
      <c r="D4187" s="226" t="s">
        <v>11</v>
      </c>
      <c r="E4187" s="227">
        <v>7.39</v>
      </c>
      <c r="F4187" s="227"/>
    </row>
    <row r="4188" spans="1:6" s="215" customFormat="1" ht="38.25" hidden="1" customHeight="1" outlineLevel="1" x14ac:dyDescent="0.2">
      <c r="A4188" s="215" t="s">
        <v>1279</v>
      </c>
      <c r="B4188" s="228" t="s">
        <v>7285</v>
      </c>
      <c r="C4188" s="229" t="s">
        <v>6991</v>
      </c>
      <c r="D4188" s="230" t="s">
        <v>11</v>
      </c>
      <c r="E4188" s="231">
        <v>2.67</v>
      </c>
      <c r="F4188" s="231"/>
    </row>
    <row r="4189" spans="1:6" s="215" customFormat="1" ht="38.25" hidden="1" customHeight="1" outlineLevel="1" x14ac:dyDescent="0.2">
      <c r="A4189" s="215" t="s">
        <v>1279</v>
      </c>
      <c r="B4189" s="224" t="s">
        <v>7286</v>
      </c>
      <c r="C4189" s="225" t="s">
        <v>7020</v>
      </c>
      <c r="D4189" s="226" t="s">
        <v>11</v>
      </c>
      <c r="E4189" s="227">
        <v>0.31</v>
      </c>
      <c r="F4189" s="227"/>
    </row>
    <row r="4190" spans="1:6" s="215" customFormat="1" ht="38.25" hidden="1" customHeight="1" outlineLevel="1" x14ac:dyDescent="0.2">
      <c r="A4190" s="215" t="s">
        <v>1279</v>
      </c>
      <c r="B4190" s="228" t="s">
        <v>7287</v>
      </c>
      <c r="C4190" s="229" t="s">
        <v>6993</v>
      </c>
      <c r="D4190" s="230" t="s">
        <v>11</v>
      </c>
      <c r="E4190" s="231">
        <v>4.53</v>
      </c>
      <c r="F4190" s="231"/>
    </row>
    <row r="4191" spans="1:6" s="215" customFormat="1" ht="38.25" hidden="1" customHeight="1" outlineLevel="1" x14ac:dyDescent="0.2">
      <c r="A4191" s="215" t="s">
        <v>1279</v>
      </c>
      <c r="B4191" s="224" t="s">
        <v>7288</v>
      </c>
      <c r="C4191" s="225" t="s">
        <v>6995</v>
      </c>
      <c r="D4191" s="226" t="s">
        <v>11</v>
      </c>
      <c r="E4191" s="227">
        <v>4.8099999999999996</v>
      </c>
      <c r="F4191" s="227"/>
    </row>
    <row r="4192" spans="1:6" s="215" customFormat="1" ht="38.25" hidden="1" customHeight="1" outlineLevel="1" x14ac:dyDescent="0.2">
      <c r="A4192" s="215" t="s">
        <v>1279</v>
      </c>
      <c r="B4192" s="228" t="s">
        <v>7289</v>
      </c>
      <c r="C4192" s="229" t="s">
        <v>7028</v>
      </c>
      <c r="D4192" s="230" t="s">
        <v>11</v>
      </c>
      <c r="E4192" s="231">
        <v>2.04</v>
      </c>
      <c r="F4192" s="231"/>
    </row>
    <row r="4193" spans="1:6" s="215" customFormat="1" ht="38.25" hidden="1" customHeight="1" outlineLevel="1" x14ac:dyDescent="0.2">
      <c r="A4193" s="215" t="s">
        <v>1279</v>
      </c>
      <c r="B4193" s="224" t="s">
        <v>7290</v>
      </c>
      <c r="C4193" s="225" t="s">
        <v>7030</v>
      </c>
      <c r="D4193" s="226" t="s">
        <v>11</v>
      </c>
      <c r="E4193" s="227">
        <v>1.61</v>
      </c>
      <c r="F4193" s="227"/>
    </row>
    <row r="4194" spans="1:6" s="215" customFormat="1" ht="38.25" hidden="1" customHeight="1" outlineLevel="1" x14ac:dyDescent="0.2">
      <c r="A4194" s="215" t="s">
        <v>1279</v>
      </c>
      <c r="B4194" s="228" t="s">
        <v>7291</v>
      </c>
      <c r="C4194" s="229" t="s">
        <v>7260</v>
      </c>
      <c r="D4194" s="230" t="s">
        <v>11</v>
      </c>
      <c r="E4194" s="231">
        <v>0.6</v>
      </c>
      <c r="F4194" s="231"/>
    </row>
    <row r="4195" spans="1:6" s="215" customFormat="1" ht="38.25" hidden="1" customHeight="1" outlineLevel="1" x14ac:dyDescent="0.2">
      <c r="A4195" s="215" t="s">
        <v>1279</v>
      </c>
      <c r="B4195" s="224" t="s">
        <v>7292</v>
      </c>
      <c r="C4195" s="225" t="s">
        <v>7277</v>
      </c>
      <c r="D4195" s="226" t="s">
        <v>11</v>
      </c>
      <c r="E4195" s="227">
        <v>2.94</v>
      </c>
      <c r="F4195" s="227"/>
    </row>
    <row r="4196" spans="1:6" s="215" customFormat="1" ht="38.25" hidden="1" customHeight="1" outlineLevel="1" x14ac:dyDescent="0.2">
      <c r="A4196" s="215" t="s">
        <v>1279</v>
      </c>
      <c r="B4196" s="228" t="s">
        <v>7293</v>
      </c>
      <c r="C4196" s="229" t="s">
        <v>6997</v>
      </c>
      <c r="D4196" s="230" t="s">
        <v>11</v>
      </c>
      <c r="E4196" s="231">
        <v>12.05</v>
      </c>
      <c r="F4196" s="231"/>
    </row>
    <row r="4197" spans="1:6" s="215" customFormat="1" ht="38.25" hidden="1" customHeight="1" outlineLevel="1" x14ac:dyDescent="0.2">
      <c r="A4197" s="215" t="s">
        <v>1279</v>
      </c>
      <c r="B4197" s="224" t="s">
        <v>7294</v>
      </c>
      <c r="C4197" s="225" t="s">
        <v>6999</v>
      </c>
      <c r="D4197" s="226" t="s">
        <v>11</v>
      </c>
      <c r="E4197" s="227">
        <v>19.12</v>
      </c>
      <c r="F4197" s="227"/>
    </row>
    <row r="4198" spans="1:6" s="215" customFormat="1" ht="12.75" hidden="1" customHeight="1" outlineLevel="1" x14ac:dyDescent="0.2">
      <c r="A4198" s="215" t="s">
        <v>1279</v>
      </c>
      <c r="B4198" s="228" t="s">
        <v>7295</v>
      </c>
      <c r="C4198" s="229" t="s">
        <v>7264</v>
      </c>
      <c r="D4198" s="230" t="s">
        <v>11</v>
      </c>
      <c r="E4198" s="231">
        <v>1.98</v>
      </c>
      <c r="F4198" s="231"/>
    </row>
    <row r="4199" spans="1:6" s="215" customFormat="1" ht="38.25" hidden="1" customHeight="1" outlineLevel="1" x14ac:dyDescent="0.2">
      <c r="A4199" s="215" t="s">
        <v>1279</v>
      </c>
      <c r="B4199" s="224" t="s">
        <v>7296</v>
      </c>
      <c r="C4199" s="225" t="s">
        <v>7001</v>
      </c>
      <c r="D4199" s="226" t="s">
        <v>11</v>
      </c>
      <c r="E4199" s="227">
        <v>33.840000000000003</v>
      </c>
      <c r="F4199" s="227"/>
    </row>
    <row r="4200" spans="1:6" s="215" customFormat="1" ht="38.25" hidden="1" customHeight="1" outlineLevel="1" x14ac:dyDescent="0.2">
      <c r="A4200" s="215" t="s">
        <v>1279</v>
      </c>
      <c r="B4200" s="228" t="s">
        <v>7297</v>
      </c>
      <c r="C4200" s="229" t="s">
        <v>7003</v>
      </c>
      <c r="D4200" s="230" t="s">
        <v>11</v>
      </c>
      <c r="E4200" s="231">
        <v>20.47</v>
      </c>
      <c r="F4200" s="231"/>
    </row>
    <row r="4201" spans="1:6" s="215" customFormat="1" ht="38.25" hidden="1" customHeight="1" outlineLevel="1" x14ac:dyDescent="0.2">
      <c r="A4201" s="215" t="s">
        <v>1279</v>
      </c>
      <c r="B4201" s="216" t="s">
        <v>6514</v>
      </c>
      <c r="C4201" s="217" t="s">
        <v>2976</v>
      </c>
      <c r="D4201" s="218"/>
      <c r="E4201" s="219"/>
      <c r="F4201" s="219"/>
    </row>
    <row r="4202" spans="1:6" s="215" customFormat="1" ht="38.25" hidden="1" customHeight="1" outlineLevel="1" x14ac:dyDescent="0.2">
      <c r="A4202" s="215" t="s">
        <v>1279</v>
      </c>
      <c r="B4202" s="224" t="s">
        <v>6515</v>
      </c>
      <c r="C4202" s="225" t="s">
        <v>7004</v>
      </c>
      <c r="D4202" s="226" t="s">
        <v>11</v>
      </c>
      <c r="E4202" s="227">
        <v>4.4800000000000004</v>
      </c>
      <c r="F4202" s="227"/>
    </row>
    <row r="4203" spans="1:6" s="215" customFormat="1" ht="38.25" hidden="1" customHeight="1" outlineLevel="1" x14ac:dyDescent="0.2">
      <c r="A4203" s="215" t="s">
        <v>1279</v>
      </c>
      <c r="B4203" s="228" t="s">
        <v>6516</v>
      </c>
      <c r="C4203" s="229" t="s">
        <v>6980</v>
      </c>
      <c r="D4203" s="230" t="s">
        <v>11</v>
      </c>
      <c r="E4203" s="231">
        <v>4.43</v>
      </c>
      <c r="F4203" s="231"/>
    </row>
    <row r="4204" spans="1:6" s="215" customFormat="1" ht="38.25" hidden="1" customHeight="1" outlineLevel="1" x14ac:dyDescent="0.2">
      <c r="A4204" s="215" t="s">
        <v>1279</v>
      </c>
      <c r="B4204" s="224" t="s">
        <v>6517</v>
      </c>
      <c r="C4204" s="225" t="s">
        <v>6981</v>
      </c>
      <c r="D4204" s="226" t="s">
        <v>11</v>
      </c>
      <c r="E4204" s="227">
        <v>1.94</v>
      </c>
      <c r="F4204" s="227"/>
    </row>
    <row r="4205" spans="1:6" s="215" customFormat="1" ht="38.25" hidden="1" customHeight="1" outlineLevel="1" x14ac:dyDescent="0.2">
      <c r="A4205" s="215" t="s">
        <v>1279</v>
      </c>
      <c r="B4205" s="228" t="s">
        <v>6518</v>
      </c>
      <c r="C4205" s="229" t="s">
        <v>6983</v>
      </c>
      <c r="D4205" s="230" t="s">
        <v>11</v>
      </c>
      <c r="E4205" s="231">
        <v>18.63</v>
      </c>
      <c r="F4205" s="231"/>
    </row>
    <row r="4206" spans="1:6" s="215" customFormat="1" ht="38.25" hidden="1" customHeight="1" outlineLevel="1" x14ac:dyDescent="0.2">
      <c r="A4206" s="215" t="s">
        <v>1279</v>
      </c>
      <c r="B4206" s="224" t="s">
        <v>6519</v>
      </c>
      <c r="C4206" s="225" t="s">
        <v>6984</v>
      </c>
      <c r="D4206" s="226" t="s">
        <v>11</v>
      </c>
      <c r="E4206" s="227">
        <v>24.96</v>
      </c>
      <c r="F4206" s="227"/>
    </row>
    <row r="4207" spans="1:6" s="215" customFormat="1" ht="38.25" hidden="1" customHeight="1" outlineLevel="1" x14ac:dyDescent="0.2">
      <c r="A4207" s="215" t="s">
        <v>1279</v>
      </c>
      <c r="B4207" s="228" t="s">
        <v>6520</v>
      </c>
      <c r="C4207" s="229" t="s">
        <v>7005</v>
      </c>
      <c r="D4207" s="230" t="s">
        <v>11</v>
      </c>
      <c r="E4207" s="231">
        <v>2.75</v>
      </c>
      <c r="F4207" s="231"/>
    </row>
    <row r="4208" spans="1:6" s="215" customFormat="1" ht="38.25" hidden="1" customHeight="1" outlineLevel="1" x14ac:dyDescent="0.2">
      <c r="A4208" s="215" t="s">
        <v>1279</v>
      </c>
      <c r="B4208" s="224" t="s">
        <v>6521</v>
      </c>
      <c r="C4208" s="225" t="s">
        <v>7038</v>
      </c>
      <c r="D4208" s="226" t="s">
        <v>11</v>
      </c>
      <c r="E4208" s="227">
        <v>8.51</v>
      </c>
      <c r="F4208" s="227"/>
    </row>
    <row r="4209" spans="1:10" s="215" customFormat="1" ht="38.25" hidden="1" customHeight="1" outlineLevel="1" x14ac:dyDescent="0.2">
      <c r="A4209" s="215" t="s">
        <v>1279</v>
      </c>
      <c r="B4209" s="228" t="s">
        <v>6522</v>
      </c>
      <c r="C4209" s="229" t="s">
        <v>6985</v>
      </c>
      <c r="D4209" s="230" t="s">
        <v>11</v>
      </c>
      <c r="E4209" s="231">
        <v>35.81</v>
      </c>
      <c r="F4209" s="231"/>
      <c r="G4209" s="241"/>
      <c r="H4209" s="241"/>
      <c r="I4209" s="241"/>
      <c r="J4209" s="403"/>
    </row>
    <row r="4210" spans="1:10" s="215" customFormat="1" ht="12.75" hidden="1" customHeight="1" outlineLevel="1" x14ac:dyDescent="0.2">
      <c r="A4210" s="215" t="s">
        <v>1279</v>
      </c>
      <c r="B4210" s="224" t="s">
        <v>6523</v>
      </c>
      <c r="C4210" s="225" t="s">
        <v>6986</v>
      </c>
      <c r="D4210" s="226" t="s">
        <v>11</v>
      </c>
      <c r="E4210" s="227">
        <v>22.31</v>
      </c>
      <c r="F4210" s="227"/>
      <c r="G4210" s="241"/>
      <c r="H4210" s="241"/>
      <c r="I4210" s="241"/>
      <c r="J4210" s="403"/>
    </row>
    <row r="4211" spans="1:10" s="215" customFormat="1" ht="38.25" hidden="1" customHeight="1" outlineLevel="1" x14ac:dyDescent="0.2">
      <c r="A4211" s="215" t="s">
        <v>1279</v>
      </c>
      <c r="B4211" s="228" t="s">
        <v>6524</v>
      </c>
      <c r="C4211" s="229" t="s">
        <v>7007</v>
      </c>
      <c r="D4211" s="230" t="s">
        <v>11</v>
      </c>
      <c r="E4211" s="231">
        <v>0.97</v>
      </c>
      <c r="F4211" s="231"/>
      <c r="G4211" s="241"/>
      <c r="H4211" s="241"/>
      <c r="I4211" s="241"/>
      <c r="J4211" s="403"/>
    </row>
    <row r="4212" spans="1:10" s="215" customFormat="1" ht="38.25" hidden="1" customHeight="1" outlineLevel="1" x14ac:dyDescent="0.2">
      <c r="A4212" s="215" t="s">
        <v>1279</v>
      </c>
      <c r="B4212" s="224" t="s">
        <v>6525</v>
      </c>
      <c r="C4212" s="225" t="s">
        <v>6987</v>
      </c>
      <c r="D4212" s="226" t="s">
        <v>11</v>
      </c>
      <c r="E4212" s="227">
        <v>0.93</v>
      </c>
      <c r="F4212" s="227"/>
      <c r="G4212" s="241"/>
      <c r="H4212" s="241"/>
      <c r="I4212" s="241"/>
      <c r="J4212" s="403"/>
    </row>
    <row r="4213" spans="1:10" s="215" customFormat="1" ht="38.25" hidden="1" customHeight="1" outlineLevel="1" x14ac:dyDescent="0.2">
      <c r="A4213" s="215" t="s">
        <v>1279</v>
      </c>
      <c r="B4213" s="228" t="s">
        <v>6526</v>
      </c>
      <c r="C4213" s="229" t="s">
        <v>7012</v>
      </c>
      <c r="D4213" s="230" t="s">
        <v>11</v>
      </c>
      <c r="E4213" s="231">
        <v>2.39</v>
      </c>
      <c r="F4213" s="231"/>
    </row>
    <row r="4214" spans="1:10" s="215" customFormat="1" ht="38.25" hidden="1" customHeight="1" outlineLevel="1" x14ac:dyDescent="0.2">
      <c r="A4214" s="215" t="s">
        <v>1279</v>
      </c>
      <c r="B4214" s="224" t="s">
        <v>7298</v>
      </c>
      <c r="C4214" s="225" t="s">
        <v>7014</v>
      </c>
      <c r="D4214" s="226" t="s">
        <v>11</v>
      </c>
      <c r="E4214" s="227">
        <v>3.01</v>
      </c>
      <c r="F4214" s="227"/>
    </row>
    <row r="4215" spans="1:10" s="215" customFormat="1" ht="38.25" hidden="1" customHeight="1" outlineLevel="1" x14ac:dyDescent="0.2">
      <c r="A4215" s="215" t="s">
        <v>1279</v>
      </c>
      <c r="B4215" s="228" t="s">
        <v>7299</v>
      </c>
      <c r="C4215" s="229" t="s">
        <v>6989</v>
      </c>
      <c r="D4215" s="230" t="s">
        <v>11</v>
      </c>
      <c r="E4215" s="231">
        <v>16.12</v>
      </c>
      <c r="F4215" s="231"/>
    </row>
    <row r="4216" spans="1:10" s="215" customFormat="1" ht="38.25" hidden="1" customHeight="1" outlineLevel="1" x14ac:dyDescent="0.2">
      <c r="A4216" s="215" t="s">
        <v>1279</v>
      </c>
      <c r="B4216" s="224" t="s">
        <v>7300</v>
      </c>
      <c r="C4216" s="225" t="s">
        <v>6991</v>
      </c>
      <c r="D4216" s="226" t="s">
        <v>11</v>
      </c>
      <c r="E4216" s="227">
        <v>2.87</v>
      </c>
      <c r="F4216" s="227"/>
    </row>
    <row r="4217" spans="1:10" s="215" customFormat="1" ht="38.25" hidden="1" customHeight="1" outlineLevel="1" x14ac:dyDescent="0.2">
      <c r="A4217" s="215" t="s">
        <v>1279</v>
      </c>
      <c r="B4217" s="228" t="s">
        <v>7301</v>
      </c>
      <c r="C4217" s="229" t="s">
        <v>7020</v>
      </c>
      <c r="D4217" s="230" t="s">
        <v>11</v>
      </c>
      <c r="E4217" s="231">
        <v>1.48</v>
      </c>
      <c r="F4217" s="231"/>
    </row>
    <row r="4218" spans="1:10" s="215" customFormat="1" ht="38.25" hidden="1" customHeight="1" outlineLevel="1" x14ac:dyDescent="0.2">
      <c r="A4218" s="215" t="s">
        <v>1279</v>
      </c>
      <c r="B4218" s="224" t="s">
        <v>7302</v>
      </c>
      <c r="C4218" s="225" t="s">
        <v>6993</v>
      </c>
      <c r="D4218" s="226" t="s">
        <v>11</v>
      </c>
      <c r="E4218" s="227">
        <v>7.4</v>
      </c>
      <c r="F4218" s="227"/>
    </row>
    <row r="4219" spans="1:10" s="215" customFormat="1" ht="38.25" hidden="1" customHeight="1" outlineLevel="1" x14ac:dyDescent="0.2">
      <c r="A4219" s="215" t="s">
        <v>1279</v>
      </c>
      <c r="B4219" s="228" t="s">
        <v>7303</v>
      </c>
      <c r="C4219" s="229" t="s">
        <v>6995</v>
      </c>
      <c r="D4219" s="230" t="s">
        <v>11</v>
      </c>
      <c r="E4219" s="231">
        <v>7.39</v>
      </c>
      <c r="F4219" s="231"/>
    </row>
    <row r="4220" spans="1:10" s="215" customFormat="1" ht="38.25" hidden="1" customHeight="1" outlineLevel="1" x14ac:dyDescent="0.2">
      <c r="A4220" s="215" t="s">
        <v>1279</v>
      </c>
      <c r="B4220" s="224" t="s">
        <v>7304</v>
      </c>
      <c r="C4220" s="225" t="s">
        <v>7028</v>
      </c>
      <c r="D4220" s="226" t="s">
        <v>11</v>
      </c>
      <c r="E4220" s="227">
        <v>2.2400000000000002</v>
      </c>
      <c r="F4220" s="227"/>
    </row>
    <row r="4221" spans="1:10" s="215" customFormat="1" ht="38.25" hidden="1" customHeight="1" outlineLevel="1" x14ac:dyDescent="0.2">
      <c r="A4221" s="215" t="s">
        <v>1279</v>
      </c>
      <c r="B4221" s="228" t="s">
        <v>7305</v>
      </c>
      <c r="C4221" s="229" t="s">
        <v>7030</v>
      </c>
      <c r="D4221" s="230" t="s">
        <v>11</v>
      </c>
      <c r="E4221" s="231">
        <v>1.61</v>
      </c>
      <c r="F4221" s="231"/>
    </row>
    <row r="4222" spans="1:10" s="215" customFormat="1" ht="12.75" hidden="1" customHeight="1" outlineLevel="1" x14ac:dyDescent="0.2">
      <c r="A4222" s="215" t="s">
        <v>1279</v>
      </c>
      <c r="B4222" s="224" t="s">
        <v>7306</v>
      </c>
      <c r="C4222" s="225" t="s">
        <v>7260</v>
      </c>
      <c r="D4222" s="226" t="s">
        <v>11</v>
      </c>
      <c r="E4222" s="227">
        <v>0.93</v>
      </c>
      <c r="F4222" s="227"/>
    </row>
    <row r="4223" spans="1:10" s="215" customFormat="1" ht="38.25" hidden="1" customHeight="1" outlineLevel="1" x14ac:dyDescent="0.2">
      <c r="A4223" s="215" t="s">
        <v>1279</v>
      </c>
      <c r="B4223" s="228" t="s">
        <v>7307</v>
      </c>
      <c r="C4223" s="229" t="s">
        <v>7277</v>
      </c>
      <c r="D4223" s="230" t="s">
        <v>11</v>
      </c>
      <c r="E4223" s="231">
        <v>3.44</v>
      </c>
      <c r="F4223" s="231"/>
    </row>
    <row r="4224" spans="1:10" s="215" customFormat="1" ht="38.25" hidden="1" customHeight="1" outlineLevel="1" x14ac:dyDescent="0.2">
      <c r="A4224" s="215" t="s">
        <v>1279</v>
      </c>
      <c r="B4224" s="224" t="s">
        <v>7308</v>
      </c>
      <c r="C4224" s="225" t="s">
        <v>6997</v>
      </c>
      <c r="D4224" s="226" t="s">
        <v>11</v>
      </c>
      <c r="E4224" s="227">
        <v>13.45</v>
      </c>
      <c r="F4224" s="227"/>
    </row>
    <row r="4225" spans="1:6" s="215" customFormat="1" ht="38.25" hidden="1" customHeight="1" outlineLevel="1" x14ac:dyDescent="0.2">
      <c r="A4225" s="215" t="s">
        <v>1279</v>
      </c>
      <c r="B4225" s="228" t="s">
        <v>7309</v>
      </c>
      <c r="C4225" s="229" t="s">
        <v>6999</v>
      </c>
      <c r="D4225" s="230" t="s">
        <v>11</v>
      </c>
      <c r="E4225" s="231">
        <v>20.059999999999999</v>
      </c>
      <c r="F4225" s="231"/>
    </row>
    <row r="4226" spans="1:6" s="215" customFormat="1" ht="38.25" hidden="1" customHeight="1" outlineLevel="1" x14ac:dyDescent="0.2">
      <c r="A4226" s="215" t="s">
        <v>1279</v>
      </c>
      <c r="B4226" s="224" t="s">
        <v>7310</v>
      </c>
      <c r="C4226" s="225" t="s">
        <v>7264</v>
      </c>
      <c r="D4226" s="226" t="s">
        <v>11</v>
      </c>
      <c r="E4226" s="227">
        <v>1.98</v>
      </c>
      <c r="F4226" s="227"/>
    </row>
    <row r="4227" spans="1:6" s="215" customFormat="1" ht="38.25" hidden="1" customHeight="1" outlineLevel="1" x14ac:dyDescent="0.2">
      <c r="A4227" s="215" t="s">
        <v>1279</v>
      </c>
      <c r="B4227" s="228" t="s">
        <v>7311</v>
      </c>
      <c r="C4227" s="229" t="s">
        <v>7001</v>
      </c>
      <c r="D4227" s="230" t="s">
        <v>11</v>
      </c>
      <c r="E4227" s="231">
        <v>42.29</v>
      </c>
      <c r="F4227" s="231"/>
    </row>
    <row r="4228" spans="1:6" s="215" customFormat="1" ht="38.25" hidden="1" customHeight="1" outlineLevel="1" x14ac:dyDescent="0.2">
      <c r="A4228" s="215" t="s">
        <v>1279</v>
      </c>
      <c r="B4228" s="224" t="s">
        <v>7312</v>
      </c>
      <c r="C4228" s="225" t="s">
        <v>7003</v>
      </c>
      <c r="D4228" s="226" t="s">
        <v>11</v>
      </c>
      <c r="E4228" s="227">
        <v>23.15</v>
      </c>
      <c r="F4228" s="227"/>
    </row>
    <row r="4229" spans="1:6" s="215" customFormat="1" ht="38.25" hidden="1" customHeight="1" outlineLevel="1" x14ac:dyDescent="0.2">
      <c r="A4229" s="215" t="s">
        <v>1279</v>
      </c>
      <c r="B4229" s="216" t="s">
        <v>6527</v>
      </c>
      <c r="C4229" s="217" t="s">
        <v>2978</v>
      </c>
      <c r="D4229" s="218"/>
      <c r="E4229" s="219"/>
      <c r="F4229" s="219"/>
    </row>
    <row r="4230" spans="1:6" s="215" customFormat="1" ht="38.25" hidden="1" customHeight="1" outlineLevel="1" x14ac:dyDescent="0.2">
      <c r="A4230" s="215" t="s">
        <v>1279</v>
      </c>
      <c r="B4230" s="228" t="s">
        <v>6528</v>
      </c>
      <c r="C4230" s="229" t="s">
        <v>6980</v>
      </c>
      <c r="D4230" s="230" t="s">
        <v>11</v>
      </c>
      <c r="E4230" s="231">
        <v>0.37</v>
      </c>
      <c r="F4230" s="231"/>
    </row>
    <row r="4231" spans="1:6" s="215" customFormat="1" ht="38.25" hidden="1" customHeight="1" outlineLevel="1" x14ac:dyDescent="0.2">
      <c r="A4231" s="215" t="s">
        <v>1279</v>
      </c>
      <c r="B4231" s="224" t="s">
        <v>6529</v>
      </c>
      <c r="C4231" s="225" t="s">
        <v>6981</v>
      </c>
      <c r="D4231" s="226" t="s">
        <v>11</v>
      </c>
      <c r="E4231" s="227">
        <v>2.78</v>
      </c>
      <c r="F4231" s="227"/>
    </row>
    <row r="4232" spans="1:6" s="215" customFormat="1" ht="38.25" hidden="1" customHeight="1" outlineLevel="1" x14ac:dyDescent="0.2">
      <c r="A4232" s="215" t="s">
        <v>1279</v>
      </c>
      <c r="B4232" s="228" t="s">
        <v>6530</v>
      </c>
      <c r="C4232" s="229" t="s">
        <v>6983</v>
      </c>
      <c r="D4232" s="230" t="s">
        <v>11</v>
      </c>
      <c r="E4232" s="231">
        <v>42.05</v>
      </c>
      <c r="F4232" s="231"/>
    </row>
    <row r="4233" spans="1:6" s="215" customFormat="1" ht="12.75" hidden="1" customHeight="1" outlineLevel="1" x14ac:dyDescent="0.2">
      <c r="A4233" s="215" t="s">
        <v>1279</v>
      </c>
      <c r="B4233" s="224" t="s">
        <v>6531</v>
      </c>
      <c r="C4233" s="225" t="s">
        <v>6984</v>
      </c>
      <c r="D4233" s="226" t="s">
        <v>11</v>
      </c>
      <c r="E4233" s="227">
        <v>48.04</v>
      </c>
      <c r="F4233" s="227"/>
    </row>
    <row r="4234" spans="1:6" s="215" customFormat="1" ht="38.25" hidden="1" customHeight="1" outlineLevel="1" x14ac:dyDescent="0.2">
      <c r="A4234" s="215" t="s">
        <v>1279</v>
      </c>
      <c r="B4234" s="228" t="s">
        <v>6532</v>
      </c>
      <c r="C4234" s="229" t="s">
        <v>6985</v>
      </c>
      <c r="D4234" s="230" t="s">
        <v>11</v>
      </c>
      <c r="E4234" s="231">
        <v>8.4700000000000006</v>
      </c>
      <c r="F4234" s="231"/>
    </row>
    <row r="4235" spans="1:6" s="215" customFormat="1" ht="38.25" hidden="1" customHeight="1" outlineLevel="1" x14ac:dyDescent="0.2">
      <c r="A4235" s="215" t="s">
        <v>1279</v>
      </c>
      <c r="B4235" s="224" t="s">
        <v>6533</v>
      </c>
      <c r="C4235" s="225" t="s">
        <v>6986</v>
      </c>
      <c r="D4235" s="226" t="s">
        <v>11</v>
      </c>
      <c r="E4235" s="227">
        <v>19.59</v>
      </c>
      <c r="F4235" s="227"/>
    </row>
    <row r="4236" spans="1:6" s="215" customFormat="1" ht="38.25" hidden="1" customHeight="1" outlineLevel="1" x14ac:dyDescent="0.2">
      <c r="A4236" s="215" t="s">
        <v>1279</v>
      </c>
      <c r="B4236" s="228" t="s">
        <v>6534</v>
      </c>
      <c r="C4236" s="229" t="s">
        <v>7313</v>
      </c>
      <c r="D4236" s="230" t="s">
        <v>11</v>
      </c>
      <c r="E4236" s="231">
        <v>1.34</v>
      </c>
      <c r="F4236" s="231"/>
    </row>
    <row r="4237" spans="1:6" s="215" customFormat="1" ht="38.25" hidden="1" customHeight="1" outlineLevel="1" x14ac:dyDescent="0.2">
      <c r="A4237" s="215" t="s">
        <v>1279</v>
      </c>
      <c r="B4237" s="224" t="s">
        <v>6535</v>
      </c>
      <c r="C4237" s="225" t="s">
        <v>6987</v>
      </c>
      <c r="D4237" s="226" t="s">
        <v>11</v>
      </c>
      <c r="E4237" s="227">
        <v>16.53</v>
      </c>
      <c r="F4237" s="227"/>
    </row>
    <row r="4238" spans="1:6" s="215" customFormat="1" ht="38.25" hidden="1" customHeight="1" outlineLevel="1" x14ac:dyDescent="0.2">
      <c r="A4238" s="215" t="s">
        <v>1279</v>
      </c>
      <c r="B4238" s="228" t="s">
        <v>7314</v>
      </c>
      <c r="C4238" s="229" t="s">
        <v>7010</v>
      </c>
      <c r="D4238" s="230" t="s">
        <v>11</v>
      </c>
      <c r="E4238" s="231">
        <v>39.46</v>
      </c>
      <c r="F4238" s="231"/>
    </row>
    <row r="4239" spans="1:6" s="215" customFormat="1" ht="38.25" hidden="1" customHeight="1" outlineLevel="1" x14ac:dyDescent="0.2">
      <c r="A4239" s="215" t="s">
        <v>1279</v>
      </c>
      <c r="B4239" s="224" t="s">
        <v>7315</v>
      </c>
      <c r="C4239" s="225" t="s">
        <v>6989</v>
      </c>
      <c r="D4239" s="226" t="s">
        <v>11</v>
      </c>
      <c r="E4239" s="227">
        <v>9.2100000000000009</v>
      </c>
      <c r="F4239" s="227"/>
    </row>
    <row r="4240" spans="1:6" s="215" customFormat="1" ht="38.25" hidden="1" customHeight="1" outlineLevel="1" x14ac:dyDescent="0.2">
      <c r="A4240" s="215" t="s">
        <v>1279</v>
      </c>
      <c r="B4240" s="228" t="s">
        <v>7316</v>
      </c>
      <c r="C4240" s="229" t="s">
        <v>6991</v>
      </c>
      <c r="D4240" s="230" t="s">
        <v>11</v>
      </c>
      <c r="E4240" s="231">
        <v>38.24</v>
      </c>
      <c r="F4240" s="231"/>
    </row>
    <row r="4241" spans="1:10" s="215" customFormat="1" ht="38.25" hidden="1" customHeight="1" outlineLevel="1" x14ac:dyDescent="0.2">
      <c r="A4241" s="215" t="s">
        <v>1279</v>
      </c>
      <c r="B4241" s="224" t="s">
        <v>7317</v>
      </c>
      <c r="C4241" s="225" t="s">
        <v>6993</v>
      </c>
      <c r="D4241" s="226" t="s">
        <v>11</v>
      </c>
      <c r="E4241" s="227">
        <v>4.55</v>
      </c>
      <c r="F4241" s="227"/>
    </row>
    <row r="4242" spans="1:10" s="215" customFormat="1" ht="38.25" hidden="1" customHeight="1" outlineLevel="1" x14ac:dyDescent="0.2">
      <c r="A4242" s="215" t="s">
        <v>1279</v>
      </c>
      <c r="B4242" s="228" t="s">
        <v>7318</v>
      </c>
      <c r="C4242" s="229" t="s">
        <v>6995</v>
      </c>
      <c r="D4242" s="230" t="s">
        <v>11</v>
      </c>
      <c r="E4242" s="231">
        <v>12.41</v>
      </c>
      <c r="F4242" s="231"/>
    </row>
    <row r="4243" spans="1:10" s="215" customFormat="1" ht="38.25" hidden="1" customHeight="1" outlineLevel="1" x14ac:dyDescent="0.2">
      <c r="A4243" s="215" t="s">
        <v>1279</v>
      </c>
      <c r="B4243" s="224" t="s">
        <v>7319</v>
      </c>
      <c r="C4243" s="225" t="s">
        <v>6997</v>
      </c>
      <c r="D4243" s="226" t="s">
        <v>11</v>
      </c>
      <c r="E4243" s="227">
        <v>11.76</v>
      </c>
      <c r="F4243" s="227"/>
    </row>
    <row r="4244" spans="1:10" s="215" customFormat="1" ht="38.25" hidden="1" customHeight="1" outlineLevel="1" x14ac:dyDescent="0.2">
      <c r="A4244" s="215" t="s">
        <v>1279</v>
      </c>
      <c r="B4244" s="228" t="s">
        <v>7320</v>
      </c>
      <c r="C4244" s="229" t="s">
        <v>6999</v>
      </c>
      <c r="D4244" s="230" t="s">
        <v>11</v>
      </c>
      <c r="E4244" s="231">
        <v>33.47</v>
      </c>
      <c r="F4244" s="231"/>
    </row>
    <row r="4245" spans="1:10" s="215" customFormat="1" ht="12.75" hidden="1" customHeight="1" outlineLevel="1" x14ac:dyDescent="0.2">
      <c r="A4245" s="215" t="s">
        <v>1279</v>
      </c>
      <c r="B4245" s="224" t="s">
        <v>7321</v>
      </c>
      <c r="C4245" s="225" t="s">
        <v>7001</v>
      </c>
      <c r="D4245" s="226" t="s">
        <v>11</v>
      </c>
      <c r="E4245" s="227">
        <v>34.44</v>
      </c>
      <c r="F4245" s="227"/>
    </row>
    <row r="4246" spans="1:10" s="215" customFormat="1" ht="38.25" hidden="1" customHeight="1" outlineLevel="1" x14ac:dyDescent="0.2">
      <c r="A4246" s="215" t="s">
        <v>1279</v>
      </c>
      <c r="B4246" s="228" t="s">
        <v>7322</v>
      </c>
      <c r="C4246" s="229" t="s">
        <v>7003</v>
      </c>
      <c r="D4246" s="230" t="s">
        <v>11</v>
      </c>
      <c r="E4246" s="231">
        <v>37.53</v>
      </c>
      <c r="F4246" s="231"/>
    </row>
    <row r="4247" spans="1:10" s="215" customFormat="1" ht="38.25" hidden="1" customHeight="1" outlineLevel="1" x14ac:dyDescent="0.2">
      <c r="A4247" s="215" t="s">
        <v>1279</v>
      </c>
      <c r="B4247" s="216" t="s">
        <v>6536</v>
      </c>
      <c r="C4247" s="217" t="s">
        <v>2980</v>
      </c>
      <c r="D4247" s="218"/>
      <c r="E4247" s="219"/>
      <c r="F4247" s="219"/>
    </row>
    <row r="4248" spans="1:10" s="215" customFormat="1" ht="38.25" hidden="1" customHeight="1" outlineLevel="1" x14ac:dyDescent="0.2">
      <c r="A4248" s="215" t="s">
        <v>1279</v>
      </c>
      <c r="B4248" s="224" t="s">
        <v>6537</v>
      </c>
      <c r="C4248" s="225" t="s">
        <v>6980</v>
      </c>
      <c r="D4248" s="226" t="s">
        <v>11</v>
      </c>
      <c r="E4248" s="227">
        <v>0.6</v>
      </c>
      <c r="F4248" s="227"/>
    </row>
    <row r="4249" spans="1:10" s="215" customFormat="1" ht="38.25" hidden="1" customHeight="1" outlineLevel="1" x14ac:dyDescent="0.2">
      <c r="A4249" s="215" t="s">
        <v>1279</v>
      </c>
      <c r="B4249" s="228" t="s">
        <v>6538</v>
      </c>
      <c r="C4249" s="229" t="s">
        <v>6981</v>
      </c>
      <c r="D4249" s="230" t="s">
        <v>11</v>
      </c>
      <c r="E4249" s="231">
        <v>1.58</v>
      </c>
      <c r="F4249" s="231"/>
      <c r="G4249" s="241"/>
      <c r="H4249" s="241"/>
      <c r="I4249" s="241"/>
      <c r="J4249" s="403"/>
    </row>
    <row r="4250" spans="1:10" s="215" customFormat="1" ht="38.25" hidden="1" customHeight="1" outlineLevel="1" x14ac:dyDescent="0.2">
      <c r="A4250" s="215" t="s">
        <v>1279</v>
      </c>
      <c r="B4250" s="224" t="s">
        <v>6539</v>
      </c>
      <c r="C4250" s="225" t="s">
        <v>6983</v>
      </c>
      <c r="D4250" s="226" t="s">
        <v>11</v>
      </c>
      <c r="E4250" s="227">
        <v>14.25</v>
      </c>
      <c r="F4250" s="227"/>
      <c r="G4250" s="241"/>
      <c r="H4250" s="241"/>
      <c r="I4250" s="241"/>
      <c r="J4250" s="403"/>
    </row>
    <row r="4251" spans="1:10" s="215" customFormat="1" ht="38.25" hidden="1" customHeight="1" outlineLevel="1" x14ac:dyDescent="0.2">
      <c r="A4251" s="215" t="s">
        <v>1279</v>
      </c>
      <c r="B4251" s="228" t="s">
        <v>6540</v>
      </c>
      <c r="C4251" s="229" t="s">
        <v>6984</v>
      </c>
      <c r="D4251" s="230" t="s">
        <v>11</v>
      </c>
      <c r="E4251" s="231">
        <v>19.45</v>
      </c>
      <c r="F4251" s="231"/>
      <c r="G4251" s="241"/>
      <c r="H4251" s="241"/>
      <c r="I4251" s="241"/>
      <c r="J4251" s="403"/>
    </row>
    <row r="4252" spans="1:10" s="215" customFormat="1" ht="38.25" hidden="1" customHeight="1" outlineLevel="1" x14ac:dyDescent="0.2">
      <c r="A4252" s="215" t="s">
        <v>1279</v>
      </c>
      <c r="B4252" s="224" t="s">
        <v>6541</v>
      </c>
      <c r="C4252" s="225" t="s">
        <v>6985</v>
      </c>
      <c r="D4252" s="226" t="s">
        <v>11</v>
      </c>
      <c r="E4252" s="227">
        <v>7.4</v>
      </c>
      <c r="F4252" s="227"/>
      <c r="G4252" s="241"/>
      <c r="H4252" s="241"/>
      <c r="I4252" s="241"/>
      <c r="J4252" s="403"/>
    </row>
    <row r="4253" spans="1:10" s="215" customFormat="1" ht="38.25" hidden="1" customHeight="1" outlineLevel="1" x14ac:dyDescent="0.2">
      <c r="A4253" s="215" t="s">
        <v>1279</v>
      </c>
      <c r="B4253" s="228" t="s">
        <v>6542</v>
      </c>
      <c r="C4253" s="229" t="s">
        <v>6986</v>
      </c>
      <c r="D4253" s="230" t="s">
        <v>11</v>
      </c>
      <c r="E4253" s="231">
        <v>9.7799999999999994</v>
      </c>
      <c r="F4253" s="231"/>
    </row>
    <row r="4254" spans="1:10" s="215" customFormat="1" ht="38.25" hidden="1" customHeight="1" outlineLevel="1" x14ac:dyDescent="0.2">
      <c r="A4254" s="215" t="s">
        <v>1279</v>
      </c>
      <c r="B4254" s="224" t="s">
        <v>6543</v>
      </c>
      <c r="C4254" s="225" t="s">
        <v>6987</v>
      </c>
      <c r="D4254" s="226" t="s">
        <v>11</v>
      </c>
      <c r="E4254" s="227">
        <v>5.41</v>
      </c>
      <c r="F4254" s="227"/>
    </row>
    <row r="4255" spans="1:10" s="215" customFormat="1" ht="38.25" hidden="1" customHeight="1" outlineLevel="1" x14ac:dyDescent="0.2">
      <c r="A4255" s="215" t="s">
        <v>1279</v>
      </c>
      <c r="B4255" s="228" t="s">
        <v>7323</v>
      </c>
      <c r="C4255" s="229" t="s">
        <v>7010</v>
      </c>
      <c r="D4255" s="230" t="s">
        <v>11</v>
      </c>
      <c r="E4255" s="231">
        <v>12.16</v>
      </c>
      <c r="F4255" s="231"/>
    </row>
    <row r="4256" spans="1:10" s="215" customFormat="1" ht="38.25" hidden="1" customHeight="1" outlineLevel="1" x14ac:dyDescent="0.2">
      <c r="A4256" s="215" t="s">
        <v>1279</v>
      </c>
      <c r="B4256" s="224" t="s">
        <v>7324</v>
      </c>
      <c r="C4256" s="225" t="s">
        <v>6993</v>
      </c>
      <c r="D4256" s="226" t="s">
        <v>11</v>
      </c>
      <c r="E4256" s="227">
        <v>5.49</v>
      </c>
      <c r="F4256" s="227"/>
    </row>
    <row r="4257" spans="1:6" s="215" customFormat="1" ht="12.75" hidden="1" customHeight="1" outlineLevel="1" x14ac:dyDescent="0.2">
      <c r="A4257" s="215" t="s">
        <v>1279</v>
      </c>
      <c r="B4257" s="228" t="s">
        <v>7325</v>
      </c>
      <c r="C4257" s="229" t="s">
        <v>6995</v>
      </c>
      <c r="D4257" s="230" t="s">
        <v>11</v>
      </c>
      <c r="E4257" s="231">
        <v>12.16</v>
      </c>
      <c r="F4257" s="231"/>
    </row>
    <row r="4258" spans="1:6" s="215" customFormat="1" ht="38.25" hidden="1" customHeight="1" outlineLevel="1" x14ac:dyDescent="0.2">
      <c r="A4258" s="215" t="s">
        <v>1279</v>
      </c>
      <c r="B4258" s="224" t="s">
        <v>7326</v>
      </c>
      <c r="C4258" s="225" t="s">
        <v>6997</v>
      </c>
      <c r="D4258" s="226" t="s">
        <v>11</v>
      </c>
      <c r="E4258" s="227">
        <v>8.84</v>
      </c>
      <c r="F4258" s="227"/>
    </row>
    <row r="4259" spans="1:6" s="215" customFormat="1" ht="38.25" hidden="1" customHeight="1" outlineLevel="1" x14ac:dyDescent="0.2">
      <c r="A4259" s="215" t="s">
        <v>1279</v>
      </c>
      <c r="B4259" s="228" t="s">
        <v>7327</v>
      </c>
      <c r="C4259" s="229" t="s">
        <v>6999</v>
      </c>
      <c r="D4259" s="230" t="s">
        <v>11</v>
      </c>
      <c r="E4259" s="231">
        <v>15.7</v>
      </c>
      <c r="F4259" s="231"/>
    </row>
    <row r="4260" spans="1:6" s="215" customFormat="1" ht="38.25" hidden="1" customHeight="1" outlineLevel="1" x14ac:dyDescent="0.2">
      <c r="A4260" s="215" t="s">
        <v>1279</v>
      </c>
      <c r="B4260" s="224" t="s">
        <v>7328</v>
      </c>
      <c r="C4260" s="225" t="s">
        <v>7001</v>
      </c>
      <c r="D4260" s="226" t="s">
        <v>11</v>
      </c>
      <c r="E4260" s="227">
        <v>14.87</v>
      </c>
      <c r="F4260" s="227"/>
    </row>
    <row r="4261" spans="1:6" s="215" customFormat="1" ht="38.25" hidden="1" customHeight="1" outlineLevel="1" x14ac:dyDescent="0.2">
      <c r="A4261" s="215" t="s">
        <v>1279</v>
      </c>
      <c r="B4261" s="228" t="s">
        <v>7329</v>
      </c>
      <c r="C4261" s="229" t="s">
        <v>7003</v>
      </c>
      <c r="D4261" s="230" t="s">
        <v>11</v>
      </c>
      <c r="E4261" s="231">
        <v>3.78</v>
      </c>
      <c r="F4261" s="231"/>
    </row>
    <row r="4262" spans="1:6" s="215" customFormat="1" ht="38.25" hidden="1" customHeight="1" outlineLevel="1" x14ac:dyDescent="0.2">
      <c r="A4262" s="215" t="s">
        <v>1279</v>
      </c>
      <c r="B4262" s="216" t="s">
        <v>6544</v>
      </c>
      <c r="C4262" s="217" t="s">
        <v>2983</v>
      </c>
      <c r="D4262" s="218"/>
      <c r="E4262" s="219"/>
      <c r="F4262" s="219"/>
    </row>
    <row r="4263" spans="1:6" s="215" customFormat="1" ht="38.25" hidden="1" customHeight="1" outlineLevel="1" x14ac:dyDescent="0.2">
      <c r="A4263" s="215" t="s">
        <v>1279</v>
      </c>
      <c r="B4263" s="224" t="s">
        <v>6545</v>
      </c>
      <c r="C4263" s="225" t="s">
        <v>6980</v>
      </c>
      <c r="D4263" s="226" t="s">
        <v>11</v>
      </c>
      <c r="E4263" s="227">
        <v>0.4</v>
      </c>
      <c r="F4263" s="227"/>
    </row>
    <row r="4264" spans="1:6" s="215" customFormat="1" ht="38.25" hidden="1" customHeight="1" outlineLevel="1" x14ac:dyDescent="0.2">
      <c r="A4264" s="215" t="s">
        <v>1279</v>
      </c>
      <c r="B4264" s="228" t="s">
        <v>6546</v>
      </c>
      <c r="C4264" s="229" t="s">
        <v>6981</v>
      </c>
      <c r="D4264" s="230" t="s">
        <v>11</v>
      </c>
      <c r="E4264" s="231">
        <v>1.86</v>
      </c>
      <c r="F4264" s="231"/>
    </row>
    <row r="4265" spans="1:6" s="215" customFormat="1" ht="38.25" hidden="1" customHeight="1" outlineLevel="1" x14ac:dyDescent="0.2">
      <c r="A4265" s="215" t="s">
        <v>1279</v>
      </c>
      <c r="B4265" s="224" t="s">
        <v>6547</v>
      </c>
      <c r="C4265" s="225" t="s">
        <v>6983</v>
      </c>
      <c r="D4265" s="226" t="s">
        <v>11</v>
      </c>
      <c r="E4265" s="227">
        <v>11.32</v>
      </c>
      <c r="F4265" s="227"/>
    </row>
    <row r="4266" spans="1:6" s="215" customFormat="1" ht="38.25" hidden="1" customHeight="1" outlineLevel="1" x14ac:dyDescent="0.2">
      <c r="A4266" s="215" t="s">
        <v>1279</v>
      </c>
      <c r="B4266" s="228" t="s">
        <v>6548</v>
      </c>
      <c r="C4266" s="229" t="s">
        <v>6984</v>
      </c>
      <c r="D4266" s="230" t="s">
        <v>11</v>
      </c>
      <c r="E4266" s="231">
        <v>23.15</v>
      </c>
      <c r="F4266" s="231"/>
    </row>
    <row r="4267" spans="1:6" s="215" customFormat="1" ht="38.25" hidden="1" customHeight="1" outlineLevel="1" x14ac:dyDescent="0.2">
      <c r="A4267" s="215" t="s">
        <v>1279</v>
      </c>
      <c r="B4267" s="224" t="s">
        <v>6549</v>
      </c>
      <c r="C4267" s="225" t="s">
        <v>6985</v>
      </c>
      <c r="D4267" s="226" t="s">
        <v>11</v>
      </c>
      <c r="E4267" s="227">
        <v>5.83</v>
      </c>
      <c r="F4267" s="227"/>
    </row>
    <row r="4268" spans="1:6" s="215" customFormat="1" ht="38.25" hidden="1" customHeight="1" outlineLevel="1" x14ac:dyDescent="0.2">
      <c r="A4268" s="215" t="s">
        <v>1279</v>
      </c>
      <c r="B4268" s="228" t="s">
        <v>6550</v>
      </c>
      <c r="C4268" s="229" t="s">
        <v>6986</v>
      </c>
      <c r="D4268" s="230" t="s">
        <v>11</v>
      </c>
      <c r="E4268" s="231">
        <v>12.01</v>
      </c>
      <c r="F4268" s="231"/>
    </row>
    <row r="4269" spans="1:6" s="215" customFormat="1" ht="12.75" hidden="1" customHeight="1" outlineLevel="1" x14ac:dyDescent="0.2">
      <c r="A4269" s="215" t="s">
        <v>1279</v>
      </c>
      <c r="B4269" s="224" t="s">
        <v>6551</v>
      </c>
      <c r="C4269" s="225" t="s">
        <v>6987</v>
      </c>
      <c r="D4269" s="226" t="s">
        <v>11</v>
      </c>
      <c r="E4269" s="227">
        <v>3.58</v>
      </c>
      <c r="F4269" s="227"/>
    </row>
    <row r="4270" spans="1:6" s="215" customFormat="1" ht="38.25" hidden="1" customHeight="1" outlineLevel="1" x14ac:dyDescent="0.2">
      <c r="A4270" s="215" t="s">
        <v>1279</v>
      </c>
      <c r="B4270" s="228" t="s">
        <v>7330</v>
      </c>
      <c r="C4270" s="229" t="s">
        <v>7010</v>
      </c>
      <c r="D4270" s="230" t="s">
        <v>11</v>
      </c>
      <c r="E4270" s="231">
        <v>13.94</v>
      </c>
      <c r="F4270" s="231"/>
    </row>
    <row r="4271" spans="1:6" s="215" customFormat="1" ht="38.25" hidden="1" customHeight="1" outlineLevel="1" x14ac:dyDescent="0.2">
      <c r="A4271" s="215" t="s">
        <v>1279</v>
      </c>
      <c r="B4271" s="224" t="s">
        <v>7331</v>
      </c>
      <c r="C4271" s="225" t="s">
        <v>6993</v>
      </c>
      <c r="D4271" s="226" t="s">
        <v>11</v>
      </c>
      <c r="E4271" s="227">
        <v>4.22</v>
      </c>
      <c r="F4271" s="227"/>
    </row>
    <row r="4272" spans="1:6" s="215" customFormat="1" ht="38.25" hidden="1" customHeight="1" outlineLevel="1" x14ac:dyDescent="0.2">
      <c r="A4272" s="215" t="s">
        <v>1279</v>
      </c>
      <c r="B4272" s="228" t="s">
        <v>7332</v>
      </c>
      <c r="C4272" s="229" t="s">
        <v>6995</v>
      </c>
      <c r="D4272" s="230" t="s">
        <v>11</v>
      </c>
      <c r="E4272" s="231">
        <v>13.38</v>
      </c>
      <c r="F4272" s="231"/>
    </row>
    <row r="4273" spans="1:10" s="215" customFormat="1" ht="38.25" hidden="1" customHeight="1" outlineLevel="1" x14ac:dyDescent="0.2">
      <c r="A4273" s="215" t="s">
        <v>1279</v>
      </c>
      <c r="B4273" s="224" t="s">
        <v>7333</v>
      </c>
      <c r="C4273" s="225" t="s">
        <v>6997</v>
      </c>
      <c r="D4273" s="226" t="s">
        <v>11</v>
      </c>
      <c r="E4273" s="227">
        <v>6.92</v>
      </c>
      <c r="F4273" s="227"/>
    </row>
    <row r="4274" spans="1:10" s="215" customFormat="1" ht="38.25" hidden="1" customHeight="1" outlineLevel="1" x14ac:dyDescent="0.2">
      <c r="A4274" s="215" t="s">
        <v>1279</v>
      </c>
      <c r="B4274" s="228" t="s">
        <v>7334</v>
      </c>
      <c r="C4274" s="229" t="s">
        <v>6999</v>
      </c>
      <c r="D4274" s="230" t="s">
        <v>11</v>
      </c>
      <c r="E4274" s="231">
        <v>17.64</v>
      </c>
      <c r="F4274" s="231"/>
    </row>
    <row r="4275" spans="1:10" s="215" customFormat="1" ht="38.25" hidden="1" customHeight="1" outlineLevel="1" x14ac:dyDescent="0.2">
      <c r="A4275" s="215" t="s">
        <v>1279</v>
      </c>
      <c r="B4275" s="224" t="s">
        <v>7335</v>
      </c>
      <c r="C4275" s="225" t="s">
        <v>7001</v>
      </c>
      <c r="D4275" s="226" t="s">
        <v>11</v>
      </c>
      <c r="E4275" s="227">
        <v>3.93</v>
      </c>
      <c r="F4275" s="227"/>
    </row>
    <row r="4276" spans="1:10" s="215" customFormat="1" ht="38.25" hidden="1" customHeight="1" outlineLevel="1" x14ac:dyDescent="0.2">
      <c r="A4276" s="215" t="s">
        <v>1279</v>
      </c>
      <c r="B4276" s="228" t="s">
        <v>7336</v>
      </c>
      <c r="C4276" s="229" t="s">
        <v>7003</v>
      </c>
      <c r="D4276" s="230" t="s">
        <v>11</v>
      </c>
      <c r="E4276" s="231">
        <v>14.72</v>
      </c>
      <c r="F4276" s="231"/>
    </row>
    <row r="4277" spans="1:10" s="215" customFormat="1" collapsed="1" x14ac:dyDescent="0.2">
      <c r="B4277" s="515" t="s">
        <v>6552</v>
      </c>
      <c r="C4277" s="516" t="s">
        <v>73</v>
      </c>
      <c r="D4277" s="521"/>
      <c r="E4277" s="524">
        <f>SUM(E4279:E4321)</f>
        <v>587.98</v>
      </c>
      <c r="F4277" s="524"/>
      <c r="G4277" s="516"/>
      <c r="H4277" s="234">
        <f>SUM(H4278:H4294)</f>
        <v>587.98</v>
      </c>
      <c r="I4277" s="242" t="str">
        <f>IF(H4277=E4277,"OKAY","REVER")</f>
        <v>OKAY</v>
      </c>
      <c r="J4277" s="405"/>
    </row>
    <row r="4278" spans="1:10" s="215" customFormat="1" ht="25.5" hidden="1" customHeight="1" outlineLevel="1" x14ac:dyDescent="0.2">
      <c r="A4278" s="215" t="s">
        <v>1278</v>
      </c>
      <c r="B4278" s="216" t="s">
        <v>6553</v>
      </c>
      <c r="C4278" s="217" t="s">
        <v>2958</v>
      </c>
      <c r="D4278" s="218"/>
      <c r="E4278" s="219"/>
      <c r="F4278" s="219"/>
      <c r="G4278" s="229" t="s">
        <v>6555</v>
      </c>
      <c r="H4278" s="235">
        <f t="shared" ref="H4278:H4294" si="115">SUMIF($C:$C,G4278,$E:$E)</f>
        <v>556.90000000000009</v>
      </c>
      <c r="I4278" s="241"/>
    </row>
    <row r="4279" spans="1:10" s="215" customFormat="1" ht="25.5" hidden="1" customHeight="1" outlineLevel="1" x14ac:dyDescent="0.2">
      <c r="A4279" s="215" t="s">
        <v>1278</v>
      </c>
      <c r="B4279" s="228" t="s">
        <v>6554</v>
      </c>
      <c r="C4279" s="229" t="s">
        <v>6555</v>
      </c>
      <c r="D4279" s="230" t="s">
        <v>11</v>
      </c>
      <c r="E4279" s="231">
        <v>44.12</v>
      </c>
      <c r="F4279" s="231"/>
      <c r="G4279" s="225" t="s">
        <v>6589</v>
      </c>
      <c r="H4279" s="235">
        <f t="shared" si="115"/>
        <v>7.41</v>
      </c>
      <c r="I4279" s="241"/>
    </row>
    <row r="4280" spans="1:10" s="215" customFormat="1" ht="25.5" hidden="1" customHeight="1" outlineLevel="1" x14ac:dyDescent="0.2">
      <c r="A4280" s="215" t="s">
        <v>1278</v>
      </c>
      <c r="B4280" s="216" t="s">
        <v>6556</v>
      </c>
      <c r="C4280" s="217" t="s">
        <v>2960</v>
      </c>
      <c r="D4280" s="218"/>
      <c r="E4280" s="219"/>
      <c r="F4280" s="219"/>
      <c r="G4280" s="229" t="s">
        <v>6563</v>
      </c>
      <c r="H4280" s="235">
        <f t="shared" si="115"/>
        <v>23.669999999999995</v>
      </c>
      <c r="I4280" s="241"/>
    </row>
    <row r="4281" spans="1:10" s="215" customFormat="1" ht="25.5" hidden="1" customHeight="1" outlineLevel="1" x14ac:dyDescent="0.2">
      <c r="A4281" s="215" t="s">
        <v>1278</v>
      </c>
      <c r="B4281" s="224" t="s">
        <v>6557</v>
      </c>
      <c r="C4281" s="225" t="s">
        <v>6555</v>
      </c>
      <c r="D4281" s="226" t="s">
        <v>11</v>
      </c>
      <c r="E4281" s="227">
        <v>17.62</v>
      </c>
      <c r="F4281" s="227"/>
      <c r="G4281" s="229"/>
      <c r="H4281" s="235">
        <f t="shared" si="115"/>
        <v>0</v>
      </c>
      <c r="I4281" s="241"/>
    </row>
    <row r="4282" spans="1:10" s="215" customFormat="1" ht="12.75" hidden="1" customHeight="1" outlineLevel="1" x14ac:dyDescent="0.2">
      <c r="A4282" s="215" t="s">
        <v>1278</v>
      </c>
      <c r="B4282" s="216" t="s">
        <v>6558</v>
      </c>
      <c r="C4282" s="217" t="s">
        <v>2961</v>
      </c>
      <c r="D4282" s="218"/>
      <c r="E4282" s="219"/>
      <c r="F4282" s="219"/>
      <c r="G4282" s="229"/>
      <c r="H4282" s="235">
        <f t="shared" si="115"/>
        <v>0</v>
      </c>
      <c r="I4282" s="241"/>
    </row>
    <row r="4283" spans="1:10" s="215" customFormat="1" ht="25.5" hidden="1" customHeight="1" outlineLevel="1" x14ac:dyDescent="0.2">
      <c r="A4283" s="215" t="s">
        <v>1279</v>
      </c>
      <c r="B4283" s="228" t="s">
        <v>6559</v>
      </c>
      <c r="C4283" s="229" t="s">
        <v>6555</v>
      </c>
      <c r="D4283" s="230" t="s">
        <v>11</v>
      </c>
      <c r="E4283" s="231">
        <v>35.799999999999997</v>
      </c>
      <c r="F4283" s="231"/>
      <c r="G4283" s="229"/>
      <c r="H4283" s="235">
        <f t="shared" si="115"/>
        <v>0</v>
      </c>
      <c r="I4283" s="241"/>
    </row>
    <row r="4284" spans="1:10" s="215" customFormat="1" ht="12.75" hidden="1" customHeight="1" outlineLevel="1" x14ac:dyDescent="0.2">
      <c r="A4284" s="215" t="s">
        <v>1279</v>
      </c>
      <c r="B4284" s="216" t="s">
        <v>6560</v>
      </c>
      <c r="C4284" s="217" t="s">
        <v>2962</v>
      </c>
      <c r="D4284" s="218"/>
      <c r="E4284" s="219"/>
      <c r="F4284" s="219"/>
      <c r="G4284" s="225"/>
      <c r="H4284" s="235">
        <f t="shared" si="115"/>
        <v>0</v>
      </c>
      <c r="I4284" s="198"/>
    </row>
    <row r="4285" spans="1:10" s="215" customFormat="1" ht="25.5" hidden="1" customHeight="1" outlineLevel="1" x14ac:dyDescent="0.2">
      <c r="A4285" s="215" t="s">
        <v>1279</v>
      </c>
      <c r="B4285" s="224" t="s">
        <v>6561</v>
      </c>
      <c r="C4285" s="225" t="s">
        <v>6555</v>
      </c>
      <c r="D4285" s="226" t="s">
        <v>11</v>
      </c>
      <c r="E4285" s="227">
        <v>39.020000000000003</v>
      </c>
      <c r="F4285" s="227"/>
      <c r="G4285" s="229"/>
      <c r="H4285" s="235">
        <f t="shared" si="115"/>
        <v>0</v>
      </c>
      <c r="I4285" s="241"/>
    </row>
    <row r="4286" spans="1:10" s="215" customFormat="1" ht="25.5" hidden="1" customHeight="1" outlineLevel="1" x14ac:dyDescent="0.2">
      <c r="A4286" s="215" t="s">
        <v>1279</v>
      </c>
      <c r="B4286" s="228" t="s">
        <v>6562</v>
      </c>
      <c r="C4286" s="229" t="s">
        <v>6563</v>
      </c>
      <c r="D4286" s="230" t="s">
        <v>11</v>
      </c>
      <c r="E4286" s="231">
        <v>2.63</v>
      </c>
      <c r="F4286" s="231"/>
      <c r="G4286" s="229"/>
      <c r="H4286" s="235">
        <f t="shared" si="115"/>
        <v>0</v>
      </c>
      <c r="I4286" s="241"/>
    </row>
    <row r="4287" spans="1:10" s="215" customFormat="1" ht="12.75" hidden="1" customHeight="1" outlineLevel="1" x14ac:dyDescent="0.2">
      <c r="A4287" s="215" t="s">
        <v>1279</v>
      </c>
      <c r="B4287" s="216" t="s">
        <v>6564</v>
      </c>
      <c r="C4287" s="217" t="s">
        <v>2963</v>
      </c>
      <c r="D4287" s="218"/>
      <c r="E4287" s="219"/>
      <c r="F4287" s="219"/>
      <c r="G4287" s="225"/>
      <c r="H4287" s="235">
        <f t="shared" si="115"/>
        <v>0</v>
      </c>
      <c r="I4287" s="241"/>
    </row>
    <row r="4288" spans="1:10" s="215" customFormat="1" ht="25.5" hidden="1" customHeight="1" outlineLevel="1" x14ac:dyDescent="0.2">
      <c r="A4288" s="215" t="s">
        <v>1279</v>
      </c>
      <c r="B4288" s="224" t="s">
        <v>6565</v>
      </c>
      <c r="C4288" s="225" t="s">
        <v>6555</v>
      </c>
      <c r="D4288" s="226" t="s">
        <v>11</v>
      </c>
      <c r="E4288" s="227">
        <v>38.22</v>
      </c>
      <c r="F4288" s="227"/>
      <c r="G4288" s="229"/>
      <c r="H4288" s="235">
        <f t="shared" si="115"/>
        <v>0</v>
      </c>
      <c r="I4288" s="241"/>
    </row>
    <row r="4289" spans="1:10" s="215" customFormat="1" ht="12.75" hidden="1" customHeight="1" outlineLevel="1" x14ac:dyDescent="0.2">
      <c r="A4289" s="215" t="s">
        <v>1279</v>
      </c>
      <c r="B4289" s="216" t="s">
        <v>6566</v>
      </c>
      <c r="C4289" s="217" t="s">
        <v>2964</v>
      </c>
      <c r="D4289" s="218"/>
      <c r="E4289" s="219"/>
      <c r="F4289" s="219"/>
      <c r="G4289" s="225"/>
      <c r="H4289" s="235">
        <f t="shared" si="115"/>
        <v>0</v>
      </c>
      <c r="I4289" s="241"/>
    </row>
    <row r="4290" spans="1:10" s="215" customFormat="1" ht="25.5" hidden="1" customHeight="1" outlineLevel="1" x14ac:dyDescent="0.2">
      <c r="A4290" s="215" t="s">
        <v>1279</v>
      </c>
      <c r="B4290" s="228" t="s">
        <v>6567</v>
      </c>
      <c r="C4290" s="229" t="s">
        <v>6555</v>
      </c>
      <c r="D4290" s="230" t="s">
        <v>11</v>
      </c>
      <c r="E4290" s="231">
        <v>39.119999999999997</v>
      </c>
      <c r="F4290" s="231"/>
      <c r="G4290" s="229"/>
      <c r="H4290" s="235">
        <f t="shared" si="115"/>
        <v>0</v>
      </c>
      <c r="I4290" s="241"/>
    </row>
    <row r="4291" spans="1:10" s="215" customFormat="1" ht="25.5" hidden="1" customHeight="1" outlineLevel="1" x14ac:dyDescent="0.2">
      <c r="A4291" s="215" t="s">
        <v>1279</v>
      </c>
      <c r="B4291" s="224" t="s">
        <v>6568</v>
      </c>
      <c r="C4291" s="225" t="s">
        <v>6563</v>
      </c>
      <c r="D4291" s="226" t="s">
        <v>11</v>
      </c>
      <c r="E4291" s="227">
        <v>5.26</v>
      </c>
      <c r="F4291" s="227"/>
      <c r="G4291" s="225"/>
      <c r="H4291" s="235">
        <f t="shared" si="115"/>
        <v>0</v>
      </c>
      <c r="I4291" s="241"/>
    </row>
    <row r="4292" spans="1:10" s="215" customFormat="1" ht="12.75" hidden="1" customHeight="1" outlineLevel="1" x14ac:dyDescent="0.2">
      <c r="A4292" s="215" t="s">
        <v>1279</v>
      </c>
      <c r="B4292" s="216" t="s">
        <v>6569</v>
      </c>
      <c r="C4292" s="217" t="s">
        <v>2965</v>
      </c>
      <c r="D4292" s="218"/>
      <c r="E4292" s="219"/>
      <c r="F4292" s="219"/>
      <c r="G4292" s="229"/>
      <c r="H4292" s="235">
        <f t="shared" si="115"/>
        <v>0</v>
      </c>
      <c r="I4292" s="241"/>
    </row>
    <row r="4293" spans="1:10" s="215" customFormat="1" ht="25.5" hidden="1" customHeight="1" outlineLevel="1" x14ac:dyDescent="0.2">
      <c r="A4293" s="215" t="s">
        <v>1279</v>
      </c>
      <c r="B4293" s="228" t="s">
        <v>6570</v>
      </c>
      <c r="C4293" s="229" t="s">
        <v>6555</v>
      </c>
      <c r="D4293" s="230" t="s">
        <v>11</v>
      </c>
      <c r="E4293" s="231">
        <v>38.22</v>
      </c>
      <c r="F4293" s="231"/>
      <c r="G4293" s="225"/>
      <c r="H4293" s="235">
        <f t="shared" si="115"/>
        <v>0</v>
      </c>
      <c r="I4293" s="241"/>
    </row>
    <row r="4294" spans="1:10" s="215" customFormat="1" ht="12.75" hidden="1" customHeight="1" outlineLevel="1" x14ac:dyDescent="0.2">
      <c r="A4294" s="215" t="s">
        <v>1279</v>
      </c>
      <c r="B4294" s="216" t="s">
        <v>6571</v>
      </c>
      <c r="C4294" s="217" t="s">
        <v>2966</v>
      </c>
      <c r="D4294" s="218"/>
      <c r="E4294" s="219"/>
      <c r="F4294" s="219"/>
      <c r="G4294" s="229"/>
      <c r="H4294" s="235">
        <f t="shared" si="115"/>
        <v>0</v>
      </c>
      <c r="I4294" s="241"/>
    </row>
    <row r="4295" spans="1:10" s="215" customFormat="1" ht="25.5" hidden="1" customHeight="1" outlineLevel="1" x14ac:dyDescent="0.2">
      <c r="A4295" s="215" t="s">
        <v>1279</v>
      </c>
      <c r="B4295" s="224" t="s">
        <v>6572</v>
      </c>
      <c r="C4295" s="225" t="s">
        <v>6555</v>
      </c>
      <c r="D4295" s="226" t="s">
        <v>11</v>
      </c>
      <c r="E4295" s="227">
        <v>39.119999999999997</v>
      </c>
      <c r="F4295" s="227"/>
      <c r="G4295" s="198"/>
      <c r="H4295" s="198"/>
      <c r="I4295" s="241"/>
    </row>
    <row r="4296" spans="1:10" s="215" customFormat="1" ht="25.5" hidden="1" customHeight="1" outlineLevel="1" x14ac:dyDescent="0.2">
      <c r="A4296" s="215" t="s">
        <v>1279</v>
      </c>
      <c r="B4296" s="228" t="s">
        <v>6573</v>
      </c>
      <c r="C4296" s="229" t="s">
        <v>6563</v>
      </c>
      <c r="D4296" s="230" t="s">
        <v>11</v>
      </c>
      <c r="E4296" s="231">
        <v>2.63</v>
      </c>
      <c r="F4296" s="231"/>
      <c r="G4296" s="520" t="s">
        <v>1732</v>
      </c>
      <c r="H4296" s="234">
        <f>H4298+H4306</f>
        <v>587.98000000000013</v>
      </c>
      <c r="I4296" s="242" t="str">
        <f>IF(H4296=H4277,"OKAY","REVER")</f>
        <v>OKAY</v>
      </c>
    </row>
    <row r="4297" spans="1:10" s="215" customFormat="1" ht="12.75" hidden="1" customHeight="1" outlineLevel="1" x14ac:dyDescent="0.2">
      <c r="A4297" s="215" t="s">
        <v>1279</v>
      </c>
      <c r="B4297" s="216" t="s">
        <v>6574</v>
      </c>
      <c r="C4297" s="217" t="s">
        <v>2967</v>
      </c>
      <c r="D4297" s="218"/>
      <c r="E4297" s="219"/>
      <c r="F4297" s="219"/>
      <c r="G4297" s="232"/>
      <c r="H4297" s="232"/>
      <c r="I4297" s="242"/>
    </row>
    <row r="4298" spans="1:10" s="215" customFormat="1" ht="25.5" hidden="1" customHeight="1" outlineLevel="1" x14ac:dyDescent="0.2">
      <c r="A4298" s="215" t="s">
        <v>1279</v>
      </c>
      <c r="B4298" s="224" t="s">
        <v>6575</v>
      </c>
      <c r="C4298" s="225" t="s">
        <v>6555</v>
      </c>
      <c r="D4298" s="226" t="s">
        <v>11</v>
      </c>
      <c r="E4298" s="227">
        <v>38.22</v>
      </c>
      <c r="F4298" s="227"/>
      <c r="G4298" s="520" t="str">
        <f>$A$1</f>
        <v>EMBASSAMENTO</v>
      </c>
      <c r="H4298" s="234">
        <f>SUM(H4299:H4305)</f>
        <v>61.739999999999995</v>
      </c>
      <c r="I4298" s="242"/>
    </row>
    <row r="4299" spans="1:10" s="215" customFormat="1" ht="25.5" hidden="1" customHeight="1" outlineLevel="1" x14ac:dyDescent="0.2">
      <c r="A4299" s="215" t="s">
        <v>1279</v>
      </c>
      <c r="B4299" s="216" t="s">
        <v>6576</v>
      </c>
      <c r="C4299" s="217" t="s">
        <v>2968</v>
      </c>
      <c r="D4299" s="218"/>
      <c r="E4299" s="219"/>
      <c r="F4299" s="219"/>
      <c r="G4299" s="229" t="s">
        <v>6555</v>
      </c>
      <c r="H4299" s="235">
        <f t="shared" ref="H4299:H4305" si="116">SUMIFS($E:$E,$C:$C,G4299,$A:$A,$G$22)</f>
        <v>61.739999999999995</v>
      </c>
      <c r="I4299" s="242"/>
    </row>
    <row r="4300" spans="1:10" s="215" customFormat="1" ht="25.5" hidden="1" customHeight="1" outlineLevel="1" x14ac:dyDescent="0.2">
      <c r="A4300" s="215" t="s">
        <v>1279</v>
      </c>
      <c r="B4300" s="228" t="s">
        <v>6577</v>
      </c>
      <c r="C4300" s="229" t="s">
        <v>6555</v>
      </c>
      <c r="D4300" s="230" t="s">
        <v>11</v>
      </c>
      <c r="E4300" s="231">
        <v>39.119999999999997</v>
      </c>
      <c r="F4300" s="231"/>
      <c r="G4300" s="225" t="s">
        <v>6589</v>
      </c>
      <c r="H4300" s="235">
        <f t="shared" si="116"/>
        <v>0</v>
      </c>
      <c r="I4300" s="241"/>
    </row>
    <row r="4301" spans="1:10" s="215" customFormat="1" ht="25.5" hidden="1" customHeight="1" outlineLevel="1" x14ac:dyDescent="0.2">
      <c r="A4301" s="215" t="s">
        <v>1279</v>
      </c>
      <c r="B4301" s="224" t="s">
        <v>6578</v>
      </c>
      <c r="C4301" s="225" t="s">
        <v>6563</v>
      </c>
      <c r="D4301" s="226" t="s">
        <v>11</v>
      </c>
      <c r="E4301" s="227">
        <v>2.63</v>
      </c>
      <c r="F4301" s="227"/>
      <c r="G4301" s="229" t="s">
        <v>6563</v>
      </c>
      <c r="H4301" s="235">
        <f t="shared" si="116"/>
        <v>0</v>
      </c>
      <c r="I4301" s="241"/>
    </row>
    <row r="4302" spans="1:10" s="215" customFormat="1" ht="12.75" hidden="1" customHeight="1" outlineLevel="1" x14ac:dyDescent="0.2">
      <c r="A4302" s="215" t="s">
        <v>1279</v>
      </c>
      <c r="B4302" s="216" t="s">
        <v>6579</v>
      </c>
      <c r="C4302" s="217" t="s">
        <v>2969</v>
      </c>
      <c r="D4302" s="218"/>
      <c r="E4302" s="219"/>
      <c r="F4302" s="219"/>
      <c r="G4302" s="229"/>
      <c r="H4302" s="235">
        <f t="shared" si="116"/>
        <v>0</v>
      </c>
      <c r="I4302" s="241"/>
      <c r="J4302" s="403"/>
    </row>
    <row r="4303" spans="1:10" s="215" customFormat="1" ht="25.5" hidden="1" customHeight="1" outlineLevel="1" x14ac:dyDescent="0.2">
      <c r="A4303" s="215" t="s">
        <v>1279</v>
      </c>
      <c r="B4303" s="228" t="s">
        <v>6580</v>
      </c>
      <c r="C4303" s="229" t="s">
        <v>6555</v>
      </c>
      <c r="D4303" s="230" t="s">
        <v>11</v>
      </c>
      <c r="E4303" s="231">
        <v>38.22</v>
      </c>
      <c r="F4303" s="231"/>
      <c r="G4303" s="225"/>
      <c r="H4303" s="235">
        <f t="shared" si="116"/>
        <v>0</v>
      </c>
      <c r="I4303" s="241"/>
      <c r="J4303" s="403"/>
    </row>
    <row r="4304" spans="1:10" s="215" customFormat="1" ht="12.75" hidden="1" customHeight="1" outlineLevel="1" x14ac:dyDescent="0.2">
      <c r="A4304" s="215" t="s">
        <v>1279</v>
      </c>
      <c r="B4304" s="216" t="s">
        <v>6581</v>
      </c>
      <c r="C4304" s="217" t="s">
        <v>2970</v>
      </c>
      <c r="D4304" s="218"/>
      <c r="E4304" s="219"/>
      <c r="F4304" s="219"/>
      <c r="G4304" s="229"/>
      <c r="H4304" s="235">
        <f t="shared" si="116"/>
        <v>0</v>
      </c>
      <c r="I4304" s="241"/>
      <c r="J4304" s="403"/>
    </row>
    <row r="4305" spans="1:10" s="215" customFormat="1" ht="25.5" hidden="1" customHeight="1" outlineLevel="1" x14ac:dyDescent="0.2">
      <c r="A4305" s="215" t="s">
        <v>1279</v>
      </c>
      <c r="B4305" s="224" t="s">
        <v>6582</v>
      </c>
      <c r="C4305" s="225" t="s">
        <v>6555</v>
      </c>
      <c r="D4305" s="226" t="s">
        <v>11</v>
      </c>
      <c r="E4305" s="227">
        <v>39.119999999999997</v>
      </c>
      <c r="F4305" s="227"/>
      <c r="G4305" s="225"/>
      <c r="H4305" s="235">
        <f t="shared" si="116"/>
        <v>0</v>
      </c>
      <c r="I4305" s="241"/>
      <c r="J4305" s="403"/>
    </row>
    <row r="4306" spans="1:10" s="215" customFormat="1" ht="25.5" hidden="1" customHeight="1" outlineLevel="1" x14ac:dyDescent="0.2">
      <c r="A4306" s="215" t="s">
        <v>1279</v>
      </c>
      <c r="B4306" s="228" t="s">
        <v>6583</v>
      </c>
      <c r="C4306" s="229" t="s">
        <v>6563</v>
      </c>
      <c r="D4306" s="230" t="s">
        <v>11</v>
      </c>
      <c r="E4306" s="231">
        <v>5.26</v>
      </c>
      <c r="F4306" s="231"/>
      <c r="G4306" s="520" t="str">
        <f>$A$2</f>
        <v>TORRE</v>
      </c>
      <c r="H4306" s="234">
        <f>SUM(H4307:H4313)</f>
        <v>526.24000000000012</v>
      </c>
      <c r="I4306" s="241"/>
      <c r="J4306" s="403"/>
    </row>
    <row r="4307" spans="1:10" s="215" customFormat="1" ht="25.5" hidden="1" customHeight="1" outlineLevel="1" x14ac:dyDescent="0.2">
      <c r="A4307" s="215" t="s">
        <v>1279</v>
      </c>
      <c r="B4307" s="216" t="s">
        <v>6584</v>
      </c>
      <c r="C4307" s="217" t="s">
        <v>2971</v>
      </c>
      <c r="D4307" s="218"/>
      <c r="E4307" s="219"/>
      <c r="F4307" s="219"/>
      <c r="G4307" s="229" t="s">
        <v>6555</v>
      </c>
      <c r="H4307" s="235">
        <f>SUMIFS($E:$E,$C:$C,G4307,$A:$A,$G$30)</f>
        <v>495.16000000000014</v>
      </c>
      <c r="I4307" s="241"/>
      <c r="J4307" s="403"/>
    </row>
    <row r="4308" spans="1:10" s="215" customFormat="1" ht="25.5" hidden="1" customHeight="1" outlineLevel="1" x14ac:dyDescent="0.2">
      <c r="A4308" s="215" t="s">
        <v>1279</v>
      </c>
      <c r="B4308" s="224" t="s">
        <v>6585</v>
      </c>
      <c r="C4308" s="225" t="s">
        <v>6555</v>
      </c>
      <c r="D4308" s="226" t="s">
        <v>11</v>
      </c>
      <c r="E4308" s="227">
        <v>38.29</v>
      </c>
      <c r="F4308" s="227"/>
      <c r="G4308" s="225" t="s">
        <v>6589</v>
      </c>
      <c r="H4308" s="235">
        <f>SUMIFS($E:$E,$C:$C,G4308,$A:$A,$G$30)</f>
        <v>7.41</v>
      </c>
      <c r="I4308" s="241"/>
      <c r="J4308" s="403"/>
    </row>
    <row r="4309" spans="1:10" s="215" customFormat="1" ht="25.5" hidden="1" customHeight="1" outlineLevel="1" x14ac:dyDescent="0.2">
      <c r="A4309" s="215" t="s">
        <v>1279</v>
      </c>
      <c r="B4309" s="216" t="s">
        <v>6586</v>
      </c>
      <c r="C4309" s="217" t="s">
        <v>2972</v>
      </c>
      <c r="D4309" s="218"/>
      <c r="E4309" s="219"/>
      <c r="F4309" s="219"/>
      <c r="G4309" s="229" t="s">
        <v>6563</v>
      </c>
      <c r="H4309" s="235">
        <f>SUMIFS($E:$E,$C:$C,G4309,$A:$A,$G$30)</f>
        <v>23.669999999999995</v>
      </c>
      <c r="I4309" s="241"/>
      <c r="J4309" s="403"/>
    </row>
    <row r="4310" spans="1:10" s="215" customFormat="1" ht="25.5" hidden="1" customHeight="1" outlineLevel="1" x14ac:dyDescent="0.2">
      <c r="A4310" s="215" t="s">
        <v>1279</v>
      </c>
      <c r="B4310" s="228" t="s">
        <v>6587</v>
      </c>
      <c r="C4310" s="229" t="s">
        <v>6555</v>
      </c>
      <c r="D4310" s="230" t="s">
        <v>11</v>
      </c>
      <c r="E4310" s="231">
        <v>5.21</v>
      </c>
      <c r="F4310" s="231"/>
      <c r="G4310" s="229"/>
      <c r="H4310" s="235">
        <f>SUMIFS($E:$E,$C:$C,G4310,$A:$A,$G$30)</f>
        <v>0</v>
      </c>
      <c r="I4310" s="241"/>
      <c r="J4310" s="403"/>
    </row>
    <row r="4311" spans="1:10" s="215" customFormat="1" ht="12.75" hidden="1" customHeight="1" outlineLevel="1" x14ac:dyDescent="0.2">
      <c r="A4311" s="215" t="s">
        <v>1279</v>
      </c>
      <c r="B4311" s="224" t="s">
        <v>6588</v>
      </c>
      <c r="C4311" s="225" t="s">
        <v>6589</v>
      </c>
      <c r="D4311" s="226" t="s">
        <v>11</v>
      </c>
      <c r="E4311" s="227">
        <v>7.41</v>
      </c>
      <c r="F4311" s="227"/>
      <c r="G4311" s="229"/>
      <c r="H4311" s="235">
        <f>SUMIFS($E:$E,$C:$C,G4311,$A:$A,$G$22)</f>
        <v>0</v>
      </c>
      <c r="I4311" s="241"/>
      <c r="J4311" s="403"/>
    </row>
    <row r="4312" spans="1:10" s="215" customFormat="1" ht="12.75" hidden="1" customHeight="1" outlineLevel="1" x14ac:dyDescent="0.2">
      <c r="A4312" s="215" t="s">
        <v>1279</v>
      </c>
      <c r="B4312" s="216" t="s">
        <v>6590</v>
      </c>
      <c r="C4312" s="217" t="s">
        <v>2973</v>
      </c>
      <c r="D4312" s="218"/>
      <c r="E4312" s="219"/>
      <c r="F4312" s="219"/>
      <c r="G4312" s="225"/>
      <c r="H4312" s="235">
        <f>SUMIFS($E:$E,$C:$C,G4312,$A:$A,$G$22)</f>
        <v>0</v>
      </c>
      <c r="I4312" s="241"/>
      <c r="J4312" s="403"/>
    </row>
    <row r="4313" spans="1:10" s="215" customFormat="1" ht="25.5" hidden="1" customHeight="1" outlineLevel="1" x14ac:dyDescent="0.2">
      <c r="A4313" s="215" t="s">
        <v>1279</v>
      </c>
      <c r="B4313" s="228" t="s">
        <v>6591</v>
      </c>
      <c r="C4313" s="229" t="s">
        <v>6555</v>
      </c>
      <c r="D4313" s="230" t="s">
        <v>11</v>
      </c>
      <c r="E4313" s="231">
        <v>14.42</v>
      </c>
      <c r="F4313" s="231"/>
      <c r="G4313" s="229"/>
      <c r="H4313" s="235">
        <f>SUMIFS($E:$E,$C:$C,G4313,$A:$A,$G$22)</f>
        <v>0</v>
      </c>
      <c r="I4313" s="241"/>
      <c r="J4313" s="403"/>
    </row>
    <row r="4314" spans="1:10" s="215" customFormat="1" ht="25.5" hidden="1" customHeight="1" outlineLevel="1" x14ac:dyDescent="0.2">
      <c r="A4314" s="215" t="s">
        <v>1279</v>
      </c>
      <c r="B4314" s="224" t="s">
        <v>6592</v>
      </c>
      <c r="C4314" s="225" t="s">
        <v>6563</v>
      </c>
      <c r="D4314" s="226" t="s">
        <v>11</v>
      </c>
      <c r="E4314" s="227">
        <v>2.63</v>
      </c>
      <c r="F4314" s="227"/>
      <c r="G4314" s="225"/>
      <c r="H4314" s="235">
        <f>SUMIFS($E:$E,$C:$C,G4314,$A:$A,$G$22)</f>
        <v>0</v>
      </c>
      <c r="I4314" s="241"/>
      <c r="J4314" s="403"/>
    </row>
    <row r="4315" spans="1:10" s="215" customFormat="1" ht="12.75" hidden="1" customHeight="1" outlineLevel="1" x14ac:dyDescent="0.2">
      <c r="A4315" s="215" t="s">
        <v>1279</v>
      </c>
      <c r="B4315" s="216" t="s">
        <v>6593</v>
      </c>
      <c r="C4315" s="217" t="s">
        <v>2974</v>
      </c>
      <c r="D4315" s="218"/>
      <c r="E4315" s="219"/>
      <c r="F4315" s="219"/>
      <c r="G4315" s="229"/>
      <c r="H4315" s="235">
        <f>SUMIFS($E:$E,$C:$C,G4315,$A:$A,$G$22)</f>
        <v>0</v>
      </c>
      <c r="I4315" s="241"/>
      <c r="J4315" s="403"/>
    </row>
    <row r="4316" spans="1:10" s="215" customFormat="1" ht="25.5" hidden="1" customHeight="1" outlineLevel="1" x14ac:dyDescent="0.2">
      <c r="A4316" s="215" t="s">
        <v>1279</v>
      </c>
      <c r="B4316" s="228" t="s">
        <v>6594</v>
      </c>
      <c r="C4316" s="229" t="s">
        <v>6555</v>
      </c>
      <c r="D4316" s="230" t="s">
        <v>11</v>
      </c>
      <c r="E4316" s="231">
        <v>17.36</v>
      </c>
      <c r="F4316" s="231"/>
      <c r="G4316" s="198"/>
      <c r="H4316" s="198"/>
      <c r="I4316" s="241"/>
      <c r="J4316" s="403"/>
    </row>
    <row r="4317" spans="1:10" s="215" customFormat="1" ht="12.75" hidden="1" customHeight="1" outlineLevel="1" x14ac:dyDescent="0.2">
      <c r="A4317" s="215" t="s">
        <v>1279</v>
      </c>
      <c r="B4317" s="216" t="s">
        <v>6595</v>
      </c>
      <c r="C4317" s="217" t="s">
        <v>2975</v>
      </c>
      <c r="D4317" s="218"/>
      <c r="E4317" s="219"/>
      <c r="F4317" s="219"/>
      <c r="G4317" s="198"/>
      <c r="H4317" s="198"/>
      <c r="I4317" s="241"/>
      <c r="J4317" s="403"/>
    </row>
    <row r="4318" spans="1:10" s="215" customFormat="1" ht="25.5" hidden="1" customHeight="1" outlineLevel="1" x14ac:dyDescent="0.2">
      <c r="A4318" s="215" t="s">
        <v>1279</v>
      </c>
      <c r="B4318" s="224" t="s">
        <v>6596</v>
      </c>
      <c r="C4318" s="225" t="s">
        <v>6555</v>
      </c>
      <c r="D4318" s="226" t="s">
        <v>11</v>
      </c>
      <c r="E4318" s="227">
        <v>17.600000000000001</v>
      </c>
      <c r="F4318" s="227"/>
      <c r="I4318" s="241"/>
      <c r="J4318" s="403"/>
    </row>
    <row r="4319" spans="1:10" s="215" customFormat="1" ht="25.5" hidden="1" customHeight="1" outlineLevel="1" x14ac:dyDescent="0.2">
      <c r="A4319" s="215" t="s">
        <v>1279</v>
      </c>
      <c r="B4319" s="228" t="s">
        <v>6597</v>
      </c>
      <c r="C4319" s="229" t="s">
        <v>6563</v>
      </c>
      <c r="D4319" s="230" t="s">
        <v>11</v>
      </c>
      <c r="E4319" s="231">
        <v>2.63</v>
      </c>
      <c r="F4319" s="231"/>
      <c r="I4319" s="241"/>
      <c r="J4319" s="403"/>
    </row>
    <row r="4320" spans="1:10" s="215" customFormat="1" ht="12.75" hidden="1" customHeight="1" outlineLevel="1" x14ac:dyDescent="0.2">
      <c r="A4320" s="215" t="s">
        <v>1279</v>
      </c>
      <c r="B4320" s="216" t="s">
        <v>6598</v>
      </c>
      <c r="C4320" s="217" t="s">
        <v>2976</v>
      </c>
      <c r="D4320" s="218"/>
      <c r="E4320" s="219"/>
      <c r="F4320" s="219"/>
      <c r="I4320" s="241"/>
      <c r="J4320" s="403"/>
    </row>
    <row r="4321" spans="1:10" s="215" customFormat="1" ht="25.5" hidden="1" customHeight="1" outlineLevel="1" x14ac:dyDescent="0.2">
      <c r="A4321" s="215" t="s">
        <v>1279</v>
      </c>
      <c r="B4321" s="224" t="s">
        <v>6599</v>
      </c>
      <c r="C4321" s="225" t="s">
        <v>6555</v>
      </c>
      <c r="D4321" s="226" t="s">
        <v>11</v>
      </c>
      <c r="E4321" s="227">
        <v>18.100000000000001</v>
      </c>
      <c r="F4321" s="227"/>
      <c r="I4321" s="241"/>
      <c r="J4321" s="403"/>
    </row>
    <row r="4322" spans="1:10" s="215" customFormat="1" collapsed="1" x14ac:dyDescent="0.2">
      <c r="A4322" s="215" t="s">
        <v>1279</v>
      </c>
      <c r="B4322" s="515" t="s">
        <v>6600</v>
      </c>
      <c r="C4322" s="516" t="s">
        <v>1715</v>
      </c>
      <c r="D4322" s="521"/>
      <c r="E4322" s="522">
        <f>F4324</f>
        <v>26.261199999999999</v>
      </c>
      <c r="F4322" s="522"/>
      <c r="G4322" s="516"/>
      <c r="H4322" s="234">
        <f>H4323</f>
        <v>26.261199999999999</v>
      </c>
      <c r="I4322" s="242" t="str">
        <f>IF(H4322=E4322,"OKAY","REVER")</f>
        <v>OKAY</v>
      </c>
      <c r="J4322" s="405"/>
    </row>
    <row r="4323" spans="1:10" s="215" customFormat="1" ht="25.5" hidden="1" customHeight="1" outlineLevel="1" x14ac:dyDescent="0.2">
      <c r="A4323" s="215" t="s">
        <v>1279</v>
      </c>
      <c r="B4323" s="216" t="s">
        <v>6601</v>
      </c>
      <c r="C4323" s="217" t="s">
        <v>2973</v>
      </c>
      <c r="D4323" s="218"/>
      <c r="E4323" s="219"/>
      <c r="F4323" s="219"/>
      <c r="G4323" s="229" t="s">
        <v>6603</v>
      </c>
      <c r="H4323" s="555">
        <f>F4324</f>
        <v>26.261199999999999</v>
      </c>
      <c r="I4323" s="241"/>
    </row>
    <row r="4324" spans="1:10" s="215" customFormat="1" ht="25.5" hidden="1" customHeight="1" outlineLevel="1" x14ac:dyDescent="0.2">
      <c r="A4324" s="215" t="s">
        <v>1279</v>
      </c>
      <c r="B4324" s="228" t="s">
        <v>6602</v>
      </c>
      <c r="C4324" s="229" t="s">
        <v>6603</v>
      </c>
      <c r="D4324" s="230" t="s">
        <v>11</v>
      </c>
      <c r="E4324" s="231">
        <v>4.4400000000000004</v>
      </c>
      <c r="F4324" s="231">
        <f>7.91*3.32</f>
        <v>26.261199999999999</v>
      </c>
    </row>
    <row r="4325" spans="1:10" s="215" customFormat="1" collapsed="1" x14ac:dyDescent="0.2">
      <c r="B4325" s="515" t="s">
        <v>6604</v>
      </c>
      <c r="C4325" s="516" t="s">
        <v>6605</v>
      </c>
      <c r="D4325" s="521"/>
      <c r="E4325" s="522">
        <f>E4327</f>
        <v>51.22</v>
      </c>
      <c r="F4325" s="522"/>
      <c r="G4325" s="516"/>
      <c r="H4325" s="234">
        <f>H4326</f>
        <v>51.22</v>
      </c>
      <c r="I4325" s="242" t="str">
        <f>IF(H4325=E4325,"OKAY","REVER")</f>
        <v>OKAY</v>
      </c>
      <c r="J4325" s="405"/>
    </row>
    <row r="4326" spans="1:10" s="215" customFormat="1" ht="12.75" hidden="1" customHeight="1" outlineLevel="1" x14ac:dyDescent="0.2">
      <c r="A4326" s="215" t="s">
        <v>1278</v>
      </c>
      <c r="B4326" s="216" t="s">
        <v>6606</v>
      </c>
      <c r="C4326" s="217" t="s">
        <v>2958</v>
      </c>
      <c r="D4326" s="218"/>
      <c r="E4326" s="219"/>
      <c r="F4326" s="219"/>
      <c r="G4326" s="225" t="s">
        <v>6608</v>
      </c>
      <c r="H4326" s="235">
        <f>SUMIF($C:$C,G4326,$E:$E)</f>
        <v>51.22</v>
      </c>
      <c r="I4326" s="241"/>
    </row>
    <row r="4327" spans="1:10" s="215" customFormat="1" ht="12.75" hidden="1" customHeight="1" outlineLevel="1" x14ac:dyDescent="0.2">
      <c r="A4327" s="215" t="s">
        <v>1278</v>
      </c>
      <c r="B4327" s="224" t="s">
        <v>6607</v>
      </c>
      <c r="C4327" s="225" t="s">
        <v>6608</v>
      </c>
      <c r="D4327" s="226" t="s">
        <v>11</v>
      </c>
      <c r="E4327" s="227">
        <v>51.22</v>
      </c>
      <c r="F4327" s="227"/>
    </row>
  </sheetData>
  <mergeCells count="7">
    <mergeCell ref="F10:F11"/>
    <mergeCell ref="B1:E1"/>
    <mergeCell ref="B8:E8"/>
    <mergeCell ref="B10:B11"/>
    <mergeCell ref="C10:C11"/>
    <mergeCell ref="D10:D11"/>
    <mergeCell ref="E10:E11"/>
  </mergeCells>
  <conditionalFormatting sqref="K1:K1607 K1616:K1965 K2539:K2558 K2560:K2578 K2580:K2596 K1974:K2537 K2602:K2603 K2606:K1048576">
    <cfRule type="cellIs" dxfId="6171" priority="4387" operator="equal">
      <formula>"MASSA"</formula>
    </cfRule>
  </conditionalFormatting>
  <conditionalFormatting sqref="L1:L2596 L2602:L2603 L2606:L1048576">
    <cfRule type="cellIs" dxfId="6170" priority="4386" operator="equal">
      <formula>"FUNDO"</formula>
    </cfRule>
  </conditionalFormatting>
  <conditionalFormatting sqref="J1:J18 J20:J104 J106:J345 J691:J694 J352:J639 J653:J662 J671:J680 J701:J807 J842:J1483 J1488:J1607 J1610 J1632:J1758 J1763:J1799 J1804:J1891 J1896:J1934 J1939:J1965 J1968 J1990:J2242 J2247:J2320 J2325:J2363 J2471:J2596 J2368:J2462 J2612 J2602:J2609 J2634:J2999 J3008:J3189 J3198:J3379 J3388:J3485 J3494:J3636 J3645:J3684 J4315:J1048576 J3757:J4306 J3693:J3748">
    <cfRule type="cellIs" dxfId="6169" priority="4381" operator="equal">
      <formula>"EXTERNO"</formula>
    </cfRule>
    <cfRule type="cellIs" dxfId="6168" priority="4382" operator="equal">
      <formula>"INTERNO"</formula>
    </cfRule>
    <cfRule type="cellIs" dxfId="6167" priority="4385" operator="equal">
      <formula>"TEXTURA"</formula>
    </cfRule>
  </conditionalFormatting>
  <conditionalFormatting sqref="H12">
    <cfRule type="cellIs" dxfId="6166" priority="4343" operator="equal">
      <formula>$H$11=$E$11</formula>
    </cfRule>
  </conditionalFormatting>
  <conditionalFormatting sqref="A1:A1048576">
    <cfRule type="cellIs" dxfId="6165" priority="3696" operator="equal">
      <formula>$A$3</formula>
    </cfRule>
    <cfRule type="cellIs" dxfId="6164" priority="3697" operator="equal">
      <formula>$A$2</formula>
    </cfRule>
    <cfRule type="cellIs" dxfId="6163" priority="3698" operator="equal">
      <formula>$A$1</formula>
    </cfRule>
  </conditionalFormatting>
  <conditionalFormatting sqref="H22">
    <cfRule type="cellIs" dxfId="6162" priority="3684" operator="equal">
      <formula>$H$11=$E$11</formula>
    </cfRule>
  </conditionalFormatting>
  <conditionalFormatting sqref="H20">
    <cfRule type="cellIs" dxfId="6161" priority="3682" operator="equal">
      <formula>$H$11=$E$11</formula>
    </cfRule>
  </conditionalFormatting>
  <conditionalFormatting sqref="H30">
    <cfRule type="cellIs" dxfId="6160" priority="3675" operator="equal">
      <formula>$H$11=$E$11</formula>
    </cfRule>
  </conditionalFormatting>
  <conditionalFormatting sqref="K19:L19 J1:L18 J352:J360 M2608:M2609 J20:L97 K98:L122 J98:J104 J106:J122 J123:L320 K321:L360 J321:J345 J693:L694 K681:L692 J691:J692 J679:L680 J361:L639 K640:L678 J653:J662 J671:J678 K695:L725 J701:J725 J726:L807 K808:L841 J842:L1483 K1484:L1493 J1488:J1493 J1494:L1607 L1608:L1631 K1616:K1631 J1610 J1632:L1738 J1772:L1779 K1739:L1771 J1739:J1758 J1763:J1771 K1780:L1812 J1780:J1799 J1804:J1812 J1813:L1871 J1905:L1914 K1872:L1904 J1872:J1891 J1896:J1904 K1915:L1947 J1915:J1934 J1939:J1947 J1948:L1965 L1966:L1989 K1974:K1989 J1968 J1990:L2222 K2223:L2255 J2223:J2242 J2247:J2255 J2256:L2300 K2301:L2333 J2301:J2320 J2325:J2333 J2334:L2343 K2344:L2376 J2344:J2363 J2368:J2376 K2433:L2470 J2433:J2462 J2538 L2538 J2471:L2537 J2559 L2559 J2539:L2558 J2579 L2579 J2560:L2578 J2580:L2596 J2377:L2432 K2602:L2603 J2612 J2634:J2864 J2602:J2609 K2606:L2864 J2865:L2969 J3035:L3159 K2970:L3034 J2970:J2999 J3008:J3034 J3225:L3349 K3160:L3224 J3160:J3189 J3198:J3224 K3350:L3414 J3350:J3379 J3388:J3414 J3415:L3455 K3456:L3520 J3456:J3485 J3494:J3520 J3521:L3606 J3607:J3636 J3645:J3684 K3607:L3776 J3757:J3776 J4277:J4306 K4277:L4323 J4315:J4323 J4324:L1048576 J3777:L4276 J3693:J3748">
    <cfRule type="cellIs" dxfId="6159" priority="3677" operator="equal">
      <formula>"CINZA ASFALTO"</formula>
    </cfRule>
    <cfRule type="cellIs" dxfId="6158" priority="3678" operator="equal">
      <formula>"PATATIVA"</formula>
    </cfRule>
    <cfRule type="cellIs" dxfId="6157" priority="3679" operator="equal">
      <formula>"BRANCO NEVE"</formula>
    </cfRule>
    <cfRule type="cellIs" dxfId="6156" priority="3680" operator="equal">
      <formula>"ELEFANTE"</formula>
    </cfRule>
  </conditionalFormatting>
  <conditionalFormatting sqref="J1:J18 J20:J104 J106:J345 J691:J694 J352:J639 J653:J662 J671:J680 J701:J807 J842:J1483 J1488:J1607 J1610 J1632:J1758 J1763:J1799 J1804:J1891 J1896:J1934 J1939:J1965 J1968 J1990:J2242 J2247:J2320 J2325:J2363 J2471:J2596 J2368:J2462 J2612 J2602:J2609 J2634:J2999 J3008:J3189 J3198:J3379 J3388:J3485 J3494:J3636 J3645:J3684 J4315:J1048576 J3757:J4306 J3693:J3748">
    <cfRule type="cellIs" dxfId="6155" priority="4411" operator="equal">
      <formula>"BALDRAME"</formula>
    </cfRule>
  </conditionalFormatting>
  <conditionalFormatting sqref="I2531 I2950:I2952 I1:I18 I1025:I1041 I20:I104 I201:I217 I106:I199 I329:I345 I321:I327 I653:I662 I670:I700 I1474:I1483 I1488:I1493 I1731:I1734 I2054:I2222 I2038:I2046 I2542:I2552 I2562:I2572 I2582:I2596 I2717:I2781 I2797:I2874 I4324 I4327:I1048576 I3767 I3740:I3748">
    <cfRule type="cellIs" dxfId="6154" priority="3659" operator="equal">
      <formula>"REVER"</formula>
    </cfRule>
    <cfRule type="cellIs" dxfId="6153" priority="3671" operator="equal">
      <formula>"OKAY"</formula>
    </cfRule>
  </conditionalFormatting>
  <conditionalFormatting sqref="G2950:I2952 G2964:I2969 G2958:H2958 H2953:I2953 I2954:I2960 H2954:H2957 H2961:I2963 H2959:H2963 I1:I18 I20:I104 I201:I217 I106:I199 I329:I345 I321:I327 I653:I662 I670:I700 I726:I739 I765:I799 I1025:I1041 G1411:H1411 G1404:H1404 G1397:H1397 G1390:H1390 G1383:H1383 I1376:I1415 I1440:I1459 I1474:I1483 I1488:I1493 I1731:I1736 G1737:I1738 G1772:I1779 I1749:I1758 I1763:I1768 I1790:I1799 I1804:I1809 G1905:I1914 G1866:I1871 I1882:I1891 I1896:I1901 G1948:I1957 I1925:I1934 I1939:I1944 I2054:I2222 I2038:I2046 I2233:I2242 I2247:I2252 I2531:I2596 I2944:I2947 I2717:I2781 I2797:I2874 G3035:I3159 G3225:I3349 G3415:I3455 I4324 G3521:I3606 I4327:I1048576 I3767 I3740:I3748">
    <cfRule type="cellIs" dxfId="6152" priority="3452" operator="equal">
      <formula>"ACM CONCRETO"</formula>
    </cfRule>
    <cfRule type="cellIs" dxfId="6151" priority="3453" operator="equal">
      <formula>"ACM"</formula>
    </cfRule>
    <cfRule type="cellIs" dxfId="6150" priority="3454" operator="equal">
      <formula>"PASTILHA"</formula>
    </cfRule>
    <cfRule type="cellIs" dxfId="6149" priority="3578" operator="equal">
      <formula>"PISCINA"</formula>
    </cfRule>
    <cfRule type="cellIs" dxfId="6148" priority="3579" operator="equal">
      <formula>"CERAMICA"</formula>
    </cfRule>
    <cfRule type="cellIs" dxfId="6147" priority="3664" operator="equal">
      <formula>"RESERVATORIO"</formula>
    </cfRule>
    <cfRule type="cellIs" dxfId="6146" priority="3665" operator="equal">
      <formula>"ESQUADRIA"</formula>
    </cfRule>
    <cfRule type="cellIs" dxfId="6145" priority="3666" operator="equal">
      <formula>"ARGAMASSA"</formula>
    </cfRule>
    <cfRule type="cellIs" dxfId="6144" priority="3667" operator="equal">
      <formula>"MANTA"</formula>
    </cfRule>
    <cfRule type="cellIs" dxfId="6143" priority="3668" operator="equal">
      <formula>"BALDRAME"</formula>
    </cfRule>
    <cfRule type="cellIs" dxfId="6142" priority="3669" operator="equal">
      <formula>"PORCELANATO"</formula>
    </cfRule>
    <cfRule type="cellIs" dxfId="6141" priority="3670" operator="equal">
      <formula>"TINTA"</formula>
    </cfRule>
  </conditionalFormatting>
  <conditionalFormatting sqref="H20:H28 H1:H18 H2950:H2963 H106:H114 H30:H104 H201:H209 H116:H199 H329:H337 H211:H327 H386:H394 H339:H384 H473:H481 H396:H471 H534:H542 H483:H532 H603:H611 H544:H601 H613:H650 H653:H673 H709:H717 H675:H707 H748:H756 H719:H746 H1008:H1016 H1018:H1041 H758:H933 H1360:H1368 H1345:H1358 H1405:H1410 H1398:H1403 H1391:H1396 H1384:H1389 H1370:H1382 H1424:H1432 H1412:H1422 H1434:H1472 H1474:H1484 H1488:H1665 H1667:H1733 H1735:H1736 H1958:H2035 H2038:H2222 H2944:H2948 H2701:H2702 H2798:H2886 H2704:H2792 H4324 H4327:H1048576">
    <cfRule type="cellIs" dxfId="6140" priority="3606" operator="greaterThan">
      <formula>0</formula>
    </cfRule>
  </conditionalFormatting>
  <conditionalFormatting sqref="M2608">
    <cfRule type="cellIs" dxfId="6139" priority="3501" operator="equal">
      <formula>"FUNDO"</formula>
    </cfRule>
  </conditionalFormatting>
  <conditionalFormatting sqref="M2609">
    <cfRule type="cellIs" dxfId="6138" priority="3486" operator="equal">
      <formula>"FUNDO"</formula>
    </cfRule>
  </conditionalFormatting>
  <conditionalFormatting sqref="G2950:H2952 G2958:H2958 H2953:H2957 G2964:H2969 H2959:H2963 I1:I18 I20:I104 I106:I199 I201:I327 I329:I384 I386:I471 I473:I532 I534:I601 I653:I662 I603:I650 I670:I707 I709:I746 I748:I806 I1008:I1041 I1345:I1358 G1411:H1411 G1404:H1404 G1397:H1397 G1390:H1390 G1383:H1383 I1360:I1422 I1424:I1470 I1474:I1483 I1488:I1745 I1749:I1758 I1763:I1786 I1790:I1799 I1804:I1878 I1882:I1891 I1896:I1921 I1925:I1934 I1939:I2034 I2038:I2046 I2054:I2229 I2233:I2242 I2247:I2307 I2311:I2320 I2325:I2350 I2354:I2363 I2452:I2461 I2474:I2596 I2368:I2439 I2701:I2709 I2602 I2717:I2781 I2797:I2947 G3035:H3159 I2989:I2998 I2950:I2976 G3225:H3349 I3179:I3188 I3011:I3166 G3415:H3455 I3369:I3378 I3201:I3356 G3521:H3522 I3475:I3484 I3391:I3462 I3497:I3522 G3523:I3606 I3626:I3635 I3607:I3613 I3674:I3683 I3648:I3661 I3696:I3725 I4296:I4305 I4318:I1048576 G4253:H4276 G4213:H4248 G4173:H4208 G4133:H4168 G4049:H4084 G3988:H4023 G3948:H3983 G3908:H3943 G3868:H3903 G3807:H3819 G4089:H4128 G4028:H4044 G3824:H3862 I3760:I4283 I3740:I3748">
    <cfRule type="cellIs" dxfId="6137" priority="3368" operator="equal">
      <formula>"GARAGEM"</formula>
    </cfRule>
  </conditionalFormatting>
  <conditionalFormatting sqref="H2950">
    <cfRule type="cellIs" dxfId="6136" priority="3352" operator="equal">
      <formula>$H$11=$E$11</formula>
    </cfRule>
  </conditionalFormatting>
  <conditionalFormatting sqref="H2952">
    <cfRule type="cellIs" dxfId="6135" priority="3351" operator="equal">
      <formula>$H$11=$E$11</formula>
    </cfRule>
  </conditionalFormatting>
  <conditionalFormatting sqref="H2958">
    <cfRule type="cellIs" dxfId="6134" priority="3350" operator="equal">
      <formula>$H$11=$E$11</formula>
    </cfRule>
  </conditionalFormatting>
  <conditionalFormatting sqref="H2958">
    <cfRule type="cellIs" dxfId="6133" priority="3349" operator="equal">
      <formula>$H$11=$E$11</formula>
    </cfRule>
  </conditionalFormatting>
  <conditionalFormatting sqref="H2952">
    <cfRule type="cellIs" dxfId="6132" priority="3348" operator="equal">
      <formula>$H$11=$E$11</formula>
    </cfRule>
  </conditionalFormatting>
  <conditionalFormatting sqref="H2952">
    <cfRule type="cellIs" dxfId="6131" priority="3347" operator="equal">
      <formula>$H$11=$E$11</formula>
    </cfRule>
  </conditionalFormatting>
  <conditionalFormatting sqref="H2958">
    <cfRule type="cellIs" dxfId="6130" priority="3346" operator="equal">
      <formula>$H$11=$E$11</formula>
    </cfRule>
  </conditionalFormatting>
  <conditionalFormatting sqref="H2958">
    <cfRule type="cellIs" dxfId="6129" priority="3345" operator="equal">
      <formula>$H$11=$E$11</formula>
    </cfRule>
  </conditionalFormatting>
  <conditionalFormatting sqref="H2958">
    <cfRule type="cellIs" dxfId="6128" priority="3344" operator="equal">
      <formula>$H$11=$E$11</formula>
    </cfRule>
  </conditionalFormatting>
  <conditionalFormatting sqref="H2958">
    <cfRule type="cellIs" dxfId="6127" priority="3330" operator="equal">
      <formula>$H$11=$E$11</formula>
    </cfRule>
  </conditionalFormatting>
  <conditionalFormatting sqref="H2958">
    <cfRule type="cellIs" dxfId="6126" priority="3329" operator="equal">
      <formula>$H$11=$E$11</formula>
    </cfRule>
  </conditionalFormatting>
  <conditionalFormatting sqref="H2958">
    <cfRule type="cellIs" dxfId="6125" priority="3328" operator="equal">
      <formula>$H$11=$E$11</formula>
    </cfRule>
  </conditionalFormatting>
  <conditionalFormatting sqref="M1:M2596 M2602:M2603 M2606:M1048576">
    <cfRule type="cellIs" dxfId="6124" priority="3193" operator="equal">
      <formula>"FRONTAL"</formula>
    </cfRule>
    <cfRule type="cellIs" dxfId="6123" priority="3194" operator="equal">
      <formula>"POSTERIOR"</formula>
    </cfRule>
    <cfRule type="cellIs" dxfId="6122" priority="3195" operator="equal">
      <formula>"ESQUERDA"</formula>
    </cfRule>
    <cfRule type="cellIs" dxfId="6121" priority="3196" operator="equal">
      <formula>"DIREITA"</formula>
    </cfRule>
  </conditionalFormatting>
  <conditionalFormatting sqref="H22">
    <cfRule type="cellIs" dxfId="6120" priority="3035" operator="equal">
      <formula>$H$11=$E$11</formula>
    </cfRule>
  </conditionalFormatting>
  <conditionalFormatting sqref="H12">
    <cfRule type="cellIs" dxfId="6119" priority="3034" operator="equal">
      <formula>$H$11=$E$11</formula>
    </cfRule>
  </conditionalFormatting>
  <conditionalFormatting sqref="H2952">
    <cfRule type="cellIs" dxfId="6118" priority="3015" operator="equal">
      <formula>$H$11=$E$11</formula>
    </cfRule>
  </conditionalFormatting>
  <conditionalFormatting sqref="H2958">
    <cfRule type="cellIs" dxfId="6117" priority="3014" operator="equal">
      <formula>$H$11=$E$11</formula>
    </cfRule>
  </conditionalFormatting>
  <conditionalFormatting sqref="H98">
    <cfRule type="cellIs" dxfId="6116" priority="2543" operator="equal">
      <formula>$H$11=$E$11</formula>
    </cfRule>
  </conditionalFormatting>
  <conditionalFormatting sqref="H108">
    <cfRule type="cellIs" dxfId="6115" priority="2542" operator="equal">
      <formula>$H$11=$E$11</formula>
    </cfRule>
  </conditionalFormatting>
  <conditionalFormatting sqref="H106">
    <cfRule type="cellIs" dxfId="6114" priority="2541" operator="equal">
      <formula>$H$11=$E$11</formula>
    </cfRule>
  </conditionalFormatting>
  <conditionalFormatting sqref="H116">
    <cfRule type="cellIs" dxfId="6113" priority="2540" operator="equal">
      <formula>$H$11=$E$11</formula>
    </cfRule>
  </conditionalFormatting>
  <conditionalFormatting sqref="H108">
    <cfRule type="cellIs" dxfId="6112" priority="2539" operator="equal">
      <formula>$H$11=$E$11</formula>
    </cfRule>
  </conditionalFormatting>
  <conditionalFormatting sqref="H98">
    <cfRule type="cellIs" dxfId="6111" priority="2538" operator="equal">
      <formula>$H$11=$E$11</formula>
    </cfRule>
  </conditionalFormatting>
  <conditionalFormatting sqref="H193">
    <cfRule type="cellIs" dxfId="6110" priority="2537" operator="equal">
      <formula>$H$11=$E$11</formula>
    </cfRule>
  </conditionalFormatting>
  <conditionalFormatting sqref="H203">
    <cfRule type="cellIs" dxfId="6109" priority="2536" operator="equal">
      <formula>$H$11=$E$11</formula>
    </cfRule>
  </conditionalFormatting>
  <conditionalFormatting sqref="H201">
    <cfRule type="cellIs" dxfId="6108" priority="2535" operator="equal">
      <formula>$H$11=$E$11</formula>
    </cfRule>
  </conditionalFormatting>
  <conditionalFormatting sqref="H211">
    <cfRule type="cellIs" dxfId="6107" priority="2534" operator="equal">
      <formula>$H$11=$E$11</formula>
    </cfRule>
  </conditionalFormatting>
  <conditionalFormatting sqref="H203">
    <cfRule type="cellIs" dxfId="6106" priority="2533" operator="equal">
      <formula>$H$11=$E$11</formula>
    </cfRule>
  </conditionalFormatting>
  <conditionalFormatting sqref="H193">
    <cfRule type="cellIs" dxfId="6105" priority="2532" operator="equal">
      <formula>$H$11=$E$11</formula>
    </cfRule>
  </conditionalFormatting>
  <conditionalFormatting sqref="H321">
    <cfRule type="cellIs" dxfId="6104" priority="2531" operator="equal">
      <formula>$H$11=$E$11</formula>
    </cfRule>
  </conditionalFormatting>
  <conditionalFormatting sqref="H331">
    <cfRule type="cellIs" dxfId="6103" priority="2530" operator="equal">
      <formula>$H$11=$E$11</formula>
    </cfRule>
  </conditionalFormatting>
  <conditionalFormatting sqref="H329">
    <cfRule type="cellIs" dxfId="6102" priority="2529" operator="equal">
      <formula>$H$11=$E$11</formula>
    </cfRule>
  </conditionalFormatting>
  <conditionalFormatting sqref="H339">
    <cfRule type="cellIs" dxfId="6101" priority="2528" operator="equal">
      <formula>$H$11=$E$11</formula>
    </cfRule>
  </conditionalFormatting>
  <conditionalFormatting sqref="H331">
    <cfRule type="cellIs" dxfId="6100" priority="2527" operator="equal">
      <formula>$H$11=$E$11</formula>
    </cfRule>
  </conditionalFormatting>
  <conditionalFormatting sqref="H321">
    <cfRule type="cellIs" dxfId="6099" priority="2526" operator="equal">
      <formula>$H$11=$E$11</formula>
    </cfRule>
  </conditionalFormatting>
  <conditionalFormatting sqref="I378">
    <cfRule type="cellIs" dxfId="6098" priority="2517" operator="equal">
      <formula>"REVER"</formula>
    </cfRule>
    <cfRule type="cellIs" dxfId="6097" priority="2525" operator="equal">
      <formula>"OKAY"</formula>
    </cfRule>
  </conditionalFormatting>
  <conditionalFormatting sqref="I378">
    <cfRule type="cellIs" dxfId="6096" priority="2512" operator="equal">
      <formula>"ACM CONCRETO"</formula>
    </cfRule>
    <cfRule type="cellIs" dxfId="6095" priority="2513" operator="equal">
      <formula>"ACM"</formula>
    </cfRule>
    <cfRule type="cellIs" dxfId="6094" priority="2514" operator="equal">
      <formula>"PASTILHA"</formula>
    </cfRule>
    <cfRule type="cellIs" dxfId="6093" priority="2515" operator="equal">
      <formula>"PISCINA"</formula>
    </cfRule>
    <cfRule type="cellIs" dxfId="6092" priority="2516" operator="equal">
      <formula>"CERAMICA"</formula>
    </cfRule>
    <cfRule type="cellIs" dxfId="6091" priority="2518" operator="equal">
      <formula>"RESERVATORIO"</formula>
    </cfRule>
    <cfRule type="cellIs" dxfId="6090" priority="2519" operator="equal">
      <formula>"ESQUADRIA"</formula>
    </cfRule>
    <cfRule type="cellIs" dxfId="6089" priority="2520" operator="equal">
      <formula>"ARGAMASSA"</formula>
    </cfRule>
    <cfRule type="cellIs" dxfId="6088" priority="2521" operator="equal">
      <formula>"MANTA"</formula>
    </cfRule>
    <cfRule type="cellIs" dxfId="6087" priority="2522" operator="equal">
      <formula>"BALDRAME"</formula>
    </cfRule>
    <cfRule type="cellIs" dxfId="6086" priority="2523" operator="equal">
      <formula>"PORCELANATO"</formula>
    </cfRule>
    <cfRule type="cellIs" dxfId="6085" priority="2524" operator="equal">
      <formula>"TINTA"</formula>
    </cfRule>
  </conditionalFormatting>
  <conditionalFormatting sqref="H378">
    <cfRule type="cellIs" dxfId="6084" priority="2511" operator="equal">
      <formula>$H$11=$E$11</formula>
    </cfRule>
  </conditionalFormatting>
  <conditionalFormatting sqref="H378">
    <cfRule type="cellIs" dxfId="6083" priority="2510" operator="equal">
      <formula>$H$11=$E$11</formula>
    </cfRule>
  </conditionalFormatting>
  <conditionalFormatting sqref="I386:I402 I379:I384">
    <cfRule type="cellIs" dxfId="6082" priority="2501" operator="equal">
      <formula>"REVER"</formula>
    </cfRule>
    <cfRule type="cellIs" dxfId="6081" priority="2509" operator="equal">
      <formula>"OKAY"</formula>
    </cfRule>
  </conditionalFormatting>
  <conditionalFormatting sqref="I386:I402 I379:I384">
    <cfRule type="cellIs" dxfId="6080" priority="2496" operator="equal">
      <formula>"ACM CONCRETO"</formula>
    </cfRule>
    <cfRule type="cellIs" dxfId="6079" priority="2497" operator="equal">
      <formula>"ACM"</formula>
    </cfRule>
    <cfRule type="cellIs" dxfId="6078" priority="2498" operator="equal">
      <formula>"PASTILHA"</formula>
    </cfRule>
    <cfRule type="cellIs" dxfId="6077" priority="2499" operator="equal">
      <formula>"PISCINA"</formula>
    </cfRule>
    <cfRule type="cellIs" dxfId="6076" priority="2500" operator="equal">
      <formula>"CERAMICA"</formula>
    </cfRule>
    <cfRule type="cellIs" dxfId="6075" priority="2502" operator="equal">
      <formula>"RESERVATORIO"</formula>
    </cfRule>
    <cfRule type="cellIs" dxfId="6074" priority="2503" operator="equal">
      <formula>"ESQUADRIA"</formula>
    </cfRule>
    <cfRule type="cellIs" dxfId="6073" priority="2504" operator="equal">
      <formula>"ARGAMASSA"</formula>
    </cfRule>
    <cfRule type="cellIs" dxfId="6072" priority="2505" operator="equal">
      <formula>"MANTA"</formula>
    </cfRule>
    <cfRule type="cellIs" dxfId="6071" priority="2506" operator="equal">
      <formula>"BALDRAME"</formula>
    </cfRule>
    <cfRule type="cellIs" dxfId="6070" priority="2507" operator="equal">
      <formula>"PORCELANATO"</formula>
    </cfRule>
    <cfRule type="cellIs" dxfId="6069" priority="2508" operator="equal">
      <formula>"TINTA"</formula>
    </cfRule>
  </conditionalFormatting>
  <conditionalFormatting sqref="H388">
    <cfRule type="cellIs" dxfId="6068" priority="2495" operator="equal">
      <formula>$H$11=$E$11</formula>
    </cfRule>
  </conditionalFormatting>
  <conditionalFormatting sqref="H386">
    <cfRule type="cellIs" dxfId="6067" priority="2494" operator="equal">
      <formula>$H$11=$E$11</formula>
    </cfRule>
  </conditionalFormatting>
  <conditionalFormatting sqref="H396">
    <cfRule type="cellIs" dxfId="6066" priority="2493" operator="equal">
      <formula>$H$11=$E$11</formula>
    </cfRule>
  </conditionalFormatting>
  <conditionalFormatting sqref="H388">
    <cfRule type="cellIs" dxfId="6065" priority="2492" operator="equal">
      <formula>$H$11=$E$11</formula>
    </cfRule>
  </conditionalFormatting>
  <conditionalFormatting sqref="I465">
    <cfRule type="cellIs" dxfId="6064" priority="2483" operator="equal">
      <formula>"REVER"</formula>
    </cfRule>
    <cfRule type="cellIs" dxfId="6063" priority="2491" operator="equal">
      <formula>"OKAY"</formula>
    </cfRule>
  </conditionalFormatting>
  <conditionalFormatting sqref="I465">
    <cfRule type="cellIs" dxfId="6062" priority="2478" operator="equal">
      <formula>"ACM CONCRETO"</formula>
    </cfRule>
    <cfRule type="cellIs" dxfId="6061" priority="2479" operator="equal">
      <formula>"ACM"</formula>
    </cfRule>
    <cfRule type="cellIs" dxfId="6060" priority="2480" operator="equal">
      <formula>"PASTILHA"</formula>
    </cfRule>
    <cfRule type="cellIs" dxfId="6059" priority="2481" operator="equal">
      <formula>"PISCINA"</formula>
    </cfRule>
    <cfRule type="cellIs" dxfId="6058" priority="2482" operator="equal">
      <formula>"CERAMICA"</formula>
    </cfRule>
    <cfRule type="cellIs" dxfId="6057" priority="2484" operator="equal">
      <formula>"RESERVATORIO"</formula>
    </cfRule>
    <cfRule type="cellIs" dxfId="6056" priority="2485" operator="equal">
      <formula>"ESQUADRIA"</formula>
    </cfRule>
    <cfRule type="cellIs" dxfId="6055" priority="2486" operator="equal">
      <formula>"ARGAMASSA"</formula>
    </cfRule>
    <cfRule type="cellIs" dxfId="6054" priority="2487" operator="equal">
      <formula>"MANTA"</formula>
    </cfRule>
    <cfRule type="cellIs" dxfId="6053" priority="2488" operator="equal">
      <formula>"BALDRAME"</formula>
    </cfRule>
    <cfRule type="cellIs" dxfId="6052" priority="2489" operator="equal">
      <formula>"PORCELANATO"</formula>
    </cfRule>
    <cfRule type="cellIs" dxfId="6051" priority="2490" operator="equal">
      <formula>"TINTA"</formula>
    </cfRule>
  </conditionalFormatting>
  <conditionalFormatting sqref="H465">
    <cfRule type="cellIs" dxfId="6050" priority="2477" operator="equal">
      <formula>$H$11=$E$11</formula>
    </cfRule>
  </conditionalFormatting>
  <conditionalFormatting sqref="H465">
    <cfRule type="cellIs" dxfId="6049" priority="2476" operator="equal">
      <formula>$H$11=$E$11</formula>
    </cfRule>
  </conditionalFormatting>
  <conditionalFormatting sqref="I473:I489 I466:I471">
    <cfRule type="cellIs" dxfId="6048" priority="2467" operator="equal">
      <formula>"REVER"</formula>
    </cfRule>
    <cfRule type="cellIs" dxfId="6047" priority="2475" operator="equal">
      <formula>"OKAY"</formula>
    </cfRule>
  </conditionalFormatting>
  <conditionalFormatting sqref="I473:I489 I466:I471">
    <cfRule type="cellIs" dxfId="6046" priority="2462" operator="equal">
      <formula>"ACM CONCRETO"</formula>
    </cfRule>
    <cfRule type="cellIs" dxfId="6045" priority="2463" operator="equal">
      <formula>"ACM"</formula>
    </cfRule>
    <cfRule type="cellIs" dxfId="6044" priority="2464" operator="equal">
      <formula>"PASTILHA"</formula>
    </cfRule>
    <cfRule type="cellIs" dxfId="6043" priority="2465" operator="equal">
      <formula>"PISCINA"</formula>
    </cfRule>
    <cfRule type="cellIs" dxfId="6042" priority="2466" operator="equal">
      <formula>"CERAMICA"</formula>
    </cfRule>
    <cfRule type="cellIs" dxfId="6041" priority="2468" operator="equal">
      <formula>"RESERVATORIO"</formula>
    </cfRule>
    <cfRule type="cellIs" dxfId="6040" priority="2469" operator="equal">
      <formula>"ESQUADRIA"</formula>
    </cfRule>
    <cfRule type="cellIs" dxfId="6039" priority="2470" operator="equal">
      <formula>"ARGAMASSA"</formula>
    </cfRule>
    <cfRule type="cellIs" dxfId="6038" priority="2471" operator="equal">
      <formula>"MANTA"</formula>
    </cfRule>
    <cfRule type="cellIs" dxfId="6037" priority="2472" operator="equal">
      <formula>"BALDRAME"</formula>
    </cfRule>
    <cfRule type="cellIs" dxfId="6036" priority="2473" operator="equal">
      <formula>"PORCELANATO"</formula>
    </cfRule>
    <cfRule type="cellIs" dxfId="6035" priority="2474" operator="equal">
      <formula>"TINTA"</formula>
    </cfRule>
  </conditionalFormatting>
  <conditionalFormatting sqref="H475">
    <cfRule type="cellIs" dxfId="6034" priority="2461" operator="equal">
      <formula>$H$11=$E$11</formula>
    </cfRule>
  </conditionalFormatting>
  <conditionalFormatting sqref="H473">
    <cfRule type="cellIs" dxfId="6033" priority="2460" operator="equal">
      <formula>$H$11=$E$11</formula>
    </cfRule>
  </conditionalFormatting>
  <conditionalFormatting sqref="H483">
    <cfRule type="cellIs" dxfId="6032" priority="2459" operator="equal">
      <formula>$H$11=$E$11</formula>
    </cfRule>
  </conditionalFormatting>
  <conditionalFormatting sqref="H475">
    <cfRule type="cellIs" dxfId="6031" priority="2458" operator="equal">
      <formula>$H$11=$E$11</formula>
    </cfRule>
  </conditionalFormatting>
  <conditionalFormatting sqref="I526">
    <cfRule type="cellIs" dxfId="6030" priority="2449" operator="equal">
      <formula>"REVER"</formula>
    </cfRule>
    <cfRule type="cellIs" dxfId="6029" priority="2457" operator="equal">
      <formula>"OKAY"</formula>
    </cfRule>
  </conditionalFormatting>
  <conditionalFormatting sqref="I526">
    <cfRule type="cellIs" dxfId="6028" priority="2444" operator="equal">
      <formula>"ACM CONCRETO"</formula>
    </cfRule>
    <cfRule type="cellIs" dxfId="6027" priority="2445" operator="equal">
      <formula>"ACM"</formula>
    </cfRule>
    <cfRule type="cellIs" dxfId="6026" priority="2446" operator="equal">
      <formula>"PASTILHA"</formula>
    </cfRule>
    <cfRule type="cellIs" dxfId="6025" priority="2447" operator="equal">
      <formula>"PISCINA"</formula>
    </cfRule>
    <cfRule type="cellIs" dxfId="6024" priority="2448" operator="equal">
      <formula>"CERAMICA"</formula>
    </cfRule>
    <cfRule type="cellIs" dxfId="6023" priority="2450" operator="equal">
      <formula>"RESERVATORIO"</formula>
    </cfRule>
    <cfRule type="cellIs" dxfId="6022" priority="2451" operator="equal">
      <formula>"ESQUADRIA"</formula>
    </cfRule>
    <cfRule type="cellIs" dxfId="6021" priority="2452" operator="equal">
      <formula>"ARGAMASSA"</formula>
    </cfRule>
    <cfRule type="cellIs" dxfId="6020" priority="2453" operator="equal">
      <formula>"MANTA"</formula>
    </cfRule>
    <cfRule type="cellIs" dxfId="6019" priority="2454" operator="equal">
      <formula>"BALDRAME"</formula>
    </cfRule>
    <cfRule type="cellIs" dxfId="6018" priority="2455" operator="equal">
      <formula>"PORCELANATO"</formula>
    </cfRule>
    <cfRule type="cellIs" dxfId="6017" priority="2456" operator="equal">
      <formula>"TINTA"</formula>
    </cfRule>
  </conditionalFormatting>
  <conditionalFormatting sqref="H526">
    <cfRule type="cellIs" dxfId="6016" priority="2443" operator="equal">
      <formula>$H$11=$E$11</formula>
    </cfRule>
  </conditionalFormatting>
  <conditionalFormatting sqref="H526">
    <cfRule type="cellIs" dxfId="6015" priority="2442" operator="equal">
      <formula>$H$11=$E$11</formula>
    </cfRule>
  </conditionalFormatting>
  <conditionalFormatting sqref="I534:I550 I527:I532">
    <cfRule type="cellIs" dxfId="6014" priority="2433" operator="equal">
      <formula>"REVER"</formula>
    </cfRule>
    <cfRule type="cellIs" dxfId="6013" priority="2441" operator="equal">
      <formula>"OKAY"</formula>
    </cfRule>
  </conditionalFormatting>
  <conditionalFormatting sqref="I534:I550 I527:I532">
    <cfRule type="cellIs" dxfId="6012" priority="2428" operator="equal">
      <formula>"ACM CONCRETO"</formula>
    </cfRule>
    <cfRule type="cellIs" dxfId="6011" priority="2429" operator="equal">
      <formula>"ACM"</formula>
    </cfRule>
    <cfRule type="cellIs" dxfId="6010" priority="2430" operator="equal">
      <formula>"PASTILHA"</formula>
    </cfRule>
    <cfRule type="cellIs" dxfId="6009" priority="2431" operator="equal">
      <formula>"PISCINA"</formula>
    </cfRule>
    <cfRule type="cellIs" dxfId="6008" priority="2432" operator="equal">
      <formula>"CERAMICA"</formula>
    </cfRule>
    <cfRule type="cellIs" dxfId="6007" priority="2434" operator="equal">
      <formula>"RESERVATORIO"</formula>
    </cfRule>
    <cfRule type="cellIs" dxfId="6006" priority="2435" operator="equal">
      <formula>"ESQUADRIA"</formula>
    </cfRule>
    <cfRule type="cellIs" dxfId="6005" priority="2436" operator="equal">
      <formula>"ARGAMASSA"</formula>
    </cfRule>
    <cfRule type="cellIs" dxfId="6004" priority="2437" operator="equal">
      <formula>"MANTA"</formula>
    </cfRule>
    <cfRule type="cellIs" dxfId="6003" priority="2438" operator="equal">
      <formula>"BALDRAME"</formula>
    </cfRule>
    <cfRule type="cellIs" dxfId="6002" priority="2439" operator="equal">
      <formula>"PORCELANATO"</formula>
    </cfRule>
    <cfRule type="cellIs" dxfId="6001" priority="2440" operator="equal">
      <formula>"TINTA"</formula>
    </cfRule>
  </conditionalFormatting>
  <conditionalFormatting sqref="H536">
    <cfRule type="cellIs" dxfId="6000" priority="2427" operator="equal">
      <formula>$H$11=$E$11</formula>
    </cfRule>
  </conditionalFormatting>
  <conditionalFormatting sqref="H534">
    <cfRule type="cellIs" dxfId="5999" priority="2426" operator="equal">
      <formula>$H$11=$E$11</formula>
    </cfRule>
  </conditionalFormatting>
  <conditionalFormatting sqref="H544">
    <cfRule type="cellIs" dxfId="5998" priority="2425" operator="equal">
      <formula>$H$11=$E$11</formula>
    </cfRule>
  </conditionalFormatting>
  <conditionalFormatting sqref="H536">
    <cfRule type="cellIs" dxfId="5997" priority="2424" operator="equal">
      <formula>$H$11=$E$11</formula>
    </cfRule>
  </conditionalFormatting>
  <conditionalFormatting sqref="I595">
    <cfRule type="cellIs" dxfId="5996" priority="2415" operator="equal">
      <formula>"REVER"</formula>
    </cfRule>
    <cfRule type="cellIs" dxfId="5995" priority="2423" operator="equal">
      <formula>"OKAY"</formula>
    </cfRule>
  </conditionalFormatting>
  <conditionalFormatting sqref="I595">
    <cfRule type="cellIs" dxfId="5994" priority="2410" operator="equal">
      <formula>"ACM CONCRETO"</formula>
    </cfRule>
    <cfRule type="cellIs" dxfId="5993" priority="2411" operator="equal">
      <formula>"ACM"</formula>
    </cfRule>
    <cfRule type="cellIs" dxfId="5992" priority="2412" operator="equal">
      <formula>"PASTILHA"</formula>
    </cfRule>
    <cfRule type="cellIs" dxfId="5991" priority="2413" operator="equal">
      <formula>"PISCINA"</formula>
    </cfRule>
    <cfRule type="cellIs" dxfId="5990" priority="2414" operator="equal">
      <formula>"CERAMICA"</formula>
    </cfRule>
    <cfRule type="cellIs" dxfId="5989" priority="2416" operator="equal">
      <formula>"RESERVATORIO"</formula>
    </cfRule>
    <cfRule type="cellIs" dxfId="5988" priority="2417" operator="equal">
      <formula>"ESQUADRIA"</formula>
    </cfRule>
    <cfRule type="cellIs" dxfId="5987" priority="2418" operator="equal">
      <formula>"ARGAMASSA"</formula>
    </cfRule>
    <cfRule type="cellIs" dxfId="5986" priority="2419" operator="equal">
      <formula>"MANTA"</formula>
    </cfRule>
    <cfRule type="cellIs" dxfId="5985" priority="2420" operator="equal">
      <formula>"BALDRAME"</formula>
    </cfRule>
    <cfRule type="cellIs" dxfId="5984" priority="2421" operator="equal">
      <formula>"PORCELANATO"</formula>
    </cfRule>
    <cfRule type="cellIs" dxfId="5983" priority="2422" operator="equal">
      <formula>"TINTA"</formula>
    </cfRule>
  </conditionalFormatting>
  <conditionalFormatting sqref="H595">
    <cfRule type="cellIs" dxfId="5982" priority="2409" operator="equal">
      <formula>$H$11=$E$11</formula>
    </cfRule>
  </conditionalFormatting>
  <conditionalFormatting sqref="H595">
    <cfRule type="cellIs" dxfId="5981" priority="2408" operator="equal">
      <formula>$H$11=$E$11</formula>
    </cfRule>
  </conditionalFormatting>
  <conditionalFormatting sqref="I603:I619 I596:I601">
    <cfRule type="cellIs" dxfId="5980" priority="2399" operator="equal">
      <formula>"REVER"</formula>
    </cfRule>
    <cfRule type="cellIs" dxfId="5979" priority="2407" operator="equal">
      <formula>"OKAY"</formula>
    </cfRule>
  </conditionalFormatting>
  <conditionalFormatting sqref="I603:I619 I596:I601">
    <cfRule type="cellIs" dxfId="5978" priority="2394" operator="equal">
      <formula>"ACM CONCRETO"</formula>
    </cfRule>
    <cfRule type="cellIs" dxfId="5977" priority="2395" operator="equal">
      <formula>"ACM"</formula>
    </cfRule>
    <cfRule type="cellIs" dxfId="5976" priority="2396" operator="equal">
      <formula>"PASTILHA"</formula>
    </cfRule>
    <cfRule type="cellIs" dxfId="5975" priority="2397" operator="equal">
      <formula>"PISCINA"</formula>
    </cfRule>
    <cfRule type="cellIs" dxfId="5974" priority="2398" operator="equal">
      <formula>"CERAMICA"</formula>
    </cfRule>
    <cfRule type="cellIs" dxfId="5973" priority="2400" operator="equal">
      <formula>"RESERVATORIO"</formula>
    </cfRule>
    <cfRule type="cellIs" dxfId="5972" priority="2401" operator="equal">
      <formula>"ESQUADRIA"</formula>
    </cfRule>
    <cfRule type="cellIs" dxfId="5971" priority="2402" operator="equal">
      <formula>"ARGAMASSA"</formula>
    </cfRule>
    <cfRule type="cellIs" dxfId="5970" priority="2403" operator="equal">
      <formula>"MANTA"</formula>
    </cfRule>
    <cfRule type="cellIs" dxfId="5969" priority="2404" operator="equal">
      <formula>"BALDRAME"</formula>
    </cfRule>
    <cfRule type="cellIs" dxfId="5968" priority="2405" operator="equal">
      <formula>"PORCELANATO"</formula>
    </cfRule>
    <cfRule type="cellIs" dxfId="5967" priority="2406" operator="equal">
      <formula>"TINTA"</formula>
    </cfRule>
  </conditionalFormatting>
  <conditionalFormatting sqref="H605">
    <cfRule type="cellIs" dxfId="5966" priority="2393" operator="equal">
      <formula>$H$11=$E$11</formula>
    </cfRule>
  </conditionalFormatting>
  <conditionalFormatting sqref="H603">
    <cfRule type="cellIs" dxfId="5965" priority="2392" operator="equal">
      <formula>$H$11=$E$11</formula>
    </cfRule>
  </conditionalFormatting>
  <conditionalFormatting sqref="H613">
    <cfRule type="cellIs" dxfId="5964" priority="2391" operator="equal">
      <formula>$H$11=$E$11</formula>
    </cfRule>
  </conditionalFormatting>
  <conditionalFormatting sqref="H605">
    <cfRule type="cellIs" dxfId="5963" priority="2390" operator="equal">
      <formula>$H$11=$E$11</formula>
    </cfRule>
  </conditionalFormatting>
  <conditionalFormatting sqref="I592">
    <cfRule type="cellIs" dxfId="5962" priority="2381" operator="equal">
      <formula>"REVER"</formula>
    </cfRule>
    <cfRule type="cellIs" dxfId="5961" priority="2389" operator="equal">
      <formula>"OKAY"</formula>
    </cfRule>
  </conditionalFormatting>
  <conditionalFormatting sqref="I592">
    <cfRule type="cellIs" dxfId="5960" priority="2376" operator="equal">
      <formula>"ACM CONCRETO"</formula>
    </cfRule>
    <cfRule type="cellIs" dxfId="5959" priority="2377" operator="equal">
      <formula>"ACM"</formula>
    </cfRule>
    <cfRule type="cellIs" dxfId="5958" priority="2378" operator="equal">
      <formula>"PASTILHA"</formula>
    </cfRule>
    <cfRule type="cellIs" dxfId="5957" priority="2379" operator="equal">
      <formula>"PISCINA"</formula>
    </cfRule>
    <cfRule type="cellIs" dxfId="5956" priority="2380" operator="equal">
      <formula>"CERAMICA"</formula>
    </cfRule>
    <cfRule type="cellIs" dxfId="5955" priority="2382" operator="equal">
      <formula>"RESERVATORIO"</formula>
    </cfRule>
    <cfRule type="cellIs" dxfId="5954" priority="2383" operator="equal">
      <formula>"ESQUADRIA"</formula>
    </cfRule>
    <cfRule type="cellIs" dxfId="5953" priority="2384" operator="equal">
      <formula>"ARGAMASSA"</formula>
    </cfRule>
    <cfRule type="cellIs" dxfId="5952" priority="2385" operator="equal">
      <formula>"MANTA"</formula>
    </cfRule>
    <cfRule type="cellIs" dxfId="5951" priority="2386" operator="equal">
      <formula>"BALDRAME"</formula>
    </cfRule>
    <cfRule type="cellIs" dxfId="5950" priority="2387" operator="equal">
      <formula>"PORCELANATO"</formula>
    </cfRule>
    <cfRule type="cellIs" dxfId="5949" priority="2388" operator="equal">
      <formula>"TINTA"</formula>
    </cfRule>
  </conditionalFormatting>
  <conditionalFormatting sqref="H592">
    <cfRule type="cellIs" dxfId="5948" priority="2375" operator="equal">
      <formula>$H$11=$E$11</formula>
    </cfRule>
  </conditionalFormatting>
  <conditionalFormatting sqref="H592">
    <cfRule type="cellIs" dxfId="5947" priority="2374" operator="equal">
      <formula>$H$11=$E$11</formula>
    </cfRule>
  </conditionalFormatting>
  <conditionalFormatting sqref="I593">
    <cfRule type="cellIs" dxfId="5946" priority="2365" operator="equal">
      <formula>"REVER"</formula>
    </cfRule>
    <cfRule type="cellIs" dxfId="5945" priority="2373" operator="equal">
      <formula>"OKAY"</formula>
    </cfRule>
  </conditionalFormatting>
  <conditionalFormatting sqref="I593">
    <cfRule type="cellIs" dxfId="5944" priority="2360" operator="equal">
      <formula>"ACM CONCRETO"</formula>
    </cfRule>
    <cfRule type="cellIs" dxfId="5943" priority="2361" operator="equal">
      <formula>"ACM"</formula>
    </cfRule>
    <cfRule type="cellIs" dxfId="5942" priority="2362" operator="equal">
      <formula>"PASTILHA"</formula>
    </cfRule>
    <cfRule type="cellIs" dxfId="5941" priority="2363" operator="equal">
      <formula>"PISCINA"</formula>
    </cfRule>
    <cfRule type="cellIs" dxfId="5940" priority="2364" operator="equal">
      <formula>"CERAMICA"</formula>
    </cfRule>
    <cfRule type="cellIs" dxfId="5939" priority="2366" operator="equal">
      <formula>"RESERVATORIO"</formula>
    </cfRule>
    <cfRule type="cellIs" dxfId="5938" priority="2367" operator="equal">
      <formula>"ESQUADRIA"</formula>
    </cfRule>
    <cfRule type="cellIs" dxfId="5937" priority="2368" operator="equal">
      <formula>"ARGAMASSA"</formula>
    </cfRule>
    <cfRule type="cellIs" dxfId="5936" priority="2369" operator="equal">
      <formula>"MANTA"</formula>
    </cfRule>
    <cfRule type="cellIs" dxfId="5935" priority="2370" operator="equal">
      <formula>"BALDRAME"</formula>
    </cfRule>
    <cfRule type="cellIs" dxfId="5934" priority="2371" operator="equal">
      <formula>"PORCELANATO"</formula>
    </cfRule>
    <cfRule type="cellIs" dxfId="5933" priority="2372" operator="equal">
      <formula>"TINTA"</formula>
    </cfRule>
  </conditionalFormatting>
  <conditionalFormatting sqref="I587">
    <cfRule type="cellIs" dxfId="5932" priority="2351" operator="equal">
      <formula>"REVER"</formula>
    </cfRule>
    <cfRule type="cellIs" dxfId="5931" priority="2359" operator="equal">
      <formula>"OKAY"</formula>
    </cfRule>
  </conditionalFormatting>
  <conditionalFormatting sqref="I587">
    <cfRule type="cellIs" dxfId="5930" priority="2346" operator="equal">
      <formula>"ACM CONCRETO"</formula>
    </cfRule>
    <cfRule type="cellIs" dxfId="5929" priority="2347" operator="equal">
      <formula>"ACM"</formula>
    </cfRule>
    <cfRule type="cellIs" dxfId="5928" priority="2348" operator="equal">
      <formula>"PASTILHA"</formula>
    </cfRule>
    <cfRule type="cellIs" dxfId="5927" priority="2349" operator="equal">
      <formula>"PISCINA"</formula>
    </cfRule>
    <cfRule type="cellIs" dxfId="5926" priority="2350" operator="equal">
      <formula>"CERAMICA"</formula>
    </cfRule>
    <cfRule type="cellIs" dxfId="5925" priority="2352" operator="equal">
      <formula>"RESERVATORIO"</formula>
    </cfRule>
    <cfRule type="cellIs" dxfId="5924" priority="2353" operator="equal">
      <formula>"ESQUADRIA"</formula>
    </cfRule>
    <cfRule type="cellIs" dxfId="5923" priority="2354" operator="equal">
      <formula>"ARGAMASSA"</formula>
    </cfRule>
    <cfRule type="cellIs" dxfId="5922" priority="2355" operator="equal">
      <formula>"MANTA"</formula>
    </cfRule>
    <cfRule type="cellIs" dxfId="5921" priority="2356" operator="equal">
      <formula>"BALDRAME"</formula>
    </cfRule>
    <cfRule type="cellIs" dxfId="5920" priority="2357" operator="equal">
      <formula>"PORCELANATO"</formula>
    </cfRule>
    <cfRule type="cellIs" dxfId="5919" priority="2358" operator="equal">
      <formula>"TINTA"</formula>
    </cfRule>
  </conditionalFormatting>
  <conditionalFormatting sqref="H587">
    <cfRule type="cellIs" dxfId="5918" priority="2345" operator="equal">
      <formula>$H$11=$E$11</formula>
    </cfRule>
  </conditionalFormatting>
  <conditionalFormatting sqref="H587">
    <cfRule type="cellIs" dxfId="5917" priority="2344" operator="equal">
      <formula>$H$11=$E$11</formula>
    </cfRule>
  </conditionalFormatting>
  <conditionalFormatting sqref="I588">
    <cfRule type="cellIs" dxfId="5916" priority="2335" operator="equal">
      <formula>"REVER"</formula>
    </cfRule>
    <cfRule type="cellIs" dxfId="5915" priority="2343" operator="equal">
      <formula>"OKAY"</formula>
    </cfRule>
  </conditionalFormatting>
  <conditionalFormatting sqref="I588">
    <cfRule type="cellIs" dxfId="5914" priority="2330" operator="equal">
      <formula>"ACM CONCRETO"</formula>
    </cfRule>
    <cfRule type="cellIs" dxfId="5913" priority="2331" operator="equal">
      <formula>"ACM"</formula>
    </cfRule>
    <cfRule type="cellIs" dxfId="5912" priority="2332" operator="equal">
      <formula>"PASTILHA"</formula>
    </cfRule>
    <cfRule type="cellIs" dxfId="5911" priority="2333" operator="equal">
      <formula>"PISCINA"</formula>
    </cfRule>
    <cfRule type="cellIs" dxfId="5910" priority="2334" operator="equal">
      <formula>"CERAMICA"</formula>
    </cfRule>
    <cfRule type="cellIs" dxfId="5909" priority="2336" operator="equal">
      <formula>"RESERVATORIO"</formula>
    </cfRule>
    <cfRule type="cellIs" dxfId="5908" priority="2337" operator="equal">
      <formula>"ESQUADRIA"</formula>
    </cfRule>
    <cfRule type="cellIs" dxfId="5907" priority="2338" operator="equal">
      <formula>"ARGAMASSA"</formula>
    </cfRule>
    <cfRule type="cellIs" dxfId="5906" priority="2339" operator="equal">
      <formula>"MANTA"</formula>
    </cfRule>
    <cfRule type="cellIs" dxfId="5905" priority="2340" operator="equal">
      <formula>"BALDRAME"</formula>
    </cfRule>
    <cfRule type="cellIs" dxfId="5904" priority="2341" operator="equal">
      <formula>"PORCELANATO"</formula>
    </cfRule>
    <cfRule type="cellIs" dxfId="5903" priority="2342" operator="equal">
      <formula>"TINTA"</formula>
    </cfRule>
  </conditionalFormatting>
  <conditionalFormatting sqref="I632">
    <cfRule type="cellIs" dxfId="5902" priority="2321" operator="equal">
      <formula>"REVER"</formula>
    </cfRule>
    <cfRule type="cellIs" dxfId="5901" priority="2329" operator="equal">
      <formula>"OKAY"</formula>
    </cfRule>
  </conditionalFormatting>
  <conditionalFormatting sqref="I632">
    <cfRule type="cellIs" dxfId="5900" priority="2316" operator="equal">
      <formula>"ACM CONCRETO"</formula>
    </cfRule>
    <cfRule type="cellIs" dxfId="5899" priority="2317" operator="equal">
      <formula>"ACM"</formula>
    </cfRule>
    <cfRule type="cellIs" dxfId="5898" priority="2318" operator="equal">
      <formula>"PASTILHA"</formula>
    </cfRule>
    <cfRule type="cellIs" dxfId="5897" priority="2319" operator="equal">
      <formula>"PISCINA"</formula>
    </cfRule>
    <cfRule type="cellIs" dxfId="5896" priority="2320" operator="equal">
      <formula>"CERAMICA"</formula>
    </cfRule>
    <cfRule type="cellIs" dxfId="5895" priority="2322" operator="equal">
      <formula>"RESERVATORIO"</formula>
    </cfRule>
    <cfRule type="cellIs" dxfId="5894" priority="2323" operator="equal">
      <formula>"ESQUADRIA"</formula>
    </cfRule>
    <cfRule type="cellIs" dxfId="5893" priority="2324" operator="equal">
      <formula>"ARGAMASSA"</formula>
    </cfRule>
    <cfRule type="cellIs" dxfId="5892" priority="2325" operator="equal">
      <formula>"MANTA"</formula>
    </cfRule>
    <cfRule type="cellIs" dxfId="5891" priority="2326" operator="equal">
      <formula>"BALDRAME"</formula>
    </cfRule>
    <cfRule type="cellIs" dxfId="5890" priority="2327" operator="equal">
      <formula>"PORCELANATO"</formula>
    </cfRule>
    <cfRule type="cellIs" dxfId="5889" priority="2328" operator="equal">
      <formula>"TINTA"</formula>
    </cfRule>
  </conditionalFormatting>
  <conditionalFormatting sqref="H632">
    <cfRule type="cellIs" dxfId="5888" priority="2315" operator="equal">
      <formula>$H$11=$E$11</formula>
    </cfRule>
  </conditionalFormatting>
  <conditionalFormatting sqref="H632">
    <cfRule type="cellIs" dxfId="5887" priority="2314" operator="equal">
      <formula>$H$11=$E$11</formula>
    </cfRule>
  </conditionalFormatting>
  <conditionalFormatting sqref="I633:I650">
    <cfRule type="cellIs" dxfId="5886" priority="2305" operator="equal">
      <formula>"REVER"</formula>
    </cfRule>
    <cfRule type="cellIs" dxfId="5885" priority="2313" operator="equal">
      <formula>"OKAY"</formula>
    </cfRule>
  </conditionalFormatting>
  <conditionalFormatting sqref="I633:I650">
    <cfRule type="cellIs" dxfId="5884" priority="2300" operator="equal">
      <formula>"ACM CONCRETO"</formula>
    </cfRule>
    <cfRule type="cellIs" dxfId="5883" priority="2301" operator="equal">
      <formula>"ACM"</formula>
    </cfRule>
    <cfRule type="cellIs" dxfId="5882" priority="2302" operator="equal">
      <formula>"PASTILHA"</formula>
    </cfRule>
    <cfRule type="cellIs" dxfId="5881" priority="2303" operator="equal">
      <formula>"PISCINA"</formula>
    </cfRule>
    <cfRule type="cellIs" dxfId="5880" priority="2304" operator="equal">
      <formula>"CERAMICA"</formula>
    </cfRule>
    <cfRule type="cellIs" dxfId="5879" priority="2306" operator="equal">
      <formula>"RESERVATORIO"</formula>
    </cfRule>
    <cfRule type="cellIs" dxfId="5878" priority="2307" operator="equal">
      <formula>"ESQUADRIA"</formula>
    </cfRule>
    <cfRule type="cellIs" dxfId="5877" priority="2308" operator="equal">
      <formula>"ARGAMASSA"</formula>
    </cfRule>
    <cfRule type="cellIs" dxfId="5876" priority="2309" operator="equal">
      <formula>"MANTA"</formula>
    </cfRule>
    <cfRule type="cellIs" dxfId="5875" priority="2310" operator="equal">
      <formula>"BALDRAME"</formula>
    </cfRule>
    <cfRule type="cellIs" dxfId="5874" priority="2311" operator="equal">
      <formula>"PORCELANATO"</formula>
    </cfRule>
    <cfRule type="cellIs" dxfId="5873" priority="2312" operator="equal">
      <formula>"TINTA"</formula>
    </cfRule>
  </conditionalFormatting>
  <conditionalFormatting sqref="H655">
    <cfRule type="cellIs" dxfId="5872" priority="2299" operator="equal">
      <formula>$H$11=$E$11</formula>
    </cfRule>
  </conditionalFormatting>
  <conditionalFormatting sqref="H653">
    <cfRule type="cellIs" dxfId="5871" priority="2298" operator="equal">
      <formula>$H$11=$E$11</formula>
    </cfRule>
  </conditionalFormatting>
  <conditionalFormatting sqref="H675">
    <cfRule type="cellIs" dxfId="5870" priority="2297" operator="equal">
      <formula>$H$11=$E$11</formula>
    </cfRule>
  </conditionalFormatting>
  <conditionalFormatting sqref="H655">
    <cfRule type="cellIs" dxfId="5869" priority="2296" operator="equal">
      <formula>$H$11=$E$11</formula>
    </cfRule>
  </conditionalFormatting>
  <conditionalFormatting sqref="H655">
    <cfRule type="cellIs" dxfId="5868" priority="2295" operator="equal">
      <formula>$H$11=$E$11</formula>
    </cfRule>
  </conditionalFormatting>
  <conditionalFormatting sqref="H655">
    <cfRule type="cellIs" dxfId="5867" priority="2294" operator="equal">
      <formula>$H$11=$E$11</formula>
    </cfRule>
  </conditionalFormatting>
  <conditionalFormatting sqref="H675">
    <cfRule type="cellIs" dxfId="5866" priority="2293" operator="equal">
      <formula>$H$11=$E$11</formula>
    </cfRule>
  </conditionalFormatting>
  <conditionalFormatting sqref="H675">
    <cfRule type="cellIs" dxfId="5865" priority="2292" operator="equal">
      <formula>$H$11=$E$11</formula>
    </cfRule>
  </conditionalFormatting>
  <conditionalFormatting sqref="H675">
    <cfRule type="cellIs" dxfId="5864" priority="2291" operator="equal">
      <formula>$H$11=$E$11</formula>
    </cfRule>
  </conditionalFormatting>
  <conditionalFormatting sqref="H675">
    <cfRule type="cellIs" dxfId="5863" priority="2290" operator="equal">
      <formula>$H$11=$E$11</formula>
    </cfRule>
  </conditionalFormatting>
  <conditionalFormatting sqref="I701">
    <cfRule type="cellIs" dxfId="5862" priority="2281" operator="equal">
      <formula>"REVER"</formula>
    </cfRule>
    <cfRule type="cellIs" dxfId="5861" priority="2289" operator="equal">
      <formula>"OKAY"</formula>
    </cfRule>
  </conditionalFormatting>
  <conditionalFormatting sqref="I701">
    <cfRule type="cellIs" dxfId="5860" priority="2276" operator="equal">
      <formula>"ACM CONCRETO"</formula>
    </cfRule>
    <cfRule type="cellIs" dxfId="5859" priority="2277" operator="equal">
      <formula>"ACM"</formula>
    </cfRule>
    <cfRule type="cellIs" dxfId="5858" priority="2278" operator="equal">
      <formula>"PASTILHA"</formula>
    </cfRule>
    <cfRule type="cellIs" dxfId="5857" priority="2279" operator="equal">
      <formula>"PISCINA"</formula>
    </cfRule>
    <cfRule type="cellIs" dxfId="5856" priority="2280" operator="equal">
      <formula>"CERAMICA"</formula>
    </cfRule>
    <cfRule type="cellIs" dxfId="5855" priority="2282" operator="equal">
      <formula>"RESERVATORIO"</formula>
    </cfRule>
    <cfRule type="cellIs" dxfId="5854" priority="2283" operator="equal">
      <formula>"ESQUADRIA"</formula>
    </cfRule>
    <cfRule type="cellIs" dxfId="5853" priority="2284" operator="equal">
      <formula>"ARGAMASSA"</formula>
    </cfRule>
    <cfRule type="cellIs" dxfId="5852" priority="2285" operator="equal">
      <formula>"MANTA"</formula>
    </cfRule>
    <cfRule type="cellIs" dxfId="5851" priority="2286" operator="equal">
      <formula>"BALDRAME"</formula>
    </cfRule>
    <cfRule type="cellIs" dxfId="5850" priority="2287" operator="equal">
      <formula>"PORCELANATO"</formula>
    </cfRule>
    <cfRule type="cellIs" dxfId="5849" priority="2288" operator="equal">
      <formula>"TINTA"</formula>
    </cfRule>
  </conditionalFormatting>
  <conditionalFormatting sqref="H701">
    <cfRule type="cellIs" dxfId="5848" priority="2275" operator="equal">
      <formula>$H$11=$E$11</formula>
    </cfRule>
  </conditionalFormatting>
  <conditionalFormatting sqref="H701">
    <cfRule type="cellIs" dxfId="5847" priority="2274" operator="equal">
      <formula>$H$11=$E$11</formula>
    </cfRule>
  </conditionalFormatting>
  <conditionalFormatting sqref="I709:I725 I702:I707">
    <cfRule type="cellIs" dxfId="5846" priority="2265" operator="equal">
      <formula>"REVER"</formula>
    </cfRule>
    <cfRule type="cellIs" dxfId="5845" priority="2273" operator="equal">
      <formula>"OKAY"</formula>
    </cfRule>
  </conditionalFormatting>
  <conditionalFormatting sqref="I709:I725 I702:I707">
    <cfRule type="cellIs" dxfId="5844" priority="2260" operator="equal">
      <formula>"ACM CONCRETO"</formula>
    </cfRule>
    <cfRule type="cellIs" dxfId="5843" priority="2261" operator="equal">
      <formula>"ACM"</formula>
    </cfRule>
    <cfRule type="cellIs" dxfId="5842" priority="2262" operator="equal">
      <formula>"PASTILHA"</formula>
    </cfRule>
    <cfRule type="cellIs" dxfId="5841" priority="2263" operator="equal">
      <formula>"PISCINA"</formula>
    </cfRule>
    <cfRule type="cellIs" dxfId="5840" priority="2264" operator="equal">
      <formula>"CERAMICA"</formula>
    </cfRule>
    <cfRule type="cellIs" dxfId="5839" priority="2266" operator="equal">
      <formula>"RESERVATORIO"</formula>
    </cfRule>
    <cfRule type="cellIs" dxfId="5838" priority="2267" operator="equal">
      <formula>"ESQUADRIA"</formula>
    </cfRule>
    <cfRule type="cellIs" dxfId="5837" priority="2268" operator="equal">
      <formula>"ARGAMASSA"</formula>
    </cfRule>
    <cfRule type="cellIs" dxfId="5836" priority="2269" operator="equal">
      <formula>"MANTA"</formula>
    </cfRule>
    <cfRule type="cellIs" dxfId="5835" priority="2270" operator="equal">
      <formula>"BALDRAME"</formula>
    </cfRule>
    <cfRule type="cellIs" dxfId="5834" priority="2271" operator="equal">
      <formula>"PORCELANATO"</formula>
    </cfRule>
    <cfRule type="cellIs" dxfId="5833" priority="2272" operator="equal">
      <formula>"TINTA"</formula>
    </cfRule>
  </conditionalFormatting>
  <conditionalFormatting sqref="H711">
    <cfRule type="cellIs" dxfId="5832" priority="2259" operator="equal">
      <formula>$H$11=$E$11</formula>
    </cfRule>
  </conditionalFormatting>
  <conditionalFormatting sqref="H709">
    <cfRule type="cellIs" dxfId="5831" priority="2258" operator="equal">
      <formula>$H$11=$E$11</formula>
    </cfRule>
  </conditionalFormatting>
  <conditionalFormatting sqref="H719">
    <cfRule type="cellIs" dxfId="5830" priority="2257" operator="equal">
      <formula>$H$11=$E$11</formula>
    </cfRule>
  </conditionalFormatting>
  <conditionalFormatting sqref="H711">
    <cfRule type="cellIs" dxfId="5829" priority="2256" operator="equal">
      <formula>$H$11=$E$11</formula>
    </cfRule>
  </conditionalFormatting>
  <conditionalFormatting sqref="I740">
    <cfRule type="cellIs" dxfId="5828" priority="2247" operator="equal">
      <formula>"REVER"</formula>
    </cfRule>
    <cfRule type="cellIs" dxfId="5827" priority="2255" operator="equal">
      <formula>"OKAY"</formula>
    </cfRule>
  </conditionalFormatting>
  <conditionalFormatting sqref="I740">
    <cfRule type="cellIs" dxfId="5826" priority="2242" operator="equal">
      <formula>"ACM CONCRETO"</formula>
    </cfRule>
    <cfRule type="cellIs" dxfId="5825" priority="2243" operator="equal">
      <formula>"ACM"</formula>
    </cfRule>
    <cfRule type="cellIs" dxfId="5824" priority="2244" operator="equal">
      <formula>"PASTILHA"</formula>
    </cfRule>
    <cfRule type="cellIs" dxfId="5823" priority="2245" operator="equal">
      <formula>"PISCINA"</formula>
    </cfRule>
    <cfRule type="cellIs" dxfId="5822" priority="2246" operator="equal">
      <formula>"CERAMICA"</formula>
    </cfRule>
    <cfRule type="cellIs" dxfId="5821" priority="2248" operator="equal">
      <formula>"RESERVATORIO"</formula>
    </cfRule>
    <cfRule type="cellIs" dxfId="5820" priority="2249" operator="equal">
      <formula>"ESQUADRIA"</formula>
    </cfRule>
    <cfRule type="cellIs" dxfId="5819" priority="2250" operator="equal">
      <formula>"ARGAMASSA"</formula>
    </cfRule>
    <cfRule type="cellIs" dxfId="5818" priority="2251" operator="equal">
      <formula>"MANTA"</formula>
    </cfRule>
    <cfRule type="cellIs" dxfId="5817" priority="2252" operator="equal">
      <formula>"BALDRAME"</formula>
    </cfRule>
    <cfRule type="cellIs" dxfId="5816" priority="2253" operator="equal">
      <formula>"PORCELANATO"</formula>
    </cfRule>
    <cfRule type="cellIs" dxfId="5815" priority="2254" operator="equal">
      <formula>"TINTA"</formula>
    </cfRule>
  </conditionalFormatting>
  <conditionalFormatting sqref="H740">
    <cfRule type="cellIs" dxfId="5814" priority="2241" operator="equal">
      <formula>$H$11=$E$11</formula>
    </cfRule>
  </conditionalFormatting>
  <conditionalFormatting sqref="H740">
    <cfRule type="cellIs" dxfId="5813" priority="2240" operator="equal">
      <formula>$H$11=$E$11</formula>
    </cfRule>
  </conditionalFormatting>
  <conditionalFormatting sqref="I748:I764 I741:I746">
    <cfRule type="cellIs" dxfId="5812" priority="2231" operator="equal">
      <formula>"REVER"</formula>
    </cfRule>
    <cfRule type="cellIs" dxfId="5811" priority="2239" operator="equal">
      <formula>"OKAY"</formula>
    </cfRule>
  </conditionalFormatting>
  <conditionalFormatting sqref="I748:I764 I741:I746">
    <cfRule type="cellIs" dxfId="5810" priority="2226" operator="equal">
      <formula>"ACM CONCRETO"</formula>
    </cfRule>
    <cfRule type="cellIs" dxfId="5809" priority="2227" operator="equal">
      <formula>"ACM"</formula>
    </cfRule>
    <cfRule type="cellIs" dxfId="5808" priority="2228" operator="equal">
      <formula>"PASTILHA"</formula>
    </cfRule>
    <cfRule type="cellIs" dxfId="5807" priority="2229" operator="equal">
      <formula>"PISCINA"</formula>
    </cfRule>
    <cfRule type="cellIs" dxfId="5806" priority="2230" operator="equal">
      <formula>"CERAMICA"</formula>
    </cfRule>
    <cfRule type="cellIs" dxfId="5805" priority="2232" operator="equal">
      <formula>"RESERVATORIO"</formula>
    </cfRule>
    <cfRule type="cellIs" dxfId="5804" priority="2233" operator="equal">
      <formula>"ESQUADRIA"</formula>
    </cfRule>
    <cfRule type="cellIs" dxfId="5803" priority="2234" operator="equal">
      <formula>"ARGAMASSA"</formula>
    </cfRule>
    <cfRule type="cellIs" dxfId="5802" priority="2235" operator="equal">
      <formula>"MANTA"</formula>
    </cfRule>
    <cfRule type="cellIs" dxfId="5801" priority="2236" operator="equal">
      <formula>"BALDRAME"</formula>
    </cfRule>
    <cfRule type="cellIs" dxfId="5800" priority="2237" operator="equal">
      <formula>"PORCELANATO"</formula>
    </cfRule>
    <cfRule type="cellIs" dxfId="5799" priority="2238" operator="equal">
      <formula>"TINTA"</formula>
    </cfRule>
  </conditionalFormatting>
  <conditionalFormatting sqref="H750">
    <cfRule type="cellIs" dxfId="5798" priority="2225" operator="equal">
      <formula>$H$11=$E$11</formula>
    </cfRule>
  </conditionalFormatting>
  <conditionalFormatting sqref="H748">
    <cfRule type="cellIs" dxfId="5797" priority="2224" operator="equal">
      <formula>$H$11=$E$11</formula>
    </cfRule>
  </conditionalFormatting>
  <conditionalFormatting sqref="H758">
    <cfRule type="cellIs" dxfId="5796" priority="2223" operator="equal">
      <formula>$H$11=$E$11</formula>
    </cfRule>
  </conditionalFormatting>
  <conditionalFormatting sqref="H750">
    <cfRule type="cellIs" dxfId="5795" priority="2222" operator="equal">
      <formula>$H$11=$E$11</formula>
    </cfRule>
  </conditionalFormatting>
  <conditionalFormatting sqref="I800">
    <cfRule type="cellIs" dxfId="5794" priority="2213" operator="equal">
      <formula>"REVER"</formula>
    </cfRule>
    <cfRule type="cellIs" dxfId="5793" priority="2221" operator="equal">
      <formula>"OKAY"</formula>
    </cfRule>
  </conditionalFormatting>
  <conditionalFormatting sqref="I800">
    <cfRule type="cellIs" dxfId="5792" priority="2208" operator="equal">
      <formula>"ACM CONCRETO"</formula>
    </cfRule>
    <cfRule type="cellIs" dxfId="5791" priority="2209" operator="equal">
      <formula>"ACM"</formula>
    </cfRule>
    <cfRule type="cellIs" dxfId="5790" priority="2210" operator="equal">
      <formula>"PASTILHA"</formula>
    </cfRule>
    <cfRule type="cellIs" dxfId="5789" priority="2211" operator="equal">
      <formula>"PISCINA"</formula>
    </cfRule>
    <cfRule type="cellIs" dxfId="5788" priority="2212" operator="equal">
      <formula>"CERAMICA"</formula>
    </cfRule>
    <cfRule type="cellIs" dxfId="5787" priority="2214" operator="equal">
      <formula>"RESERVATORIO"</formula>
    </cfRule>
    <cfRule type="cellIs" dxfId="5786" priority="2215" operator="equal">
      <formula>"ESQUADRIA"</formula>
    </cfRule>
    <cfRule type="cellIs" dxfId="5785" priority="2216" operator="equal">
      <formula>"ARGAMASSA"</formula>
    </cfRule>
    <cfRule type="cellIs" dxfId="5784" priority="2217" operator="equal">
      <formula>"MANTA"</formula>
    </cfRule>
    <cfRule type="cellIs" dxfId="5783" priority="2218" operator="equal">
      <formula>"BALDRAME"</formula>
    </cfRule>
    <cfRule type="cellIs" dxfId="5782" priority="2219" operator="equal">
      <formula>"PORCELANATO"</formula>
    </cfRule>
    <cfRule type="cellIs" dxfId="5781" priority="2220" operator="equal">
      <formula>"TINTA"</formula>
    </cfRule>
  </conditionalFormatting>
  <conditionalFormatting sqref="H800">
    <cfRule type="cellIs" dxfId="5780" priority="2207" operator="equal">
      <formula>$H$11=$E$11</formula>
    </cfRule>
  </conditionalFormatting>
  <conditionalFormatting sqref="H800">
    <cfRule type="cellIs" dxfId="5779" priority="2206" operator="equal">
      <formula>$H$11=$E$11</formula>
    </cfRule>
  </conditionalFormatting>
  <conditionalFormatting sqref="I1008:I1024 I801:I806">
    <cfRule type="cellIs" dxfId="5778" priority="2197" operator="equal">
      <formula>"REVER"</formula>
    </cfRule>
    <cfRule type="cellIs" dxfId="5777" priority="2205" operator="equal">
      <formula>"OKAY"</formula>
    </cfRule>
  </conditionalFormatting>
  <conditionalFormatting sqref="I1008:I1024 I801:I806">
    <cfRule type="cellIs" dxfId="5776" priority="2192" operator="equal">
      <formula>"ACM CONCRETO"</formula>
    </cfRule>
    <cfRule type="cellIs" dxfId="5775" priority="2193" operator="equal">
      <formula>"ACM"</formula>
    </cfRule>
    <cfRule type="cellIs" dxfId="5774" priority="2194" operator="equal">
      <formula>"PASTILHA"</formula>
    </cfRule>
    <cfRule type="cellIs" dxfId="5773" priority="2195" operator="equal">
      <formula>"PISCINA"</formula>
    </cfRule>
    <cfRule type="cellIs" dxfId="5772" priority="2196" operator="equal">
      <formula>"CERAMICA"</formula>
    </cfRule>
    <cfRule type="cellIs" dxfId="5771" priority="2198" operator="equal">
      <formula>"RESERVATORIO"</formula>
    </cfRule>
    <cfRule type="cellIs" dxfId="5770" priority="2199" operator="equal">
      <formula>"ESQUADRIA"</formula>
    </cfRule>
    <cfRule type="cellIs" dxfId="5769" priority="2200" operator="equal">
      <formula>"ARGAMASSA"</formula>
    </cfRule>
    <cfRule type="cellIs" dxfId="5768" priority="2201" operator="equal">
      <formula>"MANTA"</formula>
    </cfRule>
    <cfRule type="cellIs" dxfId="5767" priority="2202" operator="equal">
      <formula>"BALDRAME"</formula>
    </cfRule>
    <cfRule type="cellIs" dxfId="5766" priority="2203" operator="equal">
      <formula>"PORCELANATO"</formula>
    </cfRule>
    <cfRule type="cellIs" dxfId="5765" priority="2204" operator="equal">
      <formula>"TINTA"</formula>
    </cfRule>
  </conditionalFormatting>
  <conditionalFormatting sqref="H1010">
    <cfRule type="cellIs" dxfId="5764" priority="2191" operator="equal">
      <formula>$H$11=$E$11</formula>
    </cfRule>
  </conditionalFormatting>
  <conditionalFormatting sqref="H1008">
    <cfRule type="cellIs" dxfId="5763" priority="2190" operator="equal">
      <formula>$H$11=$E$11</formula>
    </cfRule>
  </conditionalFormatting>
  <conditionalFormatting sqref="H1018">
    <cfRule type="cellIs" dxfId="5762" priority="2189" operator="equal">
      <formula>$H$11=$E$11</formula>
    </cfRule>
  </conditionalFormatting>
  <conditionalFormatting sqref="H1010">
    <cfRule type="cellIs" dxfId="5761" priority="2188" operator="equal">
      <formula>$H$11=$E$11</formula>
    </cfRule>
  </conditionalFormatting>
  <conditionalFormatting sqref="I1345">
    <cfRule type="cellIs" dxfId="5760" priority="2179" operator="equal">
      <formula>"REVER"</formula>
    </cfRule>
    <cfRule type="cellIs" dxfId="5759" priority="2187" operator="equal">
      <formula>"OKAY"</formula>
    </cfRule>
  </conditionalFormatting>
  <conditionalFormatting sqref="I1345">
    <cfRule type="cellIs" dxfId="5758" priority="2174" operator="equal">
      <formula>"ACM CONCRETO"</formula>
    </cfRule>
    <cfRule type="cellIs" dxfId="5757" priority="2175" operator="equal">
      <formula>"ACM"</formula>
    </cfRule>
    <cfRule type="cellIs" dxfId="5756" priority="2176" operator="equal">
      <formula>"PASTILHA"</formula>
    </cfRule>
    <cfRule type="cellIs" dxfId="5755" priority="2177" operator="equal">
      <formula>"PISCINA"</formula>
    </cfRule>
    <cfRule type="cellIs" dxfId="5754" priority="2178" operator="equal">
      <formula>"CERAMICA"</formula>
    </cfRule>
    <cfRule type="cellIs" dxfId="5753" priority="2180" operator="equal">
      <formula>"RESERVATORIO"</formula>
    </cfRule>
    <cfRule type="cellIs" dxfId="5752" priority="2181" operator="equal">
      <formula>"ESQUADRIA"</formula>
    </cfRule>
    <cfRule type="cellIs" dxfId="5751" priority="2182" operator="equal">
      <formula>"ARGAMASSA"</formula>
    </cfRule>
    <cfRule type="cellIs" dxfId="5750" priority="2183" operator="equal">
      <formula>"MANTA"</formula>
    </cfRule>
    <cfRule type="cellIs" dxfId="5749" priority="2184" operator="equal">
      <formula>"BALDRAME"</formula>
    </cfRule>
    <cfRule type="cellIs" dxfId="5748" priority="2185" operator="equal">
      <formula>"PORCELANATO"</formula>
    </cfRule>
    <cfRule type="cellIs" dxfId="5747" priority="2186" operator="equal">
      <formula>"TINTA"</formula>
    </cfRule>
  </conditionalFormatting>
  <conditionalFormatting sqref="H1345">
    <cfRule type="cellIs" dxfId="5746" priority="2173" operator="equal">
      <formula>$H$11=$E$11</formula>
    </cfRule>
  </conditionalFormatting>
  <conditionalFormatting sqref="H1345">
    <cfRule type="cellIs" dxfId="5745" priority="2172" operator="equal">
      <formula>$H$11=$E$11</formula>
    </cfRule>
  </conditionalFormatting>
  <conditionalFormatting sqref="I1346:I1351">
    <cfRule type="cellIs" dxfId="5744" priority="2163" operator="equal">
      <formula>"REVER"</formula>
    </cfRule>
    <cfRule type="cellIs" dxfId="5743" priority="2171" operator="equal">
      <formula>"OKAY"</formula>
    </cfRule>
  </conditionalFormatting>
  <conditionalFormatting sqref="I1346:I1351">
    <cfRule type="cellIs" dxfId="5742" priority="2158" operator="equal">
      <formula>"ACM CONCRETO"</formula>
    </cfRule>
    <cfRule type="cellIs" dxfId="5741" priority="2159" operator="equal">
      <formula>"ACM"</formula>
    </cfRule>
    <cfRule type="cellIs" dxfId="5740" priority="2160" operator="equal">
      <formula>"PASTILHA"</formula>
    </cfRule>
    <cfRule type="cellIs" dxfId="5739" priority="2161" operator="equal">
      <formula>"PISCINA"</formula>
    </cfRule>
    <cfRule type="cellIs" dxfId="5738" priority="2162" operator="equal">
      <formula>"CERAMICA"</formula>
    </cfRule>
    <cfRule type="cellIs" dxfId="5737" priority="2164" operator="equal">
      <formula>"RESERVATORIO"</formula>
    </cfRule>
    <cfRule type="cellIs" dxfId="5736" priority="2165" operator="equal">
      <formula>"ESQUADRIA"</formula>
    </cfRule>
    <cfRule type="cellIs" dxfId="5735" priority="2166" operator="equal">
      <formula>"ARGAMASSA"</formula>
    </cfRule>
    <cfRule type="cellIs" dxfId="5734" priority="2167" operator="equal">
      <formula>"MANTA"</formula>
    </cfRule>
    <cfRule type="cellIs" dxfId="5733" priority="2168" operator="equal">
      <formula>"BALDRAME"</formula>
    </cfRule>
    <cfRule type="cellIs" dxfId="5732" priority="2169" operator="equal">
      <formula>"PORCELANATO"</formula>
    </cfRule>
    <cfRule type="cellIs" dxfId="5731" priority="2170" operator="equal">
      <formula>"TINTA"</formula>
    </cfRule>
  </conditionalFormatting>
  <conditionalFormatting sqref="I1352">
    <cfRule type="cellIs" dxfId="5730" priority="2145" operator="equal">
      <formula>"REVER"</formula>
    </cfRule>
    <cfRule type="cellIs" dxfId="5729" priority="2153" operator="equal">
      <formula>"OKAY"</formula>
    </cfRule>
  </conditionalFormatting>
  <conditionalFormatting sqref="I1352">
    <cfRule type="cellIs" dxfId="5728" priority="2140" operator="equal">
      <formula>"ACM CONCRETO"</formula>
    </cfRule>
    <cfRule type="cellIs" dxfId="5727" priority="2141" operator="equal">
      <formula>"ACM"</formula>
    </cfRule>
    <cfRule type="cellIs" dxfId="5726" priority="2142" operator="equal">
      <formula>"PASTILHA"</formula>
    </cfRule>
    <cfRule type="cellIs" dxfId="5725" priority="2143" operator="equal">
      <formula>"PISCINA"</formula>
    </cfRule>
    <cfRule type="cellIs" dxfId="5724" priority="2144" operator="equal">
      <formula>"CERAMICA"</formula>
    </cfRule>
    <cfRule type="cellIs" dxfId="5723" priority="2146" operator="equal">
      <formula>"RESERVATORIO"</formula>
    </cfRule>
    <cfRule type="cellIs" dxfId="5722" priority="2147" operator="equal">
      <formula>"ESQUADRIA"</formula>
    </cfRule>
    <cfRule type="cellIs" dxfId="5721" priority="2148" operator="equal">
      <formula>"ARGAMASSA"</formula>
    </cfRule>
    <cfRule type="cellIs" dxfId="5720" priority="2149" operator="equal">
      <formula>"MANTA"</formula>
    </cfRule>
    <cfRule type="cellIs" dxfId="5719" priority="2150" operator="equal">
      <formula>"BALDRAME"</formula>
    </cfRule>
    <cfRule type="cellIs" dxfId="5718" priority="2151" operator="equal">
      <formula>"PORCELANATO"</formula>
    </cfRule>
    <cfRule type="cellIs" dxfId="5717" priority="2152" operator="equal">
      <formula>"TINTA"</formula>
    </cfRule>
  </conditionalFormatting>
  <conditionalFormatting sqref="H1352">
    <cfRule type="cellIs" dxfId="5716" priority="2139" operator="equal">
      <formula>$H$11=$E$11</formula>
    </cfRule>
  </conditionalFormatting>
  <conditionalFormatting sqref="H1352">
    <cfRule type="cellIs" dxfId="5715" priority="2138" operator="equal">
      <formula>$H$11=$E$11</formula>
    </cfRule>
  </conditionalFormatting>
  <conditionalFormatting sqref="I1360:I1375 I1353:I1358">
    <cfRule type="cellIs" dxfId="5714" priority="2129" operator="equal">
      <formula>"REVER"</formula>
    </cfRule>
    <cfRule type="cellIs" dxfId="5713" priority="2137" operator="equal">
      <formula>"OKAY"</formula>
    </cfRule>
  </conditionalFormatting>
  <conditionalFormatting sqref="I1360:I1375 I1353:I1358">
    <cfRule type="cellIs" dxfId="5712" priority="2124" operator="equal">
      <formula>"ACM CONCRETO"</formula>
    </cfRule>
    <cfRule type="cellIs" dxfId="5711" priority="2125" operator="equal">
      <formula>"ACM"</formula>
    </cfRule>
    <cfRule type="cellIs" dxfId="5710" priority="2126" operator="equal">
      <formula>"PASTILHA"</formula>
    </cfRule>
    <cfRule type="cellIs" dxfId="5709" priority="2127" operator="equal">
      <formula>"PISCINA"</formula>
    </cfRule>
    <cfRule type="cellIs" dxfId="5708" priority="2128" operator="equal">
      <formula>"CERAMICA"</formula>
    </cfRule>
    <cfRule type="cellIs" dxfId="5707" priority="2130" operator="equal">
      <formula>"RESERVATORIO"</formula>
    </cfRule>
    <cfRule type="cellIs" dxfId="5706" priority="2131" operator="equal">
      <formula>"ESQUADRIA"</formula>
    </cfRule>
    <cfRule type="cellIs" dxfId="5705" priority="2132" operator="equal">
      <formula>"ARGAMASSA"</formula>
    </cfRule>
    <cfRule type="cellIs" dxfId="5704" priority="2133" operator="equal">
      <formula>"MANTA"</formula>
    </cfRule>
    <cfRule type="cellIs" dxfId="5703" priority="2134" operator="equal">
      <formula>"BALDRAME"</formula>
    </cfRule>
    <cfRule type="cellIs" dxfId="5702" priority="2135" operator="equal">
      <formula>"PORCELANATO"</formula>
    </cfRule>
    <cfRule type="cellIs" dxfId="5701" priority="2136" operator="equal">
      <formula>"TINTA"</formula>
    </cfRule>
  </conditionalFormatting>
  <conditionalFormatting sqref="H1362">
    <cfRule type="cellIs" dxfId="5700" priority="2123" operator="equal">
      <formula>$H$11=$E$11</formula>
    </cfRule>
  </conditionalFormatting>
  <conditionalFormatting sqref="H1360">
    <cfRule type="cellIs" dxfId="5699" priority="2122" operator="equal">
      <formula>$H$11=$E$11</formula>
    </cfRule>
  </conditionalFormatting>
  <conditionalFormatting sqref="H1370">
    <cfRule type="cellIs" dxfId="5698" priority="2121" operator="equal">
      <formula>$H$11=$E$11</formula>
    </cfRule>
  </conditionalFormatting>
  <conditionalFormatting sqref="H1362">
    <cfRule type="cellIs" dxfId="5697" priority="2120" operator="equal">
      <formula>$H$11=$E$11</formula>
    </cfRule>
  </conditionalFormatting>
  <conditionalFormatting sqref="G1411:I1411">
    <cfRule type="cellIs" dxfId="5696" priority="2116" operator="equal">
      <formula>"REVER"</formula>
    </cfRule>
    <cfRule type="cellIs" dxfId="5695" priority="2117" operator="equal">
      <formula>"OKAY"</formula>
    </cfRule>
  </conditionalFormatting>
  <conditionalFormatting sqref="G1404:I1404">
    <cfRule type="cellIs" dxfId="5694" priority="2114" operator="equal">
      <formula>"REVER"</formula>
    </cfRule>
    <cfRule type="cellIs" dxfId="5693" priority="2115" operator="equal">
      <formula>"OKAY"</formula>
    </cfRule>
  </conditionalFormatting>
  <conditionalFormatting sqref="G1397:I1397">
    <cfRule type="cellIs" dxfId="5692" priority="2112" operator="equal">
      <formula>"REVER"</formula>
    </cfRule>
    <cfRule type="cellIs" dxfId="5691" priority="2113" operator="equal">
      <formula>"OKAY"</formula>
    </cfRule>
  </conditionalFormatting>
  <conditionalFormatting sqref="G1390:I1390">
    <cfRule type="cellIs" dxfId="5690" priority="2110" operator="equal">
      <formula>"REVER"</formula>
    </cfRule>
    <cfRule type="cellIs" dxfId="5689" priority="2111" operator="equal">
      <formula>"OKAY"</formula>
    </cfRule>
  </conditionalFormatting>
  <conditionalFormatting sqref="G1383:I1383">
    <cfRule type="cellIs" dxfId="5688" priority="2108" operator="equal">
      <formula>"REVER"</formula>
    </cfRule>
    <cfRule type="cellIs" dxfId="5687" priority="2109" operator="equal">
      <formula>"OKAY"</formula>
    </cfRule>
  </conditionalFormatting>
  <conditionalFormatting sqref="I1416">
    <cfRule type="cellIs" dxfId="5686" priority="2099" operator="equal">
      <formula>"REVER"</formula>
    </cfRule>
    <cfRule type="cellIs" dxfId="5685" priority="2107" operator="equal">
      <formula>"OKAY"</formula>
    </cfRule>
  </conditionalFormatting>
  <conditionalFormatting sqref="I1416">
    <cfRule type="cellIs" dxfId="5684" priority="2094" operator="equal">
      <formula>"ACM CONCRETO"</formula>
    </cfRule>
    <cfRule type="cellIs" dxfId="5683" priority="2095" operator="equal">
      <formula>"ACM"</formula>
    </cfRule>
    <cfRule type="cellIs" dxfId="5682" priority="2096" operator="equal">
      <formula>"PASTILHA"</formula>
    </cfRule>
    <cfRule type="cellIs" dxfId="5681" priority="2097" operator="equal">
      <formula>"PISCINA"</formula>
    </cfRule>
    <cfRule type="cellIs" dxfId="5680" priority="2098" operator="equal">
      <formula>"CERAMICA"</formula>
    </cfRule>
    <cfRule type="cellIs" dxfId="5679" priority="2100" operator="equal">
      <formula>"RESERVATORIO"</formula>
    </cfRule>
    <cfRule type="cellIs" dxfId="5678" priority="2101" operator="equal">
      <formula>"ESQUADRIA"</formula>
    </cfRule>
    <cfRule type="cellIs" dxfId="5677" priority="2102" operator="equal">
      <formula>"ARGAMASSA"</formula>
    </cfRule>
    <cfRule type="cellIs" dxfId="5676" priority="2103" operator="equal">
      <formula>"MANTA"</formula>
    </cfRule>
    <cfRule type="cellIs" dxfId="5675" priority="2104" operator="equal">
      <formula>"BALDRAME"</formula>
    </cfRule>
    <cfRule type="cellIs" dxfId="5674" priority="2105" operator="equal">
      <formula>"PORCELANATO"</formula>
    </cfRule>
    <cfRule type="cellIs" dxfId="5673" priority="2106" operator="equal">
      <formula>"TINTA"</formula>
    </cfRule>
  </conditionalFormatting>
  <conditionalFormatting sqref="H1416">
    <cfRule type="cellIs" dxfId="5672" priority="2093" operator="equal">
      <formula>$H$11=$E$11</formula>
    </cfRule>
  </conditionalFormatting>
  <conditionalFormatting sqref="H1416">
    <cfRule type="cellIs" dxfId="5671" priority="2092" operator="equal">
      <formula>$H$11=$E$11</formula>
    </cfRule>
  </conditionalFormatting>
  <conditionalFormatting sqref="I1424:I1439 I1417:I1422">
    <cfRule type="cellIs" dxfId="5670" priority="2083" operator="equal">
      <formula>"REVER"</formula>
    </cfRule>
    <cfRule type="cellIs" dxfId="5669" priority="2091" operator="equal">
      <formula>"OKAY"</formula>
    </cfRule>
  </conditionalFormatting>
  <conditionalFormatting sqref="I1424:I1439 I1417:I1422">
    <cfRule type="cellIs" dxfId="5668" priority="2078" operator="equal">
      <formula>"ACM CONCRETO"</formula>
    </cfRule>
    <cfRule type="cellIs" dxfId="5667" priority="2079" operator="equal">
      <formula>"ACM"</formula>
    </cfRule>
    <cfRule type="cellIs" dxfId="5666" priority="2080" operator="equal">
      <formula>"PASTILHA"</formula>
    </cfRule>
    <cfRule type="cellIs" dxfId="5665" priority="2081" operator="equal">
      <formula>"PISCINA"</formula>
    </cfRule>
    <cfRule type="cellIs" dxfId="5664" priority="2082" operator="equal">
      <formula>"CERAMICA"</formula>
    </cfRule>
    <cfRule type="cellIs" dxfId="5663" priority="2084" operator="equal">
      <formula>"RESERVATORIO"</formula>
    </cfRule>
    <cfRule type="cellIs" dxfId="5662" priority="2085" operator="equal">
      <formula>"ESQUADRIA"</formula>
    </cfRule>
    <cfRule type="cellIs" dxfId="5661" priority="2086" operator="equal">
      <formula>"ARGAMASSA"</formula>
    </cfRule>
    <cfRule type="cellIs" dxfId="5660" priority="2087" operator="equal">
      <formula>"MANTA"</formula>
    </cfRule>
    <cfRule type="cellIs" dxfId="5659" priority="2088" operator="equal">
      <formula>"BALDRAME"</formula>
    </cfRule>
    <cfRule type="cellIs" dxfId="5658" priority="2089" operator="equal">
      <formula>"PORCELANATO"</formula>
    </cfRule>
    <cfRule type="cellIs" dxfId="5657" priority="2090" operator="equal">
      <formula>"TINTA"</formula>
    </cfRule>
  </conditionalFormatting>
  <conditionalFormatting sqref="H1426">
    <cfRule type="cellIs" dxfId="5656" priority="2077" operator="equal">
      <formula>$H$11=$E$11</formula>
    </cfRule>
  </conditionalFormatting>
  <conditionalFormatting sqref="H1424">
    <cfRule type="cellIs" dxfId="5655" priority="2076" operator="equal">
      <formula>$H$11=$E$11</formula>
    </cfRule>
  </conditionalFormatting>
  <conditionalFormatting sqref="H1434">
    <cfRule type="cellIs" dxfId="5654" priority="2075" operator="equal">
      <formula>$H$11=$E$11</formula>
    </cfRule>
  </conditionalFormatting>
  <conditionalFormatting sqref="H1426">
    <cfRule type="cellIs" dxfId="5653" priority="2074" operator="equal">
      <formula>$H$11=$E$11</formula>
    </cfRule>
  </conditionalFormatting>
  <conditionalFormatting sqref="I1460">
    <cfRule type="cellIs" dxfId="5652" priority="2065" operator="equal">
      <formula>"REVER"</formula>
    </cfRule>
    <cfRule type="cellIs" dxfId="5651" priority="2073" operator="equal">
      <formula>"OKAY"</formula>
    </cfRule>
  </conditionalFormatting>
  <conditionalFormatting sqref="I1460">
    <cfRule type="cellIs" dxfId="5650" priority="2060" operator="equal">
      <formula>"ACM CONCRETO"</formula>
    </cfRule>
    <cfRule type="cellIs" dxfId="5649" priority="2061" operator="equal">
      <formula>"ACM"</formula>
    </cfRule>
    <cfRule type="cellIs" dxfId="5648" priority="2062" operator="equal">
      <formula>"PASTILHA"</formula>
    </cfRule>
    <cfRule type="cellIs" dxfId="5647" priority="2063" operator="equal">
      <formula>"PISCINA"</formula>
    </cfRule>
    <cfRule type="cellIs" dxfId="5646" priority="2064" operator="equal">
      <formula>"CERAMICA"</formula>
    </cfRule>
    <cfRule type="cellIs" dxfId="5645" priority="2066" operator="equal">
      <formula>"RESERVATORIO"</formula>
    </cfRule>
    <cfRule type="cellIs" dxfId="5644" priority="2067" operator="equal">
      <formula>"ESQUADRIA"</formula>
    </cfRule>
    <cfRule type="cellIs" dxfId="5643" priority="2068" operator="equal">
      <formula>"ARGAMASSA"</formula>
    </cfRule>
    <cfRule type="cellIs" dxfId="5642" priority="2069" operator="equal">
      <formula>"MANTA"</formula>
    </cfRule>
    <cfRule type="cellIs" dxfId="5641" priority="2070" operator="equal">
      <formula>"BALDRAME"</formula>
    </cfRule>
    <cfRule type="cellIs" dxfId="5640" priority="2071" operator="equal">
      <formula>"PORCELANATO"</formula>
    </cfRule>
    <cfRule type="cellIs" dxfId="5639" priority="2072" operator="equal">
      <formula>"TINTA"</formula>
    </cfRule>
  </conditionalFormatting>
  <conditionalFormatting sqref="H1460">
    <cfRule type="cellIs" dxfId="5638" priority="2059" operator="equal">
      <formula>$H$11=$E$11</formula>
    </cfRule>
  </conditionalFormatting>
  <conditionalFormatting sqref="H1460">
    <cfRule type="cellIs" dxfId="5637" priority="2058" operator="equal">
      <formula>$H$11=$E$11</formula>
    </cfRule>
  </conditionalFormatting>
  <conditionalFormatting sqref="I1461:I1463">
    <cfRule type="cellIs" dxfId="5636" priority="2049" operator="equal">
      <formula>"REVER"</formula>
    </cfRule>
    <cfRule type="cellIs" dxfId="5635" priority="2057" operator="equal">
      <formula>"OKAY"</formula>
    </cfRule>
  </conditionalFormatting>
  <conditionalFormatting sqref="I1461:I1463">
    <cfRule type="cellIs" dxfId="5634" priority="2044" operator="equal">
      <formula>"ACM CONCRETO"</formula>
    </cfRule>
    <cfRule type="cellIs" dxfId="5633" priority="2045" operator="equal">
      <formula>"ACM"</formula>
    </cfRule>
    <cfRule type="cellIs" dxfId="5632" priority="2046" operator="equal">
      <formula>"PASTILHA"</formula>
    </cfRule>
    <cfRule type="cellIs" dxfId="5631" priority="2047" operator="equal">
      <formula>"PISCINA"</formula>
    </cfRule>
    <cfRule type="cellIs" dxfId="5630" priority="2048" operator="equal">
      <formula>"CERAMICA"</formula>
    </cfRule>
    <cfRule type="cellIs" dxfId="5629" priority="2050" operator="equal">
      <formula>"RESERVATORIO"</formula>
    </cfRule>
    <cfRule type="cellIs" dxfId="5628" priority="2051" operator="equal">
      <formula>"ESQUADRIA"</formula>
    </cfRule>
    <cfRule type="cellIs" dxfId="5627" priority="2052" operator="equal">
      <formula>"ARGAMASSA"</formula>
    </cfRule>
    <cfRule type="cellIs" dxfId="5626" priority="2053" operator="equal">
      <formula>"MANTA"</formula>
    </cfRule>
    <cfRule type="cellIs" dxfId="5625" priority="2054" operator="equal">
      <formula>"BALDRAME"</formula>
    </cfRule>
    <cfRule type="cellIs" dxfId="5624" priority="2055" operator="equal">
      <formula>"PORCELANATO"</formula>
    </cfRule>
    <cfRule type="cellIs" dxfId="5623" priority="2056" operator="equal">
      <formula>"TINTA"</formula>
    </cfRule>
  </conditionalFormatting>
  <conditionalFormatting sqref="I1494:I1595">
    <cfRule type="cellIs" dxfId="5622" priority="2028" operator="equal">
      <formula>"ACM CONCRETO"</formula>
    </cfRule>
    <cfRule type="cellIs" dxfId="5621" priority="2029" operator="equal">
      <formula>"ACM"</formula>
    </cfRule>
    <cfRule type="cellIs" dxfId="5620" priority="2030" operator="equal">
      <formula>"PASTILHA"</formula>
    </cfRule>
    <cfRule type="cellIs" dxfId="5619" priority="2031" operator="equal">
      <formula>"PISCINA"</formula>
    </cfRule>
    <cfRule type="cellIs" dxfId="5618" priority="2032" operator="equal">
      <formula>"CERAMICA"</formula>
    </cfRule>
    <cfRule type="cellIs" dxfId="5617" priority="2033" operator="equal">
      <formula>"RESERVATORIO"</formula>
    </cfRule>
    <cfRule type="cellIs" dxfId="5616" priority="2034" operator="equal">
      <formula>"ESQUADRIA"</formula>
    </cfRule>
    <cfRule type="cellIs" dxfId="5615" priority="2035" operator="equal">
      <formula>"ARGAMASSA"</formula>
    </cfRule>
    <cfRule type="cellIs" dxfId="5614" priority="2036" operator="equal">
      <formula>"MANTA"</formula>
    </cfRule>
    <cfRule type="cellIs" dxfId="5613" priority="2037" operator="equal">
      <formula>"BALDRAME"</formula>
    </cfRule>
    <cfRule type="cellIs" dxfId="5612" priority="2038" operator="equal">
      <formula>"PORCELANATO"</formula>
    </cfRule>
    <cfRule type="cellIs" dxfId="5611" priority="2039" operator="equal">
      <formula>"TINTA"</formula>
    </cfRule>
  </conditionalFormatting>
  <conditionalFormatting sqref="I1464">
    <cfRule type="cellIs" dxfId="5610" priority="2019" operator="equal">
      <formula>"REVER"</formula>
    </cfRule>
    <cfRule type="cellIs" dxfId="5609" priority="2027" operator="equal">
      <formula>"OKAY"</formula>
    </cfRule>
  </conditionalFormatting>
  <conditionalFormatting sqref="I1464">
    <cfRule type="cellIs" dxfId="5608" priority="2014" operator="equal">
      <formula>"ACM CONCRETO"</formula>
    </cfRule>
    <cfRule type="cellIs" dxfId="5607" priority="2015" operator="equal">
      <formula>"ACM"</formula>
    </cfRule>
    <cfRule type="cellIs" dxfId="5606" priority="2016" operator="equal">
      <formula>"PASTILHA"</formula>
    </cfRule>
    <cfRule type="cellIs" dxfId="5605" priority="2017" operator="equal">
      <formula>"PISCINA"</formula>
    </cfRule>
    <cfRule type="cellIs" dxfId="5604" priority="2018" operator="equal">
      <formula>"CERAMICA"</formula>
    </cfRule>
    <cfRule type="cellIs" dxfId="5603" priority="2020" operator="equal">
      <formula>"RESERVATORIO"</formula>
    </cfRule>
    <cfRule type="cellIs" dxfId="5602" priority="2021" operator="equal">
      <formula>"ESQUADRIA"</formula>
    </cfRule>
    <cfRule type="cellIs" dxfId="5601" priority="2022" operator="equal">
      <formula>"ARGAMASSA"</formula>
    </cfRule>
    <cfRule type="cellIs" dxfId="5600" priority="2023" operator="equal">
      <formula>"MANTA"</formula>
    </cfRule>
    <cfRule type="cellIs" dxfId="5599" priority="2024" operator="equal">
      <formula>"BALDRAME"</formula>
    </cfRule>
    <cfRule type="cellIs" dxfId="5598" priority="2025" operator="equal">
      <formula>"PORCELANATO"</formula>
    </cfRule>
    <cfRule type="cellIs" dxfId="5597" priority="2026" operator="equal">
      <formula>"TINTA"</formula>
    </cfRule>
  </conditionalFormatting>
  <conditionalFormatting sqref="H1464">
    <cfRule type="cellIs" dxfId="5596" priority="2013" operator="equal">
      <formula>$H$11=$E$11</formula>
    </cfRule>
  </conditionalFormatting>
  <conditionalFormatting sqref="H1464">
    <cfRule type="cellIs" dxfId="5595" priority="2012" operator="equal">
      <formula>$H$11=$E$11</formula>
    </cfRule>
  </conditionalFormatting>
  <conditionalFormatting sqref="I1465:I1470">
    <cfRule type="cellIs" dxfId="5594" priority="2003" operator="equal">
      <formula>"REVER"</formula>
    </cfRule>
    <cfRule type="cellIs" dxfId="5593" priority="2011" operator="equal">
      <formula>"OKAY"</formula>
    </cfRule>
  </conditionalFormatting>
  <conditionalFormatting sqref="I1465:I1470">
    <cfRule type="cellIs" dxfId="5592" priority="1998" operator="equal">
      <formula>"ACM CONCRETO"</formula>
    </cfRule>
    <cfRule type="cellIs" dxfId="5591" priority="1999" operator="equal">
      <formula>"ACM"</formula>
    </cfRule>
    <cfRule type="cellIs" dxfId="5590" priority="2000" operator="equal">
      <formula>"PASTILHA"</formula>
    </cfRule>
    <cfRule type="cellIs" dxfId="5589" priority="2001" operator="equal">
      <formula>"PISCINA"</formula>
    </cfRule>
    <cfRule type="cellIs" dxfId="5588" priority="2002" operator="equal">
      <formula>"CERAMICA"</formula>
    </cfRule>
    <cfRule type="cellIs" dxfId="5587" priority="2004" operator="equal">
      <formula>"RESERVATORIO"</formula>
    </cfRule>
    <cfRule type="cellIs" dxfId="5586" priority="2005" operator="equal">
      <formula>"ESQUADRIA"</formula>
    </cfRule>
    <cfRule type="cellIs" dxfId="5585" priority="2006" operator="equal">
      <formula>"ARGAMASSA"</formula>
    </cfRule>
    <cfRule type="cellIs" dxfId="5584" priority="2007" operator="equal">
      <formula>"MANTA"</formula>
    </cfRule>
    <cfRule type="cellIs" dxfId="5583" priority="2008" operator="equal">
      <formula>"BALDRAME"</formula>
    </cfRule>
    <cfRule type="cellIs" dxfId="5582" priority="2009" operator="equal">
      <formula>"PORCELANATO"</formula>
    </cfRule>
    <cfRule type="cellIs" dxfId="5581" priority="2010" operator="equal">
      <formula>"TINTA"</formula>
    </cfRule>
  </conditionalFormatting>
  <conditionalFormatting sqref="H1476">
    <cfRule type="cellIs" dxfId="5580" priority="1997" operator="equal">
      <formula>$H$11=$E$11</formula>
    </cfRule>
  </conditionalFormatting>
  <conditionalFormatting sqref="H1474">
    <cfRule type="cellIs" dxfId="5579" priority="1996" operator="equal">
      <formula>$H$11=$E$11</formula>
    </cfRule>
  </conditionalFormatting>
  <conditionalFormatting sqref="H1488">
    <cfRule type="cellIs" dxfId="5578" priority="1995" operator="equal">
      <formula>$H$11=$E$11</formula>
    </cfRule>
  </conditionalFormatting>
  <conditionalFormatting sqref="H1476">
    <cfRule type="cellIs" dxfId="5577" priority="1994" operator="equal">
      <formula>$H$11=$E$11</formula>
    </cfRule>
  </conditionalFormatting>
  <conditionalFormatting sqref="H1476">
    <cfRule type="cellIs" dxfId="5576" priority="1993" operator="equal">
      <formula>$H$11=$E$11</formula>
    </cfRule>
  </conditionalFormatting>
  <conditionalFormatting sqref="H1476">
    <cfRule type="cellIs" dxfId="5575" priority="1992" operator="equal">
      <formula>$H$11=$E$11</formula>
    </cfRule>
  </conditionalFormatting>
  <conditionalFormatting sqref="H1488">
    <cfRule type="cellIs" dxfId="5574" priority="1991" operator="equal">
      <formula>$H$11=$E$11</formula>
    </cfRule>
  </conditionalFormatting>
  <conditionalFormatting sqref="H1488">
    <cfRule type="cellIs" dxfId="5573" priority="1990" operator="equal">
      <formula>$H$11=$E$11</formula>
    </cfRule>
  </conditionalFormatting>
  <conditionalFormatting sqref="I1596">
    <cfRule type="cellIs" dxfId="5572" priority="1981" operator="equal">
      <formula>"REVER"</formula>
    </cfRule>
    <cfRule type="cellIs" dxfId="5571" priority="1989" operator="equal">
      <formula>"OKAY"</formula>
    </cfRule>
  </conditionalFormatting>
  <conditionalFormatting sqref="I1596">
    <cfRule type="cellIs" dxfId="5570" priority="1976" operator="equal">
      <formula>"ACM CONCRETO"</formula>
    </cfRule>
    <cfRule type="cellIs" dxfId="5569" priority="1977" operator="equal">
      <formula>"ACM"</formula>
    </cfRule>
    <cfRule type="cellIs" dxfId="5568" priority="1978" operator="equal">
      <formula>"PASTILHA"</formula>
    </cfRule>
    <cfRule type="cellIs" dxfId="5567" priority="1979" operator="equal">
      <formula>"PISCINA"</formula>
    </cfRule>
    <cfRule type="cellIs" dxfId="5566" priority="1980" operator="equal">
      <formula>"CERAMICA"</formula>
    </cfRule>
    <cfRule type="cellIs" dxfId="5565" priority="1982" operator="equal">
      <formula>"RESERVATORIO"</formula>
    </cfRule>
    <cfRule type="cellIs" dxfId="5564" priority="1983" operator="equal">
      <formula>"ESQUADRIA"</formula>
    </cfRule>
    <cfRule type="cellIs" dxfId="5563" priority="1984" operator="equal">
      <formula>"ARGAMASSA"</formula>
    </cfRule>
    <cfRule type="cellIs" dxfId="5562" priority="1985" operator="equal">
      <formula>"MANTA"</formula>
    </cfRule>
    <cfRule type="cellIs" dxfId="5561" priority="1986" operator="equal">
      <formula>"BALDRAME"</formula>
    </cfRule>
    <cfRule type="cellIs" dxfId="5560" priority="1987" operator="equal">
      <formula>"PORCELANATO"</formula>
    </cfRule>
    <cfRule type="cellIs" dxfId="5559" priority="1988" operator="equal">
      <formula>"TINTA"</formula>
    </cfRule>
  </conditionalFormatting>
  <conditionalFormatting sqref="H1596">
    <cfRule type="cellIs" dxfId="5558" priority="1975" operator="equal">
      <formula>$H$11=$E$11</formula>
    </cfRule>
  </conditionalFormatting>
  <conditionalFormatting sqref="H1596">
    <cfRule type="cellIs" dxfId="5557" priority="1974" operator="equal">
      <formula>$H$11=$E$11</formula>
    </cfRule>
  </conditionalFormatting>
  <conditionalFormatting sqref="I1597:I1599 I1641:I1730">
    <cfRule type="cellIs" dxfId="5556" priority="1965" operator="equal">
      <formula>"REVER"</formula>
    </cfRule>
    <cfRule type="cellIs" dxfId="5555" priority="1973" operator="equal">
      <formula>"OKAY"</formula>
    </cfRule>
  </conditionalFormatting>
  <conditionalFormatting sqref="I1597:I1599 I1641:I1730">
    <cfRule type="cellIs" dxfId="5554" priority="1960" operator="equal">
      <formula>"ACM CONCRETO"</formula>
    </cfRule>
    <cfRule type="cellIs" dxfId="5553" priority="1961" operator="equal">
      <formula>"ACM"</formula>
    </cfRule>
    <cfRule type="cellIs" dxfId="5552" priority="1962" operator="equal">
      <formula>"PASTILHA"</formula>
    </cfRule>
    <cfRule type="cellIs" dxfId="5551" priority="1963" operator="equal">
      <formula>"PISCINA"</formula>
    </cfRule>
    <cfRule type="cellIs" dxfId="5550" priority="1964" operator="equal">
      <formula>"CERAMICA"</formula>
    </cfRule>
    <cfRule type="cellIs" dxfId="5549" priority="1966" operator="equal">
      <formula>"RESERVATORIO"</formula>
    </cfRule>
    <cfRule type="cellIs" dxfId="5548" priority="1967" operator="equal">
      <formula>"ESQUADRIA"</formula>
    </cfRule>
    <cfRule type="cellIs" dxfId="5547" priority="1968" operator="equal">
      <formula>"ARGAMASSA"</formula>
    </cfRule>
    <cfRule type="cellIs" dxfId="5546" priority="1969" operator="equal">
      <formula>"MANTA"</formula>
    </cfRule>
    <cfRule type="cellIs" dxfId="5545" priority="1970" operator="equal">
      <formula>"BALDRAME"</formula>
    </cfRule>
    <cfRule type="cellIs" dxfId="5544" priority="1971" operator="equal">
      <formula>"PORCELANATO"</formula>
    </cfRule>
    <cfRule type="cellIs" dxfId="5543" priority="1972" operator="equal">
      <formula>"TINTA"</formula>
    </cfRule>
  </conditionalFormatting>
  <conditionalFormatting sqref="I1600">
    <cfRule type="cellIs" dxfId="5542" priority="1951" operator="equal">
      <formula>"REVER"</formula>
    </cfRule>
    <cfRule type="cellIs" dxfId="5541" priority="1959" operator="equal">
      <formula>"OKAY"</formula>
    </cfRule>
  </conditionalFormatting>
  <conditionalFormatting sqref="I1600">
    <cfRule type="cellIs" dxfId="5540" priority="1946" operator="equal">
      <formula>"ACM CONCRETO"</formula>
    </cfRule>
    <cfRule type="cellIs" dxfId="5539" priority="1947" operator="equal">
      <formula>"ACM"</formula>
    </cfRule>
    <cfRule type="cellIs" dxfId="5538" priority="1948" operator="equal">
      <formula>"PASTILHA"</formula>
    </cfRule>
    <cfRule type="cellIs" dxfId="5537" priority="1949" operator="equal">
      <formula>"PISCINA"</formula>
    </cfRule>
    <cfRule type="cellIs" dxfId="5536" priority="1950" operator="equal">
      <formula>"CERAMICA"</formula>
    </cfRule>
    <cfRule type="cellIs" dxfId="5535" priority="1952" operator="equal">
      <formula>"RESERVATORIO"</formula>
    </cfRule>
    <cfRule type="cellIs" dxfId="5534" priority="1953" operator="equal">
      <formula>"ESQUADRIA"</formula>
    </cfRule>
    <cfRule type="cellIs" dxfId="5533" priority="1954" operator="equal">
      <formula>"ARGAMASSA"</formula>
    </cfRule>
    <cfRule type="cellIs" dxfId="5532" priority="1955" operator="equal">
      <formula>"MANTA"</formula>
    </cfRule>
    <cfRule type="cellIs" dxfId="5531" priority="1956" operator="equal">
      <formula>"BALDRAME"</formula>
    </cfRule>
    <cfRule type="cellIs" dxfId="5530" priority="1957" operator="equal">
      <formula>"PORCELANATO"</formula>
    </cfRule>
    <cfRule type="cellIs" dxfId="5529" priority="1958" operator="equal">
      <formula>"TINTA"</formula>
    </cfRule>
  </conditionalFormatting>
  <conditionalFormatting sqref="H1600">
    <cfRule type="cellIs" dxfId="5528" priority="1945" operator="equal">
      <formula>$H$11=$E$11</formula>
    </cfRule>
  </conditionalFormatting>
  <conditionalFormatting sqref="H1600">
    <cfRule type="cellIs" dxfId="5527" priority="1944" operator="equal">
      <formula>$H$11=$E$11</formula>
    </cfRule>
  </conditionalFormatting>
  <conditionalFormatting sqref="I1657:I1672 I1601:I1640">
    <cfRule type="cellIs" dxfId="5526" priority="1935" operator="equal">
      <formula>"REVER"</formula>
    </cfRule>
    <cfRule type="cellIs" dxfId="5525" priority="1943" operator="equal">
      <formula>"OKAY"</formula>
    </cfRule>
  </conditionalFormatting>
  <conditionalFormatting sqref="I1657:I1672 I1601:I1640">
    <cfRule type="cellIs" dxfId="5524" priority="1930" operator="equal">
      <formula>"ACM CONCRETO"</formula>
    </cfRule>
    <cfRule type="cellIs" dxfId="5523" priority="1931" operator="equal">
      <formula>"ACM"</formula>
    </cfRule>
    <cfRule type="cellIs" dxfId="5522" priority="1932" operator="equal">
      <formula>"PASTILHA"</formula>
    </cfRule>
    <cfRule type="cellIs" dxfId="5521" priority="1933" operator="equal">
      <formula>"PISCINA"</formula>
    </cfRule>
    <cfRule type="cellIs" dxfId="5520" priority="1934" operator="equal">
      <formula>"CERAMICA"</formula>
    </cfRule>
    <cfRule type="cellIs" dxfId="5519" priority="1936" operator="equal">
      <formula>"RESERVATORIO"</formula>
    </cfRule>
    <cfRule type="cellIs" dxfId="5518" priority="1937" operator="equal">
      <formula>"ESQUADRIA"</formula>
    </cfRule>
    <cfRule type="cellIs" dxfId="5517" priority="1938" operator="equal">
      <formula>"ARGAMASSA"</formula>
    </cfRule>
    <cfRule type="cellIs" dxfId="5516" priority="1939" operator="equal">
      <formula>"MANTA"</formula>
    </cfRule>
    <cfRule type="cellIs" dxfId="5515" priority="1940" operator="equal">
      <formula>"BALDRAME"</formula>
    </cfRule>
    <cfRule type="cellIs" dxfId="5514" priority="1941" operator="equal">
      <formula>"PORCELANATO"</formula>
    </cfRule>
    <cfRule type="cellIs" dxfId="5513" priority="1942" operator="equal">
      <formula>"TINTA"</formula>
    </cfRule>
  </conditionalFormatting>
  <conditionalFormatting sqref="H1659">
    <cfRule type="cellIs" dxfId="5512" priority="1929" operator="equal">
      <formula>$H$11=$E$11</formula>
    </cfRule>
  </conditionalFormatting>
  <conditionalFormatting sqref="H1657">
    <cfRule type="cellIs" dxfId="5511" priority="1928" operator="equal">
      <formula>$H$11=$E$11</formula>
    </cfRule>
  </conditionalFormatting>
  <conditionalFormatting sqref="H1667">
    <cfRule type="cellIs" dxfId="5510" priority="1927" operator="equal">
      <formula>$H$11=$E$11</formula>
    </cfRule>
  </conditionalFormatting>
  <conditionalFormatting sqref="H1659">
    <cfRule type="cellIs" dxfId="5509" priority="1926" operator="equal">
      <formula>$H$11=$E$11</formula>
    </cfRule>
  </conditionalFormatting>
  <conditionalFormatting sqref="H1731">
    <cfRule type="cellIs" dxfId="5508" priority="1925" operator="equal">
      <formula>$H$11=$E$11</formula>
    </cfRule>
  </conditionalFormatting>
  <conditionalFormatting sqref="H1731">
    <cfRule type="cellIs" dxfId="5507" priority="1924" operator="equal">
      <formula>$H$11=$E$11</formula>
    </cfRule>
  </conditionalFormatting>
  <conditionalFormatting sqref="I1749:I1758 I1763:I1768">
    <cfRule type="cellIs" dxfId="5506" priority="1922" operator="equal">
      <formula>"REVER"</formula>
    </cfRule>
    <cfRule type="cellIs" dxfId="5505" priority="1923" operator="equal">
      <formula>"OKAY"</formula>
    </cfRule>
  </conditionalFormatting>
  <conditionalFormatting sqref="H1739:H1747 H1749:H1759 H1763:H1771">
    <cfRule type="cellIs" dxfId="5504" priority="1921" operator="greaterThan">
      <formula>0</formula>
    </cfRule>
  </conditionalFormatting>
  <conditionalFormatting sqref="I1769:I1771">
    <cfRule type="cellIs" dxfId="5503" priority="1909" operator="equal">
      <formula>"ACM CONCRETO"</formula>
    </cfRule>
    <cfRule type="cellIs" dxfId="5502" priority="1910" operator="equal">
      <formula>"ACM"</formula>
    </cfRule>
    <cfRule type="cellIs" dxfId="5501" priority="1911" operator="equal">
      <formula>"PASTILHA"</formula>
    </cfRule>
    <cfRule type="cellIs" dxfId="5500" priority="1912" operator="equal">
      <formula>"PISCINA"</formula>
    </cfRule>
    <cfRule type="cellIs" dxfId="5499" priority="1913" operator="equal">
      <formula>"CERAMICA"</formula>
    </cfRule>
    <cfRule type="cellIs" dxfId="5498" priority="1914" operator="equal">
      <formula>"RESERVATORIO"</formula>
    </cfRule>
    <cfRule type="cellIs" dxfId="5497" priority="1915" operator="equal">
      <formula>"ESQUADRIA"</formula>
    </cfRule>
    <cfRule type="cellIs" dxfId="5496" priority="1916" operator="equal">
      <formula>"ARGAMASSA"</formula>
    </cfRule>
    <cfRule type="cellIs" dxfId="5495" priority="1917" operator="equal">
      <formula>"MANTA"</formula>
    </cfRule>
    <cfRule type="cellIs" dxfId="5494" priority="1918" operator="equal">
      <formula>"BALDRAME"</formula>
    </cfRule>
    <cfRule type="cellIs" dxfId="5493" priority="1919" operator="equal">
      <formula>"PORCELANATO"</formula>
    </cfRule>
    <cfRule type="cellIs" dxfId="5492" priority="1920" operator="equal">
      <formula>"TINTA"</formula>
    </cfRule>
  </conditionalFormatting>
  <conditionalFormatting sqref="I1739">
    <cfRule type="cellIs" dxfId="5491" priority="1900" operator="equal">
      <formula>"REVER"</formula>
    </cfRule>
    <cfRule type="cellIs" dxfId="5490" priority="1908" operator="equal">
      <formula>"OKAY"</formula>
    </cfRule>
  </conditionalFormatting>
  <conditionalFormatting sqref="I1739">
    <cfRule type="cellIs" dxfId="5489" priority="1895" operator="equal">
      <formula>"ACM CONCRETO"</formula>
    </cfRule>
    <cfRule type="cellIs" dxfId="5488" priority="1896" operator="equal">
      <formula>"ACM"</formula>
    </cfRule>
    <cfRule type="cellIs" dxfId="5487" priority="1897" operator="equal">
      <formula>"PASTILHA"</formula>
    </cfRule>
    <cfRule type="cellIs" dxfId="5486" priority="1898" operator="equal">
      <formula>"PISCINA"</formula>
    </cfRule>
    <cfRule type="cellIs" dxfId="5485" priority="1899" operator="equal">
      <formula>"CERAMICA"</formula>
    </cfRule>
    <cfRule type="cellIs" dxfId="5484" priority="1901" operator="equal">
      <formula>"RESERVATORIO"</formula>
    </cfRule>
    <cfRule type="cellIs" dxfId="5483" priority="1902" operator="equal">
      <formula>"ESQUADRIA"</formula>
    </cfRule>
    <cfRule type="cellIs" dxfId="5482" priority="1903" operator="equal">
      <formula>"ARGAMASSA"</formula>
    </cfRule>
    <cfRule type="cellIs" dxfId="5481" priority="1904" operator="equal">
      <formula>"MANTA"</formula>
    </cfRule>
    <cfRule type="cellIs" dxfId="5480" priority="1905" operator="equal">
      <formula>"BALDRAME"</formula>
    </cfRule>
    <cfRule type="cellIs" dxfId="5479" priority="1906" operator="equal">
      <formula>"PORCELANATO"</formula>
    </cfRule>
    <cfRule type="cellIs" dxfId="5478" priority="1907" operator="equal">
      <formula>"TINTA"</formula>
    </cfRule>
  </conditionalFormatting>
  <conditionalFormatting sqref="H1739">
    <cfRule type="cellIs" dxfId="5477" priority="1894" operator="equal">
      <formula>$H$11=$E$11</formula>
    </cfRule>
  </conditionalFormatting>
  <conditionalFormatting sqref="H1739">
    <cfRule type="cellIs" dxfId="5476" priority="1893" operator="equal">
      <formula>$H$11=$E$11</formula>
    </cfRule>
  </conditionalFormatting>
  <conditionalFormatting sqref="I1740:I1745">
    <cfRule type="cellIs" dxfId="5475" priority="1884" operator="equal">
      <formula>"REVER"</formula>
    </cfRule>
    <cfRule type="cellIs" dxfId="5474" priority="1892" operator="equal">
      <formula>"OKAY"</formula>
    </cfRule>
  </conditionalFormatting>
  <conditionalFormatting sqref="I1740:I1745">
    <cfRule type="cellIs" dxfId="5473" priority="1879" operator="equal">
      <formula>"ACM CONCRETO"</formula>
    </cfRule>
    <cfRule type="cellIs" dxfId="5472" priority="1880" operator="equal">
      <formula>"ACM"</formula>
    </cfRule>
    <cfRule type="cellIs" dxfId="5471" priority="1881" operator="equal">
      <formula>"PASTILHA"</formula>
    </cfRule>
    <cfRule type="cellIs" dxfId="5470" priority="1882" operator="equal">
      <formula>"PISCINA"</formula>
    </cfRule>
    <cfRule type="cellIs" dxfId="5469" priority="1883" operator="equal">
      <formula>"CERAMICA"</formula>
    </cfRule>
    <cfRule type="cellIs" dxfId="5468" priority="1885" operator="equal">
      <formula>"RESERVATORIO"</formula>
    </cfRule>
    <cfRule type="cellIs" dxfId="5467" priority="1886" operator="equal">
      <formula>"ESQUADRIA"</formula>
    </cfRule>
    <cfRule type="cellIs" dxfId="5466" priority="1887" operator="equal">
      <formula>"ARGAMASSA"</formula>
    </cfRule>
    <cfRule type="cellIs" dxfId="5465" priority="1888" operator="equal">
      <formula>"MANTA"</formula>
    </cfRule>
    <cfRule type="cellIs" dxfId="5464" priority="1889" operator="equal">
      <formula>"BALDRAME"</formula>
    </cfRule>
    <cfRule type="cellIs" dxfId="5463" priority="1890" operator="equal">
      <formula>"PORCELANATO"</formula>
    </cfRule>
    <cfRule type="cellIs" dxfId="5462" priority="1891" operator="equal">
      <formula>"TINTA"</formula>
    </cfRule>
  </conditionalFormatting>
  <conditionalFormatting sqref="H1751">
    <cfRule type="cellIs" dxfId="5461" priority="1878" operator="equal">
      <formula>$H$11=$E$11</formula>
    </cfRule>
  </conditionalFormatting>
  <conditionalFormatting sqref="H1749">
    <cfRule type="cellIs" dxfId="5460" priority="1877" operator="equal">
      <formula>$H$11=$E$11</formula>
    </cfRule>
  </conditionalFormatting>
  <conditionalFormatting sqref="H1763">
    <cfRule type="cellIs" dxfId="5459" priority="1876" operator="equal">
      <formula>$H$11=$E$11</formula>
    </cfRule>
  </conditionalFormatting>
  <conditionalFormatting sqref="H1751">
    <cfRule type="cellIs" dxfId="5458" priority="1875" operator="equal">
      <formula>$H$11=$E$11</formula>
    </cfRule>
  </conditionalFormatting>
  <conditionalFormatting sqref="H1751">
    <cfRule type="cellIs" dxfId="5457" priority="1874" operator="equal">
      <formula>$H$11=$E$11</formula>
    </cfRule>
  </conditionalFormatting>
  <conditionalFormatting sqref="H1751">
    <cfRule type="cellIs" dxfId="5456" priority="1873" operator="equal">
      <formula>$H$11=$E$11</formula>
    </cfRule>
  </conditionalFormatting>
  <conditionalFormatting sqref="H1763">
    <cfRule type="cellIs" dxfId="5455" priority="1872" operator="equal">
      <formula>$H$11=$E$11</formula>
    </cfRule>
  </conditionalFormatting>
  <conditionalFormatting sqref="H1763">
    <cfRule type="cellIs" dxfId="5454" priority="1871" operator="equal">
      <formula>$H$11=$E$11</formula>
    </cfRule>
  </conditionalFormatting>
  <conditionalFormatting sqref="I1790:I1799 I1804:I1809">
    <cfRule type="cellIs" dxfId="5453" priority="1869" operator="equal">
      <formula>"REVER"</formula>
    </cfRule>
    <cfRule type="cellIs" dxfId="5452" priority="1870" operator="equal">
      <formula>"OKAY"</formula>
    </cfRule>
  </conditionalFormatting>
  <conditionalFormatting sqref="H1780:H1788 H1790:H1800 H1804:H1812">
    <cfRule type="cellIs" dxfId="5451" priority="1868" operator="greaterThan">
      <formula>0</formula>
    </cfRule>
  </conditionalFormatting>
  <conditionalFormatting sqref="I1810:I1812">
    <cfRule type="cellIs" dxfId="5450" priority="1856" operator="equal">
      <formula>"ACM CONCRETO"</formula>
    </cfRule>
    <cfRule type="cellIs" dxfId="5449" priority="1857" operator="equal">
      <formula>"ACM"</formula>
    </cfRule>
    <cfRule type="cellIs" dxfId="5448" priority="1858" operator="equal">
      <formula>"PASTILHA"</formula>
    </cfRule>
    <cfRule type="cellIs" dxfId="5447" priority="1859" operator="equal">
      <formula>"PISCINA"</formula>
    </cfRule>
    <cfRule type="cellIs" dxfId="5446" priority="1860" operator="equal">
      <formula>"CERAMICA"</formula>
    </cfRule>
    <cfRule type="cellIs" dxfId="5445" priority="1861" operator="equal">
      <formula>"RESERVATORIO"</formula>
    </cfRule>
    <cfRule type="cellIs" dxfId="5444" priority="1862" operator="equal">
      <formula>"ESQUADRIA"</formula>
    </cfRule>
    <cfRule type="cellIs" dxfId="5443" priority="1863" operator="equal">
      <formula>"ARGAMASSA"</formula>
    </cfRule>
    <cfRule type="cellIs" dxfId="5442" priority="1864" operator="equal">
      <formula>"MANTA"</formula>
    </cfRule>
    <cfRule type="cellIs" dxfId="5441" priority="1865" operator="equal">
      <formula>"BALDRAME"</formula>
    </cfRule>
    <cfRule type="cellIs" dxfId="5440" priority="1866" operator="equal">
      <formula>"PORCELANATO"</formula>
    </cfRule>
    <cfRule type="cellIs" dxfId="5439" priority="1867" operator="equal">
      <formula>"TINTA"</formula>
    </cfRule>
  </conditionalFormatting>
  <conditionalFormatting sqref="I1780">
    <cfRule type="cellIs" dxfId="5438" priority="1847" operator="equal">
      <formula>"REVER"</formula>
    </cfRule>
    <cfRule type="cellIs" dxfId="5437" priority="1855" operator="equal">
      <formula>"OKAY"</formula>
    </cfRule>
  </conditionalFormatting>
  <conditionalFormatting sqref="I1780">
    <cfRule type="cellIs" dxfId="5436" priority="1842" operator="equal">
      <formula>"ACM CONCRETO"</formula>
    </cfRule>
    <cfRule type="cellIs" dxfId="5435" priority="1843" operator="equal">
      <formula>"ACM"</formula>
    </cfRule>
    <cfRule type="cellIs" dxfId="5434" priority="1844" operator="equal">
      <formula>"PASTILHA"</formula>
    </cfRule>
    <cfRule type="cellIs" dxfId="5433" priority="1845" operator="equal">
      <formula>"PISCINA"</formula>
    </cfRule>
    <cfRule type="cellIs" dxfId="5432" priority="1846" operator="equal">
      <formula>"CERAMICA"</formula>
    </cfRule>
    <cfRule type="cellIs" dxfId="5431" priority="1848" operator="equal">
      <formula>"RESERVATORIO"</formula>
    </cfRule>
    <cfRule type="cellIs" dxfId="5430" priority="1849" operator="equal">
      <formula>"ESQUADRIA"</formula>
    </cfRule>
    <cfRule type="cellIs" dxfId="5429" priority="1850" operator="equal">
      <formula>"ARGAMASSA"</formula>
    </cfRule>
    <cfRule type="cellIs" dxfId="5428" priority="1851" operator="equal">
      <formula>"MANTA"</formula>
    </cfRule>
    <cfRule type="cellIs" dxfId="5427" priority="1852" operator="equal">
      <formula>"BALDRAME"</formula>
    </cfRule>
    <cfRule type="cellIs" dxfId="5426" priority="1853" operator="equal">
      <formula>"PORCELANATO"</formula>
    </cfRule>
    <cfRule type="cellIs" dxfId="5425" priority="1854" operator="equal">
      <formula>"TINTA"</formula>
    </cfRule>
  </conditionalFormatting>
  <conditionalFormatting sqref="H1780">
    <cfRule type="cellIs" dxfId="5424" priority="1841" operator="equal">
      <formula>$H$11=$E$11</formula>
    </cfRule>
  </conditionalFormatting>
  <conditionalFormatting sqref="H1780">
    <cfRule type="cellIs" dxfId="5423" priority="1840" operator="equal">
      <formula>$H$11=$E$11</formula>
    </cfRule>
  </conditionalFormatting>
  <conditionalFormatting sqref="I1781:I1786">
    <cfRule type="cellIs" dxfId="5422" priority="1831" operator="equal">
      <formula>"REVER"</formula>
    </cfRule>
    <cfRule type="cellIs" dxfId="5421" priority="1839" operator="equal">
      <formula>"OKAY"</formula>
    </cfRule>
  </conditionalFormatting>
  <conditionalFormatting sqref="I1781:I1786">
    <cfRule type="cellIs" dxfId="5420" priority="1826" operator="equal">
      <formula>"ACM CONCRETO"</formula>
    </cfRule>
    <cfRule type="cellIs" dxfId="5419" priority="1827" operator="equal">
      <formula>"ACM"</formula>
    </cfRule>
    <cfRule type="cellIs" dxfId="5418" priority="1828" operator="equal">
      <formula>"PASTILHA"</formula>
    </cfRule>
    <cfRule type="cellIs" dxfId="5417" priority="1829" operator="equal">
      <formula>"PISCINA"</formula>
    </cfRule>
    <cfRule type="cellIs" dxfId="5416" priority="1830" operator="equal">
      <formula>"CERAMICA"</formula>
    </cfRule>
    <cfRule type="cellIs" dxfId="5415" priority="1832" operator="equal">
      <formula>"RESERVATORIO"</formula>
    </cfRule>
    <cfRule type="cellIs" dxfId="5414" priority="1833" operator="equal">
      <formula>"ESQUADRIA"</formula>
    </cfRule>
    <cfRule type="cellIs" dxfId="5413" priority="1834" operator="equal">
      <formula>"ARGAMASSA"</formula>
    </cfRule>
    <cfRule type="cellIs" dxfId="5412" priority="1835" operator="equal">
      <formula>"MANTA"</formula>
    </cfRule>
    <cfRule type="cellIs" dxfId="5411" priority="1836" operator="equal">
      <formula>"BALDRAME"</formula>
    </cfRule>
    <cfRule type="cellIs" dxfId="5410" priority="1837" operator="equal">
      <formula>"PORCELANATO"</formula>
    </cfRule>
    <cfRule type="cellIs" dxfId="5409" priority="1838" operator="equal">
      <formula>"TINTA"</formula>
    </cfRule>
  </conditionalFormatting>
  <conditionalFormatting sqref="H1792">
    <cfRule type="cellIs" dxfId="5408" priority="1825" operator="equal">
      <formula>$H$11=$E$11</formula>
    </cfRule>
  </conditionalFormatting>
  <conditionalFormatting sqref="H1790">
    <cfRule type="cellIs" dxfId="5407" priority="1824" operator="equal">
      <formula>$H$11=$E$11</formula>
    </cfRule>
  </conditionalFormatting>
  <conditionalFormatting sqref="H1804">
    <cfRule type="cellIs" dxfId="5406" priority="1823" operator="equal">
      <formula>$H$11=$E$11</formula>
    </cfRule>
  </conditionalFormatting>
  <conditionalFormatting sqref="H1792">
    <cfRule type="cellIs" dxfId="5405" priority="1822" operator="equal">
      <formula>$H$11=$E$11</formula>
    </cfRule>
  </conditionalFormatting>
  <conditionalFormatting sqref="H1792">
    <cfRule type="cellIs" dxfId="5404" priority="1821" operator="equal">
      <formula>$H$11=$E$11</formula>
    </cfRule>
  </conditionalFormatting>
  <conditionalFormatting sqref="H1792">
    <cfRule type="cellIs" dxfId="5403" priority="1820" operator="equal">
      <formula>$H$11=$E$11</formula>
    </cfRule>
  </conditionalFormatting>
  <conditionalFormatting sqref="H1804">
    <cfRule type="cellIs" dxfId="5402" priority="1819" operator="equal">
      <formula>$H$11=$E$11</formula>
    </cfRule>
  </conditionalFormatting>
  <conditionalFormatting sqref="H1804">
    <cfRule type="cellIs" dxfId="5401" priority="1818" operator="equal">
      <formula>$H$11=$E$11</formula>
    </cfRule>
  </conditionalFormatting>
  <conditionalFormatting sqref="G1860:I1865">
    <cfRule type="cellIs" dxfId="5400" priority="1806" operator="equal">
      <formula>"ACM CONCRETO"</formula>
    </cfRule>
    <cfRule type="cellIs" dxfId="5399" priority="1807" operator="equal">
      <formula>"ACM"</formula>
    </cfRule>
    <cfRule type="cellIs" dxfId="5398" priority="1808" operator="equal">
      <formula>"PASTILHA"</formula>
    </cfRule>
    <cfRule type="cellIs" dxfId="5397" priority="1809" operator="equal">
      <formula>"PISCINA"</formula>
    </cfRule>
    <cfRule type="cellIs" dxfId="5396" priority="1810" operator="equal">
      <formula>"CERAMICA"</formula>
    </cfRule>
    <cfRule type="cellIs" dxfId="5395" priority="1811" operator="equal">
      <formula>"RESERVATORIO"</formula>
    </cfRule>
    <cfRule type="cellIs" dxfId="5394" priority="1812" operator="equal">
      <formula>"ESQUADRIA"</formula>
    </cfRule>
    <cfRule type="cellIs" dxfId="5393" priority="1813" operator="equal">
      <formula>"ARGAMASSA"</formula>
    </cfRule>
    <cfRule type="cellIs" dxfId="5392" priority="1814" operator="equal">
      <formula>"MANTA"</formula>
    </cfRule>
    <cfRule type="cellIs" dxfId="5391" priority="1815" operator="equal">
      <formula>"BALDRAME"</formula>
    </cfRule>
    <cfRule type="cellIs" dxfId="5390" priority="1816" operator="equal">
      <formula>"PORCELANATO"</formula>
    </cfRule>
    <cfRule type="cellIs" dxfId="5389" priority="1817" operator="equal">
      <formula>"TINTA"</formula>
    </cfRule>
  </conditionalFormatting>
  <conditionalFormatting sqref="G1854:I1859">
    <cfRule type="cellIs" dxfId="5388" priority="1794" operator="equal">
      <formula>"ACM CONCRETO"</formula>
    </cfRule>
    <cfRule type="cellIs" dxfId="5387" priority="1795" operator="equal">
      <formula>"ACM"</formula>
    </cfRule>
    <cfRule type="cellIs" dxfId="5386" priority="1796" operator="equal">
      <formula>"PASTILHA"</formula>
    </cfRule>
    <cfRule type="cellIs" dxfId="5385" priority="1797" operator="equal">
      <formula>"PISCINA"</formula>
    </cfRule>
    <cfRule type="cellIs" dxfId="5384" priority="1798" operator="equal">
      <formula>"CERAMICA"</formula>
    </cfRule>
    <cfRule type="cellIs" dxfId="5383" priority="1799" operator="equal">
      <formula>"RESERVATORIO"</formula>
    </cfRule>
    <cfRule type="cellIs" dxfId="5382" priority="1800" operator="equal">
      <formula>"ESQUADRIA"</formula>
    </cfRule>
    <cfRule type="cellIs" dxfId="5381" priority="1801" operator="equal">
      <formula>"ARGAMASSA"</formula>
    </cfRule>
    <cfRule type="cellIs" dxfId="5380" priority="1802" operator="equal">
      <formula>"MANTA"</formula>
    </cfRule>
    <cfRule type="cellIs" dxfId="5379" priority="1803" operator="equal">
      <formula>"BALDRAME"</formula>
    </cfRule>
    <cfRule type="cellIs" dxfId="5378" priority="1804" operator="equal">
      <formula>"PORCELANATO"</formula>
    </cfRule>
    <cfRule type="cellIs" dxfId="5377" priority="1805" operator="equal">
      <formula>"TINTA"</formula>
    </cfRule>
  </conditionalFormatting>
  <conditionalFormatting sqref="G1848:I1853">
    <cfRule type="cellIs" dxfId="5376" priority="1782" operator="equal">
      <formula>"ACM CONCRETO"</formula>
    </cfRule>
    <cfRule type="cellIs" dxfId="5375" priority="1783" operator="equal">
      <formula>"ACM"</formula>
    </cfRule>
    <cfRule type="cellIs" dxfId="5374" priority="1784" operator="equal">
      <formula>"PASTILHA"</formula>
    </cfRule>
    <cfRule type="cellIs" dxfId="5373" priority="1785" operator="equal">
      <formula>"PISCINA"</formula>
    </cfRule>
    <cfRule type="cellIs" dxfId="5372" priority="1786" operator="equal">
      <formula>"CERAMICA"</formula>
    </cfRule>
    <cfRule type="cellIs" dxfId="5371" priority="1787" operator="equal">
      <formula>"RESERVATORIO"</formula>
    </cfRule>
    <cfRule type="cellIs" dxfId="5370" priority="1788" operator="equal">
      <formula>"ESQUADRIA"</formula>
    </cfRule>
    <cfRule type="cellIs" dxfId="5369" priority="1789" operator="equal">
      <formula>"ARGAMASSA"</formula>
    </cfRule>
    <cfRule type="cellIs" dxfId="5368" priority="1790" operator="equal">
      <formula>"MANTA"</formula>
    </cfRule>
    <cfRule type="cellIs" dxfId="5367" priority="1791" operator="equal">
      <formula>"BALDRAME"</formula>
    </cfRule>
    <cfRule type="cellIs" dxfId="5366" priority="1792" operator="equal">
      <formula>"PORCELANATO"</formula>
    </cfRule>
    <cfRule type="cellIs" dxfId="5365" priority="1793" operator="equal">
      <formula>"TINTA"</formula>
    </cfRule>
  </conditionalFormatting>
  <conditionalFormatting sqref="G1844:I1847 G1813:I1818">
    <cfRule type="cellIs" dxfId="5364" priority="1770" operator="equal">
      <formula>"ACM CONCRETO"</formula>
    </cfRule>
    <cfRule type="cellIs" dxfId="5363" priority="1771" operator="equal">
      <formula>"ACM"</formula>
    </cfRule>
    <cfRule type="cellIs" dxfId="5362" priority="1772" operator="equal">
      <formula>"PASTILHA"</formula>
    </cfRule>
    <cfRule type="cellIs" dxfId="5361" priority="1773" operator="equal">
      <formula>"PISCINA"</formula>
    </cfRule>
    <cfRule type="cellIs" dxfId="5360" priority="1774" operator="equal">
      <formula>"CERAMICA"</formula>
    </cfRule>
    <cfRule type="cellIs" dxfId="5359" priority="1775" operator="equal">
      <formula>"RESERVATORIO"</formula>
    </cfRule>
    <cfRule type="cellIs" dxfId="5358" priority="1776" operator="equal">
      <formula>"ESQUADRIA"</formula>
    </cfRule>
    <cfRule type="cellIs" dxfId="5357" priority="1777" operator="equal">
      <formula>"ARGAMASSA"</formula>
    </cfRule>
    <cfRule type="cellIs" dxfId="5356" priority="1778" operator="equal">
      <formula>"MANTA"</formula>
    </cfRule>
    <cfRule type="cellIs" dxfId="5355" priority="1779" operator="equal">
      <formula>"BALDRAME"</formula>
    </cfRule>
    <cfRule type="cellIs" dxfId="5354" priority="1780" operator="equal">
      <formula>"PORCELANATO"</formula>
    </cfRule>
    <cfRule type="cellIs" dxfId="5353" priority="1781" operator="equal">
      <formula>"TINTA"</formula>
    </cfRule>
  </conditionalFormatting>
  <conditionalFormatting sqref="G1837:I1843">
    <cfRule type="cellIs" dxfId="5352" priority="1758" operator="equal">
      <formula>"ACM CONCRETO"</formula>
    </cfRule>
    <cfRule type="cellIs" dxfId="5351" priority="1759" operator="equal">
      <formula>"ACM"</formula>
    </cfRule>
    <cfRule type="cellIs" dxfId="5350" priority="1760" operator="equal">
      <formula>"PASTILHA"</formula>
    </cfRule>
    <cfRule type="cellIs" dxfId="5349" priority="1761" operator="equal">
      <formula>"PISCINA"</formula>
    </cfRule>
    <cfRule type="cellIs" dxfId="5348" priority="1762" operator="equal">
      <formula>"CERAMICA"</formula>
    </cfRule>
    <cfRule type="cellIs" dxfId="5347" priority="1763" operator="equal">
      <formula>"RESERVATORIO"</formula>
    </cfRule>
    <cfRule type="cellIs" dxfId="5346" priority="1764" operator="equal">
      <formula>"ESQUADRIA"</formula>
    </cfRule>
    <cfRule type="cellIs" dxfId="5345" priority="1765" operator="equal">
      <formula>"ARGAMASSA"</formula>
    </cfRule>
    <cfRule type="cellIs" dxfId="5344" priority="1766" operator="equal">
      <formula>"MANTA"</formula>
    </cfRule>
    <cfRule type="cellIs" dxfId="5343" priority="1767" operator="equal">
      <formula>"BALDRAME"</formula>
    </cfRule>
    <cfRule type="cellIs" dxfId="5342" priority="1768" operator="equal">
      <formula>"PORCELANATO"</formula>
    </cfRule>
    <cfRule type="cellIs" dxfId="5341" priority="1769" operator="equal">
      <formula>"TINTA"</formula>
    </cfRule>
  </conditionalFormatting>
  <conditionalFormatting sqref="G1831:I1836">
    <cfRule type="cellIs" dxfId="5340" priority="1746" operator="equal">
      <formula>"ACM CONCRETO"</formula>
    </cfRule>
    <cfRule type="cellIs" dxfId="5339" priority="1747" operator="equal">
      <formula>"ACM"</formula>
    </cfRule>
    <cfRule type="cellIs" dxfId="5338" priority="1748" operator="equal">
      <formula>"PASTILHA"</formula>
    </cfRule>
    <cfRule type="cellIs" dxfId="5337" priority="1749" operator="equal">
      <formula>"PISCINA"</formula>
    </cfRule>
    <cfRule type="cellIs" dxfId="5336" priority="1750" operator="equal">
      <formula>"CERAMICA"</formula>
    </cfRule>
    <cfRule type="cellIs" dxfId="5335" priority="1751" operator="equal">
      <formula>"RESERVATORIO"</formula>
    </cfRule>
    <cfRule type="cellIs" dxfId="5334" priority="1752" operator="equal">
      <formula>"ESQUADRIA"</formula>
    </cfRule>
    <cfRule type="cellIs" dxfId="5333" priority="1753" operator="equal">
      <formula>"ARGAMASSA"</formula>
    </cfRule>
    <cfRule type="cellIs" dxfId="5332" priority="1754" operator="equal">
      <formula>"MANTA"</formula>
    </cfRule>
    <cfRule type="cellIs" dxfId="5331" priority="1755" operator="equal">
      <formula>"BALDRAME"</formula>
    </cfRule>
    <cfRule type="cellIs" dxfId="5330" priority="1756" operator="equal">
      <formula>"PORCELANATO"</formula>
    </cfRule>
    <cfRule type="cellIs" dxfId="5329" priority="1757" operator="equal">
      <formula>"TINTA"</formula>
    </cfRule>
  </conditionalFormatting>
  <conditionalFormatting sqref="G1825:I1830">
    <cfRule type="cellIs" dxfId="5328" priority="1734" operator="equal">
      <formula>"ACM CONCRETO"</formula>
    </cfRule>
    <cfRule type="cellIs" dxfId="5327" priority="1735" operator="equal">
      <formula>"ACM"</formula>
    </cfRule>
    <cfRule type="cellIs" dxfId="5326" priority="1736" operator="equal">
      <formula>"PASTILHA"</formula>
    </cfRule>
    <cfRule type="cellIs" dxfId="5325" priority="1737" operator="equal">
      <formula>"PISCINA"</formula>
    </cfRule>
    <cfRule type="cellIs" dxfId="5324" priority="1738" operator="equal">
      <formula>"CERAMICA"</formula>
    </cfRule>
    <cfRule type="cellIs" dxfId="5323" priority="1739" operator="equal">
      <formula>"RESERVATORIO"</formula>
    </cfRule>
    <cfRule type="cellIs" dxfId="5322" priority="1740" operator="equal">
      <formula>"ESQUADRIA"</formula>
    </cfRule>
    <cfRule type="cellIs" dxfId="5321" priority="1741" operator="equal">
      <formula>"ARGAMASSA"</formula>
    </cfRule>
    <cfRule type="cellIs" dxfId="5320" priority="1742" operator="equal">
      <formula>"MANTA"</formula>
    </cfRule>
    <cfRule type="cellIs" dxfId="5319" priority="1743" operator="equal">
      <formula>"BALDRAME"</formula>
    </cfRule>
    <cfRule type="cellIs" dxfId="5318" priority="1744" operator="equal">
      <formula>"PORCELANATO"</formula>
    </cfRule>
    <cfRule type="cellIs" dxfId="5317" priority="1745" operator="equal">
      <formula>"TINTA"</formula>
    </cfRule>
  </conditionalFormatting>
  <conditionalFormatting sqref="G1819:I1824">
    <cfRule type="cellIs" dxfId="5316" priority="1722" operator="equal">
      <formula>"ACM CONCRETO"</formula>
    </cfRule>
    <cfRule type="cellIs" dxfId="5315" priority="1723" operator="equal">
      <formula>"ACM"</formula>
    </cfRule>
    <cfRule type="cellIs" dxfId="5314" priority="1724" operator="equal">
      <formula>"PASTILHA"</formula>
    </cfRule>
    <cfRule type="cellIs" dxfId="5313" priority="1725" operator="equal">
      <formula>"PISCINA"</formula>
    </cfRule>
    <cfRule type="cellIs" dxfId="5312" priority="1726" operator="equal">
      <formula>"CERAMICA"</formula>
    </cfRule>
    <cfRule type="cellIs" dxfId="5311" priority="1727" operator="equal">
      <formula>"RESERVATORIO"</formula>
    </cfRule>
    <cfRule type="cellIs" dxfId="5310" priority="1728" operator="equal">
      <formula>"ESQUADRIA"</formula>
    </cfRule>
    <cfRule type="cellIs" dxfId="5309" priority="1729" operator="equal">
      <formula>"ARGAMASSA"</formula>
    </cfRule>
    <cfRule type="cellIs" dxfId="5308" priority="1730" operator="equal">
      <formula>"MANTA"</formula>
    </cfRule>
    <cfRule type="cellIs" dxfId="5307" priority="1731" operator="equal">
      <formula>"BALDRAME"</formula>
    </cfRule>
    <cfRule type="cellIs" dxfId="5306" priority="1732" operator="equal">
      <formula>"PORCELANATO"</formula>
    </cfRule>
    <cfRule type="cellIs" dxfId="5305" priority="1733" operator="equal">
      <formula>"TINTA"</formula>
    </cfRule>
  </conditionalFormatting>
  <conditionalFormatting sqref="I1882:I1891 I1896:I1901">
    <cfRule type="cellIs" dxfId="5304" priority="1720" operator="equal">
      <formula>"REVER"</formula>
    </cfRule>
    <cfRule type="cellIs" dxfId="5303" priority="1721" operator="equal">
      <formula>"OKAY"</formula>
    </cfRule>
  </conditionalFormatting>
  <conditionalFormatting sqref="H1872:H1880 H1882:H1892 H1896:H1904">
    <cfRule type="cellIs" dxfId="5302" priority="1719" operator="greaterThan">
      <formula>0</formula>
    </cfRule>
  </conditionalFormatting>
  <conditionalFormatting sqref="I1902:I1904">
    <cfRule type="cellIs" dxfId="5301" priority="1707" operator="equal">
      <formula>"ACM CONCRETO"</formula>
    </cfRule>
    <cfRule type="cellIs" dxfId="5300" priority="1708" operator="equal">
      <formula>"ACM"</formula>
    </cfRule>
    <cfRule type="cellIs" dxfId="5299" priority="1709" operator="equal">
      <formula>"PASTILHA"</formula>
    </cfRule>
    <cfRule type="cellIs" dxfId="5298" priority="1710" operator="equal">
      <formula>"PISCINA"</formula>
    </cfRule>
    <cfRule type="cellIs" dxfId="5297" priority="1711" operator="equal">
      <formula>"CERAMICA"</formula>
    </cfRule>
    <cfRule type="cellIs" dxfId="5296" priority="1712" operator="equal">
      <formula>"RESERVATORIO"</formula>
    </cfRule>
    <cfRule type="cellIs" dxfId="5295" priority="1713" operator="equal">
      <formula>"ESQUADRIA"</formula>
    </cfRule>
    <cfRule type="cellIs" dxfId="5294" priority="1714" operator="equal">
      <formula>"ARGAMASSA"</formula>
    </cfRule>
    <cfRule type="cellIs" dxfId="5293" priority="1715" operator="equal">
      <formula>"MANTA"</formula>
    </cfRule>
    <cfRule type="cellIs" dxfId="5292" priority="1716" operator="equal">
      <formula>"BALDRAME"</formula>
    </cfRule>
    <cfRule type="cellIs" dxfId="5291" priority="1717" operator="equal">
      <formula>"PORCELANATO"</formula>
    </cfRule>
    <cfRule type="cellIs" dxfId="5290" priority="1718" operator="equal">
      <formula>"TINTA"</formula>
    </cfRule>
  </conditionalFormatting>
  <conditionalFormatting sqref="I1872">
    <cfRule type="cellIs" dxfId="5289" priority="1698" operator="equal">
      <formula>"REVER"</formula>
    </cfRule>
    <cfRule type="cellIs" dxfId="5288" priority="1706" operator="equal">
      <formula>"OKAY"</formula>
    </cfRule>
  </conditionalFormatting>
  <conditionalFormatting sqref="I1872">
    <cfRule type="cellIs" dxfId="5287" priority="1693" operator="equal">
      <formula>"ACM CONCRETO"</formula>
    </cfRule>
    <cfRule type="cellIs" dxfId="5286" priority="1694" operator="equal">
      <formula>"ACM"</formula>
    </cfRule>
    <cfRule type="cellIs" dxfId="5285" priority="1695" operator="equal">
      <formula>"PASTILHA"</formula>
    </cfRule>
    <cfRule type="cellIs" dxfId="5284" priority="1696" operator="equal">
      <formula>"PISCINA"</formula>
    </cfRule>
    <cfRule type="cellIs" dxfId="5283" priority="1697" operator="equal">
      <formula>"CERAMICA"</formula>
    </cfRule>
    <cfRule type="cellIs" dxfId="5282" priority="1699" operator="equal">
      <formula>"RESERVATORIO"</formula>
    </cfRule>
    <cfRule type="cellIs" dxfId="5281" priority="1700" operator="equal">
      <formula>"ESQUADRIA"</formula>
    </cfRule>
    <cfRule type="cellIs" dxfId="5280" priority="1701" operator="equal">
      <formula>"ARGAMASSA"</formula>
    </cfRule>
    <cfRule type="cellIs" dxfId="5279" priority="1702" operator="equal">
      <formula>"MANTA"</formula>
    </cfRule>
    <cfRule type="cellIs" dxfId="5278" priority="1703" operator="equal">
      <formula>"BALDRAME"</formula>
    </cfRule>
    <cfRule type="cellIs" dxfId="5277" priority="1704" operator="equal">
      <formula>"PORCELANATO"</formula>
    </cfRule>
    <cfRule type="cellIs" dxfId="5276" priority="1705" operator="equal">
      <formula>"TINTA"</formula>
    </cfRule>
  </conditionalFormatting>
  <conditionalFormatting sqref="H1872">
    <cfRule type="cellIs" dxfId="5275" priority="1692" operator="equal">
      <formula>$H$11=$E$11</formula>
    </cfRule>
  </conditionalFormatting>
  <conditionalFormatting sqref="H1872">
    <cfRule type="cellIs" dxfId="5274" priority="1691" operator="equal">
      <formula>$H$11=$E$11</formula>
    </cfRule>
  </conditionalFormatting>
  <conditionalFormatting sqref="I1873:I1878">
    <cfRule type="cellIs" dxfId="5273" priority="1682" operator="equal">
      <formula>"REVER"</formula>
    </cfRule>
    <cfRule type="cellIs" dxfId="5272" priority="1690" operator="equal">
      <formula>"OKAY"</formula>
    </cfRule>
  </conditionalFormatting>
  <conditionalFormatting sqref="I1873:I1878">
    <cfRule type="cellIs" dxfId="5271" priority="1677" operator="equal">
      <formula>"ACM CONCRETO"</formula>
    </cfRule>
    <cfRule type="cellIs" dxfId="5270" priority="1678" operator="equal">
      <formula>"ACM"</formula>
    </cfRule>
    <cfRule type="cellIs" dxfId="5269" priority="1679" operator="equal">
      <formula>"PASTILHA"</formula>
    </cfRule>
    <cfRule type="cellIs" dxfId="5268" priority="1680" operator="equal">
      <formula>"PISCINA"</formula>
    </cfRule>
    <cfRule type="cellIs" dxfId="5267" priority="1681" operator="equal">
      <formula>"CERAMICA"</formula>
    </cfRule>
    <cfRule type="cellIs" dxfId="5266" priority="1683" operator="equal">
      <formula>"RESERVATORIO"</formula>
    </cfRule>
    <cfRule type="cellIs" dxfId="5265" priority="1684" operator="equal">
      <formula>"ESQUADRIA"</formula>
    </cfRule>
    <cfRule type="cellIs" dxfId="5264" priority="1685" operator="equal">
      <formula>"ARGAMASSA"</formula>
    </cfRule>
    <cfRule type="cellIs" dxfId="5263" priority="1686" operator="equal">
      <formula>"MANTA"</formula>
    </cfRule>
    <cfRule type="cellIs" dxfId="5262" priority="1687" operator="equal">
      <formula>"BALDRAME"</formula>
    </cfRule>
    <cfRule type="cellIs" dxfId="5261" priority="1688" operator="equal">
      <formula>"PORCELANATO"</formula>
    </cfRule>
    <cfRule type="cellIs" dxfId="5260" priority="1689" operator="equal">
      <formula>"TINTA"</formula>
    </cfRule>
  </conditionalFormatting>
  <conditionalFormatting sqref="H1884">
    <cfRule type="cellIs" dxfId="5259" priority="1676" operator="equal">
      <formula>$H$11=$E$11</formula>
    </cfRule>
  </conditionalFormatting>
  <conditionalFormatting sqref="H1882">
    <cfRule type="cellIs" dxfId="5258" priority="1675" operator="equal">
      <formula>$H$11=$E$11</formula>
    </cfRule>
  </conditionalFormatting>
  <conditionalFormatting sqref="H1896">
    <cfRule type="cellIs" dxfId="5257" priority="1674" operator="equal">
      <formula>$H$11=$E$11</formula>
    </cfRule>
  </conditionalFormatting>
  <conditionalFormatting sqref="H1884">
    <cfRule type="cellIs" dxfId="5256" priority="1673" operator="equal">
      <formula>$H$11=$E$11</formula>
    </cfRule>
  </conditionalFormatting>
  <conditionalFormatting sqref="H1884">
    <cfRule type="cellIs" dxfId="5255" priority="1672" operator="equal">
      <formula>$H$11=$E$11</formula>
    </cfRule>
  </conditionalFormatting>
  <conditionalFormatting sqref="H1884">
    <cfRule type="cellIs" dxfId="5254" priority="1671" operator="equal">
      <formula>$H$11=$E$11</formula>
    </cfRule>
  </conditionalFormatting>
  <conditionalFormatting sqref="H1896">
    <cfRule type="cellIs" dxfId="5253" priority="1670" operator="equal">
      <formula>$H$11=$E$11</formula>
    </cfRule>
  </conditionalFormatting>
  <conditionalFormatting sqref="H1896">
    <cfRule type="cellIs" dxfId="5252" priority="1669" operator="equal">
      <formula>$H$11=$E$11</formula>
    </cfRule>
  </conditionalFormatting>
  <conditionalFormatting sqref="I1925:I1934 I1939:I1944">
    <cfRule type="cellIs" dxfId="5251" priority="1667" operator="equal">
      <formula>"REVER"</formula>
    </cfRule>
    <cfRule type="cellIs" dxfId="5250" priority="1668" operator="equal">
      <formula>"OKAY"</formula>
    </cfRule>
  </conditionalFormatting>
  <conditionalFormatting sqref="H1915:H1923 H1925:H1935 H1939:H1947">
    <cfRule type="cellIs" dxfId="5249" priority="1666" operator="greaterThan">
      <formula>0</formula>
    </cfRule>
  </conditionalFormatting>
  <conditionalFormatting sqref="I1945:I1947">
    <cfRule type="cellIs" dxfId="5248" priority="1654" operator="equal">
      <formula>"ACM CONCRETO"</formula>
    </cfRule>
    <cfRule type="cellIs" dxfId="5247" priority="1655" operator="equal">
      <formula>"ACM"</formula>
    </cfRule>
    <cfRule type="cellIs" dxfId="5246" priority="1656" operator="equal">
      <formula>"PASTILHA"</formula>
    </cfRule>
    <cfRule type="cellIs" dxfId="5245" priority="1657" operator="equal">
      <formula>"PISCINA"</formula>
    </cfRule>
    <cfRule type="cellIs" dxfId="5244" priority="1658" operator="equal">
      <formula>"CERAMICA"</formula>
    </cfRule>
    <cfRule type="cellIs" dxfId="5243" priority="1659" operator="equal">
      <formula>"RESERVATORIO"</formula>
    </cfRule>
    <cfRule type="cellIs" dxfId="5242" priority="1660" operator="equal">
      <formula>"ESQUADRIA"</formula>
    </cfRule>
    <cfRule type="cellIs" dxfId="5241" priority="1661" operator="equal">
      <formula>"ARGAMASSA"</formula>
    </cfRule>
    <cfRule type="cellIs" dxfId="5240" priority="1662" operator="equal">
      <formula>"MANTA"</formula>
    </cfRule>
    <cfRule type="cellIs" dxfId="5239" priority="1663" operator="equal">
      <formula>"BALDRAME"</formula>
    </cfRule>
    <cfRule type="cellIs" dxfId="5238" priority="1664" operator="equal">
      <formula>"PORCELANATO"</formula>
    </cfRule>
    <cfRule type="cellIs" dxfId="5237" priority="1665" operator="equal">
      <formula>"TINTA"</formula>
    </cfRule>
  </conditionalFormatting>
  <conditionalFormatting sqref="I1915">
    <cfRule type="cellIs" dxfId="5236" priority="1645" operator="equal">
      <formula>"REVER"</formula>
    </cfRule>
    <cfRule type="cellIs" dxfId="5235" priority="1653" operator="equal">
      <formula>"OKAY"</formula>
    </cfRule>
  </conditionalFormatting>
  <conditionalFormatting sqref="I1915">
    <cfRule type="cellIs" dxfId="5234" priority="1640" operator="equal">
      <formula>"ACM CONCRETO"</formula>
    </cfRule>
    <cfRule type="cellIs" dxfId="5233" priority="1641" operator="equal">
      <formula>"ACM"</formula>
    </cfRule>
    <cfRule type="cellIs" dxfId="5232" priority="1642" operator="equal">
      <formula>"PASTILHA"</formula>
    </cfRule>
    <cfRule type="cellIs" dxfId="5231" priority="1643" operator="equal">
      <formula>"PISCINA"</formula>
    </cfRule>
    <cfRule type="cellIs" dxfId="5230" priority="1644" operator="equal">
      <formula>"CERAMICA"</formula>
    </cfRule>
    <cfRule type="cellIs" dxfId="5229" priority="1646" operator="equal">
      <formula>"RESERVATORIO"</formula>
    </cfRule>
    <cfRule type="cellIs" dxfId="5228" priority="1647" operator="equal">
      <formula>"ESQUADRIA"</formula>
    </cfRule>
    <cfRule type="cellIs" dxfId="5227" priority="1648" operator="equal">
      <formula>"ARGAMASSA"</formula>
    </cfRule>
    <cfRule type="cellIs" dxfId="5226" priority="1649" operator="equal">
      <formula>"MANTA"</formula>
    </cfRule>
    <cfRule type="cellIs" dxfId="5225" priority="1650" operator="equal">
      <formula>"BALDRAME"</formula>
    </cfRule>
    <cfRule type="cellIs" dxfId="5224" priority="1651" operator="equal">
      <formula>"PORCELANATO"</formula>
    </cfRule>
    <cfRule type="cellIs" dxfId="5223" priority="1652" operator="equal">
      <formula>"TINTA"</formula>
    </cfRule>
  </conditionalFormatting>
  <conditionalFormatting sqref="H1915">
    <cfRule type="cellIs" dxfId="5222" priority="1639" operator="equal">
      <formula>$H$11=$E$11</formula>
    </cfRule>
  </conditionalFormatting>
  <conditionalFormatting sqref="H1915">
    <cfRule type="cellIs" dxfId="5221" priority="1638" operator="equal">
      <formula>$H$11=$E$11</formula>
    </cfRule>
  </conditionalFormatting>
  <conditionalFormatting sqref="I1916:I1921">
    <cfRule type="cellIs" dxfId="5220" priority="1629" operator="equal">
      <formula>"REVER"</formula>
    </cfRule>
    <cfRule type="cellIs" dxfId="5219" priority="1637" operator="equal">
      <formula>"OKAY"</formula>
    </cfRule>
  </conditionalFormatting>
  <conditionalFormatting sqref="I1916:I1921">
    <cfRule type="cellIs" dxfId="5218" priority="1624" operator="equal">
      <formula>"ACM CONCRETO"</formula>
    </cfRule>
    <cfRule type="cellIs" dxfId="5217" priority="1625" operator="equal">
      <formula>"ACM"</formula>
    </cfRule>
    <cfRule type="cellIs" dxfId="5216" priority="1626" operator="equal">
      <formula>"PASTILHA"</formula>
    </cfRule>
    <cfRule type="cellIs" dxfId="5215" priority="1627" operator="equal">
      <formula>"PISCINA"</formula>
    </cfRule>
    <cfRule type="cellIs" dxfId="5214" priority="1628" operator="equal">
      <formula>"CERAMICA"</formula>
    </cfRule>
    <cfRule type="cellIs" dxfId="5213" priority="1630" operator="equal">
      <formula>"RESERVATORIO"</formula>
    </cfRule>
    <cfRule type="cellIs" dxfId="5212" priority="1631" operator="equal">
      <formula>"ESQUADRIA"</formula>
    </cfRule>
    <cfRule type="cellIs" dxfId="5211" priority="1632" operator="equal">
      <formula>"ARGAMASSA"</formula>
    </cfRule>
    <cfRule type="cellIs" dxfId="5210" priority="1633" operator="equal">
      <formula>"MANTA"</formula>
    </cfRule>
    <cfRule type="cellIs" dxfId="5209" priority="1634" operator="equal">
      <formula>"BALDRAME"</formula>
    </cfRule>
    <cfRule type="cellIs" dxfId="5208" priority="1635" operator="equal">
      <formula>"PORCELANATO"</formula>
    </cfRule>
    <cfRule type="cellIs" dxfId="5207" priority="1636" operator="equal">
      <formula>"TINTA"</formula>
    </cfRule>
  </conditionalFormatting>
  <conditionalFormatting sqref="H1927">
    <cfRule type="cellIs" dxfId="5206" priority="1623" operator="equal">
      <formula>$H$11=$E$11</formula>
    </cfRule>
  </conditionalFormatting>
  <conditionalFormatting sqref="H1925">
    <cfRule type="cellIs" dxfId="5205" priority="1622" operator="equal">
      <formula>$H$11=$E$11</formula>
    </cfRule>
  </conditionalFormatting>
  <conditionalFormatting sqref="H1939">
    <cfRule type="cellIs" dxfId="5204" priority="1621" operator="equal">
      <formula>$H$11=$E$11</formula>
    </cfRule>
  </conditionalFormatting>
  <conditionalFormatting sqref="H1927">
    <cfRule type="cellIs" dxfId="5203" priority="1620" operator="equal">
      <formula>$H$11=$E$11</formula>
    </cfRule>
  </conditionalFormatting>
  <conditionalFormatting sqref="H1927">
    <cfRule type="cellIs" dxfId="5202" priority="1619" operator="equal">
      <formula>$H$11=$E$11</formula>
    </cfRule>
  </conditionalFormatting>
  <conditionalFormatting sqref="H1927">
    <cfRule type="cellIs" dxfId="5201" priority="1618" operator="equal">
      <formula>$H$11=$E$11</formula>
    </cfRule>
  </conditionalFormatting>
  <conditionalFormatting sqref="H1939">
    <cfRule type="cellIs" dxfId="5200" priority="1617" operator="equal">
      <formula>$H$11=$E$11</formula>
    </cfRule>
  </conditionalFormatting>
  <conditionalFormatting sqref="H1939">
    <cfRule type="cellIs" dxfId="5199" priority="1616" operator="equal">
      <formula>$H$11=$E$11</formula>
    </cfRule>
  </conditionalFormatting>
  <conditionalFormatting sqref="I1958">
    <cfRule type="cellIs" dxfId="5198" priority="1592" operator="equal">
      <formula>"REVER"</formula>
    </cfRule>
    <cfRule type="cellIs" dxfId="5197" priority="1600" operator="equal">
      <formula>"OKAY"</formula>
    </cfRule>
  </conditionalFormatting>
  <conditionalFormatting sqref="I1958">
    <cfRule type="cellIs" dxfId="5196" priority="1587" operator="equal">
      <formula>"ACM CONCRETO"</formula>
    </cfRule>
    <cfRule type="cellIs" dxfId="5195" priority="1588" operator="equal">
      <formula>"ACM"</formula>
    </cfRule>
    <cfRule type="cellIs" dxfId="5194" priority="1589" operator="equal">
      <formula>"PASTILHA"</formula>
    </cfRule>
    <cfRule type="cellIs" dxfId="5193" priority="1590" operator="equal">
      <formula>"PISCINA"</formula>
    </cfRule>
    <cfRule type="cellIs" dxfId="5192" priority="1591" operator="equal">
      <formula>"CERAMICA"</formula>
    </cfRule>
    <cfRule type="cellIs" dxfId="5191" priority="1593" operator="equal">
      <formula>"RESERVATORIO"</formula>
    </cfRule>
    <cfRule type="cellIs" dxfId="5190" priority="1594" operator="equal">
      <formula>"ESQUADRIA"</formula>
    </cfRule>
    <cfRule type="cellIs" dxfId="5189" priority="1595" operator="equal">
      <formula>"ARGAMASSA"</formula>
    </cfRule>
    <cfRule type="cellIs" dxfId="5188" priority="1596" operator="equal">
      <formula>"MANTA"</formula>
    </cfRule>
    <cfRule type="cellIs" dxfId="5187" priority="1597" operator="equal">
      <formula>"BALDRAME"</formula>
    </cfRule>
    <cfRule type="cellIs" dxfId="5186" priority="1598" operator="equal">
      <formula>"PORCELANATO"</formula>
    </cfRule>
    <cfRule type="cellIs" dxfId="5185" priority="1599" operator="equal">
      <formula>"TINTA"</formula>
    </cfRule>
  </conditionalFormatting>
  <conditionalFormatting sqref="H1958">
    <cfRule type="cellIs" dxfId="5184" priority="1586" operator="equal">
      <formula>$H$11=$E$11</formula>
    </cfRule>
  </conditionalFormatting>
  <conditionalFormatting sqref="H1958">
    <cfRule type="cellIs" dxfId="5183" priority="1585" operator="equal">
      <formula>$H$11=$E$11</formula>
    </cfRule>
  </conditionalFormatting>
  <conditionalFormatting sqref="I1959:I2034">
    <cfRule type="cellIs" dxfId="5182" priority="1576" operator="equal">
      <formula>"REVER"</formula>
    </cfRule>
    <cfRule type="cellIs" dxfId="5181" priority="1584" operator="equal">
      <formula>"OKAY"</formula>
    </cfRule>
  </conditionalFormatting>
  <conditionalFormatting sqref="I1959:I2034">
    <cfRule type="cellIs" dxfId="5180" priority="1571" operator="equal">
      <formula>"ACM CONCRETO"</formula>
    </cfRule>
    <cfRule type="cellIs" dxfId="5179" priority="1572" operator="equal">
      <formula>"ACM"</formula>
    </cfRule>
    <cfRule type="cellIs" dxfId="5178" priority="1573" operator="equal">
      <formula>"PASTILHA"</formula>
    </cfRule>
    <cfRule type="cellIs" dxfId="5177" priority="1574" operator="equal">
      <formula>"PISCINA"</formula>
    </cfRule>
    <cfRule type="cellIs" dxfId="5176" priority="1575" operator="equal">
      <formula>"CERAMICA"</formula>
    </cfRule>
    <cfRule type="cellIs" dxfId="5175" priority="1577" operator="equal">
      <formula>"RESERVATORIO"</formula>
    </cfRule>
    <cfRule type="cellIs" dxfId="5174" priority="1578" operator="equal">
      <formula>"ESQUADRIA"</formula>
    </cfRule>
    <cfRule type="cellIs" dxfId="5173" priority="1579" operator="equal">
      <formula>"ARGAMASSA"</formula>
    </cfRule>
    <cfRule type="cellIs" dxfId="5172" priority="1580" operator="equal">
      <formula>"MANTA"</formula>
    </cfRule>
    <cfRule type="cellIs" dxfId="5171" priority="1581" operator="equal">
      <formula>"BALDRAME"</formula>
    </cfRule>
    <cfRule type="cellIs" dxfId="5170" priority="1582" operator="equal">
      <formula>"PORCELANATO"</formula>
    </cfRule>
    <cfRule type="cellIs" dxfId="5169" priority="1583" operator="equal">
      <formula>"TINTA"</formula>
    </cfRule>
  </conditionalFormatting>
  <conditionalFormatting sqref="H2040">
    <cfRule type="cellIs" dxfId="5168" priority="1570" operator="equal">
      <formula>$H$11=$E$11</formula>
    </cfRule>
  </conditionalFormatting>
  <conditionalFormatting sqref="H2038">
    <cfRule type="cellIs" dxfId="5167" priority="1569" operator="equal">
      <formula>$H$11=$E$11</formula>
    </cfRule>
  </conditionalFormatting>
  <conditionalFormatting sqref="H2119">
    <cfRule type="cellIs" dxfId="5166" priority="1568" operator="equal">
      <formula>$H$11=$E$11</formula>
    </cfRule>
  </conditionalFormatting>
  <conditionalFormatting sqref="H2040">
    <cfRule type="cellIs" dxfId="5165" priority="1567" operator="equal">
      <formula>$H$11=$E$11</formula>
    </cfRule>
  </conditionalFormatting>
  <conditionalFormatting sqref="H1734">
    <cfRule type="cellIs" dxfId="5164" priority="1566" operator="greaterThan">
      <formula>0</formula>
    </cfRule>
  </conditionalFormatting>
  <conditionalFormatting sqref="H1734">
    <cfRule type="cellIs" dxfId="5163" priority="1565" operator="equal">
      <formula>$H$11=$E$11</formula>
    </cfRule>
  </conditionalFormatting>
  <conditionalFormatting sqref="H1734">
    <cfRule type="cellIs" dxfId="5162" priority="1564" operator="equal">
      <formula>$H$11=$E$11</formula>
    </cfRule>
  </conditionalFormatting>
  <conditionalFormatting sqref="H2119">
    <cfRule type="cellIs" dxfId="5161" priority="1563" operator="equal">
      <formula>$H$11=$E$11</formula>
    </cfRule>
  </conditionalFormatting>
  <conditionalFormatting sqref="H2119">
    <cfRule type="cellIs" dxfId="5160" priority="1562" operator="equal">
      <formula>$H$11=$E$11</formula>
    </cfRule>
  </conditionalFormatting>
  <conditionalFormatting sqref="I2233:I2242 I2247:I2252">
    <cfRule type="cellIs" dxfId="5159" priority="1560" operator="equal">
      <formula>"REVER"</formula>
    </cfRule>
    <cfRule type="cellIs" dxfId="5158" priority="1561" operator="equal">
      <formula>"OKAY"</formula>
    </cfRule>
  </conditionalFormatting>
  <conditionalFormatting sqref="H2223:H2231 H2233:H2243 H2247:H2255">
    <cfRule type="cellIs" dxfId="5157" priority="1559" operator="greaterThan">
      <formula>0</formula>
    </cfRule>
  </conditionalFormatting>
  <conditionalFormatting sqref="I2253:I2255">
    <cfRule type="cellIs" dxfId="5156" priority="1547" operator="equal">
      <formula>"ACM CONCRETO"</formula>
    </cfRule>
    <cfRule type="cellIs" dxfId="5155" priority="1548" operator="equal">
      <formula>"ACM"</formula>
    </cfRule>
    <cfRule type="cellIs" dxfId="5154" priority="1549" operator="equal">
      <formula>"PASTILHA"</formula>
    </cfRule>
    <cfRule type="cellIs" dxfId="5153" priority="1550" operator="equal">
      <formula>"PISCINA"</formula>
    </cfRule>
    <cfRule type="cellIs" dxfId="5152" priority="1551" operator="equal">
      <formula>"CERAMICA"</formula>
    </cfRule>
    <cfRule type="cellIs" dxfId="5151" priority="1552" operator="equal">
      <formula>"RESERVATORIO"</formula>
    </cfRule>
    <cfRule type="cellIs" dxfId="5150" priority="1553" operator="equal">
      <formula>"ESQUADRIA"</formula>
    </cfRule>
    <cfRule type="cellIs" dxfId="5149" priority="1554" operator="equal">
      <formula>"ARGAMASSA"</formula>
    </cfRule>
    <cfRule type="cellIs" dxfId="5148" priority="1555" operator="equal">
      <formula>"MANTA"</formula>
    </cfRule>
    <cfRule type="cellIs" dxfId="5147" priority="1556" operator="equal">
      <formula>"BALDRAME"</formula>
    </cfRule>
    <cfRule type="cellIs" dxfId="5146" priority="1557" operator="equal">
      <formula>"PORCELANATO"</formula>
    </cfRule>
    <cfRule type="cellIs" dxfId="5145" priority="1558" operator="equal">
      <formula>"TINTA"</formula>
    </cfRule>
  </conditionalFormatting>
  <conditionalFormatting sqref="I2223">
    <cfRule type="cellIs" dxfId="5144" priority="1538" operator="equal">
      <formula>"REVER"</formula>
    </cfRule>
    <cfRule type="cellIs" dxfId="5143" priority="1546" operator="equal">
      <formula>"OKAY"</formula>
    </cfRule>
  </conditionalFormatting>
  <conditionalFormatting sqref="I2223">
    <cfRule type="cellIs" dxfId="5142" priority="1533" operator="equal">
      <formula>"ACM CONCRETO"</formula>
    </cfRule>
    <cfRule type="cellIs" dxfId="5141" priority="1534" operator="equal">
      <formula>"ACM"</formula>
    </cfRule>
    <cfRule type="cellIs" dxfId="5140" priority="1535" operator="equal">
      <formula>"PASTILHA"</formula>
    </cfRule>
    <cfRule type="cellIs" dxfId="5139" priority="1536" operator="equal">
      <formula>"PISCINA"</formula>
    </cfRule>
    <cfRule type="cellIs" dxfId="5138" priority="1537" operator="equal">
      <formula>"CERAMICA"</formula>
    </cfRule>
    <cfRule type="cellIs" dxfId="5137" priority="1539" operator="equal">
      <formula>"RESERVATORIO"</formula>
    </cfRule>
    <cfRule type="cellIs" dxfId="5136" priority="1540" operator="equal">
      <formula>"ESQUADRIA"</formula>
    </cfRule>
    <cfRule type="cellIs" dxfId="5135" priority="1541" operator="equal">
      <formula>"ARGAMASSA"</formula>
    </cfRule>
    <cfRule type="cellIs" dxfId="5134" priority="1542" operator="equal">
      <formula>"MANTA"</formula>
    </cfRule>
    <cfRule type="cellIs" dxfId="5133" priority="1543" operator="equal">
      <formula>"BALDRAME"</formula>
    </cfRule>
    <cfRule type="cellIs" dxfId="5132" priority="1544" operator="equal">
      <formula>"PORCELANATO"</formula>
    </cfRule>
    <cfRule type="cellIs" dxfId="5131" priority="1545" operator="equal">
      <formula>"TINTA"</formula>
    </cfRule>
  </conditionalFormatting>
  <conditionalFormatting sqref="H2223">
    <cfRule type="cellIs" dxfId="5130" priority="1532" operator="equal">
      <formula>$H$11=$E$11</formula>
    </cfRule>
  </conditionalFormatting>
  <conditionalFormatting sqref="H2223">
    <cfRule type="cellIs" dxfId="5129" priority="1531" operator="equal">
      <formula>$H$11=$E$11</formula>
    </cfRule>
  </conditionalFormatting>
  <conditionalFormatting sqref="I2224:I2229">
    <cfRule type="cellIs" dxfId="5128" priority="1522" operator="equal">
      <formula>"REVER"</formula>
    </cfRule>
    <cfRule type="cellIs" dxfId="5127" priority="1530" operator="equal">
      <formula>"OKAY"</formula>
    </cfRule>
  </conditionalFormatting>
  <conditionalFormatting sqref="I2224:I2229">
    <cfRule type="cellIs" dxfId="5126" priority="1517" operator="equal">
      <formula>"ACM CONCRETO"</formula>
    </cfRule>
    <cfRule type="cellIs" dxfId="5125" priority="1518" operator="equal">
      <formula>"ACM"</formula>
    </cfRule>
    <cfRule type="cellIs" dxfId="5124" priority="1519" operator="equal">
      <formula>"PASTILHA"</formula>
    </cfRule>
    <cfRule type="cellIs" dxfId="5123" priority="1520" operator="equal">
      <formula>"PISCINA"</formula>
    </cfRule>
    <cfRule type="cellIs" dxfId="5122" priority="1521" operator="equal">
      <formula>"CERAMICA"</formula>
    </cfRule>
    <cfRule type="cellIs" dxfId="5121" priority="1523" operator="equal">
      <formula>"RESERVATORIO"</formula>
    </cfRule>
    <cfRule type="cellIs" dxfId="5120" priority="1524" operator="equal">
      <formula>"ESQUADRIA"</formula>
    </cfRule>
    <cfRule type="cellIs" dxfId="5119" priority="1525" operator="equal">
      <formula>"ARGAMASSA"</formula>
    </cfRule>
    <cfRule type="cellIs" dxfId="5118" priority="1526" operator="equal">
      <formula>"MANTA"</formula>
    </cfRule>
    <cfRule type="cellIs" dxfId="5117" priority="1527" operator="equal">
      <formula>"BALDRAME"</formula>
    </cfRule>
    <cfRule type="cellIs" dxfId="5116" priority="1528" operator="equal">
      <formula>"PORCELANATO"</formula>
    </cfRule>
    <cfRule type="cellIs" dxfId="5115" priority="1529" operator="equal">
      <formula>"TINTA"</formula>
    </cfRule>
  </conditionalFormatting>
  <conditionalFormatting sqref="H2235">
    <cfRule type="cellIs" dxfId="5114" priority="1516" operator="equal">
      <formula>$H$11=$E$11</formula>
    </cfRule>
  </conditionalFormatting>
  <conditionalFormatting sqref="H2233">
    <cfRule type="cellIs" dxfId="5113" priority="1515" operator="equal">
      <formula>$H$11=$E$11</formula>
    </cfRule>
  </conditionalFormatting>
  <conditionalFormatting sqref="H2247">
    <cfRule type="cellIs" dxfId="5112" priority="1514" operator="equal">
      <formula>$H$11=$E$11</formula>
    </cfRule>
  </conditionalFormatting>
  <conditionalFormatting sqref="H2235">
    <cfRule type="cellIs" dxfId="5111" priority="1513" operator="equal">
      <formula>$H$11=$E$11</formula>
    </cfRule>
  </conditionalFormatting>
  <conditionalFormatting sqref="H2235">
    <cfRule type="cellIs" dxfId="5110" priority="1512" operator="equal">
      <formula>$H$11=$E$11</formula>
    </cfRule>
  </conditionalFormatting>
  <conditionalFormatting sqref="H2235">
    <cfRule type="cellIs" dxfId="5109" priority="1511" operator="equal">
      <formula>$H$11=$E$11</formula>
    </cfRule>
  </conditionalFormatting>
  <conditionalFormatting sqref="H2247">
    <cfRule type="cellIs" dxfId="5108" priority="1510" operator="equal">
      <formula>$H$11=$E$11</formula>
    </cfRule>
  </conditionalFormatting>
  <conditionalFormatting sqref="H2247">
    <cfRule type="cellIs" dxfId="5107" priority="1509" operator="equal">
      <formula>$H$11=$E$11</formula>
    </cfRule>
  </conditionalFormatting>
  <conditionalFormatting sqref="G2297:I2300">
    <cfRule type="cellIs" dxfId="5106" priority="1485" operator="equal">
      <formula>"ACM CONCRETO"</formula>
    </cfRule>
    <cfRule type="cellIs" dxfId="5105" priority="1486" operator="equal">
      <formula>"ACM"</formula>
    </cfRule>
    <cfRule type="cellIs" dxfId="5104" priority="1487" operator="equal">
      <formula>"PASTILHA"</formula>
    </cfRule>
    <cfRule type="cellIs" dxfId="5103" priority="1488" operator="equal">
      <formula>"PISCINA"</formula>
    </cfRule>
    <cfRule type="cellIs" dxfId="5102" priority="1489" operator="equal">
      <formula>"CERAMICA"</formula>
    </cfRule>
    <cfRule type="cellIs" dxfId="5101" priority="1490" operator="equal">
      <formula>"RESERVATORIO"</formula>
    </cfRule>
    <cfRule type="cellIs" dxfId="5100" priority="1491" operator="equal">
      <formula>"ESQUADRIA"</formula>
    </cfRule>
    <cfRule type="cellIs" dxfId="5099" priority="1492" operator="equal">
      <formula>"ARGAMASSA"</formula>
    </cfRule>
    <cfRule type="cellIs" dxfId="5098" priority="1493" operator="equal">
      <formula>"MANTA"</formula>
    </cfRule>
    <cfRule type="cellIs" dxfId="5097" priority="1494" operator="equal">
      <formula>"BALDRAME"</formula>
    </cfRule>
    <cfRule type="cellIs" dxfId="5096" priority="1495" operator="equal">
      <formula>"PORCELANATO"</formula>
    </cfRule>
    <cfRule type="cellIs" dxfId="5095" priority="1496" operator="equal">
      <formula>"TINTA"</formula>
    </cfRule>
  </conditionalFormatting>
  <conditionalFormatting sqref="G2291:I2296">
    <cfRule type="cellIs" dxfId="5094" priority="1473" operator="equal">
      <formula>"ACM CONCRETO"</formula>
    </cfRule>
    <cfRule type="cellIs" dxfId="5093" priority="1474" operator="equal">
      <formula>"ACM"</formula>
    </cfRule>
    <cfRule type="cellIs" dxfId="5092" priority="1475" operator="equal">
      <formula>"PASTILHA"</formula>
    </cfRule>
    <cfRule type="cellIs" dxfId="5091" priority="1476" operator="equal">
      <formula>"PISCINA"</formula>
    </cfRule>
    <cfRule type="cellIs" dxfId="5090" priority="1477" operator="equal">
      <formula>"CERAMICA"</formula>
    </cfRule>
    <cfRule type="cellIs" dxfId="5089" priority="1478" operator="equal">
      <formula>"RESERVATORIO"</formula>
    </cfRule>
    <cfRule type="cellIs" dxfId="5088" priority="1479" operator="equal">
      <formula>"ESQUADRIA"</formula>
    </cfRule>
    <cfRule type="cellIs" dxfId="5087" priority="1480" operator="equal">
      <formula>"ARGAMASSA"</formula>
    </cfRule>
    <cfRule type="cellIs" dxfId="5086" priority="1481" operator="equal">
      <formula>"MANTA"</formula>
    </cfRule>
    <cfRule type="cellIs" dxfId="5085" priority="1482" operator="equal">
      <formula>"BALDRAME"</formula>
    </cfRule>
    <cfRule type="cellIs" dxfId="5084" priority="1483" operator="equal">
      <formula>"PORCELANATO"</formula>
    </cfRule>
    <cfRule type="cellIs" dxfId="5083" priority="1484" operator="equal">
      <formula>"TINTA"</formula>
    </cfRule>
  </conditionalFormatting>
  <conditionalFormatting sqref="G2287:I2290 G2256:I2261">
    <cfRule type="cellIs" dxfId="5082" priority="1461" operator="equal">
      <formula>"ACM CONCRETO"</formula>
    </cfRule>
    <cfRule type="cellIs" dxfId="5081" priority="1462" operator="equal">
      <formula>"ACM"</formula>
    </cfRule>
    <cfRule type="cellIs" dxfId="5080" priority="1463" operator="equal">
      <formula>"PASTILHA"</formula>
    </cfRule>
    <cfRule type="cellIs" dxfId="5079" priority="1464" operator="equal">
      <formula>"PISCINA"</formula>
    </cfRule>
    <cfRule type="cellIs" dxfId="5078" priority="1465" operator="equal">
      <formula>"CERAMICA"</formula>
    </cfRule>
    <cfRule type="cellIs" dxfId="5077" priority="1466" operator="equal">
      <formula>"RESERVATORIO"</formula>
    </cfRule>
    <cfRule type="cellIs" dxfId="5076" priority="1467" operator="equal">
      <formula>"ESQUADRIA"</formula>
    </cfRule>
    <cfRule type="cellIs" dxfId="5075" priority="1468" operator="equal">
      <formula>"ARGAMASSA"</formula>
    </cfRule>
    <cfRule type="cellIs" dxfId="5074" priority="1469" operator="equal">
      <formula>"MANTA"</formula>
    </cfRule>
    <cfRule type="cellIs" dxfId="5073" priority="1470" operator="equal">
      <formula>"BALDRAME"</formula>
    </cfRule>
    <cfRule type="cellIs" dxfId="5072" priority="1471" operator="equal">
      <formula>"PORCELANATO"</formula>
    </cfRule>
    <cfRule type="cellIs" dxfId="5071" priority="1472" operator="equal">
      <formula>"TINTA"</formula>
    </cfRule>
  </conditionalFormatting>
  <conditionalFormatting sqref="G2280:I2286">
    <cfRule type="cellIs" dxfId="5070" priority="1449" operator="equal">
      <formula>"ACM CONCRETO"</formula>
    </cfRule>
    <cfRule type="cellIs" dxfId="5069" priority="1450" operator="equal">
      <formula>"ACM"</formula>
    </cfRule>
    <cfRule type="cellIs" dxfId="5068" priority="1451" operator="equal">
      <formula>"PASTILHA"</formula>
    </cfRule>
    <cfRule type="cellIs" dxfId="5067" priority="1452" operator="equal">
      <formula>"PISCINA"</formula>
    </cfRule>
    <cfRule type="cellIs" dxfId="5066" priority="1453" operator="equal">
      <formula>"CERAMICA"</formula>
    </cfRule>
    <cfRule type="cellIs" dxfId="5065" priority="1454" operator="equal">
      <formula>"RESERVATORIO"</formula>
    </cfRule>
    <cfRule type="cellIs" dxfId="5064" priority="1455" operator="equal">
      <formula>"ESQUADRIA"</formula>
    </cfRule>
    <cfRule type="cellIs" dxfId="5063" priority="1456" operator="equal">
      <formula>"ARGAMASSA"</formula>
    </cfRule>
    <cfRule type="cellIs" dxfId="5062" priority="1457" operator="equal">
      <formula>"MANTA"</formula>
    </cfRule>
    <cfRule type="cellIs" dxfId="5061" priority="1458" operator="equal">
      <formula>"BALDRAME"</formula>
    </cfRule>
    <cfRule type="cellIs" dxfId="5060" priority="1459" operator="equal">
      <formula>"PORCELANATO"</formula>
    </cfRule>
    <cfRule type="cellIs" dxfId="5059" priority="1460" operator="equal">
      <formula>"TINTA"</formula>
    </cfRule>
  </conditionalFormatting>
  <conditionalFormatting sqref="G2274:I2279">
    <cfRule type="cellIs" dxfId="5058" priority="1437" operator="equal">
      <formula>"ACM CONCRETO"</formula>
    </cfRule>
    <cfRule type="cellIs" dxfId="5057" priority="1438" operator="equal">
      <formula>"ACM"</formula>
    </cfRule>
    <cfRule type="cellIs" dxfId="5056" priority="1439" operator="equal">
      <formula>"PASTILHA"</formula>
    </cfRule>
    <cfRule type="cellIs" dxfId="5055" priority="1440" operator="equal">
      <formula>"PISCINA"</formula>
    </cfRule>
    <cfRule type="cellIs" dxfId="5054" priority="1441" operator="equal">
      <formula>"CERAMICA"</formula>
    </cfRule>
    <cfRule type="cellIs" dxfId="5053" priority="1442" operator="equal">
      <formula>"RESERVATORIO"</formula>
    </cfRule>
    <cfRule type="cellIs" dxfId="5052" priority="1443" operator="equal">
      <formula>"ESQUADRIA"</formula>
    </cfRule>
    <cfRule type="cellIs" dxfId="5051" priority="1444" operator="equal">
      <formula>"ARGAMASSA"</formula>
    </cfRule>
    <cfRule type="cellIs" dxfId="5050" priority="1445" operator="equal">
      <formula>"MANTA"</formula>
    </cfRule>
    <cfRule type="cellIs" dxfId="5049" priority="1446" operator="equal">
      <formula>"BALDRAME"</formula>
    </cfRule>
    <cfRule type="cellIs" dxfId="5048" priority="1447" operator="equal">
      <formula>"PORCELANATO"</formula>
    </cfRule>
    <cfRule type="cellIs" dxfId="5047" priority="1448" operator="equal">
      <formula>"TINTA"</formula>
    </cfRule>
  </conditionalFormatting>
  <conditionalFormatting sqref="G2268:I2273">
    <cfRule type="cellIs" dxfId="5046" priority="1425" operator="equal">
      <formula>"ACM CONCRETO"</formula>
    </cfRule>
    <cfRule type="cellIs" dxfId="5045" priority="1426" operator="equal">
      <formula>"ACM"</formula>
    </cfRule>
    <cfRule type="cellIs" dxfId="5044" priority="1427" operator="equal">
      <formula>"PASTILHA"</formula>
    </cfRule>
    <cfRule type="cellIs" dxfId="5043" priority="1428" operator="equal">
      <formula>"PISCINA"</formula>
    </cfRule>
    <cfRule type="cellIs" dxfId="5042" priority="1429" operator="equal">
      <formula>"CERAMICA"</formula>
    </cfRule>
    <cfRule type="cellIs" dxfId="5041" priority="1430" operator="equal">
      <formula>"RESERVATORIO"</formula>
    </cfRule>
    <cfRule type="cellIs" dxfId="5040" priority="1431" operator="equal">
      <formula>"ESQUADRIA"</formula>
    </cfRule>
    <cfRule type="cellIs" dxfId="5039" priority="1432" operator="equal">
      <formula>"ARGAMASSA"</formula>
    </cfRule>
    <cfRule type="cellIs" dxfId="5038" priority="1433" operator="equal">
      <formula>"MANTA"</formula>
    </cfRule>
    <cfRule type="cellIs" dxfId="5037" priority="1434" operator="equal">
      <formula>"BALDRAME"</formula>
    </cfRule>
    <cfRule type="cellIs" dxfId="5036" priority="1435" operator="equal">
      <formula>"PORCELANATO"</formula>
    </cfRule>
    <cfRule type="cellIs" dxfId="5035" priority="1436" operator="equal">
      <formula>"TINTA"</formula>
    </cfRule>
  </conditionalFormatting>
  <conditionalFormatting sqref="G2262:I2267">
    <cfRule type="cellIs" dxfId="5034" priority="1413" operator="equal">
      <formula>"ACM CONCRETO"</formula>
    </cfRule>
    <cfRule type="cellIs" dxfId="5033" priority="1414" operator="equal">
      <formula>"ACM"</formula>
    </cfRule>
    <cfRule type="cellIs" dxfId="5032" priority="1415" operator="equal">
      <formula>"PASTILHA"</formula>
    </cfRule>
    <cfRule type="cellIs" dxfId="5031" priority="1416" operator="equal">
      <formula>"PISCINA"</formula>
    </cfRule>
    <cfRule type="cellIs" dxfId="5030" priority="1417" operator="equal">
      <formula>"CERAMICA"</formula>
    </cfRule>
    <cfRule type="cellIs" dxfId="5029" priority="1418" operator="equal">
      <formula>"RESERVATORIO"</formula>
    </cfRule>
    <cfRule type="cellIs" dxfId="5028" priority="1419" operator="equal">
      <formula>"ESQUADRIA"</formula>
    </cfRule>
    <cfRule type="cellIs" dxfId="5027" priority="1420" operator="equal">
      <formula>"ARGAMASSA"</formula>
    </cfRule>
    <cfRule type="cellIs" dxfId="5026" priority="1421" operator="equal">
      <formula>"MANTA"</formula>
    </cfRule>
    <cfRule type="cellIs" dxfId="5025" priority="1422" operator="equal">
      <formula>"BALDRAME"</formula>
    </cfRule>
    <cfRule type="cellIs" dxfId="5024" priority="1423" operator="equal">
      <formula>"PORCELANATO"</formula>
    </cfRule>
    <cfRule type="cellIs" dxfId="5023" priority="1424" operator="equal">
      <formula>"TINTA"</formula>
    </cfRule>
  </conditionalFormatting>
  <conditionalFormatting sqref="G2334:I2343 I2311:I2320 I2325:I2330 I2354:I2363 I2368:I2373 G2492:I2528 I2452:I2461 I2474:I2479 I2483:I2491 G2529:H2530 I2529:I2531 G2377:I2432">
    <cfRule type="cellIs" dxfId="5022" priority="1401" operator="equal">
      <formula>"ACM CONCRETO"</formula>
    </cfRule>
    <cfRule type="cellIs" dxfId="5021" priority="1402" operator="equal">
      <formula>"ACM"</formula>
    </cfRule>
    <cfRule type="cellIs" dxfId="5020" priority="1403" operator="equal">
      <formula>"PASTILHA"</formula>
    </cfRule>
    <cfRule type="cellIs" dxfId="5019" priority="1404" operator="equal">
      <formula>"PISCINA"</formula>
    </cfRule>
    <cfRule type="cellIs" dxfId="5018" priority="1405" operator="equal">
      <formula>"CERAMICA"</formula>
    </cfRule>
    <cfRule type="cellIs" dxfId="5017" priority="1406" operator="equal">
      <formula>"RESERVATORIO"</formula>
    </cfRule>
    <cfRule type="cellIs" dxfId="5016" priority="1407" operator="equal">
      <formula>"ESQUADRIA"</formula>
    </cfRule>
    <cfRule type="cellIs" dxfId="5015" priority="1408" operator="equal">
      <formula>"ARGAMASSA"</formula>
    </cfRule>
    <cfRule type="cellIs" dxfId="5014" priority="1409" operator="equal">
      <formula>"MANTA"</formula>
    </cfRule>
    <cfRule type="cellIs" dxfId="5013" priority="1410" operator="equal">
      <formula>"BALDRAME"</formula>
    </cfRule>
    <cfRule type="cellIs" dxfId="5012" priority="1411" operator="equal">
      <formula>"PORCELANATO"</formula>
    </cfRule>
    <cfRule type="cellIs" dxfId="5011" priority="1412" operator="equal">
      <formula>"TINTA"</formula>
    </cfRule>
  </conditionalFormatting>
  <conditionalFormatting sqref="I2311:I2320 I2325:I2330">
    <cfRule type="cellIs" dxfId="5010" priority="1399" operator="equal">
      <formula>"REVER"</formula>
    </cfRule>
    <cfRule type="cellIs" dxfId="5009" priority="1400" operator="equal">
      <formula>"OKAY"</formula>
    </cfRule>
  </conditionalFormatting>
  <conditionalFormatting sqref="H2301:H2309 H2311:H2321 H2325:H2333">
    <cfRule type="cellIs" dxfId="5008" priority="1398" operator="greaterThan">
      <formula>0</formula>
    </cfRule>
  </conditionalFormatting>
  <conditionalFormatting sqref="I2331:I2333">
    <cfRule type="cellIs" dxfId="5007" priority="1386" operator="equal">
      <formula>"ACM CONCRETO"</formula>
    </cfRule>
    <cfRule type="cellIs" dxfId="5006" priority="1387" operator="equal">
      <formula>"ACM"</formula>
    </cfRule>
    <cfRule type="cellIs" dxfId="5005" priority="1388" operator="equal">
      <formula>"PASTILHA"</formula>
    </cfRule>
    <cfRule type="cellIs" dxfId="5004" priority="1389" operator="equal">
      <formula>"PISCINA"</formula>
    </cfRule>
    <cfRule type="cellIs" dxfId="5003" priority="1390" operator="equal">
      <formula>"CERAMICA"</formula>
    </cfRule>
    <cfRule type="cellIs" dxfId="5002" priority="1391" operator="equal">
      <formula>"RESERVATORIO"</formula>
    </cfRule>
    <cfRule type="cellIs" dxfId="5001" priority="1392" operator="equal">
      <formula>"ESQUADRIA"</formula>
    </cfRule>
    <cfRule type="cellIs" dxfId="5000" priority="1393" operator="equal">
      <formula>"ARGAMASSA"</formula>
    </cfRule>
    <cfRule type="cellIs" dxfId="4999" priority="1394" operator="equal">
      <formula>"MANTA"</formula>
    </cfRule>
    <cfRule type="cellIs" dxfId="4998" priority="1395" operator="equal">
      <formula>"BALDRAME"</formula>
    </cfRule>
    <cfRule type="cellIs" dxfId="4997" priority="1396" operator="equal">
      <formula>"PORCELANATO"</formula>
    </cfRule>
    <cfRule type="cellIs" dxfId="4996" priority="1397" operator="equal">
      <formula>"TINTA"</formula>
    </cfRule>
  </conditionalFormatting>
  <conditionalFormatting sqref="I2301">
    <cfRule type="cellIs" dxfId="4995" priority="1377" operator="equal">
      <formula>"REVER"</formula>
    </cfRule>
    <cfRule type="cellIs" dxfId="4994" priority="1385" operator="equal">
      <formula>"OKAY"</formula>
    </cfRule>
  </conditionalFormatting>
  <conditionalFormatting sqref="I2301">
    <cfRule type="cellIs" dxfId="4993" priority="1372" operator="equal">
      <formula>"ACM CONCRETO"</formula>
    </cfRule>
    <cfRule type="cellIs" dxfId="4992" priority="1373" operator="equal">
      <formula>"ACM"</formula>
    </cfRule>
    <cfRule type="cellIs" dxfId="4991" priority="1374" operator="equal">
      <formula>"PASTILHA"</formula>
    </cfRule>
    <cfRule type="cellIs" dxfId="4990" priority="1375" operator="equal">
      <formula>"PISCINA"</formula>
    </cfRule>
    <cfRule type="cellIs" dxfId="4989" priority="1376" operator="equal">
      <formula>"CERAMICA"</formula>
    </cfRule>
    <cfRule type="cellIs" dxfId="4988" priority="1378" operator="equal">
      <formula>"RESERVATORIO"</formula>
    </cfRule>
    <cfRule type="cellIs" dxfId="4987" priority="1379" operator="equal">
      <formula>"ESQUADRIA"</formula>
    </cfRule>
    <cfRule type="cellIs" dxfId="4986" priority="1380" operator="equal">
      <formula>"ARGAMASSA"</formula>
    </cfRule>
    <cfRule type="cellIs" dxfId="4985" priority="1381" operator="equal">
      <formula>"MANTA"</formula>
    </cfRule>
    <cfRule type="cellIs" dxfId="4984" priority="1382" operator="equal">
      <formula>"BALDRAME"</formula>
    </cfRule>
    <cfRule type="cellIs" dxfId="4983" priority="1383" operator="equal">
      <formula>"PORCELANATO"</formula>
    </cfRule>
    <cfRule type="cellIs" dxfId="4982" priority="1384" operator="equal">
      <formula>"TINTA"</formula>
    </cfRule>
  </conditionalFormatting>
  <conditionalFormatting sqref="H2301">
    <cfRule type="cellIs" dxfId="4981" priority="1371" operator="equal">
      <formula>$H$11=$E$11</formula>
    </cfRule>
  </conditionalFormatting>
  <conditionalFormatting sqref="H2301">
    <cfRule type="cellIs" dxfId="4980" priority="1370" operator="equal">
      <formula>$H$11=$E$11</formula>
    </cfRule>
  </conditionalFormatting>
  <conditionalFormatting sqref="I2302:I2307">
    <cfRule type="cellIs" dxfId="4979" priority="1361" operator="equal">
      <formula>"REVER"</formula>
    </cfRule>
    <cfRule type="cellIs" dxfId="4978" priority="1369" operator="equal">
      <formula>"OKAY"</formula>
    </cfRule>
  </conditionalFormatting>
  <conditionalFormatting sqref="I2302:I2307">
    <cfRule type="cellIs" dxfId="4977" priority="1356" operator="equal">
      <formula>"ACM CONCRETO"</formula>
    </cfRule>
    <cfRule type="cellIs" dxfId="4976" priority="1357" operator="equal">
      <formula>"ACM"</formula>
    </cfRule>
    <cfRule type="cellIs" dxfId="4975" priority="1358" operator="equal">
      <formula>"PASTILHA"</formula>
    </cfRule>
    <cfRule type="cellIs" dxfId="4974" priority="1359" operator="equal">
      <formula>"PISCINA"</formula>
    </cfRule>
    <cfRule type="cellIs" dxfId="4973" priority="1360" operator="equal">
      <formula>"CERAMICA"</formula>
    </cfRule>
    <cfRule type="cellIs" dxfId="4972" priority="1362" operator="equal">
      <formula>"RESERVATORIO"</formula>
    </cfRule>
    <cfRule type="cellIs" dxfId="4971" priority="1363" operator="equal">
      <formula>"ESQUADRIA"</formula>
    </cfRule>
    <cfRule type="cellIs" dxfId="4970" priority="1364" operator="equal">
      <formula>"ARGAMASSA"</formula>
    </cfRule>
    <cfRule type="cellIs" dxfId="4969" priority="1365" operator="equal">
      <formula>"MANTA"</formula>
    </cfRule>
    <cfRule type="cellIs" dxfId="4968" priority="1366" operator="equal">
      <formula>"BALDRAME"</formula>
    </cfRule>
    <cfRule type="cellIs" dxfId="4967" priority="1367" operator="equal">
      <formula>"PORCELANATO"</formula>
    </cfRule>
    <cfRule type="cellIs" dxfId="4966" priority="1368" operator="equal">
      <formula>"TINTA"</formula>
    </cfRule>
  </conditionalFormatting>
  <conditionalFormatting sqref="H2313">
    <cfRule type="cellIs" dxfId="4965" priority="1355" operator="equal">
      <formula>$H$11=$E$11</formula>
    </cfRule>
  </conditionalFormatting>
  <conditionalFormatting sqref="H2311">
    <cfRule type="cellIs" dxfId="4964" priority="1354" operator="equal">
      <formula>$H$11=$E$11</formula>
    </cfRule>
  </conditionalFormatting>
  <conditionalFormatting sqref="H2325">
    <cfRule type="cellIs" dxfId="4963" priority="1353" operator="equal">
      <formula>$H$11=$E$11</formula>
    </cfRule>
  </conditionalFormatting>
  <conditionalFormatting sqref="H2313">
    <cfRule type="cellIs" dxfId="4962" priority="1352" operator="equal">
      <formula>$H$11=$E$11</formula>
    </cfRule>
  </conditionalFormatting>
  <conditionalFormatting sqref="H2313">
    <cfRule type="cellIs" dxfId="4961" priority="1351" operator="equal">
      <formula>$H$11=$E$11</formula>
    </cfRule>
  </conditionalFormatting>
  <conditionalFormatting sqref="H2313">
    <cfRule type="cellIs" dxfId="4960" priority="1350" operator="equal">
      <formula>$H$11=$E$11</formula>
    </cfRule>
  </conditionalFormatting>
  <conditionalFormatting sqref="H2325">
    <cfRule type="cellIs" dxfId="4959" priority="1349" operator="equal">
      <formula>$H$11=$E$11</formula>
    </cfRule>
  </conditionalFormatting>
  <conditionalFormatting sqref="H2325">
    <cfRule type="cellIs" dxfId="4958" priority="1348" operator="equal">
      <formula>$H$11=$E$11</formula>
    </cfRule>
  </conditionalFormatting>
  <conditionalFormatting sqref="I2354:I2363 I2368:I2373">
    <cfRule type="cellIs" dxfId="4957" priority="1346" operator="equal">
      <formula>"REVER"</formula>
    </cfRule>
    <cfRule type="cellIs" dxfId="4956" priority="1347" operator="equal">
      <formula>"OKAY"</formula>
    </cfRule>
  </conditionalFormatting>
  <conditionalFormatting sqref="H2344:H2352 H2354:H2364 H2368:H2376">
    <cfRule type="cellIs" dxfId="4955" priority="1345" operator="greaterThan">
      <formula>0</formula>
    </cfRule>
  </conditionalFormatting>
  <conditionalFormatting sqref="I2374:I2376">
    <cfRule type="cellIs" dxfId="4954" priority="1333" operator="equal">
      <formula>"ACM CONCRETO"</formula>
    </cfRule>
    <cfRule type="cellIs" dxfId="4953" priority="1334" operator="equal">
      <formula>"ACM"</formula>
    </cfRule>
    <cfRule type="cellIs" dxfId="4952" priority="1335" operator="equal">
      <formula>"PASTILHA"</formula>
    </cfRule>
    <cfRule type="cellIs" dxfId="4951" priority="1336" operator="equal">
      <formula>"PISCINA"</formula>
    </cfRule>
    <cfRule type="cellIs" dxfId="4950" priority="1337" operator="equal">
      <formula>"CERAMICA"</formula>
    </cfRule>
    <cfRule type="cellIs" dxfId="4949" priority="1338" operator="equal">
      <formula>"RESERVATORIO"</formula>
    </cfRule>
    <cfRule type="cellIs" dxfId="4948" priority="1339" operator="equal">
      <formula>"ESQUADRIA"</formula>
    </cfRule>
    <cfRule type="cellIs" dxfId="4947" priority="1340" operator="equal">
      <formula>"ARGAMASSA"</formula>
    </cfRule>
    <cfRule type="cellIs" dxfId="4946" priority="1341" operator="equal">
      <formula>"MANTA"</formula>
    </cfRule>
    <cfRule type="cellIs" dxfId="4945" priority="1342" operator="equal">
      <formula>"BALDRAME"</formula>
    </cfRule>
    <cfRule type="cellIs" dxfId="4944" priority="1343" operator="equal">
      <formula>"PORCELANATO"</formula>
    </cfRule>
    <cfRule type="cellIs" dxfId="4943" priority="1344" operator="equal">
      <formula>"TINTA"</formula>
    </cfRule>
  </conditionalFormatting>
  <conditionalFormatting sqref="I2344">
    <cfRule type="cellIs" dxfId="4942" priority="1324" operator="equal">
      <formula>"REVER"</formula>
    </cfRule>
    <cfRule type="cellIs" dxfId="4941" priority="1332" operator="equal">
      <formula>"OKAY"</formula>
    </cfRule>
  </conditionalFormatting>
  <conditionalFormatting sqref="I2344">
    <cfRule type="cellIs" dxfId="4940" priority="1319" operator="equal">
      <formula>"ACM CONCRETO"</formula>
    </cfRule>
    <cfRule type="cellIs" dxfId="4939" priority="1320" operator="equal">
      <formula>"ACM"</formula>
    </cfRule>
    <cfRule type="cellIs" dxfId="4938" priority="1321" operator="equal">
      <formula>"PASTILHA"</formula>
    </cfRule>
    <cfRule type="cellIs" dxfId="4937" priority="1322" operator="equal">
      <formula>"PISCINA"</formula>
    </cfRule>
    <cfRule type="cellIs" dxfId="4936" priority="1323" operator="equal">
      <formula>"CERAMICA"</formula>
    </cfRule>
    <cfRule type="cellIs" dxfId="4935" priority="1325" operator="equal">
      <formula>"RESERVATORIO"</formula>
    </cfRule>
    <cfRule type="cellIs" dxfId="4934" priority="1326" operator="equal">
      <formula>"ESQUADRIA"</formula>
    </cfRule>
    <cfRule type="cellIs" dxfId="4933" priority="1327" operator="equal">
      <formula>"ARGAMASSA"</formula>
    </cfRule>
    <cfRule type="cellIs" dxfId="4932" priority="1328" operator="equal">
      <formula>"MANTA"</formula>
    </cfRule>
    <cfRule type="cellIs" dxfId="4931" priority="1329" operator="equal">
      <formula>"BALDRAME"</formula>
    </cfRule>
    <cfRule type="cellIs" dxfId="4930" priority="1330" operator="equal">
      <formula>"PORCELANATO"</formula>
    </cfRule>
    <cfRule type="cellIs" dxfId="4929" priority="1331" operator="equal">
      <formula>"TINTA"</formula>
    </cfRule>
  </conditionalFormatting>
  <conditionalFormatting sqref="H2344">
    <cfRule type="cellIs" dxfId="4928" priority="1318" operator="equal">
      <formula>$H$11=$E$11</formula>
    </cfRule>
  </conditionalFormatting>
  <conditionalFormatting sqref="H2344">
    <cfRule type="cellIs" dxfId="4927" priority="1317" operator="equal">
      <formula>$H$11=$E$11</formula>
    </cfRule>
  </conditionalFormatting>
  <conditionalFormatting sqref="I2345:I2350">
    <cfRule type="cellIs" dxfId="4926" priority="1308" operator="equal">
      <formula>"REVER"</formula>
    </cfRule>
    <cfRule type="cellIs" dxfId="4925" priority="1316" operator="equal">
      <formula>"OKAY"</formula>
    </cfRule>
  </conditionalFormatting>
  <conditionalFormatting sqref="I2345:I2350">
    <cfRule type="cellIs" dxfId="4924" priority="1303" operator="equal">
      <formula>"ACM CONCRETO"</formula>
    </cfRule>
    <cfRule type="cellIs" dxfId="4923" priority="1304" operator="equal">
      <formula>"ACM"</formula>
    </cfRule>
    <cfRule type="cellIs" dxfId="4922" priority="1305" operator="equal">
      <formula>"PASTILHA"</formula>
    </cfRule>
    <cfRule type="cellIs" dxfId="4921" priority="1306" operator="equal">
      <formula>"PISCINA"</formula>
    </cfRule>
    <cfRule type="cellIs" dxfId="4920" priority="1307" operator="equal">
      <formula>"CERAMICA"</formula>
    </cfRule>
    <cfRule type="cellIs" dxfId="4919" priority="1309" operator="equal">
      <formula>"RESERVATORIO"</formula>
    </cfRule>
    <cfRule type="cellIs" dxfId="4918" priority="1310" operator="equal">
      <formula>"ESQUADRIA"</formula>
    </cfRule>
    <cfRule type="cellIs" dxfId="4917" priority="1311" operator="equal">
      <formula>"ARGAMASSA"</formula>
    </cfRule>
    <cfRule type="cellIs" dxfId="4916" priority="1312" operator="equal">
      <formula>"MANTA"</formula>
    </cfRule>
    <cfRule type="cellIs" dxfId="4915" priority="1313" operator="equal">
      <formula>"BALDRAME"</formula>
    </cfRule>
    <cfRule type="cellIs" dxfId="4914" priority="1314" operator="equal">
      <formula>"PORCELANATO"</formula>
    </cfRule>
    <cfRule type="cellIs" dxfId="4913" priority="1315" operator="equal">
      <formula>"TINTA"</formula>
    </cfRule>
  </conditionalFormatting>
  <conditionalFormatting sqref="H2356">
    <cfRule type="cellIs" dxfId="4912" priority="1302" operator="equal">
      <formula>$H$11=$E$11</formula>
    </cfRule>
  </conditionalFormatting>
  <conditionalFormatting sqref="H2354">
    <cfRule type="cellIs" dxfId="4911" priority="1301" operator="equal">
      <formula>$H$11=$E$11</formula>
    </cfRule>
  </conditionalFormatting>
  <conditionalFormatting sqref="H2368">
    <cfRule type="cellIs" dxfId="4910" priority="1300" operator="equal">
      <formula>$H$11=$E$11</formula>
    </cfRule>
  </conditionalFormatting>
  <conditionalFormatting sqref="H2356">
    <cfRule type="cellIs" dxfId="4909" priority="1299" operator="equal">
      <formula>$H$11=$E$11</formula>
    </cfRule>
  </conditionalFormatting>
  <conditionalFormatting sqref="H2356">
    <cfRule type="cellIs" dxfId="4908" priority="1298" operator="equal">
      <formula>$H$11=$E$11</formula>
    </cfRule>
  </conditionalFormatting>
  <conditionalFormatting sqref="H2356">
    <cfRule type="cellIs" dxfId="4907" priority="1297" operator="equal">
      <formula>$H$11=$E$11</formula>
    </cfRule>
  </conditionalFormatting>
  <conditionalFormatting sqref="H2368">
    <cfRule type="cellIs" dxfId="4906" priority="1296" operator="equal">
      <formula>$H$11=$E$11</formula>
    </cfRule>
  </conditionalFormatting>
  <conditionalFormatting sqref="H2368">
    <cfRule type="cellIs" dxfId="4905" priority="1295" operator="equal">
      <formula>$H$11=$E$11</formula>
    </cfRule>
  </conditionalFormatting>
  <conditionalFormatting sqref="I2452:I2461 I2474:I2479">
    <cfRule type="cellIs" dxfId="4904" priority="1293" operator="equal">
      <formula>"REVER"</formula>
    </cfRule>
    <cfRule type="cellIs" dxfId="4903" priority="1294" operator="equal">
      <formula>"OKAY"</formula>
    </cfRule>
  </conditionalFormatting>
  <conditionalFormatting sqref="H2433:H2450 H2452:H2471 H2474:H2491">
    <cfRule type="cellIs" dxfId="4902" priority="1292" operator="greaterThan">
      <formula>0</formula>
    </cfRule>
  </conditionalFormatting>
  <conditionalFormatting sqref="I2480:I2482">
    <cfRule type="cellIs" dxfId="4901" priority="1280" operator="equal">
      <formula>"ACM CONCRETO"</formula>
    </cfRule>
    <cfRule type="cellIs" dxfId="4900" priority="1281" operator="equal">
      <formula>"ACM"</formula>
    </cfRule>
    <cfRule type="cellIs" dxfId="4899" priority="1282" operator="equal">
      <formula>"PASTILHA"</formula>
    </cfRule>
    <cfRule type="cellIs" dxfId="4898" priority="1283" operator="equal">
      <formula>"PISCINA"</formula>
    </cfRule>
    <cfRule type="cellIs" dxfId="4897" priority="1284" operator="equal">
      <formula>"CERAMICA"</formula>
    </cfRule>
    <cfRule type="cellIs" dxfId="4896" priority="1285" operator="equal">
      <formula>"RESERVATORIO"</formula>
    </cfRule>
    <cfRule type="cellIs" dxfId="4895" priority="1286" operator="equal">
      <formula>"ESQUADRIA"</formula>
    </cfRule>
    <cfRule type="cellIs" dxfId="4894" priority="1287" operator="equal">
      <formula>"ARGAMASSA"</formula>
    </cfRule>
    <cfRule type="cellIs" dxfId="4893" priority="1288" operator="equal">
      <formula>"MANTA"</formula>
    </cfRule>
    <cfRule type="cellIs" dxfId="4892" priority="1289" operator="equal">
      <formula>"BALDRAME"</formula>
    </cfRule>
    <cfRule type="cellIs" dxfId="4891" priority="1290" operator="equal">
      <formula>"PORCELANATO"</formula>
    </cfRule>
    <cfRule type="cellIs" dxfId="4890" priority="1291" operator="equal">
      <formula>"TINTA"</formula>
    </cfRule>
  </conditionalFormatting>
  <conditionalFormatting sqref="I2433">
    <cfRule type="cellIs" dxfId="4889" priority="1271" operator="equal">
      <formula>"REVER"</formula>
    </cfRule>
    <cfRule type="cellIs" dxfId="4888" priority="1279" operator="equal">
      <formula>"OKAY"</formula>
    </cfRule>
  </conditionalFormatting>
  <conditionalFormatting sqref="I2433">
    <cfRule type="cellIs" dxfId="4887" priority="1266" operator="equal">
      <formula>"ACM CONCRETO"</formula>
    </cfRule>
    <cfRule type="cellIs" dxfId="4886" priority="1267" operator="equal">
      <formula>"ACM"</formula>
    </cfRule>
    <cfRule type="cellIs" dxfId="4885" priority="1268" operator="equal">
      <formula>"PASTILHA"</formula>
    </cfRule>
    <cfRule type="cellIs" dxfId="4884" priority="1269" operator="equal">
      <formula>"PISCINA"</formula>
    </cfRule>
    <cfRule type="cellIs" dxfId="4883" priority="1270" operator="equal">
      <formula>"CERAMICA"</formula>
    </cfRule>
    <cfRule type="cellIs" dxfId="4882" priority="1272" operator="equal">
      <formula>"RESERVATORIO"</formula>
    </cfRule>
    <cfRule type="cellIs" dxfId="4881" priority="1273" operator="equal">
      <formula>"ESQUADRIA"</formula>
    </cfRule>
    <cfRule type="cellIs" dxfId="4880" priority="1274" operator="equal">
      <formula>"ARGAMASSA"</formula>
    </cfRule>
    <cfRule type="cellIs" dxfId="4879" priority="1275" operator="equal">
      <formula>"MANTA"</formula>
    </cfRule>
    <cfRule type="cellIs" dxfId="4878" priority="1276" operator="equal">
      <formula>"BALDRAME"</formula>
    </cfRule>
    <cfRule type="cellIs" dxfId="4877" priority="1277" operator="equal">
      <formula>"PORCELANATO"</formula>
    </cfRule>
    <cfRule type="cellIs" dxfId="4876" priority="1278" operator="equal">
      <formula>"TINTA"</formula>
    </cfRule>
  </conditionalFormatting>
  <conditionalFormatting sqref="H2433">
    <cfRule type="cellIs" dxfId="4875" priority="1265" operator="equal">
      <formula>$H$11=$E$11</formula>
    </cfRule>
  </conditionalFormatting>
  <conditionalFormatting sqref="H2433">
    <cfRule type="cellIs" dxfId="4874" priority="1264" operator="equal">
      <formula>$H$11=$E$11</formula>
    </cfRule>
  </conditionalFormatting>
  <conditionalFormatting sqref="I2434:I2439">
    <cfRule type="cellIs" dxfId="4873" priority="1255" operator="equal">
      <formula>"REVER"</formula>
    </cfRule>
    <cfRule type="cellIs" dxfId="4872" priority="1263" operator="equal">
      <formula>"OKAY"</formula>
    </cfRule>
  </conditionalFormatting>
  <conditionalFormatting sqref="I2434:I2439">
    <cfRule type="cellIs" dxfId="4871" priority="1250" operator="equal">
      <formula>"ACM CONCRETO"</formula>
    </cfRule>
    <cfRule type="cellIs" dxfId="4870" priority="1251" operator="equal">
      <formula>"ACM"</formula>
    </cfRule>
    <cfRule type="cellIs" dxfId="4869" priority="1252" operator="equal">
      <formula>"PASTILHA"</formula>
    </cfRule>
    <cfRule type="cellIs" dxfId="4868" priority="1253" operator="equal">
      <formula>"PISCINA"</formula>
    </cfRule>
    <cfRule type="cellIs" dxfId="4867" priority="1254" operator="equal">
      <formula>"CERAMICA"</formula>
    </cfRule>
    <cfRule type="cellIs" dxfId="4866" priority="1256" operator="equal">
      <formula>"RESERVATORIO"</formula>
    </cfRule>
    <cfRule type="cellIs" dxfId="4865" priority="1257" operator="equal">
      <formula>"ESQUADRIA"</formula>
    </cfRule>
    <cfRule type="cellIs" dxfId="4864" priority="1258" operator="equal">
      <formula>"ARGAMASSA"</formula>
    </cfRule>
    <cfRule type="cellIs" dxfId="4863" priority="1259" operator="equal">
      <formula>"MANTA"</formula>
    </cfRule>
    <cfRule type="cellIs" dxfId="4862" priority="1260" operator="equal">
      <formula>"BALDRAME"</formula>
    </cfRule>
    <cfRule type="cellIs" dxfId="4861" priority="1261" operator="equal">
      <formula>"PORCELANATO"</formula>
    </cfRule>
    <cfRule type="cellIs" dxfId="4860" priority="1262" operator="equal">
      <formula>"TINTA"</formula>
    </cfRule>
  </conditionalFormatting>
  <conditionalFormatting sqref="H2454">
    <cfRule type="cellIs" dxfId="4859" priority="1249" operator="equal">
      <formula>$H$11=$E$11</formula>
    </cfRule>
  </conditionalFormatting>
  <conditionalFormatting sqref="H2452">
    <cfRule type="cellIs" dxfId="4858" priority="1248" operator="equal">
      <formula>$H$11=$E$11</formula>
    </cfRule>
  </conditionalFormatting>
  <conditionalFormatting sqref="H2474">
    <cfRule type="cellIs" dxfId="4857" priority="1247" operator="equal">
      <formula>$H$11=$E$11</formula>
    </cfRule>
  </conditionalFormatting>
  <conditionalFormatting sqref="H2454">
    <cfRule type="cellIs" dxfId="4856" priority="1246" operator="equal">
      <formula>$H$11=$E$11</formula>
    </cfRule>
  </conditionalFormatting>
  <conditionalFormatting sqref="H2454">
    <cfRule type="cellIs" dxfId="4855" priority="1245" operator="equal">
      <formula>$H$11=$E$11</formula>
    </cfRule>
  </conditionalFormatting>
  <conditionalFormatting sqref="H2454">
    <cfRule type="cellIs" dxfId="4854" priority="1244" operator="equal">
      <formula>$H$11=$E$11</formula>
    </cfRule>
  </conditionalFormatting>
  <conditionalFormatting sqref="H2474">
    <cfRule type="cellIs" dxfId="4853" priority="1243" operator="equal">
      <formula>$H$11=$E$11</formula>
    </cfRule>
  </conditionalFormatting>
  <conditionalFormatting sqref="H2474">
    <cfRule type="cellIs" dxfId="4852" priority="1242" operator="equal">
      <formula>$H$11=$E$11</formula>
    </cfRule>
  </conditionalFormatting>
  <conditionalFormatting sqref="H2454">
    <cfRule type="cellIs" dxfId="4851" priority="1241" operator="equal">
      <formula>$H$11=$E$11</formula>
    </cfRule>
  </conditionalFormatting>
  <conditionalFormatting sqref="H2454">
    <cfRule type="cellIs" dxfId="4850" priority="1240" operator="equal">
      <formula>$H$11=$E$11</formula>
    </cfRule>
  </conditionalFormatting>
  <conditionalFormatting sqref="H2474">
    <cfRule type="cellIs" dxfId="4849" priority="1239" operator="equal">
      <formula>$H$11=$E$11</formula>
    </cfRule>
  </conditionalFormatting>
  <conditionalFormatting sqref="H2474">
    <cfRule type="cellIs" dxfId="4848" priority="1238" operator="equal">
      <formula>$H$11=$E$11</formula>
    </cfRule>
  </conditionalFormatting>
  <conditionalFormatting sqref="M2597 M2599">
    <cfRule type="cellIs" dxfId="4847" priority="1202" operator="equal">
      <formula>"FRONTAL"</formula>
    </cfRule>
    <cfRule type="cellIs" dxfId="4846" priority="1203" operator="equal">
      <formula>"POSTERIOR"</formula>
    </cfRule>
    <cfRule type="cellIs" dxfId="4845" priority="1204" operator="equal">
      <formula>"ESQUERDA"</formula>
    </cfRule>
    <cfRule type="cellIs" dxfId="4844" priority="1205" operator="equal">
      <formula>"DIREITA"</formula>
    </cfRule>
  </conditionalFormatting>
  <conditionalFormatting sqref="M2598">
    <cfRule type="cellIs" dxfId="4843" priority="1198" operator="equal">
      <formula>"FRONTAL"</formula>
    </cfRule>
    <cfRule type="cellIs" dxfId="4842" priority="1199" operator="equal">
      <formula>"POSTERIOR"</formula>
    </cfRule>
    <cfRule type="cellIs" dxfId="4841" priority="1200" operator="equal">
      <formula>"ESQUERDA"</formula>
    </cfRule>
    <cfRule type="cellIs" dxfId="4840" priority="1201" operator="equal">
      <formula>"DIREITA"</formula>
    </cfRule>
  </conditionalFormatting>
  <conditionalFormatting sqref="H2531:H2548 H2550:H2569 H2572:H2589">
    <cfRule type="cellIs" dxfId="4839" priority="1165" operator="greaterThan">
      <formula>0</formula>
    </cfRule>
  </conditionalFormatting>
  <conditionalFormatting sqref="H2531">
    <cfRule type="cellIs" dxfId="4838" priority="1164" operator="equal">
      <formula>$H$11=$E$11</formula>
    </cfRule>
  </conditionalFormatting>
  <conditionalFormatting sqref="H2531">
    <cfRule type="cellIs" dxfId="4837" priority="1163" operator="equal">
      <formula>$H$11=$E$11</formula>
    </cfRule>
  </conditionalFormatting>
  <conditionalFormatting sqref="H2552">
    <cfRule type="cellIs" dxfId="4836" priority="1162" operator="equal">
      <formula>$H$11=$E$11</formula>
    </cfRule>
  </conditionalFormatting>
  <conditionalFormatting sqref="H2550">
    <cfRule type="cellIs" dxfId="4835" priority="1161" operator="equal">
      <formula>$H$11=$E$11</formula>
    </cfRule>
  </conditionalFormatting>
  <conditionalFormatting sqref="H2572">
    <cfRule type="cellIs" dxfId="4834" priority="1160" operator="equal">
      <formula>$H$11=$E$11</formula>
    </cfRule>
  </conditionalFormatting>
  <conditionalFormatting sqref="H2552">
    <cfRule type="cellIs" dxfId="4833" priority="1159" operator="equal">
      <formula>$H$11=$E$11</formula>
    </cfRule>
  </conditionalFormatting>
  <conditionalFormatting sqref="H2552">
    <cfRule type="cellIs" dxfId="4832" priority="1158" operator="equal">
      <formula>$H$11=$E$11</formula>
    </cfRule>
  </conditionalFormatting>
  <conditionalFormatting sqref="H2552">
    <cfRule type="cellIs" dxfId="4831" priority="1157" operator="equal">
      <formula>$H$11=$E$11</formula>
    </cfRule>
  </conditionalFormatting>
  <conditionalFormatting sqref="H2572">
    <cfRule type="cellIs" dxfId="4830" priority="1156" operator="equal">
      <formula>$H$11=$E$11</formula>
    </cfRule>
  </conditionalFormatting>
  <conditionalFormatting sqref="H2572">
    <cfRule type="cellIs" dxfId="4829" priority="1155" operator="equal">
      <formula>$H$11=$E$11</formula>
    </cfRule>
  </conditionalFormatting>
  <conditionalFormatting sqref="H2552">
    <cfRule type="cellIs" dxfId="4828" priority="1154" operator="equal">
      <formula>$H$11=$E$11</formula>
    </cfRule>
  </conditionalFormatting>
  <conditionalFormatting sqref="H2552">
    <cfRule type="cellIs" dxfId="4827" priority="1153" operator="equal">
      <formula>$H$11=$E$11</formula>
    </cfRule>
  </conditionalFormatting>
  <conditionalFormatting sqref="H2572">
    <cfRule type="cellIs" dxfId="4826" priority="1152" operator="equal">
      <formula>$H$11=$E$11</formula>
    </cfRule>
  </conditionalFormatting>
  <conditionalFormatting sqref="H2572">
    <cfRule type="cellIs" dxfId="4825" priority="1151" operator="equal">
      <formula>$H$11=$E$11</formula>
    </cfRule>
  </conditionalFormatting>
  <conditionalFormatting sqref="I2531">
    <cfRule type="cellIs" dxfId="4824" priority="1142" operator="equal">
      <formula>"REVER"</formula>
    </cfRule>
    <cfRule type="cellIs" dxfId="4823" priority="1150" operator="equal">
      <formula>"OKAY"</formula>
    </cfRule>
  </conditionalFormatting>
  <conditionalFormatting sqref="I2531">
    <cfRule type="cellIs" dxfId="4822" priority="1137" operator="equal">
      <formula>"ACM CONCRETO"</formula>
    </cfRule>
    <cfRule type="cellIs" dxfId="4821" priority="1138" operator="equal">
      <formula>"ACM"</formula>
    </cfRule>
    <cfRule type="cellIs" dxfId="4820" priority="1139" operator="equal">
      <formula>"PASTILHA"</formula>
    </cfRule>
    <cfRule type="cellIs" dxfId="4819" priority="1140" operator="equal">
      <formula>"PISCINA"</formula>
    </cfRule>
    <cfRule type="cellIs" dxfId="4818" priority="1141" operator="equal">
      <formula>"CERAMICA"</formula>
    </cfRule>
    <cfRule type="cellIs" dxfId="4817" priority="1143" operator="equal">
      <formula>"RESERVATORIO"</formula>
    </cfRule>
    <cfRule type="cellIs" dxfId="4816" priority="1144" operator="equal">
      <formula>"ESQUADRIA"</formula>
    </cfRule>
    <cfRule type="cellIs" dxfId="4815" priority="1145" operator="equal">
      <formula>"ARGAMASSA"</formula>
    </cfRule>
    <cfRule type="cellIs" dxfId="4814" priority="1146" operator="equal">
      <formula>"MANTA"</formula>
    </cfRule>
    <cfRule type="cellIs" dxfId="4813" priority="1147" operator="equal">
      <formula>"BALDRAME"</formula>
    </cfRule>
    <cfRule type="cellIs" dxfId="4812" priority="1148" operator="equal">
      <formula>"PORCELANATO"</formula>
    </cfRule>
    <cfRule type="cellIs" dxfId="4811" priority="1149" operator="equal">
      <formula>"TINTA"</formula>
    </cfRule>
  </conditionalFormatting>
  <conditionalFormatting sqref="G2935:I2943 G2892:I2901">
    <cfRule type="cellIs" dxfId="4810" priority="1125" operator="equal">
      <formula>"ACM CONCRETO"</formula>
    </cfRule>
    <cfRule type="cellIs" dxfId="4809" priority="1126" operator="equal">
      <formula>"ACM"</formula>
    </cfRule>
    <cfRule type="cellIs" dxfId="4808" priority="1127" operator="equal">
      <formula>"PASTILHA"</formula>
    </cfRule>
    <cfRule type="cellIs" dxfId="4807" priority="1128" operator="equal">
      <formula>"PISCINA"</formula>
    </cfRule>
    <cfRule type="cellIs" dxfId="4806" priority="1129" operator="equal">
      <formula>"CERAMICA"</formula>
    </cfRule>
    <cfRule type="cellIs" dxfId="4805" priority="1130" operator="equal">
      <formula>"RESERVATORIO"</formula>
    </cfRule>
    <cfRule type="cellIs" dxfId="4804" priority="1131" operator="equal">
      <formula>"ESQUADRIA"</formula>
    </cfRule>
    <cfRule type="cellIs" dxfId="4803" priority="1132" operator="equal">
      <formula>"ARGAMASSA"</formula>
    </cfRule>
    <cfRule type="cellIs" dxfId="4802" priority="1133" operator="equal">
      <formula>"MANTA"</formula>
    </cfRule>
    <cfRule type="cellIs" dxfId="4801" priority="1134" operator="equal">
      <formula>"BALDRAME"</formula>
    </cfRule>
    <cfRule type="cellIs" dxfId="4800" priority="1135" operator="equal">
      <formula>"PORCELANATO"</formula>
    </cfRule>
    <cfRule type="cellIs" dxfId="4799" priority="1136" operator="equal">
      <formula>"TINTA"</formula>
    </cfRule>
  </conditionalFormatting>
  <conditionalFormatting sqref="I2902:I2934">
    <cfRule type="cellIs" dxfId="4798" priority="1086" operator="equal">
      <formula>"ACM CONCRETO"</formula>
    </cfRule>
    <cfRule type="cellIs" dxfId="4797" priority="1087" operator="equal">
      <formula>"ACM"</formula>
    </cfRule>
    <cfRule type="cellIs" dxfId="4796" priority="1088" operator="equal">
      <formula>"PASTILHA"</formula>
    </cfRule>
    <cfRule type="cellIs" dxfId="4795" priority="1089" operator="equal">
      <formula>"PISCINA"</formula>
    </cfRule>
    <cfRule type="cellIs" dxfId="4794" priority="1090" operator="equal">
      <formula>"CERAMICA"</formula>
    </cfRule>
    <cfRule type="cellIs" dxfId="4793" priority="1092" operator="equal">
      <formula>"RESERVATORIO"</formula>
    </cfRule>
    <cfRule type="cellIs" dxfId="4792" priority="1093" operator="equal">
      <formula>"ESQUADRIA"</formula>
    </cfRule>
    <cfRule type="cellIs" dxfId="4791" priority="1094" operator="equal">
      <formula>"ARGAMASSA"</formula>
    </cfRule>
    <cfRule type="cellIs" dxfId="4790" priority="1095" operator="equal">
      <formula>"MANTA"</formula>
    </cfRule>
    <cfRule type="cellIs" dxfId="4789" priority="1096" operator="equal">
      <formula>"BALDRAME"</formula>
    </cfRule>
    <cfRule type="cellIs" dxfId="4788" priority="1097" operator="equal">
      <formula>"PORCELANATO"</formula>
    </cfRule>
    <cfRule type="cellIs" dxfId="4787" priority="1098" operator="equal">
      <formula>"TINTA"</formula>
    </cfRule>
  </conditionalFormatting>
  <conditionalFormatting sqref="H2902:H2934">
    <cfRule type="cellIs" dxfId="4786" priority="1091" operator="greaterThan">
      <formula>0</formula>
    </cfRule>
  </conditionalFormatting>
  <conditionalFormatting sqref="I2875:I2891">
    <cfRule type="cellIs" dxfId="4785" priority="1073" operator="equal">
      <formula>"ACM CONCRETO"</formula>
    </cfRule>
    <cfRule type="cellIs" dxfId="4784" priority="1074" operator="equal">
      <formula>"ACM"</formula>
    </cfRule>
    <cfRule type="cellIs" dxfId="4783" priority="1075" operator="equal">
      <formula>"PASTILHA"</formula>
    </cfRule>
    <cfRule type="cellIs" dxfId="4782" priority="1076" operator="equal">
      <formula>"PISCINA"</formula>
    </cfRule>
    <cfRule type="cellIs" dxfId="4781" priority="1077" operator="equal">
      <formula>"CERAMICA"</formula>
    </cfRule>
    <cfRule type="cellIs" dxfId="4780" priority="1079" operator="equal">
      <formula>"RESERVATORIO"</formula>
    </cfRule>
    <cfRule type="cellIs" dxfId="4779" priority="1080" operator="equal">
      <formula>"ESQUADRIA"</formula>
    </cfRule>
    <cfRule type="cellIs" dxfId="4778" priority="1081" operator="equal">
      <formula>"ARGAMASSA"</formula>
    </cfRule>
    <cfRule type="cellIs" dxfId="4777" priority="1082" operator="equal">
      <formula>"MANTA"</formula>
    </cfRule>
    <cfRule type="cellIs" dxfId="4776" priority="1083" operator="equal">
      <formula>"BALDRAME"</formula>
    </cfRule>
    <cfRule type="cellIs" dxfId="4775" priority="1084" operator="equal">
      <formula>"PORCELANATO"</formula>
    </cfRule>
    <cfRule type="cellIs" dxfId="4774" priority="1085" operator="equal">
      <formula>"TINTA"</formula>
    </cfRule>
  </conditionalFormatting>
  <conditionalFormatting sqref="H2887:H2891">
    <cfRule type="cellIs" dxfId="4773" priority="1078" operator="greaterThan">
      <formula>0</formula>
    </cfRule>
  </conditionalFormatting>
  <conditionalFormatting sqref="I2701:I2709">
    <cfRule type="cellIs" dxfId="4772" priority="940" operator="equal">
      <formula>"REVER"</formula>
    </cfRule>
    <cfRule type="cellIs" dxfId="4771" priority="948" operator="equal">
      <formula>"OKAY"</formula>
    </cfRule>
  </conditionalFormatting>
  <conditionalFormatting sqref="I2701:I2709">
    <cfRule type="cellIs" dxfId="4770" priority="934" operator="equal">
      <formula>"ACM CONCRETO"</formula>
    </cfRule>
    <cfRule type="cellIs" dxfId="4769" priority="935" operator="equal">
      <formula>"ACM"</formula>
    </cfRule>
    <cfRule type="cellIs" dxfId="4768" priority="936" operator="equal">
      <formula>"PASTILHA"</formula>
    </cfRule>
    <cfRule type="cellIs" dxfId="4767" priority="937" operator="equal">
      <formula>"PISCINA"</formula>
    </cfRule>
    <cfRule type="cellIs" dxfId="4766" priority="938" operator="equal">
      <formula>"CERAMICA"</formula>
    </cfRule>
    <cfRule type="cellIs" dxfId="4765" priority="941" operator="equal">
      <formula>"RESERVATORIO"</formula>
    </cfRule>
    <cfRule type="cellIs" dxfId="4764" priority="942" operator="equal">
      <formula>"ESQUADRIA"</formula>
    </cfRule>
    <cfRule type="cellIs" dxfId="4763" priority="943" operator="equal">
      <formula>"ARGAMASSA"</formula>
    </cfRule>
    <cfRule type="cellIs" dxfId="4762" priority="944" operator="equal">
      <formula>"MANTA"</formula>
    </cfRule>
    <cfRule type="cellIs" dxfId="4761" priority="945" operator="equal">
      <formula>"BALDRAME"</formula>
    </cfRule>
    <cfRule type="cellIs" dxfId="4760" priority="946" operator="equal">
      <formula>"PORCELANATO"</formula>
    </cfRule>
    <cfRule type="cellIs" dxfId="4759" priority="947" operator="equal">
      <formula>"TINTA"</formula>
    </cfRule>
  </conditionalFormatting>
  <conditionalFormatting sqref="H2603:H2691">
    <cfRule type="cellIs" dxfId="4758" priority="939" operator="greaterThan">
      <formula>0</formula>
    </cfRule>
  </conditionalFormatting>
  <conditionalFormatting sqref="H2701">
    <cfRule type="cellIs" dxfId="4757" priority="918" operator="equal">
      <formula>$H$11=$E$11</formula>
    </cfRule>
  </conditionalFormatting>
  <conditionalFormatting sqref="H2602">
    <cfRule type="cellIs" dxfId="4756" priority="913" operator="greaterThan">
      <formula>0</formula>
    </cfRule>
  </conditionalFormatting>
  <conditionalFormatting sqref="I2602">
    <cfRule type="cellIs" dxfId="4755" priority="904" operator="equal">
      <formula>"REVER"</formula>
    </cfRule>
    <cfRule type="cellIs" dxfId="4754" priority="912" operator="equal">
      <formula>"OKAY"</formula>
    </cfRule>
  </conditionalFormatting>
  <conditionalFormatting sqref="I2602">
    <cfRule type="cellIs" dxfId="4753" priority="899" operator="equal">
      <formula>"ACM CONCRETO"</formula>
    </cfRule>
    <cfRule type="cellIs" dxfId="4752" priority="900" operator="equal">
      <formula>"ACM"</formula>
    </cfRule>
    <cfRule type="cellIs" dxfId="4751" priority="901" operator="equal">
      <formula>"PASTILHA"</formula>
    </cfRule>
    <cfRule type="cellIs" dxfId="4750" priority="902" operator="equal">
      <formula>"PISCINA"</formula>
    </cfRule>
    <cfRule type="cellIs" dxfId="4749" priority="903" operator="equal">
      <formula>"CERAMICA"</formula>
    </cfRule>
    <cfRule type="cellIs" dxfId="4748" priority="905" operator="equal">
      <formula>"RESERVATORIO"</formula>
    </cfRule>
    <cfRule type="cellIs" dxfId="4747" priority="906" operator="equal">
      <formula>"ESQUADRIA"</formula>
    </cfRule>
    <cfRule type="cellIs" dxfId="4746" priority="907" operator="equal">
      <formula>"ARGAMASSA"</formula>
    </cfRule>
    <cfRule type="cellIs" dxfId="4745" priority="908" operator="equal">
      <formula>"MANTA"</formula>
    </cfRule>
    <cfRule type="cellIs" dxfId="4744" priority="909" operator="equal">
      <formula>"BALDRAME"</formula>
    </cfRule>
    <cfRule type="cellIs" dxfId="4743" priority="910" operator="equal">
      <formula>"PORCELANATO"</formula>
    </cfRule>
    <cfRule type="cellIs" dxfId="4742" priority="911" operator="equal">
      <formula>"TINTA"</formula>
    </cfRule>
  </conditionalFormatting>
  <conditionalFormatting sqref="H2602">
    <cfRule type="cellIs" dxfId="4741" priority="898" operator="equal">
      <formula>$H$11=$E$11</formula>
    </cfRule>
  </conditionalFormatting>
  <conditionalFormatting sqref="H2602">
    <cfRule type="cellIs" dxfId="4740" priority="897" operator="equal">
      <formula>$H$11=$E$11</formula>
    </cfRule>
  </conditionalFormatting>
  <conditionalFormatting sqref="H2703">
    <cfRule type="cellIs" dxfId="4739" priority="896" operator="greaterThan">
      <formula>0</formula>
    </cfRule>
  </conditionalFormatting>
  <conditionalFormatting sqref="H2703">
    <cfRule type="cellIs" dxfId="4738" priority="895" operator="equal">
      <formula>$H$11=$E$11</formula>
    </cfRule>
  </conditionalFormatting>
  <conditionalFormatting sqref="H2703">
    <cfRule type="cellIs" dxfId="4737" priority="894" operator="equal">
      <formula>$H$11=$E$11</formula>
    </cfRule>
  </conditionalFormatting>
  <conditionalFormatting sqref="H2797">
    <cfRule type="cellIs" dxfId="4736" priority="893" operator="greaterThan">
      <formula>0</formula>
    </cfRule>
  </conditionalFormatting>
  <conditionalFormatting sqref="H2797">
    <cfRule type="cellIs" dxfId="4735" priority="892" operator="equal">
      <formula>$H$11=$E$11</formula>
    </cfRule>
  </conditionalFormatting>
  <conditionalFormatting sqref="H2797">
    <cfRule type="cellIs" dxfId="4734" priority="891" operator="equal">
      <formula>$H$11=$E$11</formula>
    </cfRule>
  </conditionalFormatting>
  <conditionalFormatting sqref="K2605:M2605">
    <cfRule type="cellIs" dxfId="4733" priority="890" operator="greaterThan">
      <formula>0</formula>
    </cfRule>
  </conditionalFormatting>
  <conditionalFormatting sqref="G3029:I3034 I2989:I2998 I3011:I3016 I3020:I3028">
    <cfRule type="cellIs" dxfId="4732" priority="878" operator="equal">
      <formula>"ACM CONCRETO"</formula>
    </cfRule>
    <cfRule type="cellIs" dxfId="4731" priority="879" operator="equal">
      <formula>"ACM"</formula>
    </cfRule>
    <cfRule type="cellIs" dxfId="4730" priority="880" operator="equal">
      <formula>"PASTILHA"</formula>
    </cfRule>
    <cfRule type="cellIs" dxfId="4729" priority="881" operator="equal">
      <formula>"PISCINA"</formula>
    </cfRule>
    <cfRule type="cellIs" dxfId="4728" priority="882" operator="equal">
      <formula>"CERAMICA"</formula>
    </cfRule>
    <cfRule type="cellIs" dxfId="4727" priority="883" operator="equal">
      <formula>"RESERVATORIO"</formula>
    </cfRule>
    <cfRule type="cellIs" dxfId="4726" priority="884" operator="equal">
      <formula>"ESQUADRIA"</formula>
    </cfRule>
    <cfRule type="cellIs" dxfId="4725" priority="885" operator="equal">
      <formula>"ARGAMASSA"</formula>
    </cfRule>
    <cfRule type="cellIs" dxfId="4724" priority="886" operator="equal">
      <formula>"MANTA"</formula>
    </cfRule>
    <cfRule type="cellIs" dxfId="4723" priority="887" operator="equal">
      <formula>"BALDRAME"</formula>
    </cfRule>
    <cfRule type="cellIs" dxfId="4722" priority="888" operator="equal">
      <formula>"PORCELANATO"</formula>
    </cfRule>
    <cfRule type="cellIs" dxfId="4721" priority="889" operator="equal">
      <formula>"TINTA"</formula>
    </cfRule>
  </conditionalFormatting>
  <conditionalFormatting sqref="I2989:I2998 I3011:I3016">
    <cfRule type="cellIs" dxfId="4720" priority="876" operator="equal">
      <formula>"REVER"</formula>
    </cfRule>
    <cfRule type="cellIs" dxfId="4719" priority="877" operator="equal">
      <formula>"OKAY"</formula>
    </cfRule>
  </conditionalFormatting>
  <conditionalFormatting sqref="H2970:H2987 H2989:H3008 H3011:H3028">
    <cfRule type="cellIs" dxfId="4718" priority="875" operator="greaterThan">
      <formula>0</formula>
    </cfRule>
  </conditionalFormatting>
  <conditionalFormatting sqref="I3017:I3019">
    <cfRule type="cellIs" dxfId="4717" priority="863" operator="equal">
      <formula>"ACM CONCRETO"</formula>
    </cfRule>
    <cfRule type="cellIs" dxfId="4716" priority="864" operator="equal">
      <formula>"ACM"</formula>
    </cfRule>
    <cfRule type="cellIs" dxfId="4715" priority="865" operator="equal">
      <formula>"PASTILHA"</formula>
    </cfRule>
    <cfRule type="cellIs" dxfId="4714" priority="866" operator="equal">
      <formula>"PISCINA"</formula>
    </cfRule>
    <cfRule type="cellIs" dxfId="4713" priority="867" operator="equal">
      <formula>"CERAMICA"</formula>
    </cfRule>
    <cfRule type="cellIs" dxfId="4712" priority="868" operator="equal">
      <formula>"RESERVATORIO"</formula>
    </cfRule>
    <cfRule type="cellIs" dxfId="4711" priority="869" operator="equal">
      <formula>"ESQUADRIA"</formula>
    </cfRule>
    <cfRule type="cellIs" dxfId="4710" priority="870" operator="equal">
      <formula>"ARGAMASSA"</formula>
    </cfRule>
    <cfRule type="cellIs" dxfId="4709" priority="871" operator="equal">
      <formula>"MANTA"</formula>
    </cfRule>
    <cfRule type="cellIs" dxfId="4708" priority="872" operator="equal">
      <formula>"BALDRAME"</formula>
    </cfRule>
    <cfRule type="cellIs" dxfId="4707" priority="873" operator="equal">
      <formula>"PORCELANATO"</formula>
    </cfRule>
    <cfRule type="cellIs" dxfId="4706" priority="874" operator="equal">
      <formula>"TINTA"</formula>
    </cfRule>
  </conditionalFormatting>
  <conditionalFormatting sqref="I2970">
    <cfRule type="cellIs" dxfId="4705" priority="854" operator="equal">
      <formula>"REVER"</formula>
    </cfRule>
    <cfRule type="cellIs" dxfId="4704" priority="862" operator="equal">
      <formula>"OKAY"</formula>
    </cfRule>
  </conditionalFormatting>
  <conditionalFormatting sqref="I2970">
    <cfRule type="cellIs" dxfId="4703" priority="849" operator="equal">
      <formula>"ACM CONCRETO"</formula>
    </cfRule>
    <cfRule type="cellIs" dxfId="4702" priority="850" operator="equal">
      <formula>"ACM"</formula>
    </cfRule>
    <cfRule type="cellIs" dxfId="4701" priority="851" operator="equal">
      <formula>"PASTILHA"</formula>
    </cfRule>
    <cfRule type="cellIs" dxfId="4700" priority="852" operator="equal">
      <formula>"PISCINA"</formula>
    </cfRule>
    <cfRule type="cellIs" dxfId="4699" priority="853" operator="equal">
      <formula>"CERAMICA"</formula>
    </cfRule>
    <cfRule type="cellIs" dxfId="4698" priority="855" operator="equal">
      <formula>"RESERVATORIO"</formula>
    </cfRule>
    <cfRule type="cellIs" dxfId="4697" priority="856" operator="equal">
      <formula>"ESQUADRIA"</formula>
    </cfRule>
    <cfRule type="cellIs" dxfId="4696" priority="857" operator="equal">
      <formula>"ARGAMASSA"</formula>
    </cfRule>
    <cfRule type="cellIs" dxfId="4695" priority="858" operator="equal">
      <formula>"MANTA"</formula>
    </cfRule>
    <cfRule type="cellIs" dxfId="4694" priority="859" operator="equal">
      <formula>"BALDRAME"</formula>
    </cfRule>
    <cfRule type="cellIs" dxfId="4693" priority="860" operator="equal">
      <formula>"PORCELANATO"</formula>
    </cfRule>
    <cfRule type="cellIs" dxfId="4692" priority="861" operator="equal">
      <formula>"TINTA"</formula>
    </cfRule>
  </conditionalFormatting>
  <conditionalFormatting sqref="H2970">
    <cfRule type="cellIs" dxfId="4691" priority="848" operator="equal">
      <formula>$H$11=$E$11</formula>
    </cfRule>
  </conditionalFormatting>
  <conditionalFormatting sqref="H2970">
    <cfRule type="cellIs" dxfId="4690" priority="847" operator="equal">
      <formula>$H$11=$E$11</formula>
    </cfRule>
  </conditionalFormatting>
  <conditionalFormatting sqref="I2971:I2976">
    <cfRule type="cellIs" dxfId="4689" priority="838" operator="equal">
      <formula>"REVER"</formula>
    </cfRule>
    <cfRule type="cellIs" dxfId="4688" priority="846" operator="equal">
      <formula>"OKAY"</formula>
    </cfRule>
  </conditionalFormatting>
  <conditionalFormatting sqref="I2971:I2976">
    <cfRule type="cellIs" dxfId="4687" priority="833" operator="equal">
      <formula>"ACM CONCRETO"</formula>
    </cfRule>
    <cfRule type="cellIs" dxfId="4686" priority="834" operator="equal">
      <formula>"ACM"</formula>
    </cfRule>
    <cfRule type="cellIs" dxfId="4685" priority="835" operator="equal">
      <formula>"PASTILHA"</formula>
    </cfRule>
    <cfRule type="cellIs" dxfId="4684" priority="836" operator="equal">
      <formula>"PISCINA"</formula>
    </cfRule>
    <cfRule type="cellIs" dxfId="4683" priority="837" operator="equal">
      <formula>"CERAMICA"</formula>
    </cfRule>
    <cfRule type="cellIs" dxfId="4682" priority="839" operator="equal">
      <formula>"RESERVATORIO"</formula>
    </cfRule>
    <cfRule type="cellIs" dxfId="4681" priority="840" operator="equal">
      <formula>"ESQUADRIA"</formula>
    </cfRule>
    <cfRule type="cellIs" dxfId="4680" priority="841" operator="equal">
      <formula>"ARGAMASSA"</formula>
    </cfRule>
    <cfRule type="cellIs" dxfId="4679" priority="842" operator="equal">
      <formula>"MANTA"</formula>
    </cfRule>
    <cfRule type="cellIs" dxfId="4678" priority="843" operator="equal">
      <formula>"BALDRAME"</formula>
    </cfRule>
    <cfRule type="cellIs" dxfId="4677" priority="844" operator="equal">
      <formula>"PORCELANATO"</formula>
    </cfRule>
    <cfRule type="cellIs" dxfId="4676" priority="845" operator="equal">
      <formula>"TINTA"</formula>
    </cfRule>
  </conditionalFormatting>
  <conditionalFormatting sqref="H2991">
    <cfRule type="cellIs" dxfId="4675" priority="832" operator="equal">
      <formula>$H$11=$E$11</formula>
    </cfRule>
  </conditionalFormatting>
  <conditionalFormatting sqref="H2989">
    <cfRule type="cellIs" dxfId="4674" priority="831" operator="equal">
      <formula>$H$11=$E$11</formula>
    </cfRule>
  </conditionalFormatting>
  <conditionalFormatting sqref="H3011">
    <cfRule type="cellIs" dxfId="4673" priority="830" operator="equal">
      <formula>$H$11=$E$11</formula>
    </cfRule>
  </conditionalFormatting>
  <conditionalFormatting sqref="H2991">
    <cfRule type="cellIs" dxfId="4672" priority="829" operator="equal">
      <formula>$H$11=$E$11</formula>
    </cfRule>
  </conditionalFormatting>
  <conditionalFormatting sqref="H2991">
    <cfRule type="cellIs" dxfId="4671" priority="828" operator="equal">
      <formula>$H$11=$E$11</formula>
    </cfRule>
  </conditionalFormatting>
  <conditionalFormatting sqref="H2991">
    <cfRule type="cellIs" dxfId="4670" priority="827" operator="equal">
      <formula>$H$11=$E$11</formula>
    </cfRule>
  </conditionalFormatting>
  <conditionalFormatting sqref="H3011">
    <cfRule type="cellIs" dxfId="4669" priority="826" operator="equal">
      <formula>$H$11=$E$11</formula>
    </cfRule>
  </conditionalFormatting>
  <conditionalFormatting sqref="H3011">
    <cfRule type="cellIs" dxfId="4668" priority="825" operator="equal">
      <formula>$H$11=$E$11</formula>
    </cfRule>
  </conditionalFormatting>
  <conditionalFormatting sqref="H2991">
    <cfRule type="cellIs" dxfId="4667" priority="824" operator="equal">
      <formula>$H$11=$E$11</formula>
    </cfRule>
  </conditionalFormatting>
  <conditionalFormatting sqref="H2991">
    <cfRule type="cellIs" dxfId="4666" priority="823" operator="equal">
      <formula>$H$11=$E$11</formula>
    </cfRule>
  </conditionalFormatting>
  <conditionalFormatting sqref="H3011">
    <cfRule type="cellIs" dxfId="4665" priority="822" operator="equal">
      <formula>$H$11=$E$11</formula>
    </cfRule>
  </conditionalFormatting>
  <conditionalFormatting sqref="H3011">
    <cfRule type="cellIs" dxfId="4664" priority="821" operator="equal">
      <formula>$H$11=$E$11</formula>
    </cfRule>
  </conditionalFormatting>
  <conditionalFormatting sqref="G3219:I3224 I3179:I3188 I3201:I3206 I3210:I3218">
    <cfRule type="cellIs" dxfId="4663" priority="809" operator="equal">
      <formula>"ACM CONCRETO"</formula>
    </cfRule>
    <cfRule type="cellIs" dxfId="4662" priority="810" operator="equal">
      <formula>"ACM"</formula>
    </cfRule>
    <cfRule type="cellIs" dxfId="4661" priority="811" operator="equal">
      <formula>"PASTILHA"</formula>
    </cfRule>
    <cfRule type="cellIs" dxfId="4660" priority="812" operator="equal">
      <formula>"PISCINA"</formula>
    </cfRule>
    <cfRule type="cellIs" dxfId="4659" priority="813" operator="equal">
      <formula>"CERAMICA"</formula>
    </cfRule>
    <cfRule type="cellIs" dxfId="4658" priority="814" operator="equal">
      <formula>"RESERVATORIO"</formula>
    </cfRule>
    <cfRule type="cellIs" dxfId="4657" priority="815" operator="equal">
      <formula>"ESQUADRIA"</formula>
    </cfRule>
    <cfRule type="cellIs" dxfId="4656" priority="816" operator="equal">
      <formula>"ARGAMASSA"</formula>
    </cfRule>
    <cfRule type="cellIs" dxfId="4655" priority="817" operator="equal">
      <formula>"MANTA"</formula>
    </cfRule>
    <cfRule type="cellIs" dxfId="4654" priority="818" operator="equal">
      <formula>"BALDRAME"</formula>
    </cfRule>
    <cfRule type="cellIs" dxfId="4653" priority="819" operator="equal">
      <formula>"PORCELANATO"</formula>
    </cfRule>
    <cfRule type="cellIs" dxfId="4652" priority="820" operator="equal">
      <formula>"TINTA"</formula>
    </cfRule>
  </conditionalFormatting>
  <conditionalFormatting sqref="I3179:I3188 I3201:I3206">
    <cfRule type="cellIs" dxfId="4651" priority="807" operator="equal">
      <formula>"REVER"</formula>
    </cfRule>
    <cfRule type="cellIs" dxfId="4650" priority="808" operator="equal">
      <formula>"OKAY"</formula>
    </cfRule>
  </conditionalFormatting>
  <conditionalFormatting sqref="H3160:H3177 H3179:H3198 H3201:H3218">
    <cfRule type="cellIs" dxfId="4649" priority="806" operator="greaterThan">
      <formula>0</formula>
    </cfRule>
  </conditionalFormatting>
  <conditionalFormatting sqref="I3207:I3209">
    <cfRule type="cellIs" dxfId="4648" priority="794" operator="equal">
      <formula>"ACM CONCRETO"</formula>
    </cfRule>
    <cfRule type="cellIs" dxfId="4647" priority="795" operator="equal">
      <formula>"ACM"</formula>
    </cfRule>
    <cfRule type="cellIs" dxfId="4646" priority="796" operator="equal">
      <formula>"PASTILHA"</formula>
    </cfRule>
    <cfRule type="cellIs" dxfId="4645" priority="797" operator="equal">
      <formula>"PISCINA"</formula>
    </cfRule>
    <cfRule type="cellIs" dxfId="4644" priority="798" operator="equal">
      <formula>"CERAMICA"</formula>
    </cfRule>
    <cfRule type="cellIs" dxfId="4643" priority="799" operator="equal">
      <formula>"RESERVATORIO"</formula>
    </cfRule>
    <cfRule type="cellIs" dxfId="4642" priority="800" operator="equal">
      <formula>"ESQUADRIA"</formula>
    </cfRule>
    <cfRule type="cellIs" dxfId="4641" priority="801" operator="equal">
      <formula>"ARGAMASSA"</formula>
    </cfRule>
    <cfRule type="cellIs" dxfId="4640" priority="802" operator="equal">
      <formula>"MANTA"</formula>
    </cfRule>
    <cfRule type="cellIs" dxfId="4639" priority="803" operator="equal">
      <formula>"BALDRAME"</formula>
    </cfRule>
    <cfRule type="cellIs" dxfId="4638" priority="804" operator="equal">
      <formula>"PORCELANATO"</formula>
    </cfRule>
    <cfRule type="cellIs" dxfId="4637" priority="805" operator="equal">
      <formula>"TINTA"</formula>
    </cfRule>
  </conditionalFormatting>
  <conditionalFormatting sqref="I3160">
    <cfRule type="cellIs" dxfId="4636" priority="785" operator="equal">
      <formula>"REVER"</formula>
    </cfRule>
    <cfRule type="cellIs" dxfId="4635" priority="793" operator="equal">
      <formula>"OKAY"</formula>
    </cfRule>
  </conditionalFormatting>
  <conditionalFormatting sqref="I3160">
    <cfRule type="cellIs" dxfId="4634" priority="780" operator="equal">
      <formula>"ACM CONCRETO"</formula>
    </cfRule>
    <cfRule type="cellIs" dxfId="4633" priority="781" operator="equal">
      <formula>"ACM"</formula>
    </cfRule>
    <cfRule type="cellIs" dxfId="4632" priority="782" operator="equal">
      <formula>"PASTILHA"</formula>
    </cfRule>
    <cfRule type="cellIs" dxfId="4631" priority="783" operator="equal">
      <formula>"PISCINA"</formula>
    </cfRule>
    <cfRule type="cellIs" dxfId="4630" priority="784" operator="equal">
      <formula>"CERAMICA"</formula>
    </cfRule>
    <cfRule type="cellIs" dxfId="4629" priority="786" operator="equal">
      <formula>"RESERVATORIO"</formula>
    </cfRule>
    <cfRule type="cellIs" dxfId="4628" priority="787" operator="equal">
      <formula>"ESQUADRIA"</formula>
    </cfRule>
    <cfRule type="cellIs" dxfId="4627" priority="788" operator="equal">
      <formula>"ARGAMASSA"</formula>
    </cfRule>
    <cfRule type="cellIs" dxfId="4626" priority="789" operator="equal">
      <formula>"MANTA"</formula>
    </cfRule>
    <cfRule type="cellIs" dxfId="4625" priority="790" operator="equal">
      <formula>"BALDRAME"</formula>
    </cfRule>
    <cfRule type="cellIs" dxfId="4624" priority="791" operator="equal">
      <formula>"PORCELANATO"</formula>
    </cfRule>
    <cfRule type="cellIs" dxfId="4623" priority="792" operator="equal">
      <formula>"TINTA"</formula>
    </cfRule>
  </conditionalFormatting>
  <conditionalFormatting sqref="H3160">
    <cfRule type="cellIs" dxfId="4622" priority="779" operator="equal">
      <formula>$H$11=$E$11</formula>
    </cfRule>
  </conditionalFormatting>
  <conditionalFormatting sqref="H3160">
    <cfRule type="cellIs" dxfId="4621" priority="778" operator="equal">
      <formula>$H$11=$E$11</formula>
    </cfRule>
  </conditionalFormatting>
  <conditionalFormatting sqref="I3161:I3166">
    <cfRule type="cellIs" dxfId="4620" priority="769" operator="equal">
      <formula>"REVER"</formula>
    </cfRule>
    <cfRule type="cellIs" dxfId="4619" priority="777" operator="equal">
      <formula>"OKAY"</formula>
    </cfRule>
  </conditionalFormatting>
  <conditionalFormatting sqref="I3161:I3166">
    <cfRule type="cellIs" dxfId="4618" priority="764" operator="equal">
      <formula>"ACM CONCRETO"</formula>
    </cfRule>
    <cfRule type="cellIs" dxfId="4617" priority="765" operator="equal">
      <formula>"ACM"</formula>
    </cfRule>
    <cfRule type="cellIs" dxfId="4616" priority="766" operator="equal">
      <formula>"PASTILHA"</formula>
    </cfRule>
    <cfRule type="cellIs" dxfId="4615" priority="767" operator="equal">
      <formula>"PISCINA"</formula>
    </cfRule>
    <cfRule type="cellIs" dxfId="4614" priority="768" operator="equal">
      <formula>"CERAMICA"</formula>
    </cfRule>
    <cfRule type="cellIs" dxfId="4613" priority="770" operator="equal">
      <formula>"RESERVATORIO"</formula>
    </cfRule>
    <cfRule type="cellIs" dxfId="4612" priority="771" operator="equal">
      <formula>"ESQUADRIA"</formula>
    </cfRule>
    <cfRule type="cellIs" dxfId="4611" priority="772" operator="equal">
      <formula>"ARGAMASSA"</formula>
    </cfRule>
    <cfRule type="cellIs" dxfId="4610" priority="773" operator="equal">
      <formula>"MANTA"</formula>
    </cfRule>
    <cfRule type="cellIs" dxfId="4609" priority="774" operator="equal">
      <formula>"BALDRAME"</formula>
    </cfRule>
    <cfRule type="cellIs" dxfId="4608" priority="775" operator="equal">
      <formula>"PORCELANATO"</formula>
    </cfRule>
    <cfRule type="cellIs" dxfId="4607" priority="776" operator="equal">
      <formula>"TINTA"</formula>
    </cfRule>
  </conditionalFormatting>
  <conditionalFormatting sqref="H3181">
    <cfRule type="cellIs" dxfId="4606" priority="763" operator="equal">
      <formula>$H$11=$E$11</formula>
    </cfRule>
  </conditionalFormatting>
  <conditionalFormatting sqref="H3179">
    <cfRule type="cellIs" dxfId="4605" priority="762" operator="equal">
      <formula>$H$11=$E$11</formula>
    </cfRule>
  </conditionalFormatting>
  <conditionalFormatting sqref="H3201">
    <cfRule type="cellIs" dxfId="4604" priority="761" operator="equal">
      <formula>$H$11=$E$11</formula>
    </cfRule>
  </conditionalFormatting>
  <conditionalFormatting sqref="H3181">
    <cfRule type="cellIs" dxfId="4603" priority="760" operator="equal">
      <formula>$H$11=$E$11</formula>
    </cfRule>
  </conditionalFormatting>
  <conditionalFormatting sqref="H3181">
    <cfRule type="cellIs" dxfId="4602" priority="759" operator="equal">
      <formula>$H$11=$E$11</formula>
    </cfRule>
  </conditionalFormatting>
  <conditionalFormatting sqref="H3181">
    <cfRule type="cellIs" dxfId="4601" priority="758" operator="equal">
      <formula>$H$11=$E$11</formula>
    </cfRule>
  </conditionalFormatting>
  <conditionalFormatting sqref="H3201">
    <cfRule type="cellIs" dxfId="4600" priority="757" operator="equal">
      <formula>$H$11=$E$11</formula>
    </cfRule>
  </conditionalFormatting>
  <conditionalFormatting sqref="H3201">
    <cfRule type="cellIs" dxfId="4599" priority="756" operator="equal">
      <formula>$H$11=$E$11</formula>
    </cfRule>
  </conditionalFormatting>
  <conditionalFormatting sqref="H3181">
    <cfRule type="cellIs" dxfId="4598" priority="755" operator="equal">
      <formula>$H$11=$E$11</formula>
    </cfRule>
  </conditionalFormatting>
  <conditionalFormatting sqref="H3181">
    <cfRule type="cellIs" dxfId="4597" priority="754" operator="equal">
      <formula>$H$11=$E$11</formula>
    </cfRule>
  </conditionalFormatting>
  <conditionalFormatting sqref="H3201">
    <cfRule type="cellIs" dxfId="4596" priority="753" operator="equal">
      <formula>$H$11=$E$11</formula>
    </cfRule>
  </conditionalFormatting>
  <conditionalFormatting sqref="H3201">
    <cfRule type="cellIs" dxfId="4595" priority="752" operator="equal">
      <formula>$H$11=$E$11</formula>
    </cfRule>
  </conditionalFormatting>
  <conditionalFormatting sqref="G3409:I3414 I3369:I3378 I3391:I3396 I3400:I3408">
    <cfRule type="cellIs" dxfId="4594" priority="740" operator="equal">
      <formula>"ACM CONCRETO"</formula>
    </cfRule>
    <cfRule type="cellIs" dxfId="4593" priority="741" operator="equal">
      <formula>"ACM"</formula>
    </cfRule>
    <cfRule type="cellIs" dxfId="4592" priority="742" operator="equal">
      <formula>"PASTILHA"</formula>
    </cfRule>
    <cfRule type="cellIs" dxfId="4591" priority="743" operator="equal">
      <formula>"PISCINA"</formula>
    </cfRule>
    <cfRule type="cellIs" dxfId="4590" priority="744" operator="equal">
      <formula>"CERAMICA"</formula>
    </cfRule>
    <cfRule type="cellIs" dxfId="4589" priority="745" operator="equal">
      <formula>"RESERVATORIO"</formula>
    </cfRule>
    <cfRule type="cellIs" dxfId="4588" priority="746" operator="equal">
      <formula>"ESQUADRIA"</formula>
    </cfRule>
    <cfRule type="cellIs" dxfId="4587" priority="747" operator="equal">
      <formula>"ARGAMASSA"</formula>
    </cfRule>
    <cfRule type="cellIs" dxfId="4586" priority="748" operator="equal">
      <formula>"MANTA"</formula>
    </cfRule>
    <cfRule type="cellIs" dxfId="4585" priority="749" operator="equal">
      <formula>"BALDRAME"</formula>
    </cfRule>
    <cfRule type="cellIs" dxfId="4584" priority="750" operator="equal">
      <formula>"PORCELANATO"</formula>
    </cfRule>
    <cfRule type="cellIs" dxfId="4583" priority="751" operator="equal">
      <formula>"TINTA"</formula>
    </cfRule>
  </conditionalFormatting>
  <conditionalFormatting sqref="I3369:I3378 I3391:I3396">
    <cfRule type="cellIs" dxfId="4582" priority="738" operator="equal">
      <formula>"REVER"</formula>
    </cfRule>
    <cfRule type="cellIs" dxfId="4581" priority="739" operator="equal">
      <formula>"OKAY"</formula>
    </cfRule>
  </conditionalFormatting>
  <conditionalFormatting sqref="H3350:H3367 H3369:H3388 H3391:H3408">
    <cfRule type="cellIs" dxfId="4580" priority="737" operator="greaterThan">
      <formula>0</formula>
    </cfRule>
  </conditionalFormatting>
  <conditionalFormatting sqref="I3397:I3399">
    <cfRule type="cellIs" dxfId="4579" priority="725" operator="equal">
      <formula>"ACM CONCRETO"</formula>
    </cfRule>
    <cfRule type="cellIs" dxfId="4578" priority="726" operator="equal">
      <formula>"ACM"</formula>
    </cfRule>
    <cfRule type="cellIs" dxfId="4577" priority="727" operator="equal">
      <formula>"PASTILHA"</formula>
    </cfRule>
    <cfRule type="cellIs" dxfId="4576" priority="728" operator="equal">
      <formula>"PISCINA"</formula>
    </cfRule>
    <cfRule type="cellIs" dxfId="4575" priority="729" operator="equal">
      <formula>"CERAMICA"</formula>
    </cfRule>
    <cfRule type="cellIs" dxfId="4574" priority="730" operator="equal">
      <formula>"RESERVATORIO"</formula>
    </cfRule>
    <cfRule type="cellIs" dxfId="4573" priority="731" operator="equal">
      <formula>"ESQUADRIA"</formula>
    </cfRule>
    <cfRule type="cellIs" dxfId="4572" priority="732" operator="equal">
      <formula>"ARGAMASSA"</formula>
    </cfRule>
    <cfRule type="cellIs" dxfId="4571" priority="733" operator="equal">
      <formula>"MANTA"</formula>
    </cfRule>
    <cfRule type="cellIs" dxfId="4570" priority="734" operator="equal">
      <formula>"BALDRAME"</formula>
    </cfRule>
    <cfRule type="cellIs" dxfId="4569" priority="735" operator="equal">
      <formula>"PORCELANATO"</formula>
    </cfRule>
    <cfRule type="cellIs" dxfId="4568" priority="736" operator="equal">
      <formula>"TINTA"</formula>
    </cfRule>
  </conditionalFormatting>
  <conditionalFormatting sqref="I3350">
    <cfRule type="cellIs" dxfId="4567" priority="716" operator="equal">
      <formula>"REVER"</formula>
    </cfRule>
    <cfRule type="cellIs" dxfId="4566" priority="724" operator="equal">
      <formula>"OKAY"</formula>
    </cfRule>
  </conditionalFormatting>
  <conditionalFormatting sqref="I3350">
    <cfRule type="cellIs" dxfId="4565" priority="711" operator="equal">
      <formula>"ACM CONCRETO"</formula>
    </cfRule>
    <cfRule type="cellIs" dxfId="4564" priority="712" operator="equal">
      <formula>"ACM"</formula>
    </cfRule>
    <cfRule type="cellIs" dxfId="4563" priority="713" operator="equal">
      <formula>"PASTILHA"</formula>
    </cfRule>
    <cfRule type="cellIs" dxfId="4562" priority="714" operator="equal">
      <formula>"PISCINA"</formula>
    </cfRule>
    <cfRule type="cellIs" dxfId="4561" priority="715" operator="equal">
      <formula>"CERAMICA"</formula>
    </cfRule>
    <cfRule type="cellIs" dxfId="4560" priority="717" operator="equal">
      <formula>"RESERVATORIO"</formula>
    </cfRule>
    <cfRule type="cellIs" dxfId="4559" priority="718" operator="equal">
      <formula>"ESQUADRIA"</formula>
    </cfRule>
    <cfRule type="cellIs" dxfId="4558" priority="719" operator="equal">
      <formula>"ARGAMASSA"</formula>
    </cfRule>
    <cfRule type="cellIs" dxfId="4557" priority="720" operator="equal">
      <formula>"MANTA"</formula>
    </cfRule>
    <cfRule type="cellIs" dxfId="4556" priority="721" operator="equal">
      <formula>"BALDRAME"</formula>
    </cfRule>
    <cfRule type="cellIs" dxfId="4555" priority="722" operator="equal">
      <formula>"PORCELANATO"</formula>
    </cfRule>
    <cfRule type="cellIs" dxfId="4554" priority="723" operator="equal">
      <formula>"TINTA"</formula>
    </cfRule>
  </conditionalFormatting>
  <conditionalFormatting sqref="H3350">
    <cfRule type="cellIs" dxfId="4553" priority="710" operator="equal">
      <formula>$H$11=$E$11</formula>
    </cfRule>
  </conditionalFormatting>
  <conditionalFormatting sqref="H3350">
    <cfRule type="cellIs" dxfId="4552" priority="709" operator="equal">
      <formula>$H$11=$E$11</formula>
    </cfRule>
  </conditionalFormatting>
  <conditionalFormatting sqref="I3351:I3356">
    <cfRule type="cellIs" dxfId="4551" priority="700" operator="equal">
      <formula>"REVER"</formula>
    </cfRule>
    <cfRule type="cellIs" dxfId="4550" priority="708" operator="equal">
      <formula>"OKAY"</formula>
    </cfRule>
  </conditionalFormatting>
  <conditionalFormatting sqref="I3351:I3356">
    <cfRule type="cellIs" dxfId="4549" priority="695" operator="equal">
      <formula>"ACM CONCRETO"</formula>
    </cfRule>
    <cfRule type="cellIs" dxfId="4548" priority="696" operator="equal">
      <formula>"ACM"</formula>
    </cfRule>
    <cfRule type="cellIs" dxfId="4547" priority="697" operator="equal">
      <formula>"PASTILHA"</formula>
    </cfRule>
    <cfRule type="cellIs" dxfId="4546" priority="698" operator="equal">
      <formula>"PISCINA"</formula>
    </cfRule>
    <cfRule type="cellIs" dxfId="4545" priority="699" operator="equal">
      <formula>"CERAMICA"</formula>
    </cfRule>
    <cfRule type="cellIs" dxfId="4544" priority="701" operator="equal">
      <formula>"RESERVATORIO"</formula>
    </cfRule>
    <cfRule type="cellIs" dxfId="4543" priority="702" operator="equal">
      <formula>"ESQUADRIA"</formula>
    </cfRule>
    <cfRule type="cellIs" dxfId="4542" priority="703" operator="equal">
      <formula>"ARGAMASSA"</formula>
    </cfRule>
    <cfRule type="cellIs" dxfId="4541" priority="704" operator="equal">
      <formula>"MANTA"</formula>
    </cfRule>
    <cfRule type="cellIs" dxfId="4540" priority="705" operator="equal">
      <formula>"BALDRAME"</formula>
    </cfRule>
    <cfRule type="cellIs" dxfId="4539" priority="706" operator="equal">
      <formula>"PORCELANATO"</formula>
    </cfRule>
    <cfRule type="cellIs" dxfId="4538" priority="707" operator="equal">
      <formula>"TINTA"</formula>
    </cfRule>
  </conditionalFormatting>
  <conditionalFormatting sqref="H3371">
    <cfRule type="cellIs" dxfId="4537" priority="694" operator="equal">
      <formula>$H$11=$E$11</formula>
    </cfRule>
  </conditionalFormatting>
  <conditionalFormatting sqref="H3369">
    <cfRule type="cellIs" dxfId="4536" priority="693" operator="equal">
      <formula>$H$11=$E$11</formula>
    </cfRule>
  </conditionalFormatting>
  <conditionalFormatting sqref="H3391">
    <cfRule type="cellIs" dxfId="4535" priority="692" operator="equal">
      <formula>$H$11=$E$11</formula>
    </cfRule>
  </conditionalFormatting>
  <conditionalFormatting sqref="H3371">
    <cfRule type="cellIs" dxfId="4534" priority="691" operator="equal">
      <formula>$H$11=$E$11</formula>
    </cfRule>
  </conditionalFormatting>
  <conditionalFormatting sqref="H3371">
    <cfRule type="cellIs" dxfId="4533" priority="690" operator="equal">
      <formula>$H$11=$E$11</formula>
    </cfRule>
  </conditionalFormatting>
  <conditionalFormatting sqref="H3371">
    <cfRule type="cellIs" dxfId="4532" priority="689" operator="equal">
      <formula>$H$11=$E$11</formula>
    </cfRule>
  </conditionalFormatting>
  <conditionalFormatting sqref="H3391">
    <cfRule type="cellIs" dxfId="4531" priority="688" operator="equal">
      <formula>$H$11=$E$11</formula>
    </cfRule>
  </conditionalFormatting>
  <conditionalFormatting sqref="H3391">
    <cfRule type="cellIs" dxfId="4530" priority="687" operator="equal">
      <formula>$H$11=$E$11</formula>
    </cfRule>
  </conditionalFormatting>
  <conditionalFormatting sqref="H3371">
    <cfRule type="cellIs" dxfId="4529" priority="686" operator="equal">
      <formula>$H$11=$E$11</formula>
    </cfRule>
  </conditionalFormatting>
  <conditionalFormatting sqref="H3371">
    <cfRule type="cellIs" dxfId="4528" priority="685" operator="equal">
      <formula>$H$11=$E$11</formula>
    </cfRule>
  </conditionalFormatting>
  <conditionalFormatting sqref="H3391">
    <cfRule type="cellIs" dxfId="4527" priority="684" operator="equal">
      <formula>$H$11=$E$11</formula>
    </cfRule>
  </conditionalFormatting>
  <conditionalFormatting sqref="H3391">
    <cfRule type="cellIs" dxfId="4526" priority="683" operator="equal">
      <formula>$H$11=$E$11</formula>
    </cfRule>
  </conditionalFormatting>
  <conditionalFormatting sqref="G3515:I3520 I3475:I3484 I3497:I3502 I3506:I3514">
    <cfRule type="cellIs" dxfId="4525" priority="671" operator="equal">
      <formula>"ACM CONCRETO"</formula>
    </cfRule>
    <cfRule type="cellIs" dxfId="4524" priority="672" operator="equal">
      <formula>"ACM"</formula>
    </cfRule>
    <cfRule type="cellIs" dxfId="4523" priority="673" operator="equal">
      <formula>"PASTILHA"</formula>
    </cfRule>
    <cfRule type="cellIs" dxfId="4522" priority="674" operator="equal">
      <formula>"PISCINA"</formula>
    </cfRule>
    <cfRule type="cellIs" dxfId="4521" priority="675" operator="equal">
      <formula>"CERAMICA"</formula>
    </cfRule>
    <cfRule type="cellIs" dxfId="4520" priority="676" operator="equal">
      <formula>"RESERVATORIO"</formula>
    </cfRule>
    <cfRule type="cellIs" dxfId="4519" priority="677" operator="equal">
      <formula>"ESQUADRIA"</formula>
    </cfRule>
    <cfRule type="cellIs" dxfId="4518" priority="678" operator="equal">
      <formula>"ARGAMASSA"</formula>
    </cfRule>
    <cfRule type="cellIs" dxfId="4517" priority="679" operator="equal">
      <formula>"MANTA"</formula>
    </cfRule>
    <cfRule type="cellIs" dxfId="4516" priority="680" operator="equal">
      <formula>"BALDRAME"</formula>
    </cfRule>
    <cfRule type="cellIs" dxfId="4515" priority="681" operator="equal">
      <formula>"PORCELANATO"</formula>
    </cfRule>
    <cfRule type="cellIs" dxfId="4514" priority="682" operator="equal">
      <formula>"TINTA"</formula>
    </cfRule>
  </conditionalFormatting>
  <conditionalFormatting sqref="I3475:I3484 I3497:I3502">
    <cfRule type="cellIs" dxfId="4513" priority="669" operator="equal">
      <formula>"REVER"</formula>
    </cfRule>
    <cfRule type="cellIs" dxfId="4512" priority="670" operator="equal">
      <formula>"OKAY"</formula>
    </cfRule>
  </conditionalFormatting>
  <conditionalFormatting sqref="H3456:H3473 H3475:H3494 H3497:H3514">
    <cfRule type="cellIs" dxfId="4511" priority="668" operator="greaterThan">
      <formula>0</formula>
    </cfRule>
  </conditionalFormatting>
  <conditionalFormatting sqref="I3503:I3505">
    <cfRule type="cellIs" dxfId="4510" priority="656" operator="equal">
      <formula>"ACM CONCRETO"</formula>
    </cfRule>
    <cfRule type="cellIs" dxfId="4509" priority="657" operator="equal">
      <formula>"ACM"</formula>
    </cfRule>
    <cfRule type="cellIs" dxfId="4508" priority="658" operator="equal">
      <formula>"PASTILHA"</formula>
    </cfRule>
    <cfRule type="cellIs" dxfId="4507" priority="659" operator="equal">
      <formula>"PISCINA"</formula>
    </cfRule>
    <cfRule type="cellIs" dxfId="4506" priority="660" operator="equal">
      <formula>"CERAMICA"</formula>
    </cfRule>
    <cfRule type="cellIs" dxfId="4505" priority="661" operator="equal">
      <formula>"RESERVATORIO"</formula>
    </cfRule>
    <cfRule type="cellIs" dxfId="4504" priority="662" operator="equal">
      <formula>"ESQUADRIA"</formula>
    </cfRule>
    <cfRule type="cellIs" dxfId="4503" priority="663" operator="equal">
      <formula>"ARGAMASSA"</formula>
    </cfRule>
    <cfRule type="cellIs" dxfId="4502" priority="664" operator="equal">
      <formula>"MANTA"</formula>
    </cfRule>
    <cfRule type="cellIs" dxfId="4501" priority="665" operator="equal">
      <formula>"BALDRAME"</formula>
    </cfRule>
    <cfRule type="cellIs" dxfId="4500" priority="666" operator="equal">
      <formula>"PORCELANATO"</formula>
    </cfRule>
    <cfRule type="cellIs" dxfId="4499" priority="667" operator="equal">
      <formula>"TINTA"</formula>
    </cfRule>
  </conditionalFormatting>
  <conditionalFormatting sqref="I3456">
    <cfRule type="cellIs" dxfId="4498" priority="647" operator="equal">
      <formula>"REVER"</formula>
    </cfRule>
    <cfRule type="cellIs" dxfId="4497" priority="655" operator="equal">
      <formula>"OKAY"</formula>
    </cfRule>
  </conditionalFormatting>
  <conditionalFormatting sqref="I3456">
    <cfRule type="cellIs" dxfId="4496" priority="642" operator="equal">
      <formula>"ACM CONCRETO"</formula>
    </cfRule>
    <cfRule type="cellIs" dxfId="4495" priority="643" operator="equal">
      <formula>"ACM"</formula>
    </cfRule>
    <cfRule type="cellIs" dxfId="4494" priority="644" operator="equal">
      <formula>"PASTILHA"</formula>
    </cfRule>
    <cfRule type="cellIs" dxfId="4493" priority="645" operator="equal">
      <formula>"PISCINA"</formula>
    </cfRule>
    <cfRule type="cellIs" dxfId="4492" priority="646" operator="equal">
      <formula>"CERAMICA"</formula>
    </cfRule>
    <cfRule type="cellIs" dxfId="4491" priority="648" operator="equal">
      <formula>"RESERVATORIO"</formula>
    </cfRule>
    <cfRule type="cellIs" dxfId="4490" priority="649" operator="equal">
      <formula>"ESQUADRIA"</formula>
    </cfRule>
    <cfRule type="cellIs" dxfId="4489" priority="650" operator="equal">
      <formula>"ARGAMASSA"</formula>
    </cfRule>
    <cfRule type="cellIs" dxfId="4488" priority="651" operator="equal">
      <formula>"MANTA"</formula>
    </cfRule>
    <cfRule type="cellIs" dxfId="4487" priority="652" operator="equal">
      <formula>"BALDRAME"</formula>
    </cfRule>
    <cfRule type="cellIs" dxfId="4486" priority="653" operator="equal">
      <formula>"PORCELANATO"</formula>
    </cfRule>
    <cfRule type="cellIs" dxfId="4485" priority="654" operator="equal">
      <formula>"TINTA"</formula>
    </cfRule>
  </conditionalFormatting>
  <conditionalFormatting sqref="H3456">
    <cfRule type="cellIs" dxfId="4484" priority="641" operator="equal">
      <formula>$H$11=$E$11</formula>
    </cfRule>
  </conditionalFormatting>
  <conditionalFormatting sqref="H3456">
    <cfRule type="cellIs" dxfId="4483" priority="640" operator="equal">
      <formula>$H$11=$E$11</formula>
    </cfRule>
  </conditionalFormatting>
  <conditionalFormatting sqref="I3457:I3462">
    <cfRule type="cellIs" dxfId="4482" priority="631" operator="equal">
      <formula>"REVER"</formula>
    </cfRule>
    <cfRule type="cellIs" dxfId="4481" priority="639" operator="equal">
      <formula>"OKAY"</formula>
    </cfRule>
  </conditionalFormatting>
  <conditionalFormatting sqref="I3457:I3462">
    <cfRule type="cellIs" dxfId="4480" priority="626" operator="equal">
      <formula>"ACM CONCRETO"</formula>
    </cfRule>
    <cfRule type="cellIs" dxfId="4479" priority="627" operator="equal">
      <formula>"ACM"</formula>
    </cfRule>
    <cfRule type="cellIs" dxfId="4478" priority="628" operator="equal">
      <formula>"PASTILHA"</formula>
    </cfRule>
    <cfRule type="cellIs" dxfId="4477" priority="629" operator="equal">
      <formula>"PISCINA"</formula>
    </cfRule>
    <cfRule type="cellIs" dxfId="4476" priority="630" operator="equal">
      <formula>"CERAMICA"</formula>
    </cfRule>
    <cfRule type="cellIs" dxfId="4475" priority="632" operator="equal">
      <formula>"RESERVATORIO"</formula>
    </cfRule>
    <cfRule type="cellIs" dxfId="4474" priority="633" operator="equal">
      <formula>"ESQUADRIA"</formula>
    </cfRule>
    <cfRule type="cellIs" dxfId="4473" priority="634" operator="equal">
      <formula>"ARGAMASSA"</formula>
    </cfRule>
    <cfRule type="cellIs" dxfId="4472" priority="635" operator="equal">
      <formula>"MANTA"</formula>
    </cfRule>
    <cfRule type="cellIs" dxfId="4471" priority="636" operator="equal">
      <formula>"BALDRAME"</formula>
    </cfRule>
    <cfRule type="cellIs" dxfId="4470" priority="637" operator="equal">
      <formula>"PORCELANATO"</formula>
    </cfRule>
    <cfRule type="cellIs" dxfId="4469" priority="638" operator="equal">
      <formula>"TINTA"</formula>
    </cfRule>
  </conditionalFormatting>
  <conditionalFormatting sqref="H3477">
    <cfRule type="cellIs" dxfId="4468" priority="625" operator="equal">
      <formula>$H$11=$E$11</formula>
    </cfRule>
  </conditionalFormatting>
  <conditionalFormatting sqref="H3475">
    <cfRule type="cellIs" dxfId="4467" priority="624" operator="equal">
      <formula>$H$11=$E$11</formula>
    </cfRule>
  </conditionalFormatting>
  <conditionalFormatting sqref="H3497">
    <cfRule type="cellIs" dxfId="4466" priority="623" operator="equal">
      <formula>$H$11=$E$11</formula>
    </cfRule>
  </conditionalFormatting>
  <conditionalFormatting sqref="H3477">
    <cfRule type="cellIs" dxfId="4465" priority="622" operator="equal">
      <formula>$H$11=$E$11</formula>
    </cfRule>
  </conditionalFormatting>
  <conditionalFormatting sqref="H3477">
    <cfRule type="cellIs" dxfId="4464" priority="621" operator="equal">
      <formula>$H$11=$E$11</formula>
    </cfRule>
  </conditionalFormatting>
  <conditionalFormatting sqref="H3477">
    <cfRule type="cellIs" dxfId="4463" priority="620" operator="equal">
      <formula>$H$11=$E$11</formula>
    </cfRule>
  </conditionalFormatting>
  <conditionalFormatting sqref="H3497">
    <cfRule type="cellIs" dxfId="4462" priority="619" operator="equal">
      <formula>$H$11=$E$11</formula>
    </cfRule>
  </conditionalFormatting>
  <conditionalFormatting sqref="H3497">
    <cfRule type="cellIs" dxfId="4461" priority="618" operator="equal">
      <formula>$H$11=$E$11</formula>
    </cfRule>
  </conditionalFormatting>
  <conditionalFormatting sqref="H3477">
    <cfRule type="cellIs" dxfId="4460" priority="617" operator="equal">
      <formula>$H$11=$E$11</formula>
    </cfRule>
  </conditionalFormatting>
  <conditionalFormatting sqref="H3477">
    <cfRule type="cellIs" dxfId="4459" priority="616" operator="equal">
      <formula>$H$11=$E$11</formula>
    </cfRule>
  </conditionalFormatting>
  <conditionalFormatting sqref="H3497">
    <cfRule type="cellIs" dxfId="4458" priority="615" operator="equal">
      <formula>$H$11=$E$11</formula>
    </cfRule>
  </conditionalFormatting>
  <conditionalFormatting sqref="H3497">
    <cfRule type="cellIs" dxfId="4457" priority="614" operator="equal">
      <formula>$H$11=$E$11</formula>
    </cfRule>
  </conditionalFormatting>
  <conditionalFormatting sqref="I3626:I3635 I3648:I3653">
    <cfRule type="cellIs" dxfId="4456" priority="602" operator="equal">
      <formula>"ACM CONCRETO"</formula>
    </cfRule>
    <cfRule type="cellIs" dxfId="4455" priority="603" operator="equal">
      <formula>"ACM"</formula>
    </cfRule>
    <cfRule type="cellIs" dxfId="4454" priority="604" operator="equal">
      <formula>"PASTILHA"</formula>
    </cfRule>
    <cfRule type="cellIs" dxfId="4453" priority="605" operator="equal">
      <formula>"PISCINA"</formula>
    </cfRule>
    <cfRule type="cellIs" dxfId="4452" priority="606" operator="equal">
      <formula>"CERAMICA"</formula>
    </cfRule>
    <cfRule type="cellIs" dxfId="4451" priority="607" operator="equal">
      <formula>"RESERVATORIO"</formula>
    </cfRule>
    <cfRule type="cellIs" dxfId="4450" priority="608" operator="equal">
      <formula>"ESQUADRIA"</formula>
    </cfRule>
    <cfRule type="cellIs" dxfId="4449" priority="609" operator="equal">
      <formula>"ARGAMASSA"</formula>
    </cfRule>
    <cfRule type="cellIs" dxfId="4448" priority="610" operator="equal">
      <formula>"MANTA"</formula>
    </cfRule>
    <cfRule type="cellIs" dxfId="4447" priority="611" operator="equal">
      <formula>"BALDRAME"</formula>
    </cfRule>
    <cfRule type="cellIs" dxfId="4446" priority="612" operator="equal">
      <formula>"PORCELANATO"</formula>
    </cfRule>
    <cfRule type="cellIs" dxfId="4445" priority="613" operator="equal">
      <formula>"TINTA"</formula>
    </cfRule>
  </conditionalFormatting>
  <conditionalFormatting sqref="I3626:I3635 I3648:I3653">
    <cfRule type="cellIs" dxfId="4444" priority="600" operator="equal">
      <formula>"REVER"</formula>
    </cfRule>
    <cfRule type="cellIs" dxfId="4443" priority="601" operator="equal">
      <formula>"OKAY"</formula>
    </cfRule>
  </conditionalFormatting>
  <conditionalFormatting sqref="H3607:H3624 H3626:H3645 H3648:H3654">
    <cfRule type="cellIs" dxfId="4442" priority="599" operator="greaterThan">
      <formula>0</formula>
    </cfRule>
  </conditionalFormatting>
  <conditionalFormatting sqref="I3654">
    <cfRule type="cellIs" dxfId="4441" priority="587" operator="equal">
      <formula>"ACM CONCRETO"</formula>
    </cfRule>
    <cfRule type="cellIs" dxfId="4440" priority="588" operator="equal">
      <formula>"ACM"</formula>
    </cfRule>
    <cfRule type="cellIs" dxfId="4439" priority="589" operator="equal">
      <formula>"PASTILHA"</formula>
    </cfRule>
    <cfRule type="cellIs" dxfId="4438" priority="590" operator="equal">
      <formula>"PISCINA"</formula>
    </cfRule>
    <cfRule type="cellIs" dxfId="4437" priority="591" operator="equal">
      <formula>"CERAMICA"</formula>
    </cfRule>
    <cfRule type="cellIs" dxfId="4436" priority="592" operator="equal">
      <formula>"RESERVATORIO"</formula>
    </cfRule>
    <cfRule type="cellIs" dxfId="4435" priority="593" operator="equal">
      <formula>"ESQUADRIA"</formula>
    </cfRule>
    <cfRule type="cellIs" dxfId="4434" priority="594" operator="equal">
      <formula>"ARGAMASSA"</formula>
    </cfRule>
    <cfRule type="cellIs" dxfId="4433" priority="595" operator="equal">
      <formula>"MANTA"</formula>
    </cfRule>
    <cfRule type="cellIs" dxfId="4432" priority="596" operator="equal">
      <formula>"BALDRAME"</formula>
    </cfRule>
    <cfRule type="cellIs" dxfId="4431" priority="597" operator="equal">
      <formula>"PORCELANATO"</formula>
    </cfRule>
    <cfRule type="cellIs" dxfId="4430" priority="598" operator="equal">
      <formula>"TINTA"</formula>
    </cfRule>
  </conditionalFormatting>
  <conditionalFormatting sqref="I3607">
    <cfRule type="cellIs" dxfId="4429" priority="578" operator="equal">
      <formula>"REVER"</formula>
    </cfRule>
    <cfRule type="cellIs" dxfId="4428" priority="586" operator="equal">
      <formula>"OKAY"</formula>
    </cfRule>
  </conditionalFormatting>
  <conditionalFormatting sqref="I3607">
    <cfRule type="cellIs" dxfId="4427" priority="573" operator="equal">
      <formula>"ACM CONCRETO"</formula>
    </cfRule>
    <cfRule type="cellIs" dxfId="4426" priority="574" operator="equal">
      <formula>"ACM"</formula>
    </cfRule>
    <cfRule type="cellIs" dxfId="4425" priority="575" operator="equal">
      <formula>"PASTILHA"</formula>
    </cfRule>
    <cfRule type="cellIs" dxfId="4424" priority="576" operator="equal">
      <formula>"PISCINA"</formula>
    </cfRule>
    <cfRule type="cellIs" dxfId="4423" priority="577" operator="equal">
      <formula>"CERAMICA"</formula>
    </cfRule>
    <cfRule type="cellIs" dxfId="4422" priority="579" operator="equal">
      <formula>"RESERVATORIO"</formula>
    </cfRule>
    <cfRule type="cellIs" dxfId="4421" priority="580" operator="equal">
      <formula>"ESQUADRIA"</formula>
    </cfRule>
    <cfRule type="cellIs" dxfId="4420" priority="581" operator="equal">
      <formula>"ARGAMASSA"</formula>
    </cfRule>
    <cfRule type="cellIs" dxfId="4419" priority="582" operator="equal">
      <formula>"MANTA"</formula>
    </cfRule>
    <cfRule type="cellIs" dxfId="4418" priority="583" operator="equal">
      <formula>"BALDRAME"</formula>
    </cfRule>
    <cfRule type="cellIs" dxfId="4417" priority="584" operator="equal">
      <formula>"PORCELANATO"</formula>
    </cfRule>
    <cfRule type="cellIs" dxfId="4416" priority="585" operator="equal">
      <formula>"TINTA"</formula>
    </cfRule>
  </conditionalFormatting>
  <conditionalFormatting sqref="H3607">
    <cfRule type="cellIs" dxfId="4415" priority="572" operator="equal">
      <formula>$H$11=$E$11</formula>
    </cfRule>
  </conditionalFormatting>
  <conditionalFormatting sqref="H3607">
    <cfRule type="cellIs" dxfId="4414" priority="571" operator="equal">
      <formula>$H$11=$E$11</formula>
    </cfRule>
  </conditionalFormatting>
  <conditionalFormatting sqref="I3608:I3613">
    <cfRule type="cellIs" dxfId="4413" priority="562" operator="equal">
      <formula>"REVER"</formula>
    </cfRule>
    <cfRule type="cellIs" dxfId="4412" priority="570" operator="equal">
      <formula>"OKAY"</formula>
    </cfRule>
  </conditionalFormatting>
  <conditionalFormatting sqref="I3608:I3613">
    <cfRule type="cellIs" dxfId="4411" priority="557" operator="equal">
      <formula>"ACM CONCRETO"</formula>
    </cfRule>
    <cfRule type="cellIs" dxfId="4410" priority="558" operator="equal">
      <formula>"ACM"</formula>
    </cfRule>
    <cfRule type="cellIs" dxfId="4409" priority="559" operator="equal">
      <formula>"PASTILHA"</formula>
    </cfRule>
    <cfRule type="cellIs" dxfId="4408" priority="560" operator="equal">
      <formula>"PISCINA"</formula>
    </cfRule>
    <cfRule type="cellIs" dxfId="4407" priority="561" operator="equal">
      <formula>"CERAMICA"</formula>
    </cfRule>
    <cfRule type="cellIs" dxfId="4406" priority="563" operator="equal">
      <formula>"RESERVATORIO"</formula>
    </cfRule>
    <cfRule type="cellIs" dxfId="4405" priority="564" operator="equal">
      <formula>"ESQUADRIA"</formula>
    </cfRule>
    <cfRule type="cellIs" dxfId="4404" priority="565" operator="equal">
      <formula>"ARGAMASSA"</formula>
    </cfRule>
    <cfRule type="cellIs" dxfId="4403" priority="566" operator="equal">
      <formula>"MANTA"</formula>
    </cfRule>
    <cfRule type="cellIs" dxfId="4402" priority="567" operator="equal">
      <formula>"BALDRAME"</formula>
    </cfRule>
    <cfRule type="cellIs" dxfId="4401" priority="568" operator="equal">
      <formula>"PORCELANATO"</formula>
    </cfRule>
    <cfRule type="cellIs" dxfId="4400" priority="569" operator="equal">
      <formula>"TINTA"</formula>
    </cfRule>
  </conditionalFormatting>
  <conditionalFormatting sqref="H3628">
    <cfRule type="cellIs" dxfId="4399" priority="556" operator="equal">
      <formula>$H$11=$E$11</formula>
    </cfRule>
  </conditionalFormatting>
  <conditionalFormatting sqref="H3626">
    <cfRule type="cellIs" dxfId="4398" priority="555" operator="equal">
      <formula>$H$11=$E$11</formula>
    </cfRule>
  </conditionalFormatting>
  <conditionalFormatting sqref="H3648">
    <cfRule type="cellIs" dxfId="4397" priority="554" operator="equal">
      <formula>$H$11=$E$11</formula>
    </cfRule>
  </conditionalFormatting>
  <conditionalFormatting sqref="H3628">
    <cfRule type="cellIs" dxfId="4396" priority="553" operator="equal">
      <formula>$H$11=$E$11</formula>
    </cfRule>
  </conditionalFormatting>
  <conditionalFormatting sqref="H3628">
    <cfRule type="cellIs" dxfId="4395" priority="552" operator="equal">
      <formula>$H$11=$E$11</formula>
    </cfRule>
  </conditionalFormatting>
  <conditionalFormatting sqref="H3628">
    <cfRule type="cellIs" dxfId="4394" priority="551" operator="equal">
      <formula>$H$11=$E$11</formula>
    </cfRule>
  </conditionalFormatting>
  <conditionalFormatting sqref="H3648">
    <cfRule type="cellIs" dxfId="4393" priority="550" operator="equal">
      <formula>$H$11=$E$11</formula>
    </cfRule>
  </conditionalFormatting>
  <conditionalFormatting sqref="H3648">
    <cfRule type="cellIs" dxfId="4392" priority="549" operator="equal">
      <formula>$H$11=$E$11</formula>
    </cfRule>
  </conditionalFormatting>
  <conditionalFormatting sqref="H3628">
    <cfRule type="cellIs" dxfId="4391" priority="548" operator="equal">
      <formula>$H$11=$E$11</formula>
    </cfRule>
  </conditionalFormatting>
  <conditionalFormatting sqref="H3628">
    <cfRule type="cellIs" dxfId="4390" priority="547" operator="equal">
      <formula>$H$11=$E$11</formula>
    </cfRule>
  </conditionalFormatting>
  <conditionalFormatting sqref="H3648">
    <cfRule type="cellIs" dxfId="4389" priority="546" operator="equal">
      <formula>$H$11=$E$11</formula>
    </cfRule>
  </conditionalFormatting>
  <conditionalFormatting sqref="H3648">
    <cfRule type="cellIs" dxfId="4388" priority="545" operator="equal">
      <formula>$H$11=$E$11</formula>
    </cfRule>
  </conditionalFormatting>
  <conditionalFormatting sqref="G3714:I3718 I3674:I3683 I3696:I3701 I3705:I3713">
    <cfRule type="cellIs" dxfId="4387" priority="533" operator="equal">
      <formula>"ACM CONCRETO"</formula>
    </cfRule>
    <cfRule type="cellIs" dxfId="4386" priority="534" operator="equal">
      <formula>"ACM"</formula>
    </cfRule>
    <cfRule type="cellIs" dxfId="4385" priority="535" operator="equal">
      <formula>"PASTILHA"</formula>
    </cfRule>
    <cfRule type="cellIs" dxfId="4384" priority="536" operator="equal">
      <formula>"PISCINA"</formula>
    </cfRule>
    <cfRule type="cellIs" dxfId="4383" priority="537" operator="equal">
      <formula>"CERAMICA"</formula>
    </cfRule>
    <cfRule type="cellIs" dxfId="4382" priority="538" operator="equal">
      <formula>"RESERVATORIO"</formula>
    </cfRule>
    <cfRule type="cellIs" dxfId="4381" priority="539" operator="equal">
      <formula>"ESQUADRIA"</formula>
    </cfRule>
    <cfRule type="cellIs" dxfId="4380" priority="540" operator="equal">
      <formula>"ARGAMASSA"</formula>
    </cfRule>
    <cfRule type="cellIs" dxfId="4379" priority="541" operator="equal">
      <formula>"MANTA"</formula>
    </cfRule>
    <cfRule type="cellIs" dxfId="4378" priority="542" operator="equal">
      <formula>"BALDRAME"</formula>
    </cfRule>
    <cfRule type="cellIs" dxfId="4377" priority="543" operator="equal">
      <formula>"PORCELANATO"</formula>
    </cfRule>
    <cfRule type="cellIs" dxfId="4376" priority="544" operator="equal">
      <formula>"TINTA"</formula>
    </cfRule>
  </conditionalFormatting>
  <conditionalFormatting sqref="I3674:I3683 I3696:I3701">
    <cfRule type="cellIs" dxfId="4375" priority="531" operator="equal">
      <formula>"REVER"</formula>
    </cfRule>
    <cfRule type="cellIs" dxfId="4374" priority="532" operator="equal">
      <formula>"OKAY"</formula>
    </cfRule>
  </conditionalFormatting>
  <conditionalFormatting sqref="H3655:H3672 H3674:H3693 H3696:H3713">
    <cfRule type="cellIs" dxfId="4373" priority="530" operator="greaterThan">
      <formula>0</formula>
    </cfRule>
  </conditionalFormatting>
  <conditionalFormatting sqref="I3702:I3704">
    <cfRule type="cellIs" dxfId="4372" priority="518" operator="equal">
      <formula>"ACM CONCRETO"</formula>
    </cfRule>
    <cfRule type="cellIs" dxfId="4371" priority="519" operator="equal">
      <formula>"ACM"</formula>
    </cfRule>
    <cfRule type="cellIs" dxfId="4370" priority="520" operator="equal">
      <formula>"PASTILHA"</formula>
    </cfRule>
    <cfRule type="cellIs" dxfId="4369" priority="521" operator="equal">
      <formula>"PISCINA"</formula>
    </cfRule>
    <cfRule type="cellIs" dxfId="4368" priority="522" operator="equal">
      <formula>"CERAMICA"</formula>
    </cfRule>
    <cfRule type="cellIs" dxfId="4367" priority="523" operator="equal">
      <formula>"RESERVATORIO"</formula>
    </cfRule>
    <cfRule type="cellIs" dxfId="4366" priority="524" operator="equal">
      <formula>"ESQUADRIA"</formula>
    </cfRule>
    <cfRule type="cellIs" dxfId="4365" priority="525" operator="equal">
      <formula>"ARGAMASSA"</formula>
    </cfRule>
    <cfRule type="cellIs" dxfId="4364" priority="526" operator="equal">
      <formula>"MANTA"</formula>
    </cfRule>
    <cfRule type="cellIs" dxfId="4363" priority="527" operator="equal">
      <formula>"BALDRAME"</formula>
    </cfRule>
    <cfRule type="cellIs" dxfId="4362" priority="528" operator="equal">
      <formula>"PORCELANATO"</formula>
    </cfRule>
    <cfRule type="cellIs" dxfId="4361" priority="529" operator="equal">
      <formula>"TINTA"</formula>
    </cfRule>
  </conditionalFormatting>
  <conditionalFormatting sqref="I3655">
    <cfRule type="cellIs" dxfId="4360" priority="509" operator="equal">
      <formula>"REVER"</formula>
    </cfRule>
    <cfRule type="cellIs" dxfId="4359" priority="517" operator="equal">
      <formula>"OKAY"</formula>
    </cfRule>
  </conditionalFormatting>
  <conditionalFormatting sqref="I3655">
    <cfRule type="cellIs" dxfId="4358" priority="504" operator="equal">
      <formula>"ACM CONCRETO"</formula>
    </cfRule>
    <cfRule type="cellIs" dxfId="4357" priority="505" operator="equal">
      <formula>"ACM"</formula>
    </cfRule>
    <cfRule type="cellIs" dxfId="4356" priority="506" operator="equal">
      <formula>"PASTILHA"</formula>
    </cfRule>
    <cfRule type="cellIs" dxfId="4355" priority="507" operator="equal">
      <formula>"PISCINA"</formula>
    </cfRule>
    <cfRule type="cellIs" dxfId="4354" priority="508" operator="equal">
      <formula>"CERAMICA"</formula>
    </cfRule>
    <cfRule type="cellIs" dxfId="4353" priority="510" operator="equal">
      <formula>"RESERVATORIO"</formula>
    </cfRule>
    <cfRule type="cellIs" dxfId="4352" priority="511" operator="equal">
      <formula>"ESQUADRIA"</formula>
    </cfRule>
    <cfRule type="cellIs" dxfId="4351" priority="512" operator="equal">
      <formula>"ARGAMASSA"</formula>
    </cfRule>
    <cfRule type="cellIs" dxfId="4350" priority="513" operator="equal">
      <formula>"MANTA"</formula>
    </cfRule>
    <cfRule type="cellIs" dxfId="4349" priority="514" operator="equal">
      <formula>"BALDRAME"</formula>
    </cfRule>
    <cfRule type="cellIs" dxfId="4348" priority="515" operator="equal">
      <formula>"PORCELANATO"</formula>
    </cfRule>
    <cfRule type="cellIs" dxfId="4347" priority="516" operator="equal">
      <formula>"TINTA"</formula>
    </cfRule>
  </conditionalFormatting>
  <conditionalFormatting sqref="H3655">
    <cfRule type="cellIs" dxfId="4346" priority="503" operator="equal">
      <formula>$H$11=$E$11</formula>
    </cfRule>
  </conditionalFormatting>
  <conditionalFormatting sqref="H3655">
    <cfRule type="cellIs" dxfId="4345" priority="502" operator="equal">
      <formula>$H$11=$E$11</formula>
    </cfRule>
  </conditionalFormatting>
  <conditionalFormatting sqref="I3656:I3661">
    <cfRule type="cellIs" dxfId="4344" priority="493" operator="equal">
      <formula>"REVER"</formula>
    </cfRule>
    <cfRule type="cellIs" dxfId="4343" priority="501" operator="equal">
      <formula>"OKAY"</formula>
    </cfRule>
  </conditionalFormatting>
  <conditionalFormatting sqref="I3656:I3661">
    <cfRule type="cellIs" dxfId="4342" priority="488" operator="equal">
      <formula>"ACM CONCRETO"</formula>
    </cfRule>
    <cfRule type="cellIs" dxfId="4341" priority="489" operator="equal">
      <formula>"ACM"</formula>
    </cfRule>
    <cfRule type="cellIs" dxfId="4340" priority="490" operator="equal">
      <formula>"PASTILHA"</formula>
    </cfRule>
    <cfRule type="cellIs" dxfId="4339" priority="491" operator="equal">
      <formula>"PISCINA"</formula>
    </cfRule>
    <cfRule type="cellIs" dxfId="4338" priority="492" operator="equal">
      <formula>"CERAMICA"</formula>
    </cfRule>
    <cfRule type="cellIs" dxfId="4337" priority="494" operator="equal">
      <formula>"RESERVATORIO"</formula>
    </cfRule>
    <cfRule type="cellIs" dxfId="4336" priority="495" operator="equal">
      <formula>"ESQUADRIA"</formula>
    </cfRule>
    <cfRule type="cellIs" dxfId="4335" priority="496" operator="equal">
      <formula>"ARGAMASSA"</formula>
    </cfRule>
    <cfRule type="cellIs" dxfId="4334" priority="497" operator="equal">
      <formula>"MANTA"</formula>
    </cfRule>
    <cfRule type="cellIs" dxfId="4333" priority="498" operator="equal">
      <formula>"BALDRAME"</formula>
    </cfRule>
    <cfRule type="cellIs" dxfId="4332" priority="499" operator="equal">
      <formula>"PORCELANATO"</formula>
    </cfRule>
    <cfRule type="cellIs" dxfId="4331" priority="500" operator="equal">
      <formula>"TINTA"</formula>
    </cfRule>
  </conditionalFormatting>
  <conditionalFormatting sqref="H3676">
    <cfRule type="cellIs" dxfId="4330" priority="487" operator="equal">
      <formula>$H$11=$E$11</formula>
    </cfRule>
  </conditionalFormatting>
  <conditionalFormatting sqref="H3674">
    <cfRule type="cellIs" dxfId="4329" priority="486" operator="equal">
      <formula>$H$11=$E$11</formula>
    </cfRule>
  </conditionalFormatting>
  <conditionalFormatting sqref="H3696">
    <cfRule type="cellIs" dxfId="4328" priority="485" operator="equal">
      <formula>$H$11=$E$11</formula>
    </cfRule>
  </conditionalFormatting>
  <conditionalFormatting sqref="H3676">
    <cfRule type="cellIs" dxfId="4327" priority="484" operator="equal">
      <formula>$H$11=$E$11</formula>
    </cfRule>
  </conditionalFormatting>
  <conditionalFormatting sqref="H3676">
    <cfRule type="cellIs" dxfId="4326" priority="483" operator="equal">
      <formula>$H$11=$E$11</formula>
    </cfRule>
  </conditionalFormatting>
  <conditionalFormatting sqref="H3676">
    <cfRule type="cellIs" dxfId="4325" priority="482" operator="equal">
      <formula>$H$11=$E$11</formula>
    </cfRule>
  </conditionalFormatting>
  <conditionalFormatting sqref="H3696">
    <cfRule type="cellIs" dxfId="4324" priority="481" operator="equal">
      <formula>$H$11=$E$11</formula>
    </cfRule>
  </conditionalFormatting>
  <conditionalFormatting sqref="H3696">
    <cfRule type="cellIs" dxfId="4323" priority="480" operator="equal">
      <formula>$H$11=$E$11</formula>
    </cfRule>
  </conditionalFormatting>
  <conditionalFormatting sqref="H3676">
    <cfRule type="cellIs" dxfId="4322" priority="479" operator="equal">
      <formula>$H$11=$E$11</formula>
    </cfRule>
  </conditionalFormatting>
  <conditionalFormatting sqref="H3676">
    <cfRule type="cellIs" dxfId="4321" priority="478" operator="equal">
      <formula>$H$11=$E$11</formula>
    </cfRule>
  </conditionalFormatting>
  <conditionalFormatting sqref="H3696">
    <cfRule type="cellIs" dxfId="4320" priority="477" operator="equal">
      <formula>$H$11=$E$11</formula>
    </cfRule>
  </conditionalFormatting>
  <conditionalFormatting sqref="H3696">
    <cfRule type="cellIs" dxfId="4319" priority="476" operator="equal">
      <formula>$H$11=$E$11</formula>
    </cfRule>
  </conditionalFormatting>
  <conditionalFormatting sqref="I3760:I3765 G4249:I4252 G4209:I4212 G4169:I4172 G4129:I4132 G4085:I4088 G4045:I4048 G4024:I4027 G3984:I3987 G3944:I3947 G3904:I3907 G3863:I3867 I3769:I3777 G3820:I3823 G3778:I3783 I4042:I4044">
    <cfRule type="cellIs" dxfId="4318" priority="464" operator="equal">
      <formula>"ACM CONCRETO"</formula>
    </cfRule>
    <cfRule type="cellIs" dxfId="4317" priority="465" operator="equal">
      <formula>"ACM"</formula>
    </cfRule>
    <cfRule type="cellIs" dxfId="4316" priority="466" operator="equal">
      <formula>"PASTILHA"</formula>
    </cfRule>
    <cfRule type="cellIs" dxfId="4315" priority="467" operator="equal">
      <formula>"PISCINA"</formula>
    </cfRule>
    <cfRule type="cellIs" dxfId="4314" priority="468" operator="equal">
      <formula>"CERAMICA"</formula>
    </cfRule>
    <cfRule type="cellIs" dxfId="4313" priority="469" operator="equal">
      <formula>"RESERVATORIO"</formula>
    </cfRule>
    <cfRule type="cellIs" dxfId="4312" priority="470" operator="equal">
      <formula>"ESQUADRIA"</formula>
    </cfRule>
    <cfRule type="cellIs" dxfId="4311" priority="471" operator="equal">
      <formula>"ARGAMASSA"</formula>
    </cfRule>
    <cfRule type="cellIs" dxfId="4310" priority="472" operator="equal">
      <formula>"MANTA"</formula>
    </cfRule>
    <cfRule type="cellIs" dxfId="4309" priority="473" operator="equal">
      <formula>"BALDRAME"</formula>
    </cfRule>
    <cfRule type="cellIs" dxfId="4308" priority="474" operator="equal">
      <formula>"PORCELANATO"</formula>
    </cfRule>
    <cfRule type="cellIs" dxfId="4307" priority="475" operator="equal">
      <formula>"TINTA"</formula>
    </cfRule>
  </conditionalFormatting>
  <conditionalFormatting sqref="I3760:I3765">
    <cfRule type="cellIs" dxfId="4306" priority="462" operator="equal">
      <formula>"REVER"</formula>
    </cfRule>
    <cfRule type="cellIs" dxfId="4305" priority="463" operator="equal">
      <formula>"OKAY"</formula>
    </cfRule>
  </conditionalFormatting>
  <conditionalFormatting sqref="H3767:H3786 H3789:H3806 H3719:H3757">
    <cfRule type="cellIs" dxfId="4304" priority="461" operator="greaterThan">
      <formula>0</formula>
    </cfRule>
  </conditionalFormatting>
  <conditionalFormatting sqref="I3766:I3768">
    <cfRule type="cellIs" dxfId="4303" priority="449" operator="equal">
      <formula>"ACM CONCRETO"</formula>
    </cfRule>
    <cfRule type="cellIs" dxfId="4302" priority="450" operator="equal">
      <formula>"ACM"</formula>
    </cfRule>
    <cfRule type="cellIs" dxfId="4301" priority="451" operator="equal">
      <formula>"PASTILHA"</formula>
    </cfRule>
    <cfRule type="cellIs" dxfId="4300" priority="452" operator="equal">
      <formula>"PISCINA"</formula>
    </cfRule>
    <cfRule type="cellIs" dxfId="4299" priority="453" operator="equal">
      <formula>"CERAMICA"</formula>
    </cfRule>
    <cfRule type="cellIs" dxfId="4298" priority="454" operator="equal">
      <formula>"RESERVATORIO"</formula>
    </cfRule>
    <cfRule type="cellIs" dxfId="4297" priority="455" operator="equal">
      <formula>"ESQUADRIA"</formula>
    </cfRule>
    <cfRule type="cellIs" dxfId="4296" priority="456" operator="equal">
      <formula>"ARGAMASSA"</formula>
    </cfRule>
    <cfRule type="cellIs" dxfId="4295" priority="457" operator="equal">
      <formula>"MANTA"</formula>
    </cfRule>
    <cfRule type="cellIs" dxfId="4294" priority="458" operator="equal">
      <formula>"BALDRAME"</formula>
    </cfRule>
    <cfRule type="cellIs" dxfId="4293" priority="459" operator="equal">
      <formula>"PORCELANATO"</formula>
    </cfRule>
    <cfRule type="cellIs" dxfId="4292" priority="460" operator="equal">
      <formula>"TINTA"</formula>
    </cfRule>
  </conditionalFormatting>
  <conditionalFormatting sqref="I3719">
    <cfRule type="cellIs" dxfId="4291" priority="440" operator="equal">
      <formula>"REVER"</formula>
    </cfRule>
    <cfRule type="cellIs" dxfId="4290" priority="448" operator="equal">
      <formula>"OKAY"</formula>
    </cfRule>
  </conditionalFormatting>
  <conditionalFormatting sqref="I3719">
    <cfRule type="cellIs" dxfId="4289" priority="435" operator="equal">
      <formula>"ACM CONCRETO"</formula>
    </cfRule>
    <cfRule type="cellIs" dxfId="4288" priority="436" operator="equal">
      <formula>"ACM"</formula>
    </cfRule>
    <cfRule type="cellIs" dxfId="4287" priority="437" operator="equal">
      <formula>"PASTILHA"</formula>
    </cfRule>
    <cfRule type="cellIs" dxfId="4286" priority="438" operator="equal">
      <formula>"PISCINA"</formula>
    </cfRule>
    <cfRule type="cellIs" dxfId="4285" priority="439" operator="equal">
      <formula>"CERAMICA"</formula>
    </cfRule>
    <cfRule type="cellIs" dxfId="4284" priority="441" operator="equal">
      <formula>"RESERVATORIO"</formula>
    </cfRule>
    <cfRule type="cellIs" dxfId="4283" priority="442" operator="equal">
      <formula>"ESQUADRIA"</formula>
    </cfRule>
    <cfRule type="cellIs" dxfId="4282" priority="443" operator="equal">
      <formula>"ARGAMASSA"</formula>
    </cfRule>
    <cfRule type="cellIs" dxfId="4281" priority="444" operator="equal">
      <formula>"MANTA"</formula>
    </cfRule>
    <cfRule type="cellIs" dxfId="4280" priority="445" operator="equal">
      <formula>"BALDRAME"</formula>
    </cfRule>
    <cfRule type="cellIs" dxfId="4279" priority="446" operator="equal">
      <formula>"PORCELANATO"</formula>
    </cfRule>
    <cfRule type="cellIs" dxfId="4278" priority="447" operator="equal">
      <formula>"TINTA"</formula>
    </cfRule>
  </conditionalFormatting>
  <conditionalFormatting sqref="H3719">
    <cfRule type="cellIs" dxfId="4277" priority="434" operator="equal">
      <formula>$H$11=$E$11</formula>
    </cfRule>
  </conditionalFormatting>
  <conditionalFormatting sqref="H3719">
    <cfRule type="cellIs" dxfId="4276" priority="433" operator="equal">
      <formula>$H$11=$E$11</formula>
    </cfRule>
  </conditionalFormatting>
  <conditionalFormatting sqref="I3720:I3725">
    <cfRule type="cellIs" dxfId="4275" priority="424" operator="equal">
      <formula>"REVER"</formula>
    </cfRule>
    <cfRule type="cellIs" dxfId="4274" priority="432" operator="equal">
      <formula>"OKAY"</formula>
    </cfRule>
  </conditionalFormatting>
  <conditionalFormatting sqref="I3720:I3725">
    <cfRule type="cellIs" dxfId="4273" priority="419" operator="equal">
      <formula>"ACM CONCRETO"</formula>
    </cfRule>
    <cfRule type="cellIs" dxfId="4272" priority="420" operator="equal">
      <formula>"ACM"</formula>
    </cfRule>
    <cfRule type="cellIs" dxfId="4271" priority="421" operator="equal">
      <formula>"PASTILHA"</formula>
    </cfRule>
    <cfRule type="cellIs" dxfId="4270" priority="422" operator="equal">
      <formula>"PISCINA"</formula>
    </cfRule>
    <cfRule type="cellIs" dxfId="4269" priority="423" operator="equal">
      <formula>"CERAMICA"</formula>
    </cfRule>
    <cfRule type="cellIs" dxfId="4268" priority="425" operator="equal">
      <formula>"RESERVATORIO"</formula>
    </cfRule>
    <cfRule type="cellIs" dxfId="4267" priority="426" operator="equal">
      <formula>"ESQUADRIA"</formula>
    </cfRule>
    <cfRule type="cellIs" dxfId="4266" priority="427" operator="equal">
      <formula>"ARGAMASSA"</formula>
    </cfRule>
    <cfRule type="cellIs" dxfId="4265" priority="428" operator="equal">
      <formula>"MANTA"</formula>
    </cfRule>
    <cfRule type="cellIs" dxfId="4264" priority="429" operator="equal">
      <formula>"BALDRAME"</formula>
    </cfRule>
    <cfRule type="cellIs" dxfId="4263" priority="430" operator="equal">
      <formula>"PORCELANATO"</formula>
    </cfRule>
    <cfRule type="cellIs" dxfId="4262" priority="431" operator="equal">
      <formula>"TINTA"</formula>
    </cfRule>
  </conditionalFormatting>
  <conditionalFormatting sqref="H3769">
    <cfRule type="cellIs" dxfId="4261" priority="418" operator="equal">
      <formula>$H$11=$E$11</formula>
    </cfRule>
  </conditionalFormatting>
  <conditionalFormatting sqref="H3767">
    <cfRule type="cellIs" dxfId="4260" priority="417" operator="equal">
      <formula>$H$11=$E$11</formula>
    </cfRule>
  </conditionalFormatting>
  <conditionalFormatting sqref="H3789">
    <cfRule type="cellIs" dxfId="4259" priority="416" operator="equal">
      <formula>$H$11=$E$11</formula>
    </cfRule>
  </conditionalFormatting>
  <conditionalFormatting sqref="H3769">
    <cfRule type="cellIs" dxfId="4258" priority="415" operator="equal">
      <formula>$H$11=$E$11</formula>
    </cfRule>
  </conditionalFormatting>
  <conditionalFormatting sqref="H3769">
    <cfRule type="cellIs" dxfId="4257" priority="414" operator="equal">
      <formula>$H$11=$E$11</formula>
    </cfRule>
  </conditionalFormatting>
  <conditionalFormatting sqref="H3769">
    <cfRule type="cellIs" dxfId="4256" priority="413" operator="equal">
      <formula>$H$11=$E$11</formula>
    </cfRule>
  </conditionalFormatting>
  <conditionalFormatting sqref="H3789">
    <cfRule type="cellIs" dxfId="4255" priority="412" operator="equal">
      <formula>$H$11=$E$11</formula>
    </cfRule>
  </conditionalFormatting>
  <conditionalFormatting sqref="H3789">
    <cfRule type="cellIs" dxfId="4254" priority="411" operator="equal">
      <formula>$H$11=$E$11</formula>
    </cfRule>
  </conditionalFormatting>
  <conditionalFormatting sqref="H3769">
    <cfRule type="cellIs" dxfId="4253" priority="410" operator="equal">
      <formula>$H$11=$E$11</formula>
    </cfRule>
  </conditionalFormatting>
  <conditionalFormatting sqref="H3769">
    <cfRule type="cellIs" dxfId="4252" priority="409" operator="equal">
      <formula>$H$11=$E$11</formula>
    </cfRule>
  </conditionalFormatting>
  <conditionalFormatting sqref="H3789">
    <cfRule type="cellIs" dxfId="4251" priority="408" operator="equal">
      <formula>$H$11=$E$11</formula>
    </cfRule>
  </conditionalFormatting>
  <conditionalFormatting sqref="H3789">
    <cfRule type="cellIs" dxfId="4250" priority="407" operator="equal">
      <formula>$H$11=$E$11</formula>
    </cfRule>
  </conditionalFormatting>
  <conditionalFormatting sqref="I4296:I4305 I4318:I4321">
    <cfRule type="cellIs" dxfId="4249" priority="378" operator="equal">
      <formula>"ACM CONCRETO"</formula>
    </cfRule>
    <cfRule type="cellIs" dxfId="4248" priority="379" operator="equal">
      <formula>"ACM"</formula>
    </cfRule>
    <cfRule type="cellIs" dxfId="4247" priority="380" operator="equal">
      <formula>"PASTILHA"</formula>
    </cfRule>
    <cfRule type="cellIs" dxfId="4246" priority="381" operator="equal">
      <formula>"PISCINA"</formula>
    </cfRule>
    <cfRule type="cellIs" dxfId="4245" priority="382" operator="equal">
      <formula>"CERAMICA"</formula>
    </cfRule>
    <cfRule type="cellIs" dxfId="4244" priority="383" operator="equal">
      <formula>"RESERVATORIO"</formula>
    </cfRule>
    <cfRule type="cellIs" dxfId="4243" priority="384" operator="equal">
      <formula>"ESQUADRIA"</formula>
    </cfRule>
    <cfRule type="cellIs" dxfId="4242" priority="385" operator="equal">
      <formula>"ARGAMASSA"</formula>
    </cfRule>
    <cfRule type="cellIs" dxfId="4241" priority="386" operator="equal">
      <formula>"MANTA"</formula>
    </cfRule>
    <cfRule type="cellIs" dxfId="4240" priority="387" operator="equal">
      <formula>"BALDRAME"</formula>
    </cfRule>
    <cfRule type="cellIs" dxfId="4239" priority="388" operator="equal">
      <formula>"PORCELANATO"</formula>
    </cfRule>
    <cfRule type="cellIs" dxfId="4238" priority="389" operator="equal">
      <formula>"TINTA"</formula>
    </cfRule>
  </conditionalFormatting>
  <conditionalFormatting sqref="I4296:I4305 I4318:I4321">
    <cfRule type="cellIs" dxfId="4237" priority="376" operator="equal">
      <formula>"REVER"</formula>
    </cfRule>
    <cfRule type="cellIs" dxfId="4236" priority="377" operator="equal">
      <formula>"OKAY"</formula>
    </cfRule>
  </conditionalFormatting>
  <conditionalFormatting sqref="H4277:H4294 H4296:H4315">
    <cfRule type="cellIs" dxfId="4235" priority="375" operator="greaterThan">
      <formula>0</formula>
    </cfRule>
  </conditionalFormatting>
  <conditionalFormatting sqref="I4277">
    <cfRule type="cellIs" dxfId="4234" priority="354" operator="equal">
      <formula>"REVER"</formula>
    </cfRule>
    <cfRule type="cellIs" dxfId="4233" priority="362" operator="equal">
      <formula>"OKAY"</formula>
    </cfRule>
  </conditionalFormatting>
  <conditionalFormatting sqref="I4277">
    <cfRule type="cellIs" dxfId="4232" priority="349" operator="equal">
      <formula>"ACM CONCRETO"</formula>
    </cfRule>
    <cfRule type="cellIs" dxfId="4231" priority="350" operator="equal">
      <formula>"ACM"</formula>
    </cfRule>
    <cfRule type="cellIs" dxfId="4230" priority="351" operator="equal">
      <formula>"PASTILHA"</formula>
    </cfRule>
    <cfRule type="cellIs" dxfId="4229" priority="352" operator="equal">
      <formula>"PISCINA"</formula>
    </cfRule>
    <cfRule type="cellIs" dxfId="4228" priority="353" operator="equal">
      <formula>"CERAMICA"</formula>
    </cfRule>
    <cfRule type="cellIs" dxfId="4227" priority="355" operator="equal">
      <formula>"RESERVATORIO"</formula>
    </cfRule>
    <cfRule type="cellIs" dxfId="4226" priority="356" operator="equal">
      <formula>"ESQUADRIA"</formula>
    </cfRule>
    <cfRule type="cellIs" dxfId="4225" priority="357" operator="equal">
      <formula>"ARGAMASSA"</formula>
    </cfRule>
    <cfRule type="cellIs" dxfId="4224" priority="358" operator="equal">
      <formula>"MANTA"</formula>
    </cfRule>
    <cfRule type="cellIs" dxfId="4223" priority="359" operator="equal">
      <formula>"BALDRAME"</formula>
    </cfRule>
    <cfRule type="cellIs" dxfId="4222" priority="360" operator="equal">
      <formula>"PORCELANATO"</formula>
    </cfRule>
    <cfRule type="cellIs" dxfId="4221" priority="361" operator="equal">
      <formula>"TINTA"</formula>
    </cfRule>
  </conditionalFormatting>
  <conditionalFormatting sqref="H4277">
    <cfRule type="cellIs" dxfId="4220" priority="348" operator="equal">
      <formula>$H$11=$E$11</formula>
    </cfRule>
  </conditionalFormatting>
  <conditionalFormatting sqref="H4277">
    <cfRule type="cellIs" dxfId="4219" priority="347" operator="equal">
      <formula>$H$11=$E$11</formula>
    </cfRule>
  </conditionalFormatting>
  <conditionalFormatting sqref="I4278:I4283">
    <cfRule type="cellIs" dxfId="4218" priority="338" operator="equal">
      <formula>"REVER"</formula>
    </cfRule>
    <cfRule type="cellIs" dxfId="4217" priority="346" operator="equal">
      <formula>"OKAY"</formula>
    </cfRule>
  </conditionalFormatting>
  <conditionalFormatting sqref="I4278:I4283">
    <cfRule type="cellIs" dxfId="4216" priority="333" operator="equal">
      <formula>"ACM CONCRETO"</formula>
    </cfRule>
    <cfRule type="cellIs" dxfId="4215" priority="334" operator="equal">
      <formula>"ACM"</formula>
    </cfRule>
    <cfRule type="cellIs" dxfId="4214" priority="335" operator="equal">
      <formula>"PASTILHA"</formula>
    </cfRule>
    <cfRule type="cellIs" dxfId="4213" priority="336" operator="equal">
      <formula>"PISCINA"</formula>
    </cfRule>
    <cfRule type="cellIs" dxfId="4212" priority="337" operator="equal">
      <formula>"CERAMICA"</formula>
    </cfRule>
    <cfRule type="cellIs" dxfId="4211" priority="339" operator="equal">
      <formula>"RESERVATORIO"</formula>
    </cfRule>
    <cfRule type="cellIs" dxfId="4210" priority="340" operator="equal">
      <formula>"ESQUADRIA"</formula>
    </cfRule>
    <cfRule type="cellIs" dxfId="4209" priority="341" operator="equal">
      <formula>"ARGAMASSA"</formula>
    </cfRule>
    <cfRule type="cellIs" dxfId="4208" priority="342" operator="equal">
      <formula>"MANTA"</formula>
    </cfRule>
    <cfRule type="cellIs" dxfId="4207" priority="343" operator="equal">
      <formula>"BALDRAME"</formula>
    </cfRule>
    <cfRule type="cellIs" dxfId="4206" priority="344" operator="equal">
      <formula>"PORCELANATO"</formula>
    </cfRule>
    <cfRule type="cellIs" dxfId="4205" priority="345" operator="equal">
      <formula>"TINTA"</formula>
    </cfRule>
  </conditionalFormatting>
  <conditionalFormatting sqref="H4298">
    <cfRule type="cellIs" dxfId="4204" priority="332" operator="equal">
      <formula>$H$11=$E$11</formula>
    </cfRule>
  </conditionalFormatting>
  <conditionalFormatting sqref="H4296">
    <cfRule type="cellIs" dxfId="4203" priority="331" operator="equal">
      <formula>$H$11=$E$11</formula>
    </cfRule>
  </conditionalFormatting>
  <conditionalFormatting sqref="H4306">
    <cfRule type="cellIs" dxfId="4202" priority="330" operator="equal">
      <formula>$H$11=$E$11</formula>
    </cfRule>
  </conditionalFormatting>
  <conditionalFormatting sqref="H4298">
    <cfRule type="cellIs" dxfId="4201" priority="329" operator="equal">
      <formula>$H$11=$E$11</formula>
    </cfRule>
  </conditionalFormatting>
  <conditionalFormatting sqref="H4298">
    <cfRule type="cellIs" dxfId="4200" priority="328" operator="equal">
      <formula>$H$11=$E$11</formula>
    </cfRule>
  </conditionalFormatting>
  <conditionalFormatting sqref="H4298">
    <cfRule type="cellIs" dxfId="4199" priority="327" operator="equal">
      <formula>$H$11=$E$11</formula>
    </cfRule>
  </conditionalFormatting>
  <conditionalFormatting sqref="H4306">
    <cfRule type="cellIs" dxfId="4198" priority="326" operator="equal">
      <formula>$H$11=$E$11</formula>
    </cfRule>
  </conditionalFormatting>
  <conditionalFormatting sqref="H4306">
    <cfRule type="cellIs" dxfId="4197" priority="325" operator="equal">
      <formula>$H$11=$E$11</formula>
    </cfRule>
  </conditionalFormatting>
  <conditionalFormatting sqref="H4298">
    <cfRule type="cellIs" dxfId="4196" priority="324" operator="equal">
      <formula>$H$11=$E$11</formula>
    </cfRule>
  </conditionalFormatting>
  <conditionalFormatting sqref="H4298">
    <cfRule type="cellIs" dxfId="4195" priority="323" operator="equal">
      <formula>$H$11=$E$11</formula>
    </cfRule>
  </conditionalFormatting>
  <conditionalFormatting sqref="H4306">
    <cfRule type="cellIs" dxfId="4194" priority="322" operator="equal">
      <formula>$H$11=$E$11</formula>
    </cfRule>
  </conditionalFormatting>
  <conditionalFormatting sqref="H4306">
    <cfRule type="cellIs" dxfId="4193" priority="321" operator="equal">
      <formula>$H$11=$E$11</formula>
    </cfRule>
  </conditionalFormatting>
  <conditionalFormatting sqref="H4306">
    <cfRule type="cellIs" dxfId="4192" priority="260" operator="equal">
      <formula>$H$11=$E$11</formula>
    </cfRule>
  </conditionalFormatting>
  <conditionalFormatting sqref="H4306">
    <cfRule type="cellIs" dxfId="4191" priority="259" operator="equal">
      <formula>$H$11=$E$11</formula>
    </cfRule>
  </conditionalFormatting>
  <conditionalFormatting sqref="H4306">
    <cfRule type="cellIs" dxfId="4190" priority="258" operator="equal">
      <formula>$H$11=$E$11</formula>
    </cfRule>
  </conditionalFormatting>
  <conditionalFormatting sqref="H4306">
    <cfRule type="cellIs" dxfId="4189" priority="257" operator="equal">
      <formula>$H$11=$E$11</formula>
    </cfRule>
  </conditionalFormatting>
  <conditionalFormatting sqref="H4306">
    <cfRule type="cellIs" dxfId="4188" priority="256" operator="equal">
      <formula>$H$11=$E$11</formula>
    </cfRule>
  </conditionalFormatting>
  <conditionalFormatting sqref="H4306">
    <cfRule type="cellIs" dxfId="4187" priority="255" operator="equal">
      <formula>$H$11=$E$11</formula>
    </cfRule>
  </conditionalFormatting>
  <conditionalFormatting sqref="H4322:H4323">
    <cfRule type="cellIs" dxfId="4186" priority="254" operator="greaterThan">
      <formula>0</formula>
    </cfRule>
  </conditionalFormatting>
  <conditionalFormatting sqref="I4322">
    <cfRule type="cellIs" dxfId="4185" priority="245" operator="equal">
      <formula>"REVER"</formula>
    </cfRule>
    <cfRule type="cellIs" dxfId="4184" priority="253" operator="equal">
      <formula>"OKAY"</formula>
    </cfRule>
  </conditionalFormatting>
  <conditionalFormatting sqref="I4322">
    <cfRule type="cellIs" dxfId="4183" priority="240" operator="equal">
      <formula>"ACM CONCRETO"</formula>
    </cfRule>
    <cfRule type="cellIs" dxfId="4182" priority="241" operator="equal">
      <formula>"ACM"</formula>
    </cfRule>
    <cfRule type="cellIs" dxfId="4181" priority="242" operator="equal">
      <formula>"PASTILHA"</formula>
    </cfRule>
    <cfRule type="cellIs" dxfId="4180" priority="243" operator="equal">
      <formula>"PISCINA"</formula>
    </cfRule>
    <cfRule type="cellIs" dxfId="4179" priority="244" operator="equal">
      <formula>"CERAMICA"</formula>
    </cfRule>
    <cfRule type="cellIs" dxfId="4178" priority="246" operator="equal">
      <formula>"RESERVATORIO"</formula>
    </cfRule>
    <cfRule type="cellIs" dxfId="4177" priority="247" operator="equal">
      <formula>"ESQUADRIA"</formula>
    </cfRule>
    <cfRule type="cellIs" dxfId="4176" priority="248" operator="equal">
      <formula>"ARGAMASSA"</formula>
    </cfRule>
    <cfRule type="cellIs" dxfId="4175" priority="249" operator="equal">
      <formula>"MANTA"</formula>
    </cfRule>
    <cfRule type="cellIs" dxfId="4174" priority="250" operator="equal">
      <formula>"BALDRAME"</formula>
    </cfRule>
    <cfRule type="cellIs" dxfId="4173" priority="251" operator="equal">
      <formula>"PORCELANATO"</formula>
    </cfRule>
    <cfRule type="cellIs" dxfId="4172" priority="252" operator="equal">
      <formula>"TINTA"</formula>
    </cfRule>
  </conditionalFormatting>
  <conditionalFormatting sqref="H4322">
    <cfRule type="cellIs" dxfId="4171" priority="239" operator="equal">
      <formula>$H$11=$E$11</formula>
    </cfRule>
  </conditionalFormatting>
  <conditionalFormatting sqref="H4322">
    <cfRule type="cellIs" dxfId="4170" priority="238" operator="equal">
      <formula>$H$11=$E$11</formula>
    </cfRule>
  </conditionalFormatting>
  <conditionalFormatting sqref="I4323">
    <cfRule type="cellIs" dxfId="4169" priority="229" operator="equal">
      <formula>"REVER"</formula>
    </cfRule>
    <cfRule type="cellIs" dxfId="4168" priority="237" operator="equal">
      <formula>"OKAY"</formula>
    </cfRule>
  </conditionalFormatting>
  <conditionalFormatting sqref="I4323">
    <cfRule type="cellIs" dxfId="4167" priority="224" operator="equal">
      <formula>"ACM CONCRETO"</formula>
    </cfRule>
    <cfRule type="cellIs" dxfId="4166" priority="225" operator="equal">
      <formula>"ACM"</formula>
    </cfRule>
    <cfRule type="cellIs" dxfId="4165" priority="226" operator="equal">
      <formula>"PASTILHA"</formula>
    </cfRule>
    <cfRule type="cellIs" dxfId="4164" priority="227" operator="equal">
      <formula>"PISCINA"</formula>
    </cfRule>
    <cfRule type="cellIs" dxfId="4163" priority="228" operator="equal">
      <formula>"CERAMICA"</formula>
    </cfRule>
    <cfRule type="cellIs" dxfId="4162" priority="230" operator="equal">
      <formula>"RESERVATORIO"</formula>
    </cfRule>
    <cfRule type="cellIs" dxfId="4161" priority="231" operator="equal">
      <formula>"ESQUADRIA"</formula>
    </cfRule>
    <cfRule type="cellIs" dxfId="4160" priority="232" operator="equal">
      <formula>"ARGAMASSA"</formula>
    </cfRule>
    <cfRule type="cellIs" dxfId="4159" priority="233" operator="equal">
      <formula>"MANTA"</formula>
    </cfRule>
    <cfRule type="cellIs" dxfId="4158" priority="234" operator="equal">
      <formula>"BALDRAME"</formula>
    </cfRule>
    <cfRule type="cellIs" dxfId="4157" priority="235" operator="equal">
      <formula>"PORCELANATO"</formula>
    </cfRule>
    <cfRule type="cellIs" dxfId="4156" priority="236" operator="equal">
      <formula>"TINTA"</formula>
    </cfRule>
  </conditionalFormatting>
  <conditionalFormatting sqref="H4325:H4326">
    <cfRule type="cellIs" dxfId="4155" priority="223" operator="greaterThan">
      <formula>0</formula>
    </cfRule>
  </conditionalFormatting>
  <conditionalFormatting sqref="I4325">
    <cfRule type="cellIs" dxfId="4154" priority="214" operator="equal">
      <formula>"REVER"</formula>
    </cfRule>
    <cfRule type="cellIs" dxfId="4153" priority="222" operator="equal">
      <formula>"OKAY"</formula>
    </cfRule>
  </conditionalFormatting>
  <conditionalFormatting sqref="I4325">
    <cfRule type="cellIs" dxfId="4152" priority="209" operator="equal">
      <formula>"ACM CONCRETO"</formula>
    </cfRule>
    <cfRule type="cellIs" dxfId="4151" priority="210" operator="equal">
      <formula>"ACM"</formula>
    </cfRule>
    <cfRule type="cellIs" dxfId="4150" priority="211" operator="equal">
      <formula>"PASTILHA"</formula>
    </cfRule>
    <cfRule type="cellIs" dxfId="4149" priority="212" operator="equal">
      <formula>"PISCINA"</formula>
    </cfRule>
    <cfRule type="cellIs" dxfId="4148" priority="213" operator="equal">
      <formula>"CERAMICA"</formula>
    </cfRule>
    <cfRule type="cellIs" dxfId="4147" priority="215" operator="equal">
      <formula>"RESERVATORIO"</formula>
    </cfRule>
    <cfRule type="cellIs" dxfId="4146" priority="216" operator="equal">
      <formula>"ESQUADRIA"</formula>
    </cfRule>
    <cfRule type="cellIs" dxfId="4145" priority="217" operator="equal">
      <formula>"ARGAMASSA"</formula>
    </cfRule>
    <cfRule type="cellIs" dxfId="4144" priority="218" operator="equal">
      <formula>"MANTA"</formula>
    </cfRule>
    <cfRule type="cellIs" dxfId="4143" priority="219" operator="equal">
      <formula>"BALDRAME"</formula>
    </cfRule>
    <cfRule type="cellIs" dxfId="4142" priority="220" operator="equal">
      <formula>"PORCELANATO"</formula>
    </cfRule>
    <cfRule type="cellIs" dxfId="4141" priority="221" operator="equal">
      <formula>"TINTA"</formula>
    </cfRule>
  </conditionalFormatting>
  <conditionalFormatting sqref="H4325">
    <cfRule type="cellIs" dxfId="4140" priority="208" operator="equal">
      <formula>$H$11=$E$11</formula>
    </cfRule>
  </conditionalFormatting>
  <conditionalFormatting sqref="H4325">
    <cfRule type="cellIs" dxfId="4139" priority="207" operator="equal">
      <formula>$H$11=$E$11</formula>
    </cfRule>
  </conditionalFormatting>
  <conditionalFormatting sqref="I4326">
    <cfRule type="cellIs" dxfId="4138" priority="198" operator="equal">
      <formula>"REVER"</formula>
    </cfRule>
    <cfRule type="cellIs" dxfId="4137" priority="206" operator="equal">
      <formula>"OKAY"</formula>
    </cfRule>
  </conditionalFormatting>
  <conditionalFormatting sqref="I4326">
    <cfRule type="cellIs" dxfId="4136" priority="193" operator="equal">
      <formula>"ACM CONCRETO"</formula>
    </cfRule>
    <cfRule type="cellIs" dxfId="4135" priority="194" operator="equal">
      <formula>"ACM"</formula>
    </cfRule>
    <cfRule type="cellIs" dxfId="4134" priority="195" operator="equal">
      <formula>"PASTILHA"</formula>
    </cfRule>
    <cfRule type="cellIs" dxfId="4133" priority="196" operator="equal">
      <formula>"PISCINA"</formula>
    </cfRule>
    <cfRule type="cellIs" dxfId="4132" priority="197" operator="equal">
      <formula>"CERAMICA"</formula>
    </cfRule>
    <cfRule type="cellIs" dxfId="4131" priority="199" operator="equal">
      <formula>"RESERVATORIO"</formula>
    </cfRule>
    <cfRule type="cellIs" dxfId="4130" priority="200" operator="equal">
      <formula>"ESQUADRIA"</formula>
    </cfRule>
    <cfRule type="cellIs" dxfId="4129" priority="201" operator="equal">
      <formula>"ARGAMASSA"</formula>
    </cfRule>
    <cfRule type="cellIs" dxfId="4128" priority="202" operator="equal">
      <formula>"MANTA"</formula>
    </cfRule>
    <cfRule type="cellIs" dxfId="4127" priority="203" operator="equal">
      <formula>"BALDRAME"</formula>
    </cfRule>
    <cfRule type="cellIs" dxfId="4126" priority="204" operator="equal">
      <formula>"PORCELANATO"</formula>
    </cfRule>
    <cfRule type="cellIs" dxfId="4125" priority="205" operator="equal">
      <formula>"TINTA"</formula>
    </cfRule>
  </conditionalFormatting>
  <conditionalFormatting sqref="G4253:I4276">
    <cfRule type="cellIs" dxfId="4124" priority="145" operator="equal">
      <formula>"ACM CONCRETO"</formula>
    </cfRule>
    <cfRule type="cellIs" dxfId="4123" priority="146" operator="equal">
      <formula>"ACM"</formula>
    </cfRule>
    <cfRule type="cellIs" dxfId="4122" priority="147" operator="equal">
      <formula>"PASTILHA"</formula>
    </cfRule>
    <cfRule type="cellIs" dxfId="4121" priority="148" operator="equal">
      <formula>"PISCINA"</formula>
    </cfRule>
    <cfRule type="cellIs" dxfId="4120" priority="149" operator="equal">
      <formula>"CERAMICA"</formula>
    </cfRule>
    <cfRule type="cellIs" dxfId="4119" priority="150" operator="equal">
      <formula>"RESERVATORIO"</formula>
    </cfRule>
    <cfRule type="cellIs" dxfId="4118" priority="151" operator="equal">
      <formula>"ESQUADRIA"</formula>
    </cfRule>
    <cfRule type="cellIs" dxfId="4117" priority="152" operator="equal">
      <formula>"ARGAMASSA"</formula>
    </cfRule>
    <cfRule type="cellIs" dxfId="4116" priority="153" operator="equal">
      <formula>"MANTA"</formula>
    </cfRule>
    <cfRule type="cellIs" dxfId="4115" priority="154" operator="equal">
      <formula>"BALDRAME"</formula>
    </cfRule>
    <cfRule type="cellIs" dxfId="4114" priority="155" operator="equal">
      <formula>"PORCELANATO"</formula>
    </cfRule>
    <cfRule type="cellIs" dxfId="4113" priority="156" operator="equal">
      <formula>"TINTA"</formula>
    </cfRule>
  </conditionalFormatting>
  <conditionalFormatting sqref="G4213:I4248">
    <cfRule type="cellIs" dxfId="4112" priority="133" operator="equal">
      <formula>"ACM CONCRETO"</formula>
    </cfRule>
    <cfRule type="cellIs" dxfId="4111" priority="134" operator="equal">
      <formula>"ACM"</formula>
    </cfRule>
    <cfRule type="cellIs" dxfId="4110" priority="135" operator="equal">
      <formula>"PASTILHA"</formula>
    </cfRule>
    <cfRule type="cellIs" dxfId="4109" priority="136" operator="equal">
      <formula>"PISCINA"</formula>
    </cfRule>
    <cfRule type="cellIs" dxfId="4108" priority="137" operator="equal">
      <formula>"CERAMICA"</formula>
    </cfRule>
    <cfRule type="cellIs" dxfId="4107" priority="138" operator="equal">
      <formula>"RESERVATORIO"</formula>
    </cfRule>
    <cfRule type="cellIs" dxfId="4106" priority="139" operator="equal">
      <formula>"ESQUADRIA"</formula>
    </cfRule>
    <cfRule type="cellIs" dxfId="4105" priority="140" operator="equal">
      <formula>"ARGAMASSA"</formula>
    </cfRule>
    <cfRule type="cellIs" dxfId="4104" priority="141" operator="equal">
      <formula>"MANTA"</formula>
    </cfRule>
    <cfRule type="cellIs" dxfId="4103" priority="142" operator="equal">
      <formula>"BALDRAME"</formula>
    </cfRule>
    <cfRule type="cellIs" dxfId="4102" priority="143" operator="equal">
      <formula>"PORCELANATO"</formula>
    </cfRule>
    <cfRule type="cellIs" dxfId="4101" priority="144" operator="equal">
      <formula>"TINTA"</formula>
    </cfRule>
  </conditionalFormatting>
  <conditionalFormatting sqref="G4173:I4208">
    <cfRule type="cellIs" dxfId="4100" priority="121" operator="equal">
      <formula>"ACM CONCRETO"</formula>
    </cfRule>
    <cfRule type="cellIs" dxfId="4099" priority="122" operator="equal">
      <formula>"ACM"</formula>
    </cfRule>
    <cfRule type="cellIs" dxfId="4098" priority="123" operator="equal">
      <formula>"PASTILHA"</formula>
    </cfRule>
    <cfRule type="cellIs" dxfId="4097" priority="124" operator="equal">
      <formula>"PISCINA"</formula>
    </cfRule>
    <cfRule type="cellIs" dxfId="4096" priority="125" operator="equal">
      <formula>"CERAMICA"</formula>
    </cfRule>
    <cfRule type="cellIs" dxfId="4095" priority="126" operator="equal">
      <formula>"RESERVATORIO"</formula>
    </cfRule>
    <cfRule type="cellIs" dxfId="4094" priority="127" operator="equal">
      <formula>"ESQUADRIA"</formula>
    </cfRule>
    <cfRule type="cellIs" dxfId="4093" priority="128" operator="equal">
      <formula>"ARGAMASSA"</formula>
    </cfRule>
    <cfRule type="cellIs" dxfId="4092" priority="129" operator="equal">
      <formula>"MANTA"</formula>
    </cfRule>
    <cfRule type="cellIs" dxfId="4091" priority="130" operator="equal">
      <formula>"BALDRAME"</formula>
    </cfRule>
    <cfRule type="cellIs" dxfId="4090" priority="131" operator="equal">
      <formula>"PORCELANATO"</formula>
    </cfRule>
    <cfRule type="cellIs" dxfId="4089" priority="132" operator="equal">
      <formula>"TINTA"</formula>
    </cfRule>
  </conditionalFormatting>
  <conditionalFormatting sqref="G4133:I4168">
    <cfRule type="cellIs" dxfId="4088" priority="109" operator="equal">
      <formula>"ACM CONCRETO"</formula>
    </cfRule>
    <cfRule type="cellIs" dxfId="4087" priority="110" operator="equal">
      <formula>"ACM"</formula>
    </cfRule>
    <cfRule type="cellIs" dxfId="4086" priority="111" operator="equal">
      <formula>"PASTILHA"</formula>
    </cfRule>
    <cfRule type="cellIs" dxfId="4085" priority="112" operator="equal">
      <formula>"PISCINA"</formula>
    </cfRule>
    <cfRule type="cellIs" dxfId="4084" priority="113" operator="equal">
      <formula>"CERAMICA"</formula>
    </cfRule>
    <cfRule type="cellIs" dxfId="4083" priority="114" operator="equal">
      <formula>"RESERVATORIO"</formula>
    </cfRule>
    <cfRule type="cellIs" dxfId="4082" priority="115" operator="equal">
      <formula>"ESQUADRIA"</formula>
    </cfRule>
    <cfRule type="cellIs" dxfId="4081" priority="116" operator="equal">
      <formula>"ARGAMASSA"</formula>
    </cfRule>
    <cfRule type="cellIs" dxfId="4080" priority="117" operator="equal">
      <formula>"MANTA"</formula>
    </cfRule>
    <cfRule type="cellIs" dxfId="4079" priority="118" operator="equal">
      <formula>"BALDRAME"</formula>
    </cfRule>
    <cfRule type="cellIs" dxfId="4078" priority="119" operator="equal">
      <formula>"PORCELANATO"</formula>
    </cfRule>
    <cfRule type="cellIs" dxfId="4077" priority="120" operator="equal">
      <formula>"TINTA"</formula>
    </cfRule>
  </conditionalFormatting>
  <conditionalFormatting sqref="G4089:I4128">
    <cfRule type="cellIs" dxfId="4076" priority="97" operator="equal">
      <formula>"ACM CONCRETO"</formula>
    </cfRule>
    <cfRule type="cellIs" dxfId="4075" priority="98" operator="equal">
      <formula>"ACM"</formula>
    </cfRule>
    <cfRule type="cellIs" dxfId="4074" priority="99" operator="equal">
      <formula>"PASTILHA"</formula>
    </cfRule>
    <cfRule type="cellIs" dxfId="4073" priority="100" operator="equal">
      <formula>"PISCINA"</formula>
    </cfRule>
    <cfRule type="cellIs" dxfId="4072" priority="101" operator="equal">
      <formula>"CERAMICA"</formula>
    </cfRule>
    <cfRule type="cellIs" dxfId="4071" priority="102" operator="equal">
      <formula>"RESERVATORIO"</formula>
    </cfRule>
    <cfRule type="cellIs" dxfId="4070" priority="103" operator="equal">
      <formula>"ESQUADRIA"</formula>
    </cfRule>
    <cfRule type="cellIs" dxfId="4069" priority="104" operator="equal">
      <formula>"ARGAMASSA"</formula>
    </cfRule>
    <cfRule type="cellIs" dxfId="4068" priority="105" operator="equal">
      <formula>"MANTA"</formula>
    </cfRule>
    <cfRule type="cellIs" dxfId="4067" priority="106" operator="equal">
      <formula>"BALDRAME"</formula>
    </cfRule>
    <cfRule type="cellIs" dxfId="4066" priority="107" operator="equal">
      <formula>"PORCELANATO"</formula>
    </cfRule>
    <cfRule type="cellIs" dxfId="4065" priority="108" operator="equal">
      <formula>"TINTA"</formula>
    </cfRule>
  </conditionalFormatting>
  <conditionalFormatting sqref="G4049:I4084">
    <cfRule type="cellIs" dxfId="4064" priority="85" operator="equal">
      <formula>"ACM CONCRETO"</formula>
    </cfRule>
    <cfRule type="cellIs" dxfId="4063" priority="86" operator="equal">
      <formula>"ACM"</formula>
    </cfRule>
    <cfRule type="cellIs" dxfId="4062" priority="87" operator="equal">
      <formula>"PASTILHA"</formula>
    </cfRule>
    <cfRule type="cellIs" dxfId="4061" priority="88" operator="equal">
      <formula>"PISCINA"</formula>
    </cfRule>
    <cfRule type="cellIs" dxfId="4060" priority="89" operator="equal">
      <formula>"CERAMICA"</formula>
    </cfRule>
    <cfRule type="cellIs" dxfId="4059" priority="90" operator="equal">
      <formula>"RESERVATORIO"</formula>
    </cfRule>
    <cfRule type="cellIs" dxfId="4058" priority="91" operator="equal">
      <formula>"ESQUADRIA"</formula>
    </cfRule>
    <cfRule type="cellIs" dxfId="4057" priority="92" operator="equal">
      <formula>"ARGAMASSA"</formula>
    </cfRule>
    <cfRule type="cellIs" dxfId="4056" priority="93" operator="equal">
      <formula>"MANTA"</formula>
    </cfRule>
    <cfRule type="cellIs" dxfId="4055" priority="94" operator="equal">
      <formula>"BALDRAME"</formula>
    </cfRule>
    <cfRule type="cellIs" dxfId="4054" priority="95" operator="equal">
      <formula>"PORCELANATO"</formula>
    </cfRule>
    <cfRule type="cellIs" dxfId="4053" priority="96" operator="equal">
      <formula>"TINTA"</formula>
    </cfRule>
  </conditionalFormatting>
  <conditionalFormatting sqref="G4028:I4040 I4041 G4041:H4044">
    <cfRule type="cellIs" dxfId="4052" priority="73" operator="equal">
      <formula>"ACM CONCRETO"</formula>
    </cfRule>
    <cfRule type="cellIs" dxfId="4051" priority="74" operator="equal">
      <formula>"ACM"</formula>
    </cfRule>
    <cfRule type="cellIs" dxfId="4050" priority="75" operator="equal">
      <formula>"PASTILHA"</formula>
    </cfRule>
    <cfRule type="cellIs" dxfId="4049" priority="76" operator="equal">
      <formula>"PISCINA"</formula>
    </cfRule>
    <cfRule type="cellIs" dxfId="4048" priority="77" operator="equal">
      <formula>"CERAMICA"</formula>
    </cfRule>
    <cfRule type="cellIs" dxfId="4047" priority="78" operator="equal">
      <formula>"RESERVATORIO"</formula>
    </cfRule>
    <cfRule type="cellIs" dxfId="4046" priority="79" operator="equal">
      <formula>"ESQUADRIA"</formula>
    </cfRule>
    <cfRule type="cellIs" dxfId="4045" priority="80" operator="equal">
      <formula>"ARGAMASSA"</formula>
    </cfRule>
    <cfRule type="cellIs" dxfId="4044" priority="81" operator="equal">
      <formula>"MANTA"</formula>
    </cfRule>
    <cfRule type="cellIs" dxfId="4043" priority="82" operator="equal">
      <formula>"BALDRAME"</formula>
    </cfRule>
    <cfRule type="cellIs" dxfId="4042" priority="83" operator="equal">
      <formula>"PORCELANATO"</formula>
    </cfRule>
    <cfRule type="cellIs" dxfId="4041" priority="84" operator="equal">
      <formula>"TINTA"</formula>
    </cfRule>
  </conditionalFormatting>
  <conditionalFormatting sqref="G3988:I4023">
    <cfRule type="cellIs" dxfId="4040" priority="61" operator="equal">
      <formula>"ACM CONCRETO"</formula>
    </cfRule>
    <cfRule type="cellIs" dxfId="4039" priority="62" operator="equal">
      <formula>"ACM"</formula>
    </cfRule>
    <cfRule type="cellIs" dxfId="4038" priority="63" operator="equal">
      <formula>"PASTILHA"</formula>
    </cfRule>
    <cfRule type="cellIs" dxfId="4037" priority="64" operator="equal">
      <formula>"PISCINA"</formula>
    </cfRule>
    <cfRule type="cellIs" dxfId="4036" priority="65" operator="equal">
      <formula>"CERAMICA"</formula>
    </cfRule>
    <cfRule type="cellIs" dxfId="4035" priority="66" operator="equal">
      <formula>"RESERVATORIO"</formula>
    </cfRule>
    <cfRule type="cellIs" dxfId="4034" priority="67" operator="equal">
      <formula>"ESQUADRIA"</formula>
    </cfRule>
    <cfRule type="cellIs" dxfId="4033" priority="68" operator="equal">
      <formula>"ARGAMASSA"</formula>
    </cfRule>
    <cfRule type="cellIs" dxfId="4032" priority="69" operator="equal">
      <formula>"MANTA"</formula>
    </cfRule>
    <cfRule type="cellIs" dxfId="4031" priority="70" operator="equal">
      <formula>"BALDRAME"</formula>
    </cfRule>
    <cfRule type="cellIs" dxfId="4030" priority="71" operator="equal">
      <formula>"PORCELANATO"</formula>
    </cfRule>
    <cfRule type="cellIs" dxfId="4029" priority="72" operator="equal">
      <formula>"TINTA"</formula>
    </cfRule>
  </conditionalFormatting>
  <conditionalFormatting sqref="G3948:I3983">
    <cfRule type="cellIs" dxfId="4028" priority="49" operator="equal">
      <formula>"ACM CONCRETO"</formula>
    </cfRule>
    <cfRule type="cellIs" dxfId="4027" priority="50" operator="equal">
      <formula>"ACM"</formula>
    </cfRule>
    <cfRule type="cellIs" dxfId="4026" priority="51" operator="equal">
      <formula>"PASTILHA"</formula>
    </cfRule>
    <cfRule type="cellIs" dxfId="4025" priority="52" operator="equal">
      <formula>"PISCINA"</formula>
    </cfRule>
    <cfRule type="cellIs" dxfId="4024" priority="53" operator="equal">
      <formula>"CERAMICA"</formula>
    </cfRule>
    <cfRule type="cellIs" dxfId="4023" priority="54" operator="equal">
      <formula>"RESERVATORIO"</formula>
    </cfRule>
    <cfRule type="cellIs" dxfId="4022" priority="55" operator="equal">
      <formula>"ESQUADRIA"</formula>
    </cfRule>
    <cfRule type="cellIs" dxfId="4021" priority="56" operator="equal">
      <formula>"ARGAMASSA"</formula>
    </cfRule>
    <cfRule type="cellIs" dxfId="4020" priority="57" operator="equal">
      <formula>"MANTA"</formula>
    </cfRule>
    <cfRule type="cellIs" dxfId="4019" priority="58" operator="equal">
      <formula>"BALDRAME"</formula>
    </cfRule>
    <cfRule type="cellIs" dxfId="4018" priority="59" operator="equal">
      <formula>"PORCELANATO"</formula>
    </cfRule>
    <cfRule type="cellIs" dxfId="4017" priority="60" operator="equal">
      <formula>"TINTA"</formula>
    </cfRule>
  </conditionalFormatting>
  <conditionalFormatting sqref="G3908:I3943">
    <cfRule type="cellIs" dxfId="4016" priority="37" operator="equal">
      <formula>"ACM CONCRETO"</formula>
    </cfRule>
    <cfRule type="cellIs" dxfId="4015" priority="38" operator="equal">
      <formula>"ACM"</formula>
    </cfRule>
    <cfRule type="cellIs" dxfId="4014" priority="39" operator="equal">
      <formula>"PASTILHA"</formula>
    </cfRule>
    <cfRule type="cellIs" dxfId="4013" priority="40" operator="equal">
      <formula>"PISCINA"</formula>
    </cfRule>
    <cfRule type="cellIs" dxfId="4012" priority="41" operator="equal">
      <formula>"CERAMICA"</formula>
    </cfRule>
    <cfRule type="cellIs" dxfId="4011" priority="42" operator="equal">
      <formula>"RESERVATORIO"</formula>
    </cfRule>
    <cfRule type="cellIs" dxfId="4010" priority="43" operator="equal">
      <formula>"ESQUADRIA"</formula>
    </cfRule>
    <cfRule type="cellIs" dxfId="4009" priority="44" operator="equal">
      <formula>"ARGAMASSA"</formula>
    </cfRule>
    <cfRule type="cellIs" dxfId="4008" priority="45" operator="equal">
      <formula>"MANTA"</formula>
    </cfRule>
    <cfRule type="cellIs" dxfId="4007" priority="46" operator="equal">
      <formula>"BALDRAME"</formula>
    </cfRule>
    <cfRule type="cellIs" dxfId="4006" priority="47" operator="equal">
      <formula>"PORCELANATO"</formula>
    </cfRule>
    <cfRule type="cellIs" dxfId="4005" priority="48" operator="equal">
      <formula>"TINTA"</formula>
    </cfRule>
  </conditionalFormatting>
  <conditionalFormatting sqref="G3868:I3903">
    <cfRule type="cellIs" dxfId="4004" priority="25" operator="equal">
      <formula>"ACM CONCRETO"</formula>
    </cfRule>
    <cfRule type="cellIs" dxfId="4003" priority="26" operator="equal">
      <formula>"ACM"</formula>
    </cfRule>
    <cfRule type="cellIs" dxfId="4002" priority="27" operator="equal">
      <formula>"PASTILHA"</formula>
    </cfRule>
    <cfRule type="cellIs" dxfId="4001" priority="28" operator="equal">
      <formula>"PISCINA"</formula>
    </cfRule>
    <cfRule type="cellIs" dxfId="4000" priority="29" operator="equal">
      <formula>"CERAMICA"</formula>
    </cfRule>
    <cfRule type="cellIs" dxfId="3999" priority="30" operator="equal">
      <formula>"RESERVATORIO"</formula>
    </cfRule>
    <cfRule type="cellIs" dxfId="3998" priority="31" operator="equal">
      <formula>"ESQUADRIA"</formula>
    </cfRule>
    <cfRule type="cellIs" dxfId="3997" priority="32" operator="equal">
      <formula>"ARGAMASSA"</formula>
    </cfRule>
    <cfRule type="cellIs" dxfId="3996" priority="33" operator="equal">
      <formula>"MANTA"</formula>
    </cfRule>
    <cfRule type="cellIs" dxfId="3995" priority="34" operator="equal">
      <formula>"BALDRAME"</formula>
    </cfRule>
    <cfRule type="cellIs" dxfId="3994" priority="35" operator="equal">
      <formula>"PORCELANATO"</formula>
    </cfRule>
    <cfRule type="cellIs" dxfId="3993" priority="36" operator="equal">
      <formula>"TINTA"</formula>
    </cfRule>
  </conditionalFormatting>
  <conditionalFormatting sqref="G3824:I3862">
    <cfRule type="cellIs" dxfId="3992" priority="13" operator="equal">
      <formula>"ACM CONCRETO"</formula>
    </cfRule>
    <cfRule type="cellIs" dxfId="3991" priority="14" operator="equal">
      <formula>"ACM"</formula>
    </cfRule>
    <cfRule type="cellIs" dxfId="3990" priority="15" operator="equal">
      <formula>"PASTILHA"</formula>
    </cfRule>
    <cfRule type="cellIs" dxfId="3989" priority="16" operator="equal">
      <formula>"PISCINA"</formula>
    </cfRule>
    <cfRule type="cellIs" dxfId="3988" priority="17" operator="equal">
      <formula>"CERAMICA"</formula>
    </cfRule>
    <cfRule type="cellIs" dxfId="3987" priority="18" operator="equal">
      <formula>"RESERVATORIO"</formula>
    </cfRule>
    <cfRule type="cellIs" dxfId="3986" priority="19" operator="equal">
      <formula>"ESQUADRIA"</formula>
    </cfRule>
    <cfRule type="cellIs" dxfId="3985" priority="20" operator="equal">
      <formula>"ARGAMASSA"</formula>
    </cfRule>
    <cfRule type="cellIs" dxfId="3984" priority="21" operator="equal">
      <formula>"MANTA"</formula>
    </cfRule>
    <cfRule type="cellIs" dxfId="3983" priority="22" operator="equal">
      <formula>"BALDRAME"</formula>
    </cfRule>
    <cfRule type="cellIs" dxfId="3982" priority="23" operator="equal">
      <formula>"PORCELANATO"</formula>
    </cfRule>
    <cfRule type="cellIs" dxfId="3981" priority="24" operator="equal">
      <formula>"TINTA"</formula>
    </cfRule>
  </conditionalFormatting>
  <conditionalFormatting sqref="G3784:I3819">
    <cfRule type="cellIs" dxfId="3980" priority="1" operator="equal">
      <formula>"ACM CONCRETO"</formula>
    </cfRule>
    <cfRule type="cellIs" dxfId="3979" priority="2" operator="equal">
      <formula>"ACM"</formula>
    </cfRule>
    <cfRule type="cellIs" dxfId="3978" priority="3" operator="equal">
      <formula>"PASTILHA"</formula>
    </cfRule>
    <cfRule type="cellIs" dxfId="3977" priority="4" operator="equal">
      <formula>"PISCINA"</formula>
    </cfRule>
    <cfRule type="cellIs" dxfId="3976" priority="5" operator="equal">
      <formula>"CERAMICA"</formula>
    </cfRule>
    <cfRule type="cellIs" dxfId="3975" priority="6" operator="equal">
      <formula>"RESERVATORIO"</formula>
    </cfRule>
    <cfRule type="cellIs" dxfId="3974" priority="7" operator="equal">
      <formula>"ESQUADRIA"</formula>
    </cfRule>
    <cfRule type="cellIs" dxfId="3973" priority="8" operator="equal">
      <formula>"ARGAMASSA"</formula>
    </cfRule>
    <cfRule type="cellIs" dxfId="3972" priority="9" operator="equal">
      <formula>"MANTA"</formula>
    </cfRule>
    <cfRule type="cellIs" dxfId="3971" priority="10" operator="equal">
      <formula>"BALDRAME"</formula>
    </cfRule>
    <cfRule type="cellIs" dxfId="3970" priority="11" operator="equal">
      <formula>"PORCELANATO"</formula>
    </cfRule>
    <cfRule type="cellIs" dxfId="3969" priority="12" operator="equal">
      <formula>"TINTA"</formula>
    </cfRule>
  </conditionalFormatting>
  <pageMargins left="0.78749999999999998" right="0.78749999999999998" top="1.05277777777778" bottom="1.05277777777778" header="0.78749999999999998" footer="0.78749999999999998"/>
  <pageSetup paperSize="9" scale="53" orientation="landscape" useFirstPageNumber="1" horizontalDpi="300" verticalDpi="300"/>
  <headerFooter>
    <oddHeader>&amp;C&amp;"Times New Roman,Normal"&amp;12&amp;A</oddHeader>
    <oddFooter>&amp;C&amp;"Times New Roman,Normal"&amp;12Página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C8942-5994-4FE9-8C7F-E01452DA428D}">
  <sheetPr filterMode="1">
    <tabColor rgb="FF1851D6"/>
  </sheetPr>
  <dimension ref="A1:Z147"/>
  <sheetViews>
    <sheetView topLeftCell="A8" workbookViewId="0">
      <selection activeCell="D18" sqref="D18"/>
    </sheetView>
  </sheetViews>
  <sheetFormatPr defaultColWidth="7.5703125" defaultRowHeight="11.25" outlineLevelRow="1" x14ac:dyDescent="0.2"/>
  <cols>
    <col min="1" max="1" width="59.85546875" style="543" customWidth="1"/>
    <col min="2" max="2" width="13.85546875" style="537" customWidth="1"/>
    <col min="3" max="3" width="17.42578125" style="537" customWidth="1"/>
    <col min="4" max="4" width="14.28515625" style="537" customWidth="1"/>
    <col min="5" max="5" width="11.28515625" style="537" customWidth="1"/>
    <col min="6" max="6" width="13.7109375" style="537" bestFit="1" customWidth="1"/>
    <col min="7" max="19" width="9.5703125" style="537" customWidth="1"/>
    <col min="20" max="20" width="8.7109375" style="537" bestFit="1" customWidth="1"/>
    <col min="21" max="21" width="7" style="537" bestFit="1" customWidth="1"/>
    <col min="22" max="16384" width="7.5703125" style="537"/>
  </cols>
  <sheetData>
    <row r="1" spans="1:26" s="529" customFormat="1" ht="12.75" x14ac:dyDescent="0.2">
      <c r="A1" s="539"/>
      <c r="B1" s="525" t="s">
        <v>298</v>
      </c>
      <c r="C1" s="526" t="str">
        <f>'Obra '!D1</f>
        <v>Caio Prado</v>
      </c>
      <c r="D1" s="526"/>
      <c r="E1" s="527"/>
      <c r="F1" s="527"/>
      <c r="G1" s="527"/>
      <c r="H1" s="528"/>
      <c r="I1" s="528"/>
      <c r="J1" s="528"/>
      <c r="K1" s="528"/>
      <c r="L1" s="528"/>
      <c r="M1" s="528"/>
      <c r="N1" s="528"/>
      <c r="O1" s="528"/>
      <c r="P1" s="528"/>
      <c r="Q1" s="528"/>
      <c r="R1" s="528"/>
      <c r="S1" s="528"/>
      <c r="U1" s="530"/>
    </row>
    <row r="2" spans="1:26" s="531" customFormat="1" ht="12.75" x14ac:dyDescent="0.2">
      <c r="A2" s="540"/>
      <c r="B2" s="525" t="s">
        <v>299</v>
      </c>
      <c r="C2" s="532" t="str">
        <f>'Obra '!D2</f>
        <v>Indepy</v>
      </c>
      <c r="D2" s="526"/>
      <c r="E2" s="526"/>
      <c r="F2" s="526"/>
      <c r="G2" s="526"/>
      <c r="H2" s="533"/>
      <c r="I2" s="533"/>
      <c r="J2" s="533"/>
      <c r="K2" s="533"/>
      <c r="L2" s="533"/>
      <c r="M2" s="533"/>
      <c r="N2" s="533"/>
      <c r="O2" s="533"/>
      <c r="P2" s="533"/>
      <c r="Q2" s="533"/>
      <c r="R2" s="533"/>
      <c r="S2" s="533"/>
    </row>
    <row r="3" spans="1:26" s="531" customFormat="1" ht="12.75" x14ac:dyDescent="0.2">
      <c r="A3" s="541"/>
      <c r="B3" s="525" t="s">
        <v>300</v>
      </c>
      <c r="C3" s="526" t="str">
        <f>'Obra '!D3</f>
        <v>R00 - Larissa</v>
      </c>
      <c r="D3" s="526"/>
      <c r="E3" s="526"/>
      <c r="F3" s="534"/>
      <c r="G3" s="535"/>
      <c r="H3" s="533"/>
      <c r="I3" s="533"/>
      <c r="J3" s="533"/>
      <c r="K3" s="533"/>
      <c r="L3" s="533"/>
      <c r="M3" s="533"/>
      <c r="N3" s="533"/>
      <c r="O3" s="533"/>
      <c r="P3" s="533"/>
      <c r="Q3" s="533"/>
      <c r="R3" s="533"/>
      <c r="S3" s="533"/>
      <c r="T3" s="40" t="s">
        <v>3870</v>
      </c>
      <c r="U3" s="40" t="s">
        <v>9</v>
      </c>
    </row>
    <row r="4" spans="1:26" s="536" customFormat="1" ht="15.75" x14ac:dyDescent="0.2">
      <c r="A4" s="542" t="s">
        <v>34</v>
      </c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38" t="str" cm="1">
        <f t="array" ref="T4:T9">_xlfn.UNIQUE(_xlfn._xlws.FILTER(E13:E145,E13:E145&lt;&gt;""))</f>
        <v>06.001.005</v>
      </c>
      <c r="U4" s="38" t="str" cm="1">
        <f t="array" ref="U4:U15">_xlfn.UNIQUE(_xlfn._xlws.FILTER(D13:D145,D13:D145&lt;&gt;""))</f>
        <v>E3</v>
      </c>
      <c r="V4" s="537" t="s">
        <v>3827</v>
      </c>
      <c r="W4" s="536" t="str">
        <f t="shared" ref="W4:W15" si="0">U4&amp;" - "&amp;V4</f>
        <v>E3 - Membrana de polímero acrílico com cimento e fibras, estruturada com tela de poliéster nos pontos críticos (3,0 kg/m²)</v>
      </c>
    </row>
    <row r="5" spans="1:26" ht="24" customHeight="1" x14ac:dyDescent="0.2">
      <c r="A5" s="500"/>
      <c r="B5" s="77" t="s">
        <v>3199</v>
      </c>
      <c r="C5" s="77" t="s">
        <v>3806</v>
      </c>
      <c r="D5" s="548" t="str">
        <f>U4</f>
        <v>E3</v>
      </c>
      <c r="E5" s="548" t="str">
        <f>U5</f>
        <v>I30EL</v>
      </c>
      <c r="F5" s="548" t="str">
        <f>U6</f>
        <v>M44A</v>
      </c>
      <c r="G5" s="548" t="str">
        <f>U7</f>
        <v>C3</v>
      </c>
      <c r="H5" s="548" t="str">
        <f>U8</f>
        <v>C3E3</v>
      </c>
      <c r="I5" s="548" t="str">
        <f>U9</f>
        <v>C4</v>
      </c>
      <c r="J5" s="548" t="str">
        <f>U10</f>
        <v>C4RQ</v>
      </c>
      <c r="K5" s="548" t="str">
        <f>U11</f>
        <v>I30</v>
      </c>
      <c r="L5" s="548" t="str">
        <f>U12</f>
        <v>M44AE2</v>
      </c>
      <c r="M5" s="548" t="str">
        <f>U13</f>
        <v>E2</v>
      </c>
      <c r="N5" s="548" t="str">
        <f>U14</f>
        <v>M44AR05</v>
      </c>
      <c r="O5" s="548" t="str">
        <f>U15</f>
        <v>M44A + M44AE2</v>
      </c>
      <c r="T5" s="38" t="str">
        <v>06.001.003</v>
      </c>
      <c r="U5" s="38" t="str">
        <v>I30EL</v>
      </c>
      <c r="V5" s="537" t="s">
        <v>3828</v>
      </c>
      <c r="W5" s="536" t="str">
        <f t="shared" si="0"/>
        <v>I30EL - Membrana de polímero acrílico, sem cimento (3,0 kg/m²), com resistência à alcalinidade, estruturada com tela de poliéster nos pontos críticos – Ref.: Sika Baucryl, MC DF9, Icopor HP, Procryl Imper</v>
      </c>
    </row>
    <row r="6" spans="1:26" ht="12" customHeight="1" x14ac:dyDescent="0.2">
      <c r="A6" s="501"/>
      <c r="B6" s="40" t="s">
        <v>1</v>
      </c>
      <c r="C6" s="40" t="s">
        <v>1</v>
      </c>
      <c r="D6" s="40" t="s">
        <v>1</v>
      </c>
      <c r="E6" s="40" t="s">
        <v>1</v>
      </c>
      <c r="F6" s="40" t="s">
        <v>1</v>
      </c>
      <c r="G6" s="40" t="s">
        <v>1</v>
      </c>
      <c r="H6" s="40" t="s">
        <v>1</v>
      </c>
      <c r="I6" s="40" t="s">
        <v>1</v>
      </c>
      <c r="J6" s="40" t="s">
        <v>1</v>
      </c>
      <c r="K6" s="40" t="s">
        <v>1</v>
      </c>
      <c r="L6" s="40" t="s">
        <v>1</v>
      </c>
      <c r="M6" s="40" t="s">
        <v>1</v>
      </c>
      <c r="N6" s="40" t="s">
        <v>1</v>
      </c>
      <c r="O6" s="40" t="s">
        <v>1</v>
      </c>
      <c r="T6" s="38" t="str">
        <v>06.001.006</v>
      </c>
      <c r="U6" s="38" t="str">
        <v>M44A</v>
      </c>
      <c r="V6" s="537" t="s">
        <v>3829</v>
      </c>
      <c r="W6" s="536" t="str">
        <f t="shared" si="0"/>
        <v>M44A - Manta asfáltica tipo IV, 4 mm A, com acabamento areia/areia aderida com asfalto oxidado (3,0 kg/m²) + banho de asfalto oxidado (2,0 kg/m²)</v>
      </c>
    </row>
    <row r="7" spans="1:26" ht="12.75" x14ac:dyDescent="0.2">
      <c r="A7" s="547" t="s">
        <v>148</v>
      </c>
      <c r="B7" s="163">
        <f>F146</f>
        <v>4984.6900000000014</v>
      </c>
      <c r="C7" s="163">
        <f>G146</f>
        <v>14.120000000000001</v>
      </c>
      <c r="D7" s="163">
        <f t="shared" ref="D7:F7" si="1">SUMIF($D$13:$D$145,D$5,$B$13:$B$145)</f>
        <v>2876.1000000000008</v>
      </c>
      <c r="E7" s="163">
        <f t="shared" si="1"/>
        <v>130.83000000000001</v>
      </c>
      <c r="F7" s="163">
        <f t="shared" si="1"/>
        <v>780.24000000000012</v>
      </c>
      <c r="G7" s="163">
        <f>SUMIF($D$13:$D$145,G$5,$B$13:$B$145)</f>
        <v>445.17999999999989</v>
      </c>
      <c r="H7" s="163">
        <f t="shared" ref="H7:O7" si="2">SUMIF($D$13:$D$145,H$5,$B$13:$B$145)</f>
        <v>163.53</v>
      </c>
      <c r="I7" s="163">
        <f t="shared" si="2"/>
        <v>309.19</v>
      </c>
      <c r="J7" s="163">
        <f t="shared" si="2"/>
        <v>47.53</v>
      </c>
      <c r="K7" s="163">
        <f t="shared" si="2"/>
        <v>1.92</v>
      </c>
      <c r="L7" s="163">
        <f t="shared" si="2"/>
        <v>59.81</v>
      </c>
      <c r="M7" s="163">
        <f t="shared" si="2"/>
        <v>27.76</v>
      </c>
      <c r="N7" s="163">
        <f t="shared" si="2"/>
        <v>14.120000000000001</v>
      </c>
      <c r="O7" s="163">
        <f t="shared" si="2"/>
        <v>128.47999999999999</v>
      </c>
      <c r="T7" s="38" t="str">
        <v>06.001.008</v>
      </c>
      <c r="U7" s="38" t="str">
        <v>C3</v>
      </c>
      <c r="V7" s="537" t="s">
        <v>3830</v>
      </c>
      <c r="W7" s="536" t="str">
        <f t="shared" si="0"/>
        <v>C3 - Argamassa polimérica rígida, estruturada com tela de poliéster nos pontos críticos (3,0 kg/m²)</v>
      </c>
    </row>
    <row r="8" spans="1:26" ht="12.75" x14ac:dyDescent="0.2">
      <c r="A8" s="544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38" t="str">
        <v>06.001.004</v>
      </c>
      <c r="U8" s="38" t="str">
        <v>C3E3</v>
      </c>
      <c r="V8" s="537" t="s">
        <v>3831</v>
      </c>
      <c r="W8" s="536" t="str">
        <f t="shared" si="0"/>
        <v>C3E3 - Argamassa polimérica rígida (3,0 kg/m²) + membrana de polímero acrílico com cimento e fibras, estruturada com tela de poliéster nos pontos críticos (3,0 kg/m²)</v>
      </c>
    </row>
    <row r="9" spans="1:26" ht="24" x14ac:dyDescent="0.2">
      <c r="A9" s="545" t="s">
        <v>148</v>
      </c>
      <c r="B9" s="139"/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38" t="str">
        <v>06.001.002.001</v>
      </c>
      <c r="U9" s="38" t="str">
        <v>C4</v>
      </c>
      <c r="V9" s="537" t="s">
        <v>3832</v>
      </c>
      <c r="W9" s="536" t="str">
        <f t="shared" si="0"/>
        <v>C4 - Argamassa polimérica rígida, estruturada com tela de poliéster nos pontos críticos (4,0 kg/m²)</v>
      </c>
    </row>
    <row r="10" spans="1:26" ht="12" customHeight="1" x14ac:dyDescent="0.2">
      <c r="A10" s="634" t="s">
        <v>7</v>
      </c>
      <c r="B10" s="637" t="s">
        <v>10</v>
      </c>
      <c r="C10" s="639" t="s">
        <v>3807</v>
      </c>
      <c r="D10" s="639" t="s">
        <v>9</v>
      </c>
      <c r="E10" s="639" t="s">
        <v>3814</v>
      </c>
      <c r="F10" s="639" t="s">
        <v>3199</v>
      </c>
      <c r="G10" s="639" t="s">
        <v>3806</v>
      </c>
      <c r="H10" s="641" t="s">
        <v>3815</v>
      </c>
      <c r="I10" s="641" t="s">
        <v>3816</v>
      </c>
      <c r="J10" s="641" t="s">
        <v>3817</v>
      </c>
      <c r="K10" s="641" t="s">
        <v>3818</v>
      </c>
      <c r="L10" s="641" t="s">
        <v>3819</v>
      </c>
      <c r="M10" s="641" t="s">
        <v>3820</v>
      </c>
      <c r="N10" s="641" t="s">
        <v>3821</v>
      </c>
      <c r="O10" s="641" t="s">
        <v>3822</v>
      </c>
      <c r="P10" s="641" t="s">
        <v>3823</v>
      </c>
      <c r="Q10" s="641" t="s">
        <v>3824</v>
      </c>
      <c r="R10" s="641" t="s">
        <v>3825</v>
      </c>
      <c r="S10" s="641" t="s">
        <v>3826</v>
      </c>
      <c r="T10" s="38"/>
      <c r="U10" s="38" t="str">
        <v>C4RQ</v>
      </c>
      <c r="V10" s="537" t="s">
        <v>3833</v>
      </c>
      <c r="W10" s="536" t="str">
        <f t="shared" si="0"/>
        <v>C4RQ - Argamassa polimérica rígida, com alta resistência química, estruturada com tela de poliéster nos pontos críticos (4,0 kg/m²)</v>
      </c>
      <c r="Z10" s="538"/>
    </row>
    <row r="11" spans="1:26" ht="12" hidden="1" customHeight="1" x14ac:dyDescent="0.2">
      <c r="A11" s="635"/>
      <c r="B11" s="638"/>
      <c r="C11" s="640"/>
      <c r="D11" s="640"/>
      <c r="E11" s="640"/>
      <c r="F11" s="640"/>
      <c r="G11" s="640"/>
      <c r="H11" s="642"/>
      <c r="I11" s="642" t="s">
        <v>3816</v>
      </c>
      <c r="J11" s="642" t="s">
        <v>3817</v>
      </c>
      <c r="K11" s="642" t="s">
        <v>3818</v>
      </c>
      <c r="L11" s="642" t="s">
        <v>3819</v>
      </c>
      <c r="M11" s="642" t="s">
        <v>3820</v>
      </c>
      <c r="N11" s="642" t="s">
        <v>3821</v>
      </c>
      <c r="O11" s="642" t="s">
        <v>3822</v>
      </c>
      <c r="P11" s="642" t="s">
        <v>3823</v>
      </c>
      <c r="Q11" s="642" t="s">
        <v>3824</v>
      </c>
      <c r="R11" s="642" t="s">
        <v>3825</v>
      </c>
      <c r="S11" s="642" t="s">
        <v>3826</v>
      </c>
      <c r="T11" s="38"/>
      <c r="U11" s="38" t="str">
        <v>I30</v>
      </c>
      <c r="V11" s="537" t="s">
        <v>3834</v>
      </c>
      <c r="W11" s="536" t="str">
        <f t="shared" si="0"/>
        <v>I30 - Membrana acrílica, estruturada com tela de poliéster, nos pontos críticos (3,0 kg/m²)</v>
      </c>
      <c r="Z11" s="538"/>
    </row>
    <row r="12" spans="1:26" ht="12" hidden="1" customHeight="1" x14ac:dyDescent="0.2">
      <c r="A12" s="636"/>
      <c r="B12" s="138" t="s">
        <v>190</v>
      </c>
      <c r="C12" s="640"/>
      <c r="D12" s="640"/>
      <c r="E12" s="640"/>
      <c r="F12" s="640"/>
      <c r="G12" s="640"/>
      <c r="H12" s="642"/>
      <c r="I12" s="642" t="s">
        <v>3816</v>
      </c>
      <c r="J12" s="642" t="s">
        <v>3817</v>
      </c>
      <c r="K12" s="642" t="s">
        <v>3818</v>
      </c>
      <c r="L12" s="642" t="s">
        <v>3819</v>
      </c>
      <c r="M12" s="642" t="s">
        <v>3820</v>
      </c>
      <c r="N12" s="642" t="s">
        <v>3821</v>
      </c>
      <c r="O12" s="642" t="s">
        <v>3822</v>
      </c>
      <c r="P12" s="642" t="s">
        <v>3823</v>
      </c>
      <c r="Q12" s="642" t="s">
        <v>3824</v>
      </c>
      <c r="R12" s="642" t="s">
        <v>3825</v>
      </c>
      <c r="S12" s="642" t="s">
        <v>3826</v>
      </c>
      <c r="T12" s="38"/>
      <c r="U12" s="38" t="str">
        <v>M44AE2</v>
      </c>
      <c r="V12" s="537" t="s">
        <v>3835</v>
      </c>
      <c r="W12" s="536" t="str">
        <f t="shared" si="0"/>
        <v>M44AE2 - Manta asfáltica tipo IV, 4 mm A, com acabamento areia/areia aderida com asfalto oxidado (3,0 kg/m²) + banho de asfalto oxidado (2,0 kg/m²) + membrana de polímero acrílico com cimento e fibras para combater eflorescência (2,0 kg/m²)</v>
      </c>
    </row>
    <row r="13" spans="1:26" ht="24" hidden="1" outlineLevel="1" x14ac:dyDescent="0.2">
      <c r="A13" s="449" t="s">
        <v>3813</v>
      </c>
      <c r="B13" s="449">
        <v>26.82</v>
      </c>
      <c r="C13" s="449" t="s">
        <v>3808</v>
      </c>
      <c r="D13" s="37" t="str">
        <f>TRIM(LEFT(A13,FIND("-",A13)-1))</f>
        <v>E3</v>
      </c>
      <c r="E13" s="38" t="s">
        <v>3866</v>
      </c>
      <c r="F13" s="36">
        <f>B13</f>
        <v>26.82</v>
      </c>
      <c r="G13" s="36"/>
      <c r="H13" s="36">
        <f>SUMIF($D13,H$10,$B13)</f>
        <v>26.82</v>
      </c>
      <c r="I13" s="36">
        <f t="shared" ref="I13:S13" si="3">SUMIF($D13,I$10,$B13)</f>
        <v>0</v>
      </c>
      <c r="J13" s="36">
        <f t="shared" si="3"/>
        <v>0</v>
      </c>
      <c r="K13" s="36">
        <f t="shared" si="3"/>
        <v>0</v>
      </c>
      <c r="L13" s="36">
        <f t="shared" si="3"/>
        <v>0</v>
      </c>
      <c r="M13" s="36">
        <f t="shared" si="3"/>
        <v>0</v>
      </c>
      <c r="N13" s="36">
        <f t="shared" si="3"/>
        <v>0</v>
      </c>
      <c r="O13" s="36">
        <f t="shared" si="3"/>
        <v>0</v>
      </c>
      <c r="P13" s="36">
        <f t="shared" si="3"/>
        <v>0</v>
      </c>
      <c r="Q13" s="36">
        <f t="shared" si="3"/>
        <v>0</v>
      </c>
      <c r="R13" s="36">
        <f t="shared" si="3"/>
        <v>0</v>
      </c>
      <c r="S13" s="36">
        <f t="shared" si="3"/>
        <v>0</v>
      </c>
      <c r="T13" s="38"/>
      <c r="U13" s="38" t="str">
        <v>E2</v>
      </c>
      <c r="V13" s="537" t="s">
        <v>3836</v>
      </c>
      <c r="W13" s="536" t="str">
        <f t="shared" si="0"/>
        <v>E2 - Membrana de polímero acrílico, com cimento e com fibras, estruturada com tela de poliéster nos pontos críticos (2,0 kg/m²)</v>
      </c>
    </row>
    <row r="14" spans="1:26" ht="36" hidden="1" outlineLevel="1" x14ac:dyDescent="0.2">
      <c r="A14" s="449" t="s">
        <v>3319</v>
      </c>
      <c r="B14" s="449">
        <v>54.68</v>
      </c>
      <c r="C14" s="449" t="s">
        <v>3809</v>
      </c>
      <c r="D14" s="37" t="str">
        <f>TRIM(LEFT(A14,FIND("-",A14)-1))</f>
        <v>I30EL</v>
      </c>
      <c r="E14" s="38" t="s">
        <v>3865</v>
      </c>
      <c r="F14" s="36">
        <f t="shared" ref="F14:F77" si="4">B14</f>
        <v>54.68</v>
      </c>
      <c r="G14" s="36"/>
      <c r="H14" s="36">
        <f t="shared" ref="H14:S77" si="5">SUMIF($D14,H$10,$B14)</f>
        <v>0</v>
      </c>
      <c r="I14" s="36">
        <f t="shared" si="5"/>
        <v>54.68</v>
      </c>
      <c r="J14" s="36">
        <f t="shared" si="5"/>
        <v>0</v>
      </c>
      <c r="K14" s="36">
        <f t="shared" si="5"/>
        <v>0</v>
      </c>
      <c r="L14" s="36">
        <f t="shared" si="5"/>
        <v>0</v>
      </c>
      <c r="M14" s="36">
        <f t="shared" si="5"/>
        <v>0</v>
      </c>
      <c r="N14" s="36">
        <f t="shared" si="5"/>
        <v>0</v>
      </c>
      <c r="O14" s="36">
        <f t="shared" si="5"/>
        <v>0</v>
      </c>
      <c r="P14" s="36">
        <f t="shared" si="5"/>
        <v>0</v>
      </c>
      <c r="Q14" s="36">
        <f t="shared" si="5"/>
        <v>0</v>
      </c>
      <c r="R14" s="36">
        <f t="shared" si="5"/>
        <v>0</v>
      </c>
      <c r="S14" s="36">
        <f t="shared" si="5"/>
        <v>0</v>
      </c>
      <c r="T14" s="38"/>
      <c r="U14" s="38" t="str">
        <v>M44AR05</v>
      </c>
      <c r="V14" s="537" t="s">
        <v>3837</v>
      </c>
      <c r="W14" s="536" t="str">
        <f t="shared" si="0"/>
        <v>M44AR05 - Manta asfáltica tipo IV, 4 mm A, com acabamento areia/areia aderida com asfalto oxidado (3,0 kg/m²) + banho de asfalto oxidado (2,0 kg/m²) + pintura de proteção antirraiz sobre a proteção mecânica (0,5 L/m²)</v>
      </c>
    </row>
    <row r="15" spans="1:26" ht="36" hidden="1" outlineLevel="1" x14ac:dyDescent="0.2">
      <c r="A15" s="449" t="s">
        <v>3320</v>
      </c>
      <c r="B15" s="449">
        <v>36</v>
      </c>
      <c r="C15" s="449" t="s">
        <v>3810</v>
      </c>
      <c r="D15" s="37" t="str">
        <f t="shared" ref="D15:D78" si="6">TRIM(LEFT(A15,FIND("-",A15)-1))</f>
        <v>I30EL</v>
      </c>
      <c r="E15" s="38" t="s">
        <v>3865</v>
      </c>
      <c r="F15" s="36">
        <f t="shared" si="4"/>
        <v>36</v>
      </c>
      <c r="G15" s="36"/>
      <c r="H15" s="36">
        <f t="shared" si="5"/>
        <v>0</v>
      </c>
      <c r="I15" s="36">
        <f t="shared" si="5"/>
        <v>36</v>
      </c>
      <c r="J15" s="36">
        <f t="shared" si="5"/>
        <v>0</v>
      </c>
      <c r="K15" s="36">
        <f t="shared" si="5"/>
        <v>0</v>
      </c>
      <c r="L15" s="36">
        <f t="shared" si="5"/>
        <v>0</v>
      </c>
      <c r="M15" s="36">
        <f t="shared" si="5"/>
        <v>0</v>
      </c>
      <c r="N15" s="36">
        <f t="shared" si="5"/>
        <v>0</v>
      </c>
      <c r="O15" s="36">
        <f t="shared" si="5"/>
        <v>0</v>
      </c>
      <c r="P15" s="36">
        <f t="shared" si="5"/>
        <v>0</v>
      </c>
      <c r="Q15" s="36">
        <f t="shared" si="5"/>
        <v>0</v>
      </c>
      <c r="R15" s="36">
        <f t="shared" si="5"/>
        <v>0</v>
      </c>
      <c r="S15" s="36">
        <f t="shared" si="5"/>
        <v>0</v>
      </c>
      <c r="T15" s="38"/>
      <c r="U15" s="38" t="str">
        <v>M44A + M44AE2</v>
      </c>
      <c r="V15" s="537" t="s">
        <v>3838</v>
      </c>
      <c r="W15" s="536" t="str">
        <f t="shared" si="0"/>
        <v>M44A + M44AE2 - Manta asfáltica tipo IV, 4 mm A, com acabamento areia/areia + manta asfáltica tipo IV, 4 mm A, com acabamento areia/areia aderida com asfalto oxidado (3,0 kg/m²) + banho de asfalto oxidado (2,0 kg/m²) + membrana de polímero acrílico com cimento e fibras para combater eflorescência (2,0 kg/m²)</v>
      </c>
    </row>
    <row r="16" spans="1:26" ht="36" hidden="1" outlineLevel="1" x14ac:dyDescent="0.2">
      <c r="A16" s="449" t="s">
        <v>3321</v>
      </c>
      <c r="B16" s="449">
        <v>24.42</v>
      </c>
      <c r="C16" s="449" t="s">
        <v>3811</v>
      </c>
      <c r="D16" s="37" t="str">
        <f t="shared" si="6"/>
        <v>I30EL</v>
      </c>
      <c r="E16" s="38" t="s">
        <v>3865</v>
      </c>
      <c r="F16" s="36">
        <f t="shared" si="4"/>
        <v>24.42</v>
      </c>
      <c r="G16" s="36"/>
      <c r="H16" s="36">
        <f t="shared" si="5"/>
        <v>0</v>
      </c>
      <c r="I16" s="36">
        <f t="shared" si="5"/>
        <v>24.42</v>
      </c>
      <c r="J16" s="36">
        <f t="shared" si="5"/>
        <v>0</v>
      </c>
      <c r="K16" s="36">
        <f t="shared" si="5"/>
        <v>0</v>
      </c>
      <c r="L16" s="36">
        <f t="shared" si="5"/>
        <v>0</v>
      </c>
      <c r="M16" s="36">
        <f t="shared" si="5"/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36">
        <f t="shared" si="5"/>
        <v>0</v>
      </c>
      <c r="R16" s="36">
        <f t="shared" si="5"/>
        <v>0</v>
      </c>
      <c r="S16" s="36">
        <f t="shared" si="5"/>
        <v>0</v>
      </c>
    </row>
    <row r="17" spans="1:19" ht="36" hidden="1" outlineLevel="1" x14ac:dyDescent="0.2">
      <c r="A17" s="449" t="s">
        <v>3372</v>
      </c>
      <c r="B17" s="449">
        <v>15.73</v>
      </c>
      <c r="C17" s="449" t="s">
        <v>3812</v>
      </c>
      <c r="D17" s="37" t="str">
        <f t="shared" si="6"/>
        <v>I30EL</v>
      </c>
      <c r="E17" s="38" t="s">
        <v>3865</v>
      </c>
      <c r="F17" s="36">
        <f t="shared" si="4"/>
        <v>15.73</v>
      </c>
      <c r="G17" s="36"/>
      <c r="H17" s="36">
        <f t="shared" si="5"/>
        <v>0</v>
      </c>
      <c r="I17" s="36">
        <f t="shared" si="5"/>
        <v>15.73</v>
      </c>
      <c r="J17" s="36">
        <f t="shared" si="5"/>
        <v>0</v>
      </c>
      <c r="K17" s="36">
        <f t="shared" si="5"/>
        <v>0</v>
      </c>
      <c r="L17" s="36">
        <f t="shared" si="5"/>
        <v>0</v>
      </c>
      <c r="M17" s="36">
        <f t="shared" si="5"/>
        <v>0</v>
      </c>
      <c r="N17" s="36">
        <f t="shared" si="5"/>
        <v>0</v>
      </c>
      <c r="O17" s="36">
        <f t="shared" si="5"/>
        <v>0</v>
      </c>
      <c r="P17" s="36">
        <f t="shared" si="5"/>
        <v>0</v>
      </c>
      <c r="Q17" s="36">
        <f t="shared" si="5"/>
        <v>0</v>
      </c>
      <c r="R17" s="36">
        <f t="shared" si="5"/>
        <v>0</v>
      </c>
      <c r="S17" s="36">
        <f t="shared" si="5"/>
        <v>0</v>
      </c>
    </row>
    <row r="18" spans="1:19" ht="36" hidden="1" outlineLevel="1" x14ac:dyDescent="0.2">
      <c r="A18" s="449" t="s">
        <v>3768</v>
      </c>
      <c r="B18" s="449">
        <v>12.48</v>
      </c>
      <c r="C18" s="449" t="str">
        <f>TRIM(RIGHT(A18,LEN(A18)-FIND("@",SUBSTITUTE(A18,"-","@",LEN(A18)-LEN(SUBSTITUTE(A18,"-",""))))))</f>
        <v>ACESSO E ESCADA</v>
      </c>
      <c r="D18" s="37" t="str">
        <f t="shared" si="6"/>
        <v>M44A</v>
      </c>
      <c r="E18" s="38" t="s">
        <v>3866</v>
      </c>
      <c r="F18" s="36">
        <f t="shared" si="4"/>
        <v>12.48</v>
      </c>
      <c r="G18" s="36"/>
      <c r="H18" s="36">
        <f t="shared" si="5"/>
        <v>0</v>
      </c>
      <c r="I18" s="36">
        <f t="shared" si="5"/>
        <v>0</v>
      </c>
      <c r="J18" s="36">
        <f t="shared" si="5"/>
        <v>12.48</v>
      </c>
      <c r="K18" s="36">
        <f t="shared" si="5"/>
        <v>0</v>
      </c>
      <c r="L18" s="36">
        <f t="shared" si="5"/>
        <v>0</v>
      </c>
      <c r="M18" s="36">
        <f t="shared" si="5"/>
        <v>0</v>
      </c>
      <c r="N18" s="36">
        <f t="shared" si="5"/>
        <v>0</v>
      </c>
      <c r="O18" s="36">
        <f t="shared" si="5"/>
        <v>0</v>
      </c>
      <c r="P18" s="36">
        <f t="shared" si="5"/>
        <v>0</v>
      </c>
      <c r="Q18" s="36">
        <f t="shared" si="5"/>
        <v>0</v>
      </c>
      <c r="R18" s="36">
        <f t="shared" si="5"/>
        <v>0</v>
      </c>
      <c r="S18" s="36">
        <f t="shared" si="5"/>
        <v>0</v>
      </c>
    </row>
    <row r="19" spans="1:19" ht="24" hidden="1" outlineLevel="1" x14ac:dyDescent="0.2">
      <c r="A19" s="449" t="s">
        <v>3294</v>
      </c>
      <c r="B19" s="449">
        <v>121.06</v>
      </c>
      <c r="C19" s="449" t="str">
        <f t="shared" ref="C19:C82" si="7">TRIM(RIGHT(A19,LEN(A19)-FIND("@",SUBSTITUTE(A19,"-","@",LEN(A19)-LEN(SUBSTITUTE(A19,"-",""))))))</f>
        <v>APA 01</v>
      </c>
      <c r="D19" s="37" t="str">
        <f t="shared" si="6"/>
        <v>E3</v>
      </c>
      <c r="E19" s="38" t="s">
        <v>3866</v>
      </c>
      <c r="F19" s="36">
        <f t="shared" si="4"/>
        <v>121.06</v>
      </c>
      <c r="G19" s="36"/>
      <c r="H19" s="36">
        <f t="shared" si="5"/>
        <v>121.06</v>
      </c>
      <c r="I19" s="36">
        <f t="shared" si="5"/>
        <v>0</v>
      </c>
      <c r="J19" s="36">
        <f t="shared" si="5"/>
        <v>0</v>
      </c>
      <c r="K19" s="36">
        <f t="shared" si="5"/>
        <v>0</v>
      </c>
      <c r="L19" s="36">
        <f t="shared" si="5"/>
        <v>0</v>
      </c>
      <c r="M19" s="36">
        <f t="shared" si="5"/>
        <v>0</v>
      </c>
      <c r="N19" s="36">
        <f t="shared" si="5"/>
        <v>0</v>
      </c>
      <c r="O19" s="36">
        <f t="shared" si="5"/>
        <v>0</v>
      </c>
      <c r="P19" s="36">
        <f t="shared" si="5"/>
        <v>0</v>
      </c>
      <c r="Q19" s="36">
        <f t="shared" si="5"/>
        <v>0</v>
      </c>
      <c r="R19" s="36">
        <f t="shared" si="5"/>
        <v>0</v>
      </c>
      <c r="S19" s="36">
        <f t="shared" si="5"/>
        <v>0</v>
      </c>
    </row>
    <row r="20" spans="1:19" ht="24" hidden="1" outlineLevel="1" x14ac:dyDescent="0.2">
      <c r="A20" s="449" t="s">
        <v>3295</v>
      </c>
      <c r="B20" s="449">
        <v>245.08</v>
      </c>
      <c r="C20" s="449" t="str">
        <f t="shared" si="7"/>
        <v>APA 02</v>
      </c>
      <c r="D20" s="37" t="str">
        <f t="shared" si="6"/>
        <v>E3</v>
      </c>
      <c r="E20" s="38" t="s">
        <v>3866</v>
      </c>
      <c r="F20" s="36">
        <f t="shared" si="4"/>
        <v>245.08</v>
      </c>
      <c r="G20" s="36"/>
      <c r="H20" s="36">
        <f t="shared" si="5"/>
        <v>245.08</v>
      </c>
      <c r="I20" s="36">
        <f t="shared" si="5"/>
        <v>0</v>
      </c>
      <c r="J20" s="36">
        <f t="shared" si="5"/>
        <v>0</v>
      </c>
      <c r="K20" s="36">
        <f t="shared" si="5"/>
        <v>0</v>
      </c>
      <c r="L20" s="36">
        <f t="shared" si="5"/>
        <v>0</v>
      </c>
      <c r="M20" s="36">
        <f t="shared" si="5"/>
        <v>0</v>
      </c>
      <c r="N20" s="36">
        <f t="shared" si="5"/>
        <v>0</v>
      </c>
      <c r="O20" s="36">
        <f t="shared" si="5"/>
        <v>0</v>
      </c>
      <c r="P20" s="36">
        <f t="shared" si="5"/>
        <v>0</v>
      </c>
      <c r="Q20" s="36">
        <f t="shared" si="5"/>
        <v>0</v>
      </c>
      <c r="R20" s="36">
        <f t="shared" si="5"/>
        <v>0</v>
      </c>
      <c r="S20" s="36">
        <f t="shared" si="5"/>
        <v>0</v>
      </c>
    </row>
    <row r="21" spans="1:19" ht="24" hidden="1" outlineLevel="1" x14ac:dyDescent="0.2">
      <c r="A21" s="449" t="s">
        <v>3376</v>
      </c>
      <c r="B21" s="449">
        <v>56.82</v>
      </c>
      <c r="C21" s="449" t="str">
        <f t="shared" si="7"/>
        <v>APA 03</v>
      </c>
      <c r="D21" s="37" t="str">
        <f t="shared" si="6"/>
        <v>E3</v>
      </c>
      <c r="E21" s="38" t="s">
        <v>3866</v>
      </c>
      <c r="F21" s="36">
        <f t="shared" si="4"/>
        <v>56.82</v>
      </c>
      <c r="G21" s="36"/>
      <c r="H21" s="36">
        <f t="shared" si="5"/>
        <v>56.82</v>
      </c>
      <c r="I21" s="36">
        <f t="shared" si="5"/>
        <v>0</v>
      </c>
      <c r="J21" s="36">
        <f t="shared" si="5"/>
        <v>0</v>
      </c>
      <c r="K21" s="36">
        <f t="shared" si="5"/>
        <v>0</v>
      </c>
      <c r="L21" s="36">
        <f t="shared" si="5"/>
        <v>0</v>
      </c>
      <c r="M21" s="36">
        <f t="shared" si="5"/>
        <v>0</v>
      </c>
      <c r="N21" s="36">
        <f t="shared" si="5"/>
        <v>0</v>
      </c>
      <c r="O21" s="36">
        <f t="shared" si="5"/>
        <v>0</v>
      </c>
      <c r="P21" s="36">
        <f t="shared" si="5"/>
        <v>0</v>
      </c>
      <c r="Q21" s="36">
        <f t="shared" si="5"/>
        <v>0</v>
      </c>
      <c r="R21" s="36">
        <f t="shared" si="5"/>
        <v>0</v>
      </c>
      <c r="S21" s="36">
        <f t="shared" si="5"/>
        <v>0</v>
      </c>
    </row>
    <row r="22" spans="1:19" ht="24" hidden="1" outlineLevel="1" x14ac:dyDescent="0.2">
      <c r="A22" s="449" t="s">
        <v>3323</v>
      </c>
      <c r="B22" s="449">
        <v>87.65</v>
      </c>
      <c r="C22" s="449" t="str">
        <f t="shared" si="7"/>
        <v>APA 04</v>
      </c>
      <c r="D22" s="37" t="str">
        <f t="shared" si="6"/>
        <v>E3</v>
      </c>
      <c r="E22" s="38" t="s">
        <v>3866</v>
      </c>
      <c r="F22" s="36">
        <f t="shared" si="4"/>
        <v>87.65</v>
      </c>
      <c r="G22" s="36"/>
      <c r="H22" s="36">
        <f t="shared" si="5"/>
        <v>87.65</v>
      </c>
      <c r="I22" s="36">
        <f t="shared" si="5"/>
        <v>0</v>
      </c>
      <c r="J22" s="36">
        <f t="shared" si="5"/>
        <v>0</v>
      </c>
      <c r="K22" s="36">
        <f t="shared" si="5"/>
        <v>0</v>
      </c>
      <c r="L22" s="36">
        <f t="shared" si="5"/>
        <v>0</v>
      </c>
      <c r="M22" s="36">
        <f t="shared" si="5"/>
        <v>0</v>
      </c>
      <c r="N22" s="36">
        <f t="shared" si="5"/>
        <v>0</v>
      </c>
      <c r="O22" s="36">
        <f t="shared" si="5"/>
        <v>0</v>
      </c>
      <c r="P22" s="36">
        <f t="shared" si="5"/>
        <v>0</v>
      </c>
      <c r="Q22" s="36">
        <f t="shared" si="5"/>
        <v>0</v>
      </c>
      <c r="R22" s="36">
        <f t="shared" si="5"/>
        <v>0</v>
      </c>
      <c r="S22" s="36">
        <f t="shared" si="5"/>
        <v>0</v>
      </c>
    </row>
    <row r="23" spans="1:19" ht="24" hidden="1" outlineLevel="1" x14ac:dyDescent="0.2">
      <c r="A23" s="449" t="s">
        <v>3325</v>
      </c>
      <c r="B23" s="449">
        <v>52.51</v>
      </c>
      <c r="C23" s="449" t="str">
        <f t="shared" si="7"/>
        <v>APA 05</v>
      </c>
      <c r="D23" s="37" t="str">
        <f t="shared" si="6"/>
        <v>E3</v>
      </c>
      <c r="E23" s="38" t="s">
        <v>3866</v>
      </c>
      <c r="F23" s="36">
        <f t="shared" si="4"/>
        <v>52.51</v>
      </c>
      <c r="G23" s="36"/>
      <c r="H23" s="36">
        <f t="shared" si="5"/>
        <v>52.51</v>
      </c>
      <c r="I23" s="36">
        <f t="shared" si="5"/>
        <v>0</v>
      </c>
      <c r="J23" s="36">
        <f t="shared" si="5"/>
        <v>0</v>
      </c>
      <c r="K23" s="36">
        <f t="shared" si="5"/>
        <v>0</v>
      </c>
      <c r="L23" s="36">
        <f t="shared" si="5"/>
        <v>0</v>
      </c>
      <c r="M23" s="36">
        <f t="shared" si="5"/>
        <v>0</v>
      </c>
      <c r="N23" s="36">
        <f t="shared" si="5"/>
        <v>0</v>
      </c>
      <c r="O23" s="36">
        <f t="shared" si="5"/>
        <v>0</v>
      </c>
      <c r="P23" s="36">
        <f t="shared" si="5"/>
        <v>0</v>
      </c>
      <c r="Q23" s="36">
        <f t="shared" si="5"/>
        <v>0</v>
      </c>
      <c r="R23" s="36">
        <f t="shared" si="5"/>
        <v>0</v>
      </c>
      <c r="S23" s="36">
        <f t="shared" si="5"/>
        <v>0</v>
      </c>
    </row>
    <row r="24" spans="1:19" ht="24" hidden="1" outlineLevel="1" x14ac:dyDescent="0.2">
      <c r="A24" s="449" t="s">
        <v>3327</v>
      </c>
      <c r="B24" s="449">
        <v>28.62</v>
      </c>
      <c r="C24" s="449" t="str">
        <f t="shared" si="7"/>
        <v>APA 06</v>
      </c>
      <c r="D24" s="37" t="str">
        <f t="shared" si="6"/>
        <v>E3</v>
      </c>
      <c r="E24" s="38" t="s">
        <v>3866</v>
      </c>
      <c r="F24" s="36">
        <f t="shared" si="4"/>
        <v>28.62</v>
      </c>
      <c r="G24" s="36"/>
      <c r="H24" s="36">
        <f t="shared" si="5"/>
        <v>28.62</v>
      </c>
      <c r="I24" s="36">
        <f t="shared" si="5"/>
        <v>0</v>
      </c>
      <c r="J24" s="36">
        <f t="shared" si="5"/>
        <v>0</v>
      </c>
      <c r="K24" s="36">
        <f t="shared" si="5"/>
        <v>0</v>
      </c>
      <c r="L24" s="36">
        <f t="shared" si="5"/>
        <v>0</v>
      </c>
      <c r="M24" s="36">
        <f t="shared" si="5"/>
        <v>0</v>
      </c>
      <c r="N24" s="36">
        <f t="shared" si="5"/>
        <v>0</v>
      </c>
      <c r="O24" s="36">
        <f t="shared" si="5"/>
        <v>0</v>
      </c>
      <c r="P24" s="36">
        <f t="shared" si="5"/>
        <v>0</v>
      </c>
      <c r="Q24" s="36">
        <f t="shared" si="5"/>
        <v>0</v>
      </c>
      <c r="R24" s="36">
        <f t="shared" si="5"/>
        <v>0</v>
      </c>
      <c r="S24" s="36">
        <f t="shared" si="5"/>
        <v>0</v>
      </c>
    </row>
    <row r="25" spans="1:19" ht="24" hidden="1" outlineLevel="1" x14ac:dyDescent="0.2">
      <c r="A25" s="449" t="s">
        <v>3329</v>
      </c>
      <c r="B25" s="449">
        <v>9.36</v>
      </c>
      <c r="C25" s="449" t="str">
        <f t="shared" si="7"/>
        <v>APA 07</v>
      </c>
      <c r="D25" s="37" t="str">
        <f t="shared" si="6"/>
        <v>E3</v>
      </c>
      <c r="E25" s="38" t="s">
        <v>3866</v>
      </c>
      <c r="F25" s="36">
        <f t="shared" si="4"/>
        <v>9.36</v>
      </c>
      <c r="G25" s="36"/>
      <c r="H25" s="36">
        <f t="shared" si="5"/>
        <v>9.36</v>
      </c>
      <c r="I25" s="36">
        <f t="shared" si="5"/>
        <v>0</v>
      </c>
      <c r="J25" s="36">
        <f t="shared" si="5"/>
        <v>0</v>
      </c>
      <c r="K25" s="36">
        <f t="shared" si="5"/>
        <v>0</v>
      </c>
      <c r="L25" s="36">
        <f t="shared" si="5"/>
        <v>0</v>
      </c>
      <c r="M25" s="36">
        <f t="shared" si="5"/>
        <v>0</v>
      </c>
      <c r="N25" s="36">
        <f t="shared" si="5"/>
        <v>0</v>
      </c>
      <c r="O25" s="36">
        <f t="shared" si="5"/>
        <v>0</v>
      </c>
      <c r="P25" s="36">
        <f t="shared" si="5"/>
        <v>0</v>
      </c>
      <c r="Q25" s="36">
        <f t="shared" si="5"/>
        <v>0</v>
      </c>
      <c r="R25" s="36">
        <f t="shared" si="5"/>
        <v>0</v>
      </c>
      <c r="S25" s="36">
        <f t="shared" si="5"/>
        <v>0</v>
      </c>
    </row>
    <row r="26" spans="1:19" ht="24" hidden="1" outlineLevel="1" x14ac:dyDescent="0.2">
      <c r="A26" s="449" t="s">
        <v>3331</v>
      </c>
      <c r="B26" s="449">
        <v>4.82</v>
      </c>
      <c r="C26" s="449" t="str">
        <f t="shared" si="7"/>
        <v>APA 08</v>
      </c>
      <c r="D26" s="37" t="str">
        <f t="shared" si="6"/>
        <v>E3</v>
      </c>
      <c r="E26" s="38" t="s">
        <v>3866</v>
      </c>
      <c r="F26" s="36">
        <f t="shared" si="4"/>
        <v>4.82</v>
      </c>
      <c r="G26" s="36"/>
      <c r="H26" s="36">
        <f t="shared" si="5"/>
        <v>4.82</v>
      </c>
      <c r="I26" s="36">
        <f t="shared" si="5"/>
        <v>0</v>
      </c>
      <c r="J26" s="36">
        <f t="shared" si="5"/>
        <v>0</v>
      </c>
      <c r="K26" s="36">
        <f t="shared" si="5"/>
        <v>0</v>
      </c>
      <c r="L26" s="36">
        <f t="shared" si="5"/>
        <v>0</v>
      </c>
      <c r="M26" s="36">
        <f t="shared" si="5"/>
        <v>0</v>
      </c>
      <c r="N26" s="36">
        <f t="shared" si="5"/>
        <v>0</v>
      </c>
      <c r="O26" s="36">
        <f t="shared" si="5"/>
        <v>0</v>
      </c>
      <c r="P26" s="36">
        <f t="shared" si="5"/>
        <v>0</v>
      </c>
      <c r="Q26" s="36">
        <f t="shared" si="5"/>
        <v>0</v>
      </c>
      <c r="R26" s="36">
        <f t="shared" si="5"/>
        <v>0</v>
      </c>
      <c r="S26" s="36">
        <f t="shared" si="5"/>
        <v>0</v>
      </c>
    </row>
    <row r="27" spans="1:19" ht="24" hidden="1" outlineLevel="1" x14ac:dyDescent="0.2">
      <c r="A27" s="449" t="s">
        <v>3233</v>
      </c>
      <c r="B27" s="449">
        <v>8.51</v>
      </c>
      <c r="C27" s="449" t="str">
        <f t="shared" si="7"/>
        <v>APA FUNC.</v>
      </c>
      <c r="D27" s="37" t="str">
        <f t="shared" si="6"/>
        <v>C3</v>
      </c>
      <c r="E27" s="38" t="s">
        <v>3866</v>
      </c>
      <c r="F27" s="36">
        <f t="shared" si="4"/>
        <v>8.51</v>
      </c>
      <c r="G27" s="36"/>
      <c r="H27" s="36">
        <f t="shared" si="5"/>
        <v>0</v>
      </c>
      <c r="I27" s="36">
        <f t="shared" si="5"/>
        <v>0</v>
      </c>
      <c r="J27" s="36">
        <f t="shared" si="5"/>
        <v>0</v>
      </c>
      <c r="K27" s="36">
        <f t="shared" si="5"/>
        <v>8.51</v>
      </c>
      <c r="L27" s="36">
        <f t="shared" si="5"/>
        <v>0</v>
      </c>
      <c r="M27" s="36">
        <f t="shared" si="5"/>
        <v>0</v>
      </c>
      <c r="N27" s="36">
        <f t="shared" si="5"/>
        <v>0</v>
      </c>
      <c r="O27" s="36">
        <f t="shared" si="5"/>
        <v>0</v>
      </c>
      <c r="P27" s="36">
        <f t="shared" si="5"/>
        <v>0</v>
      </c>
      <c r="Q27" s="36">
        <f t="shared" si="5"/>
        <v>0</v>
      </c>
      <c r="R27" s="36">
        <f t="shared" si="5"/>
        <v>0</v>
      </c>
      <c r="S27" s="36">
        <f t="shared" si="5"/>
        <v>0</v>
      </c>
    </row>
    <row r="28" spans="1:19" ht="24" hidden="1" outlineLevel="1" x14ac:dyDescent="0.2">
      <c r="A28" s="449" t="s">
        <v>3296</v>
      </c>
      <c r="B28" s="449">
        <v>133.84</v>
      </c>
      <c r="C28" s="449" t="str">
        <f t="shared" si="7"/>
        <v>ÁREA TÉCNICA</v>
      </c>
      <c r="D28" s="37" t="str">
        <f t="shared" si="6"/>
        <v>E3</v>
      </c>
      <c r="E28" s="38" t="s">
        <v>3866</v>
      </c>
      <c r="F28" s="36">
        <f t="shared" si="4"/>
        <v>133.84</v>
      </c>
      <c r="G28" s="36"/>
      <c r="H28" s="36">
        <f t="shared" si="5"/>
        <v>133.84</v>
      </c>
      <c r="I28" s="36">
        <f t="shared" si="5"/>
        <v>0</v>
      </c>
      <c r="J28" s="36">
        <f t="shared" si="5"/>
        <v>0</v>
      </c>
      <c r="K28" s="36">
        <f t="shared" si="5"/>
        <v>0</v>
      </c>
      <c r="L28" s="36">
        <f t="shared" si="5"/>
        <v>0</v>
      </c>
      <c r="M28" s="36">
        <f t="shared" si="5"/>
        <v>0</v>
      </c>
      <c r="N28" s="36">
        <f t="shared" si="5"/>
        <v>0</v>
      </c>
      <c r="O28" s="36">
        <f t="shared" si="5"/>
        <v>0</v>
      </c>
      <c r="P28" s="36">
        <f t="shared" si="5"/>
        <v>0</v>
      </c>
      <c r="Q28" s="36">
        <f t="shared" si="5"/>
        <v>0</v>
      </c>
      <c r="R28" s="36">
        <f t="shared" si="5"/>
        <v>0</v>
      </c>
      <c r="S28" s="36">
        <f t="shared" si="5"/>
        <v>0</v>
      </c>
    </row>
    <row r="29" spans="1:19" ht="24" hidden="1" outlineLevel="1" x14ac:dyDescent="0.2">
      <c r="A29" s="449" t="s">
        <v>3297</v>
      </c>
      <c r="B29" s="449">
        <v>264.70999999999998</v>
      </c>
      <c r="C29" s="449" t="str">
        <f t="shared" si="7"/>
        <v>BANHO 01</v>
      </c>
      <c r="D29" s="37" t="str">
        <f t="shared" si="6"/>
        <v>E3</v>
      </c>
      <c r="E29" s="38" t="s">
        <v>3866</v>
      </c>
      <c r="F29" s="36">
        <f t="shared" si="4"/>
        <v>264.70999999999998</v>
      </c>
      <c r="G29" s="36"/>
      <c r="H29" s="36">
        <f t="shared" si="5"/>
        <v>264.70999999999998</v>
      </c>
      <c r="I29" s="36">
        <f t="shared" si="5"/>
        <v>0</v>
      </c>
      <c r="J29" s="36">
        <f t="shared" si="5"/>
        <v>0</v>
      </c>
      <c r="K29" s="36">
        <f t="shared" si="5"/>
        <v>0</v>
      </c>
      <c r="L29" s="36">
        <f t="shared" si="5"/>
        <v>0</v>
      </c>
      <c r="M29" s="36">
        <f t="shared" si="5"/>
        <v>0</v>
      </c>
      <c r="N29" s="36">
        <f t="shared" si="5"/>
        <v>0</v>
      </c>
      <c r="O29" s="36">
        <f t="shared" si="5"/>
        <v>0</v>
      </c>
      <c r="P29" s="36">
        <f t="shared" si="5"/>
        <v>0</v>
      </c>
      <c r="Q29" s="36">
        <f t="shared" si="5"/>
        <v>0</v>
      </c>
      <c r="R29" s="36">
        <f t="shared" si="5"/>
        <v>0</v>
      </c>
      <c r="S29" s="36">
        <f t="shared" si="5"/>
        <v>0</v>
      </c>
    </row>
    <row r="30" spans="1:19" ht="24" hidden="1" outlineLevel="1" x14ac:dyDescent="0.2">
      <c r="A30" s="449" t="s">
        <v>3299</v>
      </c>
      <c r="B30" s="449">
        <v>328.01</v>
      </c>
      <c r="C30" s="449" t="str">
        <f t="shared" si="7"/>
        <v>BANHO 02</v>
      </c>
      <c r="D30" s="37" t="str">
        <f t="shared" si="6"/>
        <v>E3</v>
      </c>
      <c r="E30" s="38" t="s">
        <v>3866</v>
      </c>
      <c r="F30" s="36">
        <f t="shared" si="4"/>
        <v>328.01</v>
      </c>
      <c r="G30" s="36"/>
      <c r="H30" s="36">
        <f t="shared" si="5"/>
        <v>328.01</v>
      </c>
      <c r="I30" s="36">
        <f t="shared" si="5"/>
        <v>0</v>
      </c>
      <c r="J30" s="36">
        <f t="shared" si="5"/>
        <v>0</v>
      </c>
      <c r="K30" s="36">
        <f t="shared" si="5"/>
        <v>0</v>
      </c>
      <c r="L30" s="36">
        <f t="shared" si="5"/>
        <v>0</v>
      </c>
      <c r="M30" s="36">
        <f t="shared" si="5"/>
        <v>0</v>
      </c>
      <c r="N30" s="36">
        <f t="shared" si="5"/>
        <v>0</v>
      </c>
      <c r="O30" s="36">
        <f t="shared" si="5"/>
        <v>0</v>
      </c>
      <c r="P30" s="36">
        <f t="shared" si="5"/>
        <v>0</v>
      </c>
      <c r="Q30" s="36">
        <f t="shared" si="5"/>
        <v>0</v>
      </c>
      <c r="R30" s="36">
        <f t="shared" si="5"/>
        <v>0</v>
      </c>
      <c r="S30" s="36">
        <f t="shared" si="5"/>
        <v>0</v>
      </c>
    </row>
    <row r="31" spans="1:19" ht="24" hidden="1" outlineLevel="1" x14ac:dyDescent="0.2">
      <c r="A31" s="449" t="s">
        <v>3301</v>
      </c>
      <c r="B31" s="449">
        <v>283.27</v>
      </c>
      <c r="C31" s="449" t="str">
        <f t="shared" si="7"/>
        <v>BANHO 03</v>
      </c>
      <c r="D31" s="37" t="str">
        <f t="shared" si="6"/>
        <v>E3</v>
      </c>
      <c r="E31" s="38" t="s">
        <v>3866</v>
      </c>
      <c r="F31" s="36">
        <f t="shared" si="4"/>
        <v>283.27</v>
      </c>
      <c r="G31" s="36"/>
      <c r="H31" s="36">
        <f t="shared" si="5"/>
        <v>283.27</v>
      </c>
      <c r="I31" s="36">
        <f t="shared" si="5"/>
        <v>0</v>
      </c>
      <c r="J31" s="36">
        <f t="shared" si="5"/>
        <v>0</v>
      </c>
      <c r="K31" s="36">
        <f t="shared" si="5"/>
        <v>0</v>
      </c>
      <c r="L31" s="36">
        <f t="shared" si="5"/>
        <v>0</v>
      </c>
      <c r="M31" s="36">
        <f t="shared" ref="I31:S46" si="8">SUMIF($D31,M$10,$B31)</f>
        <v>0</v>
      </c>
      <c r="N31" s="36">
        <f t="shared" si="8"/>
        <v>0</v>
      </c>
      <c r="O31" s="36">
        <f t="shared" si="8"/>
        <v>0</v>
      </c>
      <c r="P31" s="36">
        <f t="shared" si="8"/>
        <v>0</v>
      </c>
      <c r="Q31" s="36">
        <f t="shared" si="8"/>
        <v>0</v>
      </c>
      <c r="R31" s="36">
        <f t="shared" si="8"/>
        <v>0</v>
      </c>
      <c r="S31" s="36">
        <f t="shared" si="8"/>
        <v>0</v>
      </c>
    </row>
    <row r="32" spans="1:19" ht="24" hidden="1" outlineLevel="1" x14ac:dyDescent="0.2">
      <c r="A32" s="449" t="s">
        <v>3336</v>
      </c>
      <c r="B32" s="449">
        <v>126.25</v>
      </c>
      <c r="C32" s="449" t="str">
        <f t="shared" si="7"/>
        <v>BANHO 04</v>
      </c>
      <c r="D32" s="37" t="str">
        <f t="shared" si="6"/>
        <v>E3</v>
      </c>
      <c r="E32" s="38" t="s">
        <v>3866</v>
      </c>
      <c r="F32" s="36">
        <f t="shared" si="4"/>
        <v>126.25</v>
      </c>
      <c r="G32" s="36"/>
      <c r="H32" s="36">
        <f t="shared" si="5"/>
        <v>126.25</v>
      </c>
      <c r="I32" s="36">
        <f t="shared" si="8"/>
        <v>0</v>
      </c>
      <c r="J32" s="36">
        <f t="shared" si="8"/>
        <v>0</v>
      </c>
      <c r="K32" s="36">
        <f t="shared" si="8"/>
        <v>0</v>
      </c>
      <c r="L32" s="36">
        <f t="shared" si="8"/>
        <v>0</v>
      </c>
      <c r="M32" s="36">
        <f t="shared" si="8"/>
        <v>0</v>
      </c>
      <c r="N32" s="36">
        <f t="shared" si="8"/>
        <v>0</v>
      </c>
      <c r="O32" s="36">
        <f t="shared" si="8"/>
        <v>0</v>
      </c>
      <c r="P32" s="36">
        <f t="shared" si="8"/>
        <v>0</v>
      </c>
      <c r="Q32" s="36">
        <f t="shared" si="8"/>
        <v>0</v>
      </c>
      <c r="R32" s="36">
        <f t="shared" si="8"/>
        <v>0</v>
      </c>
      <c r="S32" s="36">
        <f t="shared" si="8"/>
        <v>0</v>
      </c>
    </row>
    <row r="33" spans="1:19" ht="24" hidden="1" outlineLevel="1" x14ac:dyDescent="0.2">
      <c r="A33" s="449" t="s">
        <v>3338</v>
      </c>
      <c r="B33" s="449">
        <v>257.67</v>
      </c>
      <c r="C33" s="449" t="str">
        <f t="shared" si="7"/>
        <v>BANHO 05</v>
      </c>
      <c r="D33" s="37" t="str">
        <f t="shared" si="6"/>
        <v>E3</v>
      </c>
      <c r="E33" s="38" t="s">
        <v>3866</v>
      </c>
      <c r="F33" s="36">
        <f t="shared" si="4"/>
        <v>257.67</v>
      </c>
      <c r="G33" s="36"/>
      <c r="H33" s="36">
        <f t="shared" si="5"/>
        <v>257.67</v>
      </c>
      <c r="I33" s="36">
        <f t="shared" si="8"/>
        <v>0</v>
      </c>
      <c r="J33" s="36">
        <f t="shared" si="8"/>
        <v>0</v>
      </c>
      <c r="K33" s="36">
        <f t="shared" si="8"/>
        <v>0</v>
      </c>
      <c r="L33" s="36">
        <f t="shared" si="8"/>
        <v>0</v>
      </c>
      <c r="M33" s="36">
        <f t="shared" si="8"/>
        <v>0</v>
      </c>
      <c r="N33" s="36">
        <f t="shared" si="8"/>
        <v>0</v>
      </c>
      <c r="O33" s="36">
        <f t="shared" si="8"/>
        <v>0</v>
      </c>
      <c r="P33" s="36">
        <f t="shared" si="8"/>
        <v>0</v>
      </c>
      <c r="Q33" s="36">
        <f t="shared" si="8"/>
        <v>0</v>
      </c>
      <c r="R33" s="36">
        <f t="shared" si="8"/>
        <v>0</v>
      </c>
      <c r="S33" s="36">
        <f t="shared" si="8"/>
        <v>0</v>
      </c>
    </row>
    <row r="34" spans="1:19" ht="24" hidden="1" outlineLevel="1" x14ac:dyDescent="0.2">
      <c r="A34" s="449" t="s">
        <v>3340</v>
      </c>
      <c r="B34" s="449">
        <v>43.32</v>
      </c>
      <c r="C34" s="449" t="str">
        <f t="shared" si="7"/>
        <v>BANHO 06</v>
      </c>
      <c r="D34" s="37" t="str">
        <f t="shared" si="6"/>
        <v>E3</v>
      </c>
      <c r="E34" s="38" t="s">
        <v>3866</v>
      </c>
      <c r="F34" s="36">
        <f t="shared" si="4"/>
        <v>43.32</v>
      </c>
      <c r="G34" s="36"/>
      <c r="H34" s="36">
        <f t="shared" si="5"/>
        <v>43.32</v>
      </c>
      <c r="I34" s="36">
        <f t="shared" si="8"/>
        <v>0</v>
      </c>
      <c r="J34" s="36">
        <f t="shared" si="8"/>
        <v>0</v>
      </c>
      <c r="K34" s="36">
        <f t="shared" si="8"/>
        <v>0</v>
      </c>
      <c r="L34" s="36">
        <f t="shared" si="8"/>
        <v>0</v>
      </c>
      <c r="M34" s="36">
        <f t="shared" si="8"/>
        <v>0</v>
      </c>
      <c r="N34" s="36">
        <f t="shared" si="8"/>
        <v>0</v>
      </c>
      <c r="O34" s="36">
        <f t="shared" si="8"/>
        <v>0</v>
      </c>
      <c r="P34" s="36">
        <f t="shared" si="8"/>
        <v>0</v>
      </c>
      <c r="Q34" s="36">
        <f t="shared" si="8"/>
        <v>0</v>
      </c>
      <c r="R34" s="36">
        <f t="shared" si="8"/>
        <v>0</v>
      </c>
      <c r="S34" s="36">
        <f t="shared" si="8"/>
        <v>0</v>
      </c>
    </row>
    <row r="35" spans="1:19" ht="24" hidden="1" outlineLevel="1" x14ac:dyDescent="0.2">
      <c r="A35" s="449" t="s">
        <v>3342</v>
      </c>
      <c r="B35" s="449">
        <v>10.6</v>
      </c>
      <c r="C35" s="449" t="str">
        <f t="shared" si="7"/>
        <v>BANHO 07</v>
      </c>
      <c r="D35" s="37" t="str">
        <f t="shared" si="6"/>
        <v>E3</v>
      </c>
      <c r="E35" s="38" t="s">
        <v>3866</v>
      </c>
      <c r="F35" s="36">
        <f t="shared" si="4"/>
        <v>10.6</v>
      </c>
      <c r="G35" s="36"/>
      <c r="H35" s="36">
        <f t="shared" si="5"/>
        <v>10.6</v>
      </c>
      <c r="I35" s="36">
        <f t="shared" si="8"/>
        <v>0</v>
      </c>
      <c r="J35" s="36">
        <f t="shared" si="8"/>
        <v>0</v>
      </c>
      <c r="K35" s="36">
        <f t="shared" si="8"/>
        <v>0</v>
      </c>
      <c r="L35" s="36">
        <f t="shared" si="8"/>
        <v>0</v>
      </c>
      <c r="M35" s="36">
        <f t="shared" si="8"/>
        <v>0</v>
      </c>
      <c r="N35" s="36">
        <f t="shared" si="8"/>
        <v>0</v>
      </c>
      <c r="O35" s="36">
        <f t="shared" si="8"/>
        <v>0</v>
      </c>
      <c r="P35" s="36">
        <f t="shared" si="8"/>
        <v>0</v>
      </c>
      <c r="Q35" s="36">
        <f t="shared" si="8"/>
        <v>0</v>
      </c>
      <c r="R35" s="36">
        <f t="shared" si="8"/>
        <v>0</v>
      </c>
      <c r="S35" s="36">
        <f t="shared" si="8"/>
        <v>0</v>
      </c>
    </row>
    <row r="36" spans="1:19" ht="24" hidden="1" outlineLevel="1" x14ac:dyDescent="0.2">
      <c r="A36" s="449" t="s">
        <v>3344</v>
      </c>
      <c r="B36" s="449">
        <v>29.74</v>
      </c>
      <c r="C36" s="449" t="str">
        <f t="shared" si="7"/>
        <v>BANHO 08</v>
      </c>
      <c r="D36" s="37" t="str">
        <f t="shared" si="6"/>
        <v>E3</v>
      </c>
      <c r="E36" s="38" t="s">
        <v>3866</v>
      </c>
      <c r="F36" s="36">
        <f t="shared" si="4"/>
        <v>29.74</v>
      </c>
      <c r="G36" s="36"/>
      <c r="H36" s="36">
        <f t="shared" si="5"/>
        <v>29.74</v>
      </c>
      <c r="I36" s="36">
        <f t="shared" si="8"/>
        <v>0</v>
      </c>
      <c r="J36" s="36">
        <f t="shared" si="8"/>
        <v>0</v>
      </c>
      <c r="K36" s="36">
        <f t="shared" si="8"/>
        <v>0</v>
      </c>
      <c r="L36" s="36">
        <f t="shared" si="8"/>
        <v>0</v>
      </c>
      <c r="M36" s="36">
        <f t="shared" si="8"/>
        <v>0</v>
      </c>
      <c r="N36" s="36">
        <f t="shared" si="8"/>
        <v>0</v>
      </c>
      <c r="O36" s="36">
        <f t="shared" si="8"/>
        <v>0</v>
      </c>
      <c r="P36" s="36">
        <f t="shared" si="8"/>
        <v>0</v>
      </c>
      <c r="Q36" s="36">
        <f t="shared" si="8"/>
        <v>0</v>
      </c>
      <c r="R36" s="36">
        <f t="shared" si="8"/>
        <v>0</v>
      </c>
      <c r="S36" s="36">
        <f t="shared" si="8"/>
        <v>0</v>
      </c>
    </row>
    <row r="37" spans="1:19" ht="24" hidden="1" outlineLevel="1" x14ac:dyDescent="0.2">
      <c r="A37" s="449" t="s">
        <v>3249</v>
      </c>
      <c r="B37" s="449">
        <v>14.41</v>
      </c>
      <c r="C37" s="449" t="str">
        <f t="shared" si="7"/>
        <v>BAR</v>
      </c>
      <c r="D37" s="37" t="str">
        <f t="shared" si="6"/>
        <v>E3</v>
      </c>
      <c r="E37" s="38" t="s">
        <v>3866</v>
      </c>
      <c r="F37" s="36">
        <f t="shared" si="4"/>
        <v>14.41</v>
      </c>
      <c r="G37" s="36"/>
      <c r="H37" s="36">
        <f t="shared" si="5"/>
        <v>14.41</v>
      </c>
      <c r="I37" s="36">
        <f t="shared" si="8"/>
        <v>0</v>
      </c>
      <c r="J37" s="36">
        <f t="shared" si="8"/>
        <v>0</v>
      </c>
      <c r="K37" s="36">
        <f t="shared" si="8"/>
        <v>0</v>
      </c>
      <c r="L37" s="36">
        <f t="shared" si="8"/>
        <v>0</v>
      </c>
      <c r="M37" s="36">
        <f t="shared" si="8"/>
        <v>0</v>
      </c>
      <c r="N37" s="36">
        <f t="shared" si="8"/>
        <v>0</v>
      </c>
      <c r="O37" s="36">
        <f t="shared" si="8"/>
        <v>0</v>
      </c>
      <c r="P37" s="36">
        <f t="shared" si="8"/>
        <v>0</v>
      </c>
      <c r="Q37" s="36">
        <f t="shared" si="8"/>
        <v>0</v>
      </c>
      <c r="R37" s="36">
        <f t="shared" si="8"/>
        <v>0</v>
      </c>
      <c r="S37" s="36">
        <f t="shared" si="8"/>
        <v>0</v>
      </c>
    </row>
    <row r="38" spans="1:19" ht="24" hidden="1" outlineLevel="1" x14ac:dyDescent="0.2">
      <c r="A38" s="449" t="s">
        <v>3792</v>
      </c>
      <c r="B38" s="449">
        <v>63.95</v>
      </c>
      <c r="C38" s="449" t="str">
        <f t="shared" si="7"/>
        <v>BARRILETE</v>
      </c>
      <c r="D38" s="37" t="str">
        <f t="shared" si="6"/>
        <v>E3</v>
      </c>
      <c r="E38" s="38" t="s">
        <v>3866</v>
      </c>
      <c r="F38" s="36">
        <f t="shared" si="4"/>
        <v>63.95</v>
      </c>
      <c r="G38" s="36"/>
      <c r="H38" s="36">
        <f t="shared" si="5"/>
        <v>63.95</v>
      </c>
      <c r="I38" s="36">
        <f t="shared" si="8"/>
        <v>0</v>
      </c>
      <c r="J38" s="36">
        <f t="shared" si="8"/>
        <v>0</v>
      </c>
      <c r="K38" s="36">
        <f t="shared" si="8"/>
        <v>0</v>
      </c>
      <c r="L38" s="36">
        <f t="shared" si="8"/>
        <v>0</v>
      </c>
      <c r="M38" s="36">
        <f t="shared" si="8"/>
        <v>0</v>
      </c>
      <c r="N38" s="36">
        <f t="shared" si="8"/>
        <v>0</v>
      </c>
      <c r="O38" s="36">
        <f t="shared" si="8"/>
        <v>0</v>
      </c>
      <c r="P38" s="36">
        <f t="shared" si="8"/>
        <v>0</v>
      </c>
      <c r="Q38" s="36">
        <f t="shared" si="8"/>
        <v>0</v>
      </c>
      <c r="R38" s="36">
        <f t="shared" si="8"/>
        <v>0</v>
      </c>
      <c r="S38" s="36">
        <f t="shared" si="8"/>
        <v>0</v>
      </c>
    </row>
    <row r="39" spans="1:19" ht="24" hidden="1" outlineLevel="1" x14ac:dyDescent="0.2">
      <c r="A39" s="449" t="s">
        <v>3234</v>
      </c>
      <c r="B39" s="449">
        <v>116.94</v>
      </c>
      <c r="C39" s="449" t="str">
        <f t="shared" si="7"/>
        <v>BICICLETÁRIO</v>
      </c>
      <c r="D39" s="37" t="str">
        <f t="shared" si="6"/>
        <v>C3</v>
      </c>
      <c r="E39" s="38" t="s">
        <v>3866</v>
      </c>
      <c r="F39" s="36">
        <f t="shared" si="4"/>
        <v>116.94</v>
      </c>
      <c r="G39" s="36"/>
      <c r="H39" s="36">
        <f t="shared" si="5"/>
        <v>0</v>
      </c>
      <c r="I39" s="36">
        <f t="shared" si="8"/>
        <v>0</v>
      </c>
      <c r="J39" s="36">
        <f t="shared" si="8"/>
        <v>0</v>
      </c>
      <c r="K39" s="36">
        <f t="shared" si="8"/>
        <v>116.94</v>
      </c>
      <c r="L39" s="36">
        <f t="shared" si="8"/>
        <v>0</v>
      </c>
      <c r="M39" s="36">
        <f t="shared" si="8"/>
        <v>0</v>
      </c>
      <c r="N39" s="36">
        <f t="shared" si="8"/>
        <v>0</v>
      </c>
      <c r="O39" s="36">
        <f t="shared" si="8"/>
        <v>0</v>
      </c>
      <c r="P39" s="36">
        <f t="shared" si="8"/>
        <v>0</v>
      </c>
      <c r="Q39" s="36">
        <f t="shared" si="8"/>
        <v>0</v>
      </c>
      <c r="R39" s="36">
        <f t="shared" si="8"/>
        <v>0</v>
      </c>
      <c r="S39" s="36">
        <f t="shared" si="8"/>
        <v>0</v>
      </c>
    </row>
    <row r="40" spans="1:19" ht="24" hidden="1" outlineLevel="1" x14ac:dyDescent="0.2">
      <c r="A40" s="449" t="s">
        <v>3235</v>
      </c>
      <c r="B40" s="449">
        <v>5.37</v>
      </c>
      <c r="C40" s="449" t="str">
        <f t="shared" si="7"/>
        <v>DEPOSITO LIXO</v>
      </c>
      <c r="D40" s="37" t="str">
        <f t="shared" si="6"/>
        <v>C3</v>
      </c>
      <c r="E40" s="38" t="s">
        <v>3866</v>
      </c>
      <c r="F40" s="36">
        <f t="shared" si="4"/>
        <v>5.37</v>
      </c>
      <c r="G40" s="36"/>
      <c r="H40" s="36">
        <f t="shared" si="5"/>
        <v>0</v>
      </c>
      <c r="I40" s="36">
        <f t="shared" si="8"/>
        <v>0</v>
      </c>
      <c r="J40" s="36">
        <f t="shared" si="8"/>
        <v>0</v>
      </c>
      <c r="K40" s="36">
        <f t="shared" si="8"/>
        <v>5.37</v>
      </c>
      <c r="L40" s="36">
        <f t="shared" si="8"/>
        <v>0</v>
      </c>
      <c r="M40" s="36">
        <f t="shared" si="8"/>
        <v>0</v>
      </c>
      <c r="N40" s="36">
        <f t="shared" si="8"/>
        <v>0</v>
      </c>
      <c r="O40" s="36">
        <f t="shared" si="8"/>
        <v>0</v>
      </c>
      <c r="P40" s="36">
        <f t="shared" si="8"/>
        <v>0</v>
      </c>
      <c r="Q40" s="36">
        <f t="shared" si="8"/>
        <v>0</v>
      </c>
      <c r="R40" s="36">
        <f t="shared" si="8"/>
        <v>0</v>
      </c>
      <c r="S40" s="36">
        <f t="shared" si="8"/>
        <v>0</v>
      </c>
    </row>
    <row r="41" spans="1:19" ht="24" hidden="1" outlineLevel="1" x14ac:dyDescent="0.2">
      <c r="A41" s="449" t="s">
        <v>3250</v>
      </c>
      <c r="B41" s="449">
        <v>110.88</v>
      </c>
      <c r="C41" s="449" t="str">
        <f t="shared" si="7"/>
        <v>ESQUADRIA</v>
      </c>
      <c r="D41" s="37" t="str">
        <f t="shared" si="6"/>
        <v>C3</v>
      </c>
      <c r="E41" s="38" t="s">
        <v>3867</v>
      </c>
      <c r="F41" s="36">
        <f t="shared" si="4"/>
        <v>110.88</v>
      </c>
      <c r="G41" s="36"/>
      <c r="H41" s="36">
        <f t="shared" si="5"/>
        <v>0</v>
      </c>
      <c r="I41" s="36">
        <f t="shared" si="8"/>
        <v>0</v>
      </c>
      <c r="J41" s="36">
        <f t="shared" si="8"/>
        <v>0</v>
      </c>
      <c r="K41" s="36">
        <f t="shared" si="8"/>
        <v>110.88</v>
      </c>
      <c r="L41" s="36">
        <f t="shared" si="8"/>
        <v>0</v>
      </c>
      <c r="M41" s="36">
        <f t="shared" si="8"/>
        <v>0</v>
      </c>
      <c r="N41" s="36">
        <f t="shared" si="8"/>
        <v>0</v>
      </c>
      <c r="O41" s="36">
        <f t="shared" si="8"/>
        <v>0</v>
      </c>
      <c r="P41" s="36">
        <f t="shared" si="8"/>
        <v>0</v>
      </c>
      <c r="Q41" s="36">
        <f t="shared" si="8"/>
        <v>0</v>
      </c>
      <c r="R41" s="36">
        <f t="shared" si="8"/>
        <v>0</v>
      </c>
      <c r="S41" s="36">
        <f t="shared" si="8"/>
        <v>0</v>
      </c>
    </row>
    <row r="42" spans="1:19" ht="24" hidden="1" outlineLevel="1" x14ac:dyDescent="0.2">
      <c r="A42" s="449" t="s">
        <v>3251</v>
      </c>
      <c r="B42" s="449">
        <v>7.02</v>
      </c>
      <c r="C42" s="449" t="str">
        <f t="shared" si="7"/>
        <v>GERADOR</v>
      </c>
      <c r="D42" s="37" t="str">
        <f t="shared" si="6"/>
        <v>C3</v>
      </c>
      <c r="E42" s="38" t="s">
        <v>3866</v>
      </c>
      <c r="F42" s="36">
        <f t="shared" si="4"/>
        <v>7.02</v>
      </c>
      <c r="G42" s="36"/>
      <c r="H42" s="36">
        <f t="shared" si="5"/>
        <v>0</v>
      </c>
      <c r="I42" s="36">
        <f t="shared" si="8"/>
        <v>0</v>
      </c>
      <c r="J42" s="36">
        <f t="shared" si="8"/>
        <v>0</v>
      </c>
      <c r="K42" s="36">
        <f t="shared" si="8"/>
        <v>7.02</v>
      </c>
      <c r="L42" s="36">
        <f t="shared" si="8"/>
        <v>0</v>
      </c>
      <c r="M42" s="36">
        <f t="shared" si="8"/>
        <v>0</v>
      </c>
      <c r="N42" s="36">
        <f t="shared" si="8"/>
        <v>0</v>
      </c>
      <c r="O42" s="36">
        <f t="shared" si="8"/>
        <v>0</v>
      </c>
      <c r="P42" s="36">
        <f t="shared" si="8"/>
        <v>0</v>
      </c>
      <c r="Q42" s="36">
        <f t="shared" si="8"/>
        <v>0</v>
      </c>
      <c r="R42" s="36">
        <f t="shared" si="8"/>
        <v>0</v>
      </c>
      <c r="S42" s="36">
        <f t="shared" si="8"/>
        <v>0</v>
      </c>
    </row>
    <row r="43" spans="1:19" ht="24" hidden="1" outlineLevel="1" x14ac:dyDescent="0.2">
      <c r="A43" s="449" t="s">
        <v>3236</v>
      </c>
      <c r="B43" s="449">
        <v>7.26</v>
      </c>
      <c r="C43" s="449" t="str">
        <f t="shared" si="7"/>
        <v>SALA PRESS.</v>
      </c>
      <c r="D43" s="37" t="str">
        <f t="shared" si="6"/>
        <v>C3</v>
      </c>
      <c r="E43" s="38" t="s">
        <v>3866</v>
      </c>
      <c r="F43" s="36">
        <f t="shared" si="4"/>
        <v>7.26</v>
      </c>
      <c r="G43" s="36"/>
      <c r="H43" s="36">
        <f t="shared" si="5"/>
        <v>0</v>
      </c>
      <c r="I43" s="36">
        <f t="shared" si="8"/>
        <v>0</v>
      </c>
      <c r="J43" s="36">
        <f t="shared" si="8"/>
        <v>0</v>
      </c>
      <c r="K43" s="36">
        <f t="shared" si="8"/>
        <v>7.26</v>
      </c>
      <c r="L43" s="36">
        <f t="shared" si="8"/>
        <v>0</v>
      </c>
      <c r="M43" s="36">
        <f t="shared" si="8"/>
        <v>0</v>
      </c>
      <c r="N43" s="36">
        <f t="shared" si="8"/>
        <v>0</v>
      </c>
      <c r="O43" s="36">
        <f t="shared" si="8"/>
        <v>0</v>
      </c>
      <c r="P43" s="36">
        <f t="shared" si="8"/>
        <v>0</v>
      </c>
      <c r="Q43" s="36">
        <f t="shared" si="8"/>
        <v>0</v>
      </c>
      <c r="R43" s="36">
        <f t="shared" si="8"/>
        <v>0</v>
      </c>
      <c r="S43" s="36">
        <f t="shared" si="8"/>
        <v>0</v>
      </c>
    </row>
    <row r="44" spans="1:19" ht="24" hidden="1" outlineLevel="1" x14ac:dyDescent="0.2">
      <c r="A44" s="449" t="s">
        <v>3252</v>
      </c>
      <c r="B44" s="449">
        <v>39.81</v>
      </c>
      <c r="C44" s="449" t="str">
        <f t="shared" si="7"/>
        <v>TERRAÇO (TÉRREO)</v>
      </c>
      <c r="D44" s="37" t="str">
        <f t="shared" si="6"/>
        <v>C3</v>
      </c>
      <c r="E44" s="38" t="s">
        <v>3865</v>
      </c>
      <c r="F44" s="36">
        <f t="shared" si="4"/>
        <v>39.81</v>
      </c>
      <c r="G44" s="36"/>
      <c r="H44" s="36">
        <f t="shared" si="5"/>
        <v>0</v>
      </c>
      <c r="I44" s="36">
        <f t="shared" si="8"/>
        <v>0</v>
      </c>
      <c r="J44" s="36">
        <f t="shared" si="8"/>
        <v>0</v>
      </c>
      <c r="K44" s="36">
        <f t="shared" si="8"/>
        <v>39.81</v>
      </c>
      <c r="L44" s="36">
        <f t="shared" si="8"/>
        <v>0</v>
      </c>
      <c r="M44" s="36">
        <f t="shared" si="8"/>
        <v>0</v>
      </c>
      <c r="N44" s="36">
        <f t="shared" si="8"/>
        <v>0</v>
      </c>
      <c r="O44" s="36">
        <f t="shared" si="8"/>
        <v>0</v>
      </c>
      <c r="P44" s="36">
        <f t="shared" si="8"/>
        <v>0</v>
      </c>
      <c r="Q44" s="36">
        <f t="shared" si="8"/>
        <v>0</v>
      </c>
      <c r="R44" s="36">
        <f t="shared" si="8"/>
        <v>0</v>
      </c>
      <c r="S44" s="36">
        <f t="shared" si="8"/>
        <v>0</v>
      </c>
    </row>
    <row r="45" spans="1:19" ht="24" hidden="1" outlineLevel="1" x14ac:dyDescent="0.2">
      <c r="A45" s="449" t="s">
        <v>3237</v>
      </c>
      <c r="B45" s="449">
        <v>7.37</v>
      </c>
      <c r="C45" s="449" t="str">
        <f t="shared" si="7"/>
        <v>VEST. FUNC.</v>
      </c>
      <c r="D45" s="37" t="str">
        <f t="shared" si="6"/>
        <v>C3</v>
      </c>
      <c r="E45" s="38" t="s">
        <v>3866</v>
      </c>
      <c r="F45" s="36">
        <f t="shared" si="4"/>
        <v>7.37</v>
      </c>
      <c r="G45" s="36"/>
      <c r="H45" s="36">
        <f t="shared" si="5"/>
        <v>0</v>
      </c>
      <c r="I45" s="36">
        <f t="shared" si="8"/>
        <v>0</v>
      </c>
      <c r="J45" s="36">
        <f t="shared" si="8"/>
        <v>0</v>
      </c>
      <c r="K45" s="36">
        <f t="shared" si="8"/>
        <v>7.37</v>
      </c>
      <c r="L45" s="36">
        <f t="shared" si="8"/>
        <v>0</v>
      </c>
      <c r="M45" s="36">
        <f t="shared" si="8"/>
        <v>0</v>
      </c>
      <c r="N45" s="36">
        <f t="shared" si="8"/>
        <v>0</v>
      </c>
      <c r="O45" s="36">
        <f t="shared" si="8"/>
        <v>0</v>
      </c>
      <c r="P45" s="36">
        <f t="shared" si="8"/>
        <v>0</v>
      </c>
      <c r="Q45" s="36">
        <f t="shared" si="8"/>
        <v>0</v>
      </c>
      <c r="R45" s="36">
        <f t="shared" si="8"/>
        <v>0</v>
      </c>
      <c r="S45" s="36">
        <f t="shared" si="8"/>
        <v>0</v>
      </c>
    </row>
    <row r="46" spans="1:19" ht="24" hidden="1" outlineLevel="1" x14ac:dyDescent="0.2">
      <c r="A46" s="449" t="s">
        <v>3238</v>
      </c>
      <c r="B46" s="449">
        <v>0.53</v>
      </c>
      <c r="C46" s="449" t="str">
        <f t="shared" si="7"/>
        <v>VÃO DO RESERVATÓRIO</v>
      </c>
      <c r="D46" s="37" t="str">
        <f t="shared" si="6"/>
        <v>C3</v>
      </c>
      <c r="E46" s="38" t="s">
        <v>3868</v>
      </c>
      <c r="F46" s="36">
        <f t="shared" si="4"/>
        <v>0.53</v>
      </c>
      <c r="G46" s="36"/>
      <c r="H46" s="36">
        <f t="shared" si="5"/>
        <v>0</v>
      </c>
      <c r="I46" s="36">
        <f t="shared" si="8"/>
        <v>0</v>
      </c>
      <c r="J46" s="36">
        <f t="shared" si="8"/>
        <v>0</v>
      </c>
      <c r="K46" s="36">
        <f t="shared" si="8"/>
        <v>0.53</v>
      </c>
      <c r="L46" s="36">
        <f t="shared" si="8"/>
        <v>0</v>
      </c>
      <c r="M46" s="36">
        <f t="shared" si="8"/>
        <v>0</v>
      </c>
      <c r="N46" s="36">
        <f t="shared" si="8"/>
        <v>0</v>
      </c>
      <c r="O46" s="36">
        <f t="shared" si="8"/>
        <v>0</v>
      </c>
      <c r="P46" s="36">
        <f t="shared" si="8"/>
        <v>0</v>
      </c>
      <c r="Q46" s="36">
        <f t="shared" si="8"/>
        <v>0</v>
      </c>
      <c r="R46" s="36">
        <f t="shared" si="8"/>
        <v>0</v>
      </c>
      <c r="S46" s="36">
        <f t="shared" si="8"/>
        <v>0</v>
      </c>
    </row>
    <row r="47" spans="1:19" ht="36" hidden="1" outlineLevel="1" x14ac:dyDescent="0.2">
      <c r="A47" s="449" t="s">
        <v>3239</v>
      </c>
      <c r="B47" s="449">
        <v>4.53</v>
      </c>
      <c r="C47" s="449" t="str">
        <f t="shared" si="7"/>
        <v>RESERVATÓRIO ESCOAMENTO</v>
      </c>
      <c r="D47" s="37" t="str">
        <f t="shared" si="6"/>
        <v>C3E3</v>
      </c>
      <c r="E47" s="38" t="s">
        <v>3868</v>
      </c>
      <c r="F47" s="36">
        <f t="shared" si="4"/>
        <v>4.53</v>
      </c>
      <c r="G47" s="36"/>
      <c r="H47" s="36">
        <f t="shared" si="5"/>
        <v>0</v>
      </c>
      <c r="I47" s="36">
        <f t="shared" ref="I47:S62" si="9">SUMIF($D47,I$10,$B47)</f>
        <v>0</v>
      </c>
      <c r="J47" s="36">
        <f t="shared" si="9"/>
        <v>0</v>
      </c>
      <c r="K47" s="36">
        <f t="shared" si="9"/>
        <v>0</v>
      </c>
      <c r="L47" s="36">
        <f t="shared" si="9"/>
        <v>4.53</v>
      </c>
      <c r="M47" s="36">
        <f t="shared" si="9"/>
        <v>0</v>
      </c>
      <c r="N47" s="36">
        <f t="shared" si="9"/>
        <v>0</v>
      </c>
      <c r="O47" s="36">
        <f t="shared" si="9"/>
        <v>0</v>
      </c>
      <c r="P47" s="36">
        <f t="shared" si="9"/>
        <v>0</v>
      </c>
      <c r="Q47" s="36">
        <f t="shared" si="9"/>
        <v>0</v>
      </c>
      <c r="R47" s="36">
        <f t="shared" si="9"/>
        <v>0</v>
      </c>
      <c r="S47" s="36">
        <f t="shared" si="9"/>
        <v>0</v>
      </c>
    </row>
    <row r="48" spans="1:19" ht="36" hidden="1" outlineLevel="1" x14ac:dyDescent="0.2">
      <c r="A48" s="449" t="s">
        <v>3240</v>
      </c>
      <c r="B48" s="449">
        <v>29.03</v>
      </c>
      <c r="C48" s="449" t="str">
        <f t="shared" si="7"/>
        <v>RESERVATÓRIO INFERIOR</v>
      </c>
      <c r="D48" s="37" t="str">
        <f t="shared" si="6"/>
        <v>C3E3</v>
      </c>
      <c r="E48" s="38" t="s">
        <v>3868</v>
      </c>
      <c r="F48" s="36">
        <f t="shared" si="4"/>
        <v>29.03</v>
      </c>
      <c r="G48" s="36"/>
      <c r="H48" s="36">
        <f t="shared" si="5"/>
        <v>0</v>
      </c>
      <c r="I48" s="36">
        <f t="shared" si="9"/>
        <v>0</v>
      </c>
      <c r="J48" s="36">
        <f t="shared" si="9"/>
        <v>0</v>
      </c>
      <c r="K48" s="36">
        <f t="shared" si="9"/>
        <v>0</v>
      </c>
      <c r="L48" s="36">
        <f t="shared" si="9"/>
        <v>29.03</v>
      </c>
      <c r="M48" s="36">
        <f t="shared" si="9"/>
        <v>0</v>
      </c>
      <c r="N48" s="36">
        <f t="shared" si="9"/>
        <v>0</v>
      </c>
      <c r="O48" s="36">
        <f t="shared" si="9"/>
        <v>0</v>
      </c>
      <c r="P48" s="36">
        <f t="shared" si="9"/>
        <v>0</v>
      </c>
      <c r="Q48" s="36">
        <f t="shared" si="9"/>
        <v>0</v>
      </c>
      <c r="R48" s="36">
        <f t="shared" si="9"/>
        <v>0</v>
      </c>
      <c r="S48" s="36">
        <f t="shared" si="9"/>
        <v>0</v>
      </c>
    </row>
    <row r="49" spans="1:19" ht="36" hidden="1" outlineLevel="1" x14ac:dyDescent="0.2">
      <c r="A49" s="449" t="s">
        <v>3241</v>
      </c>
      <c r="B49" s="449">
        <v>18.89</v>
      </c>
      <c r="C49" s="449" t="str">
        <f t="shared" si="7"/>
        <v>RESERVATÓRIO INFERIOR 2</v>
      </c>
      <c r="D49" s="37" t="str">
        <f t="shared" si="6"/>
        <v>C3E3</v>
      </c>
      <c r="E49" s="38" t="s">
        <v>3868</v>
      </c>
      <c r="F49" s="36">
        <f t="shared" si="4"/>
        <v>18.89</v>
      </c>
      <c r="G49" s="36"/>
      <c r="H49" s="36">
        <f t="shared" si="5"/>
        <v>0</v>
      </c>
      <c r="I49" s="36">
        <f t="shared" si="9"/>
        <v>0</v>
      </c>
      <c r="J49" s="36">
        <f t="shared" si="9"/>
        <v>0</v>
      </c>
      <c r="K49" s="36">
        <f t="shared" si="9"/>
        <v>0</v>
      </c>
      <c r="L49" s="36">
        <f t="shared" si="9"/>
        <v>18.89</v>
      </c>
      <c r="M49" s="36">
        <f t="shared" si="9"/>
        <v>0</v>
      </c>
      <c r="N49" s="36">
        <f t="shared" si="9"/>
        <v>0</v>
      </c>
      <c r="O49" s="36">
        <f t="shared" si="9"/>
        <v>0</v>
      </c>
      <c r="P49" s="36">
        <f t="shared" si="9"/>
        <v>0</v>
      </c>
      <c r="Q49" s="36">
        <f t="shared" si="9"/>
        <v>0</v>
      </c>
      <c r="R49" s="36">
        <f t="shared" si="9"/>
        <v>0</v>
      </c>
      <c r="S49" s="36">
        <f t="shared" si="9"/>
        <v>0</v>
      </c>
    </row>
    <row r="50" spans="1:19" ht="36" hidden="1" outlineLevel="1" x14ac:dyDescent="0.2">
      <c r="A50" s="449" t="s">
        <v>3242</v>
      </c>
      <c r="B50" s="449">
        <v>4.34</v>
      </c>
      <c r="C50" s="449" t="str">
        <f t="shared" si="7"/>
        <v>RESERVATÓRIO REAPROV. PLUVIAL</v>
      </c>
      <c r="D50" s="37" t="str">
        <f t="shared" si="6"/>
        <v>C3E3</v>
      </c>
      <c r="E50" s="38" t="s">
        <v>3868</v>
      </c>
      <c r="F50" s="36">
        <f t="shared" si="4"/>
        <v>4.34</v>
      </c>
      <c r="G50" s="36"/>
      <c r="H50" s="36">
        <f t="shared" si="5"/>
        <v>0</v>
      </c>
      <c r="I50" s="36">
        <f t="shared" si="9"/>
        <v>0</v>
      </c>
      <c r="J50" s="36">
        <f t="shared" si="9"/>
        <v>0</v>
      </c>
      <c r="K50" s="36">
        <f t="shared" si="9"/>
        <v>0</v>
      </c>
      <c r="L50" s="36">
        <f t="shared" si="9"/>
        <v>4.34</v>
      </c>
      <c r="M50" s="36">
        <f t="shared" si="9"/>
        <v>0</v>
      </c>
      <c r="N50" s="36">
        <f t="shared" si="9"/>
        <v>0</v>
      </c>
      <c r="O50" s="36">
        <f t="shared" si="9"/>
        <v>0</v>
      </c>
      <c r="P50" s="36">
        <f t="shared" si="9"/>
        <v>0</v>
      </c>
      <c r="Q50" s="36">
        <f t="shared" si="9"/>
        <v>0</v>
      </c>
      <c r="R50" s="36">
        <f t="shared" si="9"/>
        <v>0</v>
      </c>
      <c r="S50" s="36">
        <f t="shared" si="9"/>
        <v>0</v>
      </c>
    </row>
    <row r="51" spans="1:19" ht="24" hidden="1" outlineLevel="1" x14ac:dyDescent="0.2">
      <c r="A51" s="449" t="s">
        <v>3254</v>
      </c>
      <c r="B51" s="449">
        <v>11.9</v>
      </c>
      <c r="C51" s="449" t="str">
        <f t="shared" si="7"/>
        <v>CAIXAS DE ELÉTRICA</v>
      </c>
      <c r="D51" s="37" t="str">
        <f t="shared" si="6"/>
        <v>C4</v>
      </c>
      <c r="E51" s="38" t="s">
        <v>3865</v>
      </c>
      <c r="F51" s="36">
        <f t="shared" si="4"/>
        <v>11.9</v>
      </c>
      <c r="G51" s="36"/>
      <c r="H51" s="36">
        <f t="shared" si="5"/>
        <v>0</v>
      </c>
      <c r="I51" s="36">
        <f t="shared" si="9"/>
        <v>0</v>
      </c>
      <c r="J51" s="36">
        <f t="shared" si="9"/>
        <v>0</v>
      </c>
      <c r="K51" s="36">
        <f t="shared" si="9"/>
        <v>0</v>
      </c>
      <c r="L51" s="36">
        <f t="shared" si="9"/>
        <v>0</v>
      </c>
      <c r="M51" s="36">
        <f t="shared" si="9"/>
        <v>11.9</v>
      </c>
      <c r="N51" s="36">
        <f t="shared" si="9"/>
        <v>0</v>
      </c>
      <c r="O51" s="36">
        <f t="shared" si="9"/>
        <v>0</v>
      </c>
      <c r="P51" s="36">
        <f t="shared" si="9"/>
        <v>0</v>
      </c>
      <c r="Q51" s="36">
        <f t="shared" si="9"/>
        <v>0</v>
      </c>
      <c r="R51" s="36">
        <f t="shared" si="9"/>
        <v>0</v>
      </c>
      <c r="S51" s="36">
        <f t="shared" si="9"/>
        <v>0</v>
      </c>
    </row>
    <row r="52" spans="1:19" ht="24" hidden="1" outlineLevel="1" x14ac:dyDescent="0.2">
      <c r="A52" s="449" t="s">
        <v>3243</v>
      </c>
      <c r="B52" s="449">
        <v>7.69</v>
      </c>
      <c r="C52" s="449" t="str">
        <f t="shared" si="7"/>
        <v>FOSSO ELEVADOR</v>
      </c>
      <c r="D52" s="37" t="str">
        <f t="shared" si="6"/>
        <v>C4</v>
      </c>
      <c r="E52" s="38" t="s">
        <v>3866</v>
      </c>
      <c r="F52" s="36">
        <f t="shared" si="4"/>
        <v>7.69</v>
      </c>
      <c r="G52" s="36"/>
      <c r="H52" s="36">
        <f t="shared" si="5"/>
        <v>0</v>
      </c>
      <c r="I52" s="36">
        <f t="shared" si="9"/>
        <v>0</v>
      </c>
      <c r="J52" s="36">
        <f t="shared" si="9"/>
        <v>0</v>
      </c>
      <c r="K52" s="36">
        <f t="shared" si="9"/>
        <v>0</v>
      </c>
      <c r="L52" s="36">
        <f t="shared" si="9"/>
        <v>0</v>
      </c>
      <c r="M52" s="36">
        <f t="shared" si="9"/>
        <v>7.69</v>
      </c>
      <c r="N52" s="36">
        <f t="shared" si="9"/>
        <v>0</v>
      </c>
      <c r="O52" s="36">
        <f t="shared" si="9"/>
        <v>0</v>
      </c>
      <c r="P52" s="36">
        <f t="shared" si="9"/>
        <v>0</v>
      </c>
      <c r="Q52" s="36">
        <f t="shared" si="9"/>
        <v>0</v>
      </c>
      <c r="R52" s="36">
        <f t="shared" si="9"/>
        <v>0</v>
      </c>
      <c r="S52" s="36">
        <f t="shared" si="9"/>
        <v>0</v>
      </c>
    </row>
    <row r="53" spans="1:19" ht="36" hidden="1" outlineLevel="1" x14ac:dyDescent="0.2">
      <c r="A53" s="449" t="s">
        <v>3256</v>
      </c>
      <c r="B53" s="449">
        <v>47.53</v>
      </c>
      <c r="C53" s="449" t="str">
        <f t="shared" si="7"/>
        <v>CAIXAS DE ESGOTO</v>
      </c>
      <c r="D53" s="37" t="str">
        <f t="shared" si="6"/>
        <v>C4RQ</v>
      </c>
      <c r="E53" s="38" t="s">
        <v>3865</v>
      </c>
      <c r="F53" s="36">
        <f t="shared" si="4"/>
        <v>47.53</v>
      </c>
      <c r="G53" s="36"/>
      <c r="H53" s="36">
        <f t="shared" si="5"/>
        <v>0</v>
      </c>
      <c r="I53" s="36">
        <f t="shared" si="9"/>
        <v>0</v>
      </c>
      <c r="J53" s="36">
        <f t="shared" si="9"/>
        <v>0</v>
      </c>
      <c r="K53" s="36">
        <f t="shared" si="9"/>
        <v>0</v>
      </c>
      <c r="L53" s="36">
        <f t="shared" si="9"/>
        <v>0</v>
      </c>
      <c r="M53" s="36">
        <f t="shared" si="9"/>
        <v>0</v>
      </c>
      <c r="N53" s="36">
        <f t="shared" si="9"/>
        <v>47.53</v>
      </c>
      <c r="O53" s="36">
        <f t="shared" si="9"/>
        <v>0</v>
      </c>
      <c r="P53" s="36">
        <f t="shared" si="9"/>
        <v>0</v>
      </c>
      <c r="Q53" s="36">
        <f t="shared" si="9"/>
        <v>0</v>
      </c>
      <c r="R53" s="36">
        <f t="shared" si="9"/>
        <v>0</v>
      </c>
      <c r="S53" s="36">
        <f t="shared" si="9"/>
        <v>0</v>
      </c>
    </row>
    <row r="54" spans="1:19" ht="36" hidden="1" outlineLevel="1" x14ac:dyDescent="0.2">
      <c r="A54" s="449" t="s">
        <v>3771</v>
      </c>
      <c r="B54" s="449">
        <v>66.95</v>
      </c>
      <c r="C54" s="449" t="str">
        <f t="shared" si="7"/>
        <v>CAIXÃO PERDIDO</v>
      </c>
      <c r="D54" s="37" t="str">
        <f t="shared" si="6"/>
        <v>M44A</v>
      </c>
      <c r="E54" s="38" t="s">
        <v>3865</v>
      </c>
      <c r="F54" s="36">
        <f t="shared" si="4"/>
        <v>66.95</v>
      </c>
      <c r="G54" s="36"/>
      <c r="H54" s="36">
        <f t="shared" si="5"/>
        <v>0</v>
      </c>
      <c r="I54" s="36">
        <f t="shared" si="9"/>
        <v>0</v>
      </c>
      <c r="J54" s="36">
        <f t="shared" si="9"/>
        <v>66.95</v>
      </c>
      <c r="K54" s="36">
        <f t="shared" si="9"/>
        <v>0</v>
      </c>
      <c r="L54" s="36">
        <f t="shared" si="9"/>
        <v>0</v>
      </c>
      <c r="M54" s="36">
        <f t="shared" si="9"/>
        <v>0</v>
      </c>
      <c r="N54" s="36">
        <f t="shared" si="9"/>
        <v>0</v>
      </c>
      <c r="O54" s="36">
        <f t="shared" si="9"/>
        <v>0</v>
      </c>
      <c r="P54" s="36">
        <f t="shared" si="9"/>
        <v>0</v>
      </c>
      <c r="Q54" s="36">
        <f t="shared" si="9"/>
        <v>0</v>
      </c>
      <c r="R54" s="36">
        <f t="shared" si="9"/>
        <v>0</v>
      </c>
      <c r="S54" s="36">
        <f t="shared" si="9"/>
        <v>0</v>
      </c>
    </row>
    <row r="55" spans="1:19" ht="24" hidden="1" outlineLevel="1" x14ac:dyDescent="0.2">
      <c r="A55" s="449" t="s">
        <v>3795</v>
      </c>
      <c r="B55" s="449">
        <v>5.49</v>
      </c>
      <c r="C55" s="449" t="str">
        <f t="shared" si="7"/>
        <v>CASA DE BOMBAS</v>
      </c>
      <c r="D55" s="37" t="str">
        <f t="shared" si="6"/>
        <v>E3</v>
      </c>
      <c r="E55" s="38" t="s">
        <v>3866</v>
      </c>
      <c r="F55" s="36">
        <f t="shared" si="4"/>
        <v>5.49</v>
      </c>
      <c r="G55" s="36"/>
      <c r="H55" s="36">
        <f t="shared" si="5"/>
        <v>5.49</v>
      </c>
      <c r="I55" s="36">
        <f t="shared" si="9"/>
        <v>0</v>
      </c>
      <c r="J55" s="36">
        <f t="shared" si="9"/>
        <v>0</v>
      </c>
      <c r="K55" s="36">
        <f t="shared" si="9"/>
        <v>0</v>
      </c>
      <c r="L55" s="36">
        <f t="shared" si="9"/>
        <v>0</v>
      </c>
      <c r="M55" s="36">
        <f t="shared" si="9"/>
        <v>0</v>
      </c>
      <c r="N55" s="36">
        <f t="shared" si="9"/>
        <v>0</v>
      </c>
      <c r="O55" s="36">
        <f t="shared" si="9"/>
        <v>0</v>
      </c>
      <c r="P55" s="36">
        <f t="shared" si="9"/>
        <v>0</v>
      </c>
      <c r="Q55" s="36">
        <f t="shared" si="9"/>
        <v>0</v>
      </c>
      <c r="R55" s="36">
        <f t="shared" si="9"/>
        <v>0</v>
      </c>
      <c r="S55" s="36">
        <f t="shared" si="9"/>
        <v>0</v>
      </c>
    </row>
    <row r="56" spans="1:19" ht="36" hidden="1" outlineLevel="1" x14ac:dyDescent="0.2">
      <c r="A56" s="449" t="s">
        <v>3258</v>
      </c>
      <c r="B56" s="449">
        <v>12.1</v>
      </c>
      <c r="C56" s="449" t="str">
        <f t="shared" si="7"/>
        <v>CIRCULAÇÃO / ELEV.</v>
      </c>
      <c r="D56" s="37" t="str">
        <f t="shared" si="6"/>
        <v>M44A</v>
      </c>
      <c r="E56" s="38" t="s">
        <v>3866</v>
      </c>
      <c r="F56" s="36">
        <f t="shared" si="4"/>
        <v>12.1</v>
      </c>
      <c r="G56" s="36"/>
      <c r="H56" s="36">
        <f t="shared" si="5"/>
        <v>0</v>
      </c>
      <c r="I56" s="36">
        <f t="shared" si="9"/>
        <v>0</v>
      </c>
      <c r="J56" s="36">
        <f t="shared" si="9"/>
        <v>12.1</v>
      </c>
      <c r="K56" s="36">
        <f t="shared" si="9"/>
        <v>0</v>
      </c>
      <c r="L56" s="36">
        <f t="shared" si="9"/>
        <v>0</v>
      </c>
      <c r="M56" s="36">
        <f t="shared" si="9"/>
        <v>0</v>
      </c>
      <c r="N56" s="36">
        <f t="shared" si="9"/>
        <v>0</v>
      </c>
      <c r="O56" s="36">
        <f t="shared" si="9"/>
        <v>0</v>
      </c>
      <c r="P56" s="36">
        <f t="shared" si="9"/>
        <v>0</v>
      </c>
      <c r="Q56" s="36">
        <f t="shared" si="9"/>
        <v>0</v>
      </c>
      <c r="R56" s="36">
        <f t="shared" si="9"/>
        <v>0</v>
      </c>
      <c r="S56" s="36">
        <f t="shared" si="9"/>
        <v>0</v>
      </c>
    </row>
    <row r="57" spans="1:19" ht="24" hidden="1" outlineLevel="1" x14ac:dyDescent="0.2">
      <c r="A57" s="449" t="s">
        <v>3244</v>
      </c>
      <c r="B57" s="449">
        <v>12.44</v>
      </c>
      <c r="C57" s="449" t="str">
        <f t="shared" si="7"/>
        <v>CIRCULAÇÃO RESERVATÓRIO</v>
      </c>
      <c r="D57" s="37" t="str">
        <f t="shared" si="6"/>
        <v>C3</v>
      </c>
      <c r="E57" s="38" t="s">
        <v>3868</v>
      </c>
      <c r="F57" s="36">
        <f t="shared" si="4"/>
        <v>12.44</v>
      </c>
      <c r="G57" s="36"/>
      <c r="H57" s="36">
        <f t="shared" si="5"/>
        <v>0</v>
      </c>
      <c r="I57" s="36">
        <f t="shared" si="9"/>
        <v>0</v>
      </c>
      <c r="J57" s="36">
        <f t="shared" si="9"/>
        <v>0</v>
      </c>
      <c r="K57" s="36">
        <f t="shared" si="9"/>
        <v>12.44</v>
      </c>
      <c r="L57" s="36">
        <f t="shared" si="9"/>
        <v>0</v>
      </c>
      <c r="M57" s="36">
        <f t="shared" si="9"/>
        <v>0</v>
      </c>
      <c r="N57" s="36">
        <f t="shared" si="9"/>
        <v>0</v>
      </c>
      <c r="O57" s="36">
        <f t="shared" si="9"/>
        <v>0</v>
      </c>
      <c r="P57" s="36">
        <f t="shared" si="9"/>
        <v>0</v>
      </c>
      <c r="Q57" s="36">
        <f t="shared" si="9"/>
        <v>0</v>
      </c>
      <c r="R57" s="36">
        <f t="shared" si="9"/>
        <v>0</v>
      </c>
      <c r="S57" s="36">
        <f t="shared" si="9"/>
        <v>0</v>
      </c>
    </row>
    <row r="58" spans="1:19" ht="24" hidden="1" outlineLevel="1" x14ac:dyDescent="0.2">
      <c r="A58" s="449" t="s">
        <v>3260</v>
      </c>
      <c r="B58" s="449">
        <v>1.92</v>
      </c>
      <c r="C58" s="449" t="str">
        <f t="shared" si="7"/>
        <v>COBERTURA ABRIGOS</v>
      </c>
      <c r="D58" s="37" t="str">
        <f t="shared" si="6"/>
        <v>I30</v>
      </c>
      <c r="E58" s="38" t="s">
        <v>3865</v>
      </c>
      <c r="F58" s="36">
        <f t="shared" si="4"/>
        <v>1.92</v>
      </c>
      <c r="G58" s="36"/>
      <c r="H58" s="36">
        <f t="shared" si="5"/>
        <v>0</v>
      </c>
      <c r="I58" s="36">
        <f t="shared" si="9"/>
        <v>0</v>
      </c>
      <c r="J58" s="36">
        <f t="shared" si="9"/>
        <v>0</v>
      </c>
      <c r="K58" s="36">
        <f t="shared" si="9"/>
        <v>0</v>
      </c>
      <c r="L58" s="36">
        <f t="shared" si="9"/>
        <v>0</v>
      </c>
      <c r="M58" s="36">
        <f t="shared" si="9"/>
        <v>0</v>
      </c>
      <c r="N58" s="36">
        <f t="shared" si="9"/>
        <v>0</v>
      </c>
      <c r="O58" s="36">
        <f t="shared" si="9"/>
        <v>1.92</v>
      </c>
      <c r="P58" s="36">
        <f t="shared" si="9"/>
        <v>0</v>
      </c>
      <c r="Q58" s="36">
        <f t="shared" si="9"/>
        <v>0</v>
      </c>
      <c r="R58" s="36">
        <f t="shared" si="9"/>
        <v>0</v>
      </c>
      <c r="S58" s="36">
        <f t="shared" si="9"/>
        <v>0</v>
      </c>
    </row>
    <row r="59" spans="1:19" ht="24" hidden="1" outlineLevel="1" x14ac:dyDescent="0.2">
      <c r="A59" s="449" t="s">
        <v>3262</v>
      </c>
      <c r="B59" s="449">
        <v>7.98</v>
      </c>
      <c r="C59" s="449" t="str">
        <f t="shared" si="7"/>
        <v>COPA</v>
      </c>
      <c r="D59" s="37" t="str">
        <f t="shared" si="6"/>
        <v>E3</v>
      </c>
      <c r="E59" s="38" t="s">
        <v>3866</v>
      </c>
      <c r="F59" s="36">
        <f t="shared" si="4"/>
        <v>7.98</v>
      </c>
      <c r="G59" s="36"/>
      <c r="H59" s="36">
        <f t="shared" si="5"/>
        <v>7.98</v>
      </c>
      <c r="I59" s="36">
        <f t="shared" si="9"/>
        <v>0</v>
      </c>
      <c r="J59" s="36">
        <f t="shared" si="9"/>
        <v>0</v>
      </c>
      <c r="K59" s="36">
        <f t="shared" si="9"/>
        <v>0</v>
      </c>
      <c r="L59" s="36">
        <f t="shared" si="9"/>
        <v>0</v>
      </c>
      <c r="M59" s="36">
        <f t="shared" si="9"/>
        <v>0</v>
      </c>
      <c r="N59" s="36">
        <f t="shared" si="9"/>
        <v>0</v>
      </c>
      <c r="O59" s="36">
        <f t="shared" si="9"/>
        <v>0</v>
      </c>
      <c r="P59" s="36">
        <f t="shared" si="9"/>
        <v>0</v>
      </c>
      <c r="Q59" s="36">
        <f t="shared" si="9"/>
        <v>0</v>
      </c>
      <c r="R59" s="36">
        <f t="shared" si="9"/>
        <v>0</v>
      </c>
      <c r="S59" s="36">
        <f t="shared" si="9"/>
        <v>0</v>
      </c>
    </row>
    <row r="60" spans="1:19" ht="48" hidden="1" outlineLevel="1" x14ac:dyDescent="0.2">
      <c r="A60" s="449" t="s">
        <v>3773</v>
      </c>
      <c r="B60" s="449">
        <v>59.81</v>
      </c>
      <c r="C60" s="449" t="str">
        <f t="shared" si="7"/>
        <v>DECK</v>
      </c>
      <c r="D60" s="37" t="str">
        <f t="shared" si="6"/>
        <v>M44AE2</v>
      </c>
      <c r="E60" s="38" t="s">
        <v>3865</v>
      </c>
      <c r="F60" s="36">
        <f t="shared" si="4"/>
        <v>59.81</v>
      </c>
      <c r="G60" s="36"/>
      <c r="H60" s="36">
        <f t="shared" si="5"/>
        <v>0</v>
      </c>
      <c r="I60" s="36">
        <f t="shared" si="9"/>
        <v>0</v>
      </c>
      <c r="J60" s="36">
        <f t="shared" si="9"/>
        <v>0</v>
      </c>
      <c r="K60" s="36">
        <f t="shared" si="9"/>
        <v>0</v>
      </c>
      <c r="L60" s="36">
        <f t="shared" si="9"/>
        <v>0</v>
      </c>
      <c r="M60" s="36">
        <f t="shared" si="9"/>
        <v>0</v>
      </c>
      <c r="N60" s="36">
        <f t="shared" si="9"/>
        <v>0</v>
      </c>
      <c r="O60" s="36">
        <f t="shared" si="9"/>
        <v>0</v>
      </c>
      <c r="P60" s="36">
        <f t="shared" si="9"/>
        <v>59.81</v>
      </c>
      <c r="Q60" s="36">
        <f t="shared" si="9"/>
        <v>0</v>
      </c>
      <c r="R60" s="36">
        <f t="shared" si="9"/>
        <v>0</v>
      </c>
      <c r="S60" s="36">
        <f t="shared" si="9"/>
        <v>0</v>
      </c>
    </row>
    <row r="61" spans="1:19" ht="24" hidden="1" outlineLevel="1" x14ac:dyDescent="0.2">
      <c r="A61" s="449" t="s">
        <v>3235</v>
      </c>
      <c r="B61" s="449">
        <v>26.56</v>
      </c>
      <c r="C61" s="449" t="str">
        <f t="shared" si="7"/>
        <v>DEPOSITO LIXO</v>
      </c>
      <c r="D61" s="37" t="str">
        <f t="shared" si="6"/>
        <v>C3</v>
      </c>
      <c r="E61" s="38" t="s">
        <v>3866</v>
      </c>
      <c r="F61" s="36">
        <f t="shared" si="4"/>
        <v>26.56</v>
      </c>
      <c r="G61" s="36"/>
      <c r="H61" s="36">
        <f t="shared" si="5"/>
        <v>0</v>
      </c>
      <c r="I61" s="36">
        <f t="shared" si="9"/>
        <v>0</v>
      </c>
      <c r="J61" s="36">
        <f t="shared" si="9"/>
        <v>0</v>
      </c>
      <c r="K61" s="36">
        <f t="shared" si="9"/>
        <v>26.56</v>
      </c>
      <c r="L61" s="36">
        <f t="shared" si="9"/>
        <v>0</v>
      </c>
      <c r="M61" s="36">
        <f t="shared" si="9"/>
        <v>0</v>
      </c>
      <c r="N61" s="36">
        <f t="shared" si="9"/>
        <v>0</v>
      </c>
      <c r="O61" s="36">
        <f t="shared" si="9"/>
        <v>0</v>
      </c>
      <c r="P61" s="36">
        <f t="shared" si="9"/>
        <v>0</v>
      </c>
      <c r="Q61" s="36">
        <f t="shared" si="9"/>
        <v>0</v>
      </c>
      <c r="R61" s="36">
        <f t="shared" si="9"/>
        <v>0</v>
      </c>
      <c r="S61" s="36">
        <f t="shared" si="9"/>
        <v>0</v>
      </c>
    </row>
    <row r="62" spans="1:19" ht="36" hidden="1" outlineLevel="1" x14ac:dyDescent="0.2">
      <c r="A62" s="449" t="s">
        <v>3245</v>
      </c>
      <c r="B62" s="449">
        <v>4.53</v>
      </c>
      <c r="C62" s="449" t="str">
        <f t="shared" si="7"/>
        <v>TAMPA RESERVATÓRIO ESCOAMENTO</v>
      </c>
      <c r="D62" s="37" t="str">
        <f t="shared" si="6"/>
        <v>E2</v>
      </c>
      <c r="E62" s="38" t="s">
        <v>3868</v>
      </c>
      <c r="F62" s="36">
        <f t="shared" si="4"/>
        <v>4.53</v>
      </c>
      <c r="G62" s="36"/>
      <c r="H62" s="36">
        <f t="shared" si="5"/>
        <v>0</v>
      </c>
      <c r="I62" s="36">
        <f t="shared" si="9"/>
        <v>0</v>
      </c>
      <c r="J62" s="36">
        <f t="shared" si="9"/>
        <v>0</v>
      </c>
      <c r="K62" s="36">
        <f t="shared" si="9"/>
        <v>0</v>
      </c>
      <c r="L62" s="36">
        <f t="shared" si="9"/>
        <v>0</v>
      </c>
      <c r="M62" s="36">
        <f t="shared" si="9"/>
        <v>0</v>
      </c>
      <c r="N62" s="36">
        <f t="shared" si="9"/>
        <v>0</v>
      </c>
      <c r="O62" s="36">
        <f t="shared" si="9"/>
        <v>0</v>
      </c>
      <c r="P62" s="36">
        <f t="shared" si="9"/>
        <v>0</v>
      </c>
      <c r="Q62" s="36">
        <f t="shared" si="9"/>
        <v>4.53</v>
      </c>
      <c r="R62" s="36">
        <f t="shared" si="9"/>
        <v>0</v>
      </c>
      <c r="S62" s="36">
        <f t="shared" si="9"/>
        <v>0</v>
      </c>
    </row>
    <row r="63" spans="1:19" ht="36" hidden="1" outlineLevel="1" x14ac:dyDescent="0.2">
      <c r="A63" s="449" t="s">
        <v>3246</v>
      </c>
      <c r="B63" s="449">
        <v>18.89</v>
      </c>
      <c r="C63" s="449" t="str">
        <f t="shared" si="7"/>
        <v>TAMPA RESERVATÓRIO INFERIOR 2</v>
      </c>
      <c r="D63" s="37" t="str">
        <f t="shared" si="6"/>
        <v>E2</v>
      </c>
      <c r="E63" s="38" t="s">
        <v>3868</v>
      </c>
      <c r="F63" s="36">
        <f t="shared" si="4"/>
        <v>18.89</v>
      </c>
      <c r="G63" s="36"/>
      <c r="H63" s="36">
        <f t="shared" si="5"/>
        <v>0</v>
      </c>
      <c r="I63" s="36">
        <f t="shared" ref="I63:S77" si="10">SUMIF($D63,I$10,$B63)</f>
        <v>0</v>
      </c>
      <c r="J63" s="36">
        <f t="shared" si="10"/>
        <v>0</v>
      </c>
      <c r="K63" s="36">
        <f t="shared" si="10"/>
        <v>0</v>
      </c>
      <c r="L63" s="36">
        <f t="shared" si="10"/>
        <v>0</v>
      </c>
      <c r="M63" s="36">
        <f t="shared" si="10"/>
        <v>0</v>
      </c>
      <c r="N63" s="36">
        <f t="shared" si="10"/>
        <v>0</v>
      </c>
      <c r="O63" s="36">
        <f t="shared" si="10"/>
        <v>0</v>
      </c>
      <c r="P63" s="36">
        <f t="shared" si="10"/>
        <v>0</v>
      </c>
      <c r="Q63" s="36">
        <f t="shared" si="10"/>
        <v>18.89</v>
      </c>
      <c r="R63" s="36">
        <f t="shared" si="10"/>
        <v>0</v>
      </c>
      <c r="S63" s="36">
        <f t="shared" si="10"/>
        <v>0</v>
      </c>
    </row>
    <row r="64" spans="1:19" ht="36" hidden="1" outlineLevel="1" x14ac:dyDescent="0.2">
      <c r="A64" s="449" t="s">
        <v>3247</v>
      </c>
      <c r="B64" s="449">
        <v>4.34</v>
      </c>
      <c r="C64" s="449" t="str">
        <f t="shared" si="7"/>
        <v>TAMPA RESERVATÓRIO REAPROV. PLUVIAL</v>
      </c>
      <c r="D64" s="37" t="str">
        <f t="shared" si="6"/>
        <v>E2</v>
      </c>
      <c r="E64" s="38" t="s">
        <v>3868</v>
      </c>
      <c r="F64" s="36">
        <f t="shared" si="4"/>
        <v>4.34</v>
      </c>
      <c r="G64" s="36"/>
      <c r="H64" s="36">
        <f t="shared" si="5"/>
        <v>0</v>
      </c>
      <c r="I64" s="36">
        <f t="shared" si="10"/>
        <v>0</v>
      </c>
      <c r="J64" s="36">
        <f t="shared" si="10"/>
        <v>0</v>
      </c>
      <c r="K64" s="36">
        <f t="shared" si="10"/>
        <v>0</v>
      </c>
      <c r="L64" s="36">
        <f t="shared" si="10"/>
        <v>0</v>
      </c>
      <c r="M64" s="36">
        <f t="shared" si="10"/>
        <v>0</v>
      </c>
      <c r="N64" s="36">
        <f t="shared" si="10"/>
        <v>0</v>
      </c>
      <c r="O64" s="36">
        <f t="shared" si="10"/>
        <v>0</v>
      </c>
      <c r="P64" s="36">
        <f t="shared" si="10"/>
        <v>0</v>
      </c>
      <c r="Q64" s="36">
        <f t="shared" si="10"/>
        <v>4.34</v>
      </c>
      <c r="R64" s="36">
        <f t="shared" si="10"/>
        <v>0</v>
      </c>
      <c r="S64" s="36">
        <f t="shared" si="10"/>
        <v>0</v>
      </c>
    </row>
    <row r="65" spans="1:19" ht="24" hidden="1" outlineLevel="1" x14ac:dyDescent="0.2">
      <c r="A65" s="449" t="s">
        <v>3664</v>
      </c>
      <c r="B65" s="449">
        <v>5</v>
      </c>
      <c r="C65" s="449" t="str">
        <f t="shared" si="7"/>
        <v>ESPAÇO GOURMET</v>
      </c>
      <c r="D65" s="37" t="str">
        <f t="shared" si="6"/>
        <v>E3</v>
      </c>
      <c r="E65" s="38" t="s">
        <v>3866</v>
      </c>
      <c r="F65" s="36">
        <f t="shared" si="4"/>
        <v>5</v>
      </c>
      <c r="G65" s="36"/>
      <c r="H65" s="36">
        <f t="shared" si="5"/>
        <v>5</v>
      </c>
      <c r="I65" s="36">
        <f t="shared" si="10"/>
        <v>0</v>
      </c>
      <c r="J65" s="36">
        <f t="shared" si="10"/>
        <v>0</v>
      </c>
      <c r="K65" s="36">
        <f t="shared" si="10"/>
        <v>0</v>
      </c>
      <c r="L65" s="36">
        <f t="shared" si="10"/>
        <v>0</v>
      </c>
      <c r="M65" s="36">
        <f t="shared" si="10"/>
        <v>0</v>
      </c>
      <c r="N65" s="36">
        <f t="shared" si="10"/>
        <v>0</v>
      </c>
      <c r="O65" s="36">
        <f t="shared" si="10"/>
        <v>0</v>
      </c>
      <c r="P65" s="36">
        <f t="shared" si="10"/>
        <v>0</v>
      </c>
      <c r="Q65" s="36">
        <f t="shared" si="10"/>
        <v>0</v>
      </c>
      <c r="R65" s="36">
        <f t="shared" si="10"/>
        <v>0</v>
      </c>
      <c r="S65" s="36">
        <f t="shared" si="10"/>
        <v>0</v>
      </c>
    </row>
    <row r="66" spans="1:19" ht="24" hidden="1" outlineLevel="1" x14ac:dyDescent="0.2">
      <c r="A66" s="449" t="s">
        <v>3387</v>
      </c>
      <c r="B66" s="449">
        <v>6.52</v>
      </c>
      <c r="C66" s="449" t="str">
        <f t="shared" si="7"/>
        <v>LAVABO</v>
      </c>
      <c r="D66" s="37" t="str">
        <f t="shared" si="6"/>
        <v>E3</v>
      </c>
      <c r="E66" s="38" t="s">
        <v>3866</v>
      </c>
      <c r="F66" s="36">
        <f t="shared" si="4"/>
        <v>6.52</v>
      </c>
      <c r="G66" s="36"/>
      <c r="H66" s="36">
        <f t="shared" si="5"/>
        <v>6.52</v>
      </c>
      <c r="I66" s="36">
        <f t="shared" si="10"/>
        <v>0</v>
      </c>
      <c r="J66" s="36">
        <f t="shared" si="10"/>
        <v>0</v>
      </c>
      <c r="K66" s="36">
        <f t="shared" si="10"/>
        <v>0</v>
      </c>
      <c r="L66" s="36">
        <f t="shared" si="10"/>
        <v>0</v>
      </c>
      <c r="M66" s="36">
        <f t="shared" si="10"/>
        <v>0</v>
      </c>
      <c r="N66" s="36">
        <f t="shared" si="10"/>
        <v>0</v>
      </c>
      <c r="O66" s="36">
        <f t="shared" si="10"/>
        <v>0</v>
      </c>
      <c r="P66" s="36">
        <f t="shared" si="10"/>
        <v>0</v>
      </c>
      <c r="Q66" s="36">
        <f t="shared" si="10"/>
        <v>0</v>
      </c>
      <c r="R66" s="36">
        <f t="shared" si="10"/>
        <v>0</v>
      </c>
      <c r="S66" s="36">
        <f t="shared" si="10"/>
        <v>0</v>
      </c>
    </row>
    <row r="67" spans="1:19" ht="24" hidden="1" outlineLevel="1" x14ac:dyDescent="0.2">
      <c r="A67" s="449" t="s">
        <v>3666</v>
      </c>
      <c r="B67" s="449">
        <v>4.18</v>
      </c>
      <c r="C67" s="449" t="str">
        <f t="shared" si="7"/>
        <v>LAVABO 01</v>
      </c>
      <c r="D67" s="37" t="str">
        <f t="shared" si="6"/>
        <v>E3</v>
      </c>
      <c r="E67" s="38" t="s">
        <v>3866</v>
      </c>
      <c r="F67" s="36">
        <f t="shared" si="4"/>
        <v>4.18</v>
      </c>
      <c r="G67" s="36"/>
      <c r="H67" s="36">
        <f t="shared" si="5"/>
        <v>4.18</v>
      </c>
      <c r="I67" s="36">
        <f t="shared" si="10"/>
        <v>0</v>
      </c>
      <c r="J67" s="36">
        <f t="shared" si="10"/>
        <v>0</v>
      </c>
      <c r="K67" s="36">
        <f t="shared" si="10"/>
        <v>0</v>
      </c>
      <c r="L67" s="36">
        <f t="shared" si="10"/>
        <v>0</v>
      </c>
      <c r="M67" s="36">
        <f t="shared" si="10"/>
        <v>0</v>
      </c>
      <c r="N67" s="36">
        <f t="shared" si="10"/>
        <v>0</v>
      </c>
      <c r="O67" s="36">
        <f t="shared" si="10"/>
        <v>0</v>
      </c>
      <c r="P67" s="36">
        <f t="shared" si="10"/>
        <v>0</v>
      </c>
      <c r="Q67" s="36">
        <f t="shared" si="10"/>
        <v>0</v>
      </c>
      <c r="R67" s="36">
        <f t="shared" si="10"/>
        <v>0</v>
      </c>
      <c r="S67" s="36">
        <f t="shared" si="10"/>
        <v>0</v>
      </c>
    </row>
    <row r="68" spans="1:19" ht="24" hidden="1" outlineLevel="1" x14ac:dyDescent="0.2">
      <c r="A68" s="449" t="s">
        <v>3668</v>
      </c>
      <c r="B68" s="449">
        <v>5.58</v>
      </c>
      <c r="C68" s="449" t="str">
        <f t="shared" si="7"/>
        <v>LAVABO 02</v>
      </c>
      <c r="D68" s="37" t="str">
        <f t="shared" si="6"/>
        <v>E3</v>
      </c>
      <c r="E68" s="38" t="s">
        <v>3866</v>
      </c>
      <c r="F68" s="36">
        <f t="shared" si="4"/>
        <v>5.58</v>
      </c>
      <c r="G68" s="36"/>
      <c r="H68" s="36">
        <f t="shared" si="5"/>
        <v>5.58</v>
      </c>
      <c r="I68" s="36">
        <f t="shared" si="10"/>
        <v>0</v>
      </c>
      <c r="J68" s="36">
        <f t="shared" si="10"/>
        <v>0</v>
      </c>
      <c r="K68" s="36">
        <f t="shared" si="10"/>
        <v>0</v>
      </c>
      <c r="L68" s="36">
        <f t="shared" si="10"/>
        <v>0</v>
      </c>
      <c r="M68" s="36">
        <f t="shared" si="10"/>
        <v>0</v>
      </c>
      <c r="N68" s="36">
        <f t="shared" si="10"/>
        <v>0</v>
      </c>
      <c r="O68" s="36">
        <f t="shared" si="10"/>
        <v>0</v>
      </c>
      <c r="P68" s="36">
        <f t="shared" si="10"/>
        <v>0</v>
      </c>
      <c r="Q68" s="36">
        <f t="shared" si="10"/>
        <v>0</v>
      </c>
      <c r="R68" s="36">
        <f t="shared" si="10"/>
        <v>0</v>
      </c>
      <c r="S68" s="36">
        <f t="shared" si="10"/>
        <v>0</v>
      </c>
    </row>
    <row r="69" spans="1:19" ht="24" hidden="1" outlineLevel="1" x14ac:dyDescent="0.2">
      <c r="A69" s="449" t="s">
        <v>3670</v>
      </c>
      <c r="B69" s="449">
        <v>3.05</v>
      </c>
      <c r="C69" s="449" t="str">
        <f t="shared" si="7"/>
        <v>LAVABO 03</v>
      </c>
      <c r="D69" s="37" t="str">
        <f t="shared" si="6"/>
        <v>E3</v>
      </c>
      <c r="E69" s="38" t="s">
        <v>3866</v>
      </c>
      <c r="F69" s="36">
        <f t="shared" si="4"/>
        <v>3.05</v>
      </c>
      <c r="G69" s="36"/>
      <c r="H69" s="36">
        <f t="shared" si="5"/>
        <v>3.05</v>
      </c>
      <c r="I69" s="36">
        <f t="shared" si="10"/>
        <v>0</v>
      </c>
      <c r="J69" s="36">
        <f t="shared" si="10"/>
        <v>0</v>
      </c>
      <c r="K69" s="36">
        <f t="shared" si="10"/>
        <v>0</v>
      </c>
      <c r="L69" s="36">
        <f t="shared" si="10"/>
        <v>0</v>
      </c>
      <c r="M69" s="36">
        <f t="shared" si="10"/>
        <v>0</v>
      </c>
      <c r="N69" s="36">
        <f t="shared" si="10"/>
        <v>0</v>
      </c>
      <c r="O69" s="36">
        <f t="shared" si="10"/>
        <v>0</v>
      </c>
      <c r="P69" s="36">
        <f t="shared" si="10"/>
        <v>0</v>
      </c>
      <c r="Q69" s="36">
        <f t="shared" si="10"/>
        <v>0</v>
      </c>
      <c r="R69" s="36">
        <f t="shared" si="10"/>
        <v>0</v>
      </c>
      <c r="S69" s="36">
        <f t="shared" si="10"/>
        <v>0</v>
      </c>
    </row>
    <row r="70" spans="1:19" ht="24" hidden="1" outlineLevel="1" x14ac:dyDescent="0.2">
      <c r="A70" s="449" t="s">
        <v>3264</v>
      </c>
      <c r="B70" s="449">
        <v>13.64</v>
      </c>
      <c r="C70" s="449" t="str">
        <f t="shared" si="7"/>
        <v>LAVANDERIA</v>
      </c>
      <c r="D70" s="37" t="str">
        <f t="shared" si="6"/>
        <v>E3</v>
      </c>
      <c r="E70" s="38" t="s">
        <v>3866</v>
      </c>
      <c r="F70" s="36">
        <f t="shared" si="4"/>
        <v>13.64</v>
      </c>
      <c r="G70" s="36"/>
      <c r="H70" s="36">
        <f t="shared" si="5"/>
        <v>13.64</v>
      </c>
      <c r="I70" s="36">
        <f t="shared" si="10"/>
        <v>0</v>
      </c>
      <c r="J70" s="36">
        <f t="shared" si="10"/>
        <v>0</v>
      </c>
      <c r="K70" s="36">
        <f t="shared" si="10"/>
        <v>0</v>
      </c>
      <c r="L70" s="36">
        <f t="shared" si="10"/>
        <v>0</v>
      </c>
      <c r="M70" s="36">
        <f t="shared" si="10"/>
        <v>0</v>
      </c>
      <c r="N70" s="36">
        <f t="shared" si="10"/>
        <v>0</v>
      </c>
      <c r="O70" s="36">
        <f t="shared" si="10"/>
        <v>0</v>
      </c>
      <c r="P70" s="36">
        <f t="shared" si="10"/>
        <v>0</v>
      </c>
      <c r="Q70" s="36">
        <f t="shared" si="10"/>
        <v>0</v>
      </c>
      <c r="R70" s="36">
        <f t="shared" si="10"/>
        <v>0</v>
      </c>
      <c r="S70" s="36">
        <f t="shared" si="10"/>
        <v>0</v>
      </c>
    </row>
    <row r="71" spans="1:19" ht="24" hidden="1" outlineLevel="1" x14ac:dyDescent="0.2">
      <c r="A71" s="449" t="s">
        <v>3775</v>
      </c>
      <c r="B71" s="449">
        <v>15.03</v>
      </c>
      <c r="C71" s="449" t="str">
        <f t="shared" si="7"/>
        <v>SPA</v>
      </c>
      <c r="D71" s="37" t="str">
        <f t="shared" si="6"/>
        <v>E3</v>
      </c>
      <c r="E71" s="38" t="s">
        <v>3866</v>
      </c>
      <c r="F71" s="36">
        <f t="shared" si="4"/>
        <v>15.03</v>
      </c>
      <c r="G71" s="36"/>
      <c r="H71" s="36">
        <f t="shared" si="5"/>
        <v>15.03</v>
      </c>
      <c r="I71" s="36">
        <f t="shared" si="10"/>
        <v>0</v>
      </c>
      <c r="J71" s="36">
        <f t="shared" si="10"/>
        <v>0</v>
      </c>
      <c r="K71" s="36">
        <f t="shared" si="10"/>
        <v>0</v>
      </c>
      <c r="L71" s="36">
        <f t="shared" si="10"/>
        <v>0</v>
      </c>
      <c r="M71" s="36">
        <f t="shared" si="10"/>
        <v>0</v>
      </c>
      <c r="N71" s="36">
        <f t="shared" si="10"/>
        <v>0</v>
      </c>
      <c r="O71" s="36">
        <f t="shared" si="10"/>
        <v>0</v>
      </c>
      <c r="P71" s="36">
        <f t="shared" si="10"/>
        <v>0</v>
      </c>
      <c r="Q71" s="36">
        <f t="shared" si="10"/>
        <v>0</v>
      </c>
      <c r="R71" s="36">
        <f t="shared" si="10"/>
        <v>0</v>
      </c>
      <c r="S71" s="36">
        <f t="shared" si="10"/>
        <v>0</v>
      </c>
    </row>
    <row r="72" spans="1:19" ht="24" hidden="1" outlineLevel="1" x14ac:dyDescent="0.2">
      <c r="A72" s="449" t="s">
        <v>3347</v>
      </c>
      <c r="B72" s="449">
        <v>83.76</v>
      </c>
      <c r="C72" s="449" t="str">
        <f t="shared" si="7"/>
        <v>TERRAÇO 01</v>
      </c>
      <c r="D72" s="37" t="str">
        <f t="shared" si="6"/>
        <v>E3</v>
      </c>
      <c r="E72" s="38" t="s">
        <v>3865</v>
      </c>
      <c r="F72" s="36">
        <f t="shared" si="4"/>
        <v>83.76</v>
      </c>
      <c r="G72" s="36"/>
      <c r="H72" s="36">
        <f t="shared" si="5"/>
        <v>83.76</v>
      </c>
      <c r="I72" s="36">
        <f t="shared" si="10"/>
        <v>0</v>
      </c>
      <c r="J72" s="36">
        <f t="shared" si="10"/>
        <v>0</v>
      </c>
      <c r="K72" s="36">
        <f t="shared" si="10"/>
        <v>0</v>
      </c>
      <c r="L72" s="36">
        <f t="shared" si="10"/>
        <v>0</v>
      </c>
      <c r="M72" s="36">
        <f t="shared" si="10"/>
        <v>0</v>
      </c>
      <c r="N72" s="36">
        <f t="shared" si="10"/>
        <v>0</v>
      </c>
      <c r="O72" s="36">
        <f t="shared" si="10"/>
        <v>0</v>
      </c>
      <c r="P72" s="36">
        <f t="shared" si="10"/>
        <v>0</v>
      </c>
      <c r="Q72" s="36">
        <f t="shared" si="10"/>
        <v>0</v>
      </c>
      <c r="R72" s="36">
        <f t="shared" si="10"/>
        <v>0</v>
      </c>
      <c r="S72" s="36">
        <f t="shared" si="10"/>
        <v>0</v>
      </c>
    </row>
    <row r="73" spans="1:19" ht="24" hidden="1" outlineLevel="1" x14ac:dyDescent="0.2">
      <c r="A73" s="449" t="s">
        <v>3349</v>
      </c>
      <c r="B73" s="449">
        <v>120.91</v>
      </c>
      <c r="C73" s="449" t="str">
        <f t="shared" si="7"/>
        <v>TERRAÇO 02</v>
      </c>
      <c r="D73" s="37" t="str">
        <f t="shared" si="6"/>
        <v>E3</v>
      </c>
      <c r="E73" s="38" t="s">
        <v>3865</v>
      </c>
      <c r="F73" s="36">
        <f t="shared" si="4"/>
        <v>120.91</v>
      </c>
      <c r="G73" s="36"/>
      <c r="H73" s="36">
        <f t="shared" si="5"/>
        <v>120.91</v>
      </c>
      <c r="I73" s="36">
        <f t="shared" si="10"/>
        <v>0</v>
      </c>
      <c r="J73" s="36">
        <f t="shared" si="10"/>
        <v>0</v>
      </c>
      <c r="K73" s="36">
        <f t="shared" si="10"/>
        <v>0</v>
      </c>
      <c r="L73" s="36">
        <f t="shared" si="10"/>
        <v>0</v>
      </c>
      <c r="M73" s="36">
        <f t="shared" si="10"/>
        <v>0</v>
      </c>
      <c r="N73" s="36">
        <f t="shared" si="10"/>
        <v>0</v>
      </c>
      <c r="O73" s="36">
        <f t="shared" si="10"/>
        <v>0</v>
      </c>
      <c r="P73" s="36">
        <f t="shared" si="10"/>
        <v>0</v>
      </c>
      <c r="Q73" s="36">
        <f t="shared" si="10"/>
        <v>0</v>
      </c>
      <c r="R73" s="36">
        <f t="shared" si="10"/>
        <v>0</v>
      </c>
      <c r="S73" s="36">
        <f t="shared" si="10"/>
        <v>0</v>
      </c>
    </row>
    <row r="74" spans="1:19" ht="24" hidden="1" outlineLevel="1" x14ac:dyDescent="0.2">
      <c r="A74" s="449" t="s">
        <v>3351</v>
      </c>
      <c r="B74" s="449">
        <v>55.7</v>
      </c>
      <c r="C74" s="449" t="str">
        <f t="shared" si="7"/>
        <v>TERRAÇO 03</v>
      </c>
      <c r="D74" s="37" t="str">
        <f t="shared" si="6"/>
        <v>E3</v>
      </c>
      <c r="E74" s="38" t="s">
        <v>3865</v>
      </c>
      <c r="F74" s="36">
        <f t="shared" si="4"/>
        <v>55.7</v>
      </c>
      <c r="G74" s="36"/>
      <c r="H74" s="36">
        <f t="shared" si="5"/>
        <v>55.7</v>
      </c>
      <c r="I74" s="36">
        <f t="shared" si="10"/>
        <v>0</v>
      </c>
      <c r="J74" s="36">
        <f t="shared" si="10"/>
        <v>0</v>
      </c>
      <c r="K74" s="36">
        <f t="shared" si="10"/>
        <v>0</v>
      </c>
      <c r="L74" s="36">
        <f t="shared" si="10"/>
        <v>0</v>
      </c>
      <c r="M74" s="36">
        <f t="shared" si="10"/>
        <v>0</v>
      </c>
      <c r="N74" s="36">
        <f t="shared" si="10"/>
        <v>0</v>
      </c>
      <c r="O74" s="36">
        <f t="shared" si="10"/>
        <v>0</v>
      </c>
      <c r="P74" s="36">
        <f t="shared" si="10"/>
        <v>0</v>
      </c>
      <c r="Q74" s="36">
        <f t="shared" si="10"/>
        <v>0</v>
      </c>
      <c r="R74" s="36">
        <f t="shared" si="10"/>
        <v>0</v>
      </c>
      <c r="S74" s="36">
        <f t="shared" si="10"/>
        <v>0</v>
      </c>
    </row>
    <row r="75" spans="1:19" ht="24" hidden="1" outlineLevel="1" x14ac:dyDescent="0.2">
      <c r="A75" s="449" t="s">
        <v>3353</v>
      </c>
      <c r="B75" s="449">
        <v>94.22</v>
      </c>
      <c r="C75" s="449" t="str">
        <f t="shared" si="7"/>
        <v>TERRAÇO 04</v>
      </c>
      <c r="D75" s="37" t="str">
        <f t="shared" si="6"/>
        <v>E3</v>
      </c>
      <c r="E75" s="38" t="s">
        <v>3865</v>
      </c>
      <c r="F75" s="36">
        <f t="shared" si="4"/>
        <v>94.22</v>
      </c>
      <c r="G75" s="36"/>
      <c r="H75" s="36">
        <f t="shared" si="5"/>
        <v>94.22</v>
      </c>
      <c r="I75" s="36">
        <f t="shared" si="10"/>
        <v>0</v>
      </c>
      <c r="J75" s="36">
        <f t="shared" si="10"/>
        <v>0</v>
      </c>
      <c r="K75" s="36">
        <f t="shared" si="10"/>
        <v>0</v>
      </c>
      <c r="L75" s="36">
        <f t="shared" si="10"/>
        <v>0</v>
      </c>
      <c r="M75" s="36">
        <f t="shared" si="10"/>
        <v>0</v>
      </c>
      <c r="N75" s="36">
        <f t="shared" si="10"/>
        <v>0</v>
      </c>
      <c r="O75" s="36">
        <f t="shared" si="10"/>
        <v>0</v>
      </c>
      <c r="P75" s="36">
        <f t="shared" si="10"/>
        <v>0</v>
      </c>
      <c r="Q75" s="36">
        <f t="shared" si="10"/>
        <v>0</v>
      </c>
      <c r="R75" s="36">
        <f t="shared" si="10"/>
        <v>0</v>
      </c>
      <c r="S75" s="36">
        <f t="shared" si="10"/>
        <v>0</v>
      </c>
    </row>
    <row r="76" spans="1:19" ht="24" hidden="1" outlineLevel="1" x14ac:dyDescent="0.2">
      <c r="A76" s="449" t="s">
        <v>3355</v>
      </c>
      <c r="B76" s="449">
        <v>22.28</v>
      </c>
      <c r="C76" s="449" t="str">
        <f t="shared" si="7"/>
        <v>TERRAÇO 05</v>
      </c>
      <c r="D76" s="37" t="str">
        <f t="shared" si="6"/>
        <v>E3</v>
      </c>
      <c r="E76" s="38" t="s">
        <v>3865</v>
      </c>
      <c r="F76" s="36">
        <f t="shared" si="4"/>
        <v>22.28</v>
      </c>
      <c r="G76" s="36"/>
      <c r="H76" s="36">
        <f t="shared" si="5"/>
        <v>22.28</v>
      </c>
      <c r="I76" s="36">
        <f t="shared" si="10"/>
        <v>0</v>
      </c>
      <c r="J76" s="36">
        <f t="shared" si="10"/>
        <v>0</v>
      </c>
      <c r="K76" s="36">
        <f t="shared" si="10"/>
        <v>0</v>
      </c>
      <c r="L76" s="36">
        <f t="shared" si="10"/>
        <v>0</v>
      </c>
      <c r="M76" s="36">
        <f t="shared" si="10"/>
        <v>0</v>
      </c>
      <c r="N76" s="36">
        <f t="shared" si="10"/>
        <v>0</v>
      </c>
      <c r="O76" s="36">
        <f t="shared" si="10"/>
        <v>0</v>
      </c>
      <c r="P76" s="36">
        <f t="shared" si="10"/>
        <v>0</v>
      </c>
      <c r="Q76" s="36">
        <f t="shared" si="10"/>
        <v>0</v>
      </c>
      <c r="R76" s="36">
        <f t="shared" si="10"/>
        <v>0</v>
      </c>
      <c r="S76" s="36">
        <f t="shared" si="10"/>
        <v>0</v>
      </c>
    </row>
    <row r="77" spans="1:19" ht="24" hidden="1" outlineLevel="1" x14ac:dyDescent="0.2">
      <c r="A77" s="449" t="s">
        <v>3357</v>
      </c>
      <c r="B77" s="449">
        <v>7.42</v>
      </c>
      <c r="C77" s="449" t="str">
        <f t="shared" si="7"/>
        <v>TERRAÇO 06</v>
      </c>
      <c r="D77" s="37" t="str">
        <f t="shared" si="6"/>
        <v>E3</v>
      </c>
      <c r="E77" s="38" t="s">
        <v>3865</v>
      </c>
      <c r="F77" s="36">
        <f t="shared" si="4"/>
        <v>7.42</v>
      </c>
      <c r="G77" s="36"/>
      <c r="H77" s="36">
        <f t="shared" si="5"/>
        <v>7.42</v>
      </c>
      <c r="I77" s="36">
        <f t="shared" si="10"/>
        <v>0</v>
      </c>
      <c r="J77" s="36">
        <f t="shared" si="10"/>
        <v>0</v>
      </c>
      <c r="K77" s="36">
        <f t="shared" si="10"/>
        <v>0</v>
      </c>
      <c r="L77" s="36">
        <f t="shared" si="10"/>
        <v>0</v>
      </c>
      <c r="M77" s="36">
        <f t="shared" si="10"/>
        <v>0</v>
      </c>
      <c r="N77" s="36">
        <f t="shared" si="10"/>
        <v>0</v>
      </c>
      <c r="O77" s="36">
        <f t="shared" si="10"/>
        <v>0</v>
      </c>
      <c r="P77" s="36">
        <f t="shared" si="10"/>
        <v>0</v>
      </c>
      <c r="Q77" s="36">
        <f t="shared" si="10"/>
        <v>0</v>
      </c>
      <c r="R77" s="36">
        <f t="shared" si="10"/>
        <v>0</v>
      </c>
      <c r="S77" s="36">
        <f t="shared" si="10"/>
        <v>0</v>
      </c>
    </row>
    <row r="78" spans="1:19" ht="24" hidden="1" outlineLevel="1" x14ac:dyDescent="0.2">
      <c r="A78" s="449" t="s">
        <v>3304</v>
      </c>
      <c r="B78" s="449">
        <v>3.05</v>
      </c>
      <c r="C78" s="449" t="str">
        <f t="shared" si="7"/>
        <v>WC PNE</v>
      </c>
      <c r="D78" s="37" t="str">
        <f t="shared" si="6"/>
        <v>E3</v>
      </c>
      <c r="E78" s="38" t="s">
        <v>3866</v>
      </c>
      <c r="F78" s="36">
        <f t="shared" ref="F78:F141" si="11">B78</f>
        <v>3.05</v>
      </c>
      <c r="G78" s="36"/>
      <c r="H78" s="36">
        <f t="shared" ref="H78:S141" si="12">SUMIF($D78,H$10,$B78)</f>
        <v>3.05</v>
      </c>
      <c r="I78" s="36">
        <f t="shared" si="12"/>
        <v>0</v>
      </c>
      <c r="J78" s="36">
        <f t="shared" si="12"/>
        <v>0</v>
      </c>
      <c r="K78" s="36">
        <f t="shared" si="12"/>
        <v>0</v>
      </c>
      <c r="L78" s="36">
        <f t="shared" si="12"/>
        <v>0</v>
      </c>
      <c r="M78" s="36">
        <f t="shared" si="12"/>
        <v>0</v>
      </c>
      <c r="N78" s="36">
        <f t="shared" si="12"/>
        <v>0</v>
      </c>
      <c r="O78" s="36">
        <f t="shared" si="12"/>
        <v>0</v>
      </c>
      <c r="P78" s="36">
        <f t="shared" si="12"/>
        <v>0</v>
      </c>
      <c r="Q78" s="36">
        <f t="shared" si="12"/>
        <v>0</v>
      </c>
      <c r="R78" s="36">
        <f t="shared" si="12"/>
        <v>0</v>
      </c>
      <c r="S78" s="36">
        <f t="shared" si="12"/>
        <v>0</v>
      </c>
    </row>
    <row r="79" spans="1:19" ht="24" hidden="1" outlineLevel="1" x14ac:dyDescent="0.2">
      <c r="A79" s="449" t="s">
        <v>3266</v>
      </c>
      <c r="B79" s="449">
        <v>6.42</v>
      </c>
      <c r="C79" s="449" t="str">
        <f t="shared" si="7"/>
        <v>WC PNE 01</v>
      </c>
      <c r="D79" s="37" t="str">
        <f t="shared" ref="D79:D142" si="13">TRIM(LEFT(A79,FIND("-",A79)-1))</f>
        <v>E3</v>
      </c>
      <c r="E79" s="38" t="s">
        <v>3866</v>
      </c>
      <c r="F79" s="36">
        <f t="shared" si="11"/>
        <v>6.42</v>
      </c>
      <c r="G79" s="36"/>
      <c r="H79" s="36">
        <f t="shared" si="12"/>
        <v>6.42</v>
      </c>
      <c r="I79" s="36">
        <f t="shared" si="12"/>
        <v>0</v>
      </c>
      <c r="J79" s="36">
        <f t="shared" si="12"/>
        <v>0</v>
      </c>
      <c r="K79" s="36">
        <f t="shared" si="12"/>
        <v>0</v>
      </c>
      <c r="L79" s="36">
        <f t="shared" si="12"/>
        <v>0</v>
      </c>
      <c r="M79" s="36">
        <f t="shared" si="12"/>
        <v>0</v>
      </c>
      <c r="N79" s="36">
        <f t="shared" si="12"/>
        <v>0</v>
      </c>
      <c r="O79" s="36">
        <f t="shared" si="12"/>
        <v>0</v>
      </c>
      <c r="P79" s="36">
        <f t="shared" si="12"/>
        <v>0</v>
      </c>
      <c r="Q79" s="36">
        <f t="shared" si="12"/>
        <v>0</v>
      </c>
      <c r="R79" s="36">
        <f t="shared" si="12"/>
        <v>0</v>
      </c>
      <c r="S79" s="36">
        <f t="shared" si="12"/>
        <v>0</v>
      </c>
    </row>
    <row r="80" spans="1:19" ht="24" hidden="1" outlineLevel="1" x14ac:dyDescent="0.2">
      <c r="A80" s="449" t="s">
        <v>3268</v>
      </c>
      <c r="B80" s="449">
        <v>6.29</v>
      </c>
      <c r="C80" s="449" t="str">
        <f t="shared" si="7"/>
        <v>WC PNE 02</v>
      </c>
      <c r="D80" s="37" t="str">
        <f t="shared" si="13"/>
        <v>E3</v>
      </c>
      <c r="E80" s="38" t="s">
        <v>3866</v>
      </c>
      <c r="F80" s="36">
        <f t="shared" si="11"/>
        <v>6.29</v>
      </c>
      <c r="G80" s="36"/>
      <c r="H80" s="36">
        <f t="shared" si="12"/>
        <v>6.29</v>
      </c>
      <c r="I80" s="36">
        <f t="shared" si="12"/>
        <v>0</v>
      </c>
      <c r="J80" s="36">
        <f t="shared" si="12"/>
        <v>0</v>
      </c>
      <c r="K80" s="36">
        <f t="shared" si="12"/>
        <v>0</v>
      </c>
      <c r="L80" s="36">
        <f t="shared" si="12"/>
        <v>0</v>
      </c>
      <c r="M80" s="36">
        <f t="shared" si="12"/>
        <v>0</v>
      </c>
      <c r="N80" s="36">
        <f t="shared" si="12"/>
        <v>0</v>
      </c>
      <c r="O80" s="36">
        <f t="shared" si="12"/>
        <v>0</v>
      </c>
      <c r="P80" s="36">
        <f t="shared" si="12"/>
        <v>0</v>
      </c>
      <c r="Q80" s="36">
        <f t="shared" si="12"/>
        <v>0</v>
      </c>
      <c r="R80" s="36">
        <f t="shared" si="12"/>
        <v>0</v>
      </c>
      <c r="S80" s="36">
        <f t="shared" si="12"/>
        <v>0</v>
      </c>
    </row>
    <row r="81" spans="1:19" ht="24" hidden="1" outlineLevel="1" x14ac:dyDescent="0.2">
      <c r="A81" s="449" t="s">
        <v>3270</v>
      </c>
      <c r="B81" s="449">
        <v>3.04</v>
      </c>
      <c r="C81" s="449" t="str">
        <f t="shared" si="7"/>
        <v>WC PNE 03</v>
      </c>
      <c r="D81" s="37" t="str">
        <f t="shared" si="13"/>
        <v>E3</v>
      </c>
      <c r="E81" s="38" t="s">
        <v>3866</v>
      </c>
      <c r="F81" s="36">
        <f t="shared" si="11"/>
        <v>3.04</v>
      </c>
      <c r="G81" s="36"/>
      <c r="H81" s="36">
        <f t="shared" si="12"/>
        <v>3.04</v>
      </c>
      <c r="I81" s="36">
        <f t="shared" si="12"/>
        <v>0</v>
      </c>
      <c r="J81" s="36">
        <f t="shared" si="12"/>
        <v>0</v>
      </c>
      <c r="K81" s="36">
        <f t="shared" si="12"/>
        <v>0</v>
      </c>
      <c r="L81" s="36">
        <f t="shared" si="12"/>
        <v>0</v>
      </c>
      <c r="M81" s="36">
        <f t="shared" si="12"/>
        <v>0</v>
      </c>
      <c r="N81" s="36">
        <f t="shared" si="12"/>
        <v>0</v>
      </c>
      <c r="O81" s="36">
        <f t="shared" si="12"/>
        <v>0</v>
      </c>
      <c r="P81" s="36">
        <f t="shared" si="12"/>
        <v>0</v>
      </c>
      <c r="Q81" s="36">
        <f t="shared" si="12"/>
        <v>0</v>
      </c>
      <c r="R81" s="36">
        <f t="shared" si="12"/>
        <v>0</v>
      </c>
      <c r="S81" s="36">
        <f t="shared" si="12"/>
        <v>0</v>
      </c>
    </row>
    <row r="82" spans="1:19" ht="24" hidden="1" outlineLevel="1" x14ac:dyDescent="0.2">
      <c r="A82" s="449" t="s">
        <v>3272</v>
      </c>
      <c r="B82" s="449">
        <v>1.82</v>
      </c>
      <c r="C82" s="449" t="str">
        <f t="shared" si="7"/>
        <v>WC PNE 04</v>
      </c>
      <c r="D82" s="37" t="str">
        <f t="shared" si="13"/>
        <v>E3</v>
      </c>
      <c r="E82" s="38" t="s">
        <v>3866</v>
      </c>
      <c r="F82" s="36">
        <f t="shared" si="11"/>
        <v>1.82</v>
      </c>
      <c r="G82" s="36"/>
      <c r="H82" s="36">
        <f t="shared" si="12"/>
        <v>1.82</v>
      </c>
      <c r="I82" s="36">
        <f t="shared" si="12"/>
        <v>0</v>
      </c>
      <c r="J82" s="36">
        <f t="shared" si="12"/>
        <v>0</v>
      </c>
      <c r="K82" s="36">
        <f t="shared" si="12"/>
        <v>0</v>
      </c>
      <c r="L82" s="36">
        <f t="shared" si="12"/>
        <v>0</v>
      </c>
      <c r="M82" s="36">
        <f t="shared" si="12"/>
        <v>0</v>
      </c>
      <c r="N82" s="36">
        <f t="shared" si="12"/>
        <v>0</v>
      </c>
      <c r="O82" s="36">
        <f t="shared" si="12"/>
        <v>0</v>
      </c>
      <c r="P82" s="36">
        <f t="shared" si="12"/>
        <v>0</v>
      </c>
      <c r="Q82" s="36">
        <f t="shared" si="12"/>
        <v>0</v>
      </c>
      <c r="R82" s="36">
        <f t="shared" si="12"/>
        <v>0</v>
      </c>
      <c r="S82" s="36">
        <f t="shared" si="12"/>
        <v>0</v>
      </c>
    </row>
    <row r="83" spans="1:19" ht="48" hidden="1" outlineLevel="1" x14ac:dyDescent="0.2">
      <c r="A83" s="449" t="s">
        <v>3738</v>
      </c>
      <c r="B83" s="449">
        <v>7.42</v>
      </c>
      <c r="C83" s="449" t="str">
        <f t="shared" ref="C83:C145" si="14">TRIM(RIGHT(A83,LEN(A83)-FIND("@",SUBSTITUTE(A83,"-","@",LEN(A83)-LEN(SUBSTITUTE(A83,"-",""))))))</f>
        <v>TERRAÇO 02</v>
      </c>
      <c r="D83" s="37" t="str">
        <f t="shared" si="13"/>
        <v>E3</v>
      </c>
      <c r="E83" s="38" t="s">
        <v>3865</v>
      </c>
      <c r="F83" s="36">
        <f t="shared" si="11"/>
        <v>7.42</v>
      </c>
      <c r="G83" s="36"/>
      <c r="H83" s="36">
        <f t="shared" si="12"/>
        <v>7.42</v>
      </c>
      <c r="I83" s="36">
        <f t="shared" si="12"/>
        <v>0</v>
      </c>
      <c r="J83" s="36">
        <f t="shared" si="12"/>
        <v>0</v>
      </c>
      <c r="K83" s="36">
        <f t="shared" si="12"/>
        <v>0</v>
      </c>
      <c r="L83" s="36">
        <f t="shared" si="12"/>
        <v>0</v>
      </c>
      <c r="M83" s="36">
        <f t="shared" si="12"/>
        <v>0</v>
      </c>
      <c r="N83" s="36">
        <f t="shared" si="12"/>
        <v>0</v>
      </c>
      <c r="O83" s="36">
        <f t="shared" si="12"/>
        <v>0</v>
      </c>
      <c r="P83" s="36">
        <f t="shared" si="12"/>
        <v>0</v>
      </c>
      <c r="Q83" s="36">
        <f t="shared" si="12"/>
        <v>0</v>
      </c>
      <c r="R83" s="36">
        <f t="shared" si="12"/>
        <v>0</v>
      </c>
      <c r="S83" s="36">
        <f t="shared" si="12"/>
        <v>0</v>
      </c>
    </row>
    <row r="84" spans="1:19" ht="24" hidden="1" outlineLevel="1" x14ac:dyDescent="0.2">
      <c r="A84" s="449" t="s">
        <v>3250</v>
      </c>
      <c r="B84" s="449">
        <v>67.13</v>
      </c>
      <c r="C84" s="449" t="str">
        <f t="shared" si="14"/>
        <v>ESQUADRIA</v>
      </c>
      <c r="D84" s="37" t="str">
        <f t="shared" si="13"/>
        <v>C3</v>
      </c>
      <c r="E84" s="38" t="s">
        <v>3867</v>
      </c>
      <c r="F84" s="36">
        <f t="shared" si="11"/>
        <v>67.13</v>
      </c>
      <c r="G84" s="36"/>
      <c r="H84" s="36">
        <f t="shared" si="12"/>
        <v>0</v>
      </c>
      <c r="I84" s="36">
        <f t="shared" si="12"/>
        <v>0</v>
      </c>
      <c r="J84" s="36">
        <f t="shared" si="12"/>
        <v>0</v>
      </c>
      <c r="K84" s="36">
        <f t="shared" si="12"/>
        <v>67.13</v>
      </c>
      <c r="L84" s="36">
        <f t="shared" si="12"/>
        <v>0</v>
      </c>
      <c r="M84" s="36">
        <f t="shared" si="12"/>
        <v>0</v>
      </c>
      <c r="N84" s="36">
        <f t="shared" si="12"/>
        <v>0</v>
      </c>
      <c r="O84" s="36">
        <f t="shared" si="12"/>
        <v>0</v>
      </c>
      <c r="P84" s="36">
        <f t="shared" si="12"/>
        <v>0</v>
      </c>
      <c r="Q84" s="36">
        <f t="shared" si="12"/>
        <v>0</v>
      </c>
      <c r="R84" s="36">
        <f t="shared" si="12"/>
        <v>0</v>
      </c>
      <c r="S84" s="36">
        <f t="shared" si="12"/>
        <v>0</v>
      </c>
    </row>
    <row r="85" spans="1:19" ht="24" hidden="1" outlineLevel="1" x14ac:dyDescent="0.2">
      <c r="A85" s="449" t="s">
        <v>3251</v>
      </c>
      <c r="B85" s="449">
        <v>2.94</v>
      </c>
      <c r="C85" s="449" t="str">
        <f t="shared" si="14"/>
        <v>GERADOR</v>
      </c>
      <c r="D85" s="37" t="str">
        <f t="shared" si="13"/>
        <v>C3</v>
      </c>
      <c r="E85" s="38" t="s">
        <v>3866</v>
      </c>
      <c r="F85" s="36">
        <f t="shared" si="11"/>
        <v>2.94</v>
      </c>
      <c r="G85" s="36"/>
      <c r="H85" s="36">
        <f t="shared" si="12"/>
        <v>0</v>
      </c>
      <c r="I85" s="36">
        <f t="shared" si="12"/>
        <v>0</v>
      </c>
      <c r="J85" s="36">
        <f t="shared" si="12"/>
        <v>0</v>
      </c>
      <c r="K85" s="36">
        <f t="shared" si="12"/>
        <v>2.94</v>
      </c>
      <c r="L85" s="36">
        <f t="shared" si="12"/>
        <v>0</v>
      </c>
      <c r="M85" s="36">
        <f t="shared" si="12"/>
        <v>0</v>
      </c>
      <c r="N85" s="36">
        <f t="shared" si="12"/>
        <v>0</v>
      </c>
      <c r="O85" s="36">
        <f t="shared" si="12"/>
        <v>0</v>
      </c>
      <c r="P85" s="36">
        <f t="shared" si="12"/>
        <v>0</v>
      </c>
      <c r="Q85" s="36">
        <f t="shared" si="12"/>
        <v>0</v>
      </c>
      <c r="R85" s="36">
        <f t="shared" si="12"/>
        <v>0</v>
      </c>
      <c r="S85" s="36">
        <f t="shared" si="12"/>
        <v>0</v>
      </c>
    </row>
    <row r="86" spans="1:19" ht="24" hidden="1" outlineLevel="1" x14ac:dyDescent="0.2">
      <c r="A86" s="449" t="s">
        <v>3243</v>
      </c>
      <c r="B86" s="449">
        <v>27.4</v>
      </c>
      <c r="C86" s="449" t="str">
        <f t="shared" si="14"/>
        <v>FOSSO ELEVADOR</v>
      </c>
      <c r="D86" s="37" t="str">
        <f t="shared" si="13"/>
        <v>C4</v>
      </c>
      <c r="E86" s="38" t="s">
        <v>3866</v>
      </c>
      <c r="F86" s="36">
        <f t="shared" si="11"/>
        <v>27.4</v>
      </c>
      <c r="G86" s="36"/>
      <c r="H86" s="36">
        <f t="shared" si="12"/>
        <v>0</v>
      </c>
      <c r="I86" s="36">
        <f t="shared" si="12"/>
        <v>0</v>
      </c>
      <c r="J86" s="36">
        <f t="shared" si="12"/>
        <v>0</v>
      </c>
      <c r="K86" s="36">
        <f t="shared" si="12"/>
        <v>0</v>
      </c>
      <c r="L86" s="36">
        <f t="shared" si="12"/>
        <v>0</v>
      </c>
      <c r="M86" s="36">
        <f t="shared" si="12"/>
        <v>27.4</v>
      </c>
      <c r="N86" s="36">
        <f t="shared" si="12"/>
        <v>0</v>
      </c>
      <c r="O86" s="36">
        <f t="shared" si="12"/>
        <v>0</v>
      </c>
      <c r="P86" s="36">
        <f t="shared" si="12"/>
        <v>0</v>
      </c>
      <c r="Q86" s="36">
        <f t="shared" si="12"/>
        <v>0</v>
      </c>
      <c r="R86" s="36">
        <f t="shared" si="12"/>
        <v>0</v>
      </c>
      <c r="S86" s="36">
        <f t="shared" si="12"/>
        <v>0</v>
      </c>
    </row>
    <row r="87" spans="1:19" ht="24" hidden="1" outlineLevel="1" x14ac:dyDescent="0.2">
      <c r="A87" s="449" t="s">
        <v>3277</v>
      </c>
      <c r="B87" s="449">
        <v>2.2000000000000002</v>
      </c>
      <c r="C87" s="449" t="str">
        <f t="shared" si="14"/>
        <v>INTERFACE JARDIM</v>
      </c>
      <c r="D87" s="37" t="str">
        <f t="shared" si="13"/>
        <v>C3</v>
      </c>
      <c r="E87" s="38" t="s">
        <v>3865</v>
      </c>
      <c r="F87" s="36">
        <f t="shared" si="11"/>
        <v>2.2000000000000002</v>
      </c>
      <c r="G87" s="36"/>
      <c r="H87" s="36">
        <f t="shared" si="12"/>
        <v>0</v>
      </c>
      <c r="I87" s="36">
        <f t="shared" si="12"/>
        <v>0</v>
      </c>
      <c r="J87" s="36">
        <f t="shared" si="12"/>
        <v>0</v>
      </c>
      <c r="K87" s="36">
        <f t="shared" si="12"/>
        <v>2.2000000000000002</v>
      </c>
      <c r="L87" s="36">
        <f t="shared" si="12"/>
        <v>0</v>
      </c>
      <c r="M87" s="36">
        <f t="shared" si="12"/>
        <v>0</v>
      </c>
      <c r="N87" s="36">
        <f t="shared" si="12"/>
        <v>0</v>
      </c>
      <c r="O87" s="36">
        <f t="shared" si="12"/>
        <v>0</v>
      </c>
      <c r="P87" s="36">
        <f t="shared" si="12"/>
        <v>0</v>
      </c>
      <c r="Q87" s="36">
        <f t="shared" si="12"/>
        <v>0</v>
      </c>
      <c r="R87" s="36">
        <f t="shared" si="12"/>
        <v>0</v>
      </c>
      <c r="S87" s="36">
        <f t="shared" si="12"/>
        <v>0</v>
      </c>
    </row>
    <row r="88" spans="1:19" ht="24" hidden="1" outlineLevel="1" x14ac:dyDescent="0.2">
      <c r="A88" s="449" t="s">
        <v>3279</v>
      </c>
      <c r="B88" s="449">
        <v>52.36</v>
      </c>
      <c r="C88" s="449" t="str">
        <f t="shared" si="14"/>
        <v>INTERFACE JARDIM</v>
      </c>
      <c r="D88" s="37" t="str">
        <f t="shared" si="13"/>
        <v>C4</v>
      </c>
      <c r="E88" s="38" t="s">
        <v>3865</v>
      </c>
      <c r="F88" s="36">
        <f t="shared" si="11"/>
        <v>52.36</v>
      </c>
      <c r="G88" s="36"/>
      <c r="H88" s="36">
        <f t="shared" si="12"/>
        <v>0</v>
      </c>
      <c r="I88" s="36">
        <f t="shared" si="12"/>
        <v>0</v>
      </c>
      <c r="J88" s="36">
        <f t="shared" si="12"/>
        <v>0</v>
      </c>
      <c r="K88" s="36">
        <f t="shared" si="12"/>
        <v>0</v>
      </c>
      <c r="L88" s="36">
        <f t="shared" si="12"/>
        <v>0</v>
      </c>
      <c r="M88" s="36">
        <f t="shared" si="12"/>
        <v>52.36</v>
      </c>
      <c r="N88" s="36">
        <f t="shared" si="12"/>
        <v>0</v>
      </c>
      <c r="O88" s="36">
        <f t="shared" si="12"/>
        <v>0</v>
      </c>
      <c r="P88" s="36">
        <f t="shared" si="12"/>
        <v>0</v>
      </c>
      <c r="Q88" s="36">
        <f t="shared" si="12"/>
        <v>0</v>
      </c>
      <c r="R88" s="36">
        <f t="shared" si="12"/>
        <v>0</v>
      </c>
      <c r="S88" s="36">
        <f t="shared" si="12"/>
        <v>0</v>
      </c>
    </row>
    <row r="89" spans="1:19" ht="48" hidden="1" outlineLevel="1" x14ac:dyDescent="0.2">
      <c r="A89" s="449" t="s">
        <v>3281</v>
      </c>
      <c r="B89" s="449">
        <v>3.22</v>
      </c>
      <c r="C89" s="449" t="str">
        <f t="shared" si="14"/>
        <v>JARDINS ELEVADOS</v>
      </c>
      <c r="D89" s="37" t="str">
        <f t="shared" si="13"/>
        <v>M44AR05</v>
      </c>
      <c r="E89" s="38" t="s">
        <v>3865</v>
      </c>
      <c r="F89" s="36">
        <f t="shared" si="11"/>
        <v>3.22</v>
      </c>
      <c r="G89" s="36">
        <f>B89</f>
        <v>3.22</v>
      </c>
      <c r="H89" s="36">
        <f t="shared" si="12"/>
        <v>0</v>
      </c>
      <c r="I89" s="36">
        <f t="shared" si="12"/>
        <v>0</v>
      </c>
      <c r="J89" s="36">
        <f t="shared" si="12"/>
        <v>0</v>
      </c>
      <c r="K89" s="36">
        <f t="shared" si="12"/>
        <v>0</v>
      </c>
      <c r="L89" s="36">
        <f t="shared" si="12"/>
        <v>0</v>
      </c>
      <c r="M89" s="36">
        <f t="shared" si="12"/>
        <v>0</v>
      </c>
      <c r="N89" s="36">
        <f t="shared" si="12"/>
        <v>0</v>
      </c>
      <c r="O89" s="36">
        <f t="shared" si="12"/>
        <v>0</v>
      </c>
      <c r="P89" s="36">
        <f t="shared" si="12"/>
        <v>0</v>
      </c>
      <c r="Q89" s="36">
        <f t="shared" si="12"/>
        <v>0</v>
      </c>
      <c r="R89" s="36">
        <f t="shared" si="12"/>
        <v>3.22</v>
      </c>
      <c r="S89" s="36">
        <f t="shared" si="12"/>
        <v>0</v>
      </c>
    </row>
    <row r="90" spans="1:19" ht="36" hidden="1" outlineLevel="1" x14ac:dyDescent="0.2">
      <c r="A90" s="449" t="s">
        <v>3801</v>
      </c>
      <c r="B90" s="449">
        <v>96.3</v>
      </c>
      <c r="C90" s="449" t="str">
        <f t="shared" si="14"/>
        <v>LAJE IMPERMEABILIZADA</v>
      </c>
      <c r="D90" s="37" t="str">
        <f t="shared" si="13"/>
        <v>M44A</v>
      </c>
      <c r="E90" s="38" t="s">
        <v>3865</v>
      </c>
      <c r="F90" s="36">
        <f t="shared" si="11"/>
        <v>96.3</v>
      </c>
      <c r="G90" s="36"/>
      <c r="H90" s="36">
        <f t="shared" si="12"/>
        <v>0</v>
      </c>
      <c r="I90" s="36">
        <f t="shared" si="12"/>
        <v>0</v>
      </c>
      <c r="J90" s="36">
        <f t="shared" si="12"/>
        <v>96.3</v>
      </c>
      <c r="K90" s="36">
        <f t="shared" si="12"/>
        <v>0</v>
      </c>
      <c r="L90" s="36">
        <f t="shared" si="12"/>
        <v>0</v>
      </c>
      <c r="M90" s="36">
        <f t="shared" si="12"/>
        <v>0</v>
      </c>
      <c r="N90" s="36">
        <f t="shared" si="12"/>
        <v>0</v>
      </c>
      <c r="O90" s="36">
        <f t="shared" si="12"/>
        <v>0</v>
      </c>
      <c r="P90" s="36">
        <f t="shared" si="12"/>
        <v>0</v>
      </c>
      <c r="Q90" s="36">
        <f t="shared" si="12"/>
        <v>0</v>
      </c>
      <c r="R90" s="36">
        <f t="shared" si="12"/>
        <v>0</v>
      </c>
      <c r="S90" s="36">
        <f t="shared" si="12"/>
        <v>0</v>
      </c>
    </row>
    <row r="91" spans="1:19" ht="24" hidden="1" outlineLevel="1" x14ac:dyDescent="0.2">
      <c r="A91" s="449" t="s">
        <v>3387</v>
      </c>
      <c r="B91" s="449">
        <v>4.8</v>
      </c>
      <c r="C91" s="449" t="str">
        <f t="shared" si="14"/>
        <v>LAVABO</v>
      </c>
      <c r="D91" s="37" t="str">
        <f t="shared" si="13"/>
        <v>E3</v>
      </c>
      <c r="E91" s="38" t="s">
        <v>3866</v>
      </c>
      <c r="F91" s="36">
        <f t="shared" si="11"/>
        <v>4.8</v>
      </c>
      <c r="G91" s="36"/>
      <c r="H91" s="36">
        <f t="shared" si="12"/>
        <v>4.8</v>
      </c>
      <c r="I91" s="36">
        <f t="shared" si="12"/>
        <v>0</v>
      </c>
      <c r="J91" s="36">
        <f t="shared" si="12"/>
        <v>0</v>
      </c>
      <c r="K91" s="36">
        <f t="shared" si="12"/>
        <v>0</v>
      </c>
      <c r="L91" s="36">
        <f t="shared" si="12"/>
        <v>0</v>
      </c>
      <c r="M91" s="36">
        <f t="shared" si="12"/>
        <v>0</v>
      </c>
      <c r="N91" s="36">
        <f t="shared" si="12"/>
        <v>0</v>
      </c>
      <c r="O91" s="36">
        <f t="shared" si="12"/>
        <v>0</v>
      </c>
      <c r="P91" s="36">
        <f t="shared" si="12"/>
        <v>0</v>
      </c>
      <c r="Q91" s="36">
        <f t="shared" si="12"/>
        <v>0</v>
      </c>
      <c r="R91" s="36">
        <f t="shared" si="12"/>
        <v>0</v>
      </c>
      <c r="S91" s="36">
        <f t="shared" si="12"/>
        <v>0</v>
      </c>
    </row>
    <row r="92" spans="1:19" ht="24" hidden="1" outlineLevel="1" x14ac:dyDescent="0.2">
      <c r="A92" s="449" t="s">
        <v>3666</v>
      </c>
      <c r="B92" s="449">
        <v>3.09</v>
      </c>
      <c r="C92" s="449" t="str">
        <f t="shared" si="14"/>
        <v>LAVABO 01</v>
      </c>
      <c r="D92" s="37" t="str">
        <f t="shared" si="13"/>
        <v>E3</v>
      </c>
      <c r="E92" s="38" t="s">
        <v>3866</v>
      </c>
      <c r="F92" s="36">
        <f t="shared" si="11"/>
        <v>3.09</v>
      </c>
      <c r="G92" s="36"/>
      <c r="H92" s="36">
        <f t="shared" si="12"/>
        <v>3.09</v>
      </c>
      <c r="I92" s="36">
        <f t="shared" si="12"/>
        <v>0</v>
      </c>
      <c r="J92" s="36">
        <f t="shared" si="12"/>
        <v>0</v>
      </c>
      <c r="K92" s="36">
        <f t="shared" si="12"/>
        <v>0</v>
      </c>
      <c r="L92" s="36">
        <f t="shared" si="12"/>
        <v>0</v>
      </c>
      <c r="M92" s="36">
        <f t="shared" si="12"/>
        <v>0</v>
      </c>
      <c r="N92" s="36">
        <f t="shared" si="12"/>
        <v>0</v>
      </c>
      <c r="O92" s="36">
        <f t="shared" si="12"/>
        <v>0</v>
      </c>
      <c r="P92" s="36">
        <f t="shared" si="12"/>
        <v>0</v>
      </c>
      <c r="Q92" s="36">
        <f t="shared" si="12"/>
        <v>0</v>
      </c>
      <c r="R92" s="36">
        <f t="shared" si="12"/>
        <v>0</v>
      </c>
      <c r="S92" s="36">
        <f t="shared" si="12"/>
        <v>0</v>
      </c>
    </row>
    <row r="93" spans="1:19" ht="24" hidden="1" outlineLevel="1" x14ac:dyDescent="0.2">
      <c r="A93" s="449" t="s">
        <v>3668</v>
      </c>
      <c r="B93" s="449">
        <v>3.7</v>
      </c>
      <c r="C93" s="449" t="str">
        <f t="shared" si="14"/>
        <v>LAVABO 02</v>
      </c>
      <c r="D93" s="37" t="str">
        <f t="shared" si="13"/>
        <v>E3</v>
      </c>
      <c r="E93" s="38" t="s">
        <v>3866</v>
      </c>
      <c r="F93" s="36">
        <f t="shared" si="11"/>
        <v>3.7</v>
      </c>
      <c r="G93" s="36"/>
      <c r="H93" s="36">
        <f t="shared" si="12"/>
        <v>3.7</v>
      </c>
      <c r="I93" s="36">
        <f t="shared" si="12"/>
        <v>0</v>
      </c>
      <c r="J93" s="36">
        <f t="shared" si="12"/>
        <v>0</v>
      </c>
      <c r="K93" s="36">
        <f t="shared" si="12"/>
        <v>0</v>
      </c>
      <c r="L93" s="36">
        <f t="shared" si="12"/>
        <v>0</v>
      </c>
      <c r="M93" s="36">
        <f t="shared" si="12"/>
        <v>0</v>
      </c>
      <c r="N93" s="36">
        <f t="shared" si="12"/>
        <v>0</v>
      </c>
      <c r="O93" s="36">
        <f t="shared" si="12"/>
        <v>0</v>
      </c>
      <c r="P93" s="36">
        <f t="shared" si="12"/>
        <v>0</v>
      </c>
      <c r="Q93" s="36">
        <f t="shared" si="12"/>
        <v>0</v>
      </c>
      <c r="R93" s="36">
        <f t="shared" si="12"/>
        <v>0</v>
      </c>
      <c r="S93" s="36">
        <f t="shared" si="12"/>
        <v>0</v>
      </c>
    </row>
    <row r="94" spans="1:19" ht="24" hidden="1" outlineLevel="1" x14ac:dyDescent="0.2">
      <c r="A94" s="449" t="s">
        <v>3670</v>
      </c>
      <c r="B94" s="449">
        <v>1.84</v>
      </c>
      <c r="C94" s="449" t="str">
        <f t="shared" si="14"/>
        <v>LAVABO 03</v>
      </c>
      <c r="D94" s="37" t="str">
        <f t="shared" si="13"/>
        <v>E3</v>
      </c>
      <c r="E94" s="38" t="s">
        <v>3866</v>
      </c>
      <c r="F94" s="36">
        <f t="shared" si="11"/>
        <v>1.84</v>
      </c>
      <c r="G94" s="36"/>
      <c r="H94" s="36">
        <f t="shared" si="12"/>
        <v>1.84</v>
      </c>
      <c r="I94" s="36">
        <f t="shared" si="12"/>
        <v>0</v>
      </c>
      <c r="J94" s="36">
        <f t="shared" si="12"/>
        <v>0</v>
      </c>
      <c r="K94" s="36">
        <f t="shared" si="12"/>
        <v>0</v>
      </c>
      <c r="L94" s="36">
        <f t="shared" si="12"/>
        <v>0</v>
      </c>
      <c r="M94" s="36">
        <f t="shared" si="12"/>
        <v>0</v>
      </c>
      <c r="N94" s="36">
        <f t="shared" si="12"/>
        <v>0</v>
      </c>
      <c r="O94" s="36">
        <f t="shared" si="12"/>
        <v>0</v>
      </c>
      <c r="P94" s="36">
        <f t="shared" si="12"/>
        <v>0</v>
      </c>
      <c r="Q94" s="36">
        <f t="shared" si="12"/>
        <v>0</v>
      </c>
      <c r="R94" s="36">
        <f t="shared" si="12"/>
        <v>0</v>
      </c>
      <c r="S94" s="36">
        <f t="shared" si="12"/>
        <v>0</v>
      </c>
    </row>
    <row r="95" spans="1:19" ht="24" hidden="1" outlineLevel="1" x14ac:dyDescent="0.2">
      <c r="A95" s="449" t="s">
        <v>3264</v>
      </c>
      <c r="B95" s="449">
        <v>4.42</v>
      </c>
      <c r="C95" s="449" t="str">
        <f t="shared" si="14"/>
        <v>LAVANDERIA</v>
      </c>
      <c r="D95" s="37" t="str">
        <f t="shared" si="13"/>
        <v>E3</v>
      </c>
      <c r="E95" s="38" t="s">
        <v>3866</v>
      </c>
      <c r="F95" s="36">
        <f t="shared" si="11"/>
        <v>4.42</v>
      </c>
      <c r="G95" s="36"/>
      <c r="H95" s="36">
        <f t="shared" si="12"/>
        <v>4.42</v>
      </c>
      <c r="I95" s="36">
        <f t="shared" si="12"/>
        <v>0</v>
      </c>
      <c r="J95" s="36">
        <f t="shared" si="12"/>
        <v>0</v>
      </c>
      <c r="K95" s="36">
        <f t="shared" si="12"/>
        <v>0</v>
      </c>
      <c r="L95" s="36">
        <f t="shared" si="12"/>
        <v>0</v>
      </c>
      <c r="M95" s="36">
        <f t="shared" ref="I95:S110" si="15">SUMIF($D95,M$10,$B95)</f>
        <v>0</v>
      </c>
      <c r="N95" s="36">
        <f t="shared" si="15"/>
        <v>0</v>
      </c>
      <c r="O95" s="36">
        <f t="shared" si="15"/>
        <v>0</v>
      </c>
      <c r="P95" s="36">
        <f t="shared" si="15"/>
        <v>0</v>
      </c>
      <c r="Q95" s="36">
        <f t="shared" si="15"/>
        <v>0</v>
      </c>
      <c r="R95" s="36">
        <f t="shared" si="15"/>
        <v>0</v>
      </c>
      <c r="S95" s="36">
        <f t="shared" si="15"/>
        <v>0</v>
      </c>
    </row>
    <row r="96" spans="1:19" ht="60" outlineLevel="1" x14ac:dyDescent="0.2">
      <c r="A96" s="449" t="s">
        <v>3780</v>
      </c>
      <c r="B96" s="449">
        <v>55.15</v>
      </c>
      <c r="C96" s="449" t="str">
        <f t="shared" si="14"/>
        <v>PISCINA</v>
      </c>
      <c r="D96" s="37" t="str">
        <f t="shared" si="13"/>
        <v>M44A + M44AE2</v>
      </c>
      <c r="E96" s="38" t="s">
        <v>3869</v>
      </c>
      <c r="F96" s="36">
        <f t="shared" si="11"/>
        <v>55.15</v>
      </c>
      <c r="G96" s="36"/>
      <c r="H96" s="36">
        <f t="shared" si="12"/>
        <v>0</v>
      </c>
      <c r="I96" s="36">
        <f t="shared" si="15"/>
        <v>0</v>
      </c>
      <c r="J96" s="36">
        <f t="shared" si="15"/>
        <v>0</v>
      </c>
      <c r="K96" s="36">
        <f t="shared" si="15"/>
        <v>0</v>
      </c>
      <c r="L96" s="36">
        <f t="shared" si="15"/>
        <v>0</v>
      </c>
      <c r="M96" s="36">
        <f t="shared" si="15"/>
        <v>0</v>
      </c>
      <c r="N96" s="36">
        <f t="shared" si="15"/>
        <v>0</v>
      </c>
      <c r="O96" s="36">
        <f t="shared" si="15"/>
        <v>0</v>
      </c>
      <c r="P96" s="36">
        <f t="shared" si="15"/>
        <v>0</v>
      </c>
      <c r="Q96" s="36">
        <f t="shared" si="15"/>
        <v>0</v>
      </c>
      <c r="R96" s="36">
        <f t="shared" si="15"/>
        <v>0</v>
      </c>
      <c r="S96" s="36">
        <f t="shared" si="15"/>
        <v>55.15</v>
      </c>
    </row>
    <row r="97" spans="1:19" ht="60" outlineLevel="1" x14ac:dyDescent="0.2">
      <c r="A97" s="449" t="s">
        <v>3782</v>
      </c>
      <c r="B97" s="449">
        <v>19.649999999999999</v>
      </c>
      <c r="C97" s="449" t="str">
        <f t="shared" si="14"/>
        <v>PRAINHA</v>
      </c>
      <c r="D97" s="37" t="str">
        <f t="shared" si="13"/>
        <v>M44A + M44AE2</v>
      </c>
      <c r="E97" s="38" t="s">
        <v>3869</v>
      </c>
      <c r="F97" s="36">
        <f t="shared" si="11"/>
        <v>19.649999999999999</v>
      </c>
      <c r="G97" s="36"/>
      <c r="H97" s="36">
        <f t="shared" si="12"/>
        <v>0</v>
      </c>
      <c r="I97" s="36">
        <f t="shared" si="15"/>
        <v>0</v>
      </c>
      <c r="J97" s="36">
        <f t="shared" si="15"/>
        <v>0</v>
      </c>
      <c r="K97" s="36">
        <f t="shared" si="15"/>
        <v>0</v>
      </c>
      <c r="L97" s="36">
        <f t="shared" si="15"/>
        <v>0</v>
      </c>
      <c r="M97" s="36">
        <f t="shared" si="15"/>
        <v>0</v>
      </c>
      <c r="N97" s="36">
        <f t="shared" si="15"/>
        <v>0</v>
      </c>
      <c r="O97" s="36">
        <f t="shared" si="15"/>
        <v>0</v>
      </c>
      <c r="P97" s="36">
        <f t="shared" si="15"/>
        <v>0</v>
      </c>
      <c r="Q97" s="36">
        <f t="shared" si="15"/>
        <v>0</v>
      </c>
      <c r="R97" s="36">
        <f t="shared" si="15"/>
        <v>0</v>
      </c>
      <c r="S97" s="36">
        <f t="shared" si="15"/>
        <v>19.649999999999999</v>
      </c>
    </row>
    <row r="98" spans="1:19" ht="36" hidden="1" outlineLevel="1" x14ac:dyDescent="0.2">
      <c r="A98" s="449" t="s">
        <v>3395</v>
      </c>
      <c r="B98" s="449">
        <v>147.75</v>
      </c>
      <c r="C98" s="449" t="str">
        <f t="shared" si="14"/>
        <v>PRAÇA</v>
      </c>
      <c r="D98" s="37" t="str">
        <f t="shared" si="13"/>
        <v>M44A</v>
      </c>
      <c r="E98" s="38" t="s">
        <v>3865</v>
      </c>
      <c r="F98" s="36">
        <f t="shared" si="11"/>
        <v>147.75</v>
      </c>
      <c r="G98" s="36"/>
      <c r="H98" s="36">
        <f t="shared" si="12"/>
        <v>0</v>
      </c>
      <c r="I98" s="36">
        <f t="shared" si="15"/>
        <v>0</v>
      </c>
      <c r="J98" s="36">
        <f t="shared" si="15"/>
        <v>147.75</v>
      </c>
      <c r="K98" s="36">
        <f t="shared" si="15"/>
        <v>0</v>
      </c>
      <c r="L98" s="36">
        <f t="shared" si="15"/>
        <v>0</v>
      </c>
      <c r="M98" s="36">
        <f t="shared" si="15"/>
        <v>0</v>
      </c>
      <c r="N98" s="36">
        <f t="shared" si="15"/>
        <v>0</v>
      </c>
      <c r="O98" s="36">
        <f t="shared" si="15"/>
        <v>0</v>
      </c>
      <c r="P98" s="36">
        <f t="shared" si="15"/>
        <v>0</v>
      </c>
      <c r="Q98" s="36">
        <f t="shared" si="15"/>
        <v>0</v>
      </c>
      <c r="R98" s="36">
        <f t="shared" si="15"/>
        <v>0</v>
      </c>
      <c r="S98" s="36">
        <f t="shared" si="15"/>
        <v>0</v>
      </c>
    </row>
    <row r="99" spans="1:19" ht="36" hidden="1" outlineLevel="1" x14ac:dyDescent="0.2">
      <c r="A99" s="449" t="s">
        <v>3284</v>
      </c>
      <c r="B99" s="449">
        <v>2.27</v>
      </c>
      <c r="C99" s="449" t="str">
        <f t="shared" si="14"/>
        <v>TAMPA DA CÂMARA</v>
      </c>
      <c r="D99" s="37" t="str">
        <f t="shared" si="13"/>
        <v>M44A</v>
      </c>
      <c r="E99" s="38" t="s">
        <v>3865</v>
      </c>
      <c r="F99" s="36">
        <f t="shared" si="11"/>
        <v>2.27</v>
      </c>
      <c r="G99" s="36"/>
      <c r="H99" s="36">
        <f t="shared" si="12"/>
        <v>0</v>
      </c>
      <c r="I99" s="36">
        <f t="shared" si="15"/>
        <v>0</v>
      </c>
      <c r="J99" s="36">
        <f t="shared" si="15"/>
        <v>2.27</v>
      </c>
      <c r="K99" s="36">
        <f t="shared" si="15"/>
        <v>0</v>
      </c>
      <c r="L99" s="36">
        <f t="shared" si="15"/>
        <v>0</v>
      </c>
      <c r="M99" s="36">
        <f t="shared" si="15"/>
        <v>0</v>
      </c>
      <c r="N99" s="36">
        <f t="shared" si="15"/>
        <v>0</v>
      </c>
      <c r="O99" s="36">
        <f t="shared" si="15"/>
        <v>0</v>
      </c>
      <c r="P99" s="36">
        <f t="shared" si="15"/>
        <v>0</v>
      </c>
      <c r="Q99" s="36">
        <f t="shared" si="15"/>
        <v>0</v>
      </c>
      <c r="R99" s="36">
        <f t="shared" si="15"/>
        <v>0</v>
      </c>
      <c r="S99" s="36">
        <f t="shared" si="15"/>
        <v>0</v>
      </c>
    </row>
    <row r="100" spans="1:19" ht="36" hidden="1" outlineLevel="1" x14ac:dyDescent="0.2">
      <c r="A100" s="449" t="s">
        <v>3742</v>
      </c>
      <c r="B100" s="449">
        <v>9.3699999999999992</v>
      </c>
      <c r="C100" s="449" t="str">
        <f t="shared" si="14"/>
        <v>TERRAÇO</v>
      </c>
      <c r="D100" s="37" t="str">
        <f t="shared" si="13"/>
        <v>M44A</v>
      </c>
      <c r="E100" s="38" t="s">
        <v>3865</v>
      </c>
      <c r="F100" s="36">
        <f t="shared" si="11"/>
        <v>9.3699999999999992</v>
      </c>
      <c r="G100" s="36"/>
      <c r="H100" s="36">
        <f t="shared" si="12"/>
        <v>0</v>
      </c>
      <c r="I100" s="36">
        <f t="shared" si="15"/>
        <v>0</v>
      </c>
      <c r="J100" s="36">
        <f t="shared" si="15"/>
        <v>9.3699999999999992</v>
      </c>
      <c r="K100" s="36">
        <f t="shared" si="15"/>
        <v>0</v>
      </c>
      <c r="L100" s="36">
        <f t="shared" si="15"/>
        <v>0</v>
      </c>
      <c r="M100" s="36">
        <f t="shared" si="15"/>
        <v>0</v>
      </c>
      <c r="N100" s="36">
        <f t="shared" si="15"/>
        <v>0</v>
      </c>
      <c r="O100" s="36">
        <f t="shared" si="15"/>
        <v>0</v>
      </c>
      <c r="P100" s="36">
        <f t="shared" si="15"/>
        <v>0</v>
      </c>
      <c r="Q100" s="36">
        <f t="shared" si="15"/>
        <v>0</v>
      </c>
      <c r="R100" s="36">
        <f t="shared" si="15"/>
        <v>0</v>
      </c>
      <c r="S100" s="36">
        <f t="shared" si="15"/>
        <v>0</v>
      </c>
    </row>
    <row r="101" spans="1:19" ht="36" hidden="1" outlineLevel="1" x14ac:dyDescent="0.2">
      <c r="A101" s="449" t="s">
        <v>3307</v>
      </c>
      <c r="B101" s="449">
        <v>15.49</v>
      </c>
      <c r="C101" s="449" t="str">
        <f t="shared" si="14"/>
        <v>TERRAÇO 01</v>
      </c>
      <c r="D101" s="37" t="str">
        <f t="shared" si="13"/>
        <v>M44A</v>
      </c>
      <c r="E101" s="38" t="s">
        <v>3865</v>
      </c>
      <c r="F101" s="36">
        <f t="shared" si="11"/>
        <v>15.49</v>
      </c>
      <c r="G101" s="36"/>
      <c r="H101" s="36">
        <f t="shared" si="12"/>
        <v>0</v>
      </c>
      <c r="I101" s="36">
        <f t="shared" si="15"/>
        <v>0</v>
      </c>
      <c r="J101" s="36">
        <f t="shared" si="15"/>
        <v>15.49</v>
      </c>
      <c r="K101" s="36">
        <f t="shared" si="15"/>
        <v>0</v>
      </c>
      <c r="L101" s="36">
        <f t="shared" si="15"/>
        <v>0</v>
      </c>
      <c r="M101" s="36">
        <f t="shared" si="15"/>
        <v>0</v>
      </c>
      <c r="N101" s="36">
        <f t="shared" si="15"/>
        <v>0</v>
      </c>
      <c r="O101" s="36">
        <f t="shared" si="15"/>
        <v>0</v>
      </c>
      <c r="P101" s="36">
        <f t="shared" si="15"/>
        <v>0</v>
      </c>
      <c r="Q101" s="36">
        <f t="shared" si="15"/>
        <v>0</v>
      </c>
      <c r="R101" s="36">
        <f t="shared" si="15"/>
        <v>0</v>
      </c>
      <c r="S101" s="36">
        <f t="shared" si="15"/>
        <v>0</v>
      </c>
    </row>
    <row r="102" spans="1:19" ht="36" hidden="1" outlineLevel="1" x14ac:dyDescent="0.2">
      <c r="A102" s="449" t="s">
        <v>3309</v>
      </c>
      <c r="B102" s="449">
        <v>25.91</v>
      </c>
      <c r="C102" s="449" t="str">
        <f t="shared" si="14"/>
        <v>TERRAÇO 02</v>
      </c>
      <c r="D102" s="37" t="str">
        <f t="shared" si="13"/>
        <v>M44A</v>
      </c>
      <c r="E102" s="38" t="s">
        <v>3865</v>
      </c>
      <c r="F102" s="36">
        <f t="shared" si="11"/>
        <v>25.91</v>
      </c>
      <c r="G102" s="36"/>
      <c r="H102" s="36">
        <f t="shared" si="12"/>
        <v>0</v>
      </c>
      <c r="I102" s="36">
        <f t="shared" si="15"/>
        <v>0</v>
      </c>
      <c r="J102" s="36">
        <f t="shared" si="15"/>
        <v>25.91</v>
      </c>
      <c r="K102" s="36">
        <f t="shared" si="15"/>
        <v>0</v>
      </c>
      <c r="L102" s="36">
        <f t="shared" si="15"/>
        <v>0</v>
      </c>
      <c r="M102" s="36">
        <f t="shared" si="15"/>
        <v>0</v>
      </c>
      <c r="N102" s="36">
        <f t="shared" si="15"/>
        <v>0</v>
      </c>
      <c r="O102" s="36">
        <f t="shared" si="15"/>
        <v>0</v>
      </c>
      <c r="P102" s="36">
        <f t="shared" si="15"/>
        <v>0</v>
      </c>
      <c r="Q102" s="36">
        <f t="shared" si="15"/>
        <v>0</v>
      </c>
      <c r="R102" s="36">
        <f t="shared" si="15"/>
        <v>0</v>
      </c>
      <c r="S102" s="36">
        <f t="shared" si="15"/>
        <v>0</v>
      </c>
    </row>
    <row r="103" spans="1:19" ht="36" hidden="1" outlineLevel="1" x14ac:dyDescent="0.2">
      <c r="A103" s="449" t="s">
        <v>3311</v>
      </c>
      <c r="B103" s="449">
        <v>37.47</v>
      </c>
      <c r="C103" s="449" t="str">
        <f t="shared" si="14"/>
        <v>TERRAÇO 03</v>
      </c>
      <c r="D103" s="37" t="str">
        <f t="shared" si="13"/>
        <v>M44A</v>
      </c>
      <c r="E103" s="38" t="s">
        <v>3865</v>
      </c>
      <c r="F103" s="36">
        <f t="shared" si="11"/>
        <v>37.47</v>
      </c>
      <c r="G103" s="36"/>
      <c r="H103" s="36">
        <f t="shared" si="12"/>
        <v>0</v>
      </c>
      <c r="I103" s="36">
        <f t="shared" si="15"/>
        <v>0</v>
      </c>
      <c r="J103" s="36">
        <f t="shared" si="15"/>
        <v>37.47</v>
      </c>
      <c r="K103" s="36">
        <f t="shared" si="15"/>
        <v>0</v>
      </c>
      <c r="L103" s="36">
        <f t="shared" si="15"/>
        <v>0</v>
      </c>
      <c r="M103" s="36">
        <f t="shared" si="15"/>
        <v>0</v>
      </c>
      <c r="N103" s="36">
        <f t="shared" si="15"/>
        <v>0</v>
      </c>
      <c r="O103" s="36">
        <f t="shared" si="15"/>
        <v>0</v>
      </c>
      <c r="P103" s="36">
        <f t="shared" si="15"/>
        <v>0</v>
      </c>
      <c r="Q103" s="36">
        <f t="shared" si="15"/>
        <v>0</v>
      </c>
      <c r="R103" s="36">
        <f t="shared" si="15"/>
        <v>0</v>
      </c>
      <c r="S103" s="36">
        <f t="shared" si="15"/>
        <v>0</v>
      </c>
    </row>
    <row r="104" spans="1:19" ht="36" hidden="1" outlineLevel="1" x14ac:dyDescent="0.2">
      <c r="A104" s="449" t="s">
        <v>3313</v>
      </c>
      <c r="B104" s="449">
        <v>2.19</v>
      </c>
      <c r="C104" s="449" t="str">
        <f t="shared" si="14"/>
        <v>TERRAÇO 04</v>
      </c>
      <c r="D104" s="37" t="str">
        <f t="shared" si="13"/>
        <v>M44A</v>
      </c>
      <c r="E104" s="38" t="s">
        <v>3865</v>
      </c>
      <c r="F104" s="36">
        <f t="shared" si="11"/>
        <v>2.19</v>
      </c>
      <c r="G104" s="36"/>
      <c r="H104" s="36">
        <f t="shared" si="12"/>
        <v>0</v>
      </c>
      <c r="I104" s="36">
        <f t="shared" si="15"/>
        <v>0</v>
      </c>
      <c r="J104" s="36">
        <f t="shared" si="15"/>
        <v>2.19</v>
      </c>
      <c r="K104" s="36">
        <f t="shared" si="15"/>
        <v>0</v>
      </c>
      <c r="L104" s="36">
        <f t="shared" si="15"/>
        <v>0</v>
      </c>
      <c r="M104" s="36">
        <f t="shared" si="15"/>
        <v>0</v>
      </c>
      <c r="N104" s="36">
        <f t="shared" si="15"/>
        <v>0</v>
      </c>
      <c r="O104" s="36">
        <f t="shared" si="15"/>
        <v>0</v>
      </c>
      <c r="P104" s="36">
        <f t="shared" si="15"/>
        <v>0</v>
      </c>
      <c r="Q104" s="36">
        <f t="shared" si="15"/>
        <v>0</v>
      </c>
      <c r="R104" s="36">
        <f t="shared" si="15"/>
        <v>0</v>
      </c>
      <c r="S104" s="36">
        <f t="shared" si="15"/>
        <v>0</v>
      </c>
    </row>
    <row r="105" spans="1:19" ht="36" hidden="1" outlineLevel="1" x14ac:dyDescent="0.2">
      <c r="A105" s="449" t="s">
        <v>3451</v>
      </c>
      <c r="B105" s="449">
        <v>18.309999999999999</v>
      </c>
      <c r="C105" s="449" t="str">
        <f t="shared" si="14"/>
        <v>TERRAÇO 05</v>
      </c>
      <c r="D105" s="37" t="str">
        <f t="shared" si="13"/>
        <v>M44A</v>
      </c>
      <c r="E105" s="38" t="s">
        <v>3865</v>
      </c>
      <c r="F105" s="36">
        <f t="shared" si="11"/>
        <v>18.309999999999999</v>
      </c>
      <c r="G105" s="36"/>
      <c r="H105" s="36">
        <f t="shared" si="12"/>
        <v>0</v>
      </c>
      <c r="I105" s="36">
        <f t="shared" si="15"/>
        <v>0</v>
      </c>
      <c r="J105" s="36">
        <f t="shared" si="15"/>
        <v>18.309999999999999</v>
      </c>
      <c r="K105" s="36">
        <f t="shared" si="15"/>
        <v>0</v>
      </c>
      <c r="L105" s="36">
        <f t="shared" si="15"/>
        <v>0</v>
      </c>
      <c r="M105" s="36">
        <f t="shared" si="15"/>
        <v>0</v>
      </c>
      <c r="N105" s="36">
        <f t="shared" si="15"/>
        <v>0</v>
      </c>
      <c r="O105" s="36">
        <f t="shared" si="15"/>
        <v>0</v>
      </c>
      <c r="P105" s="36">
        <f t="shared" si="15"/>
        <v>0</v>
      </c>
      <c r="Q105" s="36">
        <f t="shared" si="15"/>
        <v>0</v>
      </c>
      <c r="R105" s="36">
        <f t="shared" si="15"/>
        <v>0</v>
      </c>
      <c r="S105" s="36">
        <f t="shared" si="15"/>
        <v>0</v>
      </c>
    </row>
    <row r="106" spans="1:19" ht="36" hidden="1" outlineLevel="1" x14ac:dyDescent="0.2">
      <c r="A106" s="449" t="s">
        <v>3397</v>
      </c>
      <c r="B106" s="449">
        <v>46.65</v>
      </c>
      <c r="C106" s="449" t="str">
        <f t="shared" si="14"/>
        <v>TERRAÇO 06</v>
      </c>
      <c r="D106" s="37" t="str">
        <f t="shared" si="13"/>
        <v>M44A</v>
      </c>
      <c r="E106" s="38" t="s">
        <v>3865</v>
      </c>
      <c r="F106" s="36">
        <f t="shared" si="11"/>
        <v>46.65</v>
      </c>
      <c r="G106" s="36"/>
      <c r="H106" s="36">
        <f t="shared" si="12"/>
        <v>0</v>
      </c>
      <c r="I106" s="36">
        <f t="shared" si="15"/>
        <v>0</v>
      </c>
      <c r="J106" s="36">
        <f t="shared" si="15"/>
        <v>46.65</v>
      </c>
      <c r="K106" s="36">
        <f t="shared" si="15"/>
        <v>0</v>
      </c>
      <c r="L106" s="36">
        <f t="shared" si="15"/>
        <v>0</v>
      </c>
      <c r="M106" s="36">
        <f t="shared" si="15"/>
        <v>0</v>
      </c>
      <c r="N106" s="36">
        <f t="shared" si="15"/>
        <v>0</v>
      </c>
      <c r="O106" s="36">
        <f t="shared" si="15"/>
        <v>0</v>
      </c>
      <c r="P106" s="36">
        <f t="shared" si="15"/>
        <v>0</v>
      </c>
      <c r="Q106" s="36">
        <f t="shared" si="15"/>
        <v>0</v>
      </c>
      <c r="R106" s="36">
        <f t="shared" si="15"/>
        <v>0</v>
      </c>
      <c r="S106" s="36">
        <f t="shared" si="15"/>
        <v>0</v>
      </c>
    </row>
    <row r="107" spans="1:19" ht="36" hidden="1" outlineLevel="1" x14ac:dyDescent="0.2">
      <c r="A107" s="449" t="s">
        <v>3360</v>
      </c>
      <c r="B107" s="449">
        <v>26.54</v>
      </c>
      <c r="C107" s="449" t="str">
        <f t="shared" si="14"/>
        <v>TERRAÇO 08</v>
      </c>
      <c r="D107" s="37" t="str">
        <f t="shared" si="13"/>
        <v>M44A</v>
      </c>
      <c r="E107" s="38" t="s">
        <v>3865</v>
      </c>
      <c r="F107" s="36">
        <f t="shared" si="11"/>
        <v>26.54</v>
      </c>
      <c r="G107" s="36"/>
      <c r="H107" s="36">
        <f t="shared" si="12"/>
        <v>0</v>
      </c>
      <c r="I107" s="36">
        <f t="shared" si="15"/>
        <v>0</v>
      </c>
      <c r="J107" s="36">
        <f t="shared" si="15"/>
        <v>26.54</v>
      </c>
      <c r="K107" s="36">
        <f t="shared" si="15"/>
        <v>0</v>
      </c>
      <c r="L107" s="36">
        <f t="shared" si="15"/>
        <v>0</v>
      </c>
      <c r="M107" s="36">
        <f t="shared" si="15"/>
        <v>0</v>
      </c>
      <c r="N107" s="36">
        <f t="shared" si="15"/>
        <v>0</v>
      </c>
      <c r="O107" s="36">
        <f t="shared" si="15"/>
        <v>0</v>
      </c>
      <c r="P107" s="36">
        <f t="shared" si="15"/>
        <v>0</v>
      </c>
      <c r="Q107" s="36">
        <f t="shared" si="15"/>
        <v>0</v>
      </c>
      <c r="R107" s="36">
        <f t="shared" si="15"/>
        <v>0</v>
      </c>
      <c r="S107" s="36">
        <f t="shared" si="15"/>
        <v>0</v>
      </c>
    </row>
    <row r="108" spans="1:19" ht="36" hidden="1" outlineLevel="1" x14ac:dyDescent="0.2">
      <c r="A108" s="449" t="s">
        <v>3362</v>
      </c>
      <c r="B108" s="449">
        <v>9.84</v>
      </c>
      <c r="C108" s="449" t="str">
        <f t="shared" si="14"/>
        <v>TERRAÇO 09</v>
      </c>
      <c r="D108" s="37" t="str">
        <f t="shared" si="13"/>
        <v>M44A</v>
      </c>
      <c r="E108" s="38" t="s">
        <v>3865</v>
      </c>
      <c r="F108" s="36">
        <f t="shared" si="11"/>
        <v>9.84</v>
      </c>
      <c r="G108" s="36"/>
      <c r="H108" s="36">
        <f t="shared" si="12"/>
        <v>0</v>
      </c>
      <c r="I108" s="36">
        <f t="shared" si="15"/>
        <v>0</v>
      </c>
      <c r="J108" s="36">
        <f t="shared" si="15"/>
        <v>9.84</v>
      </c>
      <c r="K108" s="36">
        <f t="shared" si="15"/>
        <v>0</v>
      </c>
      <c r="L108" s="36">
        <f t="shared" si="15"/>
        <v>0</v>
      </c>
      <c r="M108" s="36">
        <f t="shared" si="15"/>
        <v>0</v>
      </c>
      <c r="N108" s="36">
        <f t="shared" si="15"/>
        <v>0</v>
      </c>
      <c r="O108" s="36">
        <f t="shared" si="15"/>
        <v>0</v>
      </c>
      <c r="P108" s="36">
        <f t="shared" si="15"/>
        <v>0</v>
      </c>
      <c r="Q108" s="36">
        <f t="shared" si="15"/>
        <v>0</v>
      </c>
      <c r="R108" s="36">
        <f t="shared" si="15"/>
        <v>0</v>
      </c>
      <c r="S108" s="36">
        <f t="shared" si="15"/>
        <v>0</v>
      </c>
    </row>
    <row r="109" spans="1:19" ht="36" hidden="1" outlineLevel="1" x14ac:dyDescent="0.2">
      <c r="A109" s="449" t="s">
        <v>3680</v>
      </c>
      <c r="B109" s="449">
        <v>123.52</v>
      </c>
      <c r="C109" s="449" t="str">
        <f t="shared" si="14"/>
        <v>TERRAÇO DESCOBERTO</v>
      </c>
      <c r="D109" s="37" t="str">
        <f t="shared" si="13"/>
        <v>M44A</v>
      </c>
      <c r="E109" s="38" t="s">
        <v>3865</v>
      </c>
      <c r="F109" s="36">
        <f t="shared" si="11"/>
        <v>123.52</v>
      </c>
      <c r="G109" s="36"/>
      <c r="H109" s="36">
        <f t="shared" si="12"/>
        <v>0</v>
      </c>
      <c r="I109" s="36">
        <f t="shared" si="15"/>
        <v>0</v>
      </c>
      <c r="J109" s="36">
        <f t="shared" si="15"/>
        <v>123.52</v>
      </c>
      <c r="K109" s="36">
        <f t="shared" si="15"/>
        <v>0</v>
      </c>
      <c r="L109" s="36">
        <f t="shared" si="15"/>
        <v>0</v>
      </c>
      <c r="M109" s="36">
        <f t="shared" si="15"/>
        <v>0</v>
      </c>
      <c r="N109" s="36">
        <f t="shared" si="15"/>
        <v>0</v>
      </c>
      <c r="O109" s="36">
        <f t="shared" si="15"/>
        <v>0</v>
      </c>
      <c r="P109" s="36">
        <f t="shared" si="15"/>
        <v>0</v>
      </c>
      <c r="Q109" s="36">
        <f t="shared" si="15"/>
        <v>0</v>
      </c>
      <c r="R109" s="36">
        <f t="shared" si="15"/>
        <v>0</v>
      </c>
      <c r="S109" s="36">
        <f t="shared" si="15"/>
        <v>0</v>
      </c>
    </row>
    <row r="110" spans="1:19" ht="48" hidden="1" outlineLevel="1" x14ac:dyDescent="0.2">
      <c r="A110" s="449" t="s">
        <v>3286</v>
      </c>
      <c r="B110" s="449">
        <v>2.59</v>
      </c>
      <c r="C110" s="449" t="str">
        <f t="shared" si="14"/>
        <v>TAMPA DE RESERVATÓRIO</v>
      </c>
      <c r="D110" s="37" t="str">
        <f t="shared" si="13"/>
        <v>M44AR05</v>
      </c>
      <c r="E110" s="38" t="s">
        <v>3868</v>
      </c>
      <c r="F110" s="36">
        <f t="shared" si="11"/>
        <v>2.59</v>
      </c>
      <c r="G110" s="36">
        <f>B110</f>
        <v>2.59</v>
      </c>
      <c r="H110" s="36">
        <f t="shared" si="12"/>
        <v>0</v>
      </c>
      <c r="I110" s="36">
        <f t="shared" si="15"/>
        <v>0</v>
      </c>
      <c r="J110" s="36">
        <f t="shared" si="15"/>
        <v>0</v>
      </c>
      <c r="K110" s="36">
        <f t="shared" si="15"/>
        <v>0</v>
      </c>
      <c r="L110" s="36">
        <f t="shared" si="15"/>
        <v>0</v>
      </c>
      <c r="M110" s="36">
        <f t="shared" si="15"/>
        <v>0</v>
      </c>
      <c r="N110" s="36">
        <f t="shared" si="15"/>
        <v>0</v>
      </c>
      <c r="O110" s="36">
        <f t="shared" si="15"/>
        <v>0</v>
      </c>
      <c r="P110" s="36">
        <f t="shared" si="15"/>
        <v>0</v>
      </c>
      <c r="Q110" s="36">
        <f t="shared" si="15"/>
        <v>0</v>
      </c>
      <c r="R110" s="36">
        <f t="shared" si="15"/>
        <v>2.59</v>
      </c>
      <c r="S110" s="36">
        <f t="shared" si="15"/>
        <v>0</v>
      </c>
    </row>
    <row r="111" spans="1:19" ht="48" hidden="1" outlineLevel="1" x14ac:dyDescent="0.2">
      <c r="A111" s="449" t="s">
        <v>3288</v>
      </c>
      <c r="B111" s="449">
        <v>8.31</v>
      </c>
      <c r="C111" s="449" t="str">
        <f t="shared" si="14"/>
        <v>TAMPA SOB JARDIM</v>
      </c>
      <c r="D111" s="37" t="str">
        <f t="shared" si="13"/>
        <v>M44AR05</v>
      </c>
      <c r="E111" s="38" t="s">
        <v>3865</v>
      </c>
      <c r="F111" s="36">
        <f t="shared" si="11"/>
        <v>8.31</v>
      </c>
      <c r="G111" s="36">
        <f>B111</f>
        <v>8.31</v>
      </c>
      <c r="H111" s="36">
        <f t="shared" si="12"/>
        <v>0</v>
      </c>
      <c r="I111" s="36">
        <f t="shared" ref="I111:S126" si="16">SUMIF($D111,I$10,$B111)</f>
        <v>0</v>
      </c>
      <c r="J111" s="36">
        <f t="shared" si="16"/>
        <v>0</v>
      </c>
      <c r="K111" s="36">
        <f t="shared" si="16"/>
        <v>0</v>
      </c>
      <c r="L111" s="36">
        <f t="shared" si="16"/>
        <v>0</v>
      </c>
      <c r="M111" s="36">
        <f t="shared" si="16"/>
        <v>0</v>
      </c>
      <c r="N111" s="36">
        <f t="shared" si="16"/>
        <v>0</v>
      </c>
      <c r="O111" s="36">
        <f t="shared" si="16"/>
        <v>0</v>
      </c>
      <c r="P111" s="36">
        <f t="shared" si="16"/>
        <v>0</v>
      </c>
      <c r="Q111" s="36">
        <f t="shared" si="16"/>
        <v>0</v>
      </c>
      <c r="R111" s="36">
        <f t="shared" si="16"/>
        <v>8.31</v>
      </c>
      <c r="S111" s="36">
        <f t="shared" si="16"/>
        <v>0</v>
      </c>
    </row>
    <row r="112" spans="1:19" ht="60" outlineLevel="1" x14ac:dyDescent="0.2">
      <c r="A112" s="449" t="s">
        <v>3780</v>
      </c>
      <c r="B112" s="449">
        <v>50.04</v>
      </c>
      <c r="C112" s="449" t="str">
        <f t="shared" si="14"/>
        <v>PISCINA</v>
      </c>
      <c r="D112" s="37" t="str">
        <f t="shared" si="13"/>
        <v>M44A + M44AE2</v>
      </c>
      <c r="E112" s="38" t="s">
        <v>3869</v>
      </c>
      <c r="F112" s="36">
        <f t="shared" si="11"/>
        <v>50.04</v>
      </c>
      <c r="G112" s="36"/>
      <c r="H112" s="36">
        <f t="shared" si="12"/>
        <v>0</v>
      </c>
      <c r="I112" s="36">
        <f t="shared" si="16"/>
        <v>0</v>
      </c>
      <c r="J112" s="36">
        <f t="shared" si="16"/>
        <v>0</v>
      </c>
      <c r="K112" s="36">
        <f t="shared" si="16"/>
        <v>0</v>
      </c>
      <c r="L112" s="36">
        <f t="shared" si="16"/>
        <v>0</v>
      </c>
      <c r="M112" s="36">
        <f t="shared" si="16"/>
        <v>0</v>
      </c>
      <c r="N112" s="36">
        <f t="shared" si="16"/>
        <v>0</v>
      </c>
      <c r="O112" s="36">
        <f t="shared" si="16"/>
        <v>0</v>
      </c>
      <c r="P112" s="36">
        <f t="shared" si="16"/>
        <v>0</v>
      </c>
      <c r="Q112" s="36">
        <f t="shared" si="16"/>
        <v>0</v>
      </c>
      <c r="R112" s="36">
        <f t="shared" si="16"/>
        <v>0</v>
      </c>
      <c r="S112" s="36">
        <f t="shared" si="16"/>
        <v>50.04</v>
      </c>
    </row>
    <row r="113" spans="1:19" ht="36" hidden="1" outlineLevel="1" x14ac:dyDescent="0.2">
      <c r="A113" s="449" t="s">
        <v>3395</v>
      </c>
      <c r="B113" s="449">
        <v>22.6</v>
      </c>
      <c r="C113" s="449" t="str">
        <f t="shared" si="14"/>
        <v>PRAÇA</v>
      </c>
      <c r="D113" s="37" t="str">
        <f t="shared" si="13"/>
        <v>M44A</v>
      </c>
      <c r="E113" s="38" t="s">
        <v>3869</v>
      </c>
      <c r="F113" s="36">
        <f t="shared" si="11"/>
        <v>22.6</v>
      </c>
      <c r="G113" s="36"/>
      <c r="H113" s="36">
        <f t="shared" si="12"/>
        <v>0</v>
      </c>
      <c r="I113" s="36">
        <f t="shared" si="16"/>
        <v>0</v>
      </c>
      <c r="J113" s="36">
        <f t="shared" si="16"/>
        <v>22.6</v>
      </c>
      <c r="K113" s="36">
        <f t="shared" si="16"/>
        <v>0</v>
      </c>
      <c r="L113" s="36">
        <f t="shared" si="16"/>
        <v>0</v>
      </c>
      <c r="M113" s="36">
        <f t="shared" si="16"/>
        <v>0</v>
      </c>
      <c r="N113" s="36">
        <f t="shared" si="16"/>
        <v>0</v>
      </c>
      <c r="O113" s="36">
        <f t="shared" si="16"/>
        <v>0</v>
      </c>
      <c r="P113" s="36">
        <f t="shared" si="16"/>
        <v>0</v>
      </c>
      <c r="Q113" s="36">
        <f t="shared" si="16"/>
        <v>0</v>
      </c>
      <c r="R113" s="36">
        <f t="shared" si="16"/>
        <v>0</v>
      </c>
      <c r="S113" s="36">
        <f t="shared" si="16"/>
        <v>0</v>
      </c>
    </row>
    <row r="114" spans="1:19" ht="48" outlineLevel="1" x14ac:dyDescent="0.2">
      <c r="A114" s="449" t="s">
        <v>3786</v>
      </c>
      <c r="B114" s="449">
        <v>3.64</v>
      </c>
      <c r="C114" s="449" t="str">
        <f t="shared" si="14"/>
        <v>PRAINHA</v>
      </c>
      <c r="D114" s="37" t="str">
        <f t="shared" si="13"/>
        <v>M44A + M44AE2</v>
      </c>
      <c r="E114" s="38" t="s">
        <v>3865</v>
      </c>
      <c r="F114" s="36">
        <f t="shared" si="11"/>
        <v>3.64</v>
      </c>
      <c r="G114" s="36"/>
      <c r="H114" s="36">
        <f t="shared" si="12"/>
        <v>0</v>
      </c>
      <c r="I114" s="36">
        <f t="shared" si="16"/>
        <v>0</v>
      </c>
      <c r="J114" s="36">
        <f t="shared" si="16"/>
        <v>0</v>
      </c>
      <c r="K114" s="36">
        <f t="shared" si="16"/>
        <v>0</v>
      </c>
      <c r="L114" s="36">
        <f t="shared" si="16"/>
        <v>0</v>
      </c>
      <c r="M114" s="36">
        <f t="shared" si="16"/>
        <v>0</v>
      </c>
      <c r="N114" s="36">
        <f t="shared" si="16"/>
        <v>0</v>
      </c>
      <c r="O114" s="36">
        <f t="shared" si="16"/>
        <v>0</v>
      </c>
      <c r="P114" s="36">
        <f t="shared" si="16"/>
        <v>0</v>
      </c>
      <c r="Q114" s="36">
        <f t="shared" si="16"/>
        <v>0</v>
      </c>
      <c r="R114" s="36">
        <f t="shared" si="16"/>
        <v>0</v>
      </c>
      <c r="S114" s="36">
        <f t="shared" si="16"/>
        <v>3.64</v>
      </c>
    </row>
    <row r="115" spans="1:19" ht="36" hidden="1" outlineLevel="1" x14ac:dyDescent="0.2">
      <c r="A115" s="449" t="s">
        <v>3239</v>
      </c>
      <c r="B115" s="449">
        <v>27.76</v>
      </c>
      <c r="C115" s="449" t="str">
        <f t="shared" si="14"/>
        <v>RESERVATÓRIO ESCOAMENTO</v>
      </c>
      <c r="D115" s="37" t="str">
        <f t="shared" si="13"/>
        <v>C3E3</v>
      </c>
      <c r="E115" s="38" t="s">
        <v>3868</v>
      </c>
      <c r="F115" s="36">
        <f t="shared" si="11"/>
        <v>27.76</v>
      </c>
      <c r="G115" s="36"/>
      <c r="H115" s="36">
        <f t="shared" si="12"/>
        <v>0</v>
      </c>
      <c r="I115" s="36">
        <f t="shared" si="16"/>
        <v>0</v>
      </c>
      <c r="J115" s="36">
        <f t="shared" si="16"/>
        <v>0</v>
      </c>
      <c r="K115" s="36">
        <f t="shared" si="16"/>
        <v>0</v>
      </c>
      <c r="L115" s="36">
        <f t="shared" si="16"/>
        <v>27.76</v>
      </c>
      <c r="M115" s="36">
        <f t="shared" si="16"/>
        <v>0</v>
      </c>
      <c r="N115" s="36">
        <f t="shared" si="16"/>
        <v>0</v>
      </c>
      <c r="O115" s="36">
        <f t="shared" si="16"/>
        <v>0</v>
      </c>
      <c r="P115" s="36">
        <f t="shared" si="16"/>
        <v>0</v>
      </c>
      <c r="Q115" s="36">
        <f t="shared" si="16"/>
        <v>0</v>
      </c>
      <c r="R115" s="36">
        <f t="shared" si="16"/>
        <v>0</v>
      </c>
      <c r="S115" s="36">
        <f t="shared" si="16"/>
        <v>0</v>
      </c>
    </row>
    <row r="116" spans="1:19" ht="36" hidden="1" outlineLevel="1" x14ac:dyDescent="0.2">
      <c r="A116" s="449" t="s">
        <v>3241</v>
      </c>
      <c r="B116" s="449">
        <v>51.23</v>
      </c>
      <c r="C116" s="449" t="str">
        <f t="shared" si="14"/>
        <v>RESERVATÓRIO INFERIOR 2</v>
      </c>
      <c r="D116" s="37" t="str">
        <f t="shared" si="13"/>
        <v>C3E3</v>
      </c>
      <c r="E116" s="38" t="s">
        <v>3868</v>
      </c>
      <c r="F116" s="36">
        <f t="shared" si="11"/>
        <v>51.23</v>
      </c>
      <c r="G116" s="36"/>
      <c r="H116" s="36">
        <f t="shared" si="12"/>
        <v>0</v>
      </c>
      <c r="I116" s="36">
        <f t="shared" si="16"/>
        <v>0</v>
      </c>
      <c r="J116" s="36">
        <f t="shared" si="16"/>
        <v>0</v>
      </c>
      <c r="K116" s="36">
        <f t="shared" si="16"/>
        <v>0</v>
      </c>
      <c r="L116" s="36">
        <f t="shared" si="16"/>
        <v>51.23</v>
      </c>
      <c r="M116" s="36">
        <f t="shared" si="16"/>
        <v>0</v>
      </c>
      <c r="N116" s="36">
        <f t="shared" si="16"/>
        <v>0</v>
      </c>
      <c r="O116" s="36">
        <f t="shared" si="16"/>
        <v>0</v>
      </c>
      <c r="P116" s="36">
        <f t="shared" si="16"/>
        <v>0</v>
      </c>
      <c r="Q116" s="36">
        <f t="shared" si="16"/>
        <v>0</v>
      </c>
      <c r="R116" s="36">
        <f t="shared" si="16"/>
        <v>0</v>
      </c>
      <c r="S116" s="36">
        <f t="shared" si="16"/>
        <v>0</v>
      </c>
    </row>
    <row r="117" spans="1:19" ht="36" hidden="1" outlineLevel="1" x14ac:dyDescent="0.2">
      <c r="A117" s="449" t="s">
        <v>3242</v>
      </c>
      <c r="B117" s="449">
        <v>27.75</v>
      </c>
      <c r="C117" s="449" t="str">
        <f t="shared" si="14"/>
        <v>RESERVATÓRIO REAPROV. PLUVIAL</v>
      </c>
      <c r="D117" s="37" t="str">
        <f t="shared" si="13"/>
        <v>C3E3</v>
      </c>
      <c r="E117" s="38" t="s">
        <v>3868</v>
      </c>
      <c r="F117" s="36">
        <f t="shared" si="11"/>
        <v>27.75</v>
      </c>
      <c r="G117" s="36"/>
      <c r="H117" s="36">
        <f t="shared" si="12"/>
        <v>0</v>
      </c>
      <c r="I117" s="36">
        <f t="shared" si="16"/>
        <v>0</v>
      </c>
      <c r="J117" s="36">
        <f t="shared" si="16"/>
        <v>0</v>
      </c>
      <c r="K117" s="36">
        <f t="shared" si="16"/>
        <v>0</v>
      </c>
      <c r="L117" s="36">
        <f t="shared" si="16"/>
        <v>27.75</v>
      </c>
      <c r="M117" s="36">
        <f t="shared" si="16"/>
        <v>0</v>
      </c>
      <c r="N117" s="36">
        <f t="shared" si="16"/>
        <v>0</v>
      </c>
      <c r="O117" s="36">
        <f t="shared" si="16"/>
        <v>0</v>
      </c>
      <c r="P117" s="36">
        <f t="shared" si="16"/>
        <v>0</v>
      </c>
      <c r="Q117" s="36">
        <f t="shared" si="16"/>
        <v>0</v>
      </c>
      <c r="R117" s="36">
        <f t="shared" si="16"/>
        <v>0</v>
      </c>
      <c r="S117" s="36">
        <f t="shared" si="16"/>
        <v>0</v>
      </c>
    </row>
    <row r="118" spans="1:19" ht="24" hidden="1" outlineLevel="1" x14ac:dyDescent="0.2">
      <c r="A118" s="449" t="s">
        <v>3236</v>
      </c>
      <c r="B118" s="449">
        <v>3.35</v>
      </c>
      <c r="C118" s="449" t="str">
        <f t="shared" si="14"/>
        <v>SALA PRESS.</v>
      </c>
      <c r="D118" s="37" t="str">
        <f t="shared" si="13"/>
        <v>C3</v>
      </c>
      <c r="E118" s="38" t="s">
        <v>3866</v>
      </c>
      <c r="F118" s="36">
        <f t="shared" si="11"/>
        <v>3.35</v>
      </c>
      <c r="G118" s="36"/>
      <c r="H118" s="36">
        <f t="shared" si="12"/>
        <v>0</v>
      </c>
      <c r="I118" s="36">
        <f t="shared" si="16"/>
        <v>0</v>
      </c>
      <c r="J118" s="36">
        <f t="shared" si="16"/>
        <v>0</v>
      </c>
      <c r="K118" s="36">
        <f t="shared" si="16"/>
        <v>3.35</v>
      </c>
      <c r="L118" s="36">
        <f t="shared" si="16"/>
        <v>0</v>
      </c>
      <c r="M118" s="36">
        <f t="shared" si="16"/>
        <v>0</v>
      </c>
      <c r="N118" s="36">
        <f t="shared" si="16"/>
        <v>0</v>
      </c>
      <c r="O118" s="36">
        <f t="shared" si="16"/>
        <v>0</v>
      </c>
      <c r="P118" s="36">
        <f t="shared" si="16"/>
        <v>0</v>
      </c>
      <c r="Q118" s="36">
        <f t="shared" si="16"/>
        <v>0</v>
      </c>
      <c r="R118" s="36">
        <f t="shared" si="16"/>
        <v>0</v>
      </c>
      <c r="S118" s="36">
        <f t="shared" si="16"/>
        <v>0</v>
      </c>
    </row>
    <row r="119" spans="1:19" ht="36" hidden="1" outlineLevel="1" x14ac:dyDescent="0.2">
      <c r="A119" s="449" t="s">
        <v>3742</v>
      </c>
      <c r="B119" s="449">
        <v>4.54</v>
      </c>
      <c r="C119" s="449" t="str">
        <f t="shared" si="14"/>
        <v>TERRAÇO</v>
      </c>
      <c r="D119" s="37" t="str">
        <f t="shared" si="13"/>
        <v>M44A</v>
      </c>
      <c r="E119" s="38" t="s">
        <v>3865</v>
      </c>
      <c r="F119" s="36">
        <f t="shared" si="11"/>
        <v>4.54</v>
      </c>
      <c r="G119" s="36"/>
      <c r="H119" s="36">
        <f t="shared" si="12"/>
        <v>0</v>
      </c>
      <c r="I119" s="36">
        <f t="shared" si="16"/>
        <v>0</v>
      </c>
      <c r="J119" s="36">
        <f t="shared" si="16"/>
        <v>4.54</v>
      </c>
      <c r="K119" s="36">
        <f t="shared" si="16"/>
        <v>0</v>
      </c>
      <c r="L119" s="36">
        <f t="shared" si="16"/>
        <v>0</v>
      </c>
      <c r="M119" s="36">
        <f t="shared" si="16"/>
        <v>0</v>
      </c>
      <c r="N119" s="36">
        <f t="shared" si="16"/>
        <v>0</v>
      </c>
      <c r="O119" s="36">
        <f t="shared" si="16"/>
        <v>0</v>
      </c>
      <c r="P119" s="36">
        <f t="shared" si="16"/>
        <v>0</v>
      </c>
      <c r="Q119" s="36">
        <f t="shared" si="16"/>
        <v>0</v>
      </c>
      <c r="R119" s="36">
        <f t="shared" si="16"/>
        <v>0</v>
      </c>
      <c r="S119" s="36">
        <f t="shared" si="16"/>
        <v>0</v>
      </c>
    </row>
    <row r="120" spans="1:19" ht="24" hidden="1" outlineLevel="1" x14ac:dyDescent="0.2">
      <c r="A120" s="449" t="s">
        <v>3347</v>
      </c>
      <c r="B120" s="449">
        <v>35.56</v>
      </c>
      <c r="C120" s="449" t="str">
        <f t="shared" si="14"/>
        <v>TERRAÇO 01</v>
      </c>
      <c r="D120" s="37" t="str">
        <f t="shared" si="13"/>
        <v>E3</v>
      </c>
      <c r="E120" s="38" t="s">
        <v>3865</v>
      </c>
      <c r="F120" s="36">
        <f t="shared" si="11"/>
        <v>35.56</v>
      </c>
      <c r="G120" s="36"/>
      <c r="H120" s="36">
        <f t="shared" si="12"/>
        <v>35.56</v>
      </c>
      <c r="I120" s="36">
        <f t="shared" si="16"/>
        <v>0</v>
      </c>
      <c r="J120" s="36">
        <f t="shared" si="16"/>
        <v>0</v>
      </c>
      <c r="K120" s="36">
        <f t="shared" si="16"/>
        <v>0</v>
      </c>
      <c r="L120" s="36">
        <f t="shared" si="16"/>
        <v>0</v>
      </c>
      <c r="M120" s="36">
        <f t="shared" si="16"/>
        <v>0</v>
      </c>
      <c r="N120" s="36">
        <f t="shared" si="16"/>
        <v>0</v>
      </c>
      <c r="O120" s="36">
        <f t="shared" si="16"/>
        <v>0</v>
      </c>
      <c r="P120" s="36">
        <f t="shared" si="16"/>
        <v>0</v>
      </c>
      <c r="Q120" s="36">
        <f t="shared" si="16"/>
        <v>0</v>
      </c>
      <c r="R120" s="36">
        <f t="shared" si="16"/>
        <v>0</v>
      </c>
      <c r="S120" s="36">
        <f t="shared" si="16"/>
        <v>0</v>
      </c>
    </row>
    <row r="121" spans="1:19" ht="36" hidden="1" outlineLevel="1" x14ac:dyDescent="0.2">
      <c r="A121" s="449" t="s">
        <v>3307</v>
      </c>
      <c r="B121" s="449">
        <v>6.17</v>
      </c>
      <c r="C121" s="449" t="str">
        <f t="shared" si="14"/>
        <v>TERRAÇO 01</v>
      </c>
      <c r="D121" s="37" t="str">
        <f t="shared" si="13"/>
        <v>M44A</v>
      </c>
      <c r="E121" s="38" t="s">
        <v>3865</v>
      </c>
      <c r="F121" s="36">
        <f t="shared" si="11"/>
        <v>6.17</v>
      </c>
      <c r="G121" s="36"/>
      <c r="H121" s="36">
        <f t="shared" si="12"/>
        <v>0</v>
      </c>
      <c r="I121" s="36">
        <f t="shared" si="16"/>
        <v>0</v>
      </c>
      <c r="J121" s="36">
        <f t="shared" si="16"/>
        <v>6.17</v>
      </c>
      <c r="K121" s="36">
        <f t="shared" si="16"/>
        <v>0</v>
      </c>
      <c r="L121" s="36">
        <f t="shared" si="16"/>
        <v>0</v>
      </c>
      <c r="M121" s="36">
        <f t="shared" si="16"/>
        <v>0</v>
      </c>
      <c r="N121" s="36">
        <f t="shared" si="16"/>
        <v>0</v>
      </c>
      <c r="O121" s="36">
        <f t="shared" si="16"/>
        <v>0</v>
      </c>
      <c r="P121" s="36">
        <f t="shared" si="16"/>
        <v>0</v>
      </c>
      <c r="Q121" s="36">
        <f t="shared" si="16"/>
        <v>0</v>
      </c>
      <c r="R121" s="36">
        <f t="shared" si="16"/>
        <v>0</v>
      </c>
      <c r="S121" s="36">
        <f t="shared" si="16"/>
        <v>0</v>
      </c>
    </row>
    <row r="122" spans="1:19" ht="24" hidden="1" outlineLevel="1" x14ac:dyDescent="0.2">
      <c r="A122" s="449" t="s">
        <v>3349</v>
      </c>
      <c r="B122" s="449">
        <v>59.72</v>
      </c>
      <c r="C122" s="449" t="str">
        <f t="shared" si="14"/>
        <v>TERRAÇO 02</v>
      </c>
      <c r="D122" s="37" t="str">
        <f t="shared" si="13"/>
        <v>E3</v>
      </c>
      <c r="E122" s="38" t="s">
        <v>3865</v>
      </c>
      <c r="F122" s="36">
        <f t="shared" si="11"/>
        <v>59.72</v>
      </c>
      <c r="G122" s="36"/>
      <c r="H122" s="36">
        <f t="shared" si="12"/>
        <v>59.72</v>
      </c>
      <c r="I122" s="36">
        <f t="shared" si="16"/>
        <v>0</v>
      </c>
      <c r="J122" s="36">
        <f t="shared" si="16"/>
        <v>0</v>
      </c>
      <c r="K122" s="36">
        <f t="shared" si="16"/>
        <v>0</v>
      </c>
      <c r="L122" s="36">
        <f t="shared" si="16"/>
        <v>0</v>
      </c>
      <c r="M122" s="36">
        <f t="shared" si="16"/>
        <v>0</v>
      </c>
      <c r="N122" s="36">
        <f t="shared" si="16"/>
        <v>0</v>
      </c>
      <c r="O122" s="36">
        <f t="shared" si="16"/>
        <v>0</v>
      </c>
      <c r="P122" s="36">
        <f t="shared" si="16"/>
        <v>0</v>
      </c>
      <c r="Q122" s="36">
        <f t="shared" si="16"/>
        <v>0</v>
      </c>
      <c r="R122" s="36">
        <f t="shared" si="16"/>
        <v>0</v>
      </c>
      <c r="S122" s="36">
        <f t="shared" si="16"/>
        <v>0</v>
      </c>
    </row>
    <row r="123" spans="1:19" ht="48" hidden="1" outlineLevel="1" x14ac:dyDescent="0.2">
      <c r="A123" s="449" t="s">
        <v>3738</v>
      </c>
      <c r="B123" s="449">
        <v>3.23</v>
      </c>
      <c r="C123" s="449" t="str">
        <f t="shared" si="14"/>
        <v>TERRAÇO 02</v>
      </c>
      <c r="D123" s="37" t="str">
        <f t="shared" si="13"/>
        <v>E3</v>
      </c>
      <c r="E123" s="38" t="s">
        <v>3865</v>
      </c>
      <c r="F123" s="36">
        <f t="shared" si="11"/>
        <v>3.23</v>
      </c>
      <c r="G123" s="36"/>
      <c r="H123" s="36">
        <f t="shared" si="12"/>
        <v>3.23</v>
      </c>
      <c r="I123" s="36">
        <f t="shared" si="16"/>
        <v>0</v>
      </c>
      <c r="J123" s="36">
        <f t="shared" si="16"/>
        <v>0</v>
      </c>
      <c r="K123" s="36">
        <f t="shared" si="16"/>
        <v>0</v>
      </c>
      <c r="L123" s="36">
        <f t="shared" si="16"/>
        <v>0</v>
      </c>
      <c r="M123" s="36">
        <f t="shared" si="16"/>
        <v>0</v>
      </c>
      <c r="N123" s="36">
        <f t="shared" si="16"/>
        <v>0</v>
      </c>
      <c r="O123" s="36">
        <f t="shared" si="16"/>
        <v>0</v>
      </c>
      <c r="P123" s="36">
        <f t="shared" si="16"/>
        <v>0</v>
      </c>
      <c r="Q123" s="36">
        <f t="shared" si="16"/>
        <v>0</v>
      </c>
      <c r="R123" s="36">
        <f t="shared" si="16"/>
        <v>0</v>
      </c>
      <c r="S123" s="36">
        <f t="shared" si="16"/>
        <v>0</v>
      </c>
    </row>
    <row r="124" spans="1:19" ht="36" hidden="1" outlineLevel="1" x14ac:dyDescent="0.2">
      <c r="A124" s="449" t="s">
        <v>3309</v>
      </c>
      <c r="B124" s="449">
        <v>10.88</v>
      </c>
      <c r="C124" s="449" t="str">
        <f t="shared" si="14"/>
        <v>TERRAÇO 02</v>
      </c>
      <c r="D124" s="37" t="str">
        <f t="shared" si="13"/>
        <v>M44A</v>
      </c>
      <c r="E124" s="38" t="s">
        <v>3865</v>
      </c>
      <c r="F124" s="36">
        <f t="shared" si="11"/>
        <v>10.88</v>
      </c>
      <c r="G124" s="36"/>
      <c r="H124" s="36">
        <f t="shared" si="12"/>
        <v>0</v>
      </c>
      <c r="I124" s="36">
        <f t="shared" si="16"/>
        <v>0</v>
      </c>
      <c r="J124" s="36">
        <f t="shared" si="16"/>
        <v>10.88</v>
      </c>
      <c r="K124" s="36">
        <f t="shared" si="16"/>
        <v>0</v>
      </c>
      <c r="L124" s="36">
        <f t="shared" si="16"/>
        <v>0</v>
      </c>
      <c r="M124" s="36">
        <f t="shared" si="16"/>
        <v>0</v>
      </c>
      <c r="N124" s="36">
        <f t="shared" si="16"/>
        <v>0</v>
      </c>
      <c r="O124" s="36">
        <f t="shared" si="16"/>
        <v>0</v>
      </c>
      <c r="P124" s="36">
        <f t="shared" si="16"/>
        <v>0</v>
      </c>
      <c r="Q124" s="36">
        <f t="shared" si="16"/>
        <v>0</v>
      </c>
      <c r="R124" s="36">
        <f t="shared" si="16"/>
        <v>0</v>
      </c>
      <c r="S124" s="36">
        <f t="shared" si="16"/>
        <v>0</v>
      </c>
    </row>
    <row r="125" spans="1:19" ht="24" hidden="1" outlineLevel="1" x14ac:dyDescent="0.2">
      <c r="A125" s="449" t="s">
        <v>3351</v>
      </c>
      <c r="B125" s="449">
        <v>23.07</v>
      </c>
      <c r="C125" s="449" t="str">
        <f t="shared" si="14"/>
        <v>TERRAÇO 03</v>
      </c>
      <c r="D125" s="37" t="str">
        <f t="shared" si="13"/>
        <v>E3</v>
      </c>
      <c r="E125" s="38" t="s">
        <v>3865</v>
      </c>
      <c r="F125" s="36">
        <f t="shared" si="11"/>
        <v>23.07</v>
      </c>
      <c r="G125" s="36"/>
      <c r="H125" s="36">
        <f t="shared" si="12"/>
        <v>23.07</v>
      </c>
      <c r="I125" s="36">
        <f t="shared" si="16"/>
        <v>0</v>
      </c>
      <c r="J125" s="36">
        <f t="shared" si="16"/>
        <v>0</v>
      </c>
      <c r="K125" s="36">
        <f t="shared" si="16"/>
        <v>0</v>
      </c>
      <c r="L125" s="36">
        <f t="shared" si="16"/>
        <v>0</v>
      </c>
      <c r="M125" s="36">
        <f t="shared" si="16"/>
        <v>0</v>
      </c>
      <c r="N125" s="36">
        <f t="shared" si="16"/>
        <v>0</v>
      </c>
      <c r="O125" s="36">
        <f t="shared" si="16"/>
        <v>0</v>
      </c>
      <c r="P125" s="36">
        <f t="shared" si="16"/>
        <v>0</v>
      </c>
      <c r="Q125" s="36">
        <f t="shared" si="16"/>
        <v>0</v>
      </c>
      <c r="R125" s="36">
        <f t="shared" si="16"/>
        <v>0</v>
      </c>
      <c r="S125" s="36">
        <f t="shared" si="16"/>
        <v>0</v>
      </c>
    </row>
    <row r="126" spans="1:19" ht="36" hidden="1" outlineLevel="1" x14ac:dyDescent="0.2">
      <c r="A126" s="449" t="s">
        <v>3311</v>
      </c>
      <c r="B126" s="449">
        <v>10.35</v>
      </c>
      <c r="C126" s="449" t="str">
        <f t="shared" si="14"/>
        <v>TERRAÇO 03</v>
      </c>
      <c r="D126" s="37" t="str">
        <f t="shared" si="13"/>
        <v>M44A</v>
      </c>
      <c r="E126" s="38" t="s">
        <v>3865</v>
      </c>
      <c r="F126" s="36">
        <f t="shared" si="11"/>
        <v>10.35</v>
      </c>
      <c r="G126" s="36"/>
      <c r="H126" s="36">
        <f t="shared" si="12"/>
        <v>0</v>
      </c>
      <c r="I126" s="36">
        <f t="shared" si="16"/>
        <v>0</v>
      </c>
      <c r="J126" s="36">
        <f t="shared" si="16"/>
        <v>10.35</v>
      </c>
      <c r="K126" s="36">
        <f t="shared" si="16"/>
        <v>0</v>
      </c>
      <c r="L126" s="36">
        <f t="shared" si="16"/>
        <v>0</v>
      </c>
      <c r="M126" s="36">
        <f t="shared" si="16"/>
        <v>0</v>
      </c>
      <c r="N126" s="36">
        <f t="shared" si="16"/>
        <v>0</v>
      </c>
      <c r="O126" s="36">
        <f t="shared" si="16"/>
        <v>0</v>
      </c>
      <c r="P126" s="36">
        <f t="shared" si="16"/>
        <v>0</v>
      </c>
      <c r="Q126" s="36">
        <f t="shared" si="16"/>
        <v>0</v>
      </c>
      <c r="R126" s="36">
        <f t="shared" si="16"/>
        <v>0</v>
      </c>
      <c r="S126" s="36">
        <f t="shared" si="16"/>
        <v>0</v>
      </c>
    </row>
    <row r="127" spans="1:19" ht="24" hidden="1" outlineLevel="1" x14ac:dyDescent="0.2">
      <c r="A127" s="449" t="s">
        <v>3353</v>
      </c>
      <c r="B127" s="449">
        <v>39.96</v>
      </c>
      <c r="C127" s="449" t="str">
        <f t="shared" si="14"/>
        <v>TERRAÇO 04</v>
      </c>
      <c r="D127" s="37" t="str">
        <f t="shared" si="13"/>
        <v>E3</v>
      </c>
      <c r="E127" s="38" t="s">
        <v>3865</v>
      </c>
      <c r="F127" s="36">
        <f t="shared" si="11"/>
        <v>39.96</v>
      </c>
      <c r="G127" s="36"/>
      <c r="H127" s="36">
        <f t="shared" si="12"/>
        <v>39.96</v>
      </c>
      <c r="I127" s="36">
        <f t="shared" ref="I127:S141" si="17">SUMIF($D127,I$10,$B127)</f>
        <v>0</v>
      </c>
      <c r="J127" s="36">
        <f t="shared" si="17"/>
        <v>0</v>
      </c>
      <c r="K127" s="36">
        <f t="shared" si="17"/>
        <v>0</v>
      </c>
      <c r="L127" s="36">
        <f t="shared" si="17"/>
        <v>0</v>
      </c>
      <c r="M127" s="36">
        <f t="shared" si="17"/>
        <v>0</v>
      </c>
      <c r="N127" s="36">
        <f t="shared" si="17"/>
        <v>0</v>
      </c>
      <c r="O127" s="36">
        <f t="shared" si="17"/>
        <v>0</v>
      </c>
      <c r="P127" s="36">
        <f t="shared" si="17"/>
        <v>0</v>
      </c>
      <c r="Q127" s="36">
        <f t="shared" si="17"/>
        <v>0</v>
      </c>
      <c r="R127" s="36">
        <f t="shared" si="17"/>
        <v>0</v>
      </c>
      <c r="S127" s="36">
        <f t="shared" si="17"/>
        <v>0</v>
      </c>
    </row>
    <row r="128" spans="1:19" ht="36" hidden="1" outlineLevel="1" x14ac:dyDescent="0.2">
      <c r="A128" s="449" t="s">
        <v>3313</v>
      </c>
      <c r="B128" s="449">
        <v>1.82</v>
      </c>
      <c r="C128" s="449" t="str">
        <f t="shared" si="14"/>
        <v>TERRAÇO 04</v>
      </c>
      <c r="D128" s="37" t="str">
        <f t="shared" si="13"/>
        <v>M44A</v>
      </c>
      <c r="E128" s="38" t="s">
        <v>3865</v>
      </c>
      <c r="F128" s="36">
        <f t="shared" si="11"/>
        <v>1.82</v>
      </c>
      <c r="G128" s="36"/>
      <c r="H128" s="36">
        <f t="shared" si="12"/>
        <v>0</v>
      </c>
      <c r="I128" s="36">
        <f t="shared" si="17"/>
        <v>0</v>
      </c>
      <c r="J128" s="36">
        <f t="shared" si="17"/>
        <v>1.82</v>
      </c>
      <c r="K128" s="36">
        <f t="shared" si="17"/>
        <v>0</v>
      </c>
      <c r="L128" s="36">
        <f t="shared" si="17"/>
        <v>0</v>
      </c>
      <c r="M128" s="36">
        <f t="shared" si="17"/>
        <v>0</v>
      </c>
      <c r="N128" s="36">
        <f t="shared" si="17"/>
        <v>0</v>
      </c>
      <c r="O128" s="36">
        <f t="shared" si="17"/>
        <v>0</v>
      </c>
      <c r="P128" s="36">
        <f t="shared" si="17"/>
        <v>0</v>
      </c>
      <c r="Q128" s="36">
        <f t="shared" si="17"/>
        <v>0</v>
      </c>
      <c r="R128" s="36">
        <f t="shared" si="17"/>
        <v>0</v>
      </c>
      <c r="S128" s="36">
        <f t="shared" si="17"/>
        <v>0</v>
      </c>
    </row>
    <row r="129" spans="1:19" ht="24" hidden="1" outlineLevel="1" x14ac:dyDescent="0.2">
      <c r="A129" s="449" t="s">
        <v>3775</v>
      </c>
      <c r="B129" s="449">
        <v>4.4400000000000004</v>
      </c>
      <c r="C129" s="449" t="str">
        <f t="shared" si="14"/>
        <v>SPA</v>
      </c>
      <c r="D129" s="37" t="str">
        <f t="shared" si="13"/>
        <v>E3</v>
      </c>
      <c r="E129" s="38" t="s">
        <v>3866</v>
      </c>
      <c r="F129" s="36">
        <f t="shared" si="11"/>
        <v>4.4400000000000004</v>
      </c>
      <c r="G129" s="36"/>
      <c r="H129" s="36">
        <f t="shared" si="12"/>
        <v>4.4400000000000004</v>
      </c>
      <c r="I129" s="36">
        <f t="shared" si="17"/>
        <v>0</v>
      </c>
      <c r="J129" s="36">
        <f t="shared" si="17"/>
        <v>0</v>
      </c>
      <c r="K129" s="36">
        <f t="shared" si="17"/>
        <v>0</v>
      </c>
      <c r="L129" s="36">
        <f t="shared" si="17"/>
        <v>0</v>
      </c>
      <c r="M129" s="36">
        <f t="shared" si="17"/>
        <v>0</v>
      </c>
      <c r="N129" s="36">
        <f t="shared" si="17"/>
        <v>0</v>
      </c>
      <c r="O129" s="36">
        <f t="shared" si="17"/>
        <v>0</v>
      </c>
      <c r="P129" s="36">
        <f t="shared" si="17"/>
        <v>0</v>
      </c>
      <c r="Q129" s="36">
        <f t="shared" si="17"/>
        <v>0</v>
      </c>
      <c r="R129" s="36">
        <f t="shared" si="17"/>
        <v>0</v>
      </c>
      <c r="S129" s="36">
        <f t="shared" si="17"/>
        <v>0</v>
      </c>
    </row>
    <row r="130" spans="1:19" ht="24" hidden="1" outlineLevel="1" x14ac:dyDescent="0.2">
      <c r="A130" s="449" t="s">
        <v>3355</v>
      </c>
      <c r="B130" s="449">
        <v>9.56</v>
      </c>
      <c r="C130" s="449" t="str">
        <f t="shared" si="14"/>
        <v>TERRAÇO 05</v>
      </c>
      <c r="D130" s="37" t="str">
        <f t="shared" si="13"/>
        <v>E3</v>
      </c>
      <c r="E130" s="38" t="s">
        <v>3865</v>
      </c>
      <c r="F130" s="36">
        <f t="shared" si="11"/>
        <v>9.56</v>
      </c>
      <c r="G130" s="36"/>
      <c r="H130" s="36">
        <f t="shared" si="12"/>
        <v>9.56</v>
      </c>
      <c r="I130" s="36">
        <f t="shared" si="17"/>
        <v>0</v>
      </c>
      <c r="J130" s="36">
        <f t="shared" si="17"/>
        <v>0</v>
      </c>
      <c r="K130" s="36">
        <f t="shared" si="17"/>
        <v>0</v>
      </c>
      <c r="L130" s="36">
        <f t="shared" si="17"/>
        <v>0</v>
      </c>
      <c r="M130" s="36">
        <f t="shared" si="17"/>
        <v>0</v>
      </c>
      <c r="N130" s="36">
        <f t="shared" si="17"/>
        <v>0</v>
      </c>
      <c r="O130" s="36">
        <f t="shared" si="17"/>
        <v>0</v>
      </c>
      <c r="P130" s="36">
        <f t="shared" si="17"/>
        <v>0</v>
      </c>
      <c r="Q130" s="36">
        <f t="shared" si="17"/>
        <v>0</v>
      </c>
      <c r="R130" s="36">
        <f t="shared" si="17"/>
        <v>0</v>
      </c>
      <c r="S130" s="36">
        <f t="shared" si="17"/>
        <v>0</v>
      </c>
    </row>
    <row r="131" spans="1:19" ht="36" hidden="1" outlineLevel="1" x14ac:dyDescent="0.2">
      <c r="A131" s="449" t="s">
        <v>3451</v>
      </c>
      <c r="B131" s="449">
        <v>8.23</v>
      </c>
      <c r="C131" s="449" t="str">
        <f t="shared" si="14"/>
        <v>TERRAÇO 05</v>
      </c>
      <c r="D131" s="37" t="str">
        <f t="shared" si="13"/>
        <v>M44A</v>
      </c>
      <c r="E131" s="38" t="s">
        <v>3865</v>
      </c>
      <c r="F131" s="36">
        <f t="shared" si="11"/>
        <v>8.23</v>
      </c>
      <c r="G131" s="36"/>
      <c r="H131" s="36">
        <f t="shared" si="12"/>
        <v>0</v>
      </c>
      <c r="I131" s="36">
        <f t="shared" si="17"/>
        <v>0</v>
      </c>
      <c r="J131" s="36">
        <f t="shared" si="17"/>
        <v>8.23</v>
      </c>
      <c r="K131" s="36">
        <f t="shared" si="17"/>
        <v>0</v>
      </c>
      <c r="L131" s="36">
        <f t="shared" si="17"/>
        <v>0</v>
      </c>
      <c r="M131" s="36">
        <f t="shared" si="17"/>
        <v>0</v>
      </c>
      <c r="N131" s="36">
        <f t="shared" si="17"/>
        <v>0</v>
      </c>
      <c r="O131" s="36">
        <f t="shared" si="17"/>
        <v>0</v>
      </c>
      <c r="P131" s="36">
        <f t="shared" si="17"/>
        <v>0</v>
      </c>
      <c r="Q131" s="36">
        <f t="shared" si="17"/>
        <v>0</v>
      </c>
      <c r="R131" s="36">
        <f t="shared" si="17"/>
        <v>0</v>
      </c>
      <c r="S131" s="36">
        <f t="shared" si="17"/>
        <v>0</v>
      </c>
    </row>
    <row r="132" spans="1:19" ht="24" hidden="1" outlineLevel="1" x14ac:dyDescent="0.2">
      <c r="A132" s="449" t="s">
        <v>3357</v>
      </c>
      <c r="B132" s="449">
        <v>2.82</v>
      </c>
      <c r="C132" s="449" t="str">
        <f t="shared" si="14"/>
        <v>TERRAÇO 06</v>
      </c>
      <c r="D132" s="37" t="str">
        <f t="shared" si="13"/>
        <v>E3</v>
      </c>
      <c r="E132" s="38" t="s">
        <v>3865</v>
      </c>
      <c r="F132" s="36">
        <f t="shared" si="11"/>
        <v>2.82</v>
      </c>
      <c r="G132" s="36"/>
      <c r="H132" s="36">
        <f t="shared" si="12"/>
        <v>2.82</v>
      </c>
      <c r="I132" s="36">
        <f t="shared" si="17"/>
        <v>0</v>
      </c>
      <c r="J132" s="36">
        <f t="shared" si="17"/>
        <v>0</v>
      </c>
      <c r="K132" s="36">
        <f t="shared" si="17"/>
        <v>0</v>
      </c>
      <c r="L132" s="36">
        <f t="shared" si="17"/>
        <v>0</v>
      </c>
      <c r="M132" s="36">
        <f t="shared" si="17"/>
        <v>0</v>
      </c>
      <c r="N132" s="36">
        <f t="shared" si="17"/>
        <v>0</v>
      </c>
      <c r="O132" s="36">
        <f t="shared" si="17"/>
        <v>0</v>
      </c>
      <c r="P132" s="36">
        <f t="shared" si="17"/>
        <v>0</v>
      </c>
      <c r="Q132" s="36">
        <f t="shared" si="17"/>
        <v>0</v>
      </c>
      <c r="R132" s="36">
        <f t="shared" si="17"/>
        <v>0</v>
      </c>
      <c r="S132" s="36">
        <f t="shared" si="17"/>
        <v>0</v>
      </c>
    </row>
    <row r="133" spans="1:19" ht="36" hidden="1" outlineLevel="1" x14ac:dyDescent="0.2">
      <c r="A133" s="449" t="s">
        <v>3397</v>
      </c>
      <c r="B133" s="449">
        <v>26.2</v>
      </c>
      <c r="C133" s="449" t="str">
        <f t="shared" si="14"/>
        <v>TERRAÇO 06</v>
      </c>
      <c r="D133" s="37" t="str">
        <f t="shared" si="13"/>
        <v>M44A</v>
      </c>
      <c r="E133" s="38" t="s">
        <v>3865</v>
      </c>
      <c r="F133" s="36">
        <f t="shared" si="11"/>
        <v>26.2</v>
      </c>
      <c r="G133" s="36"/>
      <c r="H133" s="36">
        <f t="shared" si="12"/>
        <v>0</v>
      </c>
      <c r="I133" s="36">
        <f t="shared" si="17"/>
        <v>0</v>
      </c>
      <c r="J133" s="36">
        <f t="shared" si="17"/>
        <v>26.2</v>
      </c>
      <c r="K133" s="36">
        <f t="shared" si="17"/>
        <v>0</v>
      </c>
      <c r="L133" s="36">
        <f t="shared" si="17"/>
        <v>0</v>
      </c>
      <c r="M133" s="36">
        <f t="shared" si="17"/>
        <v>0</v>
      </c>
      <c r="N133" s="36">
        <f t="shared" si="17"/>
        <v>0</v>
      </c>
      <c r="O133" s="36">
        <f t="shared" si="17"/>
        <v>0</v>
      </c>
      <c r="P133" s="36">
        <f t="shared" si="17"/>
        <v>0</v>
      </c>
      <c r="Q133" s="36">
        <f t="shared" si="17"/>
        <v>0</v>
      </c>
      <c r="R133" s="36">
        <f t="shared" si="17"/>
        <v>0</v>
      </c>
      <c r="S133" s="36">
        <f t="shared" si="17"/>
        <v>0</v>
      </c>
    </row>
    <row r="134" spans="1:19" ht="36" hidden="1" outlineLevel="1" x14ac:dyDescent="0.2">
      <c r="A134" s="449" t="s">
        <v>3360</v>
      </c>
      <c r="B134" s="449">
        <v>5.12</v>
      </c>
      <c r="C134" s="449" t="str">
        <f t="shared" si="14"/>
        <v>TERRAÇO 08</v>
      </c>
      <c r="D134" s="37" t="str">
        <f t="shared" si="13"/>
        <v>M44A</v>
      </c>
      <c r="E134" s="38" t="s">
        <v>3865</v>
      </c>
      <c r="F134" s="36">
        <f t="shared" si="11"/>
        <v>5.12</v>
      </c>
      <c r="G134" s="36"/>
      <c r="H134" s="36">
        <f t="shared" si="12"/>
        <v>0</v>
      </c>
      <c r="I134" s="36">
        <f t="shared" si="17"/>
        <v>0</v>
      </c>
      <c r="J134" s="36">
        <f t="shared" si="17"/>
        <v>5.12</v>
      </c>
      <c r="K134" s="36">
        <f t="shared" si="17"/>
        <v>0</v>
      </c>
      <c r="L134" s="36">
        <f t="shared" si="17"/>
        <v>0</v>
      </c>
      <c r="M134" s="36">
        <f t="shared" si="17"/>
        <v>0</v>
      </c>
      <c r="N134" s="36">
        <f t="shared" si="17"/>
        <v>0</v>
      </c>
      <c r="O134" s="36">
        <f t="shared" si="17"/>
        <v>0</v>
      </c>
      <c r="P134" s="36">
        <f t="shared" si="17"/>
        <v>0</v>
      </c>
      <c r="Q134" s="36">
        <f t="shared" si="17"/>
        <v>0</v>
      </c>
      <c r="R134" s="36">
        <f t="shared" si="17"/>
        <v>0</v>
      </c>
      <c r="S134" s="36">
        <f t="shared" si="17"/>
        <v>0</v>
      </c>
    </row>
    <row r="135" spans="1:19" ht="36" hidden="1" outlineLevel="1" x14ac:dyDescent="0.2">
      <c r="A135" s="449" t="s">
        <v>3362</v>
      </c>
      <c r="B135" s="449">
        <v>3.25</v>
      </c>
      <c r="C135" s="449" t="str">
        <f t="shared" si="14"/>
        <v>TERRAÇO 09</v>
      </c>
      <c r="D135" s="37" t="str">
        <f t="shared" si="13"/>
        <v>M44A</v>
      </c>
      <c r="E135" s="38" t="s">
        <v>3865</v>
      </c>
      <c r="F135" s="36">
        <f t="shared" si="11"/>
        <v>3.25</v>
      </c>
      <c r="G135" s="36"/>
      <c r="H135" s="36">
        <f t="shared" si="12"/>
        <v>0</v>
      </c>
      <c r="I135" s="36">
        <f t="shared" si="17"/>
        <v>0</v>
      </c>
      <c r="J135" s="36">
        <f t="shared" si="17"/>
        <v>3.25</v>
      </c>
      <c r="K135" s="36">
        <f t="shared" si="17"/>
        <v>0</v>
      </c>
      <c r="L135" s="36">
        <f t="shared" si="17"/>
        <v>0</v>
      </c>
      <c r="M135" s="36">
        <f t="shared" si="17"/>
        <v>0</v>
      </c>
      <c r="N135" s="36">
        <f t="shared" si="17"/>
        <v>0</v>
      </c>
      <c r="O135" s="36">
        <f t="shared" si="17"/>
        <v>0</v>
      </c>
      <c r="P135" s="36">
        <f t="shared" si="17"/>
        <v>0</v>
      </c>
      <c r="Q135" s="36">
        <f t="shared" si="17"/>
        <v>0</v>
      </c>
      <c r="R135" s="36">
        <f t="shared" si="17"/>
        <v>0</v>
      </c>
      <c r="S135" s="36">
        <f t="shared" si="17"/>
        <v>0</v>
      </c>
    </row>
    <row r="136" spans="1:19" ht="36" hidden="1" outlineLevel="1" x14ac:dyDescent="0.2">
      <c r="A136" s="449" t="s">
        <v>3680</v>
      </c>
      <c r="B136" s="449">
        <v>27.94</v>
      </c>
      <c r="C136" s="449" t="str">
        <f t="shared" si="14"/>
        <v>TERRAÇO DESCOBERTO</v>
      </c>
      <c r="D136" s="37" t="str">
        <f t="shared" si="13"/>
        <v>M44A</v>
      </c>
      <c r="E136" s="38" t="s">
        <v>3865</v>
      </c>
      <c r="F136" s="36">
        <f t="shared" si="11"/>
        <v>27.94</v>
      </c>
      <c r="G136" s="36"/>
      <c r="H136" s="36">
        <f t="shared" si="12"/>
        <v>0</v>
      </c>
      <c r="I136" s="36">
        <f t="shared" si="17"/>
        <v>0</v>
      </c>
      <c r="J136" s="36">
        <f t="shared" si="17"/>
        <v>27.94</v>
      </c>
      <c r="K136" s="36">
        <f t="shared" si="17"/>
        <v>0</v>
      </c>
      <c r="L136" s="36">
        <f t="shared" si="17"/>
        <v>0</v>
      </c>
      <c r="M136" s="36">
        <f t="shared" si="17"/>
        <v>0</v>
      </c>
      <c r="N136" s="36">
        <f t="shared" si="17"/>
        <v>0</v>
      </c>
      <c r="O136" s="36">
        <f t="shared" si="17"/>
        <v>0</v>
      </c>
      <c r="P136" s="36">
        <f t="shared" si="17"/>
        <v>0</v>
      </c>
      <c r="Q136" s="36">
        <f t="shared" si="17"/>
        <v>0</v>
      </c>
      <c r="R136" s="36">
        <f t="shared" si="17"/>
        <v>0</v>
      </c>
      <c r="S136" s="36">
        <f t="shared" si="17"/>
        <v>0</v>
      </c>
    </row>
    <row r="137" spans="1:19" ht="24" hidden="1" outlineLevel="1" x14ac:dyDescent="0.2">
      <c r="A137" s="449" t="s">
        <v>3252</v>
      </c>
      <c r="B137" s="449">
        <v>2.83</v>
      </c>
      <c r="C137" s="449" t="str">
        <f t="shared" si="14"/>
        <v>TERRAÇO (TÉRREO)</v>
      </c>
      <c r="D137" s="37" t="str">
        <f t="shared" si="13"/>
        <v>C3</v>
      </c>
      <c r="E137" s="38" t="s">
        <v>3865</v>
      </c>
      <c r="F137" s="36">
        <f t="shared" si="11"/>
        <v>2.83</v>
      </c>
      <c r="G137" s="36"/>
      <c r="H137" s="36">
        <f t="shared" si="12"/>
        <v>0</v>
      </c>
      <c r="I137" s="36">
        <f t="shared" si="17"/>
        <v>0</v>
      </c>
      <c r="J137" s="36">
        <f t="shared" si="17"/>
        <v>0</v>
      </c>
      <c r="K137" s="36">
        <f t="shared" si="17"/>
        <v>2.83</v>
      </c>
      <c r="L137" s="36">
        <f t="shared" si="17"/>
        <v>0</v>
      </c>
      <c r="M137" s="36">
        <f t="shared" si="17"/>
        <v>0</v>
      </c>
      <c r="N137" s="36">
        <f t="shared" si="17"/>
        <v>0</v>
      </c>
      <c r="O137" s="36">
        <f t="shared" si="17"/>
        <v>0</v>
      </c>
      <c r="P137" s="36">
        <f t="shared" si="17"/>
        <v>0</v>
      </c>
      <c r="Q137" s="36">
        <f t="shared" si="17"/>
        <v>0</v>
      </c>
      <c r="R137" s="36">
        <f t="shared" si="17"/>
        <v>0</v>
      </c>
      <c r="S137" s="36">
        <f t="shared" si="17"/>
        <v>0</v>
      </c>
    </row>
    <row r="138" spans="1:19" ht="24" hidden="1" outlineLevel="1" x14ac:dyDescent="0.2">
      <c r="A138" s="449" t="s">
        <v>3237</v>
      </c>
      <c r="B138" s="449">
        <v>4.1399999999999997</v>
      </c>
      <c r="C138" s="449" t="str">
        <f t="shared" si="14"/>
        <v>VEST. FUNC.</v>
      </c>
      <c r="D138" s="37" t="str">
        <f t="shared" si="13"/>
        <v>C3</v>
      </c>
      <c r="E138" s="38" t="s">
        <v>3866</v>
      </c>
      <c r="F138" s="36">
        <f t="shared" si="11"/>
        <v>4.1399999999999997</v>
      </c>
      <c r="G138" s="36"/>
      <c r="H138" s="36">
        <f t="shared" si="12"/>
        <v>0</v>
      </c>
      <c r="I138" s="36">
        <f t="shared" si="17"/>
        <v>0</v>
      </c>
      <c r="J138" s="36">
        <f t="shared" si="17"/>
        <v>0</v>
      </c>
      <c r="K138" s="36">
        <f t="shared" si="17"/>
        <v>4.1399999999999997</v>
      </c>
      <c r="L138" s="36">
        <f t="shared" si="17"/>
        <v>0</v>
      </c>
      <c r="M138" s="36">
        <f t="shared" si="17"/>
        <v>0</v>
      </c>
      <c r="N138" s="36">
        <f t="shared" si="17"/>
        <v>0</v>
      </c>
      <c r="O138" s="36">
        <f t="shared" si="17"/>
        <v>0</v>
      </c>
      <c r="P138" s="36">
        <f t="shared" si="17"/>
        <v>0</v>
      </c>
      <c r="Q138" s="36">
        <f t="shared" si="17"/>
        <v>0</v>
      </c>
      <c r="R138" s="36">
        <f t="shared" si="17"/>
        <v>0</v>
      </c>
      <c r="S138" s="36">
        <f t="shared" si="17"/>
        <v>0</v>
      </c>
    </row>
    <row r="139" spans="1:19" ht="24" hidden="1" outlineLevel="1" x14ac:dyDescent="0.2">
      <c r="A139" s="449" t="s">
        <v>3248</v>
      </c>
      <c r="B139" s="449">
        <v>209.84</v>
      </c>
      <c r="C139" s="449" t="str">
        <f t="shared" si="14"/>
        <v>VIGA BALDRAME</v>
      </c>
      <c r="D139" s="37" t="str">
        <f t="shared" si="13"/>
        <v>C4</v>
      </c>
      <c r="E139" s="38" t="s">
        <v>3864</v>
      </c>
      <c r="F139" s="36">
        <f t="shared" si="11"/>
        <v>209.84</v>
      </c>
      <c r="G139" s="36"/>
      <c r="H139" s="36">
        <f t="shared" si="12"/>
        <v>0</v>
      </c>
      <c r="I139" s="36">
        <f t="shared" si="17"/>
        <v>0</v>
      </c>
      <c r="J139" s="36">
        <f t="shared" si="17"/>
        <v>0</v>
      </c>
      <c r="K139" s="36">
        <f t="shared" si="17"/>
        <v>0</v>
      </c>
      <c r="L139" s="36">
        <f t="shared" si="17"/>
        <v>0</v>
      </c>
      <c r="M139" s="36">
        <f t="shared" si="17"/>
        <v>209.84</v>
      </c>
      <c r="N139" s="36">
        <f t="shared" si="17"/>
        <v>0</v>
      </c>
      <c r="O139" s="36">
        <f t="shared" si="17"/>
        <v>0</v>
      </c>
      <c r="P139" s="36">
        <f t="shared" si="17"/>
        <v>0</v>
      </c>
      <c r="Q139" s="36">
        <f t="shared" si="17"/>
        <v>0</v>
      </c>
      <c r="R139" s="36">
        <f t="shared" si="17"/>
        <v>0</v>
      </c>
      <c r="S139" s="36">
        <f t="shared" si="17"/>
        <v>0</v>
      </c>
    </row>
    <row r="140" spans="1:19" ht="24" hidden="1" outlineLevel="1" x14ac:dyDescent="0.2">
      <c r="A140" s="449" t="s">
        <v>3238</v>
      </c>
      <c r="B140" s="449">
        <v>19.899999999999999</v>
      </c>
      <c r="C140" s="449" t="str">
        <f t="shared" si="14"/>
        <v>VÃO DO RESERVATÓRIO</v>
      </c>
      <c r="D140" s="37" t="str">
        <f t="shared" si="13"/>
        <v>C3</v>
      </c>
      <c r="E140" s="38" t="s">
        <v>3868</v>
      </c>
      <c r="F140" s="36">
        <f t="shared" si="11"/>
        <v>19.899999999999999</v>
      </c>
      <c r="G140" s="36"/>
      <c r="H140" s="36">
        <f t="shared" si="12"/>
        <v>0</v>
      </c>
      <c r="I140" s="36">
        <f t="shared" si="17"/>
        <v>0</v>
      </c>
      <c r="J140" s="36">
        <f t="shared" si="17"/>
        <v>0</v>
      </c>
      <c r="K140" s="36">
        <f t="shared" si="17"/>
        <v>19.899999999999999</v>
      </c>
      <c r="L140" s="36">
        <f t="shared" si="17"/>
        <v>0</v>
      </c>
      <c r="M140" s="36">
        <f t="shared" si="17"/>
        <v>0</v>
      </c>
      <c r="N140" s="36">
        <f t="shared" si="17"/>
        <v>0</v>
      </c>
      <c r="O140" s="36">
        <f t="shared" si="17"/>
        <v>0</v>
      </c>
      <c r="P140" s="36">
        <f t="shared" si="17"/>
        <v>0</v>
      </c>
      <c r="Q140" s="36">
        <f t="shared" si="17"/>
        <v>0</v>
      </c>
      <c r="R140" s="36">
        <f t="shared" si="17"/>
        <v>0</v>
      </c>
      <c r="S140" s="36">
        <f t="shared" si="17"/>
        <v>0</v>
      </c>
    </row>
    <row r="141" spans="1:19" ht="24" hidden="1" outlineLevel="1" x14ac:dyDescent="0.2">
      <c r="A141" s="449" t="s">
        <v>3304</v>
      </c>
      <c r="B141" s="449">
        <v>1.84</v>
      </c>
      <c r="C141" s="449" t="str">
        <f t="shared" si="14"/>
        <v>WC PNE</v>
      </c>
      <c r="D141" s="37" t="str">
        <f t="shared" si="13"/>
        <v>E3</v>
      </c>
      <c r="E141" s="38" t="s">
        <v>3866</v>
      </c>
      <c r="F141" s="36">
        <f t="shared" si="11"/>
        <v>1.84</v>
      </c>
      <c r="G141" s="36"/>
      <c r="H141" s="36">
        <f t="shared" si="12"/>
        <v>1.84</v>
      </c>
      <c r="I141" s="36">
        <f t="shared" si="17"/>
        <v>0</v>
      </c>
      <c r="J141" s="36">
        <f t="shared" si="17"/>
        <v>0</v>
      </c>
      <c r="K141" s="36">
        <f t="shared" si="17"/>
        <v>0</v>
      </c>
      <c r="L141" s="36">
        <f t="shared" si="17"/>
        <v>0</v>
      </c>
      <c r="M141" s="36">
        <f t="shared" si="17"/>
        <v>0</v>
      </c>
      <c r="N141" s="36">
        <f t="shared" si="17"/>
        <v>0</v>
      </c>
      <c r="O141" s="36">
        <f t="shared" si="17"/>
        <v>0</v>
      </c>
      <c r="P141" s="36">
        <f t="shared" si="17"/>
        <v>0</v>
      </c>
      <c r="Q141" s="36">
        <f t="shared" si="17"/>
        <v>0</v>
      </c>
      <c r="R141" s="36">
        <f t="shared" si="17"/>
        <v>0</v>
      </c>
      <c r="S141" s="36">
        <f t="shared" si="17"/>
        <v>0</v>
      </c>
    </row>
    <row r="142" spans="1:19" ht="24" hidden="1" outlineLevel="1" x14ac:dyDescent="0.2">
      <c r="A142" s="449" t="s">
        <v>3266</v>
      </c>
      <c r="B142" s="449">
        <v>3.8</v>
      </c>
      <c r="C142" s="449" t="str">
        <f t="shared" si="14"/>
        <v>WC PNE 01</v>
      </c>
      <c r="D142" s="37" t="str">
        <f t="shared" si="13"/>
        <v>E3</v>
      </c>
      <c r="E142" s="38" t="s">
        <v>3866</v>
      </c>
      <c r="F142" s="36">
        <f t="shared" ref="F142:F145" si="18">B142</f>
        <v>3.8</v>
      </c>
      <c r="G142" s="36"/>
      <c r="H142" s="36">
        <f t="shared" ref="H142:S145" si="19">SUMIF($D142,H$10,$B142)</f>
        <v>3.8</v>
      </c>
      <c r="I142" s="36">
        <f t="shared" si="19"/>
        <v>0</v>
      </c>
      <c r="J142" s="36">
        <f t="shared" si="19"/>
        <v>0</v>
      </c>
      <c r="K142" s="36">
        <f t="shared" si="19"/>
        <v>0</v>
      </c>
      <c r="L142" s="36">
        <f t="shared" si="19"/>
        <v>0</v>
      </c>
      <c r="M142" s="36">
        <f t="shared" si="19"/>
        <v>0</v>
      </c>
      <c r="N142" s="36">
        <f t="shared" si="19"/>
        <v>0</v>
      </c>
      <c r="O142" s="36">
        <f t="shared" si="19"/>
        <v>0</v>
      </c>
      <c r="P142" s="36">
        <f t="shared" si="19"/>
        <v>0</v>
      </c>
      <c r="Q142" s="36">
        <f t="shared" si="19"/>
        <v>0</v>
      </c>
      <c r="R142" s="36">
        <f t="shared" si="19"/>
        <v>0</v>
      </c>
      <c r="S142" s="36">
        <f t="shared" si="19"/>
        <v>0</v>
      </c>
    </row>
    <row r="143" spans="1:19" ht="24" hidden="1" outlineLevel="1" x14ac:dyDescent="0.2">
      <c r="A143" s="449" t="s">
        <v>3268</v>
      </c>
      <c r="B143" s="449">
        <v>3.73</v>
      </c>
      <c r="C143" s="449" t="str">
        <f t="shared" si="14"/>
        <v>WC PNE 02</v>
      </c>
      <c r="D143" s="37" t="str">
        <f t="shared" ref="D143:D145" si="20">TRIM(LEFT(A143,FIND("-",A143)-1))</f>
        <v>E3</v>
      </c>
      <c r="E143" s="38" t="s">
        <v>3866</v>
      </c>
      <c r="F143" s="36">
        <f t="shared" si="18"/>
        <v>3.73</v>
      </c>
      <c r="G143" s="36"/>
      <c r="H143" s="36">
        <f t="shared" si="19"/>
        <v>3.73</v>
      </c>
      <c r="I143" s="36">
        <f t="shared" si="19"/>
        <v>0</v>
      </c>
      <c r="J143" s="36">
        <f t="shared" si="19"/>
        <v>0</v>
      </c>
      <c r="K143" s="36">
        <f t="shared" si="19"/>
        <v>0</v>
      </c>
      <c r="L143" s="36">
        <f t="shared" si="19"/>
        <v>0</v>
      </c>
      <c r="M143" s="36">
        <f t="shared" si="19"/>
        <v>0</v>
      </c>
      <c r="N143" s="36">
        <f t="shared" si="19"/>
        <v>0</v>
      </c>
      <c r="O143" s="36">
        <f t="shared" si="19"/>
        <v>0</v>
      </c>
      <c r="P143" s="36">
        <f t="shared" si="19"/>
        <v>0</v>
      </c>
      <c r="Q143" s="36">
        <f t="shared" si="19"/>
        <v>0</v>
      </c>
      <c r="R143" s="36">
        <f t="shared" si="19"/>
        <v>0</v>
      </c>
      <c r="S143" s="36">
        <f t="shared" si="19"/>
        <v>0</v>
      </c>
    </row>
    <row r="144" spans="1:19" ht="24" hidden="1" outlineLevel="1" x14ac:dyDescent="0.2">
      <c r="A144" s="449" t="s">
        <v>3270</v>
      </c>
      <c r="B144" s="449">
        <v>1.84</v>
      </c>
      <c r="C144" s="449" t="str">
        <f t="shared" si="14"/>
        <v>WC PNE 03</v>
      </c>
      <c r="D144" s="37" t="str">
        <f t="shared" si="20"/>
        <v>E3</v>
      </c>
      <c r="E144" s="38" t="s">
        <v>3866</v>
      </c>
      <c r="F144" s="36">
        <f t="shared" si="18"/>
        <v>1.84</v>
      </c>
      <c r="G144" s="36"/>
      <c r="H144" s="36">
        <f t="shared" si="19"/>
        <v>1.84</v>
      </c>
      <c r="I144" s="36">
        <f t="shared" si="19"/>
        <v>0</v>
      </c>
      <c r="J144" s="36">
        <f t="shared" si="19"/>
        <v>0</v>
      </c>
      <c r="K144" s="36">
        <f t="shared" si="19"/>
        <v>0</v>
      </c>
      <c r="L144" s="36">
        <f t="shared" si="19"/>
        <v>0</v>
      </c>
      <c r="M144" s="36">
        <f t="shared" si="19"/>
        <v>0</v>
      </c>
      <c r="N144" s="36">
        <f t="shared" si="19"/>
        <v>0</v>
      </c>
      <c r="O144" s="36">
        <f t="shared" si="19"/>
        <v>0</v>
      </c>
      <c r="P144" s="36">
        <f t="shared" si="19"/>
        <v>0</v>
      </c>
      <c r="Q144" s="36">
        <f t="shared" si="19"/>
        <v>0</v>
      </c>
      <c r="R144" s="36">
        <f t="shared" si="19"/>
        <v>0</v>
      </c>
      <c r="S144" s="36">
        <f t="shared" si="19"/>
        <v>0</v>
      </c>
    </row>
    <row r="145" spans="1:19" ht="24" hidden="1" outlineLevel="1" x14ac:dyDescent="0.2">
      <c r="A145" s="449" t="s">
        <v>3272</v>
      </c>
      <c r="B145" s="449">
        <v>1.37</v>
      </c>
      <c r="C145" s="449" t="str">
        <f t="shared" si="14"/>
        <v>WC PNE 04</v>
      </c>
      <c r="D145" s="37" t="str">
        <f t="shared" si="20"/>
        <v>E3</v>
      </c>
      <c r="E145" s="38" t="s">
        <v>3866</v>
      </c>
      <c r="F145" s="36">
        <f t="shared" si="18"/>
        <v>1.37</v>
      </c>
      <c r="G145" s="36"/>
      <c r="H145" s="36">
        <f t="shared" si="19"/>
        <v>1.37</v>
      </c>
      <c r="I145" s="36">
        <f t="shared" si="19"/>
        <v>0</v>
      </c>
      <c r="J145" s="36">
        <f t="shared" si="19"/>
        <v>0</v>
      </c>
      <c r="K145" s="36">
        <f t="shared" si="19"/>
        <v>0</v>
      </c>
      <c r="L145" s="36">
        <f t="shared" si="19"/>
        <v>0</v>
      </c>
      <c r="M145" s="36">
        <f t="shared" si="19"/>
        <v>0</v>
      </c>
      <c r="N145" s="36">
        <f t="shared" si="19"/>
        <v>0</v>
      </c>
      <c r="O145" s="36">
        <f t="shared" si="19"/>
        <v>0</v>
      </c>
      <c r="P145" s="36">
        <f t="shared" si="19"/>
        <v>0</v>
      </c>
      <c r="Q145" s="36">
        <f t="shared" si="19"/>
        <v>0</v>
      </c>
      <c r="R145" s="36">
        <f t="shared" si="19"/>
        <v>0</v>
      </c>
      <c r="S145" s="36">
        <f t="shared" si="19"/>
        <v>0</v>
      </c>
    </row>
    <row r="146" spans="1:19" ht="13.5" hidden="1" thickTop="1" thickBot="1" x14ac:dyDescent="0.25">
      <c r="A146" s="546" t="str">
        <f>"TOTAL GERAL - "&amp;A9</f>
        <v>TOTAL GERAL - IMPERMEABILIZAÇÃO</v>
      </c>
      <c r="B146" s="39">
        <f>SUM(B13:B145)</f>
        <v>4984.6900000000014</v>
      </c>
      <c r="C146" s="29"/>
      <c r="D146" s="29"/>
      <c r="E146" s="29"/>
      <c r="F146" s="30">
        <f>SUM(F13:F145)</f>
        <v>4984.6900000000014</v>
      </c>
      <c r="G146" s="30">
        <f t="shared" ref="G146:S146" si="21">SUM(G13:G145)</f>
        <v>14.120000000000001</v>
      </c>
      <c r="H146" s="30">
        <f t="shared" si="21"/>
        <v>2876.1000000000008</v>
      </c>
      <c r="I146" s="30">
        <f t="shared" si="21"/>
        <v>130.83000000000001</v>
      </c>
      <c r="J146" s="30">
        <f t="shared" si="21"/>
        <v>780.24000000000012</v>
      </c>
      <c r="K146" s="30">
        <f t="shared" si="21"/>
        <v>445.17999999999989</v>
      </c>
      <c r="L146" s="30">
        <f t="shared" si="21"/>
        <v>163.53</v>
      </c>
      <c r="M146" s="30">
        <f t="shared" si="21"/>
        <v>309.19</v>
      </c>
      <c r="N146" s="30">
        <f t="shared" si="21"/>
        <v>47.53</v>
      </c>
      <c r="O146" s="30">
        <f t="shared" si="21"/>
        <v>1.92</v>
      </c>
      <c r="P146" s="30">
        <f t="shared" si="21"/>
        <v>59.81</v>
      </c>
      <c r="Q146" s="30">
        <f t="shared" si="21"/>
        <v>27.76</v>
      </c>
      <c r="R146" s="30">
        <f t="shared" si="21"/>
        <v>14.120000000000001</v>
      </c>
      <c r="S146" s="30">
        <f t="shared" si="21"/>
        <v>128.47999999999999</v>
      </c>
    </row>
    <row r="147" spans="1:19" hidden="1" x14ac:dyDescent="0.2">
      <c r="H147" s="537" t="str">
        <f>IF(H146=D7,"okay","rever")</f>
        <v>okay</v>
      </c>
      <c r="I147" s="537" t="str">
        <f t="shared" ref="I147:S147" si="22">IF(I146=E7,"okay","rever")</f>
        <v>okay</v>
      </c>
      <c r="J147" s="537" t="str">
        <f t="shared" si="22"/>
        <v>okay</v>
      </c>
      <c r="K147" s="537" t="str">
        <f t="shared" si="22"/>
        <v>okay</v>
      </c>
      <c r="L147" s="537" t="str">
        <f t="shared" si="22"/>
        <v>okay</v>
      </c>
      <c r="M147" s="537" t="str">
        <f t="shared" si="22"/>
        <v>okay</v>
      </c>
      <c r="N147" s="537" t="str">
        <f t="shared" si="22"/>
        <v>okay</v>
      </c>
      <c r="O147" s="537" t="str">
        <f t="shared" si="22"/>
        <v>okay</v>
      </c>
      <c r="P147" s="537" t="str">
        <f t="shared" si="22"/>
        <v>okay</v>
      </c>
      <c r="Q147" s="537" t="str">
        <f t="shared" si="22"/>
        <v>okay</v>
      </c>
      <c r="R147" s="537" t="str">
        <f t="shared" si="22"/>
        <v>okay</v>
      </c>
      <c r="S147" s="537" t="str">
        <f t="shared" si="22"/>
        <v>okay</v>
      </c>
    </row>
  </sheetData>
  <autoFilter ref="A10:Z147" xr:uid="{010C8942-5994-4FE9-8C7F-E01452DA428D}">
    <filterColumn colId="3">
      <filters>
        <filter val="M44A + M44AE2"/>
      </filters>
    </filterColumn>
  </autoFilter>
  <mergeCells count="19">
    <mergeCell ref="K10:K12"/>
    <mergeCell ref="J10:J12"/>
    <mergeCell ref="R10:R12"/>
    <mergeCell ref="Q10:Q12"/>
    <mergeCell ref="F10:F12"/>
    <mergeCell ref="G10:G12"/>
    <mergeCell ref="H10:H12"/>
    <mergeCell ref="I10:I12"/>
    <mergeCell ref="L10:L12"/>
    <mergeCell ref="S10:S12"/>
    <mergeCell ref="P10:P12"/>
    <mergeCell ref="O10:O12"/>
    <mergeCell ref="N10:N12"/>
    <mergeCell ref="M10:M12"/>
    <mergeCell ref="A10:A12"/>
    <mergeCell ref="B10:B11"/>
    <mergeCell ref="C10:C12"/>
    <mergeCell ref="D10:D12"/>
    <mergeCell ref="E10:E12"/>
  </mergeCells>
  <phoneticPr fontId="167" type="noConversion"/>
  <conditionalFormatting sqref="F1:S4 F13:S1048576">
    <cfRule type="cellIs" dxfId="3968" priority="7" operator="greaterThan">
      <formula>0</formula>
    </cfRule>
  </conditionalFormatting>
  <conditionalFormatting sqref="E1:E1048576">
    <cfRule type="cellIs" dxfId="3967" priority="1" operator="equal">
      <formula>$T$9</formula>
    </cfRule>
    <cfRule type="cellIs" dxfId="3966" priority="2" operator="equal">
      <formula>$T$8</formula>
    </cfRule>
    <cfRule type="cellIs" dxfId="3965" priority="3" operator="equal">
      <formula>$T$7</formula>
    </cfRule>
    <cfRule type="cellIs" dxfId="3964" priority="4" operator="equal">
      <formula>$T$6</formula>
    </cfRule>
    <cfRule type="cellIs" dxfId="3963" priority="5" operator="equal">
      <formula>$T$5</formula>
    </cfRule>
    <cfRule type="cellIs" dxfId="3962" priority="6" operator="equal">
      <formula>$T$4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C438-2955-48FE-8AF5-A7DC388D01B4}">
  <sheetPr>
    <tabColor rgb="FF1851D6"/>
  </sheetPr>
  <dimension ref="A1:Z1006"/>
  <sheetViews>
    <sheetView showGridLines="0" zoomScale="85" zoomScaleNormal="85" workbookViewId="0">
      <pane ySplit="5" topLeftCell="A6" activePane="bottomLeft" state="frozen"/>
      <selection pane="bottomLeft" activeCell="C7" sqref="C7"/>
    </sheetView>
  </sheetViews>
  <sheetFormatPr defaultColWidth="12.5703125" defaultRowHeight="15" customHeight="1" x14ac:dyDescent="0.2"/>
  <cols>
    <col min="1" max="1" width="70.140625" style="455" customWidth="1"/>
    <col min="2" max="2" width="16.140625" style="455" customWidth="1"/>
    <col min="3" max="3" width="18.140625" style="455" customWidth="1"/>
    <col min="4" max="4" width="20.140625" style="455" customWidth="1"/>
    <col min="5" max="5" width="19.28515625" style="455" customWidth="1"/>
    <col min="6" max="6" width="51.85546875" style="455" bestFit="1" customWidth="1"/>
    <col min="7" max="26" width="14.42578125" style="455" customWidth="1"/>
    <col min="27" max="16384" width="12.5703125" style="455"/>
  </cols>
  <sheetData>
    <row r="1" spans="1:26" ht="16.5" customHeight="1" x14ac:dyDescent="0.25">
      <c r="A1" s="450"/>
      <c r="B1" s="451" t="s">
        <v>49</v>
      </c>
      <c r="C1" s="452" t="str">
        <f>'Obra '!D1</f>
        <v>Caio Prado</v>
      </c>
      <c r="D1" s="452"/>
      <c r="E1" s="452"/>
      <c r="F1" s="453"/>
      <c r="G1" s="454"/>
      <c r="H1" s="454"/>
      <c r="I1" s="454"/>
      <c r="J1" s="454"/>
      <c r="K1" s="454"/>
      <c r="L1" s="454"/>
      <c r="M1" s="454"/>
      <c r="N1" s="454"/>
      <c r="O1" s="454"/>
      <c r="P1" s="454"/>
      <c r="Q1" s="454"/>
      <c r="R1" s="454"/>
      <c r="S1" s="454"/>
      <c r="T1" s="454"/>
      <c r="U1" s="454"/>
      <c r="V1" s="454"/>
      <c r="W1" s="454"/>
      <c r="X1" s="454"/>
      <c r="Y1" s="454"/>
      <c r="Z1" s="454"/>
    </row>
    <row r="2" spans="1:26" ht="16.5" customHeight="1" x14ac:dyDescent="0.25">
      <c r="A2" s="456"/>
      <c r="B2" s="457" t="s">
        <v>31</v>
      </c>
      <c r="C2" s="458" t="str">
        <f>'Obra '!D2</f>
        <v>Indepy</v>
      </c>
      <c r="D2" s="458"/>
      <c r="E2" s="458"/>
      <c r="F2" s="459"/>
      <c r="G2" s="454"/>
      <c r="H2" s="454"/>
      <c r="I2" s="454"/>
      <c r="J2" s="454"/>
      <c r="K2" s="454"/>
      <c r="L2" s="454"/>
      <c r="M2" s="454"/>
      <c r="N2" s="454"/>
      <c r="O2" s="454"/>
      <c r="P2" s="454"/>
      <c r="Q2" s="454"/>
      <c r="R2" s="454"/>
      <c r="S2" s="454"/>
      <c r="T2" s="454"/>
      <c r="U2" s="454"/>
      <c r="V2" s="454"/>
      <c r="W2" s="454"/>
      <c r="X2" s="454"/>
      <c r="Y2" s="454"/>
      <c r="Z2" s="454"/>
    </row>
    <row r="3" spans="1:26" ht="16.5" customHeight="1" x14ac:dyDescent="0.25">
      <c r="A3" s="460"/>
      <c r="B3" s="461" t="s">
        <v>32</v>
      </c>
      <c r="C3" s="462" t="s">
        <v>197</v>
      </c>
      <c r="D3" s="462"/>
      <c r="E3" s="462"/>
      <c r="F3" s="463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</row>
    <row r="4" spans="1:26" ht="19.5" thickBot="1" x14ac:dyDescent="0.3">
      <c r="A4" s="643" t="s">
        <v>2477</v>
      </c>
      <c r="B4" s="644"/>
      <c r="C4" s="644"/>
      <c r="D4" s="644"/>
      <c r="E4" s="644"/>
      <c r="F4" s="645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</row>
    <row r="5" spans="1:26" x14ac:dyDescent="0.25">
      <c r="A5" s="464" t="s">
        <v>0</v>
      </c>
      <c r="B5" s="465" t="s">
        <v>19</v>
      </c>
      <c r="C5" s="466" t="s">
        <v>20</v>
      </c>
      <c r="D5" s="466" t="s">
        <v>1783</v>
      </c>
      <c r="E5" s="467" t="s">
        <v>1784</v>
      </c>
      <c r="F5" s="468" t="s">
        <v>104</v>
      </c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</row>
    <row r="6" spans="1:26" x14ac:dyDescent="0.25">
      <c r="A6" s="469" t="s">
        <v>2478</v>
      </c>
      <c r="B6" s="470"/>
      <c r="C6" s="471"/>
      <c r="D6" s="471"/>
      <c r="E6" s="472">
        <f>SUM(E7:E21)</f>
        <v>47298.78</v>
      </c>
      <c r="F6" s="472"/>
      <c r="G6" s="454"/>
      <c r="H6" s="454"/>
      <c r="I6" s="454"/>
      <c r="J6" s="454"/>
      <c r="K6" s="454"/>
      <c r="L6" s="454"/>
      <c r="M6" s="454"/>
      <c r="N6" s="454"/>
      <c r="O6" s="454"/>
      <c r="P6" s="454"/>
      <c r="Q6" s="454"/>
      <c r="R6" s="454"/>
      <c r="S6" s="454"/>
      <c r="T6" s="454"/>
      <c r="U6" s="454"/>
      <c r="V6" s="454"/>
      <c r="W6" s="454"/>
      <c r="X6" s="454"/>
      <c r="Y6" s="454"/>
      <c r="Z6" s="454"/>
    </row>
    <row r="7" spans="1:26" ht="30" x14ac:dyDescent="0.25">
      <c r="A7" s="474" t="s">
        <v>2548</v>
      </c>
      <c r="B7" s="471" t="s">
        <v>2367</v>
      </c>
      <c r="C7" s="471">
        <v>0</v>
      </c>
      <c r="D7" s="471">
        <v>2301</v>
      </c>
      <c r="E7" s="471">
        <f t="shared" ref="E7:E21" si="0">D7*C7</f>
        <v>0</v>
      </c>
      <c r="F7" s="472"/>
      <c r="G7" s="454"/>
      <c r="H7" s="454"/>
      <c r="I7" s="454"/>
      <c r="J7" s="454"/>
      <c r="K7" s="454"/>
      <c r="L7" s="454"/>
      <c r="M7" s="454"/>
      <c r="N7" s="454"/>
      <c r="O7" s="454"/>
      <c r="P7" s="454"/>
      <c r="Q7" s="454"/>
      <c r="R7" s="454"/>
      <c r="S7" s="454"/>
      <c r="T7" s="454"/>
      <c r="U7" s="454"/>
      <c r="V7" s="454"/>
      <c r="W7" s="454"/>
      <c r="X7" s="454"/>
      <c r="Y7" s="454"/>
      <c r="Z7" s="454"/>
    </row>
    <row r="8" spans="1:26" x14ac:dyDescent="0.25">
      <c r="A8" s="474" t="s">
        <v>2368</v>
      </c>
      <c r="B8" s="471" t="s">
        <v>2367</v>
      </c>
      <c r="C8" s="471">
        <v>0</v>
      </c>
      <c r="D8" s="471">
        <v>1208.3499999999999</v>
      </c>
      <c r="E8" s="471">
        <f t="shared" si="0"/>
        <v>0</v>
      </c>
      <c r="F8" s="472"/>
      <c r="G8" s="454"/>
      <c r="H8" s="454"/>
      <c r="I8" s="454"/>
      <c r="J8" s="454"/>
      <c r="K8" s="454"/>
      <c r="L8" s="454"/>
      <c r="M8" s="454"/>
      <c r="N8" s="454"/>
      <c r="O8" s="454"/>
      <c r="P8" s="454"/>
      <c r="Q8" s="454"/>
      <c r="R8" s="454"/>
      <c r="S8" s="454"/>
      <c r="T8" s="454"/>
      <c r="U8" s="454"/>
      <c r="V8" s="454"/>
      <c r="W8" s="454"/>
      <c r="X8" s="454"/>
      <c r="Y8" s="454"/>
      <c r="Z8" s="454"/>
    </row>
    <row r="9" spans="1:26" x14ac:dyDescent="0.25">
      <c r="A9" s="474" t="s">
        <v>2479</v>
      </c>
      <c r="B9" s="471" t="s">
        <v>2367</v>
      </c>
      <c r="C9" s="471">
        <v>0</v>
      </c>
      <c r="D9" s="471">
        <v>6553</v>
      </c>
      <c r="E9" s="471">
        <f t="shared" si="0"/>
        <v>0</v>
      </c>
      <c r="F9" s="472"/>
      <c r="G9" s="454"/>
      <c r="H9" s="454"/>
      <c r="I9" s="454"/>
      <c r="J9" s="454"/>
      <c r="K9" s="454"/>
      <c r="L9" s="454"/>
      <c r="M9" s="454"/>
      <c r="N9" s="454"/>
      <c r="O9" s="454"/>
      <c r="P9" s="454"/>
      <c r="Q9" s="454"/>
      <c r="R9" s="454"/>
      <c r="S9" s="454"/>
      <c r="T9" s="454"/>
      <c r="U9" s="454"/>
      <c r="V9" s="454"/>
      <c r="W9" s="454"/>
      <c r="X9" s="454"/>
      <c r="Y9" s="454"/>
      <c r="Z9" s="454"/>
    </row>
    <row r="10" spans="1:26" x14ac:dyDescent="0.25">
      <c r="A10" s="473" t="s">
        <v>2480</v>
      </c>
      <c r="B10" s="471" t="s">
        <v>2367</v>
      </c>
      <c r="C10" s="471">
        <v>0</v>
      </c>
      <c r="D10" s="471">
        <v>7138</v>
      </c>
      <c r="E10" s="471">
        <f t="shared" si="0"/>
        <v>0</v>
      </c>
      <c r="F10" s="472"/>
      <c r="G10" s="454"/>
      <c r="H10" s="454"/>
      <c r="I10" s="454"/>
      <c r="J10" s="454"/>
      <c r="K10" s="454"/>
      <c r="L10" s="454"/>
      <c r="M10" s="454"/>
      <c r="N10" s="454"/>
      <c r="O10" s="454"/>
      <c r="P10" s="454"/>
      <c r="Q10" s="454"/>
      <c r="R10" s="454"/>
      <c r="S10" s="454"/>
      <c r="T10" s="454"/>
      <c r="U10" s="454"/>
      <c r="V10" s="454"/>
      <c r="W10" s="454"/>
      <c r="X10" s="454"/>
      <c r="Y10" s="454"/>
      <c r="Z10" s="454"/>
    </row>
    <row r="11" spans="1:26" x14ac:dyDescent="0.25">
      <c r="A11" s="473" t="s">
        <v>2369</v>
      </c>
      <c r="B11" s="471" t="s">
        <v>2367</v>
      </c>
      <c r="C11" s="471">
        <v>1</v>
      </c>
      <c r="D11" s="471">
        <v>7759</v>
      </c>
      <c r="E11" s="471">
        <f t="shared" si="0"/>
        <v>7759</v>
      </c>
      <c r="F11" s="472"/>
      <c r="G11" s="454"/>
      <c r="H11" s="454"/>
      <c r="I11" s="454"/>
      <c r="J11" s="454"/>
      <c r="K11" s="454"/>
      <c r="L11" s="454"/>
      <c r="M11" s="454"/>
      <c r="N11" s="454"/>
      <c r="O11" s="454"/>
      <c r="P11" s="454"/>
      <c r="Q11" s="454"/>
      <c r="R11" s="454"/>
      <c r="S11" s="454"/>
      <c r="T11" s="454"/>
      <c r="U11" s="454"/>
      <c r="V11" s="454"/>
      <c r="W11" s="454"/>
      <c r="X11" s="454"/>
      <c r="Y11" s="454"/>
      <c r="Z11" s="454"/>
    </row>
    <row r="12" spans="1:26" x14ac:dyDescent="0.25">
      <c r="A12" s="473" t="s">
        <v>2370</v>
      </c>
      <c r="B12" s="471" t="s">
        <v>2367</v>
      </c>
      <c r="C12" s="471">
        <v>1</v>
      </c>
      <c r="D12" s="471">
        <v>288</v>
      </c>
      <c r="E12" s="471">
        <f t="shared" si="0"/>
        <v>288</v>
      </c>
      <c r="F12" s="472"/>
      <c r="G12" s="454"/>
      <c r="H12" s="454"/>
      <c r="I12" s="454"/>
      <c r="J12" s="454"/>
      <c r="K12" s="454"/>
      <c r="L12" s="454"/>
      <c r="M12" s="454"/>
      <c r="N12" s="454"/>
      <c r="O12" s="454"/>
      <c r="P12" s="454"/>
      <c r="Q12" s="454"/>
      <c r="R12" s="454"/>
      <c r="S12" s="454"/>
      <c r="T12" s="454"/>
      <c r="U12" s="454"/>
      <c r="V12" s="454"/>
      <c r="W12" s="454"/>
      <c r="X12" s="454"/>
      <c r="Y12" s="454"/>
      <c r="Z12" s="454"/>
    </row>
    <row r="13" spans="1:26" ht="30" x14ac:dyDescent="0.25">
      <c r="A13" s="474" t="s">
        <v>2547</v>
      </c>
      <c r="B13" s="471" t="s">
        <v>2367</v>
      </c>
      <c r="C13" s="471">
        <v>0</v>
      </c>
      <c r="D13" s="471">
        <v>1443.6</v>
      </c>
      <c r="E13" s="471">
        <f t="shared" si="0"/>
        <v>0</v>
      </c>
      <c r="F13" s="472"/>
      <c r="G13" s="454"/>
      <c r="H13" s="454"/>
      <c r="I13" s="454"/>
      <c r="J13" s="454"/>
      <c r="K13" s="454"/>
      <c r="L13" s="454"/>
      <c r="M13" s="454"/>
      <c r="N13" s="454"/>
      <c r="O13" s="454"/>
      <c r="P13" s="454"/>
      <c r="Q13" s="454"/>
      <c r="R13" s="454"/>
      <c r="S13" s="454"/>
      <c r="T13" s="454"/>
      <c r="U13" s="454"/>
      <c r="V13" s="454"/>
      <c r="W13" s="454"/>
      <c r="X13" s="454"/>
      <c r="Y13" s="454"/>
      <c r="Z13" s="454"/>
    </row>
    <row r="14" spans="1:26" x14ac:dyDescent="0.25">
      <c r="A14" s="473" t="s">
        <v>2371</v>
      </c>
      <c r="B14" s="471" t="s">
        <v>2367</v>
      </c>
      <c r="C14" s="471">
        <v>0</v>
      </c>
      <c r="D14" s="471">
        <v>2115</v>
      </c>
      <c r="E14" s="471">
        <f t="shared" si="0"/>
        <v>0</v>
      </c>
      <c r="F14" s="472"/>
      <c r="G14" s="454"/>
      <c r="H14" s="454"/>
      <c r="I14" s="454"/>
      <c r="J14" s="454"/>
      <c r="K14" s="454"/>
      <c r="L14" s="454"/>
      <c r="M14" s="454"/>
      <c r="N14" s="454"/>
      <c r="O14" s="454"/>
      <c r="P14" s="454"/>
      <c r="Q14" s="454"/>
      <c r="R14" s="454"/>
      <c r="S14" s="454"/>
      <c r="T14" s="454"/>
      <c r="U14" s="454"/>
      <c r="V14" s="454"/>
      <c r="W14" s="454"/>
      <c r="X14" s="454"/>
      <c r="Y14" s="454"/>
      <c r="Z14" s="454"/>
    </row>
    <row r="15" spans="1:26" x14ac:dyDescent="0.25">
      <c r="A15" s="473" t="s">
        <v>2372</v>
      </c>
      <c r="B15" s="471" t="s">
        <v>2367</v>
      </c>
      <c r="C15" s="471">
        <v>1</v>
      </c>
      <c r="D15" s="471">
        <v>29342.86</v>
      </c>
      <c r="E15" s="471">
        <f t="shared" si="0"/>
        <v>29342.86</v>
      </c>
      <c r="F15" s="472"/>
      <c r="G15" s="454"/>
      <c r="H15" s="454"/>
      <c r="I15" s="454"/>
      <c r="J15" s="454"/>
      <c r="K15" s="454"/>
      <c r="L15" s="454"/>
      <c r="M15" s="454"/>
      <c r="N15" s="454"/>
      <c r="O15" s="454"/>
      <c r="P15" s="454"/>
      <c r="Q15" s="454"/>
      <c r="R15" s="454"/>
      <c r="S15" s="454"/>
      <c r="T15" s="454"/>
      <c r="U15" s="454"/>
      <c r="V15" s="454"/>
      <c r="W15" s="454"/>
      <c r="X15" s="454"/>
      <c r="Y15" s="454"/>
      <c r="Z15" s="454"/>
    </row>
    <row r="16" spans="1:26" x14ac:dyDescent="0.25">
      <c r="A16" s="473" t="s">
        <v>2373</v>
      </c>
      <c r="B16" s="471" t="s">
        <v>2367</v>
      </c>
      <c r="C16" s="471">
        <v>1</v>
      </c>
      <c r="D16" s="471">
        <v>343.32</v>
      </c>
      <c r="E16" s="471">
        <f t="shared" si="0"/>
        <v>343.32</v>
      </c>
      <c r="F16" s="472"/>
      <c r="G16" s="454"/>
      <c r="H16" s="454"/>
      <c r="I16" s="454"/>
      <c r="J16" s="454"/>
      <c r="K16" s="454"/>
      <c r="L16" s="454"/>
      <c r="M16" s="454"/>
      <c r="N16" s="454"/>
      <c r="O16" s="454"/>
      <c r="P16" s="454"/>
      <c r="Q16" s="454"/>
      <c r="R16" s="454"/>
      <c r="S16" s="454"/>
      <c r="T16" s="454"/>
      <c r="U16" s="454"/>
      <c r="V16" s="454"/>
      <c r="W16" s="454"/>
      <c r="X16" s="454"/>
      <c r="Y16" s="454"/>
      <c r="Z16" s="454"/>
    </row>
    <row r="17" spans="1:26" x14ac:dyDescent="0.25">
      <c r="A17" s="473" t="s">
        <v>2374</v>
      </c>
      <c r="B17" s="471" t="s">
        <v>2367</v>
      </c>
      <c r="C17" s="471">
        <v>1</v>
      </c>
      <c r="D17" s="471">
        <v>887.6</v>
      </c>
      <c r="E17" s="471">
        <f t="shared" si="0"/>
        <v>887.6</v>
      </c>
      <c r="F17" s="472"/>
      <c r="G17" s="454"/>
      <c r="H17" s="454"/>
      <c r="I17" s="454"/>
      <c r="J17" s="454"/>
      <c r="K17" s="454"/>
      <c r="L17" s="454"/>
      <c r="M17" s="454"/>
      <c r="N17" s="454"/>
      <c r="O17" s="454"/>
      <c r="P17" s="454"/>
      <c r="Q17" s="454"/>
      <c r="R17" s="454"/>
      <c r="S17" s="454"/>
      <c r="T17" s="454"/>
      <c r="U17" s="454"/>
      <c r="V17" s="454"/>
      <c r="W17" s="454"/>
      <c r="X17" s="454"/>
      <c r="Y17" s="454"/>
      <c r="Z17" s="454"/>
    </row>
    <row r="18" spans="1:26" x14ac:dyDescent="0.25">
      <c r="A18" s="473" t="s">
        <v>2375</v>
      </c>
      <c r="B18" s="471" t="s">
        <v>2367</v>
      </c>
      <c r="C18" s="471">
        <v>1</v>
      </c>
      <c r="D18" s="471">
        <v>2700</v>
      </c>
      <c r="E18" s="471">
        <f t="shared" si="0"/>
        <v>2700</v>
      </c>
      <c r="F18" s="472"/>
      <c r="G18" s="454"/>
      <c r="H18" s="454"/>
      <c r="I18" s="454"/>
      <c r="J18" s="454"/>
      <c r="K18" s="454"/>
      <c r="L18" s="454"/>
      <c r="M18" s="454"/>
      <c r="N18" s="454"/>
      <c r="O18" s="454"/>
      <c r="P18" s="454"/>
      <c r="Q18" s="454"/>
      <c r="R18" s="454"/>
      <c r="S18" s="454"/>
      <c r="T18" s="454"/>
      <c r="U18" s="454"/>
      <c r="V18" s="454"/>
      <c r="W18" s="454"/>
      <c r="X18" s="454"/>
      <c r="Y18" s="454"/>
      <c r="Z18" s="454"/>
    </row>
    <row r="19" spans="1:26" x14ac:dyDescent="0.25">
      <c r="A19" s="473" t="s">
        <v>2376</v>
      </c>
      <c r="B19" s="471" t="s">
        <v>2367</v>
      </c>
      <c r="C19" s="471">
        <v>2</v>
      </c>
      <c r="D19" s="471">
        <v>256</v>
      </c>
      <c r="E19" s="471">
        <f t="shared" si="0"/>
        <v>512</v>
      </c>
      <c r="F19" s="472"/>
      <c r="G19" s="454"/>
      <c r="H19" s="454"/>
      <c r="I19" s="454"/>
      <c r="J19" s="454"/>
      <c r="K19" s="454"/>
      <c r="L19" s="454"/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454"/>
      <c r="Y19" s="454"/>
      <c r="Z19" s="454"/>
    </row>
    <row r="20" spans="1:26" x14ac:dyDescent="0.25">
      <c r="A20" s="473" t="s">
        <v>2377</v>
      </c>
      <c r="B20" s="471" t="s">
        <v>2367</v>
      </c>
      <c r="C20" s="471">
        <v>1</v>
      </c>
      <c r="D20" s="471">
        <v>1385</v>
      </c>
      <c r="E20" s="471">
        <f t="shared" si="0"/>
        <v>1385</v>
      </c>
      <c r="F20" s="472"/>
      <c r="G20" s="454"/>
      <c r="H20" s="454"/>
      <c r="I20" s="454"/>
      <c r="J20" s="454"/>
      <c r="K20" s="454"/>
      <c r="L20" s="454"/>
      <c r="M20" s="454"/>
      <c r="N20" s="454"/>
      <c r="O20" s="454"/>
      <c r="P20" s="454"/>
      <c r="Q20" s="454"/>
      <c r="R20" s="454"/>
      <c r="S20" s="454"/>
      <c r="T20" s="454"/>
      <c r="U20" s="454"/>
      <c r="V20" s="454"/>
      <c r="W20" s="454"/>
      <c r="X20" s="454"/>
      <c r="Y20" s="454"/>
      <c r="Z20" s="454"/>
    </row>
    <row r="21" spans="1:26" ht="15.75" customHeight="1" thickBot="1" x14ac:dyDescent="0.3">
      <c r="A21" s="473" t="s">
        <v>2378</v>
      </c>
      <c r="B21" s="471" t="s">
        <v>67</v>
      </c>
      <c r="C21" s="471">
        <v>1</v>
      </c>
      <c r="D21" s="471">
        <f>110*[5]MOBILIÁRIO!$E$62</f>
        <v>4081</v>
      </c>
      <c r="E21" s="471">
        <f t="shared" si="0"/>
        <v>4081</v>
      </c>
      <c r="F21" s="472"/>
      <c r="G21" s="454"/>
      <c r="H21" s="454"/>
      <c r="I21" s="454"/>
      <c r="J21" s="454"/>
      <c r="K21" s="454"/>
      <c r="L21" s="454"/>
      <c r="M21" s="454"/>
      <c r="N21" s="454"/>
      <c r="O21" s="454"/>
      <c r="P21" s="454"/>
      <c r="Q21" s="454"/>
      <c r="R21" s="454"/>
      <c r="S21" s="454"/>
      <c r="T21" s="454"/>
      <c r="U21" s="454"/>
      <c r="V21" s="454"/>
      <c r="W21" s="454"/>
      <c r="X21" s="454"/>
      <c r="Y21" s="454"/>
      <c r="Z21" s="454"/>
    </row>
    <row r="22" spans="1:26" ht="15.75" customHeight="1" x14ac:dyDescent="0.25">
      <c r="A22" s="454"/>
      <c r="B22" s="475"/>
      <c r="C22" s="475"/>
      <c r="D22" s="475"/>
      <c r="E22" s="467">
        <f>SUM(E6:E21)/2</f>
        <v>47298.780000000006</v>
      </c>
      <c r="F22" s="475"/>
      <c r="G22" s="454"/>
      <c r="H22" s="454"/>
      <c r="I22" s="454"/>
      <c r="J22" s="454"/>
      <c r="K22" s="454"/>
      <c r="L22" s="454"/>
      <c r="M22" s="454"/>
      <c r="N22" s="454"/>
      <c r="O22" s="454"/>
      <c r="P22" s="454"/>
      <c r="Q22" s="454"/>
      <c r="R22" s="454"/>
      <c r="S22" s="454"/>
      <c r="T22" s="454"/>
      <c r="U22" s="454"/>
      <c r="V22" s="454"/>
      <c r="W22" s="454"/>
      <c r="X22" s="454"/>
      <c r="Y22" s="454"/>
      <c r="Z22" s="454"/>
    </row>
    <row r="23" spans="1:26" ht="15.75" customHeight="1" x14ac:dyDescent="0.25">
      <c r="A23" s="469" t="s">
        <v>2481</v>
      </c>
      <c r="B23" s="470"/>
      <c r="C23" s="471"/>
      <c r="D23" s="471"/>
      <c r="E23" s="472">
        <f>SUM(E24:E26)</f>
        <v>4967.2</v>
      </c>
      <c r="F23" s="472"/>
      <c r="G23" s="454"/>
      <c r="H23" s="454"/>
      <c r="I23" s="454"/>
      <c r="J23" s="454"/>
      <c r="K23" s="454"/>
      <c r="L23" s="454"/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4"/>
      <c r="X23" s="454"/>
      <c r="Y23" s="454"/>
      <c r="Z23" s="454"/>
    </row>
    <row r="24" spans="1:26" ht="15.75" customHeight="1" x14ac:dyDescent="0.25">
      <c r="A24" s="473" t="s">
        <v>2482</v>
      </c>
      <c r="B24" s="471" t="s">
        <v>2367</v>
      </c>
      <c r="C24" s="471">
        <v>1</v>
      </c>
      <c r="D24" s="471">
        <v>2528</v>
      </c>
      <c r="E24" s="471">
        <f>D24*C24</f>
        <v>2528</v>
      </c>
      <c r="F24" s="472"/>
      <c r="G24" s="454"/>
      <c r="H24" s="454"/>
      <c r="I24" s="454"/>
      <c r="J24" s="454"/>
      <c r="K24" s="454"/>
      <c r="L24" s="454"/>
      <c r="M24" s="454"/>
      <c r="N24" s="454"/>
      <c r="O24" s="454"/>
      <c r="P24" s="454"/>
      <c r="Q24" s="454"/>
      <c r="R24" s="454"/>
      <c r="S24" s="454"/>
      <c r="T24" s="454"/>
      <c r="U24" s="454"/>
      <c r="V24" s="454"/>
      <c r="W24" s="454"/>
      <c r="X24" s="454"/>
      <c r="Y24" s="454"/>
      <c r="Z24" s="454"/>
    </row>
    <row r="25" spans="1:26" ht="15.75" customHeight="1" x14ac:dyDescent="0.25">
      <c r="A25" s="474" t="s">
        <v>2483</v>
      </c>
      <c r="B25" s="471" t="s">
        <v>2367</v>
      </c>
      <c r="C25" s="471">
        <v>1</v>
      </c>
      <c r="D25" s="471">
        <v>1532</v>
      </c>
      <c r="E25" s="471">
        <f>D25*C25</f>
        <v>1532</v>
      </c>
      <c r="F25" s="472"/>
      <c r="G25" s="454"/>
      <c r="H25" s="454"/>
      <c r="I25" s="454"/>
      <c r="J25" s="454"/>
      <c r="K25" s="454"/>
      <c r="L25" s="454"/>
      <c r="M25" s="454"/>
      <c r="N25" s="454"/>
      <c r="O25" s="454"/>
      <c r="P25" s="454"/>
      <c r="Q25" s="454"/>
      <c r="R25" s="454"/>
      <c r="S25" s="454"/>
      <c r="T25" s="454"/>
      <c r="U25" s="454"/>
      <c r="V25" s="454"/>
      <c r="W25" s="454"/>
      <c r="X25" s="454"/>
      <c r="Y25" s="454"/>
      <c r="Z25" s="454"/>
    </row>
    <row r="26" spans="1:26" ht="15.75" customHeight="1" thickBot="1" x14ac:dyDescent="0.3">
      <c r="A26" s="473" t="s">
        <v>2378</v>
      </c>
      <c r="B26" s="471" t="s">
        <v>67</v>
      </c>
      <c r="C26" s="471">
        <v>1</v>
      </c>
      <c r="D26" s="471">
        <f>4.32*210</f>
        <v>907.2</v>
      </c>
      <c r="E26" s="471">
        <f>D26*C26</f>
        <v>907.2</v>
      </c>
      <c r="F26" s="472"/>
      <c r="G26" s="454"/>
      <c r="H26" s="454"/>
      <c r="I26" s="454"/>
      <c r="J26" s="454"/>
      <c r="K26" s="454"/>
      <c r="L26" s="454"/>
      <c r="M26" s="454"/>
      <c r="N26" s="454"/>
      <c r="O26" s="454"/>
      <c r="P26" s="454"/>
      <c r="Q26" s="454"/>
      <c r="R26" s="454"/>
      <c r="S26" s="454"/>
      <c r="T26" s="454"/>
      <c r="U26" s="454"/>
      <c r="V26" s="454"/>
      <c r="W26" s="454"/>
      <c r="X26" s="454"/>
      <c r="Y26" s="454"/>
      <c r="Z26" s="454"/>
    </row>
    <row r="27" spans="1:26" ht="15.75" customHeight="1" x14ac:dyDescent="0.25">
      <c r="A27" s="474"/>
      <c r="B27" s="471"/>
      <c r="C27" s="471"/>
      <c r="D27" s="471"/>
      <c r="E27" s="467">
        <f>SUM(E23:E26)/2</f>
        <v>4967.2000000000007</v>
      </c>
      <c r="F27" s="472"/>
      <c r="G27" s="454"/>
      <c r="H27" s="454"/>
      <c r="I27" s="454"/>
      <c r="J27" s="454"/>
      <c r="K27" s="454"/>
      <c r="L27" s="454"/>
      <c r="M27" s="454"/>
      <c r="N27" s="454"/>
      <c r="O27" s="454"/>
      <c r="P27" s="454"/>
      <c r="Q27" s="454"/>
      <c r="R27" s="454"/>
      <c r="S27" s="454"/>
      <c r="T27" s="454"/>
      <c r="U27" s="454"/>
      <c r="V27" s="454"/>
      <c r="W27" s="454"/>
      <c r="X27" s="454"/>
      <c r="Y27" s="454"/>
      <c r="Z27" s="454"/>
    </row>
    <row r="28" spans="1:26" ht="15.75" customHeight="1" x14ac:dyDescent="0.25">
      <c r="A28" s="469" t="s">
        <v>2484</v>
      </c>
      <c r="B28" s="470"/>
      <c r="C28" s="471"/>
      <c r="D28" s="471"/>
      <c r="E28" s="472">
        <f>SUM(E29:E30)</f>
        <v>13987.5</v>
      </c>
      <c r="F28" s="472"/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  <c r="W28" s="454"/>
      <c r="X28" s="454"/>
      <c r="Y28" s="454"/>
      <c r="Z28" s="454"/>
    </row>
    <row r="29" spans="1:26" ht="15.75" customHeight="1" x14ac:dyDescent="0.25">
      <c r="A29" s="473" t="s">
        <v>2485</v>
      </c>
      <c r="B29" s="471" t="s">
        <v>2367</v>
      </c>
      <c r="C29" s="471">
        <v>1</v>
      </c>
      <c r="D29" s="471">
        <v>12737.5</v>
      </c>
      <c r="E29" s="471">
        <f>D29*C29</f>
        <v>12737.5</v>
      </c>
      <c r="F29" s="472"/>
      <c r="G29" s="454"/>
      <c r="H29" s="454"/>
      <c r="I29" s="454"/>
      <c r="J29" s="454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V29" s="454"/>
      <c r="W29" s="454"/>
      <c r="X29" s="454"/>
      <c r="Y29" s="454"/>
      <c r="Z29" s="454"/>
    </row>
    <row r="30" spans="1:26" ht="15.75" customHeight="1" thickBot="1" x14ac:dyDescent="0.3">
      <c r="A30" s="473" t="s">
        <v>2378</v>
      </c>
      <c r="B30" s="471" t="s">
        <v>67</v>
      </c>
      <c r="C30" s="471">
        <v>1</v>
      </c>
      <c r="D30" s="471">
        <v>1250</v>
      </c>
      <c r="E30" s="471">
        <f>D30*C30</f>
        <v>1250</v>
      </c>
      <c r="F30" s="472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  <c r="W30" s="454"/>
      <c r="X30" s="454"/>
      <c r="Y30" s="454"/>
      <c r="Z30" s="454"/>
    </row>
    <row r="31" spans="1:26" ht="15.75" customHeight="1" x14ac:dyDescent="0.25">
      <c r="A31" s="474"/>
      <c r="B31" s="471"/>
      <c r="C31" s="471"/>
      <c r="D31" s="471"/>
      <c r="E31" s="467">
        <f>SUM(E28:E30)/2</f>
        <v>13987.5</v>
      </c>
      <c r="F31" s="472"/>
      <c r="G31" s="454"/>
      <c r="H31" s="454"/>
      <c r="I31" s="454"/>
      <c r="J31" s="454"/>
      <c r="K31" s="454"/>
      <c r="L31" s="454"/>
      <c r="M31" s="454"/>
      <c r="N31" s="454"/>
      <c r="O31" s="454"/>
      <c r="P31" s="454"/>
      <c r="Q31" s="454"/>
      <c r="R31" s="454"/>
      <c r="S31" s="454"/>
      <c r="T31" s="454"/>
      <c r="U31" s="454"/>
      <c r="V31" s="454"/>
      <c r="W31" s="454"/>
      <c r="X31" s="454"/>
      <c r="Y31" s="454"/>
      <c r="Z31" s="454"/>
    </row>
    <row r="32" spans="1:26" ht="15.75" customHeight="1" x14ac:dyDescent="0.25">
      <c r="A32" s="469" t="s">
        <v>2519</v>
      </c>
      <c r="B32" s="470"/>
      <c r="C32" s="471"/>
      <c r="D32" s="471"/>
      <c r="E32" s="472">
        <f>SUM(E33:E52)</f>
        <v>51770</v>
      </c>
      <c r="F32" s="472">
        <f>E32/'Obra '!E9</f>
        <v>7.4613851340152397</v>
      </c>
      <c r="G32" s="454"/>
      <c r="H32" s="454"/>
      <c r="I32" s="454"/>
      <c r="J32" s="454"/>
      <c r="K32" s="454"/>
      <c r="L32" s="454"/>
      <c r="M32" s="454"/>
      <c r="N32" s="454"/>
      <c r="O32" s="454"/>
      <c r="P32" s="454"/>
      <c r="Q32" s="454"/>
      <c r="R32" s="454"/>
      <c r="S32" s="454"/>
      <c r="T32" s="454"/>
      <c r="U32" s="454"/>
      <c r="V32" s="454"/>
      <c r="W32" s="454"/>
      <c r="X32" s="454"/>
      <c r="Y32" s="454"/>
      <c r="Z32" s="454"/>
    </row>
    <row r="33" spans="1:26" ht="15.75" customHeight="1" x14ac:dyDescent="0.25">
      <c r="A33" s="473" t="s">
        <v>2499</v>
      </c>
      <c r="B33" s="471" t="s">
        <v>2</v>
      </c>
      <c r="C33" s="471">
        <v>36</v>
      </c>
      <c r="D33" s="471">
        <v>600</v>
      </c>
      <c r="E33" s="471">
        <f t="shared" ref="E33:E52" si="1">D33*C33</f>
        <v>21600</v>
      </c>
      <c r="F33" s="472" t="s">
        <v>2523</v>
      </c>
      <c r="G33" s="454"/>
      <c r="H33" s="454"/>
      <c r="I33" s="454"/>
      <c r="J33" s="454"/>
      <c r="K33" s="454"/>
      <c r="L33" s="454"/>
      <c r="M33" s="454"/>
      <c r="N33" s="454"/>
      <c r="O33" s="454"/>
      <c r="P33" s="454"/>
      <c r="Q33" s="454"/>
      <c r="R33" s="454"/>
      <c r="S33" s="454"/>
      <c r="T33" s="454"/>
      <c r="U33" s="454"/>
      <c r="V33" s="454"/>
      <c r="W33" s="454"/>
      <c r="X33" s="454"/>
      <c r="Y33" s="454"/>
      <c r="Z33" s="454"/>
    </row>
    <row r="34" spans="1:26" ht="15.75" customHeight="1" x14ac:dyDescent="0.25">
      <c r="A34" s="473" t="s">
        <v>2500</v>
      </c>
      <c r="B34" s="471" t="s">
        <v>2</v>
      </c>
      <c r="C34" s="471">
        <v>1</v>
      </c>
      <c r="D34" s="471">
        <v>10000</v>
      </c>
      <c r="E34" s="471">
        <f t="shared" ref="E34:E39" si="2">D34*C34</f>
        <v>10000</v>
      </c>
      <c r="F34" s="472" t="s">
        <v>2524</v>
      </c>
      <c r="G34" s="454"/>
      <c r="H34" s="454"/>
      <c r="I34" s="454"/>
      <c r="J34" s="454"/>
      <c r="K34" s="454"/>
      <c r="L34" s="454"/>
      <c r="M34" s="454"/>
      <c r="N34" s="454"/>
      <c r="O34" s="454"/>
      <c r="P34" s="454"/>
      <c r="Q34" s="454"/>
      <c r="R34" s="454"/>
      <c r="S34" s="454"/>
      <c r="T34" s="454"/>
      <c r="U34" s="454"/>
      <c r="V34" s="454"/>
      <c r="W34" s="454"/>
      <c r="X34" s="454"/>
      <c r="Y34" s="454"/>
      <c r="Z34" s="454"/>
    </row>
    <row r="35" spans="1:26" ht="15.75" customHeight="1" x14ac:dyDescent="0.25">
      <c r="A35" s="473" t="s">
        <v>2501</v>
      </c>
      <c r="B35" s="471" t="s">
        <v>2</v>
      </c>
      <c r="C35" s="471">
        <v>4</v>
      </c>
      <c r="D35" s="471">
        <v>450</v>
      </c>
      <c r="E35" s="471">
        <f t="shared" si="2"/>
        <v>1800</v>
      </c>
      <c r="F35" s="472" t="s">
        <v>2525</v>
      </c>
      <c r="G35" s="454"/>
      <c r="H35" s="454"/>
      <c r="I35" s="454"/>
      <c r="J35" s="454"/>
      <c r="K35" s="454"/>
      <c r="L35" s="454"/>
      <c r="M35" s="454"/>
      <c r="N35" s="454"/>
      <c r="O35" s="454"/>
      <c r="P35" s="454"/>
      <c r="Q35" s="454"/>
      <c r="R35" s="454"/>
      <c r="S35" s="454"/>
      <c r="T35" s="454"/>
      <c r="U35" s="454"/>
      <c r="V35" s="454"/>
      <c r="W35" s="454"/>
      <c r="X35" s="454"/>
      <c r="Y35" s="454"/>
      <c r="Z35" s="454"/>
    </row>
    <row r="36" spans="1:26" ht="15.75" customHeight="1" x14ac:dyDescent="0.25">
      <c r="A36" s="473" t="s">
        <v>2502</v>
      </c>
      <c r="B36" s="471" t="s">
        <v>2520</v>
      </c>
      <c r="C36" s="471">
        <v>4</v>
      </c>
      <c r="D36" s="471">
        <v>150</v>
      </c>
      <c r="E36" s="471">
        <f t="shared" si="2"/>
        <v>600</v>
      </c>
      <c r="F36" s="472" t="s">
        <v>2526</v>
      </c>
      <c r="G36" s="454"/>
      <c r="H36" s="454"/>
      <c r="I36" s="454"/>
      <c r="J36" s="454"/>
      <c r="K36" s="454"/>
      <c r="L36" s="454"/>
      <c r="M36" s="454"/>
      <c r="N36" s="454"/>
      <c r="O36" s="454"/>
      <c r="P36" s="454"/>
      <c r="Q36" s="454"/>
      <c r="R36" s="454"/>
      <c r="S36" s="454"/>
      <c r="T36" s="454"/>
      <c r="U36" s="454"/>
      <c r="V36" s="454"/>
      <c r="W36" s="454"/>
      <c r="X36" s="454"/>
      <c r="Y36" s="454"/>
      <c r="Z36" s="454"/>
    </row>
    <row r="37" spans="1:26" ht="15.75" customHeight="1" x14ac:dyDescent="0.25">
      <c r="A37" s="473" t="s">
        <v>2503</v>
      </c>
      <c r="B37" s="471" t="s">
        <v>2</v>
      </c>
      <c r="C37" s="471">
        <v>1</v>
      </c>
      <c r="D37" s="471">
        <v>250</v>
      </c>
      <c r="E37" s="471">
        <f t="shared" si="2"/>
        <v>250</v>
      </c>
      <c r="F37" s="472" t="s">
        <v>2527</v>
      </c>
      <c r="G37" s="454"/>
      <c r="H37" s="454"/>
      <c r="I37" s="454"/>
      <c r="J37" s="454"/>
      <c r="K37" s="454"/>
      <c r="L37" s="454"/>
      <c r="M37" s="454"/>
      <c r="N37" s="454"/>
      <c r="O37" s="454"/>
      <c r="P37" s="454"/>
      <c r="Q37" s="454"/>
      <c r="R37" s="454"/>
      <c r="S37" s="454"/>
      <c r="T37" s="454"/>
      <c r="U37" s="454"/>
      <c r="V37" s="454"/>
      <c r="W37" s="454"/>
      <c r="X37" s="454"/>
      <c r="Y37" s="454"/>
      <c r="Z37" s="454"/>
    </row>
    <row r="38" spans="1:26" ht="15.75" customHeight="1" x14ac:dyDescent="0.25">
      <c r="A38" s="473" t="s">
        <v>2504</v>
      </c>
      <c r="B38" s="471" t="s">
        <v>2</v>
      </c>
      <c r="C38" s="471">
        <v>1</v>
      </c>
      <c r="D38" s="471">
        <v>180</v>
      </c>
      <c r="E38" s="471">
        <f t="shared" si="2"/>
        <v>180</v>
      </c>
      <c r="F38" s="472" t="s">
        <v>2528</v>
      </c>
      <c r="G38" s="454"/>
      <c r="H38" s="454"/>
      <c r="I38" s="454"/>
      <c r="J38" s="454"/>
      <c r="K38" s="454"/>
      <c r="L38" s="454"/>
      <c r="M38" s="454"/>
      <c r="N38" s="454"/>
      <c r="O38" s="454"/>
      <c r="P38" s="454"/>
      <c r="Q38" s="454"/>
      <c r="R38" s="454"/>
      <c r="S38" s="454"/>
      <c r="T38" s="454"/>
      <c r="U38" s="454"/>
      <c r="V38" s="454"/>
      <c r="W38" s="454"/>
      <c r="X38" s="454"/>
      <c r="Y38" s="454"/>
      <c r="Z38" s="454"/>
    </row>
    <row r="39" spans="1:26" ht="15.75" customHeight="1" x14ac:dyDescent="0.25">
      <c r="A39" s="473" t="s">
        <v>2505</v>
      </c>
      <c r="B39" s="471" t="s">
        <v>3</v>
      </c>
      <c r="C39" s="471">
        <v>160</v>
      </c>
      <c r="D39" s="471">
        <v>8</v>
      </c>
      <c r="E39" s="471">
        <f t="shared" si="2"/>
        <v>1280</v>
      </c>
      <c r="F39" s="472" t="s">
        <v>2529</v>
      </c>
      <c r="G39" s="454"/>
      <c r="H39" s="454"/>
      <c r="I39" s="454"/>
      <c r="J39" s="454"/>
      <c r="K39" s="454"/>
      <c r="L39" s="454"/>
      <c r="M39" s="454"/>
      <c r="N39" s="454"/>
      <c r="O39" s="454"/>
      <c r="P39" s="454"/>
      <c r="Q39" s="454"/>
      <c r="R39" s="454"/>
      <c r="S39" s="454"/>
      <c r="T39" s="454"/>
      <c r="U39" s="454"/>
      <c r="V39" s="454"/>
      <c r="W39" s="454"/>
      <c r="X39" s="454"/>
      <c r="Y39" s="454"/>
      <c r="Z39" s="454"/>
    </row>
    <row r="40" spans="1:26" ht="15.75" customHeight="1" x14ac:dyDescent="0.25">
      <c r="A40" s="473" t="s">
        <v>2506</v>
      </c>
      <c r="B40" s="471" t="s">
        <v>3</v>
      </c>
      <c r="C40" s="471">
        <v>35</v>
      </c>
      <c r="D40" s="471">
        <v>22</v>
      </c>
      <c r="E40" s="471">
        <f t="shared" si="1"/>
        <v>770</v>
      </c>
      <c r="F40" s="472" t="s">
        <v>2530</v>
      </c>
      <c r="G40" s="454"/>
      <c r="H40" s="454"/>
      <c r="I40" s="454"/>
      <c r="J40" s="454"/>
      <c r="K40" s="454"/>
      <c r="L40" s="454"/>
      <c r="M40" s="454"/>
      <c r="N40" s="454"/>
      <c r="O40" s="454"/>
      <c r="P40" s="454"/>
      <c r="Q40" s="454"/>
      <c r="R40" s="454"/>
      <c r="S40" s="454"/>
      <c r="T40" s="454"/>
      <c r="U40" s="454"/>
      <c r="V40" s="454"/>
      <c r="W40" s="454"/>
      <c r="X40" s="454"/>
      <c r="Y40" s="454"/>
      <c r="Z40" s="454"/>
    </row>
    <row r="41" spans="1:26" ht="15.75" customHeight="1" x14ac:dyDescent="0.25">
      <c r="A41" s="473" t="s">
        <v>2507</v>
      </c>
      <c r="B41" s="471" t="s">
        <v>3</v>
      </c>
      <c r="C41" s="471">
        <v>35</v>
      </c>
      <c r="D41" s="471">
        <v>22</v>
      </c>
      <c r="E41" s="471">
        <f t="shared" si="1"/>
        <v>770</v>
      </c>
      <c r="F41" s="472" t="s">
        <v>2530</v>
      </c>
      <c r="G41" s="454"/>
      <c r="H41" s="454"/>
      <c r="I41" s="454"/>
      <c r="J41" s="454"/>
      <c r="K41" s="454"/>
      <c r="L41" s="454"/>
      <c r="M41" s="454"/>
      <c r="N41" s="454"/>
      <c r="O41" s="454"/>
      <c r="P41" s="454"/>
      <c r="Q41" s="454"/>
      <c r="R41" s="454"/>
      <c r="S41" s="454"/>
      <c r="T41" s="454"/>
      <c r="U41" s="454"/>
      <c r="V41" s="454"/>
      <c r="W41" s="454"/>
      <c r="X41" s="454"/>
      <c r="Y41" s="454"/>
      <c r="Z41" s="454"/>
    </row>
    <row r="42" spans="1:26" ht="15.75" customHeight="1" x14ac:dyDescent="0.25">
      <c r="A42" s="473" t="s">
        <v>2508</v>
      </c>
      <c r="B42" s="471" t="s">
        <v>3</v>
      </c>
      <c r="C42" s="471">
        <v>35</v>
      </c>
      <c r="D42" s="471">
        <v>22</v>
      </c>
      <c r="E42" s="471">
        <f t="shared" si="1"/>
        <v>770</v>
      </c>
      <c r="F42" s="472" t="s">
        <v>2530</v>
      </c>
      <c r="G42" s="454"/>
      <c r="H42" s="454"/>
      <c r="I42" s="454"/>
      <c r="J42" s="454"/>
      <c r="K42" s="454"/>
      <c r="L42" s="454"/>
      <c r="M42" s="454"/>
      <c r="N42" s="454"/>
      <c r="O42" s="454"/>
      <c r="P42" s="454"/>
      <c r="Q42" s="454"/>
      <c r="R42" s="454"/>
      <c r="S42" s="454"/>
      <c r="T42" s="454"/>
      <c r="U42" s="454"/>
      <c r="V42" s="454"/>
      <c r="W42" s="454"/>
      <c r="X42" s="454"/>
      <c r="Y42" s="454"/>
      <c r="Z42" s="454"/>
    </row>
    <row r="43" spans="1:26" ht="15.75" customHeight="1" x14ac:dyDescent="0.25">
      <c r="A43" s="473" t="s">
        <v>2509</v>
      </c>
      <c r="B43" s="471" t="s">
        <v>3</v>
      </c>
      <c r="C43" s="471">
        <v>35</v>
      </c>
      <c r="D43" s="471">
        <v>12</v>
      </c>
      <c r="E43" s="471">
        <f t="shared" si="1"/>
        <v>420</v>
      </c>
      <c r="F43" s="472" t="s">
        <v>2530</v>
      </c>
      <c r="G43" s="454"/>
      <c r="H43" s="454"/>
      <c r="I43" s="454"/>
      <c r="J43" s="454"/>
      <c r="K43" s="454"/>
      <c r="L43" s="454"/>
      <c r="M43" s="454"/>
      <c r="N43" s="454"/>
      <c r="O43" s="454"/>
      <c r="P43" s="454"/>
      <c r="Q43" s="454"/>
      <c r="R43" s="454"/>
      <c r="S43" s="454"/>
      <c r="T43" s="454"/>
      <c r="U43" s="454"/>
      <c r="V43" s="454"/>
      <c r="W43" s="454"/>
      <c r="X43" s="454"/>
      <c r="Y43" s="454"/>
      <c r="Z43" s="454"/>
    </row>
    <row r="44" spans="1:26" ht="15.75" customHeight="1" x14ac:dyDescent="0.25">
      <c r="A44" s="473" t="s">
        <v>2510</v>
      </c>
      <c r="B44" s="471" t="s">
        <v>3</v>
      </c>
      <c r="C44" s="471">
        <v>35</v>
      </c>
      <c r="D44" s="471">
        <v>12</v>
      </c>
      <c r="E44" s="471">
        <f>D44*C44</f>
        <v>420</v>
      </c>
      <c r="F44" s="472" t="s">
        <v>2530</v>
      </c>
      <c r="G44" s="454"/>
      <c r="H44" s="454"/>
      <c r="I44" s="454"/>
      <c r="J44" s="454"/>
      <c r="K44" s="454"/>
      <c r="L44" s="454"/>
      <c r="M44" s="454"/>
      <c r="N44" s="454"/>
      <c r="O44" s="454"/>
      <c r="P44" s="454"/>
      <c r="Q44" s="454"/>
      <c r="R44" s="454"/>
      <c r="S44" s="454"/>
      <c r="T44" s="454"/>
      <c r="U44" s="454"/>
      <c r="V44" s="454"/>
      <c r="W44" s="454"/>
      <c r="X44" s="454"/>
      <c r="Y44" s="454"/>
      <c r="Z44" s="454"/>
    </row>
    <row r="45" spans="1:26" ht="15.75" customHeight="1" x14ac:dyDescent="0.25">
      <c r="A45" s="473" t="s">
        <v>2511</v>
      </c>
      <c r="B45" s="471" t="s">
        <v>3</v>
      </c>
      <c r="C45" s="471">
        <v>115</v>
      </c>
      <c r="D45" s="471">
        <v>30</v>
      </c>
      <c r="E45" s="471">
        <f>D45*C45</f>
        <v>3450</v>
      </c>
      <c r="F45" s="472" t="s">
        <v>2531</v>
      </c>
      <c r="G45" s="454"/>
      <c r="H45" s="454"/>
      <c r="I45" s="454"/>
      <c r="J45" s="454"/>
      <c r="K45" s="454"/>
      <c r="L45" s="454"/>
      <c r="M45" s="454"/>
      <c r="N45" s="454"/>
      <c r="O45" s="454"/>
      <c r="P45" s="454"/>
      <c r="Q45" s="454"/>
      <c r="R45" s="454"/>
      <c r="S45" s="454"/>
      <c r="T45" s="454"/>
      <c r="U45" s="454"/>
      <c r="V45" s="454"/>
      <c r="W45" s="454"/>
      <c r="X45" s="454"/>
      <c r="Y45" s="454"/>
      <c r="Z45" s="454"/>
    </row>
    <row r="46" spans="1:26" ht="15.75" customHeight="1" x14ac:dyDescent="0.25">
      <c r="A46" s="473" t="s">
        <v>2512</v>
      </c>
      <c r="B46" s="471" t="s">
        <v>2</v>
      </c>
      <c r="C46" s="471">
        <v>20</v>
      </c>
      <c r="D46" s="471">
        <v>12</v>
      </c>
      <c r="E46" s="471">
        <f>D46*C46</f>
        <v>240</v>
      </c>
      <c r="F46" s="472" t="s">
        <v>2532</v>
      </c>
      <c r="G46" s="454"/>
      <c r="H46" s="454"/>
      <c r="I46" s="454"/>
      <c r="J46" s="454"/>
      <c r="K46" s="454"/>
      <c r="L46" s="454"/>
      <c r="M46" s="454"/>
      <c r="N46" s="454"/>
      <c r="O46" s="454"/>
      <c r="P46" s="454"/>
      <c r="Q46" s="454"/>
      <c r="R46" s="454"/>
      <c r="S46" s="454"/>
      <c r="T46" s="454"/>
      <c r="U46" s="454"/>
      <c r="V46" s="454"/>
      <c r="W46" s="454"/>
      <c r="X46" s="454"/>
      <c r="Y46" s="454"/>
      <c r="Z46" s="454"/>
    </row>
    <row r="47" spans="1:26" ht="15.75" customHeight="1" x14ac:dyDescent="0.25">
      <c r="A47" s="473" t="s">
        <v>2513</v>
      </c>
      <c r="B47" s="471" t="s">
        <v>2520</v>
      </c>
      <c r="C47" s="471">
        <v>8</v>
      </c>
      <c r="D47" s="471">
        <v>15</v>
      </c>
      <c r="E47" s="471">
        <f>D47*C47</f>
        <v>120</v>
      </c>
      <c r="F47" s="472" t="s">
        <v>2533</v>
      </c>
      <c r="G47" s="454"/>
      <c r="H47" s="454"/>
      <c r="I47" s="454"/>
      <c r="J47" s="454"/>
      <c r="K47" s="454"/>
      <c r="L47" s="454"/>
      <c r="M47" s="454"/>
      <c r="N47" s="454"/>
      <c r="O47" s="454"/>
      <c r="P47" s="454"/>
      <c r="Q47" s="454"/>
      <c r="R47" s="454"/>
      <c r="S47" s="454"/>
      <c r="T47" s="454"/>
      <c r="U47" s="454"/>
      <c r="V47" s="454"/>
      <c r="W47" s="454"/>
      <c r="X47" s="454"/>
      <c r="Y47" s="454"/>
      <c r="Z47" s="454"/>
    </row>
    <row r="48" spans="1:26" ht="15.75" customHeight="1" x14ac:dyDescent="0.25">
      <c r="A48" s="473" t="s">
        <v>2514</v>
      </c>
      <c r="B48" s="471" t="s">
        <v>2521</v>
      </c>
      <c r="C48" s="471">
        <v>1</v>
      </c>
      <c r="D48" s="471">
        <v>300</v>
      </c>
      <c r="E48" s="471">
        <f t="shared" si="1"/>
        <v>300</v>
      </c>
      <c r="F48" s="472" t="s">
        <v>2534</v>
      </c>
      <c r="G48" s="454"/>
      <c r="H48" s="454"/>
      <c r="I48" s="454"/>
      <c r="J48" s="454"/>
      <c r="K48" s="454"/>
      <c r="L48" s="454"/>
      <c r="M48" s="454"/>
      <c r="N48" s="454"/>
      <c r="O48" s="454"/>
      <c r="P48" s="454"/>
      <c r="Q48" s="454"/>
      <c r="R48" s="454"/>
      <c r="S48" s="454"/>
      <c r="T48" s="454"/>
      <c r="U48" s="454"/>
      <c r="V48" s="454"/>
      <c r="W48" s="454"/>
      <c r="X48" s="454"/>
      <c r="Y48" s="454"/>
      <c r="Z48" s="454"/>
    </row>
    <row r="49" spans="1:26" ht="15.75" customHeight="1" x14ac:dyDescent="0.25">
      <c r="A49" s="473" t="s">
        <v>2515</v>
      </c>
      <c r="B49" s="471" t="s">
        <v>2522</v>
      </c>
      <c r="C49" s="471">
        <v>1</v>
      </c>
      <c r="D49" s="471">
        <v>5900</v>
      </c>
      <c r="E49" s="471">
        <f t="shared" si="1"/>
        <v>5900</v>
      </c>
      <c r="F49" s="472" t="s">
        <v>2535</v>
      </c>
      <c r="G49" s="454"/>
      <c r="H49" s="454"/>
      <c r="I49" s="454"/>
      <c r="J49" s="454"/>
      <c r="K49" s="454"/>
      <c r="L49" s="454"/>
      <c r="M49" s="454"/>
      <c r="N49" s="454"/>
      <c r="O49" s="454"/>
      <c r="P49" s="454"/>
      <c r="Q49" s="454"/>
      <c r="R49" s="454"/>
      <c r="S49" s="454"/>
      <c r="T49" s="454"/>
      <c r="U49" s="454"/>
      <c r="V49" s="454"/>
      <c r="W49" s="454"/>
      <c r="X49" s="454"/>
      <c r="Y49" s="454"/>
      <c r="Z49" s="454"/>
    </row>
    <row r="50" spans="1:26" ht="15.75" customHeight="1" x14ac:dyDescent="0.25">
      <c r="A50" s="473" t="s">
        <v>2516</v>
      </c>
      <c r="B50" s="471" t="s">
        <v>2522</v>
      </c>
      <c r="C50" s="471">
        <v>1</v>
      </c>
      <c r="D50" s="471">
        <v>1500</v>
      </c>
      <c r="E50" s="471">
        <f t="shared" si="1"/>
        <v>1500</v>
      </c>
      <c r="F50" s="472" t="s">
        <v>2536</v>
      </c>
      <c r="G50" s="454"/>
      <c r="H50" s="454"/>
      <c r="I50" s="454"/>
      <c r="J50" s="454"/>
      <c r="K50" s="454"/>
      <c r="L50" s="454"/>
      <c r="M50" s="454"/>
      <c r="N50" s="454"/>
      <c r="O50" s="454"/>
      <c r="P50" s="454"/>
      <c r="Q50" s="454"/>
      <c r="R50" s="454"/>
      <c r="S50" s="454"/>
      <c r="T50" s="454"/>
      <c r="U50" s="454"/>
      <c r="V50" s="454"/>
      <c r="W50" s="454"/>
      <c r="X50" s="454"/>
      <c r="Y50" s="454"/>
      <c r="Z50" s="454"/>
    </row>
    <row r="51" spans="1:26" ht="15.75" customHeight="1" x14ac:dyDescent="0.25">
      <c r="A51" s="473" t="s">
        <v>2517</v>
      </c>
      <c r="B51" s="471" t="s">
        <v>2522</v>
      </c>
      <c r="C51" s="471">
        <v>1</v>
      </c>
      <c r="D51" s="471">
        <v>600</v>
      </c>
      <c r="E51" s="471">
        <f t="shared" si="1"/>
        <v>600</v>
      </c>
      <c r="F51" s="472" t="s">
        <v>2537</v>
      </c>
      <c r="G51" s="454"/>
      <c r="H51" s="454"/>
      <c r="I51" s="454"/>
      <c r="J51" s="454"/>
      <c r="K51" s="454"/>
      <c r="L51" s="454"/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454"/>
      <c r="Y51" s="454"/>
      <c r="Z51" s="454"/>
    </row>
    <row r="52" spans="1:26" ht="15.75" customHeight="1" thickBot="1" x14ac:dyDescent="0.3">
      <c r="A52" s="473" t="s">
        <v>2518</v>
      </c>
      <c r="B52" s="471" t="s">
        <v>2522</v>
      </c>
      <c r="C52" s="471">
        <v>1</v>
      </c>
      <c r="D52" s="471">
        <v>800</v>
      </c>
      <c r="E52" s="471">
        <f t="shared" si="1"/>
        <v>800</v>
      </c>
      <c r="F52" s="472" t="s">
        <v>2538</v>
      </c>
      <c r="G52" s="454"/>
      <c r="H52" s="454"/>
      <c r="I52" s="454"/>
      <c r="J52" s="454"/>
      <c r="K52" s="454"/>
      <c r="L52" s="454"/>
      <c r="M52" s="454"/>
      <c r="N52" s="454"/>
      <c r="O52" s="454"/>
      <c r="P52" s="454"/>
      <c r="Q52" s="454"/>
      <c r="R52" s="454"/>
      <c r="S52" s="454"/>
      <c r="T52" s="454"/>
      <c r="U52" s="454"/>
      <c r="V52" s="454"/>
      <c r="W52" s="454"/>
      <c r="X52" s="454"/>
      <c r="Y52" s="454"/>
      <c r="Z52" s="454"/>
    </row>
    <row r="53" spans="1:26" ht="15.75" customHeight="1" x14ac:dyDescent="0.25">
      <c r="A53" s="474"/>
      <c r="B53" s="471"/>
      <c r="C53" s="471"/>
      <c r="D53" s="471"/>
      <c r="E53" s="467">
        <f>SUM(E32:E52)/2</f>
        <v>51770</v>
      </c>
      <c r="F53" s="472"/>
      <c r="G53" s="454"/>
      <c r="H53" s="454"/>
      <c r="I53" s="454"/>
      <c r="J53" s="454"/>
      <c r="K53" s="454"/>
      <c r="L53" s="454"/>
      <c r="M53" s="454"/>
      <c r="N53" s="454"/>
      <c r="O53" s="454"/>
      <c r="P53" s="454"/>
      <c r="Q53" s="454"/>
      <c r="R53" s="454"/>
      <c r="S53" s="454"/>
      <c r="T53" s="454"/>
      <c r="U53" s="454"/>
      <c r="V53" s="454"/>
      <c r="W53" s="454"/>
      <c r="X53" s="454"/>
      <c r="Y53" s="454"/>
      <c r="Z53" s="454"/>
    </row>
    <row r="54" spans="1:26" ht="15.75" customHeight="1" x14ac:dyDescent="0.25">
      <c r="A54" s="469" t="s">
        <v>2486</v>
      </c>
      <c r="B54" s="470"/>
      <c r="C54" s="471"/>
      <c r="D54" s="471"/>
      <c r="E54" s="472">
        <f>SUM(E55:E60)</f>
        <v>175000</v>
      </c>
      <c r="F54" s="472"/>
      <c r="G54" s="454"/>
      <c r="H54" s="454"/>
      <c r="I54" s="454"/>
      <c r="J54" s="454"/>
      <c r="K54" s="454"/>
      <c r="L54" s="454"/>
      <c r="M54" s="454"/>
      <c r="N54" s="454"/>
      <c r="O54" s="454"/>
      <c r="P54" s="454"/>
      <c r="Q54" s="454"/>
      <c r="R54" s="454"/>
      <c r="S54" s="454"/>
      <c r="T54" s="454"/>
      <c r="U54" s="454"/>
      <c r="V54" s="454"/>
      <c r="W54" s="454"/>
      <c r="X54" s="454"/>
      <c r="Y54" s="454"/>
      <c r="Z54" s="454"/>
    </row>
    <row r="55" spans="1:26" ht="15.75" customHeight="1" x14ac:dyDescent="0.25">
      <c r="A55" s="473" t="s">
        <v>2487</v>
      </c>
      <c r="B55" s="471" t="s">
        <v>2367</v>
      </c>
      <c r="C55" s="471">
        <v>1</v>
      </c>
      <c r="D55" s="471">
        <v>60000</v>
      </c>
      <c r="E55" s="471">
        <f t="shared" ref="E55:E60" si="3">D55*C55</f>
        <v>60000</v>
      </c>
      <c r="F55" s="472"/>
      <c r="G55" s="454"/>
      <c r="H55" s="454"/>
      <c r="I55" s="454"/>
      <c r="J55" s="454"/>
      <c r="K55" s="454"/>
      <c r="L55" s="454"/>
      <c r="M55" s="454"/>
      <c r="N55" s="454"/>
      <c r="O55" s="454"/>
      <c r="P55" s="454"/>
      <c r="Q55" s="454"/>
      <c r="R55" s="454"/>
      <c r="S55" s="454"/>
      <c r="T55" s="454"/>
      <c r="U55" s="454"/>
      <c r="V55" s="454"/>
      <c r="W55" s="454"/>
      <c r="X55" s="454"/>
      <c r="Y55" s="454"/>
      <c r="Z55" s="454"/>
    </row>
    <row r="56" spans="1:26" ht="15.75" customHeight="1" x14ac:dyDescent="0.25">
      <c r="A56" s="473" t="s">
        <v>2488</v>
      </c>
      <c r="B56" s="471" t="s">
        <v>2367</v>
      </c>
      <c r="C56" s="471">
        <v>1</v>
      </c>
      <c r="D56" s="471">
        <v>40000</v>
      </c>
      <c r="E56" s="471">
        <f t="shared" si="3"/>
        <v>40000</v>
      </c>
      <c r="F56" s="472"/>
      <c r="G56" s="454"/>
      <c r="H56" s="454"/>
      <c r="I56" s="454"/>
      <c r="J56" s="454"/>
      <c r="K56" s="454"/>
      <c r="L56" s="454"/>
      <c r="M56" s="454"/>
      <c r="N56" s="454"/>
      <c r="O56" s="454"/>
      <c r="P56" s="454"/>
      <c r="Q56" s="454"/>
      <c r="R56" s="454"/>
      <c r="S56" s="454"/>
      <c r="T56" s="454"/>
      <c r="U56" s="454"/>
      <c r="V56" s="454"/>
      <c r="W56" s="454"/>
      <c r="X56" s="454"/>
      <c r="Y56" s="454"/>
      <c r="Z56" s="454"/>
    </row>
    <row r="57" spans="1:26" ht="15.75" customHeight="1" x14ac:dyDescent="0.25">
      <c r="A57" s="473" t="s">
        <v>2489</v>
      </c>
      <c r="B57" s="471" t="s">
        <v>2367</v>
      </c>
      <c r="C57" s="471">
        <v>1</v>
      </c>
      <c r="D57" s="471">
        <v>25000</v>
      </c>
      <c r="E57" s="471">
        <f t="shared" si="3"/>
        <v>25000</v>
      </c>
      <c r="F57" s="472"/>
      <c r="G57" s="454"/>
      <c r="H57" s="454"/>
      <c r="I57" s="454"/>
      <c r="J57" s="454"/>
      <c r="K57" s="454"/>
      <c r="L57" s="454"/>
      <c r="M57" s="454"/>
      <c r="N57" s="454"/>
      <c r="O57" s="454"/>
      <c r="P57" s="454"/>
      <c r="Q57" s="454"/>
      <c r="R57" s="454"/>
      <c r="S57" s="454"/>
      <c r="T57" s="454"/>
      <c r="U57" s="454"/>
      <c r="V57" s="454"/>
      <c r="W57" s="454"/>
      <c r="X57" s="454"/>
      <c r="Y57" s="454"/>
      <c r="Z57" s="454"/>
    </row>
    <row r="58" spans="1:26" ht="15.75" customHeight="1" x14ac:dyDescent="0.25">
      <c r="A58" s="473" t="s">
        <v>2490</v>
      </c>
      <c r="B58" s="471" t="s">
        <v>2367</v>
      </c>
      <c r="C58" s="471">
        <v>1</v>
      </c>
      <c r="D58" s="471">
        <v>10000</v>
      </c>
      <c r="E58" s="471">
        <f t="shared" si="3"/>
        <v>10000</v>
      </c>
      <c r="F58" s="472"/>
      <c r="G58" s="454"/>
      <c r="H58" s="454"/>
      <c r="I58" s="454"/>
      <c r="J58" s="454"/>
      <c r="K58" s="454"/>
      <c r="L58" s="454"/>
      <c r="M58" s="454"/>
      <c r="N58" s="454"/>
      <c r="O58" s="454"/>
      <c r="P58" s="454"/>
      <c r="Q58" s="454"/>
      <c r="R58" s="454"/>
      <c r="S58" s="454"/>
      <c r="T58" s="454"/>
      <c r="U58" s="454"/>
      <c r="V58" s="454"/>
      <c r="W58" s="454"/>
      <c r="X58" s="454"/>
      <c r="Y58" s="454"/>
      <c r="Z58" s="454"/>
    </row>
    <row r="59" spans="1:26" ht="15.75" customHeight="1" x14ac:dyDescent="0.25">
      <c r="A59" s="473" t="s">
        <v>2491</v>
      </c>
      <c r="B59" s="471" t="s">
        <v>2367</v>
      </c>
      <c r="C59" s="471">
        <v>1</v>
      </c>
      <c r="D59" s="471">
        <v>7500</v>
      </c>
      <c r="E59" s="471">
        <f t="shared" si="3"/>
        <v>7500</v>
      </c>
      <c r="F59" s="472"/>
      <c r="G59" s="454"/>
      <c r="H59" s="454"/>
      <c r="I59" s="454"/>
      <c r="J59" s="454"/>
      <c r="K59" s="454"/>
      <c r="L59" s="454"/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454"/>
      <c r="Y59" s="454"/>
      <c r="Z59" s="454"/>
    </row>
    <row r="60" spans="1:26" ht="15.75" customHeight="1" thickBot="1" x14ac:dyDescent="0.3">
      <c r="A60" s="473" t="s">
        <v>2378</v>
      </c>
      <c r="B60" s="471" t="s">
        <v>67</v>
      </c>
      <c r="C60" s="471">
        <v>1</v>
      </c>
      <c r="D60" s="471">
        <v>32500</v>
      </c>
      <c r="E60" s="471">
        <f t="shared" si="3"/>
        <v>32500</v>
      </c>
      <c r="F60" s="472"/>
      <c r="G60" s="454"/>
      <c r="H60" s="454"/>
      <c r="I60" s="454"/>
      <c r="J60" s="454"/>
      <c r="K60" s="454"/>
      <c r="L60" s="454"/>
      <c r="M60" s="454"/>
      <c r="N60" s="454"/>
      <c r="O60" s="454"/>
      <c r="P60" s="454"/>
      <c r="Q60" s="454"/>
      <c r="R60" s="454"/>
      <c r="S60" s="454"/>
      <c r="T60" s="454"/>
      <c r="U60" s="454"/>
      <c r="V60" s="454"/>
      <c r="W60" s="454"/>
      <c r="X60" s="454"/>
      <c r="Y60" s="454"/>
      <c r="Z60" s="454"/>
    </row>
    <row r="61" spans="1:26" ht="15.75" customHeight="1" x14ac:dyDescent="0.25">
      <c r="A61" s="474"/>
      <c r="B61" s="471"/>
      <c r="C61" s="471"/>
      <c r="D61" s="471"/>
      <c r="E61" s="467">
        <f>SUM(E54:E60)/2</f>
        <v>175000</v>
      </c>
      <c r="F61" s="472"/>
      <c r="G61" s="454"/>
      <c r="H61" s="454"/>
      <c r="I61" s="454"/>
      <c r="J61" s="454"/>
      <c r="K61" s="454"/>
      <c r="L61" s="454"/>
      <c r="M61" s="454"/>
      <c r="N61" s="454"/>
      <c r="O61" s="454"/>
      <c r="P61" s="454"/>
      <c r="Q61" s="454"/>
      <c r="R61" s="454"/>
      <c r="S61" s="454"/>
      <c r="T61" s="454"/>
      <c r="U61" s="454"/>
      <c r="V61" s="454"/>
      <c r="W61" s="454"/>
      <c r="X61" s="454"/>
      <c r="Y61" s="454"/>
      <c r="Z61" s="454"/>
    </row>
    <row r="62" spans="1:26" ht="15.75" customHeight="1" x14ac:dyDescent="0.25">
      <c r="A62" s="469" t="s">
        <v>2492</v>
      </c>
      <c r="B62" s="470"/>
      <c r="C62" s="471"/>
      <c r="D62" s="471"/>
      <c r="E62" s="472">
        <f>SUM(E63:E68)</f>
        <v>226500</v>
      </c>
      <c r="F62" s="472"/>
      <c r="G62" s="454"/>
      <c r="H62" s="454"/>
      <c r="I62" s="454"/>
      <c r="J62" s="454"/>
      <c r="K62" s="454"/>
      <c r="L62" s="454"/>
      <c r="M62" s="454"/>
      <c r="N62" s="454"/>
      <c r="O62" s="454"/>
      <c r="P62" s="454"/>
      <c r="Q62" s="454"/>
      <c r="R62" s="454"/>
      <c r="S62" s="454"/>
      <c r="T62" s="454"/>
      <c r="U62" s="454"/>
      <c r="V62" s="454"/>
      <c r="W62" s="454"/>
      <c r="X62" s="454"/>
      <c r="Y62" s="454"/>
      <c r="Z62" s="454"/>
    </row>
    <row r="63" spans="1:26" ht="15.75" customHeight="1" x14ac:dyDescent="0.25">
      <c r="A63" s="473" t="s">
        <v>2493</v>
      </c>
      <c r="B63" s="471" t="s">
        <v>2367</v>
      </c>
      <c r="C63" s="471">
        <v>1</v>
      </c>
      <c r="D63" s="471">
        <v>150000</v>
      </c>
      <c r="E63" s="471">
        <f t="shared" ref="E63:E68" si="4">D63*C63</f>
        <v>150000</v>
      </c>
      <c r="F63" s="472"/>
      <c r="G63" s="454"/>
      <c r="H63" s="454"/>
      <c r="I63" s="454"/>
      <c r="J63" s="454"/>
      <c r="K63" s="454"/>
      <c r="L63" s="454"/>
      <c r="M63" s="454"/>
      <c r="N63" s="454"/>
      <c r="O63" s="454"/>
      <c r="P63" s="454"/>
      <c r="Q63" s="454"/>
      <c r="R63" s="454"/>
      <c r="S63" s="454"/>
      <c r="T63" s="454"/>
      <c r="U63" s="454"/>
      <c r="V63" s="454"/>
      <c r="W63" s="454"/>
      <c r="X63" s="454"/>
      <c r="Y63" s="454"/>
      <c r="Z63" s="454"/>
    </row>
    <row r="64" spans="1:26" ht="15.75" customHeight="1" x14ac:dyDescent="0.25">
      <c r="A64" s="473" t="s">
        <v>2494</v>
      </c>
      <c r="B64" s="471" t="s">
        <v>2367</v>
      </c>
      <c r="C64" s="471">
        <v>1</v>
      </c>
      <c r="D64" s="471">
        <v>15000</v>
      </c>
      <c r="E64" s="471">
        <f t="shared" si="4"/>
        <v>15000</v>
      </c>
      <c r="F64" s="472"/>
      <c r="G64" s="454"/>
      <c r="H64" s="454"/>
      <c r="I64" s="454"/>
      <c r="J64" s="454"/>
      <c r="K64" s="454"/>
      <c r="L64" s="454"/>
      <c r="M64" s="454"/>
      <c r="N64" s="454"/>
      <c r="O64" s="454"/>
      <c r="P64" s="454"/>
      <c r="Q64" s="454"/>
      <c r="R64" s="454"/>
      <c r="S64" s="454"/>
      <c r="T64" s="454"/>
      <c r="U64" s="454"/>
      <c r="V64" s="454"/>
      <c r="W64" s="454"/>
      <c r="X64" s="454"/>
      <c r="Y64" s="454"/>
      <c r="Z64" s="454"/>
    </row>
    <row r="65" spans="1:26" ht="15.75" customHeight="1" x14ac:dyDescent="0.25">
      <c r="A65" s="473" t="s">
        <v>2495</v>
      </c>
      <c r="B65" s="471" t="s">
        <v>2367</v>
      </c>
      <c r="C65" s="471">
        <v>1</v>
      </c>
      <c r="D65" s="471">
        <v>5000</v>
      </c>
      <c r="E65" s="471">
        <f t="shared" si="4"/>
        <v>5000</v>
      </c>
      <c r="F65" s="472"/>
      <c r="G65" s="454"/>
      <c r="H65" s="454"/>
      <c r="I65" s="454"/>
      <c r="J65" s="454"/>
      <c r="K65" s="454"/>
      <c r="L65" s="454"/>
      <c r="M65" s="454"/>
      <c r="N65" s="454"/>
      <c r="O65" s="454"/>
      <c r="P65" s="454"/>
      <c r="Q65" s="454"/>
      <c r="R65" s="454"/>
      <c r="S65" s="454"/>
      <c r="T65" s="454"/>
      <c r="U65" s="454"/>
      <c r="V65" s="454"/>
      <c r="W65" s="454"/>
      <c r="X65" s="454"/>
      <c r="Y65" s="454"/>
      <c r="Z65" s="454"/>
    </row>
    <row r="66" spans="1:26" ht="15.75" customHeight="1" x14ac:dyDescent="0.25">
      <c r="A66" s="473" t="s">
        <v>2496</v>
      </c>
      <c r="B66" s="471" t="s">
        <v>2367</v>
      </c>
      <c r="C66" s="471">
        <v>1</v>
      </c>
      <c r="D66" s="471">
        <v>30000</v>
      </c>
      <c r="E66" s="471">
        <f t="shared" si="4"/>
        <v>30000</v>
      </c>
      <c r="F66" s="472"/>
      <c r="G66" s="454"/>
      <c r="H66" s="454"/>
      <c r="I66" s="454"/>
      <c r="J66" s="454"/>
      <c r="K66" s="454"/>
      <c r="L66" s="454"/>
      <c r="M66" s="454"/>
      <c r="N66" s="454"/>
      <c r="O66" s="454"/>
      <c r="P66" s="454"/>
      <c r="Q66" s="454"/>
      <c r="R66" s="454"/>
      <c r="S66" s="454"/>
      <c r="T66" s="454"/>
      <c r="U66" s="454"/>
      <c r="V66" s="454"/>
      <c r="W66" s="454"/>
      <c r="X66" s="454"/>
      <c r="Y66" s="454"/>
      <c r="Z66" s="454"/>
    </row>
    <row r="67" spans="1:26" ht="15.75" customHeight="1" x14ac:dyDescent="0.25">
      <c r="A67" s="473" t="s">
        <v>2497</v>
      </c>
      <c r="B67" s="471" t="s">
        <v>2367</v>
      </c>
      <c r="C67" s="471">
        <v>1</v>
      </c>
      <c r="D67" s="471">
        <v>20000</v>
      </c>
      <c r="E67" s="471">
        <f t="shared" si="4"/>
        <v>20000</v>
      </c>
      <c r="F67" s="472"/>
      <c r="G67" s="454"/>
      <c r="H67" s="454"/>
      <c r="I67" s="454"/>
      <c r="J67" s="454"/>
      <c r="K67" s="454"/>
      <c r="L67" s="454"/>
      <c r="M67" s="454"/>
      <c r="N67" s="454"/>
      <c r="O67" s="454"/>
      <c r="P67" s="454"/>
      <c r="Q67" s="454"/>
      <c r="R67" s="454"/>
      <c r="S67" s="454"/>
      <c r="T67" s="454"/>
      <c r="U67" s="454"/>
      <c r="V67" s="454"/>
      <c r="W67" s="454"/>
      <c r="X67" s="454"/>
      <c r="Y67" s="454"/>
      <c r="Z67" s="454"/>
    </row>
    <row r="68" spans="1:26" ht="15.75" customHeight="1" thickBot="1" x14ac:dyDescent="0.3">
      <c r="A68" s="473" t="s">
        <v>2498</v>
      </c>
      <c r="B68" s="471" t="s">
        <v>67</v>
      </c>
      <c r="C68" s="471">
        <v>1</v>
      </c>
      <c r="D68" s="471">
        <v>6500</v>
      </c>
      <c r="E68" s="471">
        <f t="shared" si="4"/>
        <v>6500</v>
      </c>
      <c r="F68" s="472"/>
      <c r="G68" s="454"/>
      <c r="H68" s="454"/>
      <c r="I68" s="454"/>
      <c r="J68" s="454"/>
      <c r="K68" s="454"/>
      <c r="L68" s="454"/>
      <c r="M68" s="454"/>
      <c r="N68" s="454"/>
      <c r="O68" s="454"/>
      <c r="P68" s="454"/>
      <c r="Q68" s="454"/>
      <c r="R68" s="454"/>
      <c r="S68" s="454"/>
      <c r="T68" s="454"/>
      <c r="U68" s="454"/>
      <c r="V68" s="454"/>
      <c r="W68" s="454"/>
      <c r="X68" s="454"/>
      <c r="Y68" s="454"/>
      <c r="Z68" s="454"/>
    </row>
    <row r="69" spans="1:26" ht="15.75" customHeight="1" x14ac:dyDescent="0.25">
      <c r="A69" s="474"/>
      <c r="B69" s="471"/>
      <c r="C69" s="471"/>
      <c r="D69" s="471"/>
      <c r="E69" s="467">
        <f>SUM(E62:E68)/2</f>
        <v>226500</v>
      </c>
      <c r="F69" s="472"/>
      <c r="G69" s="454"/>
      <c r="H69" s="454"/>
      <c r="I69" s="454"/>
      <c r="J69" s="454"/>
      <c r="K69" s="454"/>
      <c r="L69" s="454"/>
      <c r="M69" s="454"/>
      <c r="N69" s="454"/>
      <c r="O69" s="454"/>
      <c r="P69" s="454"/>
      <c r="Q69" s="454"/>
      <c r="R69" s="454"/>
      <c r="S69" s="454"/>
      <c r="T69" s="454"/>
      <c r="U69" s="454"/>
      <c r="V69" s="454"/>
      <c r="W69" s="454"/>
      <c r="X69" s="454"/>
      <c r="Y69" s="454"/>
      <c r="Z69" s="454"/>
    </row>
    <row r="70" spans="1:26" ht="15.75" customHeight="1" x14ac:dyDescent="0.25">
      <c r="A70" s="454"/>
      <c r="B70" s="475"/>
      <c r="C70" s="475"/>
      <c r="D70" s="475"/>
      <c r="E70" s="476"/>
      <c r="F70" s="475"/>
      <c r="G70" s="454"/>
      <c r="H70" s="454"/>
      <c r="I70" s="454"/>
      <c r="J70" s="454"/>
      <c r="K70" s="454"/>
      <c r="L70" s="454"/>
      <c r="M70" s="454"/>
      <c r="N70" s="454"/>
      <c r="O70" s="454"/>
      <c r="P70" s="454"/>
      <c r="Q70" s="454"/>
      <c r="R70" s="454"/>
      <c r="S70" s="454"/>
      <c r="T70" s="454"/>
      <c r="U70" s="454"/>
      <c r="V70" s="454"/>
      <c r="W70" s="454"/>
      <c r="X70" s="454"/>
      <c r="Y70" s="454"/>
      <c r="Z70" s="454"/>
    </row>
    <row r="71" spans="1:26" ht="15.75" customHeight="1" x14ac:dyDescent="0.25">
      <c r="A71" s="454"/>
      <c r="B71" s="475"/>
      <c r="C71" s="475"/>
      <c r="D71" s="475"/>
      <c r="E71" s="476"/>
      <c r="F71" s="475"/>
      <c r="G71" s="454"/>
      <c r="H71" s="454"/>
      <c r="I71" s="454"/>
      <c r="J71" s="454"/>
      <c r="K71" s="454"/>
      <c r="L71" s="454"/>
      <c r="M71" s="454"/>
      <c r="N71" s="454"/>
      <c r="O71" s="454"/>
      <c r="P71" s="454"/>
      <c r="Q71" s="454"/>
      <c r="R71" s="454"/>
      <c r="S71" s="454"/>
      <c r="T71" s="454"/>
      <c r="U71" s="454"/>
      <c r="V71" s="454"/>
      <c r="W71" s="454"/>
      <c r="X71" s="454"/>
      <c r="Y71" s="454"/>
      <c r="Z71" s="454"/>
    </row>
    <row r="72" spans="1:26" ht="15.75" customHeight="1" x14ac:dyDescent="0.25">
      <c r="A72" s="454"/>
      <c r="B72" s="475"/>
      <c r="C72" s="475"/>
      <c r="D72" s="475"/>
      <c r="E72" s="476"/>
      <c r="F72" s="475"/>
      <c r="G72" s="454"/>
      <c r="H72" s="454"/>
      <c r="I72" s="454"/>
      <c r="J72" s="454"/>
      <c r="K72" s="454"/>
      <c r="L72" s="454"/>
      <c r="M72" s="454"/>
      <c r="N72" s="454"/>
      <c r="O72" s="454"/>
      <c r="P72" s="454"/>
      <c r="Q72" s="454"/>
      <c r="R72" s="454"/>
      <c r="S72" s="454"/>
      <c r="T72" s="454"/>
      <c r="U72" s="454"/>
      <c r="V72" s="454"/>
      <c r="W72" s="454"/>
      <c r="X72" s="454"/>
      <c r="Y72" s="454"/>
      <c r="Z72" s="454"/>
    </row>
    <row r="73" spans="1:26" ht="15.75" customHeight="1" x14ac:dyDescent="0.25">
      <c r="A73" s="454"/>
      <c r="B73" s="475"/>
      <c r="C73" s="475"/>
      <c r="D73" s="475"/>
      <c r="E73" s="476"/>
      <c r="F73" s="475"/>
      <c r="G73" s="454"/>
      <c r="H73" s="454"/>
      <c r="I73" s="454"/>
      <c r="J73" s="454"/>
      <c r="K73" s="454"/>
      <c r="L73" s="454"/>
      <c r="M73" s="454"/>
      <c r="N73" s="454"/>
      <c r="O73" s="454"/>
      <c r="P73" s="454"/>
      <c r="Q73" s="454"/>
      <c r="R73" s="454"/>
      <c r="S73" s="454"/>
      <c r="T73" s="454"/>
      <c r="U73" s="454"/>
      <c r="V73" s="454"/>
      <c r="W73" s="454"/>
      <c r="X73" s="454"/>
      <c r="Y73" s="454"/>
      <c r="Z73" s="454"/>
    </row>
    <row r="74" spans="1:26" ht="15.75" customHeight="1" x14ac:dyDescent="0.25">
      <c r="A74" s="454"/>
      <c r="B74" s="475"/>
      <c r="C74" s="475"/>
      <c r="D74" s="475"/>
      <c r="E74" s="476"/>
      <c r="F74" s="475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54"/>
      <c r="V74" s="454"/>
      <c r="W74" s="454"/>
      <c r="X74" s="454"/>
      <c r="Y74" s="454"/>
      <c r="Z74" s="454"/>
    </row>
    <row r="75" spans="1:26" ht="15.75" customHeight="1" x14ac:dyDescent="0.25">
      <c r="A75" s="454"/>
      <c r="B75" s="475"/>
      <c r="C75" s="475"/>
      <c r="D75" s="475"/>
      <c r="E75" s="476"/>
      <c r="F75" s="475"/>
      <c r="G75" s="454"/>
      <c r="H75" s="454"/>
      <c r="I75" s="454"/>
      <c r="J75" s="454"/>
      <c r="K75" s="454"/>
      <c r="L75" s="454"/>
      <c r="M75" s="454"/>
      <c r="N75" s="454"/>
      <c r="O75" s="454"/>
      <c r="P75" s="454"/>
      <c r="Q75" s="454"/>
      <c r="R75" s="454"/>
      <c r="S75" s="454"/>
      <c r="T75" s="454"/>
      <c r="U75" s="454"/>
      <c r="V75" s="454"/>
      <c r="W75" s="454"/>
      <c r="X75" s="454"/>
      <c r="Y75" s="454"/>
      <c r="Z75" s="454"/>
    </row>
    <row r="76" spans="1:26" ht="15.75" customHeight="1" x14ac:dyDescent="0.25">
      <c r="A76" s="454"/>
      <c r="B76" s="475"/>
      <c r="C76" s="475"/>
      <c r="D76" s="475"/>
      <c r="E76" s="476"/>
      <c r="F76" s="475"/>
      <c r="G76" s="454"/>
      <c r="H76" s="454"/>
      <c r="I76" s="454"/>
      <c r="J76" s="454"/>
      <c r="K76" s="454"/>
      <c r="L76" s="454"/>
      <c r="M76" s="454"/>
      <c r="N76" s="454"/>
      <c r="O76" s="454"/>
      <c r="P76" s="454"/>
      <c r="Q76" s="454"/>
      <c r="R76" s="454"/>
      <c r="S76" s="454"/>
      <c r="T76" s="454"/>
      <c r="U76" s="454"/>
      <c r="V76" s="454"/>
      <c r="W76" s="454"/>
      <c r="X76" s="454"/>
      <c r="Y76" s="454"/>
      <c r="Z76" s="454"/>
    </row>
    <row r="77" spans="1:26" ht="15.75" customHeight="1" x14ac:dyDescent="0.25">
      <c r="A77" s="454"/>
      <c r="B77" s="475"/>
      <c r="C77" s="475"/>
      <c r="D77" s="475"/>
      <c r="E77" s="476"/>
      <c r="F77" s="475"/>
      <c r="G77" s="454"/>
      <c r="H77" s="454"/>
      <c r="I77" s="454"/>
      <c r="J77" s="454"/>
      <c r="K77" s="454"/>
      <c r="L77" s="454"/>
      <c r="M77" s="454"/>
      <c r="N77" s="454"/>
      <c r="O77" s="454"/>
      <c r="P77" s="454"/>
      <c r="Q77" s="454"/>
      <c r="R77" s="454"/>
      <c r="S77" s="454"/>
      <c r="T77" s="454"/>
      <c r="U77" s="454"/>
      <c r="V77" s="454"/>
      <c r="W77" s="454"/>
      <c r="X77" s="454"/>
      <c r="Y77" s="454"/>
      <c r="Z77" s="454"/>
    </row>
    <row r="78" spans="1:26" ht="15.75" customHeight="1" x14ac:dyDescent="0.25">
      <c r="A78" s="454"/>
      <c r="B78" s="475"/>
      <c r="C78" s="475"/>
      <c r="D78" s="475"/>
      <c r="E78" s="476"/>
      <c r="F78" s="475"/>
      <c r="G78" s="454"/>
      <c r="H78" s="454"/>
      <c r="I78" s="454"/>
      <c r="J78" s="454"/>
      <c r="K78" s="454"/>
      <c r="L78" s="454"/>
      <c r="M78" s="454"/>
      <c r="N78" s="454"/>
      <c r="O78" s="454"/>
      <c r="P78" s="454"/>
      <c r="Q78" s="454"/>
      <c r="R78" s="454"/>
      <c r="S78" s="454"/>
      <c r="T78" s="454"/>
      <c r="U78" s="454"/>
      <c r="V78" s="454"/>
      <c r="W78" s="454"/>
      <c r="X78" s="454"/>
      <c r="Y78" s="454"/>
      <c r="Z78" s="454"/>
    </row>
    <row r="79" spans="1:26" ht="15.75" customHeight="1" x14ac:dyDescent="0.25">
      <c r="A79" s="454"/>
      <c r="B79" s="475"/>
      <c r="C79" s="475"/>
      <c r="D79" s="475"/>
      <c r="E79" s="476"/>
      <c r="F79" s="475"/>
      <c r="G79" s="454"/>
      <c r="H79" s="454"/>
      <c r="I79" s="454"/>
      <c r="J79" s="454"/>
      <c r="K79" s="454"/>
      <c r="L79" s="454"/>
      <c r="M79" s="454"/>
      <c r="N79" s="454"/>
      <c r="O79" s="454"/>
      <c r="P79" s="454"/>
      <c r="Q79" s="454"/>
      <c r="R79" s="454"/>
      <c r="S79" s="454"/>
      <c r="T79" s="454"/>
      <c r="U79" s="454"/>
      <c r="V79" s="454"/>
      <c r="W79" s="454"/>
      <c r="X79" s="454"/>
      <c r="Y79" s="454"/>
      <c r="Z79" s="454"/>
    </row>
    <row r="80" spans="1:26" ht="15.75" customHeight="1" x14ac:dyDescent="0.25">
      <c r="A80" s="454"/>
      <c r="B80" s="475"/>
      <c r="C80" s="475"/>
      <c r="D80" s="475"/>
      <c r="E80" s="476"/>
      <c r="F80" s="475"/>
      <c r="G80" s="454"/>
      <c r="H80" s="454"/>
      <c r="I80" s="454"/>
      <c r="J80" s="454"/>
      <c r="K80" s="454"/>
      <c r="L80" s="454"/>
      <c r="M80" s="454"/>
      <c r="N80" s="454"/>
      <c r="O80" s="454"/>
      <c r="P80" s="454"/>
      <c r="Q80" s="454"/>
      <c r="R80" s="454"/>
      <c r="S80" s="454"/>
      <c r="T80" s="454"/>
      <c r="U80" s="454"/>
      <c r="V80" s="454"/>
      <c r="W80" s="454"/>
      <c r="X80" s="454"/>
      <c r="Y80" s="454"/>
      <c r="Z80" s="454"/>
    </row>
    <row r="81" spans="1:26" ht="15.75" customHeight="1" x14ac:dyDescent="0.25">
      <c r="A81" s="454"/>
      <c r="B81" s="475"/>
      <c r="C81" s="475"/>
      <c r="D81" s="475"/>
      <c r="E81" s="476"/>
      <c r="F81" s="475"/>
      <c r="G81" s="454"/>
      <c r="H81" s="454"/>
      <c r="I81" s="454"/>
      <c r="J81" s="454"/>
      <c r="K81" s="454"/>
      <c r="L81" s="454"/>
      <c r="M81" s="454"/>
      <c r="N81" s="454"/>
      <c r="O81" s="454"/>
      <c r="P81" s="454"/>
      <c r="Q81" s="454"/>
      <c r="R81" s="454"/>
      <c r="S81" s="454"/>
      <c r="T81" s="454"/>
      <c r="U81" s="454"/>
      <c r="V81" s="454"/>
      <c r="W81" s="454"/>
      <c r="X81" s="454"/>
      <c r="Y81" s="454"/>
      <c r="Z81" s="454"/>
    </row>
    <row r="82" spans="1:26" ht="15.75" customHeight="1" x14ac:dyDescent="0.25">
      <c r="A82" s="454"/>
      <c r="B82" s="475"/>
      <c r="C82" s="475"/>
      <c r="D82" s="475"/>
      <c r="E82" s="476"/>
      <c r="F82" s="475"/>
      <c r="G82" s="454"/>
      <c r="H82" s="454"/>
      <c r="I82" s="454"/>
      <c r="J82" s="454"/>
      <c r="K82" s="454"/>
      <c r="L82" s="454"/>
      <c r="M82" s="454"/>
      <c r="N82" s="454"/>
      <c r="O82" s="454"/>
      <c r="P82" s="454"/>
      <c r="Q82" s="454"/>
      <c r="R82" s="454"/>
      <c r="S82" s="454"/>
      <c r="T82" s="454"/>
      <c r="U82" s="454"/>
      <c r="V82" s="454"/>
      <c r="W82" s="454"/>
      <c r="X82" s="454"/>
      <c r="Y82" s="454"/>
      <c r="Z82" s="454"/>
    </row>
    <row r="83" spans="1:26" ht="15.75" customHeight="1" x14ac:dyDescent="0.25">
      <c r="A83" s="454"/>
      <c r="B83" s="475"/>
      <c r="C83" s="475"/>
      <c r="D83" s="475"/>
      <c r="E83" s="476"/>
      <c r="F83" s="475"/>
      <c r="G83" s="454"/>
      <c r="H83" s="454"/>
      <c r="I83" s="454"/>
      <c r="J83" s="454"/>
      <c r="K83" s="454"/>
      <c r="L83" s="454"/>
      <c r="M83" s="454"/>
      <c r="N83" s="454"/>
      <c r="O83" s="454"/>
      <c r="P83" s="454"/>
      <c r="Q83" s="454"/>
      <c r="R83" s="454"/>
      <c r="S83" s="454"/>
      <c r="T83" s="454"/>
      <c r="U83" s="454"/>
      <c r="V83" s="454"/>
      <c r="W83" s="454"/>
      <c r="X83" s="454"/>
      <c r="Y83" s="454"/>
      <c r="Z83" s="454"/>
    </row>
    <row r="84" spans="1:26" ht="15.75" customHeight="1" x14ac:dyDescent="0.25">
      <c r="A84" s="454"/>
      <c r="B84" s="475"/>
      <c r="C84" s="475"/>
      <c r="D84" s="475"/>
      <c r="E84" s="476"/>
      <c r="F84" s="475"/>
      <c r="G84" s="454"/>
      <c r="H84" s="454"/>
      <c r="I84" s="454"/>
      <c r="J84" s="454"/>
      <c r="K84" s="454"/>
      <c r="L84" s="454"/>
      <c r="M84" s="454"/>
      <c r="N84" s="454"/>
      <c r="O84" s="454"/>
      <c r="P84" s="454"/>
      <c r="Q84" s="454"/>
      <c r="R84" s="454"/>
      <c r="S84" s="454"/>
      <c r="T84" s="454"/>
      <c r="U84" s="454"/>
      <c r="V84" s="454"/>
      <c r="W84" s="454"/>
      <c r="X84" s="454"/>
      <c r="Y84" s="454"/>
      <c r="Z84" s="454"/>
    </row>
    <row r="85" spans="1:26" ht="15.75" customHeight="1" x14ac:dyDescent="0.25">
      <c r="A85" s="454"/>
      <c r="B85" s="475"/>
      <c r="C85" s="475"/>
      <c r="D85" s="475"/>
      <c r="E85" s="476"/>
      <c r="F85" s="475"/>
      <c r="G85" s="454"/>
      <c r="H85" s="454"/>
      <c r="I85" s="454"/>
      <c r="J85" s="454"/>
      <c r="K85" s="454"/>
      <c r="L85" s="454"/>
      <c r="M85" s="454"/>
      <c r="N85" s="454"/>
      <c r="O85" s="454"/>
      <c r="P85" s="454"/>
      <c r="Q85" s="454"/>
      <c r="R85" s="454"/>
      <c r="S85" s="454"/>
      <c r="T85" s="454"/>
      <c r="U85" s="454"/>
      <c r="V85" s="454"/>
      <c r="W85" s="454"/>
      <c r="X85" s="454"/>
      <c r="Y85" s="454"/>
      <c r="Z85" s="454"/>
    </row>
    <row r="86" spans="1:26" ht="15.75" customHeight="1" x14ac:dyDescent="0.25">
      <c r="A86" s="454"/>
      <c r="B86" s="475"/>
      <c r="C86" s="475"/>
      <c r="D86" s="475"/>
      <c r="E86" s="476"/>
      <c r="F86" s="475"/>
      <c r="G86" s="454"/>
      <c r="H86" s="454"/>
      <c r="I86" s="454"/>
      <c r="J86" s="454"/>
      <c r="K86" s="454"/>
      <c r="L86" s="454"/>
      <c r="M86" s="454"/>
      <c r="N86" s="454"/>
      <c r="O86" s="454"/>
      <c r="P86" s="454"/>
      <c r="Q86" s="454"/>
      <c r="R86" s="454"/>
      <c r="S86" s="454"/>
      <c r="T86" s="454"/>
      <c r="U86" s="454"/>
      <c r="V86" s="454"/>
      <c r="W86" s="454"/>
      <c r="X86" s="454"/>
      <c r="Y86" s="454"/>
      <c r="Z86" s="454"/>
    </row>
    <row r="87" spans="1:26" ht="15.75" customHeight="1" x14ac:dyDescent="0.25">
      <c r="A87" s="454"/>
      <c r="B87" s="475"/>
      <c r="C87" s="475"/>
      <c r="D87" s="475"/>
      <c r="E87" s="476"/>
      <c r="F87" s="475"/>
      <c r="G87" s="454"/>
      <c r="H87" s="454"/>
      <c r="I87" s="454"/>
      <c r="J87" s="454"/>
      <c r="K87" s="454"/>
      <c r="L87" s="454"/>
      <c r="M87" s="454"/>
      <c r="N87" s="454"/>
      <c r="O87" s="454"/>
      <c r="P87" s="454"/>
      <c r="Q87" s="454"/>
      <c r="R87" s="454"/>
      <c r="S87" s="454"/>
      <c r="T87" s="454"/>
      <c r="U87" s="454"/>
      <c r="V87" s="454"/>
      <c r="W87" s="454"/>
      <c r="X87" s="454"/>
      <c r="Y87" s="454"/>
      <c r="Z87" s="454"/>
    </row>
    <row r="88" spans="1:26" ht="15.75" customHeight="1" x14ac:dyDescent="0.25">
      <c r="A88" s="454"/>
      <c r="B88" s="475"/>
      <c r="C88" s="475"/>
      <c r="D88" s="475"/>
      <c r="E88" s="476"/>
      <c r="F88" s="475"/>
      <c r="G88" s="454"/>
      <c r="H88" s="454"/>
      <c r="I88" s="454"/>
      <c r="J88" s="454"/>
      <c r="K88" s="454"/>
      <c r="L88" s="454"/>
      <c r="M88" s="454"/>
      <c r="N88" s="454"/>
      <c r="O88" s="454"/>
      <c r="P88" s="454"/>
      <c r="Q88" s="454"/>
      <c r="R88" s="454"/>
      <c r="S88" s="454"/>
      <c r="T88" s="454"/>
      <c r="U88" s="454"/>
      <c r="V88" s="454"/>
      <c r="W88" s="454"/>
      <c r="X88" s="454"/>
      <c r="Y88" s="454"/>
      <c r="Z88" s="454"/>
    </row>
    <row r="89" spans="1:26" ht="15.75" customHeight="1" x14ac:dyDescent="0.25">
      <c r="A89" s="454"/>
      <c r="B89" s="475"/>
      <c r="C89" s="475"/>
      <c r="D89" s="475"/>
      <c r="E89" s="476"/>
      <c r="F89" s="475"/>
      <c r="G89" s="454"/>
      <c r="H89" s="454"/>
      <c r="I89" s="454"/>
      <c r="J89" s="454"/>
      <c r="K89" s="454"/>
      <c r="L89" s="454"/>
      <c r="M89" s="454"/>
      <c r="N89" s="454"/>
      <c r="O89" s="454"/>
      <c r="P89" s="454"/>
      <c r="Q89" s="454"/>
      <c r="R89" s="454"/>
      <c r="S89" s="454"/>
      <c r="T89" s="454"/>
      <c r="U89" s="454"/>
      <c r="V89" s="454"/>
      <c r="W89" s="454"/>
      <c r="X89" s="454"/>
      <c r="Y89" s="454"/>
      <c r="Z89" s="454"/>
    </row>
    <row r="90" spans="1:26" ht="15.75" customHeight="1" x14ac:dyDescent="0.25">
      <c r="A90" s="454"/>
      <c r="B90" s="475"/>
      <c r="C90" s="475"/>
      <c r="D90" s="475"/>
      <c r="E90" s="476"/>
      <c r="F90" s="475"/>
      <c r="G90" s="454"/>
      <c r="H90" s="454"/>
      <c r="I90" s="454"/>
      <c r="J90" s="454"/>
      <c r="K90" s="454"/>
      <c r="L90" s="454"/>
      <c r="M90" s="454"/>
      <c r="N90" s="454"/>
      <c r="O90" s="454"/>
      <c r="P90" s="454"/>
      <c r="Q90" s="454"/>
      <c r="R90" s="454"/>
      <c r="S90" s="454"/>
      <c r="T90" s="454"/>
      <c r="U90" s="454"/>
      <c r="V90" s="454"/>
      <c r="W90" s="454"/>
      <c r="X90" s="454"/>
      <c r="Y90" s="454"/>
      <c r="Z90" s="454"/>
    </row>
    <row r="91" spans="1:26" ht="15.75" customHeight="1" x14ac:dyDescent="0.25">
      <c r="A91" s="454"/>
      <c r="B91" s="475"/>
      <c r="C91" s="475"/>
      <c r="D91" s="475"/>
      <c r="E91" s="476"/>
      <c r="F91" s="475"/>
      <c r="G91" s="454"/>
      <c r="H91" s="454"/>
      <c r="I91" s="454"/>
      <c r="J91" s="454"/>
      <c r="K91" s="454"/>
      <c r="L91" s="454"/>
      <c r="M91" s="454"/>
      <c r="N91" s="454"/>
      <c r="O91" s="454"/>
      <c r="P91" s="454"/>
      <c r="Q91" s="454"/>
      <c r="R91" s="454"/>
      <c r="S91" s="454"/>
      <c r="T91" s="454"/>
      <c r="U91" s="454"/>
      <c r="V91" s="454"/>
      <c r="W91" s="454"/>
      <c r="X91" s="454"/>
      <c r="Y91" s="454"/>
      <c r="Z91" s="454"/>
    </row>
    <row r="92" spans="1:26" ht="15.75" customHeight="1" x14ac:dyDescent="0.25">
      <c r="A92" s="454"/>
      <c r="B92" s="475"/>
      <c r="C92" s="475"/>
      <c r="D92" s="475"/>
      <c r="E92" s="476"/>
      <c r="F92" s="475"/>
      <c r="G92" s="454"/>
      <c r="H92" s="454"/>
      <c r="I92" s="454"/>
      <c r="J92" s="454"/>
      <c r="K92" s="454"/>
      <c r="L92" s="454"/>
      <c r="M92" s="454"/>
      <c r="N92" s="454"/>
      <c r="O92" s="454"/>
      <c r="P92" s="454"/>
      <c r="Q92" s="454"/>
      <c r="R92" s="454"/>
      <c r="S92" s="454"/>
      <c r="T92" s="454"/>
      <c r="U92" s="454"/>
      <c r="V92" s="454"/>
      <c r="W92" s="454"/>
      <c r="X92" s="454"/>
      <c r="Y92" s="454"/>
      <c r="Z92" s="454"/>
    </row>
    <row r="93" spans="1:26" ht="15.75" customHeight="1" x14ac:dyDescent="0.25">
      <c r="A93" s="454"/>
      <c r="B93" s="475"/>
      <c r="C93" s="475"/>
      <c r="D93" s="475"/>
      <c r="E93" s="476"/>
      <c r="F93" s="475"/>
      <c r="G93" s="454"/>
      <c r="H93" s="454"/>
      <c r="I93" s="454"/>
      <c r="J93" s="454"/>
      <c r="K93" s="454"/>
      <c r="L93" s="454"/>
      <c r="M93" s="454"/>
      <c r="N93" s="454"/>
      <c r="O93" s="454"/>
      <c r="P93" s="454"/>
      <c r="Q93" s="454"/>
      <c r="R93" s="454"/>
      <c r="S93" s="454"/>
      <c r="T93" s="454"/>
      <c r="U93" s="454"/>
      <c r="V93" s="454"/>
      <c r="W93" s="454"/>
      <c r="X93" s="454"/>
      <c r="Y93" s="454"/>
      <c r="Z93" s="454"/>
    </row>
    <row r="94" spans="1:26" ht="15.75" customHeight="1" x14ac:dyDescent="0.25">
      <c r="A94" s="454"/>
      <c r="B94" s="475"/>
      <c r="C94" s="475"/>
      <c r="D94" s="475"/>
      <c r="E94" s="476"/>
      <c r="F94" s="475"/>
      <c r="G94" s="454"/>
      <c r="H94" s="454"/>
      <c r="I94" s="454"/>
      <c r="J94" s="454"/>
      <c r="K94" s="454"/>
      <c r="L94" s="454"/>
      <c r="M94" s="454"/>
      <c r="N94" s="454"/>
      <c r="O94" s="454"/>
      <c r="P94" s="454"/>
      <c r="Q94" s="454"/>
      <c r="R94" s="454"/>
      <c r="S94" s="454"/>
      <c r="T94" s="454"/>
      <c r="U94" s="454"/>
      <c r="V94" s="454"/>
      <c r="W94" s="454"/>
      <c r="X94" s="454"/>
      <c r="Y94" s="454"/>
      <c r="Z94" s="454"/>
    </row>
    <row r="95" spans="1:26" ht="15.75" customHeight="1" x14ac:dyDescent="0.25">
      <c r="A95" s="454"/>
      <c r="B95" s="475"/>
      <c r="C95" s="475"/>
      <c r="D95" s="475"/>
      <c r="E95" s="476"/>
      <c r="F95" s="475"/>
      <c r="G95" s="454"/>
      <c r="H95" s="454"/>
      <c r="I95" s="454"/>
      <c r="J95" s="454"/>
      <c r="K95" s="454"/>
      <c r="L95" s="454"/>
      <c r="M95" s="454"/>
      <c r="N95" s="454"/>
      <c r="O95" s="454"/>
      <c r="P95" s="454"/>
      <c r="Q95" s="454"/>
      <c r="R95" s="454"/>
      <c r="S95" s="454"/>
      <c r="T95" s="454"/>
      <c r="U95" s="454"/>
      <c r="V95" s="454"/>
      <c r="W95" s="454"/>
      <c r="X95" s="454"/>
      <c r="Y95" s="454"/>
      <c r="Z95" s="454"/>
    </row>
    <row r="96" spans="1:26" ht="15.75" customHeight="1" x14ac:dyDescent="0.25">
      <c r="A96" s="454"/>
      <c r="B96" s="475"/>
      <c r="C96" s="475"/>
      <c r="D96" s="475"/>
      <c r="E96" s="476"/>
      <c r="F96" s="475"/>
      <c r="G96" s="454"/>
      <c r="H96" s="454"/>
      <c r="I96" s="454"/>
      <c r="J96" s="454"/>
      <c r="K96" s="454"/>
      <c r="L96" s="454"/>
      <c r="M96" s="454"/>
      <c r="N96" s="454"/>
      <c r="O96" s="454"/>
      <c r="P96" s="454"/>
      <c r="Q96" s="454"/>
      <c r="R96" s="454"/>
      <c r="S96" s="454"/>
      <c r="T96" s="454"/>
      <c r="U96" s="454"/>
      <c r="V96" s="454"/>
      <c r="W96" s="454"/>
      <c r="X96" s="454"/>
      <c r="Y96" s="454"/>
      <c r="Z96" s="454"/>
    </row>
    <row r="97" spans="1:26" ht="15.75" customHeight="1" x14ac:dyDescent="0.25">
      <c r="A97" s="454"/>
      <c r="B97" s="475"/>
      <c r="C97" s="475"/>
      <c r="D97" s="475"/>
      <c r="E97" s="476"/>
      <c r="F97" s="475"/>
      <c r="G97" s="454"/>
      <c r="H97" s="454"/>
      <c r="I97" s="454"/>
      <c r="J97" s="454"/>
      <c r="K97" s="454"/>
      <c r="L97" s="454"/>
      <c r="M97" s="454"/>
      <c r="N97" s="454"/>
      <c r="O97" s="454"/>
      <c r="P97" s="454"/>
      <c r="Q97" s="454"/>
      <c r="R97" s="454"/>
      <c r="S97" s="454"/>
      <c r="T97" s="454"/>
      <c r="U97" s="454"/>
      <c r="V97" s="454"/>
      <c r="W97" s="454"/>
      <c r="X97" s="454"/>
      <c r="Y97" s="454"/>
      <c r="Z97" s="454"/>
    </row>
    <row r="98" spans="1:26" ht="15.75" customHeight="1" x14ac:dyDescent="0.25">
      <c r="A98" s="454"/>
      <c r="B98" s="475"/>
      <c r="C98" s="475"/>
      <c r="D98" s="475"/>
      <c r="E98" s="476"/>
      <c r="F98" s="475"/>
      <c r="G98" s="454"/>
      <c r="H98" s="454"/>
      <c r="I98" s="454"/>
      <c r="J98" s="454"/>
      <c r="K98" s="454"/>
      <c r="L98" s="454"/>
      <c r="M98" s="454"/>
      <c r="N98" s="454"/>
      <c r="O98" s="454"/>
      <c r="P98" s="454"/>
      <c r="Q98" s="454"/>
      <c r="R98" s="454"/>
      <c r="S98" s="454"/>
      <c r="T98" s="454"/>
      <c r="U98" s="454"/>
      <c r="V98" s="454"/>
      <c r="W98" s="454"/>
      <c r="X98" s="454"/>
      <c r="Y98" s="454"/>
      <c r="Z98" s="454"/>
    </row>
    <row r="99" spans="1:26" ht="15.75" customHeight="1" x14ac:dyDescent="0.25">
      <c r="A99" s="454"/>
      <c r="B99" s="475"/>
      <c r="C99" s="475"/>
      <c r="D99" s="475"/>
      <c r="E99" s="476"/>
      <c r="F99" s="475"/>
      <c r="G99" s="454"/>
      <c r="H99" s="454"/>
      <c r="I99" s="454"/>
      <c r="J99" s="454"/>
      <c r="K99" s="454"/>
      <c r="L99" s="454"/>
      <c r="M99" s="454"/>
      <c r="N99" s="454"/>
      <c r="O99" s="454"/>
      <c r="P99" s="454"/>
      <c r="Q99" s="454"/>
      <c r="R99" s="454"/>
      <c r="S99" s="454"/>
      <c r="T99" s="454"/>
      <c r="U99" s="454"/>
      <c r="V99" s="454"/>
      <c r="W99" s="454"/>
      <c r="X99" s="454"/>
      <c r="Y99" s="454"/>
      <c r="Z99" s="454"/>
    </row>
    <row r="100" spans="1:26" ht="15.75" customHeight="1" x14ac:dyDescent="0.25">
      <c r="A100" s="454"/>
      <c r="B100" s="475"/>
      <c r="C100" s="475"/>
      <c r="D100" s="475"/>
      <c r="E100" s="476"/>
      <c r="F100" s="475"/>
      <c r="G100" s="454"/>
      <c r="H100" s="454"/>
      <c r="I100" s="454"/>
      <c r="J100" s="454"/>
      <c r="K100" s="454"/>
      <c r="L100" s="454"/>
      <c r="M100" s="454"/>
      <c r="N100" s="454"/>
      <c r="O100" s="454"/>
      <c r="P100" s="454"/>
      <c r="Q100" s="454"/>
      <c r="R100" s="454"/>
      <c r="S100" s="454"/>
      <c r="T100" s="454"/>
      <c r="U100" s="454"/>
      <c r="V100" s="454"/>
      <c r="W100" s="454"/>
      <c r="X100" s="454"/>
      <c r="Y100" s="454"/>
      <c r="Z100" s="454"/>
    </row>
    <row r="101" spans="1:26" ht="15.75" customHeight="1" x14ac:dyDescent="0.25">
      <c r="A101" s="454"/>
      <c r="B101" s="475"/>
      <c r="C101" s="475"/>
      <c r="D101" s="475"/>
      <c r="E101" s="476"/>
      <c r="F101" s="475"/>
      <c r="G101" s="454"/>
      <c r="H101" s="454"/>
      <c r="I101" s="454"/>
      <c r="J101" s="454"/>
      <c r="K101" s="454"/>
      <c r="L101" s="454"/>
      <c r="M101" s="454"/>
      <c r="N101" s="454"/>
      <c r="O101" s="454"/>
      <c r="P101" s="454"/>
      <c r="Q101" s="454"/>
      <c r="R101" s="454"/>
      <c r="S101" s="454"/>
      <c r="T101" s="454"/>
      <c r="U101" s="454"/>
      <c r="V101" s="454"/>
      <c r="W101" s="454"/>
      <c r="X101" s="454"/>
      <c r="Y101" s="454"/>
      <c r="Z101" s="454"/>
    </row>
    <row r="102" spans="1:26" ht="15.75" customHeight="1" x14ac:dyDescent="0.25">
      <c r="A102" s="454"/>
      <c r="B102" s="475"/>
      <c r="C102" s="475"/>
      <c r="D102" s="475"/>
      <c r="E102" s="476"/>
      <c r="F102" s="475"/>
      <c r="G102" s="454"/>
      <c r="H102" s="454"/>
      <c r="I102" s="454"/>
      <c r="J102" s="454"/>
      <c r="K102" s="454"/>
      <c r="L102" s="454"/>
      <c r="M102" s="454"/>
      <c r="N102" s="454"/>
      <c r="O102" s="454"/>
      <c r="P102" s="454"/>
      <c r="Q102" s="454"/>
      <c r="R102" s="454"/>
      <c r="S102" s="454"/>
      <c r="T102" s="454"/>
      <c r="U102" s="454"/>
      <c r="V102" s="454"/>
      <c r="W102" s="454"/>
      <c r="X102" s="454"/>
      <c r="Y102" s="454"/>
      <c r="Z102" s="454"/>
    </row>
    <row r="103" spans="1:26" ht="15.75" customHeight="1" x14ac:dyDescent="0.25">
      <c r="A103" s="454"/>
      <c r="B103" s="475"/>
      <c r="C103" s="475"/>
      <c r="D103" s="475"/>
      <c r="E103" s="476"/>
      <c r="F103" s="475"/>
      <c r="G103" s="454"/>
      <c r="H103" s="454"/>
      <c r="I103" s="454"/>
      <c r="J103" s="454"/>
      <c r="K103" s="454"/>
      <c r="L103" s="454"/>
      <c r="M103" s="454"/>
      <c r="N103" s="454"/>
      <c r="O103" s="454"/>
      <c r="P103" s="454"/>
      <c r="Q103" s="454"/>
      <c r="R103" s="454"/>
      <c r="S103" s="454"/>
      <c r="T103" s="454"/>
      <c r="U103" s="454"/>
      <c r="V103" s="454"/>
      <c r="W103" s="454"/>
      <c r="X103" s="454"/>
      <c r="Y103" s="454"/>
      <c r="Z103" s="454"/>
    </row>
    <row r="104" spans="1:26" ht="15.75" customHeight="1" x14ac:dyDescent="0.25">
      <c r="A104" s="454"/>
      <c r="B104" s="475"/>
      <c r="C104" s="475"/>
      <c r="D104" s="475"/>
      <c r="E104" s="476"/>
      <c r="F104" s="475"/>
      <c r="G104" s="454"/>
      <c r="H104" s="454"/>
      <c r="I104" s="454"/>
      <c r="J104" s="454"/>
      <c r="K104" s="454"/>
      <c r="L104" s="454"/>
      <c r="M104" s="454"/>
      <c r="N104" s="454"/>
      <c r="O104" s="454"/>
      <c r="P104" s="454"/>
      <c r="Q104" s="454"/>
      <c r="R104" s="454"/>
      <c r="S104" s="454"/>
      <c r="T104" s="454"/>
      <c r="U104" s="454"/>
      <c r="V104" s="454"/>
      <c r="W104" s="454"/>
      <c r="X104" s="454"/>
      <c r="Y104" s="454"/>
      <c r="Z104" s="454"/>
    </row>
    <row r="105" spans="1:26" ht="15.75" customHeight="1" x14ac:dyDescent="0.25">
      <c r="A105" s="454"/>
      <c r="B105" s="475"/>
      <c r="C105" s="475"/>
      <c r="D105" s="475"/>
      <c r="E105" s="476"/>
      <c r="F105" s="475"/>
      <c r="G105" s="454"/>
      <c r="H105" s="454"/>
      <c r="I105" s="454"/>
      <c r="J105" s="454"/>
      <c r="K105" s="454"/>
      <c r="L105" s="454"/>
      <c r="M105" s="454"/>
      <c r="N105" s="454"/>
      <c r="O105" s="454"/>
      <c r="P105" s="454"/>
      <c r="Q105" s="454"/>
      <c r="R105" s="454"/>
      <c r="S105" s="454"/>
      <c r="T105" s="454"/>
      <c r="U105" s="454"/>
      <c r="V105" s="454"/>
      <c r="W105" s="454"/>
      <c r="X105" s="454"/>
      <c r="Y105" s="454"/>
      <c r="Z105" s="454"/>
    </row>
    <row r="106" spans="1:26" ht="15.75" customHeight="1" x14ac:dyDescent="0.25">
      <c r="A106" s="454"/>
      <c r="B106" s="475"/>
      <c r="C106" s="475"/>
      <c r="D106" s="475"/>
      <c r="E106" s="476"/>
      <c r="F106" s="475"/>
      <c r="G106" s="454"/>
      <c r="H106" s="454"/>
      <c r="I106" s="454"/>
      <c r="J106" s="454"/>
      <c r="K106" s="454"/>
      <c r="L106" s="454"/>
      <c r="M106" s="454"/>
      <c r="N106" s="454"/>
      <c r="O106" s="454"/>
      <c r="P106" s="454"/>
      <c r="Q106" s="454"/>
      <c r="R106" s="454"/>
      <c r="S106" s="454"/>
      <c r="T106" s="454"/>
      <c r="U106" s="454"/>
      <c r="V106" s="454"/>
      <c r="W106" s="454"/>
      <c r="X106" s="454"/>
      <c r="Y106" s="454"/>
      <c r="Z106" s="454"/>
    </row>
    <row r="107" spans="1:26" ht="15.75" customHeight="1" x14ac:dyDescent="0.25">
      <c r="A107" s="454"/>
      <c r="B107" s="475"/>
      <c r="C107" s="475"/>
      <c r="D107" s="475"/>
      <c r="E107" s="476"/>
      <c r="F107" s="475"/>
      <c r="G107" s="454"/>
      <c r="H107" s="454"/>
      <c r="I107" s="454"/>
      <c r="J107" s="454"/>
      <c r="K107" s="454"/>
      <c r="L107" s="454"/>
      <c r="M107" s="454"/>
      <c r="N107" s="454"/>
      <c r="O107" s="454"/>
      <c r="P107" s="454"/>
      <c r="Q107" s="454"/>
      <c r="R107" s="454"/>
      <c r="S107" s="454"/>
      <c r="T107" s="454"/>
      <c r="U107" s="454"/>
      <c r="V107" s="454"/>
      <c r="W107" s="454"/>
      <c r="X107" s="454"/>
      <c r="Y107" s="454"/>
      <c r="Z107" s="454"/>
    </row>
    <row r="108" spans="1:26" ht="15.75" customHeight="1" x14ac:dyDescent="0.25">
      <c r="A108" s="454"/>
      <c r="B108" s="475"/>
      <c r="C108" s="475"/>
      <c r="D108" s="475"/>
      <c r="E108" s="476"/>
      <c r="F108" s="475"/>
      <c r="G108" s="454"/>
      <c r="H108" s="454"/>
      <c r="I108" s="454"/>
      <c r="J108" s="454"/>
      <c r="K108" s="454"/>
      <c r="L108" s="454"/>
      <c r="M108" s="454"/>
      <c r="N108" s="454"/>
      <c r="O108" s="454"/>
      <c r="P108" s="454"/>
      <c r="Q108" s="454"/>
      <c r="R108" s="454"/>
      <c r="S108" s="454"/>
      <c r="T108" s="454"/>
      <c r="U108" s="454"/>
      <c r="V108" s="454"/>
      <c r="W108" s="454"/>
      <c r="X108" s="454"/>
      <c r="Y108" s="454"/>
      <c r="Z108" s="454"/>
    </row>
    <row r="109" spans="1:26" ht="15.75" customHeight="1" x14ac:dyDescent="0.25">
      <c r="A109" s="454"/>
      <c r="B109" s="475"/>
      <c r="C109" s="475"/>
      <c r="D109" s="475"/>
      <c r="E109" s="476"/>
      <c r="F109" s="475"/>
      <c r="G109" s="454"/>
      <c r="H109" s="454"/>
      <c r="I109" s="454"/>
      <c r="J109" s="454"/>
      <c r="K109" s="454"/>
      <c r="L109" s="454"/>
      <c r="M109" s="454"/>
      <c r="N109" s="454"/>
      <c r="O109" s="454"/>
      <c r="P109" s="454"/>
      <c r="Q109" s="454"/>
      <c r="R109" s="454"/>
      <c r="S109" s="454"/>
      <c r="T109" s="454"/>
      <c r="U109" s="454"/>
      <c r="V109" s="454"/>
      <c r="W109" s="454"/>
      <c r="X109" s="454"/>
      <c r="Y109" s="454"/>
      <c r="Z109" s="454"/>
    </row>
    <row r="110" spans="1:26" ht="15.75" customHeight="1" x14ac:dyDescent="0.25">
      <c r="A110" s="454"/>
      <c r="B110" s="475"/>
      <c r="C110" s="475"/>
      <c r="D110" s="475"/>
      <c r="E110" s="476"/>
      <c r="F110" s="475"/>
      <c r="G110" s="454"/>
      <c r="H110" s="454"/>
      <c r="I110" s="454"/>
      <c r="J110" s="454"/>
      <c r="K110" s="454"/>
      <c r="L110" s="454"/>
      <c r="M110" s="454"/>
      <c r="N110" s="454"/>
      <c r="O110" s="454"/>
      <c r="P110" s="454"/>
      <c r="Q110" s="454"/>
      <c r="R110" s="454"/>
      <c r="S110" s="454"/>
      <c r="T110" s="454"/>
      <c r="U110" s="454"/>
      <c r="V110" s="454"/>
      <c r="W110" s="454"/>
      <c r="X110" s="454"/>
      <c r="Y110" s="454"/>
      <c r="Z110" s="454"/>
    </row>
    <row r="111" spans="1:26" ht="15.75" customHeight="1" x14ac:dyDescent="0.25">
      <c r="A111" s="454"/>
      <c r="B111" s="475"/>
      <c r="C111" s="475"/>
      <c r="D111" s="475"/>
      <c r="E111" s="476"/>
      <c r="F111" s="475"/>
      <c r="G111" s="454"/>
      <c r="H111" s="454"/>
      <c r="I111" s="454"/>
      <c r="J111" s="454"/>
      <c r="K111" s="454"/>
      <c r="L111" s="454"/>
      <c r="M111" s="454"/>
      <c r="N111" s="454"/>
      <c r="O111" s="454"/>
      <c r="P111" s="454"/>
      <c r="Q111" s="454"/>
      <c r="R111" s="454"/>
      <c r="S111" s="454"/>
      <c r="T111" s="454"/>
      <c r="U111" s="454"/>
      <c r="V111" s="454"/>
      <c r="W111" s="454"/>
      <c r="X111" s="454"/>
      <c r="Y111" s="454"/>
      <c r="Z111" s="454"/>
    </row>
    <row r="112" spans="1:26" ht="15.75" customHeight="1" x14ac:dyDescent="0.25">
      <c r="A112" s="454"/>
      <c r="B112" s="475"/>
      <c r="C112" s="475"/>
      <c r="D112" s="475"/>
      <c r="E112" s="476"/>
      <c r="F112" s="475"/>
      <c r="G112" s="454"/>
      <c r="H112" s="454"/>
      <c r="I112" s="454"/>
      <c r="J112" s="454"/>
      <c r="K112" s="454"/>
      <c r="L112" s="454"/>
      <c r="M112" s="454"/>
      <c r="N112" s="454"/>
      <c r="O112" s="454"/>
      <c r="P112" s="454"/>
      <c r="Q112" s="454"/>
      <c r="R112" s="454"/>
      <c r="S112" s="454"/>
      <c r="T112" s="454"/>
      <c r="U112" s="454"/>
      <c r="V112" s="454"/>
      <c r="W112" s="454"/>
      <c r="X112" s="454"/>
      <c r="Y112" s="454"/>
      <c r="Z112" s="454"/>
    </row>
    <row r="113" spans="1:26" ht="15.75" customHeight="1" x14ac:dyDescent="0.25">
      <c r="A113" s="454"/>
      <c r="B113" s="475"/>
      <c r="C113" s="475"/>
      <c r="D113" s="475"/>
      <c r="E113" s="476"/>
      <c r="F113" s="475"/>
      <c r="G113" s="454"/>
      <c r="H113" s="454"/>
      <c r="I113" s="454"/>
      <c r="J113" s="454"/>
      <c r="K113" s="454"/>
      <c r="L113" s="454"/>
      <c r="M113" s="454"/>
      <c r="N113" s="454"/>
      <c r="O113" s="454"/>
      <c r="P113" s="454"/>
      <c r="Q113" s="454"/>
      <c r="R113" s="454"/>
      <c r="S113" s="454"/>
      <c r="T113" s="454"/>
      <c r="U113" s="454"/>
      <c r="V113" s="454"/>
      <c r="W113" s="454"/>
      <c r="X113" s="454"/>
      <c r="Y113" s="454"/>
      <c r="Z113" s="454"/>
    </row>
    <row r="114" spans="1:26" ht="15.75" customHeight="1" x14ac:dyDescent="0.25">
      <c r="A114" s="454"/>
      <c r="B114" s="475"/>
      <c r="C114" s="475"/>
      <c r="D114" s="475"/>
      <c r="E114" s="476"/>
      <c r="F114" s="475"/>
      <c r="G114" s="454"/>
      <c r="H114" s="454"/>
      <c r="I114" s="454"/>
      <c r="J114" s="454"/>
      <c r="K114" s="454"/>
      <c r="L114" s="454"/>
      <c r="M114" s="454"/>
      <c r="N114" s="454"/>
      <c r="O114" s="454"/>
      <c r="P114" s="454"/>
      <c r="Q114" s="454"/>
      <c r="R114" s="454"/>
      <c r="S114" s="454"/>
      <c r="T114" s="454"/>
      <c r="U114" s="454"/>
      <c r="V114" s="454"/>
      <c r="W114" s="454"/>
      <c r="X114" s="454"/>
      <c r="Y114" s="454"/>
      <c r="Z114" s="454"/>
    </row>
    <row r="115" spans="1:26" ht="15.75" customHeight="1" x14ac:dyDescent="0.25">
      <c r="A115" s="454"/>
      <c r="B115" s="475"/>
      <c r="C115" s="475"/>
      <c r="D115" s="475"/>
      <c r="E115" s="476"/>
      <c r="F115" s="475"/>
      <c r="G115" s="454"/>
      <c r="H115" s="454"/>
      <c r="I115" s="454"/>
      <c r="J115" s="454"/>
      <c r="K115" s="454"/>
      <c r="L115" s="454"/>
      <c r="M115" s="454"/>
      <c r="N115" s="454"/>
      <c r="O115" s="454"/>
      <c r="P115" s="454"/>
      <c r="Q115" s="454"/>
      <c r="R115" s="454"/>
      <c r="S115" s="454"/>
      <c r="T115" s="454"/>
      <c r="U115" s="454"/>
      <c r="V115" s="454"/>
      <c r="W115" s="454"/>
      <c r="X115" s="454"/>
      <c r="Y115" s="454"/>
      <c r="Z115" s="454"/>
    </row>
    <row r="116" spans="1:26" ht="15.75" customHeight="1" x14ac:dyDescent="0.25">
      <c r="A116" s="454"/>
      <c r="B116" s="475"/>
      <c r="C116" s="475"/>
      <c r="D116" s="475"/>
      <c r="E116" s="476"/>
      <c r="F116" s="475"/>
      <c r="G116" s="454"/>
      <c r="H116" s="454"/>
      <c r="I116" s="454"/>
      <c r="J116" s="454"/>
      <c r="K116" s="454"/>
      <c r="L116" s="454"/>
      <c r="M116" s="454"/>
      <c r="N116" s="454"/>
      <c r="O116" s="454"/>
      <c r="P116" s="454"/>
      <c r="Q116" s="454"/>
      <c r="R116" s="454"/>
      <c r="S116" s="454"/>
      <c r="T116" s="454"/>
      <c r="U116" s="454"/>
      <c r="V116" s="454"/>
      <c r="W116" s="454"/>
      <c r="X116" s="454"/>
      <c r="Y116" s="454"/>
      <c r="Z116" s="454"/>
    </row>
    <row r="117" spans="1:26" ht="15.75" customHeight="1" x14ac:dyDescent="0.25">
      <c r="A117" s="454"/>
      <c r="B117" s="475"/>
      <c r="C117" s="475"/>
      <c r="D117" s="475"/>
      <c r="E117" s="476"/>
      <c r="F117" s="475"/>
      <c r="G117" s="454"/>
      <c r="H117" s="454"/>
      <c r="I117" s="454"/>
      <c r="J117" s="454"/>
      <c r="K117" s="454"/>
      <c r="L117" s="454"/>
      <c r="M117" s="454"/>
      <c r="N117" s="454"/>
      <c r="O117" s="454"/>
      <c r="P117" s="454"/>
      <c r="Q117" s="454"/>
      <c r="R117" s="454"/>
      <c r="S117" s="454"/>
      <c r="T117" s="454"/>
      <c r="U117" s="454"/>
      <c r="V117" s="454"/>
      <c r="W117" s="454"/>
      <c r="X117" s="454"/>
      <c r="Y117" s="454"/>
      <c r="Z117" s="454"/>
    </row>
    <row r="118" spans="1:26" ht="15.75" customHeight="1" x14ac:dyDescent="0.25">
      <c r="A118" s="454"/>
      <c r="B118" s="475"/>
      <c r="C118" s="475"/>
      <c r="D118" s="475"/>
      <c r="E118" s="476"/>
      <c r="F118" s="475"/>
      <c r="G118" s="454"/>
      <c r="H118" s="454"/>
      <c r="I118" s="454"/>
      <c r="J118" s="454"/>
      <c r="K118" s="454"/>
      <c r="L118" s="454"/>
      <c r="M118" s="454"/>
      <c r="N118" s="454"/>
      <c r="O118" s="454"/>
      <c r="P118" s="454"/>
      <c r="Q118" s="454"/>
      <c r="R118" s="454"/>
      <c r="S118" s="454"/>
      <c r="T118" s="454"/>
      <c r="U118" s="454"/>
      <c r="V118" s="454"/>
      <c r="W118" s="454"/>
      <c r="X118" s="454"/>
      <c r="Y118" s="454"/>
      <c r="Z118" s="454"/>
    </row>
    <row r="119" spans="1:26" ht="15.75" customHeight="1" x14ac:dyDescent="0.25">
      <c r="A119" s="454"/>
      <c r="B119" s="475"/>
      <c r="C119" s="475"/>
      <c r="D119" s="475"/>
      <c r="E119" s="476"/>
      <c r="F119" s="475"/>
      <c r="G119" s="454"/>
      <c r="H119" s="454"/>
      <c r="I119" s="454"/>
      <c r="J119" s="454"/>
      <c r="K119" s="454"/>
      <c r="L119" s="454"/>
      <c r="M119" s="454"/>
      <c r="N119" s="454"/>
      <c r="O119" s="454"/>
      <c r="P119" s="454"/>
      <c r="Q119" s="454"/>
      <c r="R119" s="454"/>
      <c r="S119" s="454"/>
      <c r="T119" s="454"/>
      <c r="U119" s="454"/>
      <c r="V119" s="454"/>
      <c r="W119" s="454"/>
      <c r="X119" s="454"/>
      <c r="Y119" s="454"/>
      <c r="Z119" s="454"/>
    </row>
    <row r="120" spans="1:26" ht="15.75" customHeight="1" x14ac:dyDescent="0.25">
      <c r="A120" s="454"/>
      <c r="B120" s="475"/>
      <c r="C120" s="475"/>
      <c r="D120" s="475"/>
      <c r="E120" s="476"/>
      <c r="F120" s="475"/>
      <c r="G120" s="454"/>
      <c r="H120" s="454"/>
      <c r="I120" s="454"/>
      <c r="J120" s="454"/>
      <c r="K120" s="454"/>
      <c r="L120" s="454"/>
      <c r="M120" s="454"/>
      <c r="N120" s="454"/>
      <c r="O120" s="454"/>
      <c r="P120" s="454"/>
      <c r="Q120" s="454"/>
      <c r="R120" s="454"/>
      <c r="S120" s="454"/>
      <c r="T120" s="454"/>
      <c r="U120" s="454"/>
      <c r="V120" s="454"/>
      <c r="W120" s="454"/>
      <c r="X120" s="454"/>
      <c r="Y120" s="454"/>
      <c r="Z120" s="454"/>
    </row>
    <row r="121" spans="1:26" ht="15.75" customHeight="1" x14ac:dyDescent="0.25">
      <c r="A121" s="454"/>
      <c r="B121" s="475"/>
      <c r="C121" s="475"/>
      <c r="D121" s="475"/>
      <c r="E121" s="476"/>
      <c r="F121" s="475"/>
      <c r="G121" s="454"/>
      <c r="H121" s="454"/>
      <c r="I121" s="454"/>
      <c r="J121" s="454"/>
      <c r="K121" s="454"/>
      <c r="L121" s="454"/>
      <c r="M121" s="454"/>
      <c r="N121" s="454"/>
      <c r="O121" s="454"/>
      <c r="P121" s="454"/>
      <c r="Q121" s="454"/>
      <c r="R121" s="454"/>
      <c r="S121" s="454"/>
      <c r="T121" s="454"/>
      <c r="U121" s="454"/>
      <c r="V121" s="454"/>
      <c r="W121" s="454"/>
      <c r="X121" s="454"/>
      <c r="Y121" s="454"/>
      <c r="Z121" s="454"/>
    </row>
    <row r="122" spans="1:26" ht="15.75" customHeight="1" x14ac:dyDescent="0.25">
      <c r="A122" s="454"/>
      <c r="B122" s="475"/>
      <c r="C122" s="475"/>
      <c r="D122" s="475"/>
      <c r="E122" s="476"/>
      <c r="F122" s="475"/>
      <c r="G122" s="454"/>
      <c r="H122" s="454"/>
      <c r="I122" s="454"/>
      <c r="J122" s="454"/>
      <c r="K122" s="454"/>
      <c r="L122" s="454"/>
      <c r="M122" s="454"/>
      <c r="N122" s="454"/>
      <c r="O122" s="454"/>
      <c r="P122" s="454"/>
      <c r="Q122" s="454"/>
      <c r="R122" s="454"/>
      <c r="S122" s="454"/>
      <c r="T122" s="454"/>
      <c r="U122" s="454"/>
      <c r="V122" s="454"/>
      <c r="W122" s="454"/>
      <c r="X122" s="454"/>
      <c r="Y122" s="454"/>
      <c r="Z122" s="454"/>
    </row>
    <row r="123" spans="1:26" ht="15.75" customHeight="1" x14ac:dyDescent="0.25">
      <c r="A123" s="454"/>
      <c r="B123" s="475"/>
      <c r="C123" s="475"/>
      <c r="D123" s="475"/>
      <c r="E123" s="476"/>
      <c r="F123" s="475"/>
      <c r="G123" s="454"/>
      <c r="H123" s="454"/>
      <c r="I123" s="454"/>
      <c r="J123" s="454"/>
      <c r="K123" s="454"/>
      <c r="L123" s="454"/>
      <c r="M123" s="454"/>
      <c r="N123" s="454"/>
      <c r="O123" s="454"/>
      <c r="P123" s="454"/>
      <c r="Q123" s="454"/>
      <c r="R123" s="454"/>
      <c r="S123" s="454"/>
      <c r="T123" s="454"/>
      <c r="U123" s="454"/>
      <c r="V123" s="454"/>
      <c r="W123" s="454"/>
      <c r="X123" s="454"/>
      <c r="Y123" s="454"/>
      <c r="Z123" s="454"/>
    </row>
    <row r="124" spans="1:26" ht="15.75" customHeight="1" x14ac:dyDescent="0.25">
      <c r="A124" s="454"/>
      <c r="B124" s="475"/>
      <c r="C124" s="475"/>
      <c r="D124" s="475"/>
      <c r="E124" s="476"/>
      <c r="F124" s="475"/>
      <c r="G124" s="454"/>
      <c r="H124" s="454"/>
      <c r="I124" s="454"/>
      <c r="J124" s="454"/>
      <c r="K124" s="454"/>
      <c r="L124" s="454"/>
      <c r="M124" s="454"/>
      <c r="N124" s="454"/>
      <c r="O124" s="454"/>
      <c r="P124" s="454"/>
      <c r="Q124" s="454"/>
      <c r="R124" s="454"/>
      <c r="S124" s="454"/>
      <c r="T124" s="454"/>
      <c r="U124" s="454"/>
      <c r="V124" s="454"/>
      <c r="W124" s="454"/>
      <c r="X124" s="454"/>
      <c r="Y124" s="454"/>
      <c r="Z124" s="454"/>
    </row>
    <row r="125" spans="1:26" ht="15.75" customHeight="1" x14ac:dyDescent="0.25">
      <c r="A125" s="454"/>
      <c r="B125" s="475"/>
      <c r="C125" s="475"/>
      <c r="D125" s="475"/>
      <c r="E125" s="476"/>
      <c r="F125" s="475"/>
      <c r="G125" s="454"/>
      <c r="H125" s="454"/>
      <c r="I125" s="454"/>
      <c r="J125" s="454"/>
      <c r="K125" s="454"/>
      <c r="L125" s="454"/>
      <c r="M125" s="454"/>
      <c r="N125" s="454"/>
      <c r="O125" s="454"/>
      <c r="P125" s="454"/>
      <c r="Q125" s="454"/>
      <c r="R125" s="454"/>
      <c r="S125" s="454"/>
      <c r="T125" s="454"/>
      <c r="U125" s="454"/>
      <c r="V125" s="454"/>
      <c r="W125" s="454"/>
      <c r="X125" s="454"/>
      <c r="Y125" s="454"/>
      <c r="Z125" s="454"/>
    </row>
    <row r="126" spans="1:26" ht="15.75" customHeight="1" x14ac:dyDescent="0.25">
      <c r="A126" s="454"/>
      <c r="B126" s="475"/>
      <c r="C126" s="475"/>
      <c r="D126" s="475"/>
      <c r="E126" s="476"/>
      <c r="F126" s="475"/>
      <c r="G126" s="454"/>
      <c r="H126" s="454"/>
      <c r="I126" s="454"/>
      <c r="J126" s="454"/>
      <c r="K126" s="454"/>
      <c r="L126" s="454"/>
      <c r="M126" s="454"/>
      <c r="N126" s="454"/>
      <c r="O126" s="454"/>
      <c r="P126" s="454"/>
      <c r="Q126" s="454"/>
      <c r="R126" s="454"/>
      <c r="S126" s="454"/>
      <c r="T126" s="454"/>
      <c r="U126" s="454"/>
      <c r="V126" s="454"/>
      <c r="W126" s="454"/>
      <c r="X126" s="454"/>
      <c r="Y126" s="454"/>
      <c r="Z126" s="454"/>
    </row>
    <row r="127" spans="1:26" ht="15.75" customHeight="1" x14ac:dyDescent="0.25">
      <c r="A127" s="454"/>
      <c r="B127" s="475"/>
      <c r="C127" s="475"/>
      <c r="D127" s="475"/>
      <c r="E127" s="476"/>
      <c r="F127" s="475"/>
      <c r="G127" s="454"/>
      <c r="H127" s="454"/>
      <c r="I127" s="454"/>
      <c r="J127" s="454"/>
      <c r="K127" s="454"/>
      <c r="L127" s="454"/>
      <c r="M127" s="454"/>
      <c r="N127" s="454"/>
      <c r="O127" s="454"/>
      <c r="P127" s="454"/>
      <c r="Q127" s="454"/>
      <c r="R127" s="454"/>
      <c r="S127" s="454"/>
      <c r="T127" s="454"/>
      <c r="U127" s="454"/>
      <c r="V127" s="454"/>
      <c r="W127" s="454"/>
      <c r="X127" s="454"/>
      <c r="Y127" s="454"/>
      <c r="Z127" s="454"/>
    </row>
    <row r="128" spans="1:26" ht="15.75" customHeight="1" x14ac:dyDescent="0.25">
      <c r="A128" s="454"/>
      <c r="B128" s="475"/>
      <c r="C128" s="475"/>
      <c r="D128" s="475"/>
      <c r="E128" s="476"/>
      <c r="F128" s="475"/>
      <c r="G128" s="454"/>
      <c r="H128" s="454"/>
      <c r="I128" s="454"/>
      <c r="J128" s="454"/>
      <c r="K128" s="454"/>
      <c r="L128" s="454"/>
      <c r="M128" s="454"/>
      <c r="N128" s="454"/>
      <c r="O128" s="454"/>
      <c r="P128" s="454"/>
      <c r="Q128" s="454"/>
      <c r="R128" s="454"/>
      <c r="S128" s="454"/>
      <c r="T128" s="454"/>
      <c r="U128" s="454"/>
      <c r="V128" s="454"/>
      <c r="W128" s="454"/>
      <c r="X128" s="454"/>
      <c r="Y128" s="454"/>
      <c r="Z128" s="454"/>
    </row>
    <row r="129" spans="1:26" ht="15.75" customHeight="1" x14ac:dyDescent="0.25">
      <c r="A129" s="454"/>
      <c r="B129" s="475"/>
      <c r="C129" s="475"/>
      <c r="D129" s="475"/>
      <c r="E129" s="476"/>
      <c r="F129" s="475"/>
      <c r="G129" s="454"/>
      <c r="H129" s="454"/>
      <c r="I129" s="454"/>
      <c r="J129" s="454"/>
      <c r="K129" s="454"/>
      <c r="L129" s="454"/>
      <c r="M129" s="454"/>
      <c r="N129" s="454"/>
      <c r="O129" s="454"/>
      <c r="P129" s="454"/>
      <c r="Q129" s="454"/>
      <c r="R129" s="454"/>
      <c r="S129" s="454"/>
      <c r="T129" s="454"/>
      <c r="U129" s="454"/>
      <c r="V129" s="454"/>
      <c r="W129" s="454"/>
      <c r="X129" s="454"/>
      <c r="Y129" s="454"/>
      <c r="Z129" s="454"/>
    </row>
    <row r="130" spans="1:26" ht="15.75" customHeight="1" x14ac:dyDescent="0.25">
      <c r="A130" s="454"/>
      <c r="B130" s="475"/>
      <c r="C130" s="475"/>
      <c r="D130" s="475"/>
      <c r="E130" s="476"/>
      <c r="F130" s="475"/>
      <c r="G130" s="454"/>
      <c r="H130" s="454"/>
      <c r="I130" s="454"/>
      <c r="J130" s="454"/>
      <c r="K130" s="454"/>
      <c r="L130" s="454"/>
      <c r="M130" s="454"/>
      <c r="N130" s="454"/>
      <c r="O130" s="454"/>
      <c r="P130" s="454"/>
      <c r="Q130" s="454"/>
      <c r="R130" s="454"/>
      <c r="S130" s="454"/>
      <c r="T130" s="454"/>
      <c r="U130" s="454"/>
      <c r="V130" s="454"/>
      <c r="W130" s="454"/>
      <c r="X130" s="454"/>
      <c r="Y130" s="454"/>
      <c r="Z130" s="454"/>
    </row>
    <row r="131" spans="1:26" ht="15.75" customHeight="1" x14ac:dyDescent="0.25">
      <c r="A131" s="454"/>
      <c r="B131" s="475"/>
      <c r="C131" s="475"/>
      <c r="D131" s="475"/>
      <c r="E131" s="476"/>
      <c r="F131" s="475"/>
      <c r="G131" s="454"/>
      <c r="H131" s="454"/>
      <c r="I131" s="454"/>
      <c r="J131" s="454"/>
      <c r="K131" s="454"/>
      <c r="L131" s="454"/>
      <c r="M131" s="454"/>
      <c r="N131" s="454"/>
      <c r="O131" s="454"/>
      <c r="P131" s="454"/>
      <c r="Q131" s="454"/>
      <c r="R131" s="454"/>
      <c r="S131" s="454"/>
      <c r="T131" s="454"/>
      <c r="U131" s="454"/>
      <c r="V131" s="454"/>
      <c r="W131" s="454"/>
      <c r="X131" s="454"/>
      <c r="Y131" s="454"/>
      <c r="Z131" s="454"/>
    </row>
    <row r="132" spans="1:26" ht="15.75" customHeight="1" x14ac:dyDescent="0.25">
      <c r="A132" s="454"/>
      <c r="B132" s="475"/>
      <c r="C132" s="475"/>
      <c r="D132" s="475"/>
      <c r="E132" s="476"/>
      <c r="F132" s="475"/>
      <c r="G132" s="454"/>
      <c r="H132" s="454"/>
      <c r="I132" s="454"/>
      <c r="J132" s="454"/>
      <c r="K132" s="454"/>
      <c r="L132" s="454"/>
      <c r="M132" s="454"/>
      <c r="N132" s="454"/>
      <c r="O132" s="454"/>
      <c r="P132" s="454"/>
      <c r="Q132" s="454"/>
      <c r="R132" s="454"/>
      <c r="S132" s="454"/>
      <c r="T132" s="454"/>
      <c r="U132" s="454"/>
      <c r="V132" s="454"/>
      <c r="W132" s="454"/>
      <c r="X132" s="454"/>
      <c r="Y132" s="454"/>
      <c r="Z132" s="454"/>
    </row>
    <row r="133" spans="1:26" ht="15.75" customHeight="1" x14ac:dyDescent="0.25">
      <c r="A133" s="454"/>
      <c r="B133" s="475"/>
      <c r="C133" s="475"/>
      <c r="D133" s="475"/>
      <c r="E133" s="476"/>
      <c r="F133" s="475"/>
      <c r="G133" s="454"/>
      <c r="H133" s="454"/>
      <c r="I133" s="454"/>
      <c r="J133" s="454"/>
      <c r="K133" s="454"/>
      <c r="L133" s="454"/>
      <c r="M133" s="454"/>
      <c r="N133" s="454"/>
      <c r="O133" s="454"/>
      <c r="P133" s="454"/>
      <c r="Q133" s="454"/>
      <c r="R133" s="454"/>
      <c r="S133" s="454"/>
      <c r="T133" s="454"/>
      <c r="U133" s="454"/>
      <c r="V133" s="454"/>
      <c r="W133" s="454"/>
      <c r="X133" s="454"/>
      <c r="Y133" s="454"/>
      <c r="Z133" s="454"/>
    </row>
    <row r="134" spans="1:26" ht="15.75" customHeight="1" x14ac:dyDescent="0.25">
      <c r="A134" s="454"/>
      <c r="B134" s="475"/>
      <c r="C134" s="475"/>
      <c r="D134" s="475"/>
      <c r="E134" s="476"/>
      <c r="F134" s="475"/>
      <c r="G134" s="454"/>
      <c r="H134" s="454"/>
      <c r="I134" s="454"/>
      <c r="J134" s="454"/>
      <c r="K134" s="454"/>
      <c r="L134" s="454"/>
      <c r="M134" s="454"/>
      <c r="N134" s="454"/>
      <c r="O134" s="454"/>
      <c r="P134" s="454"/>
      <c r="Q134" s="454"/>
      <c r="R134" s="454"/>
      <c r="S134" s="454"/>
      <c r="T134" s="454"/>
      <c r="U134" s="454"/>
      <c r="V134" s="454"/>
      <c r="W134" s="454"/>
      <c r="X134" s="454"/>
      <c r="Y134" s="454"/>
      <c r="Z134" s="454"/>
    </row>
    <row r="135" spans="1:26" ht="15.75" customHeight="1" x14ac:dyDescent="0.25">
      <c r="A135" s="454"/>
      <c r="B135" s="475"/>
      <c r="C135" s="475"/>
      <c r="D135" s="475"/>
      <c r="E135" s="476"/>
      <c r="F135" s="475"/>
      <c r="G135" s="454"/>
      <c r="H135" s="454"/>
      <c r="I135" s="454"/>
      <c r="J135" s="454"/>
      <c r="K135" s="454"/>
      <c r="L135" s="454"/>
      <c r="M135" s="454"/>
      <c r="N135" s="454"/>
      <c r="O135" s="454"/>
      <c r="P135" s="454"/>
      <c r="Q135" s="454"/>
      <c r="R135" s="454"/>
      <c r="S135" s="454"/>
      <c r="T135" s="454"/>
      <c r="U135" s="454"/>
      <c r="V135" s="454"/>
      <c r="W135" s="454"/>
      <c r="X135" s="454"/>
      <c r="Y135" s="454"/>
      <c r="Z135" s="454"/>
    </row>
    <row r="136" spans="1:26" ht="15.75" customHeight="1" x14ac:dyDescent="0.25">
      <c r="A136" s="454"/>
      <c r="B136" s="475"/>
      <c r="C136" s="475"/>
      <c r="D136" s="475"/>
      <c r="E136" s="476"/>
      <c r="F136" s="475"/>
      <c r="G136" s="454"/>
      <c r="H136" s="454"/>
      <c r="I136" s="454"/>
      <c r="J136" s="454"/>
      <c r="K136" s="454"/>
      <c r="L136" s="454"/>
      <c r="M136" s="454"/>
      <c r="N136" s="454"/>
      <c r="O136" s="454"/>
      <c r="P136" s="454"/>
      <c r="Q136" s="454"/>
      <c r="R136" s="454"/>
      <c r="S136" s="454"/>
      <c r="T136" s="454"/>
      <c r="U136" s="454"/>
      <c r="V136" s="454"/>
      <c r="W136" s="454"/>
      <c r="X136" s="454"/>
      <c r="Y136" s="454"/>
      <c r="Z136" s="454"/>
    </row>
    <row r="137" spans="1:26" ht="15.75" customHeight="1" x14ac:dyDescent="0.25">
      <c r="A137" s="454"/>
      <c r="B137" s="475"/>
      <c r="C137" s="475"/>
      <c r="D137" s="475"/>
      <c r="E137" s="476"/>
      <c r="F137" s="475"/>
      <c r="G137" s="454"/>
      <c r="H137" s="454"/>
      <c r="I137" s="454"/>
      <c r="J137" s="454"/>
      <c r="K137" s="454"/>
      <c r="L137" s="454"/>
      <c r="M137" s="454"/>
      <c r="N137" s="454"/>
      <c r="O137" s="454"/>
      <c r="P137" s="454"/>
      <c r="Q137" s="454"/>
      <c r="R137" s="454"/>
      <c r="S137" s="454"/>
      <c r="T137" s="454"/>
      <c r="U137" s="454"/>
      <c r="V137" s="454"/>
      <c r="W137" s="454"/>
      <c r="X137" s="454"/>
      <c r="Y137" s="454"/>
      <c r="Z137" s="454"/>
    </row>
    <row r="138" spans="1:26" ht="15.75" customHeight="1" x14ac:dyDescent="0.25">
      <c r="A138" s="454"/>
      <c r="B138" s="475"/>
      <c r="C138" s="475"/>
      <c r="D138" s="475"/>
      <c r="E138" s="476"/>
      <c r="F138" s="475"/>
      <c r="G138" s="454"/>
      <c r="H138" s="454"/>
      <c r="I138" s="454"/>
      <c r="J138" s="454"/>
      <c r="K138" s="454"/>
      <c r="L138" s="454"/>
      <c r="M138" s="454"/>
      <c r="N138" s="454"/>
      <c r="O138" s="454"/>
      <c r="P138" s="454"/>
      <c r="Q138" s="454"/>
      <c r="R138" s="454"/>
      <c r="S138" s="454"/>
      <c r="T138" s="454"/>
      <c r="U138" s="454"/>
      <c r="V138" s="454"/>
      <c r="W138" s="454"/>
      <c r="X138" s="454"/>
      <c r="Y138" s="454"/>
      <c r="Z138" s="454"/>
    </row>
    <row r="139" spans="1:26" ht="15.75" customHeight="1" x14ac:dyDescent="0.25">
      <c r="A139" s="454"/>
      <c r="B139" s="475"/>
      <c r="C139" s="475"/>
      <c r="D139" s="475"/>
      <c r="E139" s="476"/>
      <c r="F139" s="475"/>
      <c r="G139" s="454"/>
      <c r="H139" s="454"/>
      <c r="I139" s="454"/>
      <c r="J139" s="454"/>
      <c r="K139" s="454"/>
      <c r="L139" s="454"/>
      <c r="M139" s="454"/>
      <c r="N139" s="454"/>
      <c r="O139" s="454"/>
      <c r="P139" s="454"/>
      <c r="Q139" s="454"/>
      <c r="R139" s="454"/>
      <c r="S139" s="454"/>
      <c r="T139" s="454"/>
      <c r="U139" s="454"/>
      <c r="V139" s="454"/>
      <c r="W139" s="454"/>
      <c r="X139" s="454"/>
      <c r="Y139" s="454"/>
      <c r="Z139" s="454"/>
    </row>
    <row r="140" spans="1:26" ht="15.75" customHeight="1" x14ac:dyDescent="0.25">
      <c r="A140" s="454"/>
      <c r="B140" s="475"/>
      <c r="C140" s="475"/>
      <c r="D140" s="475"/>
      <c r="E140" s="476"/>
      <c r="F140" s="475"/>
      <c r="G140" s="454"/>
      <c r="H140" s="454"/>
      <c r="I140" s="454"/>
      <c r="J140" s="454"/>
      <c r="K140" s="454"/>
      <c r="L140" s="454"/>
      <c r="M140" s="454"/>
      <c r="N140" s="454"/>
      <c r="O140" s="454"/>
      <c r="P140" s="454"/>
      <c r="Q140" s="454"/>
      <c r="R140" s="454"/>
      <c r="S140" s="454"/>
      <c r="T140" s="454"/>
      <c r="U140" s="454"/>
      <c r="V140" s="454"/>
      <c r="W140" s="454"/>
      <c r="X140" s="454"/>
      <c r="Y140" s="454"/>
      <c r="Z140" s="454"/>
    </row>
    <row r="141" spans="1:26" ht="15.75" customHeight="1" x14ac:dyDescent="0.25">
      <c r="A141" s="454"/>
      <c r="B141" s="475"/>
      <c r="C141" s="475"/>
      <c r="D141" s="475"/>
      <c r="E141" s="476"/>
      <c r="F141" s="475"/>
      <c r="G141" s="454"/>
      <c r="H141" s="454"/>
      <c r="I141" s="454"/>
      <c r="J141" s="454"/>
      <c r="K141" s="454"/>
      <c r="L141" s="454"/>
      <c r="M141" s="454"/>
      <c r="N141" s="454"/>
      <c r="O141" s="454"/>
      <c r="P141" s="454"/>
      <c r="Q141" s="454"/>
      <c r="R141" s="454"/>
      <c r="S141" s="454"/>
      <c r="T141" s="454"/>
      <c r="U141" s="454"/>
      <c r="V141" s="454"/>
      <c r="W141" s="454"/>
      <c r="X141" s="454"/>
      <c r="Y141" s="454"/>
      <c r="Z141" s="454"/>
    </row>
    <row r="142" spans="1:26" ht="15.75" customHeight="1" x14ac:dyDescent="0.25">
      <c r="A142" s="454"/>
      <c r="B142" s="475"/>
      <c r="C142" s="475"/>
      <c r="D142" s="475"/>
      <c r="E142" s="476"/>
      <c r="F142" s="475"/>
      <c r="G142" s="454"/>
      <c r="H142" s="454"/>
      <c r="I142" s="454"/>
      <c r="J142" s="454"/>
      <c r="K142" s="454"/>
      <c r="L142" s="454"/>
      <c r="M142" s="454"/>
      <c r="N142" s="454"/>
      <c r="O142" s="454"/>
      <c r="P142" s="454"/>
      <c r="Q142" s="454"/>
      <c r="R142" s="454"/>
      <c r="S142" s="454"/>
      <c r="T142" s="454"/>
      <c r="U142" s="454"/>
      <c r="V142" s="454"/>
      <c r="W142" s="454"/>
      <c r="X142" s="454"/>
      <c r="Y142" s="454"/>
      <c r="Z142" s="454"/>
    </row>
    <row r="143" spans="1:26" ht="15.75" customHeight="1" x14ac:dyDescent="0.25">
      <c r="A143" s="454"/>
      <c r="B143" s="475"/>
      <c r="C143" s="475"/>
      <c r="D143" s="475"/>
      <c r="E143" s="476"/>
      <c r="F143" s="475"/>
      <c r="G143" s="454"/>
      <c r="H143" s="454"/>
      <c r="I143" s="454"/>
      <c r="J143" s="454"/>
      <c r="K143" s="454"/>
      <c r="L143" s="454"/>
      <c r="M143" s="454"/>
      <c r="N143" s="454"/>
      <c r="O143" s="454"/>
      <c r="P143" s="454"/>
      <c r="Q143" s="454"/>
      <c r="R143" s="454"/>
      <c r="S143" s="454"/>
      <c r="T143" s="454"/>
      <c r="U143" s="454"/>
      <c r="V143" s="454"/>
      <c r="W143" s="454"/>
      <c r="X143" s="454"/>
      <c r="Y143" s="454"/>
      <c r="Z143" s="454"/>
    </row>
    <row r="144" spans="1:26" ht="15.75" customHeight="1" x14ac:dyDescent="0.25">
      <c r="A144" s="454"/>
      <c r="B144" s="475"/>
      <c r="C144" s="475"/>
      <c r="D144" s="475"/>
      <c r="E144" s="476"/>
      <c r="F144" s="475"/>
      <c r="G144" s="454"/>
      <c r="H144" s="454"/>
      <c r="I144" s="454"/>
      <c r="J144" s="454"/>
      <c r="K144" s="454"/>
      <c r="L144" s="454"/>
      <c r="M144" s="454"/>
      <c r="N144" s="454"/>
      <c r="O144" s="454"/>
      <c r="P144" s="454"/>
      <c r="Q144" s="454"/>
      <c r="R144" s="454"/>
      <c r="S144" s="454"/>
      <c r="T144" s="454"/>
      <c r="U144" s="454"/>
      <c r="V144" s="454"/>
      <c r="W144" s="454"/>
      <c r="X144" s="454"/>
      <c r="Y144" s="454"/>
      <c r="Z144" s="454"/>
    </row>
    <row r="145" spans="1:26" ht="15.75" customHeight="1" x14ac:dyDescent="0.25">
      <c r="A145" s="454"/>
      <c r="B145" s="475"/>
      <c r="C145" s="475"/>
      <c r="D145" s="475"/>
      <c r="E145" s="476"/>
      <c r="F145" s="475"/>
      <c r="G145" s="454"/>
      <c r="H145" s="454"/>
      <c r="I145" s="454"/>
      <c r="J145" s="454"/>
      <c r="K145" s="454"/>
      <c r="L145" s="454"/>
      <c r="M145" s="454"/>
      <c r="N145" s="454"/>
      <c r="O145" s="454"/>
      <c r="P145" s="454"/>
      <c r="Q145" s="454"/>
      <c r="R145" s="454"/>
      <c r="S145" s="454"/>
      <c r="T145" s="454"/>
      <c r="U145" s="454"/>
      <c r="V145" s="454"/>
      <c r="W145" s="454"/>
      <c r="X145" s="454"/>
      <c r="Y145" s="454"/>
      <c r="Z145" s="454"/>
    </row>
    <row r="146" spans="1:26" ht="15.75" customHeight="1" x14ac:dyDescent="0.25">
      <c r="A146" s="454"/>
      <c r="B146" s="475"/>
      <c r="C146" s="475"/>
      <c r="D146" s="475"/>
      <c r="E146" s="476"/>
      <c r="F146" s="475"/>
      <c r="G146" s="454"/>
      <c r="H146" s="454"/>
      <c r="I146" s="454"/>
      <c r="J146" s="454"/>
      <c r="K146" s="454"/>
      <c r="L146" s="454"/>
      <c r="M146" s="454"/>
      <c r="N146" s="454"/>
      <c r="O146" s="454"/>
      <c r="P146" s="454"/>
      <c r="Q146" s="454"/>
      <c r="R146" s="454"/>
      <c r="S146" s="454"/>
      <c r="T146" s="454"/>
      <c r="U146" s="454"/>
      <c r="V146" s="454"/>
      <c r="W146" s="454"/>
      <c r="X146" s="454"/>
      <c r="Y146" s="454"/>
      <c r="Z146" s="454"/>
    </row>
    <row r="147" spans="1:26" ht="15.75" customHeight="1" x14ac:dyDescent="0.25">
      <c r="A147" s="454"/>
      <c r="B147" s="475"/>
      <c r="C147" s="475"/>
      <c r="D147" s="475"/>
      <c r="E147" s="476"/>
      <c r="F147" s="475"/>
      <c r="G147" s="454"/>
      <c r="H147" s="454"/>
      <c r="I147" s="454"/>
      <c r="J147" s="454"/>
      <c r="K147" s="454"/>
      <c r="L147" s="454"/>
      <c r="M147" s="454"/>
      <c r="N147" s="454"/>
      <c r="O147" s="454"/>
      <c r="P147" s="454"/>
      <c r="Q147" s="454"/>
      <c r="R147" s="454"/>
      <c r="S147" s="454"/>
      <c r="T147" s="454"/>
      <c r="U147" s="454"/>
      <c r="V147" s="454"/>
      <c r="W147" s="454"/>
      <c r="X147" s="454"/>
      <c r="Y147" s="454"/>
      <c r="Z147" s="454"/>
    </row>
    <row r="148" spans="1:26" ht="15.75" customHeight="1" x14ac:dyDescent="0.25">
      <c r="A148" s="454"/>
      <c r="B148" s="475"/>
      <c r="C148" s="475"/>
      <c r="D148" s="475"/>
      <c r="E148" s="476"/>
      <c r="F148" s="475"/>
      <c r="G148" s="454"/>
      <c r="H148" s="454"/>
      <c r="I148" s="454"/>
      <c r="J148" s="454"/>
      <c r="K148" s="454"/>
      <c r="L148" s="454"/>
      <c r="M148" s="454"/>
      <c r="N148" s="454"/>
      <c r="O148" s="454"/>
      <c r="P148" s="454"/>
      <c r="Q148" s="454"/>
      <c r="R148" s="454"/>
      <c r="S148" s="454"/>
      <c r="T148" s="454"/>
      <c r="U148" s="454"/>
      <c r="V148" s="454"/>
      <c r="W148" s="454"/>
      <c r="X148" s="454"/>
      <c r="Y148" s="454"/>
      <c r="Z148" s="454"/>
    </row>
    <row r="149" spans="1:26" ht="15.75" customHeight="1" x14ac:dyDescent="0.25">
      <c r="A149" s="454"/>
      <c r="B149" s="475"/>
      <c r="C149" s="475"/>
      <c r="D149" s="475"/>
      <c r="E149" s="476"/>
      <c r="F149" s="475"/>
      <c r="G149" s="454"/>
      <c r="H149" s="454"/>
      <c r="I149" s="454"/>
      <c r="J149" s="454"/>
      <c r="K149" s="454"/>
      <c r="L149" s="454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</row>
    <row r="150" spans="1:26" ht="15.75" customHeight="1" x14ac:dyDescent="0.25">
      <c r="A150" s="454"/>
      <c r="B150" s="475"/>
      <c r="C150" s="475"/>
      <c r="D150" s="475"/>
      <c r="E150" s="476"/>
      <c r="F150" s="475"/>
      <c r="G150" s="454"/>
      <c r="H150" s="454"/>
      <c r="I150" s="454"/>
      <c r="J150" s="454"/>
      <c r="K150" s="454"/>
      <c r="L150" s="454"/>
      <c r="M150" s="454"/>
      <c r="N150" s="454"/>
      <c r="O150" s="454"/>
      <c r="P150" s="454"/>
      <c r="Q150" s="454"/>
      <c r="R150" s="454"/>
      <c r="S150" s="454"/>
      <c r="T150" s="454"/>
      <c r="U150" s="454"/>
      <c r="V150" s="454"/>
      <c r="W150" s="454"/>
      <c r="X150" s="454"/>
      <c r="Y150" s="454"/>
      <c r="Z150" s="454"/>
    </row>
    <row r="151" spans="1:26" ht="15.75" customHeight="1" x14ac:dyDescent="0.25">
      <c r="A151" s="454"/>
      <c r="B151" s="475"/>
      <c r="C151" s="475"/>
      <c r="D151" s="475"/>
      <c r="E151" s="476"/>
      <c r="F151" s="475"/>
      <c r="G151" s="454"/>
      <c r="H151" s="454"/>
      <c r="I151" s="454"/>
      <c r="J151" s="454"/>
      <c r="K151" s="454"/>
      <c r="L151" s="454"/>
      <c r="M151" s="454"/>
      <c r="N151" s="454"/>
      <c r="O151" s="454"/>
      <c r="P151" s="454"/>
      <c r="Q151" s="454"/>
      <c r="R151" s="454"/>
      <c r="S151" s="454"/>
      <c r="T151" s="454"/>
      <c r="U151" s="454"/>
      <c r="V151" s="454"/>
      <c r="W151" s="454"/>
      <c r="X151" s="454"/>
      <c r="Y151" s="454"/>
      <c r="Z151" s="454"/>
    </row>
    <row r="152" spans="1:26" ht="15.75" customHeight="1" x14ac:dyDescent="0.25">
      <c r="A152" s="454"/>
      <c r="B152" s="475"/>
      <c r="C152" s="475"/>
      <c r="D152" s="475"/>
      <c r="E152" s="476"/>
      <c r="F152" s="475"/>
      <c r="G152" s="454"/>
      <c r="H152" s="454"/>
      <c r="I152" s="454"/>
      <c r="J152" s="454"/>
      <c r="K152" s="454"/>
      <c r="L152" s="454"/>
      <c r="M152" s="454"/>
      <c r="N152" s="454"/>
      <c r="O152" s="454"/>
      <c r="P152" s="454"/>
      <c r="Q152" s="454"/>
      <c r="R152" s="454"/>
      <c r="S152" s="454"/>
      <c r="T152" s="454"/>
      <c r="U152" s="454"/>
      <c r="V152" s="454"/>
      <c r="W152" s="454"/>
      <c r="X152" s="454"/>
      <c r="Y152" s="454"/>
      <c r="Z152" s="454"/>
    </row>
    <row r="153" spans="1:26" ht="15.75" customHeight="1" x14ac:dyDescent="0.25">
      <c r="A153" s="454"/>
      <c r="B153" s="475"/>
      <c r="C153" s="475"/>
      <c r="D153" s="475"/>
      <c r="E153" s="476"/>
      <c r="F153" s="475"/>
      <c r="G153" s="454"/>
      <c r="H153" s="454"/>
      <c r="I153" s="454"/>
      <c r="J153" s="454"/>
      <c r="K153" s="454"/>
      <c r="L153" s="454"/>
      <c r="M153" s="454"/>
      <c r="N153" s="454"/>
      <c r="O153" s="454"/>
      <c r="P153" s="454"/>
      <c r="Q153" s="454"/>
      <c r="R153" s="454"/>
      <c r="S153" s="454"/>
      <c r="T153" s="454"/>
      <c r="U153" s="454"/>
      <c r="V153" s="454"/>
      <c r="W153" s="454"/>
      <c r="X153" s="454"/>
      <c r="Y153" s="454"/>
      <c r="Z153" s="454"/>
    </row>
    <row r="154" spans="1:26" ht="15.75" customHeight="1" x14ac:dyDescent="0.25">
      <c r="A154" s="454"/>
      <c r="B154" s="475"/>
      <c r="C154" s="475"/>
      <c r="D154" s="475"/>
      <c r="E154" s="476"/>
      <c r="F154" s="475"/>
      <c r="G154" s="454"/>
      <c r="H154" s="454"/>
      <c r="I154" s="454"/>
      <c r="J154" s="454"/>
      <c r="K154" s="454"/>
      <c r="L154" s="454"/>
      <c r="M154" s="454"/>
      <c r="N154" s="454"/>
      <c r="O154" s="454"/>
      <c r="P154" s="454"/>
      <c r="Q154" s="454"/>
      <c r="R154" s="454"/>
      <c r="S154" s="454"/>
      <c r="T154" s="454"/>
      <c r="U154" s="454"/>
      <c r="V154" s="454"/>
      <c r="W154" s="454"/>
      <c r="X154" s="454"/>
      <c r="Y154" s="454"/>
      <c r="Z154" s="454"/>
    </row>
    <row r="155" spans="1:26" ht="15.75" customHeight="1" x14ac:dyDescent="0.25">
      <c r="A155" s="454"/>
      <c r="B155" s="475"/>
      <c r="C155" s="475"/>
      <c r="D155" s="475"/>
      <c r="E155" s="476"/>
      <c r="F155" s="475"/>
      <c r="G155" s="454"/>
      <c r="H155" s="454"/>
      <c r="I155" s="454"/>
      <c r="J155" s="454"/>
      <c r="K155" s="454"/>
      <c r="L155" s="454"/>
      <c r="M155" s="454"/>
      <c r="N155" s="454"/>
      <c r="O155" s="454"/>
      <c r="P155" s="454"/>
      <c r="Q155" s="454"/>
      <c r="R155" s="454"/>
      <c r="S155" s="454"/>
      <c r="T155" s="454"/>
      <c r="U155" s="454"/>
      <c r="V155" s="454"/>
      <c r="W155" s="454"/>
      <c r="X155" s="454"/>
      <c r="Y155" s="454"/>
      <c r="Z155" s="454"/>
    </row>
    <row r="156" spans="1:26" ht="15.75" customHeight="1" x14ac:dyDescent="0.25">
      <c r="A156" s="454"/>
      <c r="B156" s="475"/>
      <c r="C156" s="475"/>
      <c r="D156" s="475"/>
      <c r="E156" s="476"/>
      <c r="F156" s="475"/>
      <c r="G156" s="454"/>
      <c r="H156" s="454"/>
      <c r="I156" s="454"/>
      <c r="J156" s="454"/>
      <c r="K156" s="454"/>
      <c r="L156" s="454"/>
      <c r="M156" s="454"/>
      <c r="N156" s="454"/>
      <c r="O156" s="454"/>
      <c r="P156" s="454"/>
      <c r="Q156" s="454"/>
      <c r="R156" s="454"/>
      <c r="S156" s="454"/>
      <c r="T156" s="454"/>
      <c r="U156" s="454"/>
      <c r="V156" s="454"/>
      <c r="W156" s="454"/>
      <c r="X156" s="454"/>
      <c r="Y156" s="454"/>
      <c r="Z156" s="454"/>
    </row>
    <row r="157" spans="1:26" ht="15.75" customHeight="1" x14ac:dyDescent="0.25">
      <c r="A157" s="454"/>
      <c r="B157" s="475"/>
      <c r="C157" s="475"/>
      <c r="D157" s="475"/>
      <c r="E157" s="476"/>
      <c r="F157" s="475"/>
      <c r="G157" s="454"/>
      <c r="H157" s="454"/>
      <c r="I157" s="454"/>
      <c r="J157" s="454"/>
      <c r="K157" s="454"/>
      <c r="L157" s="454"/>
      <c r="M157" s="454"/>
      <c r="N157" s="454"/>
      <c r="O157" s="454"/>
      <c r="P157" s="454"/>
      <c r="Q157" s="454"/>
      <c r="R157" s="454"/>
      <c r="S157" s="454"/>
      <c r="T157" s="454"/>
      <c r="U157" s="454"/>
      <c r="V157" s="454"/>
      <c r="W157" s="454"/>
      <c r="X157" s="454"/>
      <c r="Y157" s="454"/>
      <c r="Z157" s="454"/>
    </row>
    <row r="158" spans="1:26" ht="15.75" customHeight="1" x14ac:dyDescent="0.25">
      <c r="A158" s="454"/>
      <c r="B158" s="475"/>
      <c r="C158" s="475"/>
      <c r="D158" s="475"/>
      <c r="E158" s="476"/>
      <c r="F158" s="475"/>
      <c r="G158" s="454"/>
      <c r="H158" s="454"/>
      <c r="I158" s="454"/>
      <c r="J158" s="454"/>
      <c r="K158" s="454"/>
      <c r="L158" s="454"/>
      <c r="M158" s="454"/>
      <c r="N158" s="454"/>
      <c r="O158" s="454"/>
      <c r="P158" s="454"/>
      <c r="Q158" s="454"/>
      <c r="R158" s="454"/>
      <c r="S158" s="454"/>
      <c r="T158" s="454"/>
      <c r="U158" s="454"/>
      <c r="V158" s="454"/>
      <c r="W158" s="454"/>
      <c r="X158" s="454"/>
      <c r="Y158" s="454"/>
      <c r="Z158" s="454"/>
    </row>
    <row r="159" spans="1:26" ht="15.75" customHeight="1" x14ac:dyDescent="0.25">
      <c r="A159" s="454"/>
      <c r="B159" s="475"/>
      <c r="C159" s="475"/>
      <c r="D159" s="475"/>
      <c r="E159" s="476"/>
      <c r="F159" s="475"/>
      <c r="G159" s="454"/>
      <c r="H159" s="454"/>
      <c r="I159" s="454"/>
      <c r="J159" s="454"/>
      <c r="K159" s="454"/>
      <c r="L159" s="454"/>
      <c r="M159" s="454"/>
      <c r="N159" s="454"/>
      <c r="O159" s="454"/>
      <c r="P159" s="454"/>
      <c r="Q159" s="454"/>
      <c r="R159" s="454"/>
      <c r="S159" s="454"/>
      <c r="T159" s="454"/>
      <c r="U159" s="454"/>
      <c r="V159" s="454"/>
      <c r="W159" s="454"/>
      <c r="X159" s="454"/>
      <c r="Y159" s="454"/>
      <c r="Z159" s="454"/>
    </row>
    <row r="160" spans="1:26" ht="15.75" customHeight="1" x14ac:dyDescent="0.25">
      <c r="A160" s="454"/>
      <c r="B160" s="475"/>
      <c r="C160" s="475"/>
      <c r="D160" s="475"/>
      <c r="E160" s="476"/>
      <c r="F160" s="475"/>
      <c r="G160" s="454"/>
      <c r="H160" s="454"/>
      <c r="I160" s="454"/>
      <c r="J160" s="454"/>
      <c r="K160" s="454"/>
      <c r="L160" s="454"/>
      <c r="M160" s="454"/>
      <c r="N160" s="454"/>
      <c r="O160" s="454"/>
      <c r="P160" s="454"/>
      <c r="Q160" s="454"/>
      <c r="R160" s="454"/>
      <c r="S160" s="454"/>
      <c r="T160" s="454"/>
      <c r="U160" s="454"/>
      <c r="V160" s="454"/>
      <c r="W160" s="454"/>
      <c r="X160" s="454"/>
      <c r="Y160" s="454"/>
      <c r="Z160" s="454"/>
    </row>
    <row r="161" spans="1:26" ht="15.75" customHeight="1" x14ac:dyDescent="0.25">
      <c r="A161" s="454"/>
      <c r="B161" s="475"/>
      <c r="C161" s="475"/>
      <c r="D161" s="475"/>
      <c r="E161" s="476"/>
      <c r="F161" s="475"/>
      <c r="G161" s="454"/>
      <c r="H161" s="454"/>
      <c r="I161" s="454"/>
      <c r="J161" s="454"/>
      <c r="K161" s="454"/>
      <c r="L161" s="454"/>
      <c r="M161" s="454"/>
      <c r="N161" s="454"/>
      <c r="O161" s="454"/>
      <c r="P161" s="454"/>
      <c r="Q161" s="454"/>
      <c r="R161" s="454"/>
      <c r="S161" s="454"/>
      <c r="T161" s="454"/>
      <c r="U161" s="454"/>
      <c r="V161" s="454"/>
      <c r="W161" s="454"/>
      <c r="X161" s="454"/>
      <c r="Y161" s="454"/>
      <c r="Z161" s="454"/>
    </row>
    <row r="162" spans="1:26" ht="15.75" customHeight="1" x14ac:dyDescent="0.25">
      <c r="A162" s="454"/>
      <c r="B162" s="475"/>
      <c r="C162" s="475"/>
      <c r="D162" s="475"/>
      <c r="E162" s="476"/>
      <c r="F162" s="475"/>
      <c r="G162" s="454"/>
      <c r="H162" s="454"/>
      <c r="I162" s="454"/>
      <c r="J162" s="454"/>
      <c r="K162" s="454"/>
      <c r="L162" s="454"/>
      <c r="M162" s="454"/>
      <c r="N162" s="454"/>
      <c r="O162" s="454"/>
      <c r="P162" s="454"/>
      <c r="Q162" s="454"/>
      <c r="R162" s="454"/>
      <c r="S162" s="454"/>
      <c r="T162" s="454"/>
      <c r="U162" s="454"/>
      <c r="V162" s="454"/>
      <c r="W162" s="454"/>
      <c r="X162" s="454"/>
      <c r="Y162" s="454"/>
      <c r="Z162" s="454"/>
    </row>
    <row r="163" spans="1:26" ht="15.75" customHeight="1" x14ac:dyDescent="0.25">
      <c r="A163" s="454"/>
      <c r="B163" s="475"/>
      <c r="C163" s="475"/>
      <c r="D163" s="475"/>
      <c r="E163" s="476"/>
      <c r="F163" s="475"/>
      <c r="G163" s="454"/>
      <c r="H163" s="454"/>
      <c r="I163" s="454"/>
      <c r="J163" s="454"/>
      <c r="K163" s="454"/>
      <c r="L163" s="454"/>
      <c r="M163" s="454"/>
      <c r="N163" s="454"/>
      <c r="O163" s="454"/>
      <c r="P163" s="454"/>
      <c r="Q163" s="454"/>
      <c r="R163" s="454"/>
      <c r="S163" s="454"/>
      <c r="T163" s="454"/>
      <c r="U163" s="454"/>
      <c r="V163" s="454"/>
      <c r="W163" s="454"/>
      <c r="X163" s="454"/>
      <c r="Y163" s="454"/>
      <c r="Z163" s="454"/>
    </row>
    <row r="164" spans="1:26" ht="15.75" customHeight="1" x14ac:dyDescent="0.25">
      <c r="A164" s="454"/>
      <c r="B164" s="475"/>
      <c r="C164" s="475"/>
      <c r="D164" s="475"/>
      <c r="E164" s="476"/>
      <c r="F164" s="475"/>
      <c r="G164" s="454"/>
      <c r="H164" s="454"/>
      <c r="I164" s="454"/>
      <c r="J164" s="454"/>
      <c r="K164" s="454"/>
      <c r="L164" s="454"/>
      <c r="M164" s="454"/>
      <c r="N164" s="454"/>
      <c r="O164" s="454"/>
      <c r="P164" s="454"/>
      <c r="Q164" s="454"/>
      <c r="R164" s="454"/>
      <c r="S164" s="454"/>
      <c r="T164" s="454"/>
      <c r="U164" s="454"/>
      <c r="V164" s="454"/>
      <c r="W164" s="454"/>
      <c r="X164" s="454"/>
      <c r="Y164" s="454"/>
      <c r="Z164" s="454"/>
    </row>
    <row r="165" spans="1:26" ht="15.75" customHeight="1" x14ac:dyDescent="0.25">
      <c r="A165" s="454"/>
      <c r="B165" s="475"/>
      <c r="C165" s="475"/>
      <c r="D165" s="475"/>
      <c r="E165" s="476"/>
      <c r="F165" s="475"/>
      <c r="G165" s="454"/>
      <c r="H165" s="454"/>
      <c r="I165" s="454"/>
      <c r="J165" s="454"/>
      <c r="K165" s="454"/>
      <c r="L165" s="454"/>
      <c r="M165" s="454"/>
      <c r="N165" s="454"/>
      <c r="O165" s="454"/>
      <c r="P165" s="454"/>
      <c r="Q165" s="454"/>
      <c r="R165" s="454"/>
      <c r="S165" s="454"/>
      <c r="T165" s="454"/>
      <c r="U165" s="454"/>
      <c r="V165" s="454"/>
      <c r="W165" s="454"/>
      <c r="X165" s="454"/>
      <c r="Y165" s="454"/>
      <c r="Z165" s="454"/>
    </row>
    <row r="166" spans="1:26" ht="15.75" customHeight="1" x14ac:dyDescent="0.25">
      <c r="A166" s="454"/>
      <c r="B166" s="475"/>
      <c r="C166" s="475"/>
      <c r="D166" s="475"/>
      <c r="E166" s="476"/>
      <c r="F166" s="475"/>
      <c r="G166" s="454"/>
      <c r="H166" s="454"/>
      <c r="I166" s="454"/>
      <c r="J166" s="454"/>
      <c r="K166" s="454"/>
      <c r="L166" s="454"/>
      <c r="M166" s="454"/>
      <c r="N166" s="454"/>
      <c r="O166" s="454"/>
      <c r="P166" s="454"/>
      <c r="Q166" s="454"/>
      <c r="R166" s="454"/>
      <c r="S166" s="454"/>
      <c r="T166" s="454"/>
      <c r="U166" s="454"/>
      <c r="V166" s="454"/>
      <c r="W166" s="454"/>
      <c r="X166" s="454"/>
      <c r="Y166" s="454"/>
      <c r="Z166" s="454"/>
    </row>
    <row r="167" spans="1:26" ht="15.75" customHeight="1" x14ac:dyDescent="0.25">
      <c r="A167" s="454"/>
      <c r="B167" s="475"/>
      <c r="C167" s="475"/>
      <c r="D167" s="475"/>
      <c r="E167" s="476"/>
      <c r="F167" s="475"/>
      <c r="G167" s="454"/>
      <c r="H167" s="454"/>
      <c r="I167" s="454"/>
      <c r="J167" s="454"/>
      <c r="K167" s="454"/>
      <c r="L167" s="454"/>
      <c r="M167" s="454"/>
      <c r="N167" s="454"/>
      <c r="O167" s="454"/>
      <c r="P167" s="454"/>
      <c r="Q167" s="454"/>
      <c r="R167" s="454"/>
      <c r="S167" s="454"/>
      <c r="T167" s="454"/>
      <c r="U167" s="454"/>
      <c r="V167" s="454"/>
      <c r="W167" s="454"/>
      <c r="X167" s="454"/>
      <c r="Y167" s="454"/>
      <c r="Z167" s="454"/>
    </row>
    <row r="168" spans="1:26" ht="15.75" customHeight="1" x14ac:dyDescent="0.25">
      <c r="A168" s="454"/>
      <c r="B168" s="475"/>
      <c r="C168" s="475"/>
      <c r="D168" s="475"/>
      <c r="E168" s="476"/>
      <c r="F168" s="475"/>
      <c r="G168" s="454"/>
      <c r="H168" s="454"/>
      <c r="I168" s="454"/>
      <c r="J168" s="454"/>
      <c r="K168" s="454"/>
      <c r="L168" s="454"/>
      <c r="M168" s="454"/>
      <c r="N168" s="454"/>
      <c r="O168" s="454"/>
      <c r="P168" s="454"/>
      <c r="Q168" s="454"/>
      <c r="R168" s="454"/>
      <c r="S168" s="454"/>
      <c r="T168" s="454"/>
      <c r="U168" s="454"/>
      <c r="V168" s="454"/>
      <c r="W168" s="454"/>
      <c r="X168" s="454"/>
      <c r="Y168" s="454"/>
      <c r="Z168" s="454"/>
    </row>
    <row r="169" spans="1:26" ht="15.75" customHeight="1" x14ac:dyDescent="0.25">
      <c r="A169" s="454"/>
      <c r="B169" s="475"/>
      <c r="C169" s="475"/>
      <c r="D169" s="475"/>
      <c r="E169" s="476"/>
      <c r="F169" s="475"/>
      <c r="G169" s="454"/>
      <c r="H169" s="454"/>
      <c r="I169" s="454"/>
      <c r="J169" s="454"/>
      <c r="K169" s="454"/>
      <c r="L169" s="454"/>
      <c r="M169" s="454"/>
      <c r="N169" s="454"/>
      <c r="O169" s="454"/>
      <c r="P169" s="454"/>
      <c r="Q169" s="454"/>
      <c r="R169" s="454"/>
      <c r="S169" s="454"/>
      <c r="T169" s="454"/>
      <c r="U169" s="454"/>
      <c r="V169" s="454"/>
      <c r="W169" s="454"/>
      <c r="X169" s="454"/>
      <c r="Y169" s="454"/>
      <c r="Z169" s="454"/>
    </row>
    <row r="170" spans="1:26" ht="15.75" customHeight="1" x14ac:dyDescent="0.25">
      <c r="A170" s="454"/>
      <c r="B170" s="475"/>
      <c r="C170" s="475"/>
      <c r="D170" s="475"/>
      <c r="E170" s="476"/>
      <c r="F170" s="475"/>
      <c r="G170" s="454"/>
      <c r="H170" s="454"/>
      <c r="I170" s="454"/>
      <c r="J170" s="454"/>
      <c r="K170" s="454"/>
      <c r="L170" s="454"/>
      <c r="M170" s="454"/>
      <c r="N170" s="454"/>
      <c r="O170" s="454"/>
      <c r="P170" s="454"/>
      <c r="Q170" s="454"/>
      <c r="R170" s="454"/>
      <c r="S170" s="454"/>
      <c r="T170" s="454"/>
      <c r="U170" s="454"/>
      <c r="V170" s="454"/>
      <c r="W170" s="454"/>
      <c r="X170" s="454"/>
      <c r="Y170" s="454"/>
      <c r="Z170" s="454"/>
    </row>
    <row r="171" spans="1:26" ht="15.75" customHeight="1" x14ac:dyDescent="0.25">
      <c r="A171" s="454"/>
      <c r="B171" s="475"/>
      <c r="C171" s="475"/>
      <c r="D171" s="475"/>
      <c r="E171" s="476"/>
      <c r="F171" s="475"/>
      <c r="G171" s="454"/>
      <c r="H171" s="454"/>
      <c r="I171" s="454"/>
      <c r="J171" s="454"/>
      <c r="K171" s="454"/>
      <c r="L171" s="454"/>
      <c r="M171" s="454"/>
      <c r="N171" s="454"/>
      <c r="O171" s="454"/>
      <c r="P171" s="454"/>
      <c r="Q171" s="454"/>
      <c r="R171" s="454"/>
      <c r="S171" s="454"/>
      <c r="T171" s="454"/>
      <c r="U171" s="454"/>
      <c r="V171" s="454"/>
      <c r="W171" s="454"/>
      <c r="X171" s="454"/>
      <c r="Y171" s="454"/>
      <c r="Z171" s="454"/>
    </row>
    <row r="172" spans="1:26" ht="15.75" customHeight="1" x14ac:dyDescent="0.25">
      <c r="A172" s="454"/>
      <c r="B172" s="475"/>
      <c r="C172" s="475"/>
      <c r="D172" s="475"/>
      <c r="E172" s="476"/>
      <c r="F172" s="475"/>
      <c r="G172" s="454"/>
      <c r="H172" s="454"/>
      <c r="I172" s="454"/>
      <c r="J172" s="454"/>
      <c r="K172" s="454"/>
      <c r="L172" s="454"/>
      <c r="M172" s="454"/>
      <c r="N172" s="454"/>
      <c r="O172" s="454"/>
      <c r="P172" s="454"/>
      <c r="Q172" s="454"/>
      <c r="R172" s="454"/>
      <c r="S172" s="454"/>
      <c r="T172" s="454"/>
      <c r="U172" s="454"/>
      <c r="V172" s="454"/>
      <c r="W172" s="454"/>
      <c r="X172" s="454"/>
      <c r="Y172" s="454"/>
      <c r="Z172" s="454"/>
    </row>
    <row r="173" spans="1:26" ht="15.75" customHeight="1" x14ac:dyDescent="0.25">
      <c r="A173" s="454"/>
      <c r="B173" s="475"/>
      <c r="C173" s="475"/>
      <c r="D173" s="475"/>
      <c r="E173" s="476"/>
      <c r="F173" s="475"/>
      <c r="G173" s="454"/>
      <c r="H173" s="454"/>
      <c r="I173" s="454"/>
      <c r="J173" s="454"/>
      <c r="K173" s="454"/>
      <c r="L173" s="454"/>
      <c r="M173" s="454"/>
      <c r="N173" s="454"/>
      <c r="O173" s="454"/>
      <c r="P173" s="454"/>
      <c r="Q173" s="454"/>
      <c r="R173" s="454"/>
      <c r="S173" s="454"/>
      <c r="T173" s="454"/>
      <c r="U173" s="454"/>
      <c r="V173" s="454"/>
      <c r="W173" s="454"/>
      <c r="X173" s="454"/>
      <c r="Y173" s="454"/>
      <c r="Z173" s="454"/>
    </row>
    <row r="174" spans="1:26" ht="15.75" customHeight="1" x14ac:dyDescent="0.25">
      <c r="A174" s="454"/>
      <c r="B174" s="475"/>
      <c r="C174" s="475"/>
      <c r="D174" s="475"/>
      <c r="E174" s="476"/>
      <c r="F174" s="475"/>
      <c r="G174" s="454"/>
      <c r="H174" s="454"/>
      <c r="I174" s="454"/>
      <c r="J174" s="454"/>
      <c r="K174" s="454"/>
      <c r="L174" s="454"/>
      <c r="M174" s="454"/>
      <c r="N174" s="454"/>
      <c r="O174" s="454"/>
      <c r="P174" s="454"/>
      <c r="Q174" s="454"/>
      <c r="R174" s="454"/>
      <c r="S174" s="454"/>
      <c r="T174" s="454"/>
      <c r="U174" s="454"/>
      <c r="V174" s="454"/>
      <c r="W174" s="454"/>
      <c r="X174" s="454"/>
      <c r="Y174" s="454"/>
      <c r="Z174" s="454"/>
    </row>
    <row r="175" spans="1:26" ht="15.75" customHeight="1" x14ac:dyDescent="0.25">
      <c r="A175" s="454"/>
      <c r="B175" s="475"/>
      <c r="C175" s="475"/>
      <c r="D175" s="475"/>
      <c r="E175" s="476"/>
      <c r="F175" s="475"/>
      <c r="G175" s="454"/>
      <c r="H175" s="454"/>
      <c r="I175" s="454"/>
      <c r="J175" s="454"/>
      <c r="K175" s="454"/>
      <c r="L175" s="454"/>
      <c r="M175" s="454"/>
      <c r="N175" s="454"/>
      <c r="O175" s="454"/>
      <c r="P175" s="454"/>
      <c r="Q175" s="454"/>
      <c r="R175" s="454"/>
      <c r="S175" s="454"/>
      <c r="T175" s="454"/>
      <c r="U175" s="454"/>
      <c r="V175" s="454"/>
      <c r="W175" s="454"/>
      <c r="X175" s="454"/>
      <c r="Y175" s="454"/>
      <c r="Z175" s="454"/>
    </row>
    <row r="176" spans="1:26" ht="15.75" customHeight="1" x14ac:dyDescent="0.25">
      <c r="A176" s="454"/>
      <c r="B176" s="475"/>
      <c r="C176" s="475"/>
      <c r="D176" s="475"/>
      <c r="E176" s="476"/>
      <c r="F176" s="475"/>
      <c r="G176" s="454"/>
      <c r="H176" s="454"/>
      <c r="I176" s="454"/>
      <c r="J176" s="454"/>
      <c r="K176" s="454"/>
      <c r="L176" s="454"/>
      <c r="M176" s="454"/>
      <c r="N176" s="454"/>
      <c r="O176" s="454"/>
      <c r="P176" s="454"/>
      <c r="Q176" s="454"/>
      <c r="R176" s="454"/>
      <c r="S176" s="454"/>
      <c r="T176" s="454"/>
      <c r="U176" s="454"/>
      <c r="V176" s="454"/>
      <c r="W176" s="454"/>
      <c r="X176" s="454"/>
      <c r="Y176" s="454"/>
      <c r="Z176" s="454"/>
    </row>
    <row r="177" spans="1:26" ht="15.75" customHeight="1" x14ac:dyDescent="0.25">
      <c r="A177" s="454"/>
      <c r="B177" s="475"/>
      <c r="C177" s="475"/>
      <c r="D177" s="475"/>
      <c r="E177" s="476"/>
      <c r="F177" s="475"/>
      <c r="G177" s="454"/>
      <c r="H177" s="454"/>
      <c r="I177" s="454"/>
      <c r="J177" s="454"/>
      <c r="K177" s="454"/>
      <c r="L177" s="454"/>
      <c r="M177" s="454"/>
      <c r="N177" s="454"/>
      <c r="O177" s="454"/>
      <c r="P177" s="454"/>
      <c r="Q177" s="454"/>
      <c r="R177" s="454"/>
      <c r="S177" s="454"/>
      <c r="T177" s="454"/>
      <c r="U177" s="454"/>
      <c r="V177" s="454"/>
      <c r="W177" s="454"/>
      <c r="X177" s="454"/>
      <c r="Y177" s="454"/>
      <c r="Z177" s="454"/>
    </row>
    <row r="178" spans="1:26" ht="15.75" customHeight="1" x14ac:dyDescent="0.25">
      <c r="A178" s="454"/>
      <c r="B178" s="475"/>
      <c r="C178" s="475"/>
      <c r="D178" s="475"/>
      <c r="E178" s="476"/>
      <c r="F178" s="475"/>
      <c r="G178" s="454"/>
      <c r="H178" s="454"/>
      <c r="I178" s="454"/>
      <c r="J178" s="454"/>
      <c r="K178" s="454"/>
      <c r="L178" s="454"/>
      <c r="M178" s="454"/>
      <c r="N178" s="454"/>
      <c r="O178" s="454"/>
      <c r="P178" s="454"/>
      <c r="Q178" s="454"/>
      <c r="R178" s="454"/>
      <c r="S178" s="454"/>
      <c r="T178" s="454"/>
      <c r="U178" s="454"/>
      <c r="V178" s="454"/>
      <c r="W178" s="454"/>
      <c r="X178" s="454"/>
      <c r="Y178" s="454"/>
      <c r="Z178" s="454"/>
    </row>
    <row r="179" spans="1:26" ht="15.75" customHeight="1" x14ac:dyDescent="0.25">
      <c r="A179" s="454"/>
      <c r="B179" s="475"/>
      <c r="C179" s="475"/>
      <c r="D179" s="475"/>
      <c r="E179" s="476"/>
      <c r="F179" s="475"/>
      <c r="G179" s="454"/>
      <c r="H179" s="454"/>
      <c r="I179" s="454"/>
      <c r="J179" s="454"/>
      <c r="K179" s="454"/>
      <c r="L179" s="454"/>
      <c r="M179" s="454"/>
      <c r="N179" s="454"/>
      <c r="O179" s="454"/>
      <c r="P179" s="454"/>
      <c r="Q179" s="454"/>
      <c r="R179" s="454"/>
      <c r="S179" s="454"/>
      <c r="T179" s="454"/>
      <c r="U179" s="454"/>
      <c r="V179" s="454"/>
      <c r="W179" s="454"/>
      <c r="X179" s="454"/>
      <c r="Y179" s="454"/>
      <c r="Z179" s="454"/>
    </row>
    <row r="180" spans="1:26" ht="15.75" customHeight="1" x14ac:dyDescent="0.25">
      <c r="A180" s="454"/>
      <c r="B180" s="475"/>
      <c r="C180" s="475"/>
      <c r="D180" s="475"/>
      <c r="E180" s="476"/>
      <c r="F180" s="475"/>
      <c r="G180" s="454"/>
      <c r="H180" s="454"/>
      <c r="I180" s="454"/>
      <c r="J180" s="454"/>
      <c r="K180" s="454"/>
      <c r="L180" s="454"/>
      <c r="M180" s="454"/>
      <c r="N180" s="454"/>
      <c r="O180" s="454"/>
      <c r="P180" s="454"/>
      <c r="Q180" s="454"/>
      <c r="R180" s="454"/>
      <c r="S180" s="454"/>
      <c r="T180" s="454"/>
      <c r="U180" s="454"/>
      <c r="V180" s="454"/>
      <c r="W180" s="454"/>
      <c r="X180" s="454"/>
      <c r="Y180" s="454"/>
      <c r="Z180" s="454"/>
    </row>
    <row r="181" spans="1:26" ht="15.75" customHeight="1" x14ac:dyDescent="0.25">
      <c r="A181" s="454"/>
      <c r="B181" s="475"/>
      <c r="C181" s="475"/>
      <c r="D181" s="475"/>
      <c r="E181" s="476"/>
      <c r="F181" s="475"/>
      <c r="G181" s="454"/>
      <c r="H181" s="454"/>
      <c r="I181" s="454"/>
      <c r="J181" s="454"/>
      <c r="K181" s="454"/>
      <c r="L181" s="454"/>
      <c r="M181" s="454"/>
      <c r="N181" s="454"/>
      <c r="O181" s="454"/>
      <c r="P181" s="454"/>
      <c r="Q181" s="454"/>
      <c r="R181" s="454"/>
      <c r="S181" s="454"/>
      <c r="T181" s="454"/>
      <c r="U181" s="454"/>
      <c r="V181" s="454"/>
      <c r="W181" s="454"/>
      <c r="X181" s="454"/>
      <c r="Y181" s="454"/>
      <c r="Z181" s="454"/>
    </row>
    <row r="182" spans="1:26" ht="15.75" customHeight="1" x14ac:dyDescent="0.25">
      <c r="A182" s="454"/>
      <c r="B182" s="475"/>
      <c r="C182" s="475"/>
      <c r="D182" s="475"/>
      <c r="E182" s="476"/>
      <c r="F182" s="475"/>
      <c r="G182" s="454"/>
      <c r="H182" s="454"/>
      <c r="I182" s="454"/>
      <c r="J182" s="454"/>
      <c r="K182" s="454"/>
      <c r="L182" s="454"/>
      <c r="M182" s="454"/>
      <c r="N182" s="454"/>
      <c r="O182" s="454"/>
      <c r="P182" s="454"/>
      <c r="Q182" s="454"/>
      <c r="R182" s="454"/>
      <c r="S182" s="454"/>
      <c r="T182" s="454"/>
      <c r="U182" s="454"/>
      <c r="V182" s="454"/>
      <c r="W182" s="454"/>
      <c r="X182" s="454"/>
      <c r="Y182" s="454"/>
      <c r="Z182" s="454"/>
    </row>
    <row r="183" spans="1:26" ht="15.75" customHeight="1" x14ac:dyDescent="0.25">
      <c r="A183" s="454"/>
      <c r="B183" s="475"/>
      <c r="C183" s="475"/>
      <c r="D183" s="475"/>
      <c r="E183" s="476"/>
      <c r="F183" s="475"/>
      <c r="G183" s="454"/>
      <c r="H183" s="454"/>
      <c r="I183" s="454"/>
      <c r="J183" s="454"/>
      <c r="K183" s="454"/>
      <c r="L183" s="454"/>
      <c r="M183" s="454"/>
      <c r="N183" s="454"/>
      <c r="O183" s="454"/>
      <c r="P183" s="454"/>
      <c r="Q183" s="454"/>
      <c r="R183" s="454"/>
      <c r="S183" s="454"/>
      <c r="T183" s="454"/>
      <c r="U183" s="454"/>
      <c r="V183" s="454"/>
      <c r="W183" s="454"/>
      <c r="X183" s="454"/>
      <c r="Y183" s="454"/>
      <c r="Z183" s="454"/>
    </row>
    <row r="184" spans="1:26" ht="15.75" customHeight="1" x14ac:dyDescent="0.25">
      <c r="A184" s="454"/>
      <c r="B184" s="475"/>
      <c r="C184" s="475"/>
      <c r="D184" s="475"/>
      <c r="E184" s="476"/>
      <c r="F184" s="475"/>
      <c r="G184" s="454"/>
      <c r="H184" s="454"/>
      <c r="I184" s="454"/>
      <c r="J184" s="454"/>
      <c r="K184" s="454"/>
      <c r="L184" s="454"/>
      <c r="M184" s="454"/>
      <c r="N184" s="454"/>
      <c r="O184" s="454"/>
      <c r="P184" s="454"/>
      <c r="Q184" s="454"/>
      <c r="R184" s="454"/>
      <c r="S184" s="454"/>
      <c r="T184" s="454"/>
      <c r="U184" s="454"/>
      <c r="V184" s="454"/>
      <c r="W184" s="454"/>
      <c r="X184" s="454"/>
      <c r="Y184" s="454"/>
      <c r="Z184" s="454"/>
    </row>
    <row r="185" spans="1:26" ht="15.75" customHeight="1" x14ac:dyDescent="0.25">
      <c r="A185" s="454"/>
      <c r="B185" s="475"/>
      <c r="C185" s="475"/>
      <c r="D185" s="475"/>
      <c r="E185" s="476"/>
      <c r="F185" s="475"/>
      <c r="G185" s="454"/>
      <c r="H185" s="454"/>
      <c r="I185" s="454"/>
      <c r="J185" s="454"/>
      <c r="K185" s="454"/>
      <c r="L185" s="454"/>
      <c r="M185" s="454"/>
      <c r="N185" s="454"/>
      <c r="O185" s="454"/>
      <c r="P185" s="454"/>
      <c r="Q185" s="454"/>
      <c r="R185" s="454"/>
      <c r="S185" s="454"/>
      <c r="T185" s="454"/>
      <c r="U185" s="454"/>
      <c r="V185" s="454"/>
      <c r="W185" s="454"/>
      <c r="X185" s="454"/>
      <c r="Y185" s="454"/>
      <c r="Z185" s="454"/>
    </row>
    <row r="186" spans="1:26" ht="15.75" customHeight="1" x14ac:dyDescent="0.25">
      <c r="A186" s="454"/>
      <c r="B186" s="475"/>
      <c r="C186" s="475"/>
      <c r="D186" s="475"/>
      <c r="E186" s="476"/>
      <c r="F186" s="475"/>
      <c r="G186" s="454"/>
      <c r="H186" s="454"/>
      <c r="I186" s="454"/>
      <c r="J186" s="454"/>
      <c r="K186" s="454"/>
      <c r="L186" s="454"/>
      <c r="M186" s="454"/>
      <c r="N186" s="454"/>
      <c r="O186" s="454"/>
      <c r="P186" s="454"/>
      <c r="Q186" s="454"/>
      <c r="R186" s="454"/>
      <c r="S186" s="454"/>
      <c r="T186" s="454"/>
      <c r="U186" s="454"/>
      <c r="V186" s="454"/>
      <c r="W186" s="454"/>
      <c r="X186" s="454"/>
      <c r="Y186" s="454"/>
      <c r="Z186" s="454"/>
    </row>
    <row r="187" spans="1:26" ht="15.75" customHeight="1" x14ac:dyDescent="0.25">
      <c r="A187" s="454"/>
      <c r="B187" s="475"/>
      <c r="C187" s="475"/>
      <c r="D187" s="475"/>
      <c r="E187" s="476"/>
      <c r="F187" s="475"/>
      <c r="G187" s="454"/>
      <c r="H187" s="454"/>
      <c r="I187" s="454"/>
      <c r="J187" s="454"/>
      <c r="K187" s="454"/>
      <c r="L187" s="454"/>
      <c r="M187" s="454"/>
      <c r="N187" s="454"/>
      <c r="O187" s="454"/>
      <c r="P187" s="454"/>
      <c r="Q187" s="454"/>
      <c r="R187" s="454"/>
      <c r="S187" s="454"/>
      <c r="T187" s="454"/>
      <c r="U187" s="454"/>
      <c r="V187" s="454"/>
      <c r="W187" s="454"/>
      <c r="X187" s="454"/>
      <c r="Y187" s="454"/>
      <c r="Z187" s="454"/>
    </row>
    <row r="188" spans="1:26" ht="15.75" customHeight="1" x14ac:dyDescent="0.25">
      <c r="A188" s="454"/>
      <c r="B188" s="475"/>
      <c r="C188" s="475"/>
      <c r="D188" s="475"/>
      <c r="E188" s="476"/>
      <c r="F188" s="475"/>
      <c r="G188" s="454"/>
      <c r="H188" s="454"/>
      <c r="I188" s="454"/>
      <c r="J188" s="454"/>
      <c r="K188" s="454"/>
      <c r="L188" s="454"/>
      <c r="M188" s="454"/>
      <c r="N188" s="454"/>
      <c r="O188" s="454"/>
      <c r="P188" s="454"/>
      <c r="Q188" s="454"/>
      <c r="R188" s="454"/>
      <c r="S188" s="454"/>
      <c r="T188" s="454"/>
      <c r="U188" s="454"/>
      <c r="V188" s="454"/>
      <c r="W188" s="454"/>
      <c r="X188" s="454"/>
      <c r="Y188" s="454"/>
      <c r="Z188" s="454"/>
    </row>
    <row r="189" spans="1:26" ht="15.75" customHeight="1" x14ac:dyDescent="0.25">
      <c r="A189" s="454"/>
      <c r="B189" s="475"/>
      <c r="C189" s="475"/>
      <c r="D189" s="475"/>
      <c r="E189" s="476"/>
      <c r="F189" s="475"/>
      <c r="G189" s="454"/>
      <c r="H189" s="454"/>
      <c r="I189" s="454"/>
      <c r="J189" s="454"/>
      <c r="K189" s="454"/>
      <c r="L189" s="454"/>
      <c r="M189" s="454"/>
      <c r="N189" s="454"/>
      <c r="O189" s="454"/>
      <c r="P189" s="454"/>
      <c r="Q189" s="454"/>
      <c r="R189" s="454"/>
      <c r="S189" s="454"/>
      <c r="T189" s="454"/>
      <c r="U189" s="454"/>
      <c r="V189" s="454"/>
      <c r="W189" s="454"/>
      <c r="X189" s="454"/>
      <c r="Y189" s="454"/>
      <c r="Z189" s="454"/>
    </row>
    <row r="190" spans="1:26" ht="15.75" customHeight="1" x14ac:dyDescent="0.25">
      <c r="A190" s="454"/>
      <c r="B190" s="475"/>
      <c r="C190" s="475"/>
      <c r="D190" s="475"/>
      <c r="E190" s="476"/>
      <c r="F190" s="475"/>
      <c r="G190" s="454"/>
      <c r="H190" s="454"/>
      <c r="I190" s="454"/>
      <c r="J190" s="454"/>
      <c r="K190" s="454"/>
      <c r="L190" s="454"/>
      <c r="M190" s="454"/>
      <c r="N190" s="454"/>
      <c r="O190" s="454"/>
      <c r="P190" s="454"/>
      <c r="Q190" s="454"/>
      <c r="R190" s="454"/>
      <c r="S190" s="454"/>
      <c r="T190" s="454"/>
      <c r="U190" s="454"/>
      <c r="V190" s="454"/>
      <c r="W190" s="454"/>
      <c r="X190" s="454"/>
      <c r="Y190" s="454"/>
      <c r="Z190" s="454"/>
    </row>
    <row r="191" spans="1:26" ht="15.75" customHeight="1" x14ac:dyDescent="0.25">
      <c r="A191" s="454"/>
      <c r="B191" s="475"/>
      <c r="C191" s="475"/>
      <c r="D191" s="475"/>
      <c r="E191" s="476"/>
      <c r="F191" s="475"/>
      <c r="G191" s="454"/>
      <c r="H191" s="454"/>
      <c r="I191" s="454"/>
      <c r="J191" s="454"/>
      <c r="K191" s="454"/>
      <c r="L191" s="454"/>
      <c r="M191" s="454"/>
      <c r="N191" s="454"/>
      <c r="O191" s="454"/>
      <c r="P191" s="454"/>
      <c r="Q191" s="454"/>
      <c r="R191" s="454"/>
      <c r="S191" s="454"/>
      <c r="T191" s="454"/>
      <c r="U191" s="454"/>
      <c r="V191" s="454"/>
      <c r="W191" s="454"/>
      <c r="X191" s="454"/>
      <c r="Y191" s="454"/>
      <c r="Z191" s="454"/>
    </row>
    <row r="192" spans="1:26" ht="15.75" customHeight="1" x14ac:dyDescent="0.25">
      <c r="A192" s="454"/>
      <c r="B192" s="475"/>
      <c r="C192" s="475"/>
      <c r="D192" s="475"/>
      <c r="E192" s="476"/>
      <c r="F192" s="475"/>
      <c r="G192" s="454"/>
      <c r="H192" s="454"/>
      <c r="I192" s="454"/>
      <c r="J192" s="454"/>
      <c r="K192" s="454"/>
      <c r="L192" s="454"/>
      <c r="M192" s="454"/>
      <c r="N192" s="454"/>
      <c r="O192" s="454"/>
      <c r="P192" s="454"/>
      <c r="Q192" s="454"/>
      <c r="R192" s="454"/>
      <c r="S192" s="454"/>
      <c r="T192" s="454"/>
      <c r="U192" s="454"/>
      <c r="V192" s="454"/>
      <c r="W192" s="454"/>
      <c r="X192" s="454"/>
      <c r="Y192" s="454"/>
      <c r="Z192" s="454"/>
    </row>
    <row r="193" spans="1:26" ht="15.75" customHeight="1" x14ac:dyDescent="0.25">
      <c r="A193" s="454"/>
      <c r="B193" s="475"/>
      <c r="C193" s="475"/>
      <c r="D193" s="475"/>
      <c r="E193" s="476"/>
      <c r="F193" s="475"/>
      <c r="G193" s="454"/>
      <c r="H193" s="454"/>
      <c r="I193" s="454"/>
      <c r="J193" s="454"/>
      <c r="K193" s="454"/>
      <c r="L193" s="454"/>
      <c r="M193" s="454"/>
      <c r="N193" s="454"/>
      <c r="O193" s="454"/>
      <c r="P193" s="454"/>
      <c r="Q193" s="454"/>
      <c r="R193" s="454"/>
      <c r="S193" s="454"/>
      <c r="T193" s="454"/>
      <c r="U193" s="454"/>
      <c r="V193" s="454"/>
      <c r="W193" s="454"/>
      <c r="X193" s="454"/>
      <c r="Y193" s="454"/>
      <c r="Z193" s="454"/>
    </row>
    <row r="194" spans="1:26" ht="15.75" customHeight="1" x14ac:dyDescent="0.25">
      <c r="A194" s="454"/>
      <c r="B194" s="475"/>
      <c r="C194" s="475"/>
      <c r="D194" s="475"/>
      <c r="E194" s="476"/>
      <c r="F194" s="475"/>
      <c r="G194" s="454"/>
      <c r="H194" s="454"/>
      <c r="I194" s="454"/>
      <c r="J194" s="454"/>
      <c r="K194" s="454"/>
      <c r="L194" s="454"/>
      <c r="M194" s="454"/>
      <c r="N194" s="454"/>
      <c r="O194" s="454"/>
      <c r="P194" s="454"/>
      <c r="Q194" s="454"/>
      <c r="R194" s="454"/>
      <c r="S194" s="454"/>
      <c r="T194" s="454"/>
      <c r="U194" s="454"/>
      <c r="V194" s="454"/>
      <c r="W194" s="454"/>
      <c r="X194" s="454"/>
      <c r="Y194" s="454"/>
      <c r="Z194" s="454"/>
    </row>
    <row r="195" spans="1:26" ht="15.75" customHeight="1" x14ac:dyDescent="0.25">
      <c r="A195" s="454"/>
      <c r="B195" s="475"/>
      <c r="C195" s="475"/>
      <c r="D195" s="475"/>
      <c r="E195" s="476"/>
      <c r="F195" s="475"/>
      <c r="G195" s="454"/>
      <c r="H195" s="454"/>
      <c r="I195" s="454"/>
      <c r="J195" s="454"/>
      <c r="K195" s="454"/>
      <c r="L195" s="454"/>
      <c r="M195" s="454"/>
      <c r="N195" s="454"/>
      <c r="O195" s="454"/>
      <c r="P195" s="454"/>
      <c r="Q195" s="454"/>
      <c r="R195" s="454"/>
      <c r="S195" s="454"/>
      <c r="T195" s="454"/>
      <c r="U195" s="454"/>
      <c r="V195" s="454"/>
      <c r="W195" s="454"/>
      <c r="X195" s="454"/>
      <c r="Y195" s="454"/>
      <c r="Z195" s="454"/>
    </row>
    <row r="196" spans="1:26" ht="15.75" customHeight="1" x14ac:dyDescent="0.25">
      <c r="A196" s="454"/>
      <c r="B196" s="475"/>
      <c r="C196" s="475"/>
      <c r="D196" s="475"/>
      <c r="E196" s="476"/>
      <c r="F196" s="475"/>
      <c r="G196" s="454"/>
      <c r="H196" s="454"/>
      <c r="I196" s="454"/>
      <c r="J196" s="454"/>
      <c r="K196" s="454"/>
      <c r="L196" s="454"/>
      <c r="M196" s="454"/>
      <c r="N196" s="454"/>
      <c r="O196" s="454"/>
      <c r="P196" s="454"/>
      <c r="Q196" s="454"/>
      <c r="R196" s="454"/>
      <c r="S196" s="454"/>
      <c r="T196" s="454"/>
      <c r="U196" s="454"/>
      <c r="V196" s="454"/>
      <c r="W196" s="454"/>
      <c r="X196" s="454"/>
      <c r="Y196" s="454"/>
      <c r="Z196" s="454"/>
    </row>
    <row r="197" spans="1:26" ht="15.75" customHeight="1" x14ac:dyDescent="0.25">
      <c r="A197" s="454"/>
      <c r="B197" s="475"/>
      <c r="C197" s="475"/>
      <c r="D197" s="475"/>
      <c r="E197" s="476"/>
      <c r="F197" s="475"/>
      <c r="G197" s="454"/>
      <c r="H197" s="454"/>
      <c r="I197" s="454"/>
      <c r="J197" s="454"/>
      <c r="K197" s="454"/>
      <c r="L197" s="454"/>
      <c r="M197" s="454"/>
      <c r="N197" s="454"/>
      <c r="O197" s="454"/>
      <c r="P197" s="454"/>
      <c r="Q197" s="454"/>
      <c r="R197" s="454"/>
      <c r="S197" s="454"/>
      <c r="T197" s="454"/>
      <c r="U197" s="454"/>
      <c r="V197" s="454"/>
      <c r="W197" s="454"/>
      <c r="X197" s="454"/>
      <c r="Y197" s="454"/>
      <c r="Z197" s="454"/>
    </row>
    <row r="198" spans="1:26" ht="15.75" customHeight="1" x14ac:dyDescent="0.25">
      <c r="A198" s="454"/>
      <c r="B198" s="475"/>
      <c r="C198" s="475"/>
      <c r="D198" s="475"/>
      <c r="E198" s="476"/>
      <c r="F198" s="475"/>
      <c r="G198" s="454"/>
      <c r="H198" s="454"/>
      <c r="I198" s="454"/>
      <c r="J198" s="454"/>
      <c r="K198" s="454"/>
      <c r="L198" s="454"/>
      <c r="M198" s="454"/>
      <c r="N198" s="454"/>
      <c r="O198" s="454"/>
      <c r="P198" s="454"/>
      <c r="Q198" s="454"/>
      <c r="R198" s="454"/>
      <c r="S198" s="454"/>
      <c r="T198" s="454"/>
      <c r="U198" s="454"/>
      <c r="V198" s="454"/>
      <c r="W198" s="454"/>
      <c r="X198" s="454"/>
      <c r="Y198" s="454"/>
      <c r="Z198" s="454"/>
    </row>
    <row r="199" spans="1:26" ht="15.75" customHeight="1" x14ac:dyDescent="0.25">
      <c r="A199" s="454"/>
      <c r="B199" s="475"/>
      <c r="C199" s="475"/>
      <c r="D199" s="475"/>
      <c r="E199" s="476"/>
      <c r="F199" s="475"/>
      <c r="G199" s="454"/>
      <c r="H199" s="454"/>
      <c r="I199" s="454"/>
      <c r="J199" s="454"/>
      <c r="K199" s="454"/>
      <c r="L199" s="454"/>
      <c r="M199" s="454"/>
      <c r="N199" s="454"/>
      <c r="O199" s="454"/>
      <c r="P199" s="454"/>
      <c r="Q199" s="454"/>
      <c r="R199" s="454"/>
      <c r="S199" s="454"/>
      <c r="T199" s="454"/>
      <c r="U199" s="454"/>
      <c r="V199" s="454"/>
      <c r="W199" s="454"/>
      <c r="X199" s="454"/>
      <c r="Y199" s="454"/>
      <c r="Z199" s="454"/>
    </row>
    <row r="200" spans="1:26" ht="15.75" customHeight="1" x14ac:dyDescent="0.25">
      <c r="A200" s="454"/>
      <c r="B200" s="475"/>
      <c r="C200" s="475"/>
      <c r="D200" s="475"/>
      <c r="E200" s="476"/>
      <c r="F200" s="475"/>
      <c r="G200" s="454"/>
      <c r="H200" s="454"/>
      <c r="I200" s="454"/>
      <c r="J200" s="454"/>
      <c r="K200" s="454"/>
      <c r="L200" s="454"/>
      <c r="M200" s="454"/>
      <c r="N200" s="454"/>
      <c r="O200" s="454"/>
      <c r="P200" s="454"/>
      <c r="Q200" s="454"/>
      <c r="R200" s="454"/>
      <c r="S200" s="454"/>
      <c r="T200" s="454"/>
      <c r="U200" s="454"/>
      <c r="V200" s="454"/>
      <c r="W200" s="454"/>
      <c r="X200" s="454"/>
      <c r="Y200" s="454"/>
      <c r="Z200" s="454"/>
    </row>
    <row r="201" spans="1:26" ht="15.75" customHeight="1" x14ac:dyDescent="0.25">
      <c r="A201" s="454"/>
      <c r="B201" s="475"/>
      <c r="C201" s="475"/>
      <c r="D201" s="475"/>
      <c r="E201" s="476"/>
      <c r="F201" s="475"/>
      <c r="G201" s="454"/>
      <c r="H201" s="454"/>
      <c r="I201" s="454"/>
      <c r="J201" s="454"/>
      <c r="K201" s="454"/>
      <c r="L201" s="454"/>
      <c r="M201" s="454"/>
      <c r="N201" s="454"/>
      <c r="O201" s="454"/>
      <c r="P201" s="454"/>
      <c r="Q201" s="454"/>
      <c r="R201" s="454"/>
      <c r="S201" s="454"/>
      <c r="T201" s="454"/>
      <c r="U201" s="454"/>
      <c r="V201" s="454"/>
      <c r="W201" s="454"/>
      <c r="X201" s="454"/>
      <c r="Y201" s="454"/>
      <c r="Z201" s="454"/>
    </row>
    <row r="202" spans="1:26" ht="15.75" customHeight="1" x14ac:dyDescent="0.25">
      <c r="A202" s="454"/>
      <c r="B202" s="475"/>
      <c r="C202" s="475"/>
      <c r="D202" s="475"/>
      <c r="E202" s="476"/>
      <c r="F202" s="475"/>
      <c r="G202" s="454"/>
      <c r="H202" s="454"/>
      <c r="I202" s="454"/>
      <c r="J202" s="454"/>
      <c r="K202" s="454"/>
      <c r="L202" s="454"/>
      <c r="M202" s="454"/>
      <c r="N202" s="454"/>
      <c r="O202" s="454"/>
      <c r="P202" s="454"/>
      <c r="Q202" s="454"/>
      <c r="R202" s="454"/>
      <c r="S202" s="454"/>
      <c r="T202" s="454"/>
      <c r="U202" s="454"/>
      <c r="V202" s="454"/>
      <c r="W202" s="454"/>
      <c r="X202" s="454"/>
      <c r="Y202" s="454"/>
      <c r="Z202" s="454"/>
    </row>
    <row r="203" spans="1:26" ht="15.75" customHeight="1" x14ac:dyDescent="0.25">
      <c r="A203" s="454"/>
      <c r="B203" s="475"/>
      <c r="C203" s="475"/>
      <c r="D203" s="475"/>
      <c r="E203" s="476"/>
      <c r="F203" s="475"/>
      <c r="G203" s="454"/>
      <c r="H203" s="454"/>
      <c r="I203" s="454"/>
      <c r="J203" s="454"/>
      <c r="K203" s="454"/>
      <c r="L203" s="454"/>
      <c r="M203" s="454"/>
      <c r="N203" s="454"/>
      <c r="O203" s="454"/>
      <c r="P203" s="454"/>
      <c r="Q203" s="454"/>
      <c r="R203" s="454"/>
      <c r="S203" s="454"/>
      <c r="T203" s="454"/>
      <c r="U203" s="454"/>
      <c r="V203" s="454"/>
      <c r="W203" s="454"/>
      <c r="X203" s="454"/>
      <c r="Y203" s="454"/>
      <c r="Z203" s="454"/>
    </row>
    <row r="204" spans="1:26" ht="15.75" customHeight="1" x14ac:dyDescent="0.25">
      <c r="A204" s="454"/>
      <c r="B204" s="475"/>
      <c r="C204" s="475"/>
      <c r="D204" s="475"/>
      <c r="E204" s="476"/>
      <c r="F204" s="475"/>
      <c r="G204" s="454"/>
      <c r="H204" s="454"/>
      <c r="I204" s="454"/>
      <c r="J204" s="454"/>
      <c r="K204" s="454"/>
      <c r="L204" s="454"/>
      <c r="M204" s="454"/>
      <c r="N204" s="454"/>
      <c r="O204" s="454"/>
      <c r="P204" s="454"/>
      <c r="Q204" s="454"/>
      <c r="R204" s="454"/>
      <c r="S204" s="454"/>
      <c r="T204" s="454"/>
      <c r="U204" s="454"/>
      <c r="V204" s="454"/>
      <c r="W204" s="454"/>
      <c r="X204" s="454"/>
      <c r="Y204" s="454"/>
      <c r="Z204" s="454"/>
    </row>
    <row r="205" spans="1:26" ht="15.75" customHeight="1" x14ac:dyDescent="0.25">
      <c r="A205" s="454"/>
      <c r="B205" s="475"/>
      <c r="C205" s="475"/>
      <c r="D205" s="475"/>
      <c r="E205" s="476"/>
      <c r="F205" s="475"/>
      <c r="G205" s="454"/>
      <c r="H205" s="454"/>
      <c r="I205" s="454"/>
      <c r="J205" s="454"/>
      <c r="K205" s="454"/>
      <c r="L205" s="454"/>
      <c r="M205" s="454"/>
      <c r="N205" s="454"/>
      <c r="O205" s="454"/>
      <c r="P205" s="454"/>
      <c r="Q205" s="454"/>
      <c r="R205" s="454"/>
      <c r="S205" s="454"/>
      <c r="T205" s="454"/>
      <c r="U205" s="454"/>
      <c r="V205" s="454"/>
      <c r="W205" s="454"/>
      <c r="X205" s="454"/>
      <c r="Y205" s="454"/>
      <c r="Z205" s="454"/>
    </row>
    <row r="206" spans="1:26" ht="15.75" customHeight="1" x14ac:dyDescent="0.25">
      <c r="A206" s="454"/>
      <c r="B206" s="475"/>
      <c r="C206" s="475"/>
      <c r="D206" s="475"/>
      <c r="E206" s="476"/>
      <c r="F206" s="475"/>
      <c r="G206" s="454"/>
      <c r="H206" s="454"/>
      <c r="I206" s="454"/>
      <c r="J206" s="454"/>
      <c r="K206" s="454"/>
      <c r="L206" s="454"/>
      <c r="M206" s="454"/>
      <c r="N206" s="454"/>
      <c r="O206" s="454"/>
      <c r="P206" s="454"/>
      <c r="Q206" s="454"/>
      <c r="R206" s="454"/>
      <c r="S206" s="454"/>
      <c r="T206" s="454"/>
      <c r="U206" s="454"/>
      <c r="V206" s="454"/>
      <c r="W206" s="454"/>
      <c r="X206" s="454"/>
      <c r="Y206" s="454"/>
      <c r="Z206" s="454"/>
    </row>
    <row r="207" spans="1:26" ht="15.75" customHeight="1" x14ac:dyDescent="0.25">
      <c r="A207" s="454"/>
      <c r="B207" s="475"/>
      <c r="C207" s="475"/>
      <c r="D207" s="475"/>
      <c r="E207" s="476"/>
      <c r="F207" s="475"/>
      <c r="G207" s="454"/>
      <c r="H207" s="454"/>
      <c r="I207" s="454"/>
      <c r="J207" s="454"/>
      <c r="K207" s="454"/>
      <c r="L207" s="454"/>
      <c r="M207" s="454"/>
      <c r="N207" s="454"/>
      <c r="O207" s="454"/>
      <c r="P207" s="454"/>
      <c r="Q207" s="454"/>
      <c r="R207" s="454"/>
      <c r="S207" s="454"/>
      <c r="T207" s="454"/>
      <c r="U207" s="454"/>
      <c r="V207" s="454"/>
      <c r="W207" s="454"/>
      <c r="X207" s="454"/>
      <c r="Y207" s="454"/>
      <c r="Z207" s="454"/>
    </row>
    <row r="208" spans="1:26" ht="15.75" customHeight="1" x14ac:dyDescent="0.25">
      <c r="A208" s="454"/>
      <c r="B208" s="475"/>
      <c r="C208" s="475"/>
      <c r="D208" s="475"/>
      <c r="E208" s="476"/>
      <c r="F208" s="475"/>
      <c r="G208" s="454"/>
      <c r="H208" s="454"/>
      <c r="I208" s="454"/>
      <c r="J208" s="454"/>
      <c r="K208" s="454"/>
      <c r="L208" s="454"/>
      <c r="M208" s="454"/>
      <c r="N208" s="454"/>
      <c r="O208" s="454"/>
      <c r="P208" s="454"/>
      <c r="Q208" s="454"/>
      <c r="R208" s="454"/>
      <c r="S208" s="454"/>
      <c r="T208" s="454"/>
      <c r="U208" s="454"/>
      <c r="V208" s="454"/>
      <c r="W208" s="454"/>
      <c r="X208" s="454"/>
      <c r="Y208" s="454"/>
      <c r="Z208" s="454"/>
    </row>
    <row r="209" spans="1:26" ht="15.75" customHeight="1" x14ac:dyDescent="0.25">
      <c r="A209" s="454"/>
      <c r="B209" s="475"/>
      <c r="C209" s="475"/>
      <c r="D209" s="475"/>
      <c r="E209" s="476"/>
      <c r="F209" s="475"/>
      <c r="G209" s="454"/>
      <c r="H209" s="454"/>
      <c r="I209" s="454"/>
      <c r="J209" s="454"/>
      <c r="K209" s="454"/>
      <c r="L209" s="454"/>
      <c r="M209" s="454"/>
      <c r="N209" s="454"/>
      <c r="O209" s="454"/>
      <c r="P209" s="454"/>
      <c r="Q209" s="454"/>
      <c r="R209" s="454"/>
      <c r="S209" s="454"/>
      <c r="T209" s="454"/>
      <c r="U209" s="454"/>
      <c r="V209" s="454"/>
      <c r="W209" s="454"/>
      <c r="X209" s="454"/>
      <c r="Y209" s="454"/>
      <c r="Z209" s="454"/>
    </row>
    <row r="210" spans="1:26" ht="15.75" customHeight="1" x14ac:dyDescent="0.25">
      <c r="A210" s="454"/>
      <c r="B210" s="475"/>
      <c r="C210" s="475"/>
      <c r="D210" s="475"/>
      <c r="E210" s="476"/>
      <c r="F210" s="475"/>
      <c r="G210" s="454"/>
      <c r="H210" s="454"/>
      <c r="I210" s="454"/>
      <c r="J210" s="454"/>
      <c r="K210" s="454"/>
      <c r="L210" s="454"/>
      <c r="M210" s="454"/>
      <c r="N210" s="454"/>
      <c r="O210" s="454"/>
      <c r="P210" s="454"/>
      <c r="Q210" s="454"/>
      <c r="R210" s="454"/>
      <c r="S210" s="454"/>
      <c r="T210" s="454"/>
      <c r="U210" s="454"/>
      <c r="V210" s="454"/>
      <c r="W210" s="454"/>
      <c r="X210" s="454"/>
      <c r="Y210" s="454"/>
      <c r="Z210" s="454"/>
    </row>
    <row r="211" spans="1:26" ht="15.75" customHeight="1" x14ac:dyDescent="0.25">
      <c r="A211" s="454"/>
      <c r="B211" s="475"/>
      <c r="C211" s="475"/>
      <c r="D211" s="475"/>
      <c r="E211" s="476"/>
      <c r="F211" s="475"/>
      <c r="G211" s="454"/>
      <c r="H211" s="454"/>
      <c r="I211" s="454"/>
      <c r="J211" s="454"/>
      <c r="K211" s="454"/>
      <c r="L211" s="454"/>
      <c r="M211" s="454"/>
      <c r="N211" s="454"/>
      <c r="O211" s="454"/>
      <c r="P211" s="454"/>
      <c r="Q211" s="454"/>
      <c r="R211" s="454"/>
      <c r="S211" s="454"/>
      <c r="T211" s="454"/>
      <c r="U211" s="454"/>
      <c r="V211" s="454"/>
      <c r="W211" s="454"/>
      <c r="X211" s="454"/>
      <c r="Y211" s="454"/>
      <c r="Z211" s="454"/>
    </row>
    <row r="212" spans="1:26" ht="15.75" customHeight="1" x14ac:dyDescent="0.25">
      <c r="A212" s="454"/>
      <c r="B212" s="475"/>
      <c r="C212" s="475"/>
      <c r="D212" s="475"/>
      <c r="E212" s="476"/>
      <c r="F212" s="475"/>
      <c r="G212" s="454"/>
      <c r="H212" s="454"/>
      <c r="I212" s="454"/>
      <c r="J212" s="454"/>
      <c r="K212" s="454"/>
      <c r="L212" s="454"/>
      <c r="M212" s="454"/>
      <c r="N212" s="454"/>
      <c r="O212" s="454"/>
      <c r="P212" s="454"/>
      <c r="Q212" s="454"/>
      <c r="R212" s="454"/>
      <c r="S212" s="454"/>
      <c r="T212" s="454"/>
      <c r="U212" s="454"/>
      <c r="V212" s="454"/>
      <c r="W212" s="454"/>
      <c r="X212" s="454"/>
      <c r="Y212" s="454"/>
      <c r="Z212" s="454"/>
    </row>
    <row r="213" spans="1:26" ht="15.75" customHeight="1" x14ac:dyDescent="0.25">
      <c r="A213" s="454"/>
      <c r="B213" s="475"/>
      <c r="C213" s="475"/>
      <c r="D213" s="475"/>
      <c r="E213" s="476"/>
      <c r="F213" s="475"/>
      <c r="G213" s="454"/>
      <c r="H213" s="454"/>
      <c r="I213" s="454"/>
      <c r="J213" s="454"/>
      <c r="K213" s="454"/>
      <c r="L213" s="454"/>
      <c r="M213" s="454"/>
      <c r="N213" s="454"/>
      <c r="O213" s="454"/>
      <c r="P213" s="454"/>
      <c r="Q213" s="454"/>
      <c r="R213" s="454"/>
      <c r="S213" s="454"/>
      <c r="T213" s="454"/>
      <c r="U213" s="454"/>
      <c r="V213" s="454"/>
      <c r="W213" s="454"/>
      <c r="X213" s="454"/>
      <c r="Y213" s="454"/>
      <c r="Z213" s="454"/>
    </row>
    <row r="214" spans="1:26" ht="15.75" customHeight="1" x14ac:dyDescent="0.25">
      <c r="A214" s="454"/>
      <c r="B214" s="475"/>
      <c r="C214" s="475"/>
      <c r="D214" s="475"/>
      <c r="E214" s="476"/>
      <c r="F214" s="475"/>
      <c r="G214" s="454"/>
      <c r="H214" s="454"/>
      <c r="I214" s="454"/>
      <c r="J214" s="454"/>
      <c r="K214" s="454"/>
      <c r="L214" s="454"/>
      <c r="M214" s="454"/>
      <c r="N214" s="454"/>
      <c r="O214" s="454"/>
      <c r="P214" s="454"/>
      <c r="Q214" s="454"/>
      <c r="R214" s="454"/>
      <c r="S214" s="454"/>
      <c r="T214" s="454"/>
      <c r="U214" s="454"/>
      <c r="V214" s="454"/>
      <c r="W214" s="454"/>
      <c r="X214" s="454"/>
      <c r="Y214" s="454"/>
      <c r="Z214" s="454"/>
    </row>
    <row r="215" spans="1:26" ht="15.75" customHeight="1" x14ac:dyDescent="0.25">
      <c r="A215" s="454"/>
      <c r="B215" s="475"/>
      <c r="C215" s="475"/>
      <c r="D215" s="475"/>
      <c r="E215" s="476"/>
      <c r="F215" s="475"/>
      <c r="G215" s="454"/>
      <c r="H215" s="454"/>
      <c r="I215" s="454"/>
      <c r="J215" s="454"/>
      <c r="K215" s="454"/>
      <c r="L215" s="454"/>
      <c r="M215" s="454"/>
      <c r="N215" s="454"/>
      <c r="O215" s="454"/>
      <c r="P215" s="454"/>
      <c r="Q215" s="454"/>
      <c r="R215" s="454"/>
      <c r="S215" s="454"/>
      <c r="T215" s="454"/>
      <c r="U215" s="454"/>
      <c r="V215" s="454"/>
      <c r="W215" s="454"/>
      <c r="X215" s="454"/>
      <c r="Y215" s="454"/>
      <c r="Z215" s="454"/>
    </row>
    <row r="216" spans="1:26" ht="15.75" customHeight="1" x14ac:dyDescent="0.25">
      <c r="A216" s="454"/>
      <c r="B216" s="475"/>
      <c r="C216" s="475"/>
      <c r="D216" s="475"/>
      <c r="E216" s="476"/>
      <c r="F216" s="475"/>
      <c r="G216" s="454"/>
      <c r="H216" s="454"/>
      <c r="I216" s="454"/>
      <c r="J216" s="454"/>
      <c r="K216" s="454"/>
      <c r="L216" s="454"/>
      <c r="M216" s="454"/>
      <c r="N216" s="454"/>
      <c r="O216" s="454"/>
      <c r="P216" s="454"/>
      <c r="Q216" s="454"/>
      <c r="R216" s="454"/>
      <c r="S216" s="454"/>
      <c r="T216" s="454"/>
      <c r="U216" s="454"/>
      <c r="V216" s="454"/>
      <c r="W216" s="454"/>
      <c r="X216" s="454"/>
      <c r="Y216" s="454"/>
      <c r="Z216" s="454"/>
    </row>
    <row r="217" spans="1:26" ht="15.75" customHeight="1" x14ac:dyDescent="0.25">
      <c r="A217" s="454"/>
      <c r="B217" s="475"/>
      <c r="C217" s="475"/>
      <c r="D217" s="475"/>
      <c r="E217" s="476"/>
      <c r="F217" s="475"/>
      <c r="G217" s="454"/>
      <c r="H217" s="454"/>
      <c r="I217" s="454"/>
      <c r="J217" s="454"/>
      <c r="K217" s="454"/>
      <c r="L217" s="454"/>
      <c r="M217" s="454"/>
      <c r="N217" s="454"/>
      <c r="O217" s="454"/>
      <c r="P217" s="454"/>
      <c r="Q217" s="454"/>
      <c r="R217" s="454"/>
      <c r="S217" s="454"/>
      <c r="T217" s="454"/>
      <c r="U217" s="454"/>
      <c r="V217" s="454"/>
      <c r="W217" s="454"/>
      <c r="X217" s="454"/>
      <c r="Y217" s="454"/>
      <c r="Z217" s="454"/>
    </row>
    <row r="218" spans="1:26" ht="15.75" customHeight="1" x14ac:dyDescent="0.25">
      <c r="A218" s="454"/>
      <c r="B218" s="475"/>
      <c r="C218" s="475"/>
      <c r="D218" s="475"/>
      <c r="E218" s="476"/>
      <c r="F218" s="475"/>
      <c r="G218" s="454"/>
      <c r="H218" s="454"/>
      <c r="I218" s="454"/>
      <c r="J218" s="454"/>
      <c r="K218" s="454"/>
      <c r="L218" s="454"/>
      <c r="M218" s="454"/>
      <c r="N218" s="454"/>
      <c r="O218" s="454"/>
      <c r="P218" s="454"/>
      <c r="Q218" s="454"/>
      <c r="R218" s="454"/>
      <c r="S218" s="454"/>
      <c r="T218" s="454"/>
      <c r="U218" s="454"/>
      <c r="V218" s="454"/>
      <c r="W218" s="454"/>
      <c r="X218" s="454"/>
      <c r="Y218" s="454"/>
      <c r="Z218" s="454"/>
    </row>
    <row r="219" spans="1:26" ht="15.75" customHeight="1" x14ac:dyDescent="0.25">
      <c r="A219" s="454"/>
      <c r="B219" s="475"/>
      <c r="C219" s="475"/>
      <c r="D219" s="475"/>
      <c r="E219" s="476"/>
      <c r="F219" s="475"/>
      <c r="G219" s="454"/>
      <c r="H219" s="454"/>
      <c r="I219" s="454"/>
      <c r="J219" s="454"/>
      <c r="K219" s="454"/>
      <c r="L219" s="454"/>
      <c r="M219" s="454"/>
      <c r="N219" s="454"/>
      <c r="O219" s="454"/>
      <c r="P219" s="454"/>
      <c r="Q219" s="454"/>
      <c r="R219" s="454"/>
      <c r="S219" s="454"/>
      <c r="T219" s="454"/>
      <c r="U219" s="454"/>
      <c r="V219" s="454"/>
      <c r="W219" s="454"/>
      <c r="X219" s="454"/>
      <c r="Y219" s="454"/>
      <c r="Z219" s="454"/>
    </row>
    <row r="220" spans="1:26" ht="15.75" customHeight="1" x14ac:dyDescent="0.25">
      <c r="A220" s="454"/>
      <c r="B220" s="475"/>
      <c r="C220" s="475"/>
      <c r="D220" s="475"/>
      <c r="E220" s="476"/>
      <c r="F220" s="475"/>
      <c r="G220" s="454"/>
      <c r="H220" s="454"/>
      <c r="I220" s="454"/>
      <c r="J220" s="454"/>
      <c r="K220" s="454"/>
      <c r="L220" s="454"/>
      <c r="M220" s="454"/>
      <c r="N220" s="454"/>
      <c r="O220" s="454"/>
      <c r="P220" s="454"/>
      <c r="Q220" s="454"/>
      <c r="R220" s="454"/>
      <c r="S220" s="454"/>
      <c r="T220" s="454"/>
      <c r="U220" s="454"/>
      <c r="V220" s="454"/>
      <c r="W220" s="454"/>
      <c r="X220" s="454"/>
      <c r="Y220" s="454"/>
      <c r="Z220" s="454"/>
    </row>
    <row r="221" spans="1:26" ht="15.75" customHeight="1" x14ac:dyDescent="0.25">
      <c r="A221" s="454"/>
      <c r="B221" s="475"/>
      <c r="C221" s="475"/>
      <c r="D221" s="475"/>
      <c r="E221" s="476"/>
      <c r="F221" s="475"/>
      <c r="G221" s="454"/>
      <c r="H221" s="454"/>
      <c r="I221" s="454"/>
      <c r="J221" s="454"/>
      <c r="K221" s="454"/>
      <c r="L221" s="454"/>
      <c r="M221" s="454"/>
      <c r="N221" s="454"/>
      <c r="O221" s="454"/>
      <c r="P221" s="454"/>
      <c r="Q221" s="454"/>
      <c r="R221" s="454"/>
      <c r="S221" s="454"/>
      <c r="T221" s="454"/>
      <c r="U221" s="454"/>
      <c r="V221" s="454"/>
      <c r="W221" s="454"/>
      <c r="X221" s="454"/>
      <c r="Y221" s="454"/>
      <c r="Z221" s="454"/>
    </row>
    <row r="222" spans="1:26" ht="15.75" customHeight="1" x14ac:dyDescent="0.25">
      <c r="A222" s="454"/>
      <c r="B222" s="475"/>
      <c r="C222" s="475"/>
      <c r="D222" s="475"/>
      <c r="E222" s="476"/>
      <c r="F222" s="475"/>
      <c r="G222" s="454"/>
      <c r="H222" s="454"/>
      <c r="I222" s="454"/>
      <c r="J222" s="454"/>
      <c r="K222" s="454"/>
      <c r="L222" s="454"/>
      <c r="M222" s="454"/>
      <c r="N222" s="454"/>
      <c r="O222" s="454"/>
      <c r="P222" s="454"/>
      <c r="Q222" s="454"/>
      <c r="R222" s="454"/>
      <c r="S222" s="454"/>
      <c r="T222" s="454"/>
      <c r="U222" s="454"/>
      <c r="V222" s="454"/>
      <c r="W222" s="454"/>
      <c r="X222" s="454"/>
      <c r="Y222" s="454"/>
      <c r="Z222" s="454"/>
    </row>
    <row r="223" spans="1:26" ht="15.75" customHeight="1" x14ac:dyDescent="0.25">
      <c r="A223" s="454"/>
      <c r="B223" s="475"/>
      <c r="C223" s="475"/>
      <c r="D223" s="475"/>
      <c r="E223" s="476"/>
      <c r="F223" s="475"/>
      <c r="G223" s="454"/>
      <c r="H223" s="454"/>
      <c r="I223" s="454"/>
      <c r="J223" s="454"/>
      <c r="K223" s="454"/>
      <c r="L223" s="454"/>
      <c r="M223" s="454"/>
      <c r="N223" s="454"/>
      <c r="O223" s="454"/>
      <c r="P223" s="454"/>
      <c r="Q223" s="454"/>
      <c r="R223" s="454"/>
      <c r="S223" s="454"/>
      <c r="T223" s="454"/>
      <c r="U223" s="454"/>
      <c r="V223" s="454"/>
      <c r="W223" s="454"/>
      <c r="X223" s="454"/>
      <c r="Y223" s="454"/>
      <c r="Z223" s="454"/>
    </row>
    <row r="224" spans="1:26" ht="15.75" customHeight="1" x14ac:dyDescent="0.25">
      <c r="A224" s="454"/>
      <c r="B224" s="475"/>
      <c r="C224" s="475"/>
      <c r="D224" s="475"/>
      <c r="E224" s="476"/>
      <c r="F224" s="475"/>
      <c r="G224" s="454"/>
      <c r="H224" s="454"/>
      <c r="I224" s="454"/>
      <c r="J224" s="454"/>
      <c r="K224" s="454"/>
      <c r="L224" s="454"/>
      <c r="M224" s="454"/>
      <c r="N224" s="454"/>
      <c r="O224" s="454"/>
      <c r="P224" s="454"/>
      <c r="Q224" s="454"/>
      <c r="R224" s="454"/>
      <c r="S224" s="454"/>
      <c r="T224" s="454"/>
      <c r="U224" s="454"/>
      <c r="V224" s="454"/>
      <c r="W224" s="454"/>
      <c r="X224" s="454"/>
      <c r="Y224" s="454"/>
      <c r="Z224" s="454"/>
    </row>
    <row r="225" spans="1:26" ht="15.75" customHeight="1" x14ac:dyDescent="0.25">
      <c r="A225" s="454"/>
      <c r="B225" s="475"/>
      <c r="C225" s="475"/>
      <c r="D225" s="475"/>
      <c r="E225" s="476"/>
      <c r="F225" s="475"/>
      <c r="G225" s="454"/>
      <c r="H225" s="454"/>
      <c r="I225" s="454"/>
      <c r="J225" s="454"/>
      <c r="K225" s="454"/>
      <c r="L225" s="454"/>
      <c r="M225" s="454"/>
      <c r="N225" s="454"/>
      <c r="O225" s="454"/>
      <c r="P225" s="454"/>
      <c r="Q225" s="454"/>
      <c r="R225" s="454"/>
      <c r="S225" s="454"/>
      <c r="T225" s="454"/>
      <c r="U225" s="454"/>
      <c r="V225" s="454"/>
      <c r="W225" s="454"/>
      <c r="X225" s="454"/>
      <c r="Y225" s="454"/>
      <c r="Z225" s="454"/>
    </row>
    <row r="226" spans="1:26" ht="15.75" customHeight="1" x14ac:dyDescent="0.25">
      <c r="A226" s="454"/>
      <c r="B226" s="475"/>
      <c r="C226" s="475"/>
      <c r="D226" s="475"/>
      <c r="E226" s="476"/>
      <c r="F226" s="475"/>
      <c r="G226" s="454"/>
      <c r="H226" s="454"/>
      <c r="I226" s="454"/>
      <c r="J226" s="454"/>
      <c r="K226" s="454"/>
      <c r="L226" s="454"/>
      <c r="M226" s="454"/>
      <c r="N226" s="454"/>
      <c r="O226" s="454"/>
      <c r="P226" s="454"/>
      <c r="Q226" s="454"/>
      <c r="R226" s="454"/>
      <c r="S226" s="454"/>
      <c r="T226" s="454"/>
      <c r="U226" s="454"/>
      <c r="V226" s="454"/>
      <c r="W226" s="454"/>
      <c r="X226" s="454"/>
      <c r="Y226" s="454"/>
      <c r="Z226" s="454"/>
    </row>
    <row r="227" spans="1:26" ht="15.75" customHeight="1" x14ac:dyDescent="0.25">
      <c r="A227" s="454"/>
      <c r="B227" s="475"/>
      <c r="C227" s="475"/>
      <c r="D227" s="475"/>
      <c r="E227" s="476"/>
      <c r="F227" s="475"/>
      <c r="G227" s="454"/>
      <c r="H227" s="454"/>
      <c r="I227" s="454"/>
      <c r="J227" s="454"/>
      <c r="K227" s="454"/>
      <c r="L227" s="454"/>
      <c r="M227" s="454"/>
      <c r="N227" s="454"/>
      <c r="O227" s="454"/>
      <c r="P227" s="454"/>
      <c r="Q227" s="454"/>
      <c r="R227" s="454"/>
      <c r="S227" s="454"/>
      <c r="T227" s="454"/>
      <c r="U227" s="454"/>
      <c r="V227" s="454"/>
      <c r="W227" s="454"/>
      <c r="X227" s="454"/>
      <c r="Y227" s="454"/>
      <c r="Z227" s="454"/>
    </row>
    <row r="228" spans="1:26" ht="15.75" customHeight="1" x14ac:dyDescent="0.25">
      <c r="A228" s="454"/>
      <c r="B228" s="475"/>
      <c r="C228" s="475"/>
      <c r="D228" s="475"/>
      <c r="E228" s="476"/>
      <c r="F228" s="475"/>
      <c r="G228" s="454"/>
      <c r="H228" s="454"/>
      <c r="I228" s="454"/>
      <c r="J228" s="454"/>
      <c r="K228" s="454"/>
      <c r="L228" s="454"/>
      <c r="M228" s="454"/>
      <c r="N228" s="454"/>
      <c r="O228" s="454"/>
      <c r="P228" s="454"/>
      <c r="Q228" s="454"/>
      <c r="R228" s="454"/>
      <c r="S228" s="454"/>
      <c r="T228" s="454"/>
      <c r="U228" s="454"/>
      <c r="V228" s="454"/>
      <c r="W228" s="454"/>
      <c r="X228" s="454"/>
      <c r="Y228" s="454"/>
      <c r="Z228" s="454"/>
    </row>
    <row r="229" spans="1:26" ht="15.75" customHeight="1" x14ac:dyDescent="0.25">
      <c r="A229" s="454"/>
      <c r="B229" s="475"/>
      <c r="C229" s="475"/>
      <c r="D229" s="475"/>
      <c r="E229" s="476"/>
      <c r="F229" s="475"/>
      <c r="G229" s="454"/>
      <c r="H229" s="454"/>
      <c r="I229" s="454"/>
      <c r="J229" s="454"/>
      <c r="K229" s="454"/>
      <c r="L229" s="454"/>
      <c r="M229" s="454"/>
      <c r="N229" s="454"/>
      <c r="O229" s="454"/>
      <c r="P229" s="454"/>
      <c r="Q229" s="454"/>
      <c r="R229" s="454"/>
      <c r="S229" s="454"/>
      <c r="T229" s="454"/>
      <c r="U229" s="454"/>
      <c r="V229" s="454"/>
      <c r="W229" s="454"/>
      <c r="X229" s="454"/>
      <c r="Y229" s="454"/>
      <c r="Z229" s="454"/>
    </row>
    <row r="230" spans="1:26" ht="15.75" customHeight="1" x14ac:dyDescent="0.25">
      <c r="A230" s="454"/>
      <c r="B230" s="475"/>
      <c r="C230" s="475"/>
      <c r="D230" s="475"/>
      <c r="E230" s="476"/>
      <c r="F230" s="475"/>
      <c r="G230" s="454"/>
      <c r="H230" s="454"/>
      <c r="I230" s="454"/>
      <c r="J230" s="454"/>
      <c r="K230" s="454"/>
      <c r="L230" s="454"/>
      <c r="M230" s="454"/>
      <c r="N230" s="454"/>
      <c r="O230" s="454"/>
      <c r="P230" s="454"/>
      <c r="Q230" s="454"/>
      <c r="R230" s="454"/>
      <c r="S230" s="454"/>
      <c r="T230" s="454"/>
      <c r="U230" s="454"/>
      <c r="V230" s="454"/>
      <c r="W230" s="454"/>
      <c r="X230" s="454"/>
      <c r="Y230" s="454"/>
      <c r="Z230" s="454"/>
    </row>
    <row r="231" spans="1:26" ht="15.75" customHeight="1" x14ac:dyDescent="0.25">
      <c r="A231" s="454"/>
      <c r="B231" s="475"/>
      <c r="C231" s="475"/>
      <c r="D231" s="475"/>
      <c r="E231" s="476"/>
      <c r="F231" s="475"/>
      <c r="G231" s="454"/>
      <c r="H231" s="454"/>
      <c r="I231" s="454"/>
      <c r="J231" s="454"/>
      <c r="K231" s="454"/>
      <c r="L231" s="454"/>
      <c r="M231" s="454"/>
      <c r="N231" s="454"/>
      <c r="O231" s="454"/>
      <c r="P231" s="454"/>
      <c r="Q231" s="454"/>
      <c r="R231" s="454"/>
      <c r="S231" s="454"/>
      <c r="T231" s="454"/>
      <c r="U231" s="454"/>
      <c r="V231" s="454"/>
      <c r="W231" s="454"/>
      <c r="X231" s="454"/>
      <c r="Y231" s="454"/>
      <c r="Z231" s="454"/>
    </row>
    <row r="232" spans="1:26" ht="15.75" customHeight="1" x14ac:dyDescent="0.25">
      <c r="A232" s="454"/>
      <c r="B232" s="475"/>
      <c r="C232" s="475"/>
      <c r="D232" s="475"/>
      <c r="E232" s="476"/>
      <c r="F232" s="475"/>
      <c r="G232" s="454"/>
      <c r="H232" s="454"/>
      <c r="I232" s="454"/>
      <c r="J232" s="454"/>
      <c r="K232" s="454"/>
      <c r="L232" s="454"/>
      <c r="M232" s="454"/>
      <c r="N232" s="454"/>
      <c r="O232" s="454"/>
      <c r="P232" s="454"/>
      <c r="Q232" s="454"/>
      <c r="R232" s="454"/>
      <c r="S232" s="454"/>
      <c r="T232" s="454"/>
      <c r="U232" s="454"/>
      <c r="V232" s="454"/>
      <c r="W232" s="454"/>
      <c r="X232" s="454"/>
      <c r="Y232" s="454"/>
      <c r="Z232" s="454"/>
    </row>
    <row r="233" spans="1:26" ht="15.75" customHeight="1" x14ac:dyDescent="0.25">
      <c r="A233" s="454"/>
      <c r="B233" s="475"/>
      <c r="C233" s="475"/>
      <c r="D233" s="475"/>
      <c r="E233" s="476"/>
      <c r="F233" s="475"/>
      <c r="G233" s="454"/>
      <c r="H233" s="454"/>
      <c r="I233" s="454"/>
      <c r="J233" s="454"/>
      <c r="K233" s="454"/>
      <c r="L233" s="454"/>
      <c r="M233" s="454"/>
      <c r="N233" s="454"/>
      <c r="O233" s="454"/>
      <c r="P233" s="454"/>
      <c r="Q233" s="454"/>
      <c r="R233" s="454"/>
      <c r="S233" s="454"/>
      <c r="T233" s="454"/>
      <c r="U233" s="454"/>
      <c r="V233" s="454"/>
      <c r="W233" s="454"/>
      <c r="X233" s="454"/>
      <c r="Y233" s="454"/>
      <c r="Z233" s="454"/>
    </row>
    <row r="234" spans="1:26" ht="15.75" customHeight="1" x14ac:dyDescent="0.25">
      <c r="A234" s="454"/>
      <c r="B234" s="475"/>
      <c r="C234" s="475"/>
      <c r="D234" s="475"/>
      <c r="E234" s="476"/>
      <c r="F234" s="475"/>
      <c r="G234" s="454"/>
      <c r="H234" s="454"/>
      <c r="I234" s="454"/>
      <c r="J234" s="454"/>
      <c r="K234" s="454"/>
      <c r="L234" s="454"/>
      <c r="M234" s="454"/>
      <c r="N234" s="454"/>
      <c r="O234" s="454"/>
      <c r="P234" s="454"/>
      <c r="Q234" s="454"/>
      <c r="R234" s="454"/>
      <c r="S234" s="454"/>
      <c r="T234" s="454"/>
      <c r="U234" s="454"/>
      <c r="V234" s="454"/>
      <c r="W234" s="454"/>
      <c r="X234" s="454"/>
      <c r="Y234" s="454"/>
      <c r="Z234" s="454"/>
    </row>
    <row r="235" spans="1:26" ht="15.75" customHeight="1" x14ac:dyDescent="0.25">
      <c r="A235" s="454"/>
      <c r="B235" s="475"/>
      <c r="C235" s="475"/>
      <c r="D235" s="475"/>
      <c r="E235" s="476"/>
      <c r="F235" s="475"/>
      <c r="G235" s="454"/>
      <c r="H235" s="454"/>
      <c r="I235" s="454"/>
      <c r="J235" s="454"/>
      <c r="K235" s="454"/>
      <c r="L235" s="454"/>
      <c r="M235" s="454"/>
      <c r="N235" s="454"/>
      <c r="O235" s="454"/>
      <c r="P235" s="454"/>
      <c r="Q235" s="454"/>
      <c r="R235" s="454"/>
      <c r="S235" s="454"/>
      <c r="T235" s="454"/>
      <c r="U235" s="454"/>
      <c r="V235" s="454"/>
      <c r="W235" s="454"/>
      <c r="X235" s="454"/>
      <c r="Y235" s="454"/>
      <c r="Z235" s="454"/>
    </row>
    <row r="236" spans="1:26" ht="15.75" customHeight="1" x14ac:dyDescent="0.25">
      <c r="A236" s="454"/>
      <c r="B236" s="475"/>
      <c r="C236" s="475"/>
      <c r="D236" s="475"/>
      <c r="E236" s="476"/>
      <c r="F236" s="475"/>
      <c r="G236" s="454"/>
      <c r="H236" s="454"/>
      <c r="I236" s="454"/>
      <c r="J236" s="454"/>
      <c r="K236" s="454"/>
      <c r="L236" s="454"/>
      <c r="M236" s="454"/>
      <c r="N236" s="454"/>
      <c r="O236" s="454"/>
      <c r="P236" s="454"/>
      <c r="Q236" s="454"/>
      <c r="R236" s="454"/>
      <c r="S236" s="454"/>
      <c r="T236" s="454"/>
      <c r="U236" s="454"/>
      <c r="V236" s="454"/>
      <c r="W236" s="454"/>
      <c r="X236" s="454"/>
      <c r="Y236" s="454"/>
      <c r="Z236" s="454"/>
    </row>
    <row r="237" spans="1:26" ht="15.75" customHeight="1" x14ac:dyDescent="0.25">
      <c r="A237" s="454"/>
      <c r="B237" s="475"/>
      <c r="C237" s="475"/>
      <c r="D237" s="475"/>
      <c r="E237" s="476"/>
      <c r="F237" s="475"/>
      <c r="G237" s="454"/>
      <c r="H237" s="454"/>
      <c r="I237" s="454"/>
      <c r="J237" s="454"/>
      <c r="K237" s="454"/>
      <c r="L237" s="454"/>
      <c r="M237" s="454"/>
      <c r="N237" s="454"/>
      <c r="O237" s="454"/>
      <c r="P237" s="454"/>
      <c r="Q237" s="454"/>
      <c r="R237" s="454"/>
      <c r="S237" s="454"/>
      <c r="T237" s="454"/>
      <c r="U237" s="454"/>
      <c r="V237" s="454"/>
      <c r="W237" s="454"/>
      <c r="X237" s="454"/>
      <c r="Y237" s="454"/>
      <c r="Z237" s="454"/>
    </row>
    <row r="238" spans="1:26" ht="15.75" customHeight="1" x14ac:dyDescent="0.25">
      <c r="A238" s="454"/>
      <c r="B238" s="475"/>
      <c r="C238" s="475"/>
      <c r="D238" s="475"/>
      <c r="E238" s="476"/>
      <c r="F238" s="475"/>
      <c r="G238" s="454"/>
      <c r="H238" s="454"/>
      <c r="I238" s="454"/>
      <c r="J238" s="454"/>
      <c r="K238" s="454"/>
      <c r="L238" s="454"/>
      <c r="M238" s="454"/>
      <c r="N238" s="454"/>
      <c r="O238" s="454"/>
      <c r="P238" s="454"/>
      <c r="Q238" s="454"/>
      <c r="R238" s="454"/>
      <c r="S238" s="454"/>
      <c r="T238" s="454"/>
      <c r="U238" s="454"/>
      <c r="V238" s="454"/>
      <c r="W238" s="454"/>
      <c r="X238" s="454"/>
      <c r="Y238" s="454"/>
      <c r="Z238" s="454"/>
    </row>
    <row r="239" spans="1:26" ht="15.75" customHeight="1" x14ac:dyDescent="0.25">
      <c r="A239" s="454"/>
      <c r="B239" s="475"/>
      <c r="C239" s="475"/>
      <c r="D239" s="475"/>
      <c r="E239" s="476"/>
      <c r="F239" s="475"/>
      <c r="G239" s="454"/>
      <c r="H239" s="454"/>
      <c r="I239" s="454"/>
      <c r="J239" s="454"/>
      <c r="K239" s="454"/>
      <c r="L239" s="454"/>
      <c r="M239" s="454"/>
      <c r="N239" s="454"/>
      <c r="O239" s="454"/>
      <c r="P239" s="454"/>
      <c r="Q239" s="454"/>
      <c r="R239" s="454"/>
      <c r="S239" s="454"/>
      <c r="T239" s="454"/>
      <c r="U239" s="454"/>
      <c r="V239" s="454"/>
      <c r="W239" s="454"/>
      <c r="X239" s="454"/>
      <c r="Y239" s="454"/>
      <c r="Z239" s="454"/>
    </row>
    <row r="240" spans="1:26" ht="15.75" customHeight="1" x14ac:dyDescent="0.25">
      <c r="A240" s="454"/>
      <c r="B240" s="475"/>
      <c r="C240" s="475"/>
      <c r="D240" s="475"/>
      <c r="E240" s="476"/>
      <c r="F240" s="475"/>
      <c r="G240" s="454"/>
      <c r="H240" s="454"/>
      <c r="I240" s="454"/>
      <c r="J240" s="454"/>
      <c r="K240" s="454"/>
      <c r="L240" s="454"/>
      <c r="M240" s="454"/>
      <c r="N240" s="454"/>
      <c r="O240" s="454"/>
      <c r="P240" s="454"/>
      <c r="Q240" s="454"/>
      <c r="R240" s="454"/>
      <c r="S240" s="454"/>
      <c r="T240" s="454"/>
      <c r="U240" s="454"/>
      <c r="V240" s="454"/>
      <c r="W240" s="454"/>
      <c r="X240" s="454"/>
      <c r="Y240" s="454"/>
      <c r="Z240" s="454"/>
    </row>
    <row r="241" spans="1:26" ht="15.75" customHeight="1" x14ac:dyDescent="0.25">
      <c r="A241" s="454"/>
      <c r="B241" s="475"/>
      <c r="C241" s="475"/>
      <c r="D241" s="475"/>
      <c r="E241" s="476"/>
      <c r="F241" s="475"/>
      <c r="G241" s="454"/>
      <c r="H241" s="454"/>
      <c r="I241" s="454"/>
      <c r="J241" s="454"/>
      <c r="K241" s="454"/>
      <c r="L241" s="454"/>
      <c r="M241" s="454"/>
      <c r="N241" s="454"/>
      <c r="O241" s="454"/>
      <c r="P241" s="454"/>
      <c r="Q241" s="454"/>
      <c r="R241" s="454"/>
      <c r="S241" s="454"/>
      <c r="T241" s="454"/>
      <c r="U241" s="454"/>
      <c r="V241" s="454"/>
      <c r="W241" s="454"/>
      <c r="X241" s="454"/>
      <c r="Y241" s="454"/>
      <c r="Z241" s="454"/>
    </row>
    <row r="242" spans="1:26" ht="15.75" customHeight="1" x14ac:dyDescent="0.25">
      <c r="A242" s="454"/>
      <c r="B242" s="475"/>
      <c r="C242" s="475"/>
      <c r="D242" s="475"/>
      <c r="E242" s="476"/>
      <c r="F242" s="475"/>
      <c r="G242" s="454"/>
      <c r="H242" s="454"/>
      <c r="I242" s="454"/>
      <c r="J242" s="454"/>
      <c r="K242" s="454"/>
      <c r="L242" s="454"/>
      <c r="M242" s="454"/>
      <c r="N242" s="454"/>
      <c r="O242" s="454"/>
      <c r="P242" s="454"/>
      <c r="Q242" s="454"/>
      <c r="R242" s="454"/>
      <c r="S242" s="454"/>
      <c r="T242" s="454"/>
      <c r="U242" s="454"/>
      <c r="V242" s="454"/>
      <c r="W242" s="454"/>
      <c r="X242" s="454"/>
      <c r="Y242" s="454"/>
      <c r="Z242" s="454"/>
    </row>
    <row r="243" spans="1:26" ht="15.75" customHeight="1" x14ac:dyDescent="0.25">
      <c r="A243" s="454"/>
      <c r="B243" s="475"/>
      <c r="C243" s="475"/>
      <c r="D243" s="475"/>
      <c r="E243" s="476"/>
      <c r="F243" s="475"/>
      <c r="G243" s="454"/>
      <c r="H243" s="454"/>
      <c r="I243" s="454"/>
      <c r="J243" s="454"/>
      <c r="K243" s="454"/>
      <c r="L243" s="454"/>
      <c r="M243" s="454"/>
      <c r="N243" s="454"/>
      <c r="O243" s="454"/>
      <c r="P243" s="454"/>
      <c r="Q243" s="454"/>
      <c r="R243" s="454"/>
      <c r="S243" s="454"/>
      <c r="T243" s="454"/>
      <c r="U243" s="454"/>
      <c r="V243" s="454"/>
      <c r="W243" s="454"/>
      <c r="X243" s="454"/>
      <c r="Y243" s="454"/>
      <c r="Z243" s="454"/>
    </row>
    <row r="244" spans="1:26" ht="15.75" customHeight="1" x14ac:dyDescent="0.25">
      <c r="A244" s="454"/>
      <c r="B244" s="475"/>
      <c r="C244" s="475"/>
      <c r="D244" s="475"/>
      <c r="E244" s="476"/>
      <c r="F244" s="475"/>
      <c r="G244" s="454"/>
      <c r="H244" s="454"/>
      <c r="I244" s="454"/>
      <c r="J244" s="454"/>
      <c r="K244" s="454"/>
      <c r="L244" s="454"/>
      <c r="M244" s="454"/>
      <c r="N244" s="454"/>
      <c r="O244" s="454"/>
      <c r="P244" s="454"/>
      <c r="Q244" s="454"/>
      <c r="R244" s="454"/>
      <c r="S244" s="454"/>
      <c r="T244" s="454"/>
      <c r="U244" s="454"/>
      <c r="V244" s="454"/>
      <c r="W244" s="454"/>
      <c r="X244" s="454"/>
      <c r="Y244" s="454"/>
      <c r="Z244" s="454"/>
    </row>
    <row r="245" spans="1:26" ht="15.75" customHeight="1" x14ac:dyDescent="0.25">
      <c r="A245" s="454"/>
      <c r="B245" s="475"/>
      <c r="C245" s="475"/>
      <c r="D245" s="475"/>
      <c r="E245" s="476"/>
      <c r="F245" s="475"/>
      <c r="G245" s="454"/>
      <c r="H245" s="454"/>
      <c r="I245" s="454"/>
      <c r="J245" s="454"/>
      <c r="K245" s="454"/>
      <c r="L245" s="454"/>
      <c r="M245" s="454"/>
      <c r="N245" s="454"/>
      <c r="O245" s="454"/>
      <c r="P245" s="454"/>
      <c r="Q245" s="454"/>
      <c r="R245" s="454"/>
      <c r="S245" s="454"/>
      <c r="T245" s="454"/>
      <c r="U245" s="454"/>
      <c r="V245" s="454"/>
      <c r="W245" s="454"/>
      <c r="X245" s="454"/>
      <c r="Y245" s="454"/>
      <c r="Z245" s="454"/>
    </row>
    <row r="246" spans="1:26" ht="15.75" customHeight="1" x14ac:dyDescent="0.25">
      <c r="A246" s="454"/>
      <c r="B246" s="475"/>
      <c r="C246" s="475"/>
      <c r="D246" s="475"/>
      <c r="E246" s="476"/>
      <c r="F246" s="475"/>
      <c r="G246" s="454"/>
      <c r="H246" s="454"/>
      <c r="I246" s="454"/>
      <c r="J246" s="454"/>
      <c r="K246" s="454"/>
      <c r="L246" s="454"/>
      <c r="M246" s="454"/>
      <c r="N246" s="454"/>
      <c r="O246" s="454"/>
      <c r="P246" s="454"/>
      <c r="Q246" s="454"/>
      <c r="R246" s="454"/>
      <c r="S246" s="454"/>
      <c r="T246" s="454"/>
      <c r="U246" s="454"/>
      <c r="V246" s="454"/>
      <c r="W246" s="454"/>
      <c r="X246" s="454"/>
      <c r="Y246" s="454"/>
      <c r="Z246" s="454"/>
    </row>
    <row r="247" spans="1:26" ht="15.75" customHeight="1" x14ac:dyDescent="0.25">
      <c r="A247" s="454"/>
      <c r="B247" s="475"/>
      <c r="C247" s="475"/>
      <c r="D247" s="475"/>
      <c r="E247" s="476"/>
      <c r="F247" s="475"/>
      <c r="G247" s="454"/>
      <c r="H247" s="454"/>
      <c r="I247" s="454"/>
      <c r="J247" s="454"/>
      <c r="K247" s="454"/>
      <c r="L247" s="454"/>
      <c r="M247" s="454"/>
      <c r="N247" s="454"/>
      <c r="O247" s="454"/>
      <c r="P247" s="454"/>
      <c r="Q247" s="454"/>
      <c r="R247" s="454"/>
      <c r="S247" s="454"/>
      <c r="T247" s="454"/>
      <c r="U247" s="454"/>
      <c r="V247" s="454"/>
      <c r="W247" s="454"/>
      <c r="X247" s="454"/>
      <c r="Y247" s="454"/>
      <c r="Z247" s="454"/>
    </row>
    <row r="248" spans="1:26" ht="15.75" customHeight="1" x14ac:dyDescent="0.25">
      <c r="A248" s="454"/>
      <c r="B248" s="475"/>
      <c r="C248" s="475"/>
      <c r="D248" s="475"/>
      <c r="E248" s="476"/>
      <c r="F248" s="475"/>
      <c r="G248" s="454"/>
      <c r="H248" s="454"/>
      <c r="I248" s="454"/>
      <c r="J248" s="454"/>
      <c r="K248" s="454"/>
      <c r="L248" s="454"/>
      <c r="M248" s="454"/>
      <c r="N248" s="454"/>
      <c r="O248" s="454"/>
      <c r="P248" s="454"/>
      <c r="Q248" s="454"/>
      <c r="R248" s="454"/>
      <c r="S248" s="454"/>
      <c r="T248" s="454"/>
      <c r="U248" s="454"/>
      <c r="V248" s="454"/>
      <c r="W248" s="454"/>
      <c r="X248" s="454"/>
      <c r="Y248" s="454"/>
      <c r="Z248" s="454"/>
    </row>
    <row r="249" spans="1:26" ht="15.75" customHeight="1" x14ac:dyDescent="0.25">
      <c r="A249" s="454"/>
      <c r="B249" s="475"/>
      <c r="C249" s="475"/>
      <c r="D249" s="475"/>
      <c r="E249" s="476"/>
      <c r="F249" s="475"/>
      <c r="G249" s="454"/>
      <c r="H249" s="454"/>
      <c r="I249" s="454"/>
      <c r="J249" s="454"/>
      <c r="K249" s="454"/>
      <c r="L249" s="454"/>
      <c r="M249" s="454"/>
      <c r="N249" s="454"/>
      <c r="O249" s="454"/>
      <c r="P249" s="454"/>
      <c r="Q249" s="454"/>
      <c r="R249" s="454"/>
      <c r="S249" s="454"/>
      <c r="T249" s="454"/>
      <c r="U249" s="454"/>
      <c r="V249" s="454"/>
      <c r="W249" s="454"/>
      <c r="X249" s="454"/>
      <c r="Y249" s="454"/>
      <c r="Z249" s="454"/>
    </row>
    <row r="250" spans="1:26" ht="15.75" customHeight="1" x14ac:dyDescent="0.25">
      <c r="A250" s="454"/>
      <c r="B250" s="475"/>
      <c r="C250" s="475"/>
      <c r="D250" s="475"/>
      <c r="E250" s="476"/>
      <c r="F250" s="475"/>
      <c r="G250" s="454"/>
      <c r="H250" s="454"/>
      <c r="I250" s="454"/>
      <c r="J250" s="454"/>
      <c r="K250" s="454"/>
      <c r="L250" s="454"/>
      <c r="M250" s="454"/>
      <c r="N250" s="454"/>
      <c r="O250" s="454"/>
      <c r="P250" s="454"/>
      <c r="Q250" s="454"/>
      <c r="R250" s="454"/>
      <c r="S250" s="454"/>
      <c r="T250" s="454"/>
      <c r="U250" s="454"/>
      <c r="V250" s="454"/>
      <c r="W250" s="454"/>
      <c r="X250" s="454"/>
      <c r="Y250" s="454"/>
      <c r="Z250" s="454"/>
    </row>
    <row r="251" spans="1:26" ht="15.75" customHeight="1" x14ac:dyDescent="0.25">
      <c r="A251" s="454"/>
      <c r="B251" s="475"/>
      <c r="C251" s="475"/>
      <c r="D251" s="475"/>
      <c r="E251" s="476"/>
      <c r="F251" s="475"/>
      <c r="G251" s="454"/>
      <c r="H251" s="454"/>
      <c r="I251" s="454"/>
      <c r="J251" s="454"/>
      <c r="K251" s="454"/>
      <c r="L251" s="454"/>
      <c r="M251" s="454"/>
      <c r="N251" s="454"/>
      <c r="O251" s="454"/>
      <c r="P251" s="454"/>
      <c r="Q251" s="454"/>
      <c r="R251" s="454"/>
      <c r="S251" s="454"/>
      <c r="T251" s="454"/>
      <c r="U251" s="454"/>
      <c r="V251" s="454"/>
      <c r="W251" s="454"/>
      <c r="X251" s="454"/>
      <c r="Y251" s="454"/>
      <c r="Z251" s="454"/>
    </row>
    <row r="252" spans="1:26" ht="15.75" customHeight="1" x14ac:dyDescent="0.25">
      <c r="A252" s="454"/>
      <c r="B252" s="475"/>
      <c r="C252" s="475"/>
      <c r="D252" s="475"/>
      <c r="E252" s="476"/>
      <c r="F252" s="475"/>
      <c r="G252" s="454"/>
      <c r="H252" s="454"/>
      <c r="I252" s="454"/>
      <c r="J252" s="454"/>
      <c r="K252" s="454"/>
      <c r="L252" s="454"/>
      <c r="M252" s="454"/>
      <c r="N252" s="454"/>
      <c r="O252" s="454"/>
      <c r="P252" s="454"/>
      <c r="Q252" s="454"/>
      <c r="R252" s="454"/>
      <c r="S252" s="454"/>
      <c r="T252" s="454"/>
      <c r="U252" s="454"/>
      <c r="V252" s="454"/>
      <c r="W252" s="454"/>
      <c r="X252" s="454"/>
      <c r="Y252" s="454"/>
      <c r="Z252" s="454"/>
    </row>
    <row r="253" spans="1:26" ht="15.75" customHeight="1" x14ac:dyDescent="0.25">
      <c r="A253" s="454"/>
      <c r="B253" s="475"/>
      <c r="C253" s="475"/>
      <c r="D253" s="475"/>
      <c r="E253" s="476"/>
      <c r="F253" s="475"/>
      <c r="G253" s="454"/>
      <c r="H253" s="454"/>
      <c r="I253" s="454"/>
      <c r="J253" s="454"/>
      <c r="K253" s="454"/>
      <c r="L253" s="454"/>
      <c r="M253" s="454"/>
      <c r="N253" s="454"/>
      <c r="O253" s="454"/>
      <c r="P253" s="454"/>
      <c r="Q253" s="454"/>
      <c r="R253" s="454"/>
      <c r="S253" s="454"/>
      <c r="T253" s="454"/>
      <c r="U253" s="454"/>
      <c r="V253" s="454"/>
      <c r="W253" s="454"/>
      <c r="X253" s="454"/>
      <c r="Y253" s="454"/>
      <c r="Z253" s="454"/>
    </row>
    <row r="254" spans="1:26" ht="15.75" customHeight="1" x14ac:dyDescent="0.25">
      <c r="A254" s="454"/>
      <c r="B254" s="475"/>
      <c r="C254" s="475"/>
      <c r="D254" s="475"/>
      <c r="E254" s="476"/>
      <c r="F254" s="475"/>
      <c r="G254" s="454"/>
      <c r="H254" s="454"/>
      <c r="I254" s="454"/>
      <c r="J254" s="454"/>
      <c r="K254" s="454"/>
      <c r="L254" s="454"/>
      <c r="M254" s="454"/>
      <c r="N254" s="454"/>
      <c r="O254" s="454"/>
      <c r="P254" s="454"/>
      <c r="Q254" s="454"/>
      <c r="R254" s="454"/>
      <c r="S254" s="454"/>
      <c r="T254" s="454"/>
      <c r="U254" s="454"/>
      <c r="V254" s="454"/>
      <c r="W254" s="454"/>
      <c r="X254" s="454"/>
      <c r="Y254" s="454"/>
      <c r="Z254" s="454"/>
    </row>
    <row r="255" spans="1:26" ht="15.75" customHeight="1" x14ac:dyDescent="0.25">
      <c r="A255" s="454"/>
      <c r="B255" s="475"/>
      <c r="C255" s="475"/>
      <c r="D255" s="475"/>
      <c r="E255" s="476"/>
      <c r="F255" s="475"/>
      <c r="G255" s="454"/>
      <c r="H255" s="454"/>
      <c r="I255" s="454"/>
      <c r="J255" s="454"/>
      <c r="K255" s="454"/>
      <c r="L255" s="454"/>
      <c r="M255" s="454"/>
      <c r="N255" s="454"/>
      <c r="O255" s="454"/>
      <c r="P255" s="454"/>
      <c r="Q255" s="454"/>
      <c r="R255" s="454"/>
      <c r="S255" s="454"/>
      <c r="T255" s="454"/>
      <c r="U255" s="454"/>
      <c r="V255" s="454"/>
      <c r="W255" s="454"/>
      <c r="X255" s="454"/>
      <c r="Y255" s="454"/>
      <c r="Z255" s="454"/>
    </row>
    <row r="256" spans="1:26" ht="15.75" customHeight="1" x14ac:dyDescent="0.25">
      <c r="A256" s="454"/>
      <c r="B256" s="475"/>
      <c r="C256" s="475"/>
      <c r="D256" s="475"/>
      <c r="E256" s="476"/>
      <c r="F256" s="475"/>
      <c r="G256" s="454"/>
      <c r="H256" s="454"/>
      <c r="I256" s="454"/>
      <c r="J256" s="454"/>
      <c r="K256" s="454"/>
      <c r="L256" s="454"/>
      <c r="M256" s="454"/>
      <c r="N256" s="454"/>
      <c r="O256" s="454"/>
      <c r="P256" s="454"/>
      <c r="Q256" s="454"/>
      <c r="R256" s="454"/>
      <c r="S256" s="454"/>
      <c r="T256" s="454"/>
      <c r="U256" s="454"/>
      <c r="V256" s="454"/>
      <c r="W256" s="454"/>
      <c r="X256" s="454"/>
      <c r="Y256" s="454"/>
      <c r="Z256" s="454"/>
    </row>
    <row r="257" spans="1:26" ht="15.75" customHeight="1" x14ac:dyDescent="0.25">
      <c r="A257" s="454"/>
      <c r="B257" s="475"/>
      <c r="C257" s="475"/>
      <c r="D257" s="475"/>
      <c r="E257" s="476"/>
      <c r="F257" s="475"/>
      <c r="G257" s="454"/>
      <c r="H257" s="454"/>
      <c r="I257" s="454"/>
      <c r="J257" s="454"/>
      <c r="K257" s="454"/>
      <c r="L257" s="454"/>
      <c r="M257" s="454"/>
      <c r="N257" s="454"/>
      <c r="O257" s="454"/>
      <c r="P257" s="454"/>
      <c r="Q257" s="454"/>
      <c r="R257" s="454"/>
      <c r="S257" s="454"/>
      <c r="T257" s="454"/>
      <c r="U257" s="454"/>
      <c r="V257" s="454"/>
      <c r="W257" s="454"/>
      <c r="X257" s="454"/>
      <c r="Y257" s="454"/>
      <c r="Z257" s="454"/>
    </row>
    <row r="258" spans="1:26" ht="15.75" customHeight="1" x14ac:dyDescent="0.25">
      <c r="A258" s="454"/>
      <c r="B258" s="475"/>
      <c r="C258" s="475"/>
      <c r="D258" s="475"/>
      <c r="E258" s="476"/>
      <c r="F258" s="475"/>
      <c r="G258" s="454"/>
      <c r="H258" s="454"/>
      <c r="I258" s="454"/>
      <c r="J258" s="454"/>
      <c r="K258" s="454"/>
      <c r="L258" s="454"/>
      <c r="M258" s="454"/>
      <c r="N258" s="454"/>
      <c r="O258" s="454"/>
      <c r="P258" s="454"/>
      <c r="Q258" s="454"/>
      <c r="R258" s="454"/>
      <c r="S258" s="454"/>
      <c r="T258" s="454"/>
      <c r="U258" s="454"/>
      <c r="V258" s="454"/>
      <c r="W258" s="454"/>
      <c r="X258" s="454"/>
      <c r="Y258" s="454"/>
      <c r="Z258" s="454"/>
    </row>
    <row r="259" spans="1:26" ht="15.75" customHeight="1" x14ac:dyDescent="0.25">
      <c r="A259" s="454"/>
      <c r="B259" s="475"/>
      <c r="C259" s="475"/>
      <c r="D259" s="475"/>
      <c r="E259" s="476"/>
      <c r="F259" s="475"/>
      <c r="G259" s="454"/>
      <c r="H259" s="454"/>
      <c r="I259" s="454"/>
      <c r="J259" s="454"/>
      <c r="K259" s="454"/>
      <c r="L259" s="454"/>
      <c r="M259" s="454"/>
      <c r="N259" s="454"/>
      <c r="O259" s="454"/>
      <c r="P259" s="454"/>
      <c r="Q259" s="454"/>
      <c r="R259" s="454"/>
      <c r="S259" s="454"/>
      <c r="T259" s="454"/>
      <c r="U259" s="454"/>
      <c r="V259" s="454"/>
      <c r="W259" s="454"/>
      <c r="X259" s="454"/>
      <c r="Y259" s="454"/>
      <c r="Z259" s="454"/>
    </row>
    <row r="260" spans="1:26" ht="15.75" customHeight="1" x14ac:dyDescent="0.25">
      <c r="A260" s="454"/>
      <c r="B260" s="475"/>
      <c r="C260" s="475"/>
      <c r="D260" s="475"/>
      <c r="E260" s="476"/>
      <c r="F260" s="475"/>
      <c r="G260" s="454"/>
      <c r="H260" s="454"/>
      <c r="I260" s="454"/>
      <c r="J260" s="454"/>
      <c r="K260" s="454"/>
      <c r="L260" s="454"/>
      <c r="M260" s="454"/>
      <c r="N260" s="454"/>
      <c r="O260" s="454"/>
      <c r="P260" s="454"/>
      <c r="Q260" s="454"/>
      <c r="R260" s="454"/>
      <c r="S260" s="454"/>
      <c r="T260" s="454"/>
      <c r="U260" s="454"/>
      <c r="V260" s="454"/>
      <c r="W260" s="454"/>
      <c r="X260" s="454"/>
      <c r="Y260" s="454"/>
      <c r="Z260" s="454"/>
    </row>
    <row r="261" spans="1:26" ht="15.75" customHeight="1" x14ac:dyDescent="0.25">
      <c r="A261" s="454"/>
      <c r="B261" s="475"/>
      <c r="C261" s="475"/>
      <c r="D261" s="475"/>
      <c r="E261" s="476"/>
      <c r="F261" s="475"/>
      <c r="G261" s="454"/>
      <c r="H261" s="454"/>
      <c r="I261" s="454"/>
      <c r="J261" s="454"/>
      <c r="K261" s="454"/>
      <c r="L261" s="454"/>
      <c r="M261" s="454"/>
      <c r="N261" s="454"/>
      <c r="O261" s="454"/>
      <c r="P261" s="454"/>
      <c r="Q261" s="454"/>
      <c r="R261" s="454"/>
      <c r="S261" s="454"/>
      <c r="T261" s="454"/>
      <c r="U261" s="454"/>
      <c r="V261" s="454"/>
      <c r="W261" s="454"/>
      <c r="X261" s="454"/>
      <c r="Y261" s="454"/>
      <c r="Z261" s="454"/>
    </row>
    <row r="262" spans="1:26" ht="15.75" customHeight="1" x14ac:dyDescent="0.25">
      <c r="A262" s="454"/>
      <c r="B262" s="475"/>
      <c r="C262" s="475"/>
      <c r="D262" s="475"/>
      <c r="E262" s="476"/>
      <c r="F262" s="475"/>
      <c r="G262" s="454"/>
      <c r="H262" s="454"/>
      <c r="I262" s="454"/>
      <c r="J262" s="454"/>
      <c r="K262" s="454"/>
      <c r="L262" s="454"/>
      <c r="M262" s="454"/>
      <c r="N262" s="454"/>
      <c r="O262" s="454"/>
      <c r="P262" s="454"/>
      <c r="Q262" s="454"/>
      <c r="R262" s="454"/>
      <c r="S262" s="454"/>
      <c r="T262" s="454"/>
      <c r="U262" s="454"/>
      <c r="V262" s="454"/>
      <c r="W262" s="454"/>
      <c r="X262" s="454"/>
      <c r="Y262" s="454"/>
      <c r="Z262" s="454"/>
    </row>
    <row r="263" spans="1:26" ht="15.75" customHeight="1" x14ac:dyDescent="0.25">
      <c r="A263" s="454"/>
      <c r="B263" s="475"/>
      <c r="C263" s="475"/>
      <c r="D263" s="475"/>
      <c r="E263" s="476"/>
      <c r="F263" s="475"/>
      <c r="G263" s="454"/>
      <c r="H263" s="454"/>
      <c r="I263" s="454"/>
      <c r="J263" s="454"/>
      <c r="K263" s="454"/>
      <c r="L263" s="454"/>
      <c r="M263" s="454"/>
      <c r="N263" s="454"/>
      <c r="O263" s="454"/>
      <c r="P263" s="454"/>
      <c r="Q263" s="454"/>
      <c r="R263" s="454"/>
      <c r="S263" s="454"/>
      <c r="T263" s="454"/>
      <c r="U263" s="454"/>
      <c r="V263" s="454"/>
      <c r="W263" s="454"/>
      <c r="X263" s="454"/>
      <c r="Y263" s="454"/>
      <c r="Z263" s="454"/>
    </row>
    <row r="264" spans="1:26" ht="15.75" customHeight="1" x14ac:dyDescent="0.25">
      <c r="A264" s="454"/>
      <c r="B264" s="475"/>
      <c r="C264" s="475"/>
      <c r="D264" s="475"/>
      <c r="E264" s="476"/>
      <c r="F264" s="475"/>
      <c r="G264" s="454"/>
      <c r="H264" s="454"/>
      <c r="I264" s="454"/>
      <c r="J264" s="454"/>
      <c r="K264" s="454"/>
      <c r="L264" s="454"/>
      <c r="M264" s="454"/>
      <c r="N264" s="454"/>
      <c r="O264" s="454"/>
      <c r="P264" s="454"/>
      <c r="Q264" s="454"/>
      <c r="R264" s="454"/>
      <c r="S264" s="454"/>
      <c r="T264" s="454"/>
      <c r="U264" s="454"/>
      <c r="V264" s="454"/>
      <c r="W264" s="454"/>
      <c r="X264" s="454"/>
      <c r="Y264" s="454"/>
      <c r="Z264" s="454"/>
    </row>
    <row r="265" spans="1:26" ht="15.75" customHeight="1" x14ac:dyDescent="0.25">
      <c r="A265" s="454"/>
      <c r="B265" s="475"/>
      <c r="C265" s="475"/>
      <c r="D265" s="475"/>
      <c r="E265" s="476"/>
      <c r="F265" s="475"/>
      <c r="G265" s="454"/>
      <c r="H265" s="454"/>
      <c r="I265" s="454"/>
      <c r="J265" s="454"/>
      <c r="K265" s="454"/>
      <c r="L265" s="454"/>
      <c r="M265" s="454"/>
      <c r="N265" s="454"/>
      <c r="O265" s="454"/>
      <c r="P265" s="454"/>
      <c r="Q265" s="454"/>
      <c r="R265" s="454"/>
      <c r="S265" s="454"/>
      <c r="T265" s="454"/>
      <c r="U265" s="454"/>
      <c r="V265" s="454"/>
      <c r="W265" s="454"/>
      <c r="X265" s="454"/>
      <c r="Y265" s="454"/>
      <c r="Z265" s="454"/>
    </row>
    <row r="266" spans="1:26" ht="15.75" customHeight="1" x14ac:dyDescent="0.25">
      <c r="A266" s="454"/>
      <c r="B266" s="475"/>
      <c r="C266" s="475"/>
      <c r="D266" s="475"/>
      <c r="E266" s="476"/>
      <c r="F266" s="475"/>
      <c r="G266" s="454"/>
      <c r="H266" s="454"/>
      <c r="I266" s="454"/>
      <c r="J266" s="454"/>
      <c r="K266" s="454"/>
      <c r="L266" s="454"/>
      <c r="M266" s="454"/>
      <c r="N266" s="454"/>
      <c r="O266" s="454"/>
      <c r="P266" s="454"/>
      <c r="Q266" s="454"/>
      <c r="R266" s="454"/>
      <c r="S266" s="454"/>
      <c r="T266" s="454"/>
      <c r="U266" s="454"/>
      <c r="V266" s="454"/>
      <c r="W266" s="454"/>
      <c r="X266" s="454"/>
      <c r="Y266" s="454"/>
      <c r="Z266" s="454"/>
    </row>
    <row r="267" spans="1:26" ht="15.75" customHeight="1" x14ac:dyDescent="0.25">
      <c r="A267" s="454"/>
      <c r="B267" s="475"/>
      <c r="C267" s="475"/>
      <c r="D267" s="475"/>
      <c r="E267" s="476"/>
      <c r="F267" s="475"/>
      <c r="G267" s="454"/>
      <c r="H267" s="454"/>
      <c r="I267" s="454"/>
      <c r="J267" s="454"/>
      <c r="K267" s="454"/>
      <c r="L267" s="454"/>
      <c r="M267" s="454"/>
      <c r="N267" s="454"/>
      <c r="O267" s="454"/>
      <c r="P267" s="454"/>
      <c r="Q267" s="454"/>
      <c r="R267" s="454"/>
      <c r="S267" s="454"/>
      <c r="T267" s="454"/>
      <c r="U267" s="454"/>
      <c r="V267" s="454"/>
      <c r="W267" s="454"/>
      <c r="X267" s="454"/>
      <c r="Y267" s="454"/>
      <c r="Z267" s="454"/>
    </row>
    <row r="268" spans="1:26" ht="15.75" customHeight="1" x14ac:dyDescent="0.25">
      <c r="A268" s="454"/>
      <c r="B268" s="475"/>
      <c r="C268" s="475"/>
      <c r="D268" s="475"/>
      <c r="E268" s="476"/>
      <c r="F268" s="475"/>
      <c r="G268" s="454"/>
      <c r="H268" s="454"/>
      <c r="I268" s="454"/>
      <c r="J268" s="454"/>
      <c r="K268" s="454"/>
      <c r="L268" s="454"/>
      <c r="M268" s="454"/>
      <c r="N268" s="454"/>
      <c r="O268" s="454"/>
      <c r="P268" s="454"/>
      <c r="Q268" s="454"/>
      <c r="R268" s="454"/>
      <c r="S268" s="454"/>
      <c r="T268" s="454"/>
      <c r="U268" s="454"/>
      <c r="V268" s="454"/>
      <c r="W268" s="454"/>
      <c r="X268" s="454"/>
      <c r="Y268" s="454"/>
      <c r="Z268" s="454"/>
    </row>
    <row r="269" spans="1:26" ht="15.75" customHeight="1" x14ac:dyDescent="0.25">
      <c r="A269" s="454"/>
      <c r="B269" s="475"/>
      <c r="C269" s="475"/>
      <c r="D269" s="475"/>
      <c r="E269" s="476"/>
      <c r="F269" s="475"/>
      <c r="G269" s="454"/>
      <c r="H269" s="454"/>
      <c r="I269" s="454"/>
      <c r="J269" s="454"/>
      <c r="K269" s="454"/>
      <c r="L269" s="454"/>
      <c r="M269" s="454"/>
      <c r="N269" s="454"/>
      <c r="O269" s="454"/>
      <c r="P269" s="454"/>
      <c r="Q269" s="454"/>
      <c r="R269" s="454"/>
      <c r="S269" s="454"/>
      <c r="T269" s="454"/>
      <c r="U269" s="454"/>
      <c r="V269" s="454"/>
      <c r="W269" s="454"/>
      <c r="X269" s="454"/>
      <c r="Y269" s="454"/>
      <c r="Z269" s="454"/>
    </row>
    <row r="270" spans="1:26" ht="15.75" customHeight="1" x14ac:dyDescent="0.25">
      <c r="A270" s="454"/>
      <c r="B270" s="475"/>
      <c r="C270" s="475"/>
      <c r="D270" s="475"/>
      <c r="E270" s="476"/>
      <c r="F270" s="475"/>
      <c r="G270" s="454"/>
      <c r="H270" s="454"/>
      <c r="I270" s="454"/>
      <c r="J270" s="454"/>
      <c r="K270" s="454"/>
      <c r="L270" s="454"/>
      <c r="M270" s="454"/>
      <c r="N270" s="454"/>
      <c r="O270" s="454"/>
      <c r="P270" s="454"/>
      <c r="Q270" s="454"/>
      <c r="R270" s="454"/>
      <c r="S270" s="454"/>
      <c r="T270" s="454"/>
      <c r="U270" s="454"/>
      <c r="V270" s="454"/>
      <c r="W270" s="454"/>
      <c r="X270" s="454"/>
      <c r="Y270" s="454"/>
      <c r="Z270" s="454"/>
    </row>
    <row r="271" spans="1:26" ht="15.75" customHeight="1" x14ac:dyDescent="0.25">
      <c r="A271" s="454"/>
      <c r="B271" s="475"/>
      <c r="C271" s="475"/>
      <c r="D271" s="475"/>
      <c r="E271" s="476"/>
      <c r="F271" s="475"/>
      <c r="G271" s="454"/>
      <c r="H271" s="454"/>
      <c r="I271" s="454"/>
      <c r="J271" s="454"/>
      <c r="K271" s="454"/>
      <c r="L271" s="454"/>
      <c r="M271" s="454"/>
      <c r="N271" s="454"/>
      <c r="O271" s="454"/>
      <c r="P271" s="454"/>
      <c r="Q271" s="454"/>
      <c r="R271" s="454"/>
      <c r="S271" s="454"/>
      <c r="T271" s="454"/>
      <c r="U271" s="454"/>
      <c r="V271" s="454"/>
      <c r="W271" s="454"/>
      <c r="X271" s="454"/>
      <c r="Y271" s="454"/>
      <c r="Z271" s="454"/>
    </row>
    <row r="272" spans="1:26" ht="15.75" customHeight="1" x14ac:dyDescent="0.25">
      <c r="A272" s="454"/>
      <c r="B272" s="475"/>
      <c r="C272" s="475"/>
      <c r="D272" s="475"/>
      <c r="E272" s="476"/>
      <c r="F272" s="475"/>
      <c r="G272" s="454"/>
      <c r="H272" s="454"/>
      <c r="I272" s="454"/>
      <c r="J272" s="454"/>
      <c r="K272" s="454"/>
      <c r="L272" s="454"/>
      <c r="M272" s="454"/>
      <c r="N272" s="454"/>
      <c r="O272" s="454"/>
      <c r="P272" s="454"/>
      <c r="Q272" s="454"/>
      <c r="R272" s="454"/>
      <c r="S272" s="454"/>
      <c r="T272" s="454"/>
      <c r="U272" s="454"/>
      <c r="V272" s="454"/>
      <c r="W272" s="454"/>
      <c r="X272" s="454"/>
      <c r="Y272" s="454"/>
      <c r="Z272" s="454"/>
    </row>
    <row r="273" spans="1:26" ht="15.75" customHeight="1" x14ac:dyDescent="0.25">
      <c r="A273" s="454"/>
      <c r="B273" s="475"/>
      <c r="C273" s="475"/>
      <c r="D273" s="475"/>
      <c r="E273" s="476"/>
      <c r="F273" s="475"/>
      <c r="G273" s="454"/>
      <c r="H273" s="454"/>
      <c r="I273" s="454"/>
      <c r="J273" s="454"/>
      <c r="K273" s="454"/>
      <c r="L273" s="454"/>
      <c r="M273" s="454"/>
      <c r="N273" s="454"/>
      <c r="O273" s="454"/>
      <c r="P273" s="454"/>
      <c r="Q273" s="454"/>
      <c r="R273" s="454"/>
      <c r="S273" s="454"/>
      <c r="T273" s="454"/>
      <c r="U273" s="454"/>
      <c r="V273" s="454"/>
      <c r="W273" s="454"/>
      <c r="X273" s="454"/>
      <c r="Y273" s="454"/>
      <c r="Z273" s="454"/>
    </row>
    <row r="274" spans="1:26" ht="15.75" customHeight="1" x14ac:dyDescent="0.25">
      <c r="A274" s="454"/>
      <c r="B274" s="475"/>
      <c r="C274" s="475"/>
      <c r="D274" s="475"/>
      <c r="E274" s="476"/>
      <c r="F274" s="475"/>
      <c r="G274" s="454"/>
      <c r="H274" s="454"/>
      <c r="I274" s="454"/>
      <c r="J274" s="454"/>
      <c r="K274" s="454"/>
      <c r="L274" s="454"/>
      <c r="M274" s="454"/>
      <c r="N274" s="454"/>
      <c r="O274" s="454"/>
      <c r="P274" s="454"/>
      <c r="Q274" s="454"/>
      <c r="R274" s="454"/>
      <c r="S274" s="454"/>
      <c r="T274" s="454"/>
      <c r="U274" s="454"/>
      <c r="V274" s="454"/>
      <c r="W274" s="454"/>
      <c r="X274" s="454"/>
      <c r="Y274" s="454"/>
      <c r="Z274" s="454"/>
    </row>
    <row r="275" spans="1:26" ht="15.75" customHeight="1" x14ac:dyDescent="0.25">
      <c r="A275" s="454"/>
      <c r="B275" s="475"/>
      <c r="C275" s="475"/>
      <c r="D275" s="475"/>
      <c r="E275" s="476"/>
      <c r="F275" s="475"/>
      <c r="G275" s="454"/>
      <c r="H275" s="454"/>
      <c r="I275" s="454"/>
      <c r="J275" s="454"/>
      <c r="K275" s="454"/>
      <c r="L275" s="454"/>
      <c r="M275" s="454"/>
      <c r="N275" s="454"/>
      <c r="O275" s="454"/>
      <c r="P275" s="454"/>
      <c r="Q275" s="454"/>
      <c r="R275" s="454"/>
      <c r="S275" s="454"/>
      <c r="T275" s="454"/>
      <c r="U275" s="454"/>
      <c r="V275" s="454"/>
      <c r="W275" s="454"/>
      <c r="X275" s="454"/>
      <c r="Y275" s="454"/>
      <c r="Z275" s="454"/>
    </row>
    <row r="276" spans="1:26" ht="15.75" customHeight="1" x14ac:dyDescent="0.25">
      <c r="A276" s="454"/>
      <c r="B276" s="475"/>
      <c r="C276" s="475"/>
      <c r="D276" s="475"/>
      <c r="E276" s="476"/>
      <c r="F276" s="475"/>
      <c r="G276" s="454"/>
      <c r="H276" s="454"/>
      <c r="I276" s="454"/>
      <c r="J276" s="454"/>
      <c r="K276" s="454"/>
      <c r="L276" s="454"/>
      <c r="M276" s="454"/>
      <c r="N276" s="454"/>
      <c r="O276" s="454"/>
      <c r="P276" s="454"/>
      <c r="Q276" s="454"/>
      <c r="R276" s="454"/>
      <c r="S276" s="454"/>
      <c r="T276" s="454"/>
      <c r="U276" s="454"/>
      <c r="V276" s="454"/>
      <c r="W276" s="454"/>
      <c r="X276" s="454"/>
      <c r="Y276" s="454"/>
      <c r="Z276" s="454"/>
    </row>
    <row r="277" spans="1:26" ht="15.75" customHeight="1" x14ac:dyDescent="0.25">
      <c r="A277" s="454"/>
      <c r="B277" s="475"/>
      <c r="C277" s="475"/>
      <c r="D277" s="475"/>
      <c r="E277" s="476"/>
      <c r="F277" s="475"/>
      <c r="G277" s="454"/>
      <c r="H277" s="454"/>
      <c r="I277" s="454"/>
      <c r="J277" s="454"/>
      <c r="K277" s="454"/>
      <c r="L277" s="454"/>
      <c r="M277" s="454"/>
      <c r="N277" s="454"/>
      <c r="O277" s="454"/>
      <c r="P277" s="454"/>
      <c r="Q277" s="454"/>
      <c r="R277" s="454"/>
      <c r="S277" s="454"/>
      <c r="T277" s="454"/>
      <c r="U277" s="454"/>
      <c r="V277" s="454"/>
      <c r="W277" s="454"/>
      <c r="X277" s="454"/>
      <c r="Y277" s="454"/>
      <c r="Z277" s="454"/>
    </row>
    <row r="278" spans="1:26" ht="15.75" customHeight="1" x14ac:dyDescent="0.25">
      <c r="A278" s="454"/>
      <c r="B278" s="475"/>
      <c r="C278" s="475"/>
      <c r="D278" s="475"/>
      <c r="E278" s="476"/>
      <c r="F278" s="475"/>
      <c r="G278" s="454"/>
      <c r="H278" s="454"/>
      <c r="I278" s="454"/>
      <c r="J278" s="454"/>
      <c r="K278" s="454"/>
      <c r="L278" s="454"/>
      <c r="M278" s="454"/>
      <c r="N278" s="454"/>
      <c r="O278" s="454"/>
      <c r="P278" s="454"/>
      <c r="Q278" s="454"/>
      <c r="R278" s="454"/>
      <c r="S278" s="454"/>
      <c r="T278" s="454"/>
      <c r="U278" s="454"/>
      <c r="V278" s="454"/>
      <c r="W278" s="454"/>
      <c r="X278" s="454"/>
      <c r="Y278" s="454"/>
      <c r="Z278" s="454"/>
    </row>
    <row r="279" spans="1:26" ht="15.75" customHeight="1" x14ac:dyDescent="0.25">
      <c r="A279" s="454"/>
      <c r="B279" s="475"/>
      <c r="C279" s="475"/>
      <c r="D279" s="475"/>
      <c r="E279" s="476"/>
      <c r="F279" s="475"/>
      <c r="G279" s="454"/>
      <c r="H279" s="454"/>
      <c r="I279" s="454"/>
      <c r="J279" s="454"/>
      <c r="K279" s="454"/>
      <c r="L279" s="454"/>
      <c r="M279" s="454"/>
      <c r="N279" s="454"/>
      <c r="O279" s="454"/>
      <c r="P279" s="454"/>
      <c r="Q279" s="454"/>
      <c r="R279" s="454"/>
      <c r="S279" s="454"/>
      <c r="T279" s="454"/>
      <c r="U279" s="454"/>
      <c r="V279" s="454"/>
      <c r="W279" s="454"/>
      <c r="X279" s="454"/>
      <c r="Y279" s="454"/>
      <c r="Z279" s="454"/>
    </row>
    <row r="280" spans="1:26" ht="15.75" customHeight="1" x14ac:dyDescent="0.25">
      <c r="A280" s="454"/>
      <c r="B280" s="475"/>
      <c r="C280" s="475"/>
      <c r="D280" s="475"/>
      <c r="E280" s="476"/>
      <c r="F280" s="475"/>
      <c r="G280" s="454"/>
      <c r="H280" s="454"/>
      <c r="I280" s="454"/>
      <c r="J280" s="454"/>
      <c r="K280" s="454"/>
      <c r="L280" s="454"/>
      <c r="M280" s="454"/>
      <c r="N280" s="454"/>
      <c r="O280" s="454"/>
      <c r="P280" s="454"/>
      <c r="Q280" s="454"/>
      <c r="R280" s="454"/>
      <c r="S280" s="454"/>
      <c r="T280" s="454"/>
      <c r="U280" s="454"/>
      <c r="V280" s="454"/>
      <c r="W280" s="454"/>
      <c r="X280" s="454"/>
      <c r="Y280" s="454"/>
      <c r="Z280" s="454"/>
    </row>
    <row r="281" spans="1:26" ht="15.75" customHeight="1" x14ac:dyDescent="0.25">
      <c r="A281" s="454"/>
      <c r="B281" s="475"/>
      <c r="C281" s="475"/>
      <c r="D281" s="475"/>
      <c r="E281" s="476"/>
      <c r="F281" s="475"/>
      <c r="G281" s="454"/>
      <c r="H281" s="454"/>
      <c r="I281" s="454"/>
      <c r="J281" s="454"/>
      <c r="K281" s="454"/>
      <c r="L281" s="454"/>
      <c r="M281" s="454"/>
      <c r="N281" s="454"/>
      <c r="O281" s="454"/>
      <c r="P281" s="454"/>
      <c r="Q281" s="454"/>
      <c r="R281" s="454"/>
      <c r="S281" s="454"/>
      <c r="T281" s="454"/>
      <c r="U281" s="454"/>
      <c r="V281" s="454"/>
      <c r="W281" s="454"/>
      <c r="X281" s="454"/>
      <c r="Y281" s="454"/>
      <c r="Z281" s="454"/>
    </row>
    <row r="282" spans="1:26" ht="15.75" customHeight="1" x14ac:dyDescent="0.25">
      <c r="A282" s="454"/>
      <c r="B282" s="475"/>
      <c r="C282" s="475"/>
      <c r="D282" s="475"/>
      <c r="E282" s="476"/>
      <c r="F282" s="475"/>
      <c r="G282" s="454"/>
      <c r="H282" s="454"/>
      <c r="I282" s="454"/>
      <c r="J282" s="454"/>
      <c r="K282" s="454"/>
      <c r="L282" s="454"/>
      <c r="M282" s="454"/>
      <c r="N282" s="454"/>
      <c r="O282" s="454"/>
      <c r="P282" s="454"/>
      <c r="Q282" s="454"/>
      <c r="R282" s="454"/>
      <c r="S282" s="454"/>
      <c r="T282" s="454"/>
      <c r="U282" s="454"/>
      <c r="V282" s="454"/>
      <c r="W282" s="454"/>
      <c r="X282" s="454"/>
      <c r="Y282" s="454"/>
      <c r="Z282" s="454"/>
    </row>
    <row r="283" spans="1:26" ht="15.75" customHeight="1" x14ac:dyDescent="0.25">
      <c r="A283" s="454"/>
      <c r="B283" s="475"/>
      <c r="C283" s="475"/>
      <c r="D283" s="475"/>
      <c r="E283" s="476"/>
      <c r="F283" s="475"/>
      <c r="G283" s="454"/>
      <c r="H283" s="454"/>
      <c r="I283" s="454"/>
      <c r="J283" s="454"/>
      <c r="K283" s="454"/>
      <c r="L283" s="454"/>
      <c r="M283" s="454"/>
      <c r="N283" s="454"/>
      <c r="O283" s="454"/>
      <c r="P283" s="454"/>
      <c r="Q283" s="454"/>
      <c r="R283" s="454"/>
      <c r="S283" s="454"/>
      <c r="T283" s="454"/>
      <c r="U283" s="454"/>
      <c r="V283" s="454"/>
      <c r="W283" s="454"/>
      <c r="X283" s="454"/>
      <c r="Y283" s="454"/>
      <c r="Z283" s="454"/>
    </row>
    <row r="284" spans="1:26" ht="15.75" customHeight="1" x14ac:dyDescent="0.25">
      <c r="A284" s="454"/>
      <c r="B284" s="475"/>
      <c r="C284" s="475"/>
      <c r="D284" s="475"/>
      <c r="E284" s="476"/>
      <c r="F284" s="475"/>
      <c r="G284" s="454"/>
      <c r="H284" s="454"/>
      <c r="I284" s="454"/>
      <c r="J284" s="454"/>
      <c r="K284" s="454"/>
      <c r="L284" s="454"/>
      <c r="M284" s="454"/>
      <c r="N284" s="454"/>
      <c r="O284" s="454"/>
      <c r="P284" s="454"/>
      <c r="Q284" s="454"/>
      <c r="R284" s="454"/>
      <c r="S284" s="454"/>
      <c r="T284" s="454"/>
      <c r="U284" s="454"/>
      <c r="V284" s="454"/>
      <c r="W284" s="454"/>
      <c r="X284" s="454"/>
      <c r="Y284" s="454"/>
      <c r="Z284" s="454"/>
    </row>
    <row r="285" spans="1:26" ht="15.75" customHeight="1" x14ac:dyDescent="0.25">
      <c r="A285" s="454"/>
      <c r="B285" s="475"/>
      <c r="C285" s="475"/>
      <c r="D285" s="475"/>
      <c r="E285" s="476"/>
      <c r="F285" s="475"/>
      <c r="G285" s="454"/>
      <c r="H285" s="454"/>
      <c r="I285" s="454"/>
      <c r="J285" s="454"/>
      <c r="K285" s="454"/>
      <c r="L285" s="454"/>
      <c r="M285" s="454"/>
      <c r="N285" s="454"/>
      <c r="O285" s="454"/>
      <c r="P285" s="454"/>
      <c r="Q285" s="454"/>
      <c r="R285" s="454"/>
      <c r="S285" s="454"/>
      <c r="T285" s="454"/>
      <c r="U285" s="454"/>
      <c r="V285" s="454"/>
      <c r="W285" s="454"/>
      <c r="X285" s="454"/>
      <c r="Y285" s="454"/>
      <c r="Z285" s="454"/>
    </row>
    <row r="286" spans="1:26" ht="15.75" customHeight="1" x14ac:dyDescent="0.25">
      <c r="A286" s="454"/>
      <c r="B286" s="475"/>
      <c r="C286" s="475"/>
      <c r="D286" s="475"/>
      <c r="E286" s="476"/>
      <c r="F286" s="475"/>
      <c r="G286" s="454"/>
      <c r="H286" s="454"/>
      <c r="I286" s="454"/>
      <c r="J286" s="454"/>
      <c r="K286" s="454"/>
      <c r="L286" s="454"/>
      <c r="M286" s="454"/>
      <c r="N286" s="454"/>
      <c r="O286" s="454"/>
      <c r="P286" s="454"/>
      <c r="Q286" s="454"/>
      <c r="R286" s="454"/>
      <c r="S286" s="454"/>
      <c r="T286" s="454"/>
      <c r="U286" s="454"/>
      <c r="V286" s="454"/>
      <c r="W286" s="454"/>
      <c r="X286" s="454"/>
      <c r="Y286" s="454"/>
      <c r="Z286" s="454"/>
    </row>
    <row r="287" spans="1:26" ht="15.75" customHeight="1" x14ac:dyDescent="0.25">
      <c r="A287" s="454"/>
      <c r="B287" s="475"/>
      <c r="C287" s="475"/>
      <c r="D287" s="475"/>
      <c r="E287" s="476"/>
      <c r="F287" s="475"/>
      <c r="G287" s="454"/>
      <c r="H287" s="454"/>
      <c r="I287" s="454"/>
      <c r="J287" s="454"/>
      <c r="K287" s="454"/>
      <c r="L287" s="454"/>
      <c r="M287" s="454"/>
      <c r="N287" s="454"/>
      <c r="O287" s="454"/>
      <c r="P287" s="454"/>
      <c r="Q287" s="454"/>
      <c r="R287" s="454"/>
      <c r="S287" s="454"/>
      <c r="T287" s="454"/>
      <c r="U287" s="454"/>
      <c r="V287" s="454"/>
      <c r="W287" s="454"/>
      <c r="X287" s="454"/>
      <c r="Y287" s="454"/>
      <c r="Z287" s="454"/>
    </row>
    <row r="288" spans="1:26" ht="15.75" customHeight="1" x14ac:dyDescent="0.25">
      <c r="A288" s="454"/>
      <c r="B288" s="475"/>
      <c r="C288" s="475"/>
      <c r="D288" s="475"/>
      <c r="E288" s="476"/>
      <c r="F288" s="475"/>
      <c r="G288" s="454"/>
      <c r="H288" s="454"/>
      <c r="I288" s="454"/>
      <c r="J288" s="454"/>
      <c r="K288" s="454"/>
      <c r="L288" s="454"/>
      <c r="M288" s="454"/>
      <c r="N288" s="454"/>
      <c r="O288" s="454"/>
      <c r="P288" s="454"/>
      <c r="Q288" s="454"/>
      <c r="R288" s="454"/>
      <c r="S288" s="454"/>
      <c r="T288" s="454"/>
      <c r="U288" s="454"/>
      <c r="V288" s="454"/>
      <c r="W288" s="454"/>
      <c r="X288" s="454"/>
      <c r="Y288" s="454"/>
      <c r="Z288" s="454"/>
    </row>
    <row r="289" spans="1:26" ht="15.75" customHeight="1" x14ac:dyDescent="0.25">
      <c r="A289" s="454"/>
      <c r="B289" s="475"/>
      <c r="C289" s="475"/>
      <c r="D289" s="475"/>
      <c r="E289" s="476"/>
      <c r="F289" s="475"/>
      <c r="G289" s="454"/>
      <c r="H289" s="454"/>
      <c r="I289" s="454"/>
      <c r="J289" s="454"/>
      <c r="K289" s="454"/>
      <c r="L289" s="454"/>
      <c r="M289" s="454"/>
      <c r="N289" s="454"/>
      <c r="O289" s="454"/>
      <c r="P289" s="454"/>
      <c r="Q289" s="454"/>
      <c r="R289" s="454"/>
      <c r="S289" s="454"/>
      <c r="T289" s="454"/>
      <c r="U289" s="454"/>
      <c r="V289" s="454"/>
      <c r="W289" s="454"/>
      <c r="X289" s="454"/>
      <c r="Y289" s="454"/>
      <c r="Z289" s="454"/>
    </row>
    <row r="290" spans="1:26" ht="15.75" customHeight="1" x14ac:dyDescent="0.25">
      <c r="A290" s="454"/>
      <c r="B290" s="475"/>
      <c r="C290" s="475"/>
      <c r="D290" s="475"/>
      <c r="E290" s="476"/>
      <c r="F290" s="475"/>
      <c r="G290" s="454"/>
      <c r="H290" s="454"/>
      <c r="I290" s="454"/>
      <c r="J290" s="454"/>
      <c r="K290" s="454"/>
      <c r="L290" s="454"/>
      <c r="M290" s="454"/>
      <c r="N290" s="454"/>
      <c r="O290" s="454"/>
      <c r="P290" s="454"/>
      <c r="Q290" s="454"/>
      <c r="R290" s="454"/>
      <c r="S290" s="454"/>
      <c r="T290" s="454"/>
      <c r="U290" s="454"/>
      <c r="V290" s="454"/>
      <c r="W290" s="454"/>
      <c r="X290" s="454"/>
      <c r="Y290" s="454"/>
      <c r="Z290" s="454"/>
    </row>
    <row r="291" spans="1:26" ht="15.75" customHeight="1" x14ac:dyDescent="0.25">
      <c r="A291" s="454"/>
      <c r="B291" s="475"/>
      <c r="C291" s="475"/>
      <c r="D291" s="475"/>
      <c r="E291" s="476"/>
      <c r="F291" s="475"/>
      <c r="G291" s="454"/>
      <c r="H291" s="454"/>
      <c r="I291" s="454"/>
      <c r="J291" s="454"/>
      <c r="K291" s="454"/>
      <c r="L291" s="454"/>
      <c r="M291" s="454"/>
      <c r="N291" s="454"/>
      <c r="O291" s="454"/>
      <c r="P291" s="454"/>
      <c r="Q291" s="454"/>
      <c r="R291" s="454"/>
      <c r="S291" s="454"/>
      <c r="T291" s="454"/>
      <c r="U291" s="454"/>
      <c r="V291" s="454"/>
      <c r="W291" s="454"/>
      <c r="X291" s="454"/>
      <c r="Y291" s="454"/>
      <c r="Z291" s="454"/>
    </row>
    <row r="292" spans="1:26" ht="15.75" customHeight="1" x14ac:dyDescent="0.25">
      <c r="A292" s="454"/>
      <c r="B292" s="475"/>
      <c r="C292" s="475"/>
      <c r="D292" s="475"/>
      <c r="E292" s="476"/>
      <c r="F292" s="475"/>
      <c r="G292" s="454"/>
      <c r="H292" s="454"/>
      <c r="I292" s="454"/>
      <c r="J292" s="454"/>
      <c r="K292" s="454"/>
      <c r="L292" s="454"/>
      <c r="M292" s="454"/>
      <c r="N292" s="454"/>
      <c r="O292" s="454"/>
      <c r="P292" s="454"/>
      <c r="Q292" s="454"/>
      <c r="R292" s="454"/>
      <c r="S292" s="454"/>
      <c r="T292" s="454"/>
      <c r="U292" s="454"/>
      <c r="V292" s="454"/>
      <c r="W292" s="454"/>
      <c r="X292" s="454"/>
      <c r="Y292" s="454"/>
      <c r="Z292" s="454"/>
    </row>
    <row r="293" spans="1:26" ht="15.75" customHeight="1" x14ac:dyDescent="0.25">
      <c r="A293" s="454"/>
      <c r="B293" s="475"/>
      <c r="C293" s="475"/>
      <c r="D293" s="475"/>
      <c r="E293" s="476"/>
      <c r="F293" s="475"/>
      <c r="G293" s="454"/>
      <c r="H293" s="454"/>
      <c r="I293" s="454"/>
      <c r="J293" s="454"/>
      <c r="K293" s="454"/>
      <c r="L293" s="454"/>
      <c r="M293" s="454"/>
      <c r="N293" s="454"/>
      <c r="O293" s="454"/>
      <c r="P293" s="454"/>
      <c r="Q293" s="454"/>
      <c r="R293" s="454"/>
      <c r="S293" s="454"/>
      <c r="T293" s="454"/>
      <c r="U293" s="454"/>
      <c r="V293" s="454"/>
      <c r="W293" s="454"/>
      <c r="X293" s="454"/>
      <c r="Y293" s="454"/>
      <c r="Z293" s="454"/>
    </row>
    <row r="294" spans="1:26" ht="15.75" customHeight="1" x14ac:dyDescent="0.25">
      <c r="A294" s="454"/>
      <c r="B294" s="475"/>
      <c r="C294" s="475"/>
      <c r="D294" s="475"/>
      <c r="E294" s="476"/>
      <c r="F294" s="475"/>
      <c r="G294" s="454"/>
      <c r="H294" s="454"/>
      <c r="I294" s="454"/>
      <c r="J294" s="454"/>
      <c r="K294" s="454"/>
      <c r="L294" s="454"/>
      <c r="M294" s="454"/>
      <c r="N294" s="454"/>
      <c r="O294" s="454"/>
      <c r="P294" s="454"/>
      <c r="Q294" s="454"/>
      <c r="R294" s="454"/>
      <c r="S294" s="454"/>
      <c r="T294" s="454"/>
      <c r="U294" s="454"/>
      <c r="V294" s="454"/>
      <c r="W294" s="454"/>
      <c r="X294" s="454"/>
      <c r="Y294" s="454"/>
      <c r="Z294" s="454"/>
    </row>
    <row r="295" spans="1:26" ht="15.75" customHeight="1" x14ac:dyDescent="0.25">
      <c r="A295" s="454"/>
      <c r="B295" s="475"/>
      <c r="C295" s="475"/>
      <c r="D295" s="475"/>
      <c r="E295" s="476"/>
      <c r="F295" s="475"/>
      <c r="G295" s="454"/>
      <c r="H295" s="454"/>
      <c r="I295" s="454"/>
      <c r="J295" s="454"/>
      <c r="K295" s="454"/>
      <c r="L295" s="454"/>
      <c r="M295" s="454"/>
      <c r="N295" s="454"/>
      <c r="O295" s="454"/>
      <c r="P295" s="454"/>
      <c r="Q295" s="454"/>
      <c r="R295" s="454"/>
      <c r="S295" s="454"/>
      <c r="T295" s="454"/>
      <c r="U295" s="454"/>
      <c r="V295" s="454"/>
      <c r="W295" s="454"/>
      <c r="X295" s="454"/>
      <c r="Y295" s="454"/>
      <c r="Z295" s="454"/>
    </row>
    <row r="296" spans="1:26" ht="15.75" customHeight="1" x14ac:dyDescent="0.25">
      <c r="A296" s="454"/>
      <c r="B296" s="475"/>
      <c r="C296" s="475"/>
      <c r="D296" s="475"/>
      <c r="E296" s="476"/>
      <c r="F296" s="475"/>
      <c r="G296" s="454"/>
      <c r="H296" s="454"/>
      <c r="I296" s="454"/>
      <c r="J296" s="454"/>
      <c r="K296" s="454"/>
      <c r="L296" s="454"/>
      <c r="M296" s="454"/>
      <c r="N296" s="454"/>
      <c r="O296" s="454"/>
      <c r="P296" s="454"/>
      <c r="Q296" s="454"/>
      <c r="R296" s="454"/>
      <c r="S296" s="454"/>
      <c r="T296" s="454"/>
      <c r="U296" s="454"/>
      <c r="V296" s="454"/>
      <c r="W296" s="454"/>
      <c r="X296" s="454"/>
      <c r="Y296" s="454"/>
      <c r="Z296" s="454"/>
    </row>
    <row r="297" spans="1:26" ht="15.75" customHeight="1" x14ac:dyDescent="0.25">
      <c r="A297" s="454"/>
      <c r="B297" s="475"/>
      <c r="C297" s="475"/>
      <c r="D297" s="475"/>
      <c r="E297" s="476"/>
      <c r="F297" s="475"/>
      <c r="G297" s="454"/>
      <c r="H297" s="454"/>
      <c r="I297" s="454"/>
      <c r="J297" s="454"/>
      <c r="K297" s="454"/>
      <c r="L297" s="454"/>
      <c r="M297" s="454"/>
      <c r="N297" s="454"/>
      <c r="O297" s="454"/>
      <c r="P297" s="454"/>
      <c r="Q297" s="454"/>
      <c r="R297" s="454"/>
      <c r="S297" s="454"/>
      <c r="T297" s="454"/>
      <c r="U297" s="454"/>
      <c r="V297" s="454"/>
      <c r="W297" s="454"/>
      <c r="X297" s="454"/>
      <c r="Y297" s="454"/>
      <c r="Z297" s="454"/>
    </row>
    <row r="298" spans="1:26" ht="15.75" customHeight="1" x14ac:dyDescent="0.25">
      <c r="A298" s="454"/>
      <c r="B298" s="475"/>
      <c r="C298" s="475"/>
      <c r="D298" s="475"/>
      <c r="E298" s="476"/>
      <c r="F298" s="475"/>
      <c r="G298" s="454"/>
      <c r="H298" s="454"/>
      <c r="I298" s="454"/>
      <c r="J298" s="454"/>
      <c r="K298" s="454"/>
      <c r="L298" s="454"/>
      <c r="M298" s="454"/>
      <c r="N298" s="454"/>
      <c r="O298" s="454"/>
      <c r="P298" s="454"/>
      <c r="Q298" s="454"/>
      <c r="R298" s="454"/>
      <c r="S298" s="454"/>
      <c r="T298" s="454"/>
      <c r="U298" s="454"/>
      <c r="V298" s="454"/>
      <c r="W298" s="454"/>
      <c r="X298" s="454"/>
      <c r="Y298" s="454"/>
      <c r="Z298" s="454"/>
    </row>
    <row r="299" spans="1:26" ht="15.75" customHeight="1" x14ac:dyDescent="0.25">
      <c r="A299" s="454"/>
      <c r="B299" s="475"/>
      <c r="C299" s="475"/>
      <c r="D299" s="475"/>
      <c r="E299" s="476"/>
      <c r="F299" s="475"/>
      <c r="G299" s="454"/>
      <c r="H299" s="454"/>
      <c r="I299" s="454"/>
      <c r="J299" s="454"/>
      <c r="K299" s="454"/>
      <c r="L299" s="454"/>
      <c r="M299" s="454"/>
      <c r="N299" s="454"/>
      <c r="O299" s="454"/>
      <c r="P299" s="454"/>
      <c r="Q299" s="454"/>
      <c r="R299" s="454"/>
      <c r="S299" s="454"/>
      <c r="T299" s="454"/>
      <c r="U299" s="454"/>
      <c r="V299" s="454"/>
      <c r="W299" s="454"/>
      <c r="X299" s="454"/>
      <c r="Y299" s="454"/>
      <c r="Z299" s="454"/>
    </row>
    <row r="300" spans="1:26" ht="15.75" customHeight="1" x14ac:dyDescent="0.25">
      <c r="A300" s="454"/>
      <c r="B300" s="475"/>
      <c r="C300" s="475"/>
      <c r="D300" s="475"/>
      <c r="E300" s="476"/>
      <c r="F300" s="475"/>
      <c r="G300" s="454"/>
      <c r="H300" s="454"/>
      <c r="I300" s="454"/>
      <c r="J300" s="454"/>
      <c r="K300" s="454"/>
      <c r="L300" s="454"/>
      <c r="M300" s="454"/>
      <c r="N300" s="454"/>
      <c r="O300" s="454"/>
      <c r="P300" s="454"/>
      <c r="Q300" s="454"/>
      <c r="R300" s="454"/>
      <c r="S300" s="454"/>
      <c r="T300" s="454"/>
      <c r="U300" s="454"/>
      <c r="V300" s="454"/>
      <c r="W300" s="454"/>
      <c r="X300" s="454"/>
      <c r="Y300" s="454"/>
      <c r="Z300" s="454"/>
    </row>
    <row r="301" spans="1:26" ht="15.75" customHeight="1" x14ac:dyDescent="0.25">
      <c r="A301" s="454"/>
      <c r="B301" s="475"/>
      <c r="C301" s="475"/>
      <c r="D301" s="475"/>
      <c r="E301" s="476"/>
      <c r="F301" s="475"/>
      <c r="G301" s="454"/>
      <c r="H301" s="454"/>
      <c r="I301" s="454"/>
      <c r="J301" s="454"/>
      <c r="K301" s="454"/>
      <c r="L301" s="454"/>
      <c r="M301" s="454"/>
      <c r="N301" s="454"/>
      <c r="O301" s="454"/>
      <c r="P301" s="454"/>
      <c r="Q301" s="454"/>
      <c r="R301" s="454"/>
      <c r="S301" s="454"/>
      <c r="T301" s="454"/>
      <c r="U301" s="454"/>
      <c r="V301" s="454"/>
      <c r="W301" s="454"/>
      <c r="X301" s="454"/>
      <c r="Y301" s="454"/>
      <c r="Z301" s="454"/>
    </row>
    <row r="302" spans="1:26" ht="15.75" customHeight="1" x14ac:dyDescent="0.25">
      <c r="A302" s="454"/>
      <c r="B302" s="475"/>
      <c r="C302" s="475"/>
      <c r="D302" s="475"/>
      <c r="E302" s="476"/>
      <c r="F302" s="475"/>
      <c r="G302" s="454"/>
      <c r="H302" s="454"/>
      <c r="I302" s="454"/>
      <c r="J302" s="454"/>
      <c r="K302" s="454"/>
      <c r="L302" s="454"/>
      <c r="M302" s="454"/>
      <c r="N302" s="454"/>
      <c r="O302" s="454"/>
      <c r="P302" s="454"/>
      <c r="Q302" s="454"/>
      <c r="R302" s="454"/>
      <c r="S302" s="454"/>
      <c r="T302" s="454"/>
      <c r="U302" s="454"/>
      <c r="V302" s="454"/>
      <c r="W302" s="454"/>
      <c r="X302" s="454"/>
      <c r="Y302" s="454"/>
      <c r="Z302" s="454"/>
    </row>
    <row r="303" spans="1:26" ht="15.75" customHeight="1" x14ac:dyDescent="0.25">
      <c r="A303" s="454"/>
      <c r="B303" s="475"/>
      <c r="C303" s="475"/>
      <c r="D303" s="475"/>
      <c r="E303" s="476"/>
      <c r="F303" s="475"/>
      <c r="G303" s="454"/>
      <c r="H303" s="454"/>
      <c r="I303" s="454"/>
      <c r="J303" s="454"/>
      <c r="K303" s="454"/>
      <c r="L303" s="454"/>
      <c r="M303" s="454"/>
      <c r="N303" s="454"/>
      <c r="O303" s="454"/>
      <c r="P303" s="454"/>
      <c r="Q303" s="454"/>
      <c r="R303" s="454"/>
      <c r="S303" s="454"/>
      <c r="T303" s="454"/>
      <c r="U303" s="454"/>
      <c r="V303" s="454"/>
      <c r="W303" s="454"/>
      <c r="X303" s="454"/>
      <c r="Y303" s="454"/>
      <c r="Z303" s="454"/>
    </row>
    <row r="304" spans="1:26" ht="15.75" customHeight="1" x14ac:dyDescent="0.25">
      <c r="A304" s="454"/>
      <c r="B304" s="475"/>
      <c r="C304" s="475"/>
      <c r="D304" s="475"/>
      <c r="E304" s="476"/>
      <c r="F304" s="475"/>
      <c r="G304" s="454"/>
      <c r="H304" s="454"/>
      <c r="I304" s="454"/>
      <c r="J304" s="454"/>
      <c r="K304" s="454"/>
      <c r="L304" s="454"/>
      <c r="M304" s="454"/>
      <c r="N304" s="454"/>
      <c r="O304" s="454"/>
      <c r="P304" s="454"/>
      <c r="Q304" s="454"/>
      <c r="R304" s="454"/>
      <c r="S304" s="454"/>
      <c r="T304" s="454"/>
      <c r="U304" s="454"/>
      <c r="V304" s="454"/>
      <c r="W304" s="454"/>
      <c r="X304" s="454"/>
      <c r="Y304" s="454"/>
      <c r="Z304" s="454"/>
    </row>
    <row r="305" spans="1:26" ht="15.75" customHeight="1" x14ac:dyDescent="0.25">
      <c r="A305" s="454"/>
      <c r="B305" s="475"/>
      <c r="C305" s="475"/>
      <c r="D305" s="475"/>
      <c r="E305" s="476"/>
      <c r="F305" s="475"/>
      <c r="G305" s="454"/>
      <c r="H305" s="454"/>
      <c r="I305" s="454"/>
      <c r="J305" s="454"/>
      <c r="K305" s="454"/>
      <c r="L305" s="454"/>
      <c r="M305" s="454"/>
      <c r="N305" s="454"/>
      <c r="O305" s="454"/>
      <c r="P305" s="454"/>
      <c r="Q305" s="454"/>
      <c r="R305" s="454"/>
      <c r="S305" s="454"/>
      <c r="T305" s="454"/>
      <c r="U305" s="454"/>
      <c r="V305" s="454"/>
      <c r="W305" s="454"/>
      <c r="X305" s="454"/>
      <c r="Y305" s="454"/>
      <c r="Z305" s="454"/>
    </row>
    <row r="306" spans="1:26" ht="15.75" customHeight="1" x14ac:dyDescent="0.25">
      <c r="A306" s="454"/>
      <c r="B306" s="475"/>
      <c r="C306" s="475"/>
      <c r="D306" s="475"/>
      <c r="E306" s="476"/>
      <c r="F306" s="475"/>
      <c r="G306" s="454"/>
      <c r="H306" s="454"/>
      <c r="I306" s="454"/>
      <c r="J306" s="454"/>
      <c r="K306" s="454"/>
      <c r="L306" s="454"/>
      <c r="M306" s="454"/>
      <c r="N306" s="454"/>
      <c r="O306" s="454"/>
      <c r="P306" s="454"/>
      <c r="Q306" s="454"/>
      <c r="R306" s="454"/>
      <c r="S306" s="454"/>
      <c r="T306" s="454"/>
      <c r="U306" s="454"/>
      <c r="V306" s="454"/>
      <c r="W306" s="454"/>
      <c r="X306" s="454"/>
      <c r="Y306" s="454"/>
      <c r="Z306" s="454"/>
    </row>
    <row r="307" spans="1:26" ht="15.75" customHeight="1" x14ac:dyDescent="0.25">
      <c r="A307" s="454"/>
      <c r="B307" s="475"/>
      <c r="C307" s="475"/>
      <c r="D307" s="475"/>
      <c r="E307" s="476"/>
      <c r="F307" s="475"/>
      <c r="G307" s="454"/>
      <c r="H307" s="454"/>
      <c r="I307" s="454"/>
      <c r="J307" s="454"/>
      <c r="K307" s="454"/>
      <c r="L307" s="454"/>
      <c r="M307" s="454"/>
      <c r="N307" s="454"/>
      <c r="O307" s="454"/>
      <c r="P307" s="454"/>
      <c r="Q307" s="454"/>
      <c r="R307" s="454"/>
      <c r="S307" s="454"/>
      <c r="T307" s="454"/>
      <c r="U307" s="454"/>
      <c r="V307" s="454"/>
      <c r="W307" s="454"/>
      <c r="X307" s="454"/>
      <c r="Y307" s="454"/>
      <c r="Z307" s="454"/>
    </row>
    <row r="308" spans="1:26" ht="15.75" customHeight="1" x14ac:dyDescent="0.25">
      <c r="A308" s="454"/>
      <c r="B308" s="475"/>
      <c r="C308" s="475"/>
      <c r="D308" s="475"/>
      <c r="E308" s="476"/>
      <c r="F308" s="475"/>
      <c r="G308" s="454"/>
      <c r="H308" s="454"/>
      <c r="I308" s="454"/>
      <c r="J308" s="454"/>
      <c r="K308" s="454"/>
      <c r="L308" s="454"/>
      <c r="M308" s="454"/>
      <c r="N308" s="454"/>
      <c r="O308" s="454"/>
      <c r="P308" s="454"/>
      <c r="Q308" s="454"/>
      <c r="R308" s="454"/>
      <c r="S308" s="454"/>
      <c r="T308" s="454"/>
      <c r="U308" s="454"/>
      <c r="V308" s="454"/>
      <c r="W308" s="454"/>
      <c r="X308" s="454"/>
      <c r="Y308" s="454"/>
      <c r="Z308" s="454"/>
    </row>
    <row r="309" spans="1:26" ht="15.75" customHeight="1" x14ac:dyDescent="0.25">
      <c r="A309" s="454"/>
      <c r="B309" s="475"/>
      <c r="C309" s="475"/>
      <c r="D309" s="475"/>
      <c r="E309" s="476"/>
      <c r="F309" s="475"/>
      <c r="G309" s="454"/>
      <c r="H309" s="454"/>
      <c r="I309" s="454"/>
      <c r="J309" s="454"/>
      <c r="K309" s="454"/>
      <c r="L309" s="454"/>
      <c r="M309" s="454"/>
      <c r="N309" s="454"/>
      <c r="O309" s="454"/>
      <c r="P309" s="454"/>
      <c r="Q309" s="454"/>
      <c r="R309" s="454"/>
      <c r="S309" s="454"/>
      <c r="T309" s="454"/>
      <c r="U309" s="454"/>
      <c r="V309" s="454"/>
      <c r="W309" s="454"/>
      <c r="X309" s="454"/>
      <c r="Y309" s="454"/>
      <c r="Z309" s="454"/>
    </row>
    <row r="310" spans="1:26" ht="15.75" customHeight="1" x14ac:dyDescent="0.25">
      <c r="A310" s="454"/>
      <c r="B310" s="475"/>
      <c r="C310" s="475"/>
      <c r="D310" s="475"/>
      <c r="E310" s="476"/>
      <c r="F310" s="475"/>
      <c r="G310" s="454"/>
      <c r="H310" s="454"/>
      <c r="I310" s="454"/>
      <c r="J310" s="454"/>
      <c r="K310" s="454"/>
      <c r="L310" s="454"/>
      <c r="M310" s="454"/>
      <c r="N310" s="454"/>
      <c r="O310" s="454"/>
      <c r="P310" s="454"/>
      <c r="Q310" s="454"/>
      <c r="R310" s="454"/>
      <c r="S310" s="454"/>
      <c r="T310" s="454"/>
      <c r="U310" s="454"/>
      <c r="V310" s="454"/>
      <c r="W310" s="454"/>
      <c r="X310" s="454"/>
      <c r="Y310" s="454"/>
      <c r="Z310" s="454"/>
    </row>
    <row r="311" spans="1:26" ht="15.75" customHeight="1" x14ac:dyDescent="0.25">
      <c r="A311" s="454"/>
      <c r="B311" s="475"/>
      <c r="C311" s="475"/>
      <c r="D311" s="475"/>
      <c r="E311" s="476"/>
      <c r="F311" s="475"/>
      <c r="G311" s="454"/>
      <c r="H311" s="454"/>
      <c r="I311" s="454"/>
      <c r="J311" s="454"/>
      <c r="K311" s="454"/>
      <c r="L311" s="454"/>
      <c r="M311" s="454"/>
      <c r="N311" s="454"/>
      <c r="O311" s="454"/>
      <c r="P311" s="454"/>
      <c r="Q311" s="454"/>
      <c r="R311" s="454"/>
      <c r="S311" s="454"/>
      <c r="T311" s="454"/>
      <c r="U311" s="454"/>
      <c r="V311" s="454"/>
      <c r="W311" s="454"/>
      <c r="X311" s="454"/>
      <c r="Y311" s="454"/>
      <c r="Z311" s="454"/>
    </row>
    <row r="312" spans="1:26" ht="15.75" customHeight="1" x14ac:dyDescent="0.25">
      <c r="A312" s="454"/>
      <c r="B312" s="475"/>
      <c r="C312" s="475"/>
      <c r="D312" s="475"/>
      <c r="E312" s="476"/>
      <c r="F312" s="475"/>
      <c r="G312" s="454"/>
      <c r="H312" s="454"/>
      <c r="I312" s="454"/>
      <c r="J312" s="454"/>
      <c r="K312" s="454"/>
      <c r="L312" s="454"/>
      <c r="M312" s="454"/>
      <c r="N312" s="454"/>
      <c r="O312" s="454"/>
      <c r="P312" s="454"/>
      <c r="Q312" s="454"/>
      <c r="R312" s="454"/>
      <c r="S312" s="454"/>
      <c r="T312" s="454"/>
      <c r="U312" s="454"/>
      <c r="V312" s="454"/>
      <c r="W312" s="454"/>
      <c r="X312" s="454"/>
      <c r="Y312" s="454"/>
      <c r="Z312" s="454"/>
    </row>
    <row r="313" spans="1:26" ht="15.75" customHeight="1" x14ac:dyDescent="0.25">
      <c r="A313" s="454"/>
      <c r="B313" s="475"/>
      <c r="C313" s="475"/>
      <c r="D313" s="475"/>
      <c r="E313" s="476"/>
      <c r="F313" s="475"/>
      <c r="G313" s="454"/>
      <c r="H313" s="454"/>
      <c r="I313" s="454"/>
      <c r="J313" s="454"/>
      <c r="K313" s="454"/>
      <c r="L313" s="454"/>
      <c r="M313" s="454"/>
      <c r="N313" s="454"/>
      <c r="O313" s="454"/>
      <c r="P313" s="454"/>
      <c r="Q313" s="454"/>
      <c r="R313" s="454"/>
      <c r="S313" s="454"/>
      <c r="T313" s="454"/>
      <c r="U313" s="454"/>
      <c r="V313" s="454"/>
      <c r="W313" s="454"/>
      <c r="X313" s="454"/>
      <c r="Y313" s="454"/>
      <c r="Z313" s="454"/>
    </row>
    <row r="314" spans="1:26" ht="15.75" customHeight="1" x14ac:dyDescent="0.25">
      <c r="A314" s="454"/>
      <c r="B314" s="475"/>
      <c r="C314" s="475"/>
      <c r="D314" s="475"/>
      <c r="E314" s="476"/>
      <c r="F314" s="475"/>
      <c r="G314" s="454"/>
      <c r="H314" s="454"/>
      <c r="I314" s="454"/>
      <c r="J314" s="454"/>
      <c r="K314" s="454"/>
      <c r="L314" s="454"/>
      <c r="M314" s="454"/>
      <c r="N314" s="454"/>
      <c r="O314" s="454"/>
      <c r="P314" s="454"/>
      <c r="Q314" s="454"/>
      <c r="R314" s="454"/>
      <c r="S314" s="454"/>
      <c r="T314" s="454"/>
      <c r="U314" s="454"/>
      <c r="V314" s="454"/>
      <c r="W314" s="454"/>
      <c r="X314" s="454"/>
      <c r="Y314" s="454"/>
      <c r="Z314" s="454"/>
    </row>
    <row r="315" spans="1:26" ht="15.75" customHeight="1" x14ac:dyDescent="0.25">
      <c r="A315" s="454"/>
      <c r="B315" s="475"/>
      <c r="C315" s="475"/>
      <c r="D315" s="475"/>
      <c r="E315" s="476"/>
      <c r="F315" s="475"/>
      <c r="G315" s="454"/>
      <c r="H315" s="454"/>
      <c r="I315" s="454"/>
      <c r="J315" s="454"/>
      <c r="K315" s="454"/>
      <c r="L315" s="454"/>
      <c r="M315" s="454"/>
      <c r="N315" s="454"/>
      <c r="O315" s="454"/>
      <c r="P315" s="454"/>
      <c r="Q315" s="454"/>
      <c r="R315" s="454"/>
      <c r="S315" s="454"/>
      <c r="T315" s="454"/>
      <c r="U315" s="454"/>
      <c r="V315" s="454"/>
      <c r="W315" s="454"/>
      <c r="X315" s="454"/>
      <c r="Y315" s="454"/>
      <c r="Z315" s="454"/>
    </row>
    <row r="316" spans="1:26" ht="15.75" customHeight="1" x14ac:dyDescent="0.25">
      <c r="A316" s="454"/>
      <c r="B316" s="475"/>
      <c r="C316" s="475"/>
      <c r="D316" s="475"/>
      <c r="E316" s="476"/>
      <c r="F316" s="475"/>
      <c r="G316" s="454"/>
      <c r="H316" s="454"/>
      <c r="I316" s="454"/>
      <c r="J316" s="454"/>
      <c r="K316" s="454"/>
      <c r="L316" s="454"/>
      <c r="M316" s="454"/>
      <c r="N316" s="454"/>
      <c r="O316" s="454"/>
      <c r="P316" s="454"/>
      <c r="Q316" s="454"/>
      <c r="R316" s="454"/>
      <c r="S316" s="454"/>
      <c r="T316" s="454"/>
      <c r="U316" s="454"/>
      <c r="V316" s="454"/>
      <c r="W316" s="454"/>
      <c r="X316" s="454"/>
      <c r="Y316" s="454"/>
      <c r="Z316" s="454"/>
    </row>
    <row r="317" spans="1:26" ht="15.75" customHeight="1" x14ac:dyDescent="0.25">
      <c r="A317" s="454"/>
      <c r="B317" s="475"/>
      <c r="C317" s="475"/>
      <c r="D317" s="475"/>
      <c r="E317" s="476"/>
      <c r="F317" s="475"/>
      <c r="G317" s="454"/>
      <c r="H317" s="454"/>
      <c r="I317" s="454"/>
      <c r="J317" s="454"/>
      <c r="K317" s="454"/>
      <c r="L317" s="454"/>
      <c r="M317" s="454"/>
      <c r="N317" s="454"/>
      <c r="O317" s="454"/>
      <c r="P317" s="454"/>
      <c r="Q317" s="454"/>
      <c r="R317" s="454"/>
      <c r="S317" s="454"/>
      <c r="T317" s="454"/>
      <c r="U317" s="454"/>
      <c r="V317" s="454"/>
      <c r="W317" s="454"/>
      <c r="X317" s="454"/>
      <c r="Y317" s="454"/>
      <c r="Z317" s="454"/>
    </row>
    <row r="318" spans="1:26" ht="15.75" customHeight="1" x14ac:dyDescent="0.25">
      <c r="A318" s="454"/>
      <c r="B318" s="475"/>
      <c r="C318" s="475"/>
      <c r="D318" s="475"/>
      <c r="E318" s="476"/>
      <c r="F318" s="475"/>
      <c r="G318" s="454"/>
      <c r="H318" s="454"/>
      <c r="I318" s="454"/>
      <c r="J318" s="454"/>
      <c r="K318" s="454"/>
      <c r="L318" s="454"/>
      <c r="M318" s="454"/>
      <c r="N318" s="454"/>
      <c r="O318" s="454"/>
      <c r="P318" s="454"/>
      <c r="Q318" s="454"/>
      <c r="R318" s="454"/>
      <c r="S318" s="454"/>
      <c r="T318" s="454"/>
      <c r="U318" s="454"/>
      <c r="V318" s="454"/>
      <c r="W318" s="454"/>
      <c r="X318" s="454"/>
      <c r="Y318" s="454"/>
      <c r="Z318" s="454"/>
    </row>
    <row r="319" spans="1:26" ht="15.75" customHeight="1" x14ac:dyDescent="0.25">
      <c r="A319" s="454"/>
      <c r="B319" s="475"/>
      <c r="C319" s="475"/>
      <c r="D319" s="475"/>
      <c r="E319" s="476"/>
      <c r="F319" s="475"/>
      <c r="G319" s="454"/>
      <c r="H319" s="454"/>
      <c r="I319" s="454"/>
      <c r="J319" s="454"/>
      <c r="K319" s="454"/>
      <c r="L319" s="454"/>
      <c r="M319" s="454"/>
      <c r="N319" s="454"/>
      <c r="O319" s="454"/>
      <c r="P319" s="454"/>
      <c r="Q319" s="454"/>
      <c r="R319" s="454"/>
      <c r="S319" s="454"/>
      <c r="T319" s="454"/>
      <c r="U319" s="454"/>
      <c r="V319" s="454"/>
      <c r="W319" s="454"/>
      <c r="X319" s="454"/>
      <c r="Y319" s="454"/>
      <c r="Z319" s="454"/>
    </row>
    <row r="320" spans="1:26" ht="15.75" customHeight="1" x14ac:dyDescent="0.25">
      <c r="A320" s="454"/>
      <c r="B320" s="475"/>
      <c r="C320" s="475"/>
      <c r="D320" s="475"/>
      <c r="E320" s="476"/>
      <c r="F320" s="475"/>
      <c r="G320" s="454"/>
      <c r="H320" s="454"/>
      <c r="I320" s="454"/>
      <c r="J320" s="454"/>
      <c r="K320" s="454"/>
      <c r="L320" s="454"/>
      <c r="M320" s="454"/>
      <c r="N320" s="454"/>
      <c r="O320" s="454"/>
      <c r="P320" s="454"/>
      <c r="Q320" s="454"/>
      <c r="R320" s="454"/>
      <c r="S320" s="454"/>
      <c r="T320" s="454"/>
      <c r="U320" s="454"/>
      <c r="V320" s="454"/>
      <c r="W320" s="454"/>
      <c r="X320" s="454"/>
      <c r="Y320" s="454"/>
      <c r="Z320" s="454"/>
    </row>
    <row r="321" spans="1:26" ht="15.75" customHeight="1" x14ac:dyDescent="0.25">
      <c r="A321" s="454"/>
      <c r="B321" s="475"/>
      <c r="C321" s="475"/>
      <c r="D321" s="475"/>
      <c r="E321" s="476"/>
      <c r="F321" s="475"/>
      <c r="G321" s="454"/>
      <c r="H321" s="454"/>
      <c r="I321" s="454"/>
      <c r="J321" s="454"/>
      <c r="K321" s="454"/>
      <c r="L321" s="454"/>
      <c r="M321" s="454"/>
      <c r="N321" s="454"/>
      <c r="O321" s="454"/>
      <c r="P321" s="454"/>
      <c r="Q321" s="454"/>
      <c r="R321" s="454"/>
      <c r="S321" s="454"/>
      <c r="T321" s="454"/>
      <c r="U321" s="454"/>
      <c r="V321" s="454"/>
      <c r="W321" s="454"/>
      <c r="X321" s="454"/>
      <c r="Y321" s="454"/>
      <c r="Z321" s="454"/>
    </row>
    <row r="322" spans="1:26" ht="15.75" customHeight="1" x14ac:dyDescent="0.25">
      <c r="A322" s="454"/>
      <c r="B322" s="475"/>
      <c r="C322" s="475"/>
      <c r="D322" s="475"/>
      <c r="E322" s="476"/>
      <c r="F322" s="475"/>
      <c r="G322" s="454"/>
      <c r="H322" s="454"/>
      <c r="I322" s="454"/>
      <c r="J322" s="454"/>
      <c r="K322" s="454"/>
      <c r="L322" s="454"/>
      <c r="M322" s="454"/>
      <c r="N322" s="454"/>
      <c r="O322" s="454"/>
      <c r="P322" s="454"/>
      <c r="Q322" s="454"/>
      <c r="R322" s="454"/>
      <c r="S322" s="454"/>
      <c r="T322" s="454"/>
      <c r="U322" s="454"/>
      <c r="V322" s="454"/>
      <c r="W322" s="454"/>
      <c r="X322" s="454"/>
      <c r="Y322" s="454"/>
      <c r="Z322" s="454"/>
    </row>
    <row r="323" spans="1:26" ht="15.75" customHeight="1" x14ac:dyDescent="0.25">
      <c r="A323" s="454"/>
      <c r="B323" s="475"/>
      <c r="C323" s="475"/>
      <c r="D323" s="475"/>
      <c r="E323" s="476"/>
      <c r="F323" s="475"/>
      <c r="G323" s="454"/>
      <c r="H323" s="454"/>
      <c r="I323" s="454"/>
      <c r="J323" s="454"/>
      <c r="K323" s="454"/>
      <c r="L323" s="454"/>
      <c r="M323" s="454"/>
      <c r="N323" s="454"/>
      <c r="O323" s="454"/>
      <c r="P323" s="454"/>
      <c r="Q323" s="454"/>
      <c r="R323" s="454"/>
      <c r="S323" s="454"/>
      <c r="T323" s="454"/>
      <c r="U323" s="454"/>
      <c r="V323" s="454"/>
      <c r="W323" s="454"/>
      <c r="X323" s="454"/>
      <c r="Y323" s="454"/>
      <c r="Z323" s="454"/>
    </row>
    <row r="324" spans="1:26" ht="15.75" customHeight="1" x14ac:dyDescent="0.25">
      <c r="A324" s="454"/>
      <c r="B324" s="475"/>
      <c r="C324" s="475"/>
      <c r="D324" s="475"/>
      <c r="E324" s="476"/>
      <c r="F324" s="475"/>
      <c r="G324" s="454"/>
      <c r="H324" s="454"/>
      <c r="I324" s="454"/>
      <c r="J324" s="454"/>
      <c r="K324" s="454"/>
      <c r="L324" s="454"/>
      <c r="M324" s="454"/>
      <c r="N324" s="454"/>
      <c r="O324" s="454"/>
      <c r="P324" s="454"/>
      <c r="Q324" s="454"/>
      <c r="R324" s="454"/>
      <c r="S324" s="454"/>
      <c r="T324" s="454"/>
      <c r="U324" s="454"/>
      <c r="V324" s="454"/>
      <c r="W324" s="454"/>
      <c r="X324" s="454"/>
      <c r="Y324" s="454"/>
      <c r="Z324" s="454"/>
    </row>
    <row r="325" spans="1:26" ht="15.75" customHeight="1" x14ac:dyDescent="0.25">
      <c r="A325" s="454"/>
      <c r="B325" s="475"/>
      <c r="C325" s="475"/>
      <c r="D325" s="475"/>
      <c r="E325" s="476"/>
      <c r="F325" s="475"/>
      <c r="G325" s="454"/>
      <c r="H325" s="454"/>
      <c r="I325" s="454"/>
      <c r="J325" s="454"/>
      <c r="K325" s="454"/>
      <c r="L325" s="454"/>
      <c r="M325" s="454"/>
      <c r="N325" s="454"/>
      <c r="O325" s="454"/>
      <c r="P325" s="454"/>
      <c r="Q325" s="454"/>
      <c r="R325" s="454"/>
      <c r="S325" s="454"/>
      <c r="T325" s="454"/>
      <c r="U325" s="454"/>
      <c r="V325" s="454"/>
      <c r="W325" s="454"/>
      <c r="X325" s="454"/>
      <c r="Y325" s="454"/>
      <c r="Z325" s="454"/>
    </row>
    <row r="326" spans="1:26" ht="15.75" customHeight="1" x14ac:dyDescent="0.25">
      <c r="A326" s="454"/>
      <c r="B326" s="475"/>
      <c r="C326" s="475"/>
      <c r="D326" s="475"/>
      <c r="E326" s="476"/>
      <c r="F326" s="475"/>
      <c r="G326" s="454"/>
      <c r="H326" s="454"/>
      <c r="I326" s="454"/>
      <c r="J326" s="454"/>
      <c r="K326" s="454"/>
      <c r="L326" s="454"/>
      <c r="M326" s="454"/>
      <c r="N326" s="454"/>
      <c r="O326" s="454"/>
      <c r="P326" s="454"/>
      <c r="Q326" s="454"/>
      <c r="R326" s="454"/>
      <c r="S326" s="454"/>
      <c r="T326" s="454"/>
      <c r="U326" s="454"/>
      <c r="V326" s="454"/>
      <c r="W326" s="454"/>
      <c r="X326" s="454"/>
      <c r="Y326" s="454"/>
      <c r="Z326" s="454"/>
    </row>
    <row r="327" spans="1:26" ht="15.75" customHeight="1" x14ac:dyDescent="0.25">
      <c r="A327" s="454"/>
      <c r="B327" s="475"/>
      <c r="C327" s="475"/>
      <c r="D327" s="475"/>
      <c r="E327" s="476"/>
      <c r="F327" s="475"/>
      <c r="G327" s="454"/>
      <c r="H327" s="454"/>
      <c r="I327" s="454"/>
      <c r="J327" s="454"/>
      <c r="K327" s="454"/>
      <c r="L327" s="454"/>
      <c r="M327" s="454"/>
      <c r="N327" s="454"/>
      <c r="O327" s="454"/>
      <c r="P327" s="454"/>
      <c r="Q327" s="454"/>
      <c r="R327" s="454"/>
      <c r="S327" s="454"/>
      <c r="T327" s="454"/>
      <c r="U327" s="454"/>
      <c r="V327" s="454"/>
      <c r="W327" s="454"/>
      <c r="X327" s="454"/>
      <c r="Y327" s="454"/>
      <c r="Z327" s="454"/>
    </row>
    <row r="328" spans="1:26" ht="15.75" customHeight="1" x14ac:dyDescent="0.25">
      <c r="A328" s="454"/>
      <c r="B328" s="475"/>
      <c r="C328" s="475"/>
      <c r="D328" s="475"/>
      <c r="E328" s="476"/>
      <c r="F328" s="475"/>
      <c r="G328" s="454"/>
      <c r="H328" s="454"/>
      <c r="I328" s="454"/>
      <c r="J328" s="454"/>
      <c r="K328" s="454"/>
      <c r="L328" s="454"/>
      <c r="M328" s="454"/>
      <c r="N328" s="454"/>
      <c r="O328" s="454"/>
      <c r="P328" s="454"/>
      <c r="Q328" s="454"/>
      <c r="R328" s="454"/>
      <c r="S328" s="454"/>
      <c r="T328" s="454"/>
      <c r="U328" s="454"/>
      <c r="V328" s="454"/>
      <c r="W328" s="454"/>
      <c r="X328" s="454"/>
      <c r="Y328" s="454"/>
      <c r="Z328" s="454"/>
    </row>
    <row r="329" spans="1:26" ht="15.75" customHeight="1" x14ac:dyDescent="0.25">
      <c r="A329" s="454"/>
      <c r="B329" s="475"/>
      <c r="C329" s="475"/>
      <c r="D329" s="475"/>
      <c r="E329" s="476"/>
      <c r="F329" s="475"/>
      <c r="G329" s="454"/>
      <c r="H329" s="454"/>
      <c r="I329" s="454"/>
      <c r="J329" s="454"/>
      <c r="K329" s="454"/>
      <c r="L329" s="454"/>
      <c r="M329" s="454"/>
      <c r="N329" s="454"/>
      <c r="O329" s="454"/>
      <c r="P329" s="454"/>
      <c r="Q329" s="454"/>
      <c r="R329" s="454"/>
      <c r="S329" s="454"/>
      <c r="T329" s="454"/>
      <c r="U329" s="454"/>
      <c r="V329" s="454"/>
      <c r="W329" s="454"/>
      <c r="X329" s="454"/>
      <c r="Y329" s="454"/>
      <c r="Z329" s="454"/>
    </row>
    <row r="330" spans="1:26" ht="15.75" customHeight="1" x14ac:dyDescent="0.25">
      <c r="A330" s="454"/>
      <c r="B330" s="475"/>
      <c r="C330" s="475"/>
      <c r="D330" s="475"/>
      <c r="E330" s="476"/>
      <c r="F330" s="475"/>
      <c r="G330" s="454"/>
      <c r="H330" s="454"/>
      <c r="I330" s="454"/>
      <c r="J330" s="454"/>
      <c r="K330" s="454"/>
      <c r="L330" s="454"/>
      <c r="M330" s="454"/>
      <c r="N330" s="454"/>
      <c r="O330" s="454"/>
      <c r="P330" s="454"/>
      <c r="Q330" s="454"/>
      <c r="R330" s="454"/>
      <c r="S330" s="454"/>
      <c r="T330" s="454"/>
      <c r="U330" s="454"/>
      <c r="V330" s="454"/>
      <c r="W330" s="454"/>
      <c r="X330" s="454"/>
      <c r="Y330" s="454"/>
      <c r="Z330" s="454"/>
    </row>
    <row r="331" spans="1:26" ht="15.75" customHeight="1" x14ac:dyDescent="0.25">
      <c r="A331" s="454"/>
      <c r="B331" s="475"/>
      <c r="C331" s="475"/>
      <c r="D331" s="475"/>
      <c r="E331" s="476"/>
      <c r="F331" s="475"/>
      <c r="G331" s="454"/>
      <c r="H331" s="454"/>
      <c r="I331" s="454"/>
      <c r="J331" s="454"/>
      <c r="K331" s="454"/>
      <c r="L331" s="454"/>
      <c r="M331" s="454"/>
      <c r="N331" s="454"/>
      <c r="O331" s="454"/>
      <c r="P331" s="454"/>
      <c r="Q331" s="454"/>
      <c r="R331" s="454"/>
      <c r="S331" s="454"/>
      <c r="T331" s="454"/>
      <c r="U331" s="454"/>
      <c r="V331" s="454"/>
      <c r="W331" s="454"/>
      <c r="X331" s="454"/>
      <c r="Y331" s="454"/>
      <c r="Z331" s="454"/>
    </row>
    <row r="332" spans="1:26" ht="15.75" customHeight="1" x14ac:dyDescent="0.25">
      <c r="A332" s="454"/>
      <c r="B332" s="475"/>
      <c r="C332" s="475"/>
      <c r="D332" s="475"/>
      <c r="E332" s="476"/>
      <c r="F332" s="475"/>
      <c r="G332" s="454"/>
      <c r="H332" s="454"/>
      <c r="I332" s="454"/>
      <c r="J332" s="454"/>
      <c r="K332" s="454"/>
      <c r="L332" s="454"/>
      <c r="M332" s="454"/>
      <c r="N332" s="454"/>
      <c r="O332" s="454"/>
      <c r="P332" s="454"/>
      <c r="Q332" s="454"/>
      <c r="R332" s="454"/>
      <c r="S332" s="454"/>
      <c r="T332" s="454"/>
      <c r="U332" s="454"/>
      <c r="V332" s="454"/>
      <c r="W332" s="454"/>
      <c r="X332" s="454"/>
      <c r="Y332" s="454"/>
      <c r="Z332" s="454"/>
    </row>
    <row r="333" spans="1:26" ht="15.75" customHeight="1" x14ac:dyDescent="0.25">
      <c r="A333" s="454"/>
      <c r="B333" s="475"/>
      <c r="C333" s="475"/>
      <c r="D333" s="475"/>
      <c r="E333" s="476"/>
      <c r="F333" s="475"/>
      <c r="G333" s="454"/>
      <c r="H333" s="454"/>
      <c r="I333" s="454"/>
      <c r="J333" s="454"/>
      <c r="K333" s="454"/>
      <c r="L333" s="454"/>
      <c r="M333" s="454"/>
      <c r="N333" s="454"/>
      <c r="O333" s="454"/>
      <c r="P333" s="454"/>
      <c r="Q333" s="454"/>
      <c r="R333" s="454"/>
      <c r="S333" s="454"/>
      <c r="T333" s="454"/>
      <c r="U333" s="454"/>
      <c r="V333" s="454"/>
      <c r="W333" s="454"/>
      <c r="X333" s="454"/>
      <c r="Y333" s="454"/>
      <c r="Z333" s="454"/>
    </row>
    <row r="334" spans="1:26" ht="15.75" customHeight="1" x14ac:dyDescent="0.25">
      <c r="A334" s="454"/>
      <c r="B334" s="475"/>
      <c r="C334" s="475"/>
      <c r="D334" s="475"/>
      <c r="E334" s="476"/>
      <c r="F334" s="475"/>
      <c r="G334" s="454"/>
      <c r="H334" s="454"/>
      <c r="I334" s="454"/>
      <c r="J334" s="454"/>
      <c r="K334" s="454"/>
      <c r="L334" s="454"/>
      <c r="M334" s="454"/>
      <c r="N334" s="454"/>
      <c r="O334" s="454"/>
      <c r="P334" s="454"/>
      <c r="Q334" s="454"/>
      <c r="R334" s="454"/>
      <c r="S334" s="454"/>
      <c r="T334" s="454"/>
      <c r="U334" s="454"/>
      <c r="V334" s="454"/>
      <c r="W334" s="454"/>
      <c r="X334" s="454"/>
      <c r="Y334" s="454"/>
      <c r="Z334" s="454"/>
    </row>
    <row r="335" spans="1:26" ht="15.75" customHeight="1" x14ac:dyDescent="0.25">
      <c r="A335" s="454"/>
      <c r="B335" s="475"/>
      <c r="C335" s="475"/>
      <c r="D335" s="475"/>
      <c r="E335" s="476"/>
      <c r="F335" s="475"/>
      <c r="G335" s="454"/>
      <c r="H335" s="454"/>
      <c r="I335" s="454"/>
      <c r="J335" s="454"/>
      <c r="K335" s="454"/>
      <c r="L335" s="454"/>
      <c r="M335" s="454"/>
      <c r="N335" s="454"/>
      <c r="O335" s="454"/>
      <c r="P335" s="454"/>
      <c r="Q335" s="454"/>
      <c r="R335" s="454"/>
      <c r="S335" s="454"/>
      <c r="T335" s="454"/>
      <c r="U335" s="454"/>
      <c r="V335" s="454"/>
      <c r="W335" s="454"/>
      <c r="X335" s="454"/>
      <c r="Y335" s="454"/>
      <c r="Z335" s="454"/>
    </row>
    <row r="336" spans="1:26" ht="15.75" customHeight="1" x14ac:dyDescent="0.25">
      <c r="A336" s="454"/>
      <c r="B336" s="475"/>
      <c r="C336" s="475"/>
      <c r="D336" s="475"/>
      <c r="E336" s="476"/>
      <c r="F336" s="475"/>
      <c r="G336" s="454"/>
      <c r="H336" s="454"/>
      <c r="I336" s="454"/>
      <c r="J336" s="454"/>
      <c r="K336" s="454"/>
      <c r="L336" s="454"/>
      <c r="M336" s="454"/>
      <c r="N336" s="454"/>
      <c r="O336" s="454"/>
      <c r="P336" s="454"/>
      <c r="Q336" s="454"/>
      <c r="R336" s="454"/>
      <c r="S336" s="454"/>
      <c r="T336" s="454"/>
      <c r="U336" s="454"/>
      <c r="V336" s="454"/>
      <c r="W336" s="454"/>
      <c r="X336" s="454"/>
      <c r="Y336" s="454"/>
      <c r="Z336" s="454"/>
    </row>
    <row r="337" spans="1:26" ht="15.75" customHeight="1" x14ac:dyDescent="0.25">
      <c r="A337" s="454"/>
      <c r="B337" s="475"/>
      <c r="C337" s="475"/>
      <c r="D337" s="475"/>
      <c r="E337" s="476"/>
      <c r="F337" s="475"/>
      <c r="G337" s="454"/>
      <c r="H337" s="454"/>
      <c r="I337" s="454"/>
      <c r="J337" s="454"/>
      <c r="K337" s="454"/>
      <c r="L337" s="454"/>
      <c r="M337" s="454"/>
      <c r="N337" s="454"/>
      <c r="O337" s="454"/>
      <c r="P337" s="454"/>
      <c r="Q337" s="454"/>
      <c r="R337" s="454"/>
      <c r="S337" s="454"/>
      <c r="T337" s="454"/>
      <c r="U337" s="454"/>
      <c r="V337" s="454"/>
      <c r="W337" s="454"/>
      <c r="X337" s="454"/>
      <c r="Y337" s="454"/>
      <c r="Z337" s="454"/>
    </row>
    <row r="338" spans="1:26" ht="15.75" customHeight="1" x14ac:dyDescent="0.25">
      <c r="A338" s="454"/>
      <c r="B338" s="475"/>
      <c r="C338" s="475"/>
      <c r="D338" s="475"/>
      <c r="E338" s="476"/>
      <c r="F338" s="475"/>
      <c r="G338" s="454"/>
      <c r="H338" s="454"/>
      <c r="I338" s="454"/>
      <c r="J338" s="454"/>
      <c r="K338" s="454"/>
      <c r="L338" s="454"/>
      <c r="M338" s="454"/>
      <c r="N338" s="454"/>
      <c r="O338" s="454"/>
      <c r="P338" s="454"/>
      <c r="Q338" s="454"/>
      <c r="R338" s="454"/>
      <c r="S338" s="454"/>
      <c r="T338" s="454"/>
      <c r="U338" s="454"/>
      <c r="V338" s="454"/>
      <c r="W338" s="454"/>
      <c r="X338" s="454"/>
      <c r="Y338" s="454"/>
      <c r="Z338" s="454"/>
    </row>
    <row r="339" spans="1:26" ht="15.75" customHeight="1" x14ac:dyDescent="0.25">
      <c r="A339" s="454"/>
      <c r="B339" s="475"/>
      <c r="C339" s="475"/>
      <c r="D339" s="475"/>
      <c r="E339" s="476"/>
      <c r="F339" s="475"/>
      <c r="G339" s="454"/>
      <c r="H339" s="454"/>
      <c r="I339" s="454"/>
      <c r="J339" s="454"/>
      <c r="K339" s="454"/>
      <c r="L339" s="454"/>
      <c r="M339" s="454"/>
      <c r="N339" s="454"/>
      <c r="O339" s="454"/>
      <c r="P339" s="454"/>
      <c r="Q339" s="454"/>
      <c r="R339" s="454"/>
      <c r="S339" s="454"/>
      <c r="T339" s="454"/>
      <c r="U339" s="454"/>
      <c r="V339" s="454"/>
      <c r="W339" s="454"/>
      <c r="X339" s="454"/>
      <c r="Y339" s="454"/>
      <c r="Z339" s="454"/>
    </row>
    <row r="340" spans="1:26" ht="15.75" customHeight="1" x14ac:dyDescent="0.25">
      <c r="A340" s="454"/>
      <c r="B340" s="475"/>
      <c r="C340" s="475"/>
      <c r="D340" s="475"/>
      <c r="E340" s="476"/>
      <c r="F340" s="475"/>
      <c r="G340" s="454"/>
      <c r="H340" s="454"/>
      <c r="I340" s="454"/>
      <c r="J340" s="454"/>
      <c r="K340" s="454"/>
      <c r="L340" s="454"/>
      <c r="M340" s="454"/>
      <c r="N340" s="454"/>
      <c r="O340" s="454"/>
      <c r="P340" s="454"/>
      <c r="Q340" s="454"/>
      <c r="R340" s="454"/>
      <c r="S340" s="454"/>
      <c r="T340" s="454"/>
      <c r="U340" s="454"/>
      <c r="V340" s="454"/>
      <c r="W340" s="454"/>
      <c r="X340" s="454"/>
      <c r="Y340" s="454"/>
      <c r="Z340" s="454"/>
    </row>
    <row r="341" spans="1:26" ht="15.75" customHeight="1" x14ac:dyDescent="0.25">
      <c r="A341" s="454"/>
      <c r="B341" s="475"/>
      <c r="C341" s="475"/>
      <c r="D341" s="475"/>
      <c r="E341" s="476"/>
      <c r="F341" s="475"/>
      <c r="G341" s="454"/>
      <c r="H341" s="454"/>
      <c r="I341" s="454"/>
      <c r="J341" s="454"/>
      <c r="K341" s="454"/>
      <c r="L341" s="454"/>
      <c r="M341" s="454"/>
      <c r="N341" s="454"/>
      <c r="O341" s="454"/>
      <c r="P341" s="454"/>
      <c r="Q341" s="454"/>
      <c r="R341" s="454"/>
      <c r="S341" s="454"/>
      <c r="T341" s="454"/>
      <c r="U341" s="454"/>
      <c r="V341" s="454"/>
      <c r="W341" s="454"/>
      <c r="X341" s="454"/>
      <c r="Y341" s="454"/>
      <c r="Z341" s="454"/>
    </row>
    <row r="342" spans="1:26" ht="15.75" customHeight="1" x14ac:dyDescent="0.25">
      <c r="A342" s="454"/>
      <c r="B342" s="475"/>
      <c r="C342" s="475"/>
      <c r="D342" s="475"/>
      <c r="E342" s="476"/>
      <c r="F342" s="475"/>
      <c r="G342" s="454"/>
      <c r="H342" s="454"/>
      <c r="I342" s="454"/>
      <c r="J342" s="454"/>
      <c r="K342" s="454"/>
      <c r="L342" s="454"/>
      <c r="M342" s="454"/>
      <c r="N342" s="454"/>
      <c r="O342" s="454"/>
      <c r="P342" s="454"/>
      <c r="Q342" s="454"/>
      <c r="R342" s="454"/>
      <c r="S342" s="454"/>
      <c r="T342" s="454"/>
      <c r="U342" s="454"/>
      <c r="V342" s="454"/>
      <c r="W342" s="454"/>
      <c r="X342" s="454"/>
      <c r="Y342" s="454"/>
      <c r="Z342" s="454"/>
    </row>
    <row r="343" spans="1:26" ht="15.75" customHeight="1" x14ac:dyDescent="0.25">
      <c r="A343" s="454"/>
      <c r="B343" s="475"/>
      <c r="C343" s="475"/>
      <c r="D343" s="475"/>
      <c r="E343" s="476"/>
      <c r="F343" s="475"/>
      <c r="G343" s="454"/>
      <c r="H343" s="454"/>
      <c r="I343" s="454"/>
      <c r="J343" s="454"/>
      <c r="K343" s="454"/>
      <c r="L343" s="454"/>
      <c r="M343" s="454"/>
      <c r="N343" s="454"/>
      <c r="O343" s="454"/>
      <c r="P343" s="454"/>
      <c r="Q343" s="454"/>
      <c r="R343" s="454"/>
      <c r="S343" s="454"/>
      <c r="T343" s="454"/>
      <c r="U343" s="454"/>
      <c r="V343" s="454"/>
      <c r="W343" s="454"/>
      <c r="X343" s="454"/>
      <c r="Y343" s="454"/>
      <c r="Z343" s="454"/>
    </row>
    <row r="344" spans="1:26" ht="15.75" customHeight="1" x14ac:dyDescent="0.25">
      <c r="A344" s="454"/>
      <c r="B344" s="475"/>
      <c r="C344" s="475"/>
      <c r="D344" s="475"/>
      <c r="E344" s="476"/>
      <c r="F344" s="475"/>
      <c r="G344" s="454"/>
      <c r="H344" s="454"/>
      <c r="I344" s="454"/>
      <c r="J344" s="454"/>
      <c r="K344" s="454"/>
      <c r="L344" s="454"/>
      <c r="M344" s="454"/>
      <c r="N344" s="454"/>
      <c r="O344" s="454"/>
      <c r="P344" s="454"/>
      <c r="Q344" s="454"/>
      <c r="R344" s="454"/>
      <c r="S344" s="454"/>
      <c r="T344" s="454"/>
      <c r="U344" s="454"/>
      <c r="V344" s="454"/>
      <c r="W344" s="454"/>
      <c r="X344" s="454"/>
      <c r="Y344" s="454"/>
      <c r="Z344" s="454"/>
    </row>
    <row r="345" spans="1:26" ht="15.75" customHeight="1" x14ac:dyDescent="0.25">
      <c r="A345" s="454"/>
      <c r="B345" s="475"/>
      <c r="C345" s="475"/>
      <c r="D345" s="475"/>
      <c r="E345" s="476"/>
      <c r="F345" s="475"/>
      <c r="G345" s="454"/>
      <c r="H345" s="454"/>
      <c r="I345" s="454"/>
      <c r="J345" s="454"/>
      <c r="K345" s="454"/>
      <c r="L345" s="454"/>
      <c r="M345" s="454"/>
      <c r="N345" s="454"/>
      <c r="O345" s="454"/>
      <c r="P345" s="454"/>
      <c r="Q345" s="454"/>
      <c r="R345" s="454"/>
      <c r="S345" s="454"/>
      <c r="T345" s="454"/>
      <c r="U345" s="454"/>
      <c r="V345" s="454"/>
      <c r="W345" s="454"/>
      <c r="X345" s="454"/>
      <c r="Y345" s="454"/>
      <c r="Z345" s="454"/>
    </row>
    <row r="346" spans="1:26" ht="15.75" customHeight="1" x14ac:dyDescent="0.25">
      <c r="A346" s="454"/>
      <c r="B346" s="475"/>
      <c r="C346" s="475"/>
      <c r="D346" s="475"/>
      <c r="E346" s="476"/>
      <c r="F346" s="475"/>
      <c r="G346" s="454"/>
      <c r="H346" s="454"/>
      <c r="I346" s="454"/>
      <c r="J346" s="454"/>
      <c r="K346" s="454"/>
      <c r="L346" s="454"/>
      <c r="M346" s="454"/>
      <c r="N346" s="454"/>
      <c r="O346" s="454"/>
      <c r="P346" s="454"/>
      <c r="Q346" s="454"/>
      <c r="R346" s="454"/>
      <c r="S346" s="454"/>
      <c r="T346" s="454"/>
      <c r="U346" s="454"/>
      <c r="V346" s="454"/>
      <c r="W346" s="454"/>
      <c r="X346" s="454"/>
      <c r="Y346" s="454"/>
      <c r="Z346" s="454"/>
    </row>
    <row r="347" spans="1:26" ht="15.75" customHeight="1" x14ac:dyDescent="0.25">
      <c r="A347" s="454"/>
      <c r="B347" s="475"/>
      <c r="C347" s="475"/>
      <c r="D347" s="475"/>
      <c r="E347" s="476"/>
      <c r="F347" s="475"/>
      <c r="G347" s="454"/>
      <c r="H347" s="454"/>
      <c r="I347" s="454"/>
      <c r="J347" s="454"/>
      <c r="K347" s="454"/>
      <c r="L347" s="454"/>
      <c r="M347" s="454"/>
      <c r="N347" s="454"/>
      <c r="O347" s="454"/>
      <c r="P347" s="454"/>
      <c r="Q347" s="454"/>
      <c r="R347" s="454"/>
      <c r="S347" s="454"/>
      <c r="T347" s="454"/>
      <c r="U347" s="454"/>
      <c r="V347" s="454"/>
      <c r="W347" s="454"/>
      <c r="X347" s="454"/>
      <c r="Y347" s="454"/>
      <c r="Z347" s="454"/>
    </row>
    <row r="348" spans="1:26" ht="15.75" customHeight="1" x14ac:dyDescent="0.25">
      <c r="A348" s="454"/>
      <c r="B348" s="475"/>
      <c r="C348" s="475"/>
      <c r="D348" s="475"/>
      <c r="E348" s="476"/>
      <c r="F348" s="475"/>
      <c r="G348" s="454"/>
      <c r="H348" s="454"/>
      <c r="I348" s="454"/>
      <c r="J348" s="454"/>
      <c r="K348" s="454"/>
      <c r="L348" s="454"/>
      <c r="M348" s="454"/>
      <c r="N348" s="454"/>
      <c r="O348" s="454"/>
      <c r="P348" s="454"/>
      <c r="Q348" s="454"/>
      <c r="R348" s="454"/>
      <c r="S348" s="454"/>
      <c r="T348" s="454"/>
      <c r="U348" s="454"/>
      <c r="V348" s="454"/>
      <c r="W348" s="454"/>
      <c r="X348" s="454"/>
      <c r="Y348" s="454"/>
      <c r="Z348" s="454"/>
    </row>
    <row r="349" spans="1:26" ht="15.75" customHeight="1" x14ac:dyDescent="0.25">
      <c r="A349" s="454"/>
      <c r="B349" s="475"/>
      <c r="C349" s="475"/>
      <c r="D349" s="475"/>
      <c r="E349" s="476"/>
      <c r="F349" s="475"/>
      <c r="G349" s="454"/>
      <c r="H349" s="454"/>
      <c r="I349" s="454"/>
      <c r="J349" s="454"/>
      <c r="K349" s="454"/>
      <c r="L349" s="454"/>
      <c r="M349" s="454"/>
      <c r="N349" s="454"/>
      <c r="O349" s="454"/>
      <c r="P349" s="454"/>
      <c r="Q349" s="454"/>
      <c r="R349" s="454"/>
      <c r="S349" s="454"/>
      <c r="T349" s="454"/>
      <c r="U349" s="454"/>
      <c r="V349" s="454"/>
      <c r="W349" s="454"/>
      <c r="X349" s="454"/>
      <c r="Y349" s="454"/>
      <c r="Z349" s="454"/>
    </row>
    <row r="350" spans="1:26" ht="15.75" customHeight="1" x14ac:dyDescent="0.25">
      <c r="A350" s="454"/>
      <c r="B350" s="475"/>
      <c r="C350" s="475"/>
      <c r="D350" s="475"/>
      <c r="E350" s="476"/>
      <c r="F350" s="475"/>
      <c r="G350" s="454"/>
      <c r="H350" s="454"/>
      <c r="I350" s="454"/>
      <c r="J350" s="454"/>
      <c r="K350" s="454"/>
      <c r="L350" s="454"/>
      <c r="M350" s="454"/>
      <c r="N350" s="454"/>
      <c r="O350" s="454"/>
      <c r="P350" s="454"/>
      <c r="Q350" s="454"/>
      <c r="R350" s="454"/>
      <c r="S350" s="454"/>
      <c r="T350" s="454"/>
      <c r="U350" s="454"/>
      <c r="V350" s="454"/>
      <c r="W350" s="454"/>
      <c r="X350" s="454"/>
      <c r="Y350" s="454"/>
      <c r="Z350" s="454"/>
    </row>
    <row r="351" spans="1:26" ht="15.75" customHeight="1" x14ac:dyDescent="0.25">
      <c r="A351" s="454"/>
      <c r="B351" s="475"/>
      <c r="C351" s="475"/>
      <c r="D351" s="475"/>
      <c r="E351" s="476"/>
      <c r="F351" s="475"/>
      <c r="G351" s="454"/>
      <c r="H351" s="454"/>
      <c r="I351" s="454"/>
      <c r="J351" s="454"/>
      <c r="K351" s="454"/>
      <c r="L351" s="454"/>
      <c r="M351" s="454"/>
      <c r="N351" s="454"/>
      <c r="O351" s="454"/>
      <c r="P351" s="454"/>
      <c r="Q351" s="454"/>
      <c r="R351" s="454"/>
      <c r="S351" s="454"/>
      <c r="T351" s="454"/>
      <c r="U351" s="454"/>
      <c r="V351" s="454"/>
      <c r="W351" s="454"/>
      <c r="X351" s="454"/>
      <c r="Y351" s="454"/>
      <c r="Z351" s="454"/>
    </row>
    <row r="352" spans="1:26" ht="15.75" customHeight="1" x14ac:dyDescent="0.25">
      <c r="A352" s="454"/>
      <c r="B352" s="475"/>
      <c r="C352" s="475"/>
      <c r="D352" s="475"/>
      <c r="E352" s="476"/>
      <c r="F352" s="475"/>
      <c r="G352" s="454"/>
      <c r="H352" s="454"/>
      <c r="I352" s="454"/>
      <c r="J352" s="454"/>
      <c r="K352" s="454"/>
      <c r="L352" s="454"/>
      <c r="M352" s="454"/>
      <c r="N352" s="454"/>
      <c r="O352" s="454"/>
      <c r="P352" s="454"/>
      <c r="Q352" s="454"/>
      <c r="R352" s="454"/>
      <c r="S352" s="454"/>
      <c r="T352" s="454"/>
      <c r="U352" s="454"/>
      <c r="V352" s="454"/>
      <c r="W352" s="454"/>
      <c r="X352" s="454"/>
      <c r="Y352" s="454"/>
      <c r="Z352" s="454"/>
    </row>
    <row r="353" spans="1:26" ht="15.75" customHeight="1" x14ac:dyDescent="0.25">
      <c r="A353" s="454"/>
      <c r="B353" s="475"/>
      <c r="C353" s="475"/>
      <c r="D353" s="475"/>
      <c r="E353" s="476"/>
      <c r="F353" s="475"/>
      <c r="G353" s="454"/>
      <c r="H353" s="454"/>
      <c r="I353" s="454"/>
      <c r="J353" s="454"/>
      <c r="K353" s="454"/>
      <c r="L353" s="454"/>
      <c r="M353" s="454"/>
      <c r="N353" s="454"/>
      <c r="O353" s="454"/>
      <c r="P353" s="454"/>
      <c r="Q353" s="454"/>
      <c r="R353" s="454"/>
      <c r="S353" s="454"/>
      <c r="T353" s="454"/>
      <c r="U353" s="454"/>
      <c r="V353" s="454"/>
      <c r="W353" s="454"/>
      <c r="X353" s="454"/>
      <c r="Y353" s="454"/>
      <c r="Z353" s="454"/>
    </row>
    <row r="354" spans="1:26" ht="15.75" customHeight="1" x14ac:dyDescent="0.25">
      <c r="A354" s="454"/>
      <c r="B354" s="475"/>
      <c r="C354" s="475"/>
      <c r="D354" s="475"/>
      <c r="E354" s="476"/>
      <c r="F354" s="475"/>
      <c r="G354" s="454"/>
      <c r="H354" s="454"/>
      <c r="I354" s="454"/>
      <c r="J354" s="454"/>
      <c r="K354" s="454"/>
      <c r="L354" s="454"/>
      <c r="M354" s="454"/>
      <c r="N354" s="454"/>
      <c r="O354" s="454"/>
      <c r="P354" s="454"/>
      <c r="Q354" s="454"/>
      <c r="R354" s="454"/>
      <c r="S354" s="454"/>
      <c r="T354" s="454"/>
      <c r="U354" s="454"/>
      <c r="V354" s="454"/>
      <c r="W354" s="454"/>
      <c r="X354" s="454"/>
      <c r="Y354" s="454"/>
      <c r="Z354" s="454"/>
    </row>
    <row r="355" spans="1:26" ht="15.75" customHeight="1" x14ac:dyDescent="0.25">
      <c r="A355" s="454"/>
      <c r="B355" s="475"/>
      <c r="C355" s="475"/>
      <c r="D355" s="475"/>
      <c r="E355" s="476"/>
      <c r="F355" s="475"/>
      <c r="G355" s="454"/>
      <c r="H355" s="454"/>
      <c r="I355" s="454"/>
      <c r="J355" s="454"/>
      <c r="K355" s="454"/>
      <c r="L355" s="454"/>
      <c r="M355" s="454"/>
      <c r="N355" s="454"/>
      <c r="O355" s="454"/>
      <c r="P355" s="454"/>
      <c r="Q355" s="454"/>
      <c r="R355" s="454"/>
      <c r="S355" s="454"/>
      <c r="T355" s="454"/>
      <c r="U355" s="454"/>
      <c r="V355" s="454"/>
      <c r="W355" s="454"/>
      <c r="X355" s="454"/>
      <c r="Y355" s="454"/>
      <c r="Z355" s="454"/>
    </row>
    <row r="356" spans="1:26" ht="15.75" customHeight="1" x14ac:dyDescent="0.25">
      <c r="A356" s="454"/>
      <c r="B356" s="475"/>
      <c r="C356" s="475"/>
      <c r="D356" s="475"/>
      <c r="E356" s="476"/>
      <c r="F356" s="475"/>
      <c r="G356" s="454"/>
      <c r="H356" s="454"/>
      <c r="I356" s="454"/>
      <c r="J356" s="454"/>
      <c r="K356" s="454"/>
      <c r="L356" s="454"/>
      <c r="M356" s="454"/>
      <c r="N356" s="454"/>
      <c r="O356" s="454"/>
      <c r="P356" s="454"/>
      <c r="Q356" s="454"/>
      <c r="R356" s="454"/>
      <c r="S356" s="454"/>
      <c r="T356" s="454"/>
      <c r="U356" s="454"/>
      <c r="V356" s="454"/>
      <c r="W356" s="454"/>
      <c r="X356" s="454"/>
      <c r="Y356" s="454"/>
      <c r="Z356" s="454"/>
    </row>
    <row r="357" spans="1:26" ht="15.75" customHeight="1" x14ac:dyDescent="0.25">
      <c r="A357" s="454"/>
      <c r="B357" s="475"/>
      <c r="C357" s="475"/>
      <c r="D357" s="475"/>
      <c r="E357" s="476"/>
      <c r="F357" s="475"/>
      <c r="G357" s="454"/>
      <c r="H357" s="454"/>
      <c r="I357" s="454"/>
      <c r="J357" s="454"/>
      <c r="K357" s="454"/>
      <c r="L357" s="454"/>
      <c r="M357" s="454"/>
      <c r="N357" s="454"/>
      <c r="O357" s="454"/>
      <c r="P357" s="454"/>
      <c r="Q357" s="454"/>
      <c r="R357" s="454"/>
      <c r="S357" s="454"/>
      <c r="T357" s="454"/>
      <c r="U357" s="454"/>
      <c r="V357" s="454"/>
      <c r="W357" s="454"/>
      <c r="X357" s="454"/>
      <c r="Y357" s="454"/>
      <c r="Z357" s="454"/>
    </row>
    <row r="358" spans="1:26" ht="15.75" customHeight="1" x14ac:dyDescent="0.25">
      <c r="A358" s="454"/>
      <c r="B358" s="475"/>
      <c r="C358" s="475"/>
      <c r="D358" s="475"/>
      <c r="E358" s="476"/>
      <c r="F358" s="475"/>
      <c r="G358" s="454"/>
      <c r="H358" s="454"/>
      <c r="I358" s="454"/>
      <c r="J358" s="454"/>
      <c r="K358" s="454"/>
      <c r="L358" s="454"/>
      <c r="M358" s="454"/>
      <c r="N358" s="454"/>
      <c r="O358" s="454"/>
      <c r="P358" s="454"/>
      <c r="Q358" s="454"/>
      <c r="R358" s="454"/>
      <c r="S358" s="454"/>
      <c r="T358" s="454"/>
      <c r="U358" s="454"/>
      <c r="V358" s="454"/>
      <c r="W358" s="454"/>
      <c r="X358" s="454"/>
      <c r="Y358" s="454"/>
      <c r="Z358" s="454"/>
    </row>
    <row r="359" spans="1:26" ht="15.75" customHeight="1" x14ac:dyDescent="0.25">
      <c r="A359" s="454"/>
      <c r="B359" s="475"/>
      <c r="C359" s="475"/>
      <c r="D359" s="475"/>
      <c r="E359" s="476"/>
      <c r="F359" s="475"/>
      <c r="G359" s="454"/>
      <c r="H359" s="454"/>
      <c r="I359" s="454"/>
      <c r="J359" s="454"/>
      <c r="K359" s="454"/>
      <c r="L359" s="454"/>
      <c r="M359" s="454"/>
      <c r="N359" s="454"/>
      <c r="O359" s="454"/>
      <c r="P359" s="454"/>
      <c r="Q359" s="454"/>
      <c r="R359" s="454"/>
      <c r="S359" s="454"/>
      <c r="T359" s="454"/>
      <c r="U359" s="454"/>
      <c r="V359" s="454"/>
      <c r="W359" s="454"/>
      <c r="X359" s="454"/>
      <c r="Y359" s="454"/>
      <c r="Z359" s="454"/>
    </row>
    <row r="360" spans="1:26" ht="15.75" customHeight="1" x14ac:dyDescent="0.25">
      <c r="A360" s="454"/>
      <c r="B360" s="475"/>
      <c r="C360" s="475"/>
      <c r="D360" s="475"/>
      <c r="E360" s="476"/>
      <c r="F360" s="475"/>
      <c r="G360" s="454"/>
      <c r="H360" s="454"/>
      <c r="I360" s="454"/>
      <c r="J360" s="454"/>
      <c r="K360" s="454"/>
      <c r="L360" s="454"/>
      <c r="M360" s="454"/>
      <c r="N360" s="454"/>
      <c r="O360" s="454"/>
      <c r="P360" s="454"/>
      <c r="Q360" s="454"/>
      <c r="R360" s="454"/>
      <c r="S360" s="454"/>
      <c r="T360" s="454"/>
      <c r="U360" s="454"/>
      <c r="V360" s="454"/>
      <c r="W360" s="454"/>
      <c r="X360" s="454"/>
      <c r="Y360" s="454"/>
      <c r="Z360" s="454"/>
    </row>
    <row r="361" spans="1:26" ht="15.75" customHeight="1" x14ac:dyDescent="0.25">
      <c r="A361" s="454"/>
      <c r="B361" s="475"/>
      <c r="C361" s="475"/>
      <c r="D361" s="475"/>
      <c r="E361" s="476"/>
      <c r="F361" s="475"/>
      <c r="G361" s="454"/>
      <c r="H361" s="454"/>
      <c r="I361" s="454"/>
      <c r="J361" s="454"/>
      <c r="K361" s="454"/>
      <c r="L361" s="454"/>
      <c r="M361" s="454"/>
      <c r="N361" s="454"/>
      <c r="O361" s="454"/>
      <c r="P361" s="454"/>
      <c r="Q361" s="454"/>
      <c r="R361" s="454"/>
      <c r="S361" s="454"/>
      <c r="T361" s="454"/>
      <c r="U361" s="454"/>
      <c r="V361" s="454"/>
      <c r="W361" s="454"/>
      <c r="X361" s="454"/>
      <c r="Y361" s="454"/>
      <c r="Z361" s="454"/>
    </row>
    <row r="362" spans="1:26" ht="15.75" customHeight="1" x14ac:dyDescent="0.25">
      <c r="A362" s="454"/>
      <c r="B362" s="475"/>
      <c r="C362" s="475"/>
      <c r="D362" s="475"/>
      <c r="E362" s="476"/>
      <c r="F362" s="475"/>
      <c r="G362" s="454"/>
      <c r="H362" s="454"/>
      <c r="I362" s="454"/>
      <c r="J362" s="454"/>
      <c r="K362" s="454"/>
      <c r="L362" s="454"/>
      <c r="M362" s="454"/>
      <c r="N362" s="454"/>
      <c r="O362" s="454"/>
      <c r="P362" s="454"/>
      <c r="Q362" s="454"/>
      <c r="R362" s="454"/>
      <c r="S362" s="454"/>
      <c r="T362" s="454"/>
      <c r="U362" s="454"/>
      <c r="V362" s="454"/>
      <c r="W362" s="454"/>
      <c r="X362" s="454"/>
      <c r="Y362" s="454"/>
      <c r="Z362" s="454"/>
    </row>
    <row r="363" spans="1:26" ht="15.75" customHeight="1" x14ac:dyDescent="0.25">
      <c r="A363" s="454"/>
      <c r="B363" s="475"/>
      <c r="C363" s="475"/>
      <c r="D363" s="475"/>
      <c r="E363" s="476"/>
      <c r="F363" s="475"/>
      <c r="G363" s="454"/>
      <c r="H363" s="454"/>
      <c r="I363" s="454"/>
      <c r="J363" s="454"/>
      <c r="K363" s="454"/>
      <c r="L363" s="454"/>
      <c r="M363" s="454"/>
      <c r="N363" s="454"/>
      <c r="O363" s="454"/>
      <c r="P363" s="454"/>
      <c r="Q363" s="454"/>
      <c r="R363" s="454"/>
      <c r="S363" s="454"/>
      <c r="T363" s="454"/>
      <c r="U363" s="454"/>
      <c r="V363" s="454"/>
      <c r="W363" s="454"/>
      <c r="X363" s="454"/>
      <c r="Y363" s="454"/>
      <c r="Z363" s="454"/>
    </row>
    <row r="364" spans="1:26" ht="15.75" customHeight="1" x14ac:dyDescent="0.25">
      <c r="A364" s="454"/>
      <c r="B364" s="475"/>
      <c r="C364" s="475"/>
      <c r="D364" s="475"/>
      <c r="E364" s="476"/>
      <c r="F364" s="475"/>
      <c r="G364" s="454"/>
      <c r="H364" s="454"/>
      <c r="I364" s="454"/>
      <c r="J364" s="454"/>
      <c r="K364" s="454"/>
      <c r="L364" s="454"/>
      <c r="M364" s="454"/>
      <c r="N364" s="454"/>
      <c r="O364" s="454"/>
      <c r="P364" s="454"/>
      <c r="Q364" s="454"/>
      <c r="R364" s="454"/>
      <c r="S364" s="454"/>
      <c r="T364" s="454"/>
      <c r="U364" s="454"/>
      <c r="V364" s="454"/>
      <c r="W364" s="454"/>
      <c r="X364" s="454"/>
      <c r="Y364" s="454"/>
      <c r="Z364" s="454"/>
    </row>
    <row r="365" spans="1:26" ht="15.75" customHeight="1" x14ac:dyDescent="0.25">
      <c r="A365" s="454"/>
      <c r="B365" s="475"/>
      <c r="C365" s="475"/>
      <c r="D365" s="475"/>
      <c r="E365" s="476"/>
      <c r="F365" s="475"/>
      <c r="G365" s="454"/>
      <c r="H365" s="454"/>
      <c r="I365" s="454"/>
      <c r="J365" s="454"/>
      <c r="K365" s="454"/>
      <c r="L365" s="454"/>
      <c r="M365" s="454"/>
      <c r="N365" s="454"/>
      <c r="O365" s="454"/>
      <c r="P365" s="454"/>
      <c r="Q365" s="454"/>
      <c r="R365" s="454"/>
      <c r="S365" s="454"/>
      <c r="T365" s="454"/>
      <c r="U365" s="454"/>
      <c r="V365" s="454"/>
      <c r="W365" s="454"/>
      <c r="X365" s="454"/>
      <c r="Y365" s="454"/>
      <c r="Z365" s="454"/>
    </row>
    <row r="366" spans="1:26" ht="15.75" customHeight="1" x14ac:dyDescent="0.25">
      <c r="A366" s="454"/>
      <c r="B366" s="475"/>
      <c r="C366" s="475"/>
      <c r="D366" s="475"/>
      <c r="E366" s="476"/>
      <c r="F366" s="475"/>
      <c r="G366" s="454"/>
      <c r="H366" s="454"/>
      <c r="I366" s="454"/>
      <c r="J366" s="454"/>
      <c r="K366" s="454"/>
      <c r="L366" s="454"/>
      <c r="M366" s="454"/>
      <c r="N366" s="454"/>
      <c r="O366" s="454"/>
      <c r="P366" s="454"/>
      <c r="Q366" s="454"/>
      <c r="R366" s="454"/>
      <c r="S366" s="454"/>
      <c r="T366" s="454"/>
      <c r="U366" s="454"/>
      <c r="V366" s="454"/>
      <c r="W366" s="454"/>
      <c r="X366" s="454"/>
      <c r="Y366" s="454"/>
      <c r="Z366" s="454"/>
    </row>
    <row r="367" spans="1:26" ht="15.75" customHeight="1" x14ac:dyDescent="0.25">
      <c r="A367" s="454"/>
      <c r="B367" s="475"/>
      <c r="C367" s="475"/>
      <c r="D367" s="475"/>
      <c r="E367" s="476"/>
      <c r="F367" s="475"/>
      <c r="G367" s="454"/>
      <c r="H367" s="454"/>
      <c r="I367" s="454"/>
      <c r="J367" s="454"/>
      <c r="K367" s="454"/>
      <c r="L367" s="454"/>
      <c r="M367" s="454"/>
      <c r="N367" s="454"/>
      <c r="O367" s="454"/>
      <c r="P367" s="454"/>
      <c r="Q367" s="454"/>
      <c r="R367" s="454"/>
      <c r="S367" s="454"/>
      <c r="T367" s="454"/>
      <c r="U367" s="454"/>
      <c r="V367" s="454"/>
      <c r="W367" s="454"/>
      <c r="X367" s="454"/>
      <c r="Y367" s="454"/>
      <c r="Z367" s="454"/>
    </row>
    <row r="368" spans="1:26" ht="15.75" customHeight="1" x14ac:dyDescent="0.25">
      <c r="A368" s="454"/>
      <c r="B368" s="475"/>
      <c r="C368" s="475"/>
      <c r="D368" s="475"/>
      <c r="E368" s="476"/>
      <c r="F368" s="475"/>
      <c r="G368" s="454"/>
      <c r="H368" s="454"/>
      <c r="I368" s="454"/>
      <c r="J368" s="454"/>
      <c r="K368" s="454"/>
      <c r="L368" s="454"/>
      <c r="M368" s="454"/>
      <c r="N368" s="454"/>
      <c r="O368" s="454"/>
      <c r="P368" s="454"/>
      <c r="Q368" s="454"/>
      <c r="R368" s="454"/>
      <c r="S368" s="454"/>
      <c r="T368" s="454"/>
      <c r="U368" s="454"/>
      <c r="V368" s="454"/>
      <c r="W368" s="454"/>
      <c r="X368" s="454"/>
      <c r="Y368" s="454"/>
      <c r="Z368" s="454"/>
    </row>
    <row r="369" spans="1:26" ht="15.75" customHeight="1" x14ac:dyDescent="0.25">
      <c r="A369" s="454"/>
      <c r="B369" s="475"/>
      <c r="C369" s="475"/>
      <c r="D369" s="475"/>
      <c r="E369" s="476"/>
      <c r="F369" s="475"/>
      <c r="G369" s="454"/>
      <c r="H369" s="454"/>
      <c r="I369" s="454"/>
      <c r="J369" s="454"/>
      <c r="K369" s="454"/>
      <c r="L369" s="454"/>
      <c r="M369" s="454"/>
      <c r="N369" s="454"/>
      <c r="O369" s="454"/>
      <c r="P369" s="454"/>
      <c r="Q369" s="454"/>
      <c r="R369" s="454"/>
      <c r="S369" s="454"/>
      <c r="T369" s="454"/>
      <c r="U369" s="454"/>
      <c r="V369" s="454"/>
      <c r="W369" s="454"/>
      <c r="X369" s="454"/>
      <c r="Y369" s="454"/>
      <c r="Z369" s="454"/>
    </row>
    <row r="370" spans="1:26" ht="15.75" customHeight="1" x14ac:dyDescent="0.25">
      <c r="A370" s="454"/>
      <c r="B370" s="475"/>
      <c r="C370" s="475"/>
      <c r="D370" s="475"/>
      <c r="E370" s="476"/>
      <c r="F370" s="475"/>
      <c r="G370" s="454"/>
      <c r="H370" s="454"/>
      <c r="I370" s="454"/>
      <c r="J370" s="454"/>
      <c r="K370" s="454"/>
      <c r="L370" s="454"/>
      <c r="M370" s="454"/>
      <c r="N370" s="454"/>
      <c r="O370" s="454"/>
      <c r="P370" s="454"/>
      <c r="Q370" s="454"/>
      <c r="R370" s="454"/>
      <c r="S370" s="454"/>
      <c r="T370" s="454"/>
      <c r="U370" s="454"/>
      <c r="V370" s="454"/>
      <c r="W370" s="454"/>
      <c r="X370" s="454"/>
      <c r="Y370" s="454"/>
      <c r="Z370" s="454"/>
    </row>
    <row r="371" spans="1:26" ht="15.75" customHeight="1" x14ac:dyDescent="0.25">
      <c r="A371" s="454"/>
      <c r="B371" s="475"/>
      <c r="C371" s="475"/>
      <c r="D371" s="475"/>
      <c r="E371" s="476"/>
      <c r="F371" s="475"/>
      <c r="G371" s="454"/>
      <c r="H371" s="454"/>
      <c r="I371" s="454"/>
      <c r="J371" s="454"/>
      <c r="K371" s="454"/>
      <c r="L371" s="454"/>
      <c r="M371" s="454"/>
      <c r="N371" s="454"/>
      <c r="O371" s="454"/>
      <c r="P371" s="454"/>
      <c r="Q371" s="454"/>
      <c r="R371" s="454"/>
      <c r="S371" s="454"/>
      <c r="T371" s="454"/>
      <c r="U371" s="454"/>
      <c r="V371" s="454"/>
      <c r="W371" s="454"/>
      <c r="X371" s="454"/>
      <c r="Y371" s="454"/>
      <c r="Z371" s="454"/>
    </row>
    <row r="372" spans="1:26" ht="15.75" customHeight="1" x14ac:dyDescent="0.25">
      <c r="A372" s="454"/>
      <c r="B372" s="475"/>
      <c r="C372" s="475"/>
      <c r="D372" s="475"/>
      <c r="E372" s="476"/>
      <c r="F372" s="475"/>
      <c r="G372" s="454"/>
      <c r="H372" s="454"/>
      <c r="I372" s="454"/>
      <c r="J372" s="454"/>
      <c r="K372" s="454"/>
      <c r="L372" s="454"/>
      <c r="M372" s="454"/>
      <c r="N372" s="454"/>
      <c r="O372" s="454"/>
      <c r="P372" s="454"/>
      <c r="Q372" s="454"/>
      <c r="R372" s="454"/>
      <c r="S372" s="454"/>
      <c r="T372" s="454"/>
      <c r="U372" s="454"/>
      <c r="V372" s="454"/>
      <c r="W372" s="454"/>
      <c r="X372" s="454"/>
      <c r="Y372" s="454"/>
      <c r="Z372" s="454"/>
    </row>
    <row r="373" spans="1:26" ht="15.75" customHeight="1" x14ac:dyDescent="0.25">
      <c r="A373" s="454"/>
      <c r="B373" s="475"/>
      <c r="C373" s="475"/>
      <c r="D373" s="475"/>
      <c r="E373" s="476"/>
      <c r="F373" s="475"/>
      <c r="G373" s="454"/>
      <c r="H373" s="454"/>
      <c r="I373" s="454"/>
      <c r="J373" s="454"/>
      <c r="K373" s="454"/>
      <c r="L373" s="454"/>
      <c r="M373" s="454"/>
      <c r="N373" s="454"/>
      <c r="O373" s="454"/>
      <c r="P373" s="454"/>
      <c r="Q373" s="454"/>
      <c r="R373" s="454"/>
      <c r="S373" s="454"/>
      <c r="T373" s="454"/>
      <c r="U373" s="454"/>
      <c r="V373" s="454"/>
      <c r="W373" s="454"/>
      <c r="X373" s="454"/>
      <c r="Y373" s="454"/>
      <c r="Z373" s="454"/>
    </row>
    <row r="374" spans="1:26" ht="15.75" customHeight="1" x14ac:dyDescent="0.25">
      <c r="A374" s="454"/>
      <c r="B374" s="475"/>
      <c r="C374" s="475"/>
      <c r="D374" s="475"/>
      <c r="E374" s="476"/>
      <c r="F374" s="475"/>
      <c r="G374" s="454"/>
      <c r="H374" s="454"/>
      <c r="I374" s="454"/>
      <c r="J374" s="454"/>
      <c r="K374" s="454"/>
      <c r="L374" s="454"/>
      <c r="M374" s="454"/>
      <c r="N374" s="454"/>
      <c r="O374" s="454"/>
      <c r="P374" s="454"/>
      <c r="Q374" s="454"/>
      <c r="R374" s="454"/>
      <c r="S374" s="454"/>
      <c r="T374" s="454"/>
      <c r="U374" s="454"/>
      <c r="V374" s="454"/>
      <c r="W374" s="454"/>
      <c r="X374" s="454"/>
      <c r="Y374" s="454"/>
      <c r="Z374" s="454"/>
    </row>
    <row r="375" spans="1:26" ht="15.75" customHeight="1" x14ac:dyDescent="0.25">
      <c r="A375" s="454"/>
      <c r="B375" s="475"/>
      <c r="C375" s="475"/>
      <c r="D375" s="475"/>
      <c r="E375" s="476"/>
      <c r="F375" s="475"/>
      <c r="G375" s="454"/>
      <c r="H375" s="454"/>
      <c r="I375" s="454"/>
      <c r="J375" s="454"/>
      <c r="K375" s="454"/>
      <c r="L375" s="454"/>
      <c r="M375" s="454"/>
      <c r="N375" s="454"/>
      <c r="O375" s="454"/>
      <c r="P375" s="454"/>
      <c r="Q375" s="454"/>
      <c r="R375" s="454"/>
      <c r="S375" s="454"/>
      <c r="T375" s="454"/>
      <c r="U375" s="454"/>
      <c r="V375" s="454"/>
      <c r="W375" s="454"/>
      <c r="X375" s="454"/>
      <c r="Y375" s="454"/>
      <c r="Z375" s="454"/>
    </row>
    <row r="376" spans="1:26" ht="15.75" customHeight="1" x14ac:dyDescent="0.25">
      <c r="A376" s="454"/>
      <c r="B376" s="475"/>
      <c r="C376" s="475"/>
      <c r="D376" s="475"/>
      <c r="E376" s="476"/>
      <c r="F376" s="475"/>
      <c r="G376" s="454"/>
      <c r="H376" s="454"/>
      <c r="I376" s="454"/>
      <c r="J376" s="454"/>
      <c r="K376" s="454"/>
      <c r="L376" s="454"/>
      <c r="M376" s="454"/>
      <c r="N376" s="454"/>
      <c r="O376" s="454"/>
      <c r="P376" s="454"/>
      <c r="Q376" s="454"/>
      <c r="R376" s="454"/>
      <c r="S376" s="454"/>
      <c r="T376" s="454"/>
      <c r="U376" s="454"/>
      <c r="V376" s="454"/>
      <c r="W376" s="454"/>
      <c r="X376" s="454"/>
      <c r="Y376" s="454"/>
      <c r="Z376" s="454"/>
    </row>
    <row r="377" spans="1:26" ht="15.75" customHeight="1" x14ac:dyDescent="0.25">
      <c r="A377" s="454"/>
      <c r="B377" s="475"/>
      <c r="C377" s="475"/>
      <c r="D377" s="475"/>
      <c r="E377" s="476"/>
      <c r="F377" s="475"/>
      <c r="G377" s="454"/>
      <c r="H377" s="454"/>
      <c r="I377" s="454"/>
      <c r="J377" s="454"/>
      <c r="K377" s="454"/>
      <c r="L377" s="454"/>
      <c r="M377" s="454"/>
      <c r="N377" s="454"/>
      <c r="O377" s="454"/>
      <c r="P377" s="454"/>
      <c r="Q377" s="454"/>
      <c r="R377" s="454"/>
      <c r="S377" s="454"/>
      <c r="T377" s="454"/>
      <c r="U377" s="454"/>
      <c r="V377" s="454"/>
      <c r="W377" s="454"/>
      <c r="X377" s="454"/>
      <c r="Y377" s="454"/>
      <c r="Z377" s="454"/>
    </row>
    <row r="378" spans="1:26" ht="15.75" customHeight="1" x14ac:dyDescent="0.25">
      <c r="A378" s="454"/>
      <c r="B378" s="475"/>
      <c r="C378" s="475"/>
      <c r="D378" s="475"/>
      <c r="E378" s="476"/>
      <c r="F378" s="475"/>
      <c r="G378" s="454"/>
      <c r="H378" s="454"/>
      <c r="I378" s="454"/>
      <c r="J378" s="454"/>
      <c r="K378" s="454"/>
      <c r="L378" s="454"/>
      <c r="M378" s="454"/>
      <c r="N378" s="454"/>
      <c r="O378" s="454"/>
      <c r="P378" s="454"/>
      <c r="Q378" s="454"/>
      <c r="R378" s="454"/>
      <c r="S378" s="454"/>
      <c r="T378" s="454"/>
      <c r="U378" s="454"/>
      <c r="V378" s="454"/>
      <c r="W378" s="454"/>
      <c r="X378" s="454"/>
      <c r="Y378" s="454"/>
      <c r="Z378" s="454"/>
    </row>
    <row r="379" spans="1:26" ht="15.75" customHeight="1" x14ac:dyDescent="0.25">
      <c r="A379" s="454"/>
      <c r="B379" s="475"/>
      <c r="C379" s="475"/>
      <c r="D379" s="475"/>
      <c r="E379" s="476"/>
      <c r="F379" s="475"/>
      <c r="G379" s="454"/>
      <c r="H379" s="454"/>
      <c r="I379" s="454"/>
      <c r="J379" s="454"/>
      <c r="K379" s="454"/>
      <c r="L379" s="454"/>
      <c r="M379" s="454"/>
      <c r="N379" s="454"/>
      <c r="O379" s="454"/>
      <c r="P379" s="454"/>
      <c r="Q379" s="454"/>
      <c r="R379" s="454"/>
      <c r="S379" s="454"/>
      <c r="T379" s="454"/>
      <c r="U379" s="454"/>
      <c r="V379" s="454"/>
      <c r="W379" s="454"/>
      <c r="X379" s="454"/>
      <c r="Y379" s="454"/>
      <c r="Z379" s="454"/>
    </row>
    <row r="380" spans="1:26" ht="15.75" customHeight="1" x14ac:dyDescent="0.25">
      <c r="A380" s="454"/>
      <c r="B380" s="475"/>
      <c r="C380" s="475"/>
      <c r="D380" s="475"/>
      <c r="E380" s="476"/>
      <c r="F380" s="475"/>
      <c r="G380" s="454"/>
      <c r="H380" s="454"/>
      <c r="I380" s="454"/>
      <c r="J380" s="454"/>
      <c r="K380" s="454"/>
      <c r="L380" s="454"/>
      <c r="M380" s="454"/>
      <c r="N380" s="454"/>
      <c r="O380" s="454"/>
      <c r="P380" s="454"/>
      <c r="Q380" s="454"/>
      <c r="R380" s="454"/>
      <c r="S380" s="454"/>
      <c r="T380" s="454"/>
      <c r="U380" s="454"/>
      <c r="V380" s="454"/>
      <c r="W380" s="454"/>
      <c r="X380" s="454"/>
      <c r="Y380" s="454"/>
      <c r="Z380" s="454"/>
    </row>
    <row r="381" spans="1:26" ht="15.75" customHeight="1" x14ac:dyDescent="0.25">
      <c r="A381" s="454"/>
      <c r="B381" s="475"/>
      <c r="C381" s="475"/>
      <c r="D381" s="475"/>
      <c r="E381" s="476"/>
      <c r="F381" s="475"/>
      <c r="G381" s="454"/>
      <c r="H381" s="454"/>
      <c r="I381" s="454"/>
      <c r="J381" s="454"/>
      <c r="K381" s="454"/>
      <c r="L381" s="454"/>
      <c r="M381" s="454"/>
      <c r="N381" s="454"/>
      <c r="O381" s="454"/>
      <c r="P381" s="454"/>
      <c r="Q381" s="454"/>
      <c r="R381" s="454"/>
      <c r="S381" s="454"/>
      <c r="T381" s="454"/>
      <c r="U381" s="454"/>
      <c r="V381" s="454"/>
      <c r="W381" s="454"/>
      <c r="X381" s="454"/>
      <c r="Y381" s="454"/>
      <c r="Z381" s="454"/>
    </row>
    <row r="382" spans="1:26" ht="15.75" customHeight="1" x14ac:dyDescent="0.25">
      <c r="A382" s="454"/>
      <c r="B382" s="475"/>
      <c r="C382" s="475"/>
      <c r="D382" s="475"/>
      <c r="E382" s="476"/>
      <c r="F382" s="475"/>
      <c r="G382" s="454"/>
      <c r="H382" s="454"/>
      <c r="I382" s="454"/>
      <c r="J382" s="454"/>
      <c r="K382" s="454"/>
      <c r="L382" s="454"/>
      <c r="M382" s="454"/>
      <c r="N382" s="454"/>
      <c r="O382" s="454"/>
      <c r="P382" s="454"/>
      <c r="Q382" s="454"/>
      <c r="R382" s="454"/>
      <c r="S382" s="454"/>
      <c r="T382" s="454"/>
      <c r="U382" s="454"/>
      <c r="V382" s="454"/>
      <c r="W382" s="454"/>
      <c r="X382" s="454"/>
      <c r="Y382" s="454"/>
      <c r="Z382" s="454"/>
    </row>
    <row r="383" spans="1:26" ht="15.75" customHeight="1" x14ac:dyDescent="0.25">
      <c r="A383" s="454"/>
      <c r="B383" s="475"/>
      <c r="C383" s="475"/>
      <c r="D383" s="475"/>
      <c r="E383" s="476"/>
      <c r="F383" s="475"/>
      <c r="G383" s="454"/>
      <c r="H383" s="454"/>
      <c r="I383" s="454"/>
      <c r="J383" s="454"/>
      <c r="K383" s="454"/>
      <c r="L383" s="454"/>
      <c r="M383" s="454"/>
      <c r="N383" s="454"/>
      <c r="O383" s="454"/>
      <c r="P383" s="454"/>
      <c r="Q383" s="454"/>
      <c r="R383" s="454"/>
      <c r="S383" s="454"/>
      <c r="T383" s="454"/>
      <c r="U383" s="454"/>
      <c r="V383" s="454"/>
      <c r="W383" s="454"/>
      <c r="X383" s="454"/>
      <c r="Y383" s="454"/>
      <c r="Z383" s="454"/>
    </row>
    <row r="384" spans="1:26" ht="15.75" customHeight="1" x14ac:dyDescent="0.25">
      <c r="A384" s="454"/>
      <c r="B384" s="475"/>
      <c r="C384" s="475"/>
      <c r="D384" s="475"/>
      <c r="E384" s="476"/>
      <c r="F384" s="475"/>
      <c r="G384" s="454"/>
      <c r="H384" s="454"/>
      <c r="I384" s="454"/>
      <c r="J384" s="454"/>
      <c r="K384" s="454"/>
      <c r="L384" s="454"/>
      <c r="M384" s="454"/>
      <c r="N384" s="454"/>
      <c r="O384" s="454"/>
      <c r="P384" s="454"/>
      <c r="Q384" s="454"/>
      <c r="R384" s="454"/>
      <c r="S384" s="454"/>
      <c r="T384" s="454"/>
      <c r="U384" s="454"/>
      <c r="V384" s="454"/>
      <c r="W384" s="454"/>
      <c r="X384" s="454"/>
      <c r="Y384" s="454"/>
      <c r="Z384" s="454"/>
    </row>
    <row r="385" spans="1:26" ht="15.75" customHeight="1" x14ac:dyDescent="0.25">
      <c r="A385" s="454"/>
      <c r="B385" s="475"/>
      <c r="C385" s="475"/>
      <c r="D385" s="475"/>
      <c r="E385" s="476"/>
      <c r="F385" s="475"/>
      <c r="G385" s="454"/>
      <c r="H385" s="454"/>
      <c r="I385" s="454"/>
      <c r="J385" s="454"/>
      <c r="K385" s="454"/>
      <c r="L385" s="454"/>
      <c r="M385" s="454"/>
      <c r="N385" s="454"/>
      <c r="O385" s="454"/>
      <c r="P385" s="454"/>
      <c r="Q385" s="454"/>
      <c r="R385" s="454"/>
      <c r="S385" s="454"/>
      <c r="T385" s="454"/>
      <c r="U385" s="454"/>
      <c r="V385" s="454"/>
      <c r="W385" s="454"/>
      <c r="X385" s="454"/>
      <c r="Y385" s="454"/>
      <c r="Z385" s="454"/>
    </row>
    <row r="386" spans="1:26" ht="15.75" customHeight="1" x14ac:dyDescent="0.25">
      <c r="A386" s="454"/>
      <c r="B386" s="475"/>
      <c r="C386" s="475"/>
      <c r="D386" s="475"/>
      <c r="E386" s="476"/>
      <c r="F386" s="475"/>
      <c r="G386" s="454"/>
      <c r="H386" s="454"/>
      <c r="I386" s="454"/>
      <c r="J386" s="454"/>
      <c r="K386" s="454"/>
      <c r="L386" s="454"/>
      <c r="M386" s="454"/>
      <c r="N386" s="454"/>
      <c r="O386" s="454"/>
      <c r="P386" s="454"/>
      <c r="Q386" s="454"/>
      <c r="R386" s="454"/>
      <c r="S386" s="454"/>
      <c r="T386" s="454"/>
      <c r="U386" s="454"/>
      <c r="V386" s="454"/>
      <c r="W386" s="454"/>
      <c r="X386" s="454"/>
      <c r="Y386" s="454"/>
      <c r="Z386" s="454"/>
    </row>
    <row r="387" spans="1:26" ht="15.75" customHeight="1" x14ac:dyDescent="0.25">
      <c r="A387" s="454"/>
      <c r="B387" s="475"/>
      <c r="C387" s="475"/>
      <c r="D387" s="475"/>
      <c r="E387" s="476"/>
      <c r="F387" s="475"/>
      <c r="G387" s="454"/>
      <c r="H387" s="454"/>
      <c r="I387" s="454"/>
      <c r="J387" s="454"/>
      <c r="K387" s="454"/>
      <c r="L387" s="454"/>
      <c r="M387" s="454"/>
      <c r="N387" s="454"/>
      <c r="O387" s="454"/>
      <c r="P387" s="454"/>
      <c r="Q387" s="454"/>
      <c r="R387" s="454"/>
      <c r="S387" s="454"/>
      <c r="T387" s="454"/>
      <c r="U387" s="454"/>
      <c r="V387" s="454"/>
      <c r="W387" s="454"/>
      <c r="X387" s="454"/>
      <c r="Y387" s="454"/>
      <c r="Z387" s="454"/>
    </row>
    <row r="388" spans="1:26" ht="15.75" customHeight="1" x14ac:dyDescent="0.25">
      <c r="A388" s="454"/>
      <c r="B388" s="475"/>
      <c r="C388" s="475"/>
      <c r="D388" s="475"/>
      <c r="E388" s="476"/>
      <c r="F388" s="475"/>
      <c r="G388" s="454"/>
      <c r="H388" s="454"/>
      <c r="I388" s="454"/>
      <c r="J388" s="454"/>
      <c r="K388" s="454"/>
      <c r="L388" s="454"/>
      <c r="M388" s="454"/>
      <c r="N388" s="454"/>
      <c r="O388" s="454"/>
      <c r="P388" s="454"/>
      <c r="Q388" s="454"/>
      <c r="R388" s="454"/>
      <c r="S388" s="454"/>
      <c r="T388" s="454"/>
      <c r="U388" s="454"/>
      <c r="V388" s="454"/>
      <c r="W388" s="454"/>
      <c r="X388" s="454"/>
      <c r="Y388" s="454"/>
      <c r="Z388" s="454"/>
    </row>
    <row r="389" spans="1:26" ht="15.75" customHeight="1" x14ac:dyDescent="0.25">
      <c r="A389" s="454"/>
      <c r="B389" s="475"/>
      <c r="C389" s="475"/>
      <c r="D389" s="475"/>
      <c r="E389" s="476"/>
      <c r="F389" s="475"/>
      <c r="G389" s="454"/>
      <c r="H389" s="454"/>
      <c r="I389" s="454"/>
      <c r="J389" s="454"/>
      <c r="K389" s="454"/>
      <c r="L389" s="454"/>
      <c r="M389" s="454"/>
      <c r="N389" s="454"/>
      <c r="O389" s="454"/>
      <c r="P389" s="454"/>
      <c r="Q389" s="454"/>
      <c r="R389" s="454"/>
      <c r="S389" s="454"/>
      <c r="T389" s="454"/>
      <c r="U389" s="454"/>
      <c r="V389" s="454"/>
      <c r="W389" s="454"/>
      <c r="X389" s="454"/>
      <c r="Y389" s="454"/>
      <c r="Z389" s="454"/>
    </row>
    <row r="390" spans="1:26" ht="15.75" customHeight="1" x14ac:dyDescent="0.25">
      <c r="A390" s="454"/>
      <c r="B390" s="475"/>
      <c r="C390" s="475"/>
      <c r="D390" s="475"/>
      <c r="E390" s="476"/>
      <c r="F390" s="475"/>
      <c r="G390" s="454"/>
      <c r="H390" s="454"/>
      <c r="I390" s="454"/>
      <c r="J390" s="454"/>
      <c r="K390" s="454"/>
      <c r="L390" s="454"/>
      <c r="M390" s="454"/>
      <c r="N390" s="454"/>
      <c r="O390" s="454"/>
      <c r="P390" s="454"/>
      <c r="Q390" s="454"/>
      <c r="R390" s="454"/>
      <c r="S390" s="454"/>
      <c r="T390" s="454"/>
      <c r="U390" s="454"/>
      <c r="V390" s="454"/>
      <c r="W390" s="454"/>
      <c r="X390" s="454"/>
      <c r="Y390" s="454"/>
      <c r="Z390" s="454"/>
    </row>
    <row r="391" spans="1:26" ht="15.75" customHeight="1" x14ac:dyDescent="0.25">
      <c r="A391" s="454"/>
      <c r="B391" s="475"/>
      <c r="C391" s="475"/>
      <c r="D391" s="475"/>
      <c r="E391" s="476"/>
      <c r="F391" s="475"/>
      <c r="G391" s="454"/>
      <c r="H391" s="454"/>
      <c r="I391" s="454"/>
      <c r="J391" s="454"/>
      <c r="K391" s="454"/>
      <c r="L391" s="454"/>
      <c r="M391" s="454"/>
      <c r="N391" s="454"/>
      <c r="O391" s="454"/>
      <c r="P391" s="454"/>
      <c r="Q391" s="454"/>
      <c r="R391" s="454"/>
      <c r="S391" s="454"/>
      <c r="T391" s="454"/>
      <c r="U391" s="454"/>
      <c r="V391" s="454"/>
      <c r="W391" s="454"/>
      <c r="X391" s="454"/>
      <c r="Y391" s="454"/>
      <c r="Z391" s="454"/>
    </row>
    <row r="392" spans="1:26" ht="15.75" customHeight="1" x14ac:dyDescent="0.25">
      <c r="A392" s="454"/>
      <c r="B392" s="475"/>
      <c r="C392" s="475"/>
      <c r="D392" s="475"/>
      <c r="E392" s="476"/>
      <c r="F392" s="475"/>
      <c r="G392" s="454"/>
      <c r="H392" s="454"/>
      <c r="I392" s="454"/>
      <c r="J392" s="454"/>
      <c r="K392" s="454"/>
      <c r="L392" s="454"/>
      <c r="M392" s="454"/>
      <c r="N392" s="454"/>
      <c r="O392" s="454"/>
      <c r="P392" s="454"/>
      <c r="Q392" s="454"/>
      <c r="R392" s="454"/>
      <c r="S392" s="454"/>
      <c r="T392" s="454"/>
      <c r="U392" s="454"/>
      <c r="V392" s="454"/>
      <c r="W392" s="454"/>
      <c r="X392" s="454"/>
      <c r="Y392" s="454"/>
      <c r="Z392" s="454"/>
    </row>
    <row r="393" spans="1:26" ht="15.75" customHeight="1" x14ac:dyDescent="0.25">
      <c r="A393" s="454"/>
      <c r="B393" s="475"/>
      <c r="C393" s="475"/>
      <c r="D393" s="475"/>
      <c r="E393" s="476"/>
      <c r="F393" s="475"/>
      <c r="G393" s="454"/>
      <c r="H393" s="454"/>
      <c r="I393" s="454"/>
      <c r="J393" s="454"/>
      <c r="K393" s="454"/>
      <c r="L393" s="454"/>
      <c r="M393" s="454"/>
      <c r="N393" s="454"/>
      <c r="O393" s="454"/>
      <c r="P393" s="454"/>
      <c r="Q393" s="454"/>
      <c r="R393" s="454"/>
      <c r="S393" s="454"/>
      <c r="T393" s="454"/>
      <c r="U393" s="454"/>
      <c r="V393" s="454"/>
      <c r="W393" s="454"/>
      <c r="X393" s="454"/>
      <c r="Y393" s="454"/>
      <c r="Z393" s="454"/>
    </row>
    <row r="394" spans="1:26" ht="15.75" customHeight="1" x14ac:dyDescent="0.25">
      <c r="A394" s="454"/>
      <c r="B394" s="475"/>
      <c r="C394" s="475"/>
      <c r="D394" s="475"/>
      <c r="E394" s="476"/>
      <c r="F394" s="475"/>
      <c r="G394" s="454"/>
      <c r="H394" s="454"/>
      <c r="I394" s="454"/>
      <c r="J394" s="454"/>
      <c r="K394" s="454"/>
      <c r="L394" s="454"/>
      <c r="M394" s="454"/>
      <c r="N394" s="454"/>
      <c r="O394" s="454"/>
      <c r="P394" s="454"/>
      <c r="Q394" s="454"/>
      <c r="R394" s="454"/>
      <c r="S394" s="454"/>
      <c r="T394" s="454"/>
      <c r="U394" s="454"/>
      <c r="V394" s="454"/>
      <c r="W394" s="454"/>
      <c r="X394" s="454"/>
      <c r="Y394" s="454"/>
      <c r="Z394" s="454"/>
    </row>
    <row r="395" spans="1:26" ht="15.75" customHeight="1" x14ac:dyDescent="0.25">
      <c r="A395" s="454"/>
      <c r="B395" s="475"/>
      <c r="C395" s="475"/>
      <c r="D395" s="475"/>
      <c r="E395" s="476"/>
      <c r="F395" s="475"/>
      <c r="G395" s="454"/>
      <c r="H395" s="454"/>
      <c r="I395" s="454"/>
      <c r="J395" s="454"/>
      <c r="K395" s="454"/>
      <c r="L395" s="454"/>
      <c r="M395" s="454"/>
      <c r="N395" s="454"/>
      <c r="O395" s="454"/>
      <c r="P395" s="454"/>
      <c r="Q395" s="454"/>
      <c r="R395" s="454"/>
      <c r="S395" s="454"/>
      <c r="T395" s="454"/>
      <c r="U395" s="454"/>
      <c r="V395" s="454"/>
      <c r="W395" s="454"/>
      <c r="X395" s="454"/>
      <c r="Y395" s="454"/>
      <c r="Z395" s="454"/>
    </row>
    <row r="396" spans="1:26" ht="15.75" customHeight="1" x14ac:dyDescent="0.25">
      <c r="A396" s="454"/>
      <c r="B396" s="475"/>
      <c r="C396" s="475"/>
      <c r="D396" s="475"/>
      <c r="E396" s="476"/>
      <c r="F396" s="475"/>
      <c r="G396" s="454"/>
      <c r="H396" s="454"/>
      <c r="I396" s="454"/>
      <c r="J396" s="454"/>
      <c r="K396" s="454"/>
      <c r="L396" s="454"/>
      <c r="M396" s="454"/>
      <c r="N396" s="454"/>
      <c r="O396" s="454"/>
      <c r="P396" s="454"/>
      <c r="Q396" s="454"/>
      <c r="R396" s="454"/>
      <c r="S396" s="454"/>
      <c r="T396" s="454"/>
      <c r="U396" s="454"/>
      <c r="V396" s="454"/>
      <c r="W396" s="454"/>
      <c r="X396" s="454"/>
      <c r="Y396" s="454"/>
      <c r="Z396" s="454"/>
    </row>
    <row r="397" spans="1:26" ht="15.75" customHeight="1" x14ac:dyDescent="0.25">
      <c r="A397" s="454"/>
      <c r="B397" s="475"/>
      <c r="C397" s="475"/>
      <c r="D397" s="475"/>
      <c r="E397" s="476"/>
      <c r="F397" s="475"/>
      <c r="G397" s="454"/>
      <c r="H397" s="454"/>
      <c r="I397" s="454"/>
      <c r="J397" s="454"/>
      <c r="K397" s="454"/>
      <c r="L397" s="454"/>
      <c r="M397" s="454"/>
      <c r="N397" s="454"/>
      <c r="O397" s="454"/>
      <c r="P397" s="454"/>
      <c r="Q397" s="454"/>
      <c r="R397" s="454"/>
      <c r="S397" s="454"/>
      <c r="T397" s="454"/>
      <c r="U397" s="454"/>
      <c r="V397" s="454"/>
      <c r="W397" s="454"/>
      <c r="X397" s="454"/>
      <c r="Y397" s="454"/>
      <c r="Z397" s="454"/>
    </row>
    <row r="398" spans="1:26" ht="15.75" customHeight="1" x14ac:dyDescent="0.25">
      <c r="A398" s="454"/>
      <c r="B398" s="475"/>
      <c r="C398" s="475"/>
      <c r="D398" s="475"/>
      <c r="E398" s="476"/>
      <c r="F398" s="475"/>
      <c r="G398" s="454"/>
      <c r="H398" s="454"/>
      <c r="I398" s="454"/>
      <c r="J398" s="454"/>
      <c r="K398" s="454"/>
      <c r="L398" s="454"/>
      <c r="M398" s="454"/>
      <c r="N398" s="454"/>
      <c r="O398" s="454"/>
      <c r="P398" s="454"/>
      <c r="Q398" s="454"/>
      <c r="R398" s="454"/>
      <c r="S398" s="454"/>
      <c r="T398" s="454"/>
      <c r="U398" s="454"/>
      <c r="V398" s="454"/>
      <c r="W398" s="454"/>
      <c r="X398" s="454"/>
      <c r="Y398" s="454"/>
      <c r="Z398" s="454"/>
    </row>
    <row r="399" spans="1:26" ht="15.75" customHeight="1" x14ac:dyDescent="0.25">
      <c r="A399" s="454"/>
      <c r="B399" s="475"/>
      <c r="C399" s="475"/>
      <c r="D399" s="475"/>
      <c r="E399" s="476"/>
      <c r="F399" s="475"/>
      <c r="G399" s="454"/>
      <c r="H399" s="454"/>
      <c r="I399" s="454"/>
      <c r="J399" s="454"/>
      <c r="K399" s="454"/>
      <c r="L399" s="454"/>
      <c r="M399" s="454"/>
      <c r="N399" s="454"/>
      <c r="O399" s="454"/>
      <c r="P399" s="454"/>
      <c r="Q399" s="454"/>
      <c r="R399" s="454"/>
      <c r="S399" s="454"/>
      <c r="T399" s="454"/>
      <c r="U399" s="454"/>
      <c r="V399" s="454"/>
      <c r="W399" s="454"/>
      <c r="X399" s="454"/>
      <c r="Y399" s="454"/>
      <c r="Z399" s="454"/>
    </row>
    <row r="400" spans="1:26" ht="15.75" customHeight="1" x14ac:dyDescent="0.25">
      <c r="A400" s="454"/>
      <c r="B400" s="475"/>
      <c r="C400" s="475"/>
      <c r="D400" s="475"/>
      <c r="E400" s="476"/>
      <c r="F400" s="475"/>
      <c r="G400" s="454"/>
      <c r="H400" s="454"/>
      <c r="I400" s="454"/>
      <c r="J400" s="454"/>
      <c r="K400" s="454"/>
      <c r="L400" s="454"/>
      <c r="M400" s="454"/>
      <c r="N400" s="454"/>
      <c r="O400" s="454"/>
      <c r="P400" s="454"/>
      <c r="Q400" s="454"/>
      <c r="R400" s="454"/>
      <c r="S400" s="454"/>
      <c r="T400" s="454"/>
      <c r="U400" s="454"/>
      <c r="V400" s="454"/>
      <c r="W400" s="454"/>
      <c r="X400" s="454"/>
      <c r="Y400" s="454"/>
      <c r="Z400" s="454"/>
    </row>
    <row r="401" spans="1:26" ht="15.75" customHeight="1" x14ac:dyDescent="0.25">
      <c r="A401" s="454"/>
      <c r="B401" s="475"/>
      <c r="C401" s="475"/>
      <c r="D401" s="475"/>
      <c r="E401" s="476"/>
      <c r="F401" s="475"/>
      <c r="G401" s="454"/>
      <c r="H401" s="454"/>
      <c r="I401" s="454"/>
      <c r="J401" s="454"/>
      <c r="K401" s="454"/>
      <c r="L401" s="454"/>
      <c r="M401" s="454"/>
      <c r="N401" s="454"/>
      <c r="O401" s="454"/>
      <c r="P401" s="454"/>
      <c r="Q401" s="454"/>
      <c r="R401" s="454"/>
      <c r="S401" s="454"/>
      <c r="T401" s="454"/>
      <c r="U401" s="454"/>
      <c r="V401" s="454"/>
      <c r="W401" s="454"/>
      <c r="X401" s="454"/>
      <c r="Y401" s="454"/>
      <c r="Z401" s="454"/>
    </row>
    <row r="402" spans="1:26" ht="15.75" customHeight="1" x14ac:dyDescent="0.25">
      <c r="A402" s="454"/>
      <c r="B402" s="475"/>
      <c r="C402" s="475"/>
      <c r="D402" s="475"/>
      <c r="E402" s="476"/>
      <c r="F402" s="475"/>
      <c r="G402" s="454"/>
      <c r="H402" s="454"/>
      <c r="I402" s="454"/>
      <c r="J402" s="454"/>
      <c r="K402" s="454"/>
      <c r="L402" s="454"/>
      <c r="M402" s="454"/>
      <c r="N402" s="454"/>
      <c r="O402" s="454"/>
      <c r="P402" s="454"/>
      <c r="Q402" s="454"/>
      <c r="R402" s="454"/>
      <c r="S402" s="454"/>
      <c r="T402" s="454"/>
      <c r="U402" s="454"/>
      <c r="V402" s="454"/>
      <c r="W402" s="454"/>
      <c r="X402" s="454"/>
      <c r="Y402" s="454"/>
      <c r="Z402" s="454"/>
    </row>
    <row r="403" spans="1:26" ht="15.75" customHeight="1" x14ac:dyDescent="0.25">
      <c r="A403" s="454"/>
      <c r="B403" s="475"/>
      <c r="C403" s="475"/>
      <c r="D403" s="475"/>
      <c r="E403" s="476"/>
      <c r="F403" s="475"/>
      <c r="G403" s="454"/>
      <c r="H403" s="454"/>
      <c r="I403" s="454"/>
      <c r="J403" s="454"/>
      <c r="K403" s="454"/>
      <c r="L403" s="454"/>
      <c r="M403" s="454"/>
      <c r="N403" s="454"/>
      <c r="O403" s="454"/>
      <c r="P403" s="454"/>
      <c r="Q403" s="454"/>
      <c r="R403" s="454"/>
      <c r="S403" s="454"/>
      <c r="T403" s="454"/>
      <c r="U403" s="454"/>
      <c r="V403" s="454"/>
      <c r="W403" s="454"/>
      <c r="X403" s="454"/>
      <c r="Y403" s="454"/>
      <c r="Z403" s="454"/>
    </row>
    <row r="404" spans="1:26" ht="15.75" customHeight="1" x14ac:dyDescent="0.25">
      <c r="A404" s="454"/>
      <c r="B404" s="475"/>
      <c r="C404" s="475"/>
      <c r="D404" s="475"/>
      <c r="E404" s="476"/>
      <c r="F404" s="475"/>
      <c r="G404" s="454"/>
      <c r="H404" s="454"/>
      <c r="I404" s="454"/>
      <c r="J404" s="454"/>
      <c r="K404" s="454"/>
      <c r="L404" s="454"/>
      <c r="M404" s="454"/>
      <c r="N404" s="454"/>
      <c r="O404" s="454"/>
      <c r="P404" s="454"/>
      <c r="Q404" s="454"/>
      <c r="R404" s="454"/>
      <c r="S404" s="454"/>
      <c r="T404" s="454"/>
      <c r="U404" s="454"/>
      <c r="V404" s="454"/>
      <c r="W404" s="454"/>
      <c r="X404" s="454"/>
      <c r="Y404" s="454"/>
      <c r="Z404" s="454"/>
    </row>
    <row r="405" spans="1:26" ht="15.75" customHeight="1" x14ac:dyDescent="0.25">
      <c r="A405" s="454"/>
      <c r="B405" s="475"/>
      <c r="C405" s="475"/>
      <c r="D405" s="475"/>
      <c r="E405" s="476"/>
      <c r="F405" s="475"/>
      <c r="G405" s="454"/>
      <c r="H405" s="454"/>
      <c r="I405" s="454"/>
      <c r="J405" s="454"/>
      <c r="K405" s="454"/>
      <c r="L405" s="454"/>
      <c r="M405" s="454"/>
      <c r="N405" s="454"/>
      <c r="O405" s="454"/>
      <c r="P405" s="454"/>
      <c r="Q405" s="454"/>
      <c r="R405" s="454"/>
      <c r="S405" s="454"/>
      <c r="T405" s="454"/>
      <c r="U405" s="454"/>
      <c r="V405" s="454"/>
      <c r="W405" s="454"/>
      <c r="X405" s="454"/>
      <c r="Y405" s="454"/>
      <c r="Z405" s="454"/>
    </row>
    <row r="406" spans="1:26" ht="15.75" customHeight="1" x14ac:dyDescent="0.25">
      <c r="A406" s="454"/>
      <c r="B406" s="475"/>
      <c r="C406" s="475"/>
      <c r="D406" s="475"/>
      <c r="E406" s="476"/>
      <c r="F406" s="475"/>
      <c r="G406" s="454"/>
      <c r="H406" s="454"/>
      <c r="I406" s="454"/>
      <c r="J406" s="454"/>
      <c r="K406" s="454"/>
      <c r="L406" s="454"/>
      <c r="M406" s="454"/>
      <c r="N406" s="454"/>
      <c r="O406" s="454"/>
      <c r="P406" s="454"/>
      <c r="Q406" s="454"/>
      <c r="R406" s="454"/>
      <c r="S406" s="454"/>
      <c r="T406" s="454"/>
      <c r="U406" s="454"/>
      <c r="V406" s="454"/>
      <c r="W406" s="454"/>
      <c r="X406" s="454"/>
      <c r="Y406" s="454"/>
      <c r="Z406" s="454"/>
    </row>
    <row r="407" spans="1:26" ht="15.75" customHeight="1" x14ac:dyDescent="0.25">
      <c r="A407" s="454"/>
      <c r="B407" s="475"/>
      <c r="C407" s="475"/>
      <c r="D407" s="475"/>
      <c r="E407" s="476"/>
      <c r="F407" s="475"/>
      <c r="G407" s="454"/>
      <c r="H407" s="454"/>
      <c r="I407" s="454"/>
      <c r="J407" s="454"/>
      <c r="K407" s="454"/>
      <c r="L407" s="454"/>
      <c r="M407" s="454"/>
      <c r="N407" s="454"/>
      <c r="O407" s="454"/>
      <c r="P407" s="454"/>
      <c r="Q407" s="454"/>
      <c r="R407" s="454"/>
      <c r="S407" s="454"/>
      <c r="T407" s="454"/>
      <c r="U407" s="454"/>
      <c r="V407" s="454"/>
      <c r="W407" s="454"/>
      <c r="X407" s="454"/>
      <c r="Y407" s="454"/>
      <c r="Z407" s="454"/>
    </row>
    <row r="408" spans="1:26" ht="15.75" customHeight="1" x14ac:dyDescent="0.25">
      <c r="A408" s="454"/>
      <c r="B408" s="475"/>
      <c r="C408" s="475"/>
      <c r="D408" s="475"/>
      <c r="E408" s="476"/>
      <c r="F408" s="475"/>
      <c r="G408" s="454"/>
      <c r="H408" s="454"/>
      <c r="I408" s="454"/>
      <c r="J408" s="454"/>
      <c r="K408" s="454"/>
      <c r="L408" s="454"/>
      <c r="M408" s="454"/>
      <c r="N408" s="454"/>
      <c r="O408" s="454"/>
      <c r="P408" s="454"/>
      <c r="Q408" s="454"/>
      <c r="R408" s="454"/>
      <c r="S408" s="454"/>
      <c r="T408" s="454"/>
      <c r="U408" s="454"/>
      <c r="V408" s="454"/>
      <c r="W408" s="454"/>
      <c r="X408" s="454"/>
      <c r="Y408" s="454"/>
      <c r="Z408" s="454"/>
    </row>
    <row r="409" spans="1:26" ht="15.75" customHeight="1" x14ac:dyDescent="0.25">
      <c r="A409" s="454"/>
      <c r="B409" s="475"/>
      <c r="C409" s="475"/>
      <c r="D409" s="475"/>
      <c r="E409" s="476"/>
      <c r="F409" s="475"/>
      <c r="G409" s="454"/>
      <c r="H409" s="454"/>
      <c r="I409" s="454"/>
      <c r="J409" s="454"/>
      <c r="K409" s="454"/>
      <c r="L409" s="454"/>
      <c r="M409" s="454"/>
      <c r="N409" s="454"/>
      <c r="O409" s="454"/>
      <c r="P409" s="454"/>
      <c r="Q409" s="454"/>
      <c r="R409" s="454"/>
      <c r="S409" s="454"/>
      <c r="T409" s="454"/>
      <c r="U409" s="454"/>
      <c r="V409" s="454"/>
      <c r="W409" s="454"/>
      <c r="X409" s="454"/>
      <c r="Y409" s="454"/>
      <c r="Z409" s="454"/>
    </row>
    <row r="410" spans="1:26" ht="15.75" customHeight="1" x14ac:dyDescent="0.25">
      <c r="A410" s="454"/>
      <c r="B410" s="475"/>
      <c r="C410" s="475"/>
      <c r="D410" s="475"/>
      <c r="E410" s="476"/>
      <c r="F410" s="475"/>
      <c r="G410" s="454"/>
      <c r="H410" s="454"/>
      <c r="I410" s="454"/>
      <c r="J410" s="454"/>
      <c r="K410" s="454"/>
      <c r="L410" s="454"/>
      <c r="M410" s="454"/>
      <c r="N410" s="454"/>
      <c r="O410" s="454"/>
      <c r="P410" s="454"/>
      <c r="Q410" s="454"/>
      <c r="R410" s="454"/>
      <c r="S410" s="454"/>
      <c r="T410" s="454"/>
      <c r="U410" s="454"/>
      <c r="V410" s="454"/>
      <c r="W410" s="454"/>
      <c r="X410" s="454"/>
      <c r="Y410" s="454"/>
      <c r="Z410" s="454"/>
    </row>
    <row r="411" spans="1:26" ht="15.75" customHeight="1" x14ac:dyDescent="0.25">
      <c r="A411" s="454"/>
      <c r="B411" s="475"/>
      <c r="C411" s="475"/>
      <c r="D411" s="475"/>
      <c r="E411" s="476"/>
      <c r="F411" s="475"/>
      <c r="G411" s="454"/>
      <c r="H411" s="454"/>
      <c r="I411" s="454"/>
      <c r="J411" s="454"/>
      <c r="K411" s="454"/>
      <c r="L411" s="454"/>
      <c r="M411" s="454"/>
      <c r="N411" s="454"/>
      <c r="O411" s="454"/>
      <c r="P411" s="454"/>
      <c r="Q411" s="454"/>
      <c r="R411" s="454"/>
      <c r="S411" s="454"/>
      <c r="T411" s="454"/>
      <c r="U411" s="454"/>
      <c r="V411" s="454"/>
      <c r="W411" s="454"/>
      <c r="X411" s="454"/>
      <c r="Y411" s="454"/>
      <c r="Z411" s="454"/>
    </row>
    <row r="412" spans="1:26" ht="15.75" customHeight="1" x14ac:dyDescent="0.25">
      <c r="A412" s="454"/>
      <c r="B412" s="475"/>
      <c r="C412" s="475"/>
      <c r="D412" s="475"/>
      <c r="E412" s="476"/>
      <c r="F412" s="475"/>
      <c r="G412" s="454"/>
      <c r="H412" s="454"/>
      <c r="I412" s="454"/>
      <c r="J412" s="454"/>
      <c r="K412" s="454"/>
      <c r="L412" s="454"/>
      <c r="M412" s="454"/>
      <c r="N412" s="454"/>
      <c r="O412" s="454"/>
      <c r="P412" s="454"/>
      <c r="Q412" s="454"/>
      <c r="R412" s="454"/>
      <c r="S412" s="454"/>
      <c r="T412" s="454"/>
      <c r="U412" s="454"/>
      <c r="V412" s="454"/>
      <c r="W412" s="454"/>
      <c r="X412" s="454"/>
      <c r="Y412" s="454"/>
      <c r="Z412" s="454"/>
    </row>
    <row r="413" spans="1:26" ht="15.75" customHeight="1" x14ac:dyDescent="0.25">
      <c r="A413" s="454"/>
      <c r="B413" s="475"/>
      <c r="C413" s="475"/>
      <c r="D413" s="475"/>
      <c r="E413" s="476"/>
      <c r="F413" s="475"/>
      <c r="G413" s="454"/>
      <c r="H413" s="454"/>
      <c r="I413" s="454"/>
      <c r="J413" s="454"/>
      <c r="K413" s="454"/>
      <c r="L413" s="454"/>
      <c r="M413" s="454"/>
      <c r="N413" s="454"/>
      <c r="O413" s="454"/>
      <c r="P413" s="454"/>
      <c r="Q413" s="454"/>
      <c r="R413" s="454"/>
      <c r="S413" s="454"/>
      <c r="T413" s="454"/>
      <c r="U413" s="454"/>
      <c r="V413" s="454"/>
      <c r="W413" s="454"/>
      <c r="X413" s="454"/>
      <c r="Y413" s="454"/>
      <c r="Z413" s="454"/>
    </row>
    <row r="414" spans="1:26" ht="15.75" customHeight="1" x14ac:dyDescent="0.25">
      <c r="A414" s="454"/>
      <c r="B414" s="475"/>
      <c r="C414" s="475"/>
      <c r="D414" s="475"/>
      <c r="E414" s="476"/>
      <c r="F414" s="475"/>
      <c r="G414" s="454"/>
      <c r="H414" s="454"/>
      <c r="I414" s="454"/>
      <c r="J414" s="454"/>
      <c r="K414" s="454"/>
      <c r="L414" s="454"/>
      <c r="M414" s="454"/>
      <c r="N414" s="454"/>
      <c r="O414" s="454"/>
      <c r="P414" s="454"/>
      <c r="Q414" s="454"/>
      <c r="R414" s="454"/>
      <c r="S414" s="454"/>
      <c r="T414" s="454"/>
      <c r="U414" s="454"/>
      <c r="V414" s="454"/>
      <c r="W414" s="454"/>
      <c r="X414" s="454"/>
      <c r="Y414" s="454"/>
      <c r="Z414" s="454"/>
    </row>
    <row r="415" spans="1:26" ht="15.75" customHeight="1" x14ac:dyDescent="0.25">
      <c r="A415" s="454"/>
      <c r="B415" s="475"/>
      <c r="C415" s="475"/>
      <c r="D415" s="475"/>
      <c r="E415" s="476"/>
      <c r="F415" s="475"/>
      <c r="G415" s="454"/>
      <c r="H415" s="454"/>
      <c r="I415" s="454"/>
      <c r="J415" s="454"/>
      <c r="K415" s="454"/>
      <c r="L415" s="454"/>
      <c r="M415" s="454"/>
      <c r="N415" s="454"/>
      <c r="O415" s="454"/>
      <c r="P415" s="454"/>
      <c r="Q415" s="454"/>
      <c r="R415" s="454"/>
      <c r="S415" s="454"/>
      <c r="T415" s="454"/>
      <c r="U415" s="454"/>
      <c r="V415" s="454"/>
      <c r="W415" s="454"/>
      <c r="X415" s="454"/>
      <c r="Y415" s="454"/>
      <c r="Z415" s="454"/>
    </row>
    <row r="416" spans="1:26" ht="15.75" customHeight="1" x14ac:dyDescent="0.25">
      <c r="A416" s="454"/>
      <c r="B416" s="475"/>
      <c r="C416" s="475"/>
      <c r="D416" s="475"/>
      <c r="E416" s="476"/>
      <c r="F416" s="475"/>
      <c r="G416" s="454"/>
      <c r="H416" s="454"/>
      <c r="I416" s="454"/>
      <c r="J416" s="454"/>
      <c r="K416" s="454"/>
      <c r="L416" s="454"/>
      <c r="M416" s="454"/>
      <c r="N416" s="454"/>
      <c r="O416" s="454"/>
      <c r="P416" s="454"/>
      <c r="Q416" s="454"/>
      <c r="R416" s="454"/>
      <c r="S416" s="454"/>
      <c r="T416" s="454"/>
      <c r="U416" s="454"/>
      <c r="V416" s="454"/>
      <c r="W416" s="454"/>
      <c r="X416" s="454"/>
      <c r="Y416" s="454"/>
      <c r="Z416" s="454"/>
    </row>
    <row r="417" spans="1:26" ht="15.75" customHeight="1" x14ac:dyDescent="0.25">
      <c r="A417" s="454"/>
      <c r="B417" s="475"/>
      <c r="C417" s="475"/>
      <c r="D417" s="475"/>
      <c r="E417" s="476"/>
      <c r="F417" s="475"/>
      <c r="G417" s="454"/>
      <c r="H417" s="454"/>
      <c r="I417" s="454"/>
      <c r="J417" s="454"/>
      <c r="K417" s="454"/>
      <c r="L417" s="454"/>
      <c r="M417" s="454"/>
      <c r="N417" s="454"/>
      <c r="O417" s="454"/>
      <c r="P417" s="454"/>
      <c r="Q417" s="454"/>
      <c r="R417" s="454"/>
      <c r="S417" s="454"/>
      <c r="T417" s="454"/>
      <c r="U417" s="454"/>
      <c r="V417" s="454"/>
      <c r="W417" s="454"/>
      <c r="X417" s="454"/>
      <c r="Y417" s="454"/>
      <c r="Z417" s="454"/>
    </row>
    <row r="418" spans="1:26" ht="15.75" customHeight="1" x14ac:dyDescent="0.25">
      <c r="A418" s="454"/>
      <c r="B418" s="475"/>
      <c r="C418" s="475"/>
      <c r="D418" s="475"/>
      <c r="E418" s="476"/>
      <c r="F418" s="475"/>
      <c r="G418" s="454"/>
      <c r="H418" s="454"/>
      <c r="I418" s="454"/>
      <c r="J418" s="454"/>
      <c r="K418" s="454"/>
      <c r="L418" s="454"/>
      <c r="M418" s="454"/>
      <c r="N418" s="454"/>
      <c r="O418" s="454"/>
      <c r="P418" s="454"/>
      <c r="Q418" s="454"/>
      <c r="R418" s="454"/>
      <c r="S418" s="454"/>
      <c r="T418" s="454"/>
      <c r="U418" s="454"/>
      <c r="V418" s="454"/>
      <c r="W418" s="454"/>
      <c r="X418" s="454"/>
      <c r="Y418" s="454"/>
      <c r="Z418" s="454"/>
    </row>
    <row r="419" spans="1:26" ht="15.75" customHeight="1" x14ac:dyDescent="0.25">
      <c r="A419" s="454"/>
      <c r="B419" s="475"/>
      <c r="C419" s="475"/>
      <c r="D419" s="475"/>
      <c r="E419" s="476"/>
      <c r="F419" s="475"/>
      <c r="G419" s="454"/>
      <c r="H419" s="454"/>
      <c r="I419" s="454"/>
      <c r="J419" s="454"/>
      <c r="K419" s="454"/>
      <c r="L419" s="454"/>
      <c r="M419" s="454"/>
      <c r="N419" s="454"/>
      <c r="O419" s="454"/>
      <c r="P419" s="454"/>
      <c r="Q419" s="454"/>
      <c r="R419" s="454"/>
      <c r="S419" s="454"/>
      <c r="T419" s="454"/>
      <c r="U419" s="454"/>
      <c r="V419" s="454"/>
      <c r="W419" s="454"/>
      <c r="X419" s="454"/>
      <c r="Y419" s="454"/>
      <c r="Z419" s="454"/>
    </row>
    <row r="420" spans="1:26" ht="15.75" customHeight="1" x14ac:dyDescent="0.25">
      <c r="A420" s="454"/>
      <c r="B420" s="475"/>
      <c r="C420" s="475"/>
      <c r="D420" s="475"/>
      <c r="E420" s="476"/>
      <c r="F420" s="475"/>
      <c r="G420" s="454"/>
      <c r="H420" s="454"/>
      <c r="I420" s="454"/>
      <c r="J420" s="454"/>
      <c r="K420" s="454"/>
      <c r="L420" s="454"/>
      <c r="M420" s="454"/>
      <c r="N420" s="454"/>
      <c r="O420" s="454"/>
      <c r="P420" s="454"/>
      <c r="Q420" s="454"/>
      <c r="R420" s="454"/>
      <c r="S420" s="454"/>
      <c r="T420" s="454"/>
      <c r="U420" s="454"/>
      <c r="V420" s="454"/>
      <c r="W420" s="454"/>
      <c r="X420" s="454"/>
      <c r="Y420" s="454"/>
      <c r="Z420" s="454"/>
    </row>
    <row r="421" spans="1:26" ht="15.75" customHeight="1" x14ac:dyDescent="0.25">
      <c r="A421" s="454"/>
      <c r="B421" s="475"/>
      <c r="C421" s="475"/>
      <c r="D421" s="475"/>
      <c r="E421" s="476"/>
      <c r="F421" s="475"/>
      <c r="G421" s="454"/>
      <c r="H421" s="454"/>
      <c r="I421" s="454"/>
      <c r="J421" s="454"/>
      <c r="K421" s="454"/>
      <c r="L421" s="454"/>
      <c r="M421" s="454"/>
      <c r="N421" s="454"/>
      <c r="O421" s="454"/>
      <c r="P421" s="454"/>
      <c r="Q421" s="454"/>
      <c r="R421" s="454"/>
      <c r="S421" s="454"/>
      <c r="T421" s="454"/>
      <c r="U421" s="454"/>
      <c r="V421" s="454"/>
      <c r="W421" s="454"/>
      <c r="X421" s="454"/>
      <c r="Y421" s="454"/>
      <c r="Z421" s="454"/>
    </row>
    <row r="422" spans="1:26" ht="15.75" customHeight="1" x14ac:dyDescent="0.25">
      <c r="A422" s="454"/>
      <c r="B422" s="475"/>
      <c r="C422" s="475"/>
      <c r="D422" s="475"/>
      <c r="E422" s="476"/>
      <c r="F422" s="475"/>
      <c r="G422" s="454"/>
      <c r="H422" s="454"/>
      <c r="I422" s="454"/>
      <c r="J422" s="454"/>
      <c r="K422" s="454"/>
      <c r="L422" s="454"/>
      <c r="M422" s="454"/>
      <c r="N422" s="454"/>
      <c r="O422" s="454"/>
      <c r="P422" s="454"/>
      <c r="Q422" s="454"/>
      <c r="R422" s="454"/>
      <c r="S422" s="454"/>
      <c r="T422" s="454"/>
      <c r="U422" s="454"/>
      <c r="V422" s="454"/>
      <c r="W422" s="454"/>
      <c r="X422" s="454"/>
      <c r="Y422" s="454"/>
      <c r="Z422" s="454"/>
    </row>
    <row r="423" spans="1:26" ht="15.75" customHeight="1" x14ac:dyDescent="0.25">
      <c r="A423" s="454"/>
      <c r="B423" s="475"/>
      <c r="C423" s="475"/>
      <c r="D423" s="475"/>
      <c r="E423" s="476"/>
      <c r="F423" s="475"/>
      <c r="G423" s="454"/>
      <c r="H423" s="454"/>
      <c r="I423" s="454"/>
      <c r="J423" s="454"/>
      <c r="K423" s="454"/>
      <c r="L423" s="454"/>
      <c r="M423" s="454"/>
      <c r="N423" s="454"/>
      <c r="O423" s="454"/>
      <c r="P423" s="454"/>
      <c r="Q423" s="454"/>
      <c r="R423" s="454"/>
      <c r="S423" s="454"/>
      <c r="T423" s="454"/>
      <c r="U423" s="454"/>
      <c r="V423" s="454"/>
      <c r="W423" s="454"/>
      <c r="X423" s="454"/>
      <c r="Y423" s="454"/>
      <c r="Z423" s="454"/>
    </row>
    <row r="424" spans="1:26" ht="15.75" customHeight="1" x14ac:dyDescent="0.25">
      <c r="A424" s="454"/>
      <c r="B424" s="475"/>
      <c r="C424" s="475"/>
      <c r="D424" s="475"/>
      <c r="E424" s="476"/>
      <c r="F424" s="475"/>
      <c r="G424" s="454"/>
      <c r="H424" s="454"/>
      <c r="I424" s="454"/>
      <c r="J424" s="454"/>
      <c r="K424" s="454"/>
      <c r="L424" s="454"/>
      <c r="M424" s="454"/>
      <c r="N424" s="454"/>
      <c r="O424" s="454"/>
      <c r="P424" s="454"/>
      <c r="Q424" s="454"/>
      <c r="R424" s="454"/>
      <c r="S424" s="454"/>
      <c r="T424" s="454"/>
      <c r="U424" s="454"/>
      <c r="V424" s="454"/>
      <c r="W424" s="454"/>
      <c r="X424" s="454"/>
      <c r="Y424" s="454"/>
      <c r="Z424" s="454"/>
    </row>
    <row r="425" spans="1:26" ht="15.75" customHeight="1" x14ac:dyDescent="0.25">
      <c r="A425" s="454"/>
      <c r="B425" s="475"/>
      <c r="C425" s="475"/>
      <c r="D425" s="475"/>
      <c r="E425" s="476"/>
      <c r="F425" s="475"/>
      <c r="G425" s="454"/>
      <c r="H425" s="454"/>
      <c r="I425" s="454"/>
      <c r="J425" s="454"/>
      <c r="K425" s="454"/>
      <c r="L425" s="454"/>
      <c r="M425" s="454"/>
      <c r="N425" s="454"/>
      <c r="O425" s="454"/>
      <c r="P425" s="454"/>
      <c r="Q425" s="454"/>
      <c r="R425" s="454"/>
      <c r="S425" s="454"/>
      <c r="T425" s="454"/>
      <c r="U425" s="454"/>
      <c r="V425" s="454"/>
      <c r="W425" s="454"/>
      <c r="X425" s="454"/>
      <c r="Y425" s="454"/>
      <c r="Z425" s="454"/>
    </row>
    <row r="426" spans="1:26" ht="15.75" customHeight="1" x14ac:dyDescent="0.25">
      <c r="A426" s="454"/>
      <c r="B426" s="475"/>
      <c r="C426" s="475"/>
      <c r="D426" s="475"/>
      <c r="E426" s="476"/>
      <c r="F426" s="475"/>
      <c r="G426" s="454"/>
      <c r="H426" s="454"/>
      <c r="I426" s="454"/>
      <c r="J426" s="454"/>
      <c r="K426" s="454"/>
      <c r="L426" s="454"/>
      <c r="M426" s="454"/>
      <c r="N426" s="454"/>
      <c r="O426" s="454"/>
      <c r="P426" s="454"/>
      <c r="Q426" s="454"/>
      <c r="R426" s="454"/>
      <c r="S426" s="454"/>
      <c r="T426" s="454"/>
      <c r="U426" s="454"/>
      <c r="V426" s="454"/>
      <c r="W426" s="454"/>
      <c r="X426" s="454"/>
      <c r="Y426" s="454"/>
      <c r="Z426" s="454"/>
    </row>
    <row r="427" spans="1:26" ht="15.75" customHeight="1" x14ac:dyDescent="0.25">
      <c r="A427" s="454"/>
      <c r="B427" s="475"/>
      <c r="C427" s="475"/>
      <c r="D427" s="475"/>
      <c r="E427" s="476"/>
      <c r="F427" s="475"/>
      <c r="G427" s="454"/>
      <c r="H427" s="454"/>
      <c r="I427" s="454"/>
      <c r="J427" s="454"/>
      <c r="K427" s="454"/>
      <c r="L427" s="454"/>
      <c r="M427" s="454"/>
      <c r="N427" s="454"/>
      <c r="O427" s="454"/>
      <c r="P427" s="454"/>
      <c r="Q427" s="454"/>
      <c r="R427" s="454"/>
      <c r="S427" s="454"/>
      <c r="T427" s="454"/>
      <c r="U427" s="454"/>
      <c r="V427" s="454"/>
      <c r="W427" s="454"/>
      <c r="X427" s="454"/>
      <c r="Y427" s="454"/>
      <c r="Z427" s="454"/>
    </row>
    <row r="428" spans="1:26" ht="15.75" customHeight="1" x14ac:dyDescent="0.25">
      <c r="A428" s="454"/>
      <c r="B428" s="475"/>
      <c r="C428" s="475"/>
      <c r="D428" s="475"/>
      <c r="E428" s="476"/>
      <c r="F428" s="475"/>
      <c r="G428" s="454"/>
      <c r="H428" s="454"/>
      <c r="I428" s="454"/>
      <c r="J428" s="454"/>
      <c r="K428" s="454"/>
      <c r="L428" s="454"/>
      <c r="M428" s="454"/>
      <c r="N428" s="454"/>
      <c r="O428" s="454"/>
      <c r="P428" s="454"/>
      <c r="Q428" s="454"/>
      <c r="R428" s="454"/>
      <c r="S428" s="454"/>
      <c r="T428" s="454"/>
      <c r="U428" s="454"/>
      <c r="V428" s="454"/>
      <c r="W428" s="454"/>
      <c r="X428" s="454"/>
      <c r="Y428" s="454"/>
      <c r="Z428" s="454"/>
    </row>
    <row r="429" spans="1:26" ht="15.75" customHeight="1" x14ac:dyDescent="0.25">
      <c r="A429" s="454"/>
      <c r="B429" s="475"/>
      <c r="C429" s="475"/>
      <c r="D429" s="475"/>
      <c r="E429" s="476"/>
      <c r="F429" s="475"/>
      <c r="G429" s="454"/>
      <c r="H429" s="454"/>
      <c r="I429" s="454"/>
      <c r="J429" s="454"/>
      <c r="K429" s="454"/>
      <c r="L429" s="454"/>
      <c r="M429" s="454"/>
      <c r="N429" s="454"/>
      <c r="O429" s="454"/>
      <c r="P429" s="454"/>
      <c r="Q429" s="454"/>
      <c r="R429" s="454"/>
      <c r="S429" s="454"/>
      <c r="T429" s="454"/>
      <c r="U429" s="454"/>
      <c r="V429" s="454"/>
      <c r="W429" s="454"/>
      <c r="X429" s="454"/>
      <c r="Y429" s="454"/>
      <c r="Z429" s="454"/>
    </row>
    <row r="430" spans="1:26" ht="15.75" customHeight="1" x14ac:dyDescent="0.25">
      <c r="A430" s="454"/>
      <c r="B430" s="475"/>
      <c r="C430" s="475"/>
      <c r="D430" s="475"/>
      <c r="E430" s="476"/>
      <c r="F430" s="475"/>
      <c r="G430" s="454"/>
      <c r="H430" s="454"/>
      <c r="I430" s="454"/>
      <c r="J430" s="454"/>
      <c r="K430" s="454"/>
      <c r="L430" s="454"/>
      <c r="M430" s="454"/>
      <c r="N430" s="454"/>
      <c r="O430" s="454"/>
      <c r="P430" s="454"/>
      <c r="Q430" s="454"/>
      <c r="R430" s="454"/>
      <c r="S430" s="454"/>
      <c r="T430" s="454"/>
      <c r="U430" s="454"/>
      <c r="V430" s="454"/>
      <c r="W430" s="454"/>
      <c r="X430" s="454"/>
      <c r="Y430" s="454"/>
      <c r="Z430" s="454"/>
    </row>
    <row r="431" spans="1:26" ht="15.75" customHeight="1" x14ac:dyDescent="0.25">
      <c r="A431" s="454"/>
      <c r="B431" s="475"/>
      <c r="C431" s="475"/>
      <c r="D431" s="475"/>
      <c r="E431" s="476"/>
      <c r="F431" s="475"/>
      <c r="G431" s="454"/>
      <c r="H431" s="454"/>
      <c r="I431" s="454"/>
      <c r="J431" s="454"/>
      <c r="K431" s="454"/>
      <c r="L431" s="454"/>
      <c r="M431" s="454"/>
      <c r="N431" s="454"/>
      <c r="O431" s="454"/>
      <c r="P431" s="454"/>
      <c r="Q431" s="454"/>
      <c r="R431" s="454"/>
      <c r="S431" s="454"/>
      <c r="T431" s="454"/>
      <c r="U431" s="454"/>
      <c r="V431" s="454"/>
      <c r="W431" s="454"/>
      <c r="X431" s="454"/>
      <c r="Y431" s="454"/>
      <c r="Z431" s="454"/>
    </row>
    <row r="432" spans="1:26" ht="15.75" customHeight="1" x14ac:dyDescent="0.25">
      <c r="A432" s="454"/>
      <c r="B432" s="475"/>
      <c r="C432" s="475"/>
      <c r="D432" s="475"/>
      <c r="E432" s="476"/>
      <c r="F432" s="475"/>
      <c r="G432" s="454"/>
      <c r="H432" s="454"/>
      <c r="I432" s="454"/>
      <c r="J432" s="454"/>
      <c r="K432" s="454"/>
      <c r="L432" s="454"/>
      <c r="M432" s="454"/>
      <c r="N432" s="454"/>
      <c r="O432" s="454"/>
      <c r="P432" s="454"/>
      <c r="Q432" s="454"/>
      <c r="R432" s="454"/>
      <c r="S432" s="454"/>
      <c r="T432" s="454"/>
      <c r="U432" s="454"/>
      <c r="V432" s="454"/>
      <c r="W432" s="454"/>
      <c r="X432" s="454"/>
      <c r="Y432" s="454"/>
      <c r="Z432" s="454"/>
    </row>
    <row r="433" spans="1:26" ht="15.75" customHeight="1" x14ac:dyDescent="0.25">
      <c r="A433" s="454"/>
      <c r="B433" s="475"/>
      <c r="C433" s="475"/>
      <c r="D433" s="475"/>
      <c r="E433" s="476"/>
      <c r="F433" s="475"/>
      <c r="G433" s="454"/>
      <c r="H433" s="454"/>
      <c r="I433" s="454"/>
      <c r="J433" s="454"/>
      <c r="K433" s="454"/>
      <c r="L433" s="454"/>
      <c r="M433" s="454"/>
      <c r="N433" s="454"/>
      <c r="O433" s="454"/>
      <c r="P433" s="454"/>
      <c r="Q433" s="454"/>
      <c r="R433" s="454"/>
      <c r="S433" s="454"/>
      <c r="T433" s="454"/>
      <c r="U433" s="454"/>
      <c r="V433" s="454"/>
      <c r="W433" s="454"/>
      <c r="X433" s="454"/>
      <c r="Y433" s="454"/>
      <c r="Z433" s="454"/>
    </row>
    <row r="434" spans="1:26" ht="15.75" customHeight="1" x14ac:dyDescent="0.25">
      <c r="A434" s="454"/>
      <c r="B434" s="475"/>
      <c r="C434" s="475"/>
      <c r="D434" s="475"/>
      <c r="E434" s="476"/>
      <c r="F434" s="475"/>
      <c r="G434" s="454"/>
      <c r="H434" s="454"/>
      <c r="I434" s="454"/>
      <c r="J434" s="454"/>
      <c r="K434" s="454"/>
      <c r="L434" s="454"/>
      <c r="M434" s="454"/>
      <c r="N434" s="454"/>
      <c r="O434" s="454"/>
      <c r="P434" s="454"/>
      <c r="Q434" s="454"/>
      <c r="R434" s="454"/>
      <c r="S434" s="454"/>
      <c r="T434" s="454"/>
      <c r="U434" s="454"/>
      <c r="V434" s="454"/>
      <c r="W434" s="454"/>
      <c r="X434" s="454"/>
      <c r="Y434" s="454"/>
      <c r="Z434" s="454"/>
    </row>
    <row r="435" spans="1:26" ht="15.75" customHeight="1" x14ac:dyDescent="0.25">
      <c r="A435" s="454"/>
      <c r="B435" s="475"/>
      <c r="C435" s="475"/>
      <c r="D435" s="475"/>
      <c r="E435" s="476"/>
      <c r="F435" s="475"/>
      <c r="G435" s="454"/>
      <c r="H435" s="454"/>
      <c r="I435" s="454"/>
      <c r="J435" s="454"/>
      <c r="K435" s="454"/>
      <c r="L435" s="454"/>
      <c r="M435" s="454"/>
      <c r="N435" s="454"/>
      <c r="O435" s="454"/>
      <c r="P435" s="454"/>
      <c r="Q435" s="454"/>
      <c r="R435" s="454"/>
      <c r="S435" s="454"/>
      <c r="T435" s="454"/>
      <c r="U435" s="454"/>
      <c r="V435" s="454"/>
      <c r="W435" s="454"/>
      <c r="X435" s="454"/>
      <c r="Y435" s="454"/>
      <c r="Z435" s="454"/>
    </row>
    <row r="436" spans="1:26" ht="15.75" customHeight="1" x14ac:dyDescent="0.25">
      <c r="A436" s="454"/>
      <c r="B436" s="475"/>
      <c r="C436" s="475"/>
      <c r="D436" s="475"/>
      <c r="E436" s="476"/>
      <c r="F436" s="475"/>
      <c r="G436" s="454"/>
      <c r="H436" s="454"/>
      <c r="I436" s="454"/>
      <c r="J436" s="454"/>
      <c r="K436" s="454"/>
      <c r="L436" s="454"/>
      <c r="M436" s="454"/>
      <c r="N436" s="454"/>
      <c r="O436" s="454"/>
      <c r="P436" s="454"/>
      <c r="Q436" s="454"/>
      <c r="R436" s="454"/>
      <c r="S436" s="454"/>
      <c r="T436" s="454"/>
      <c r="U436" s="454"/>
      <c r="V436" s="454"/>
      <c r="W436" s="454"/>
      <c r="X436" s="454"/>
      <c r="Y436" s="454"/>
      <c r="Z436" s="454"/>
    </row>
    <row r="437" spans="1:26" ht="15.75" customHeight="1" x14ac:dyDescent="0.25">
      <c r="A437" s="454"/>
      <c r="B437" s="475"/>
      <c r="C437" s="475"/>
      <c r="D437" s="475"/>
      <c r="E437" s="476"/>
      <c r="F437" s="475"/>
      <c r="G437" s="454"/>
      <c r="H437" s="454"/>
      <c r="I437" s="454"/>
      <c r="J437" s="454"/>
      <c r="K437" s="454"/>
      <c r="L437" s="454"/>
      <c r="M437" s="454"/>
      <c r="N437" s="454"/>
      <c r="O437" s="454"/>
      <c r="P437" s="454"/>
      <c r="Q437" s="454"/>
      <c r="R437" s="454"/>
      <c r="S437" s="454"/>
      <c r="T437" s="454"/>
      <c r="U437" s="454"/>
      <c r="V437" s="454"/>
      <c r="W437" s="454"/>
      <c r="X437" s="454"/>
      <c r="Y437" s="454"/>
      <c r="Z437" s="454"/>
    </row>
    <row r="438" spans="1:26" ht="15.75" customHeight="1" x14ac:dyDescent="0.25">
      <c r="A438" s="454"/>
      <c r="B438" s="475"/>
      <c r="C438" s="475"/>
      <c r="D438" s="475"/>
      <c r="E438" s="476"/>
      <c r="F438" s="475"/>
      <c r="G438" s="454"/>
      <c r="H438" s="454"/>
      <c r="I438" s="454"/>
      <c r="J438" s="454"/>
      <c r="K438" s="454"/>
      <c r="L438" s="454"/>
      <c r="M438" s="454"/>
      <c r="N438" s="454"/>
      <c r="O438" s="454"/>
      <c r="P438" s="454"/>
      <c r="Q438" s="454"/>
      <c r="R438" s="454"/>
      <c r="S438" s="454"/>
      <c r="T438" s="454"/>
      <c r="U438" s="454"/>
      <c r="V438" s="454"/>
      <c r="W438" s="454"/>
      <c r="X438" s="454"/>
      <c r="Y438" s="454"/>
      <c r="Z438" s="454"/>
    </row>
    <row r="439" spans="1:26" ht="15.75" customHeight="1" x14ac:dyDescent="0.25">
      <c r="A439" s="454"/>
      <c r="B439" s="475"/>
      <c r="C439" s="475"/>
      <c r="D439" s="475"/>
      <c r="E439" s="476"/>
      <c r="F439" s="475"/>
      <c r="G439" s="454"/>
      <c r="H439" s="454"/>
      <c r="I439" s="454"/>
      <c r="J439" s="454"/>
      <c r="K439" s="454"/>
      <c r="L439" s="454"/>
      <c r="M439" s="454"/>
      <c r="N439" s="454"/>
      <c r="O439" s="454"/>
      <c r="P439" s="454"/>
      <c r="Q439" s="454"/>
      <c r="R439" s="454"/>
      <c r="S439" s="454"/>
      <c r="T439" s="454"/>
      <c r="U439" s="454"/>
      <c r="V439" s="454"/>
      <c r="W439" s="454"/>
      <c r="X439" s="454"/>
      <c r="Y439" s="454"/>
      <c r="Z439" s="454"/>
    </row>
    <row r="440" spans="1:26" ht="15.75" customHeight="1" x14ac:dyDescent="0.25">
      <c r="A440" s="454"/>
      <c r="B440" s="475"/>
      <c r="C440" s="475"/>
      <c r="D440" s="475"/>
      <c r="E440" s="476"/>
      <c r="F440" s="475"/>
      <c r="G440" s="454"/>
      <c r="H440" s="454"/>
      <c r="I440" s="454"/>
      <c r="J440" s="454"/>
      <c r="K440" s="454"/>
      <c r="L440" s="454"/>
      <c r="M440" s="454"/>
      <c r="N440" s="454"/>
      <c r="O440" s="454"/>
      <c r="P440" s="454"/>
      <c r="Q440" s="454"/>
      <c r="R440" s="454"/>
      <c r="S440" s="454"/>
      <c r="T440" s="454"/>
      <c r="U440" s="454"/>
      <c r="V440" s="454"/>
      <c r="W440" s="454"/>
      <c r="X440" s="454"/>
      <c r="Y440" s="454"/>
      <c r="Z440" s="454"/>
    </row>
    <row r="441" spans="1:26" ht="15.75" customHeight="1" x14ac:dyDescent="0.25">
      <c r="A441" s="454"/>
      <c r="B441" s="475"/>
      <c r="C441" s="475"/>
      <c r="D441" s="475"/>
      <c r="E441" s="476"/>
      <c r="F441" s="475"/>
      <c r="G441" s="454"/>
      <c r="H441" s="454"/>
      <c r="I441" s="454"/>
      <c r="J441" s="454"/>
      <c r="K441" s="454"/>
      <c r="L441" s="454"/>
      <c r="M441" s="454"/>
      <c r="N441" s="454"/>
      <c r="O441" s="454"/>
      <c r="P441" s="454"/>
      <c r="Q441" s="454"/>
      <c r="R441" s="454"/>
      <c r="S441" s="454"/>
      <c r="T441" s="454"/>
      <c r="U441" s="454"/>
      <c r="V441" s="454"/>
      <c r="W441" s="454"/>
      <c r="X441" s="454"/>
      <c r="Y441" s="454"/>
      <c r="Z441" s="454"/>
    </row>
    <row r="442" spans="1:26" ht="15.75" customHeight="1" x14ac:dyDescent="0.25">
      <c r="A442" s="454"/>
      <c r="B442" s="475"/>
      <c r="C442" s="475"/>
      <c r="D442" s="475"/>
      <c r="E442" s="476"/>
      <c r="F442" s="475"/>
      <c r="G442" s="454"/>
      <c r="H442" s="454"/>
      <c r="I442" s="454"/>
      <c r="J442" s="454"/>
      <c r="K442" s="454"/>
      <c r="L442" s="454"/>
      <c r="M442" s="454"/>
      <c r="N442" s="454"/>
      <c r="O442" s="454"/>
      <c r="P442" s="454"/>
      <c r="Q442" s="454"/>
      <c r="R442" s="454"/>
      <c r="S442" s="454"/>
      <c r="T442" s="454"/>
      <c r="U442" s="454"/>
      <c r="V442" s="454"/>
      <c r="W442" s="454"/>
      <c r="X442" s="454"/>
      <c r="Y442" s="454"/>
      <c r="Z442" s="454"/>
    </row>
    <row r="443" spans="1:26" ht="15.75" customHeight="1" x14ac:dyDescent="0.25">
      <c r="A443" s="454"/>
      <c r="B443" s="475"/>
      <c r="C443" s="475"/>
      <c r="D443" s="475"/>
      <c r="E443" s="476"/>
      <c r="F443" s="475"/>
      <c r="G443" s="454"/>
      <c r="H443" s="454"/>
      <c r="I443" s="454"/>
      <c r="J443" s="454"/>
      <c r="K443" s="454"/>
      <c r="L443" s="454"/>
      <c r="M443" s="454"/>
      <c r="N443" s="454"/>
      <c r="O443" s="454"/>
      <c r="P443" s="454"/>
      <c r="Q443" s="454"/>
      <c r="R443" s="454"/>
      <c r="S443" s="454"/>
      <c r="T443" s="454"/>
      <c r="U443" s="454"/>
      <c r="V443" s="454"/>
      <c r="W443" s="454"/>
      <c r="X443" s="454"/>
      <c r="Y443" s="454"/>
      <c r="Z443" s="454"/>
    </row>
    <row r="444" spans="1:26" ht="15.75" customHeight="1" x14ac:dyDescent="0.25">
      <c r="A444" s="454"/>
      <c r="B444" s="475"/>
      <c r="C444" s="475"/>
      <c r="D444" s="475"/>
      <c r="E444" s="476"/>
      <c r="F444" s="475"/>
      <c r="G444" s="454"/>
      <c r="H444" s="454"/>
      <c r="I444" s="454"/>
      <c r="J444" s="454"/>
      <c r="K444" s="454"/>
      <c r="L444" s="454"/>
      <c r="M444" s="454"/>
      <c r="N444" s="454"/>
      <c r="O444" s="454"/>
      <c r="P444" s="454"/>
      <c r="Q444" s="454"/>
      <c r="R444" s="454"/>
      <c r="S444" s="454"/>
      <c r="T444" s="454"/>
      <c r="U444" s="454"/>
      <c r="V444" s="454"/>
      <c r="W444" s="454"/>
      <c r="X444" s="454"/>
      <c r="Y444" s="454"/>
      <c r="Z444" s="454"/>
    </row>
    <row r="445" spans="1:26" ht="15.75" customHeight="1" x14ac:dyDescent="0.25">
      <c r="A445" s="454"/>
      <c r="B445" s="475"/>
      <c r="C445" s="475"/>
      <c r="D445" s="475"/>
      <c r="E445" s="476"/>
      <c r="F445" s="475"/>
      <c r="G445" s="454"/>
      <c r="H445" s="454"/>
      <c r="I445" s="454"/>
      <c r="J445" s="454"/>
      <c r="K445" s="454"/>
      <c r="L445" s="454"/>
      <c r="M445" s="454"/>
      <c r="N445" s="454"/>
      <c r="O445" s="454"/>
      <c r="P445" s="454"/>
      <c r="Q445" s="454"/>
      <c r="R445" s="454"/>
      <c r="S445" s="454"/>
      <c r="T445" s="454"/>
      <c r="U445" s="454"/>
      <c r="V445" s="454"/>
      <c r="W445" s="454"/>
      <c r="X445" s="454"/>
      <c r="Y445" s="454"/>
      <c r="Z445" s="454"/>
    </row>
    <row r="446" spans="1:26" ht="15.75" customHeight="1" x14ac:dyDescent="0.25">
      <c r="A446" s="454"/>
      <c r="B446" s="475"/>
      <c r="C446" s="475"/>
      <c r="D446" s="475"/>
      <c r="E446" s="476"/>
      <c r="F446" s="475"/>
      <c r="G446" s="454"/>
      <c r="H446" s="454"/>
      <c r="I446" s="454"/>
      <c r="J446" s="454"/>
      <c r="K446" s="454"/>
      <c r="L446" s="454"/>
      <c r="M446" s="454"/>
      <c r="N446" s="454"/>
      <c r="O446" s="454"/>
      <c r="P446" s="454"/>
      <c r="Q446" s="454"/>
      <c r="R446" s="454"/>
      <c r="S446" s="454"/>
      <c r="T446" s="454"/>
      <c r="U446" s="454"/>
      <c r="V446" s="454"/>
      <c r="W446" s="454"/>
      <c r="X446" s="454"/>
      <c r="Y446" s="454"/>
      <c r="Z446" s="454"/>
    </row>
    <row r="447" spans="1:26" ht="15.75" customHeight="1" x14ac:dyDescent="0.25">
      <c r="A447" s="454"/>
      <c r="B447" s="475"/>
      <c r="C447" s="475"/>
      <c r="D447" s="475"/>
      <c r="E447" s="476"/>
      <c r="F447" s="475"/>
      <c r="G447" s="454"/>
      <c r="H447" s="454"/>
      <c r="I447" s="454"/>
      <c r="J447" s="454"/>
      <c r="K447" s="454"/>
      <c r="L447" s="454"/>
      <c r="M447" s="454"/>
      <c r="N447" s="454"/>
      <c r="O447" s="454"/>
      <c r="P447" s="454"/>
      <c r="Q447" s="454"/>
      <c r="R447" s="454"/>
      <c r="S447" s="454"/>
      <c r="T447" s="454"/>
      <c r="U447" s="454"/>
      <c r="V447" s="454"/>
      <c r="W447" s="454"/>
      <c r="X447" s="454"/>
      <c r="Y447" s="454"/>
      <c r="Z447" s="454"/>
    </row>
    <row r="448" spans="1:26" ht="15.75" customHeight="1" x14ac:dyDescent="0.25">
      <c r="A448" s="454"/>
      <c r="B448" s="475"/>
      <c r="C448" s="475"/>
      <c r="D448" s="475"/>
      <c r="E448" s="476"/>
      <c r="F448" s="475"/>
      <c r="G448" s="454"/>
      <c r="H448" s="454"/>
      <c r="I448" s="454"/>
      <c r="J448" s="454"/>
      <c r="K448" s="454"/>
      <c r="L448" s="454"/>
      <c r="M448" s="454"/>
      <c r="N448" s="454"/>
      <c r="O448" s="454"/>
      <c r="P448" s="454"/>
      <c r="Q448" s="454"/>
      <c r="R448" s="454"/>
      <c r="S448" s="454"/>
      <c r="T448" s="454"/>
      <c r="U448" s="454"/>
      <c r="V448" s="454"/>
      <c r="W448" s="454"/>
      <c r="X448" s="454"/>
      <c r="Y448" s="454"/>
      <c r="Z448" s="454"/>
    </row>
    <row r="449" spans="1:26" ht="15.75" customHeight="1" x14ac:dyDescent="0.25">
      <c r="A449" s="454"/>
      <c r="B449" s="475"/>
      <c r="C449" s="475"/>
      <c r="D449" s="475"/>
      <c r="E449" s="476"/>
      <c r="F449" s="475"/>
      <c r="G449" s="454"/>
      <c r="H449" s="454"/>
      <c r="I449" s="454"/>
      <c r="J449" s="454"/>
      <c r="K449" s="454"/>
      <c r="L449" s="454"/>
      <c r="M449" s="454"/>
      <c r="N449" s="454"/>
      <c r="O449" s="454"/>
      <c r="P449" s="454"/>
      <c r="Q449" s="454"/>
      <c r="R449" s="454"/>
      <c r="S449" s="454"/>
      <c r="T449" s="454"/>
      <c r="U449" s="454"/>
      <c r="V449" s="454"/>
      <c r="W449" s="454"/>
      <c r="X449" s="454"/>
      <c r="Y449" s="454"/>
      <c r="Z449" s="454"/>
    </row>
    <row r="450" spans="1:26" ht="15.75" customHeight="1" x14ac:dyDescent="0.25">
      <c r="A450" s="454"/>
      <c r="B450" s="475"/>
      <c r="C450" s="475"/>
      <c r="D450" s="475"/>
      <c r="E450" s="476"/>
      <c r="F450" s="475"/>
      <c r="G450" s="454"/>
      <c r="H450" s="454"/>
      <c r="I450" s="454"/>
      <c r="J450" s="454"/>
      <c r="K450" s="454"/>
      <c r="L450" s="454"/>
      <c r="M450" s="454"/>
      <c r="N450" s="454"/>
      <c r="O450" s="454"/>
      <c r="P450" s="454"/>
      <c r="Q450" s="454"/>
      <c r="R450" s="454"/>
      <c r="S450" s="454"/>
      <c r="T450" s="454"/>
      <c r="U450" s="454"/>
      <c r="V450" s="454"/>
      <c r="W450" s="454"/>
      <c r="X450" s="454"/>
      <c r="Y450" s="454"/>
      <c r="Z450" s="454"/>
    </row>
    <row r="451" spans="1:26" ht="15.75" customHeight="1" x14ac:dyDescent="0.25">
      <c r="A451" s="454"/>
      <c r="B451" s="475"/>
      <c r="C451" s="475"/>
      <c r="D451" s="475"/>
      <c r="E451" s="476"/>
      <c r="F451" s="475"/>
      <c r="G451" s="454"/>
      <c r="H451" s="454"/>
      <c r="I451" s="454"/>
      <c r="J451" s="454"/>
      <c r="K451" s="454"/>
      <c r="L451" s="454"/>
      <c r="M451" s="454"/>
      <c r="N451" s="454"/>
      <c r="O451" s="454"/>
      <c r="P451" s="454"/>
      <c r="Q451" s="454"/>
      <c r="R451" s="454"/>
      <c r="S451" s="454"/>
      <c r="T451" s="454"/>
      <c r="U451" s="454"/>
      <c r="V451" s="454"/>
      <c r="W451" s="454"/>
      <c r="X451" s="454"/>
      <c r="Y451" s="454"/>
      <c r="Z451" s="454"/>
    </row>
    <row r="452" spans="1:26" ht="15.75" customHeight="1" x14ac:dyDescent="0.25">
      <c r="A452" s="454"/>
      <c r="B452" s="475"/>
      <c r="C452" s="475"/>
      <c r="D452" s="475"/>
      <c r="E452" s="476"/>
      <c r="F452" s="475"/>
      <c r="G452" s="454"/>
      <c r="H452" s="454"/>
      <c r="I452" s="454"/>
      <c r="J452" s="454"/>
      <c r="K452" s="454"/>
      <c r="L452" s="454"/>
      <c r="M452" s="454"/>
      <c r="N452" s="454"/>
      <c r="O452" s="454"/>
      <c r="P452" s="454"/>
      <c r="Q452" s="454"/>
      <c r="R452" s="454"/>
      <c r="S452" s="454"/>
      <c r="T452" s="454"/>
      <c r="U452" s="454"/>
      <c r="V452" s="454"/>
      <c r="W452" s="454"/>
      <c r="X452" s="454"/>
      <c r="Y452" s="454"/>
      <c r="Z452" s="454"/>
    </row>
    <row r="453" spans="1:26" ht="15.75" customHeight="1" x14ac:dyDescent="0.25">
      <c r="A453" s="454"/>
      <c r="B453" s="475"/>
      <c r="C453" s="475"/>
      <c r="D453" s="475"/>
      <c r="E453" s="476"/>
      <c r="F453" s="475"/>
      <c r="G453" s="454"/>
      <c r="H453" s="454"/>
      <c r="I453" s="454"/>
      <c r="J453" s="454"/>
      <c r="K453" s="454"/>
      <c r="L453" s="454"/>
      <c r="M453" s="454"/>
      <c r="N453" s="454"/>
      <c r="O453" s="454"/>
      <c r="P453" s="454"/>
      <c r="Q453" s="454"/>
      <c r="R453" s="454"/>
      <c r="S453" s="454"/>
      <c r="T453" s="454"/>
      <c r="U453" s="454"/>
      <c r="V453" s="454"/>
      <c r="W453" s="454"/>
      <c r="X453" s="454"/>
      <c r="Y453" s="454"/>
      <c r="Z453" s="454"/>
    </row>
    <row r="454" spans="1:26" ht="15.75" customHeight="1" x14ac:dyDescent="0.25">
      <c r="A454" s="454"/>
      <c r="B454" s="475"/>
      <c r="C454" s="475"/>
      <c r="D454" s="475"/>
      <c r="E454" s="476"/>
      <c r="F454" s="475"/>
      <c r="G454" s="454"/>
      <c r="H454" s="454"/>
      <c r="I454" s="454"/>
      <c r="J454" s="454"/>
      <c r="K454" s="454"/>
      <c r="L454" s="454"/>
      <c r="M454" s="454"/>
      <c r="N454" s="454"/>
      <c r="O454" s="454"/>
      <c r="P454" s="454"/>
      <c r="Q454" s="454"/>
      <c r="R454" s="454"/>
      <c r="S454" s="454"/>
      <c r="T454" s="454"/>
      <c r="U454" s="454"/>
      <c r="V454" s="454"/>
      <c r="W454" s="454"/>
      <c r="X454" s="454"/>
      <c r="Y454" s="454"/>
      <c r="Z454" s="454"/>
    </row>
    <row r="455" spans="1:26" ht="15.75" customHeight="1" x14ac:dyDescent="0.25">
      <c r="A455" s="454"/>
      <c r="B455" s="475"/>
      <c r="C455" s="475"/>
      <c r="D455" s="475"/>
      <c r="E455" s="476"/>
      <c r="F455" s="475"/>
      <c r="G455" s="454"/>
      <c r="H455" s="454"/>
      <c r="I455" s="454"/>
      <c r="J455" s="454"/>
      <c r="K455" s="454"/>
      <c r="L455" s="454"/>
      <c r="M455" s="454"/>
      <c r="N455" s="454"/>
      <c r="O455" s="454"/>
      <c r="P455" s="454"/>
      <c r="Q455" s="454"/>
      <c r="R455" s="454"/>
      <c r="S455" s="454"/>
      <c r="T455" s="454"/>
      <c r="U455" s="454"/>
      <c r="V455" s="454"/>
      <c r="W455" s="454"/>
      <c r="X455" s="454"/>
      <c r="Y455" s="454"/>
      <c r="Z455" s="454"/>
    </row>
    <row r="456" spans="1:26" ht="15.75" customHeight="1" x14ac:dyDescent="0.25">
      <c r="A456" s="454"/>
      <c r="B456" s="475"/>
      <c r="C456" s="475"/>
      <c r="D456" s="475"/>
      <c r="E456" s="476"/>
      <c r="F456" s="475"/>
      <c r="G456" s="454"/>
      <c r="H456" s="454"/>
      <c r="I456" s="454"/>
      <c r="J456" s="454"/>
      <c r="K456" s="454"/>
      <c r="L456" s="454"/>
      <c r="M456" s="454"/>
      <c r="N456" s="454"/>
      <c r="O456" s="454"/>
      <c r="P456" s="454"/>
      <c r="Q456" s="454"/>
      <c r="R456" s="454"/>
      <c r="S456" s="454"/>
      <c r="T456" s="454"/>
      <c r="U456" s="454"/>
      <c r="V456" s="454"/>
      <c r="W456" s="454"/>
      <c r="X456" s="454"/>
      <c r="Y456" s="454"/>
      <c r="Z456" s="454"/>
    </row>
    <row r="457" spans="1:26" ht="15.75" customHeight="1" x14ac:dyDescent="0.25">
      <c r="A457" s="454"/>
      <c r="B457" s="475"/>
      <c r="C457" s="475"/>
      <c r="D457" s="475"/>
      <c r="E457" s="476"/>
      <c r="F457" s="475"/>
      <c r="G457" s="454"/>
      <c r="H457" s="454"/>
      <c r="I457" s="454"/>
      <c r="J457" s="454"/>
      <c r="K457" s="454"/>
      <c r="L457" s="454"/>
      <c r="M457" s="454"/>
      <c r="N457" s="454"/>
      <c r="O457" s="454"/>
      <c r="P457" s="454"/>
      <c r="Q457" s="454"/>
      <c r="R457" s="454"/>
      <c r="S457" s="454"/>
      <c r="T457" s="454"/>
      <c r="U457" s="454"/>
      <c r="V457" s="454"/>
      <c r="W457" s="454"/>
      <c r="X457" s="454"/>
      <c r="Y457" s="454"/>
      <c r="Z457" s="454"/>
    </row>
    <row r="458" spans="1:26" ht="15.75" customHeight="1" x14ac:dyDescent="0.25">
      <c r="A458" s="454"/>
      <c r="B458" s="475"/>
      <c r="C458" s="475"/>
      <c r="D458" s="475"/>
      <c r="E458" s="476"/>
      <c r="F458" s="475"/>
      <c r="G458" s="454"/>
      <c r="H458" s="454"/>
      <c r="I458" s="454"/>
      <c r="J458" s="454"/>
      <c r="K458" s="454"/>
      <c r="L458" s="454"/>
      <c r="M458" s="454"/>
      <c r="N458" s="454"/>
      <c r="O458" s="454"/>
      <c r="P458" s="454"/>
      <c r="Q458" s="454"/>
      <c r="R458" s="454"/>
      <c r="S458" s="454"/>
      <c r="T458" s="454"/>
      <c r="U458" s="454"/>
      <c r="V458" s="454"/>
      <c r="W458" s="454"/>
      <c r="X458" s="454"/>
      <c r="Y458" s="454"/>
      <c r="Z458" s="454"/>
    </row>
    <row r="459" spans="1:26" ht="15.75" customHeight="1" x14ac:dyDescent="0.25">
      <c r="A459" s="454"/>
      <c r="B459" s="475"/>
      <c r="C459" s="475"/>
      <c r="D459" s="475"/>
      <c r="E459" s="476"/>
      <c r="F459" s="475"/>
      <c r="G459" s="454"/>
      <c r="H459" s="454"/>
      <c r="I459" s="454"/>
      <c r="J459" s="454"/>
      <c r="K459" s="454"/>
      <c r="L459" s="454"/>
      <c r="M459" s="454"/>
      <c r="N459" s="454"/>
      <c r="O459" s="454"/>
      <c r="P459" s="454"/>
      <c r="Q459" s="454"/>
      <c r="R459" s="454"/>
      <c r="S459" s="454"/>
      <c r="T459" s="454"/>
      <c r="U459" s="454"/>
      <c r="V459" s="454"/>
      <c r="W459" s="454"/>
      <c r="X459" s="454"/>
      <c r="Y459" s="454"/>
      <c r="Z459" s="454"/>
    </row>
    <row r="460" spans="1:26" ht="15.75" customHeight="1" x14ac:dyDescent="0.25">
      <c r="A460" s="454"/>
      <c r="B460" s="475"/>
      <c r="C460" s="475"/>
      <c r="D460" s="475"/>
      <c r="E460" s="476"/>
      <c r="F460" s="475"/>
      <c r="G460" s="454"/>
      <c r="H460" s="454"/>
      <c r="I460" s="454"/>
      <c r="J460" s="454"/>
      <c r="K460" s="454"/>
      <c r="L460" s="454"/>
      <c r="M460" s="454"/>
      <c r="N460" s="454"/>
      <c r="O460" s="454"/>
      <c r="P460" s="454"/>
      <c r="Q460" s="454"/>
      <c r="R460" s="454"/>
      <c r="S460" s="454"/>
      <c r="T460" s="454"/>
      <c r="U460" s="454"/>
      <c r="V460" s="454"/>
      <c r="W460" s="454"/>
      <c r="X460" s="454"/>
      <c r="Y460" s="454"/>
      <c r="Z460" s="454"/>
    </row>
    <row r="461" spans="1:26" ht="15.75" customHeight="1" x14ac:dyDescent="0.25">
      <c r="A461" s="454"/>
      <c r="B461" s="475"/>
      <c r="C461" s="475"/>
      <c r="D461" s="475"/>
      <c r="E461" s="476"/>
      <c r="F461" s="475"/>
      <c r="G461" s="454"/>
      <c r="H461" s="454"/>
      <c r="I461" s="454"/>
      <c r="J461" s="454"/>
      <c r="K461" s="454"/>
      <c r="L461" s="454"/>
      <c r="M461" s="454"/>
      <c r="N461" s="454"/>
      <c r="O461" s="454"/>
      <c r="P461" s="454"/>
      <c r="Q461" s="454"/>
      <c r="R461" s="454"/>
      <c r="S461" s="454"/>
      <c r="T461" s="454"/>
      <c r="U461" s="454"/>
      <c r="V461" s="454"/>
      <c r="W461" s="454"/>
      <c r="X461" s="454"/>
      <c r="Y461" s="454"/>
      <c r="Z461" s="454"/>
    </row>
    <row r="462" spans="1:26" ht="15.75" customHeight="1" x14ac:dyDescent="0.25">
      <c r="A462" s="454"/>
      <c r="B462" s="475"/>
      <c r="C462" s="475"/>
      <c r="D462" s="475"/>
      <c r="E462" s="476"/>
      <c r="F462" s="475"/>
      <c r="G462" s="454"/>
      <c r="H462" s="454"/>
      <c r="I462" s="454"/>
      <c r="J462" s="454"/>
      <c r="K462" s="454"/>
      <c r="L462" s="454"/>
      <c r="M462" s="454"/>
      <c r="N462" s="454"/>
      <c r="O462" s="454"/>
      <c r="P462" s="454"/>
      <c r="Q462" s="454"/>
      <c r="R462" s="454"/>
      <c r="S462" s="454"/>
      <c r="T462" s="454"/>
      <c r="U462" s="454"/>
      <c r="V462" s="454"/>
      <c r="W462" s="454"/>
      <c r="X462" s="454"/>
      <c r="Y462" s="454"/>
      <c r="Z462" s="454"/>
    </row>
    <row r="463" spans="1:26" ht="15.75" customHeight="1" x14ac:dyDescent="0.25">
      <c r="A463" s="454"/>
      <c r="B463" s="475"/>
      <c r="C463" s="475"/>
      <c r="D463" s="475"/>
      <c r="E463" s="476"/>
      <c r="F463" s="475"/>
      <c r="G463" s="454"/>
      <c r="H463" s="454"/>
      <c r="I463" s="454"/>
      <c r="J463" s="454"/>
      <c r="K463" s="454"/>
      <c r="L463" s="454"/>
      <c r="M463" s="454"/>
      <c r="N463" s="454"/>
      <c r="O463" s="454"/>
      <c r="P463" s="454"/>
      <c r="Q463" s="454"/>
      <c r="R463" s="454"/>
      <c r="S463" s="454"/>
      <c r="T463" s="454"/>
      <c r="U463" s="454"/>
      <c r="V463" s="454"/>
      <c r="W463" s="454"/>
      <c r="X463" s="454"/>
      <c r="Y463" s="454"/>
      <c r="Z463" s="454"/>
    </row>
    <row r="464" spans="1:26" ht="15.75" customHeight="1" x14ac:dyDescent="0.25">
      <c r="A464" s="454"/>
      <c r="B464" s="475"/>
      <c r="C464" s="475"/>
      <c r="D464" s="475"/>
      <c r="E464" s="476"/>
      <c r="F464" s="475"/>
      <c r="G464" s="454"/>
      <c r="H464" s="454"/>
      <c r="I464" s="454"/>
      <c r="J464" s="454"/>
      <c r="K464" s="454"/>
      <c r="L464" s="454"/>
      <c r="M464" s="454"/>
      <c r="N464" s="454"/>
      <c r="O464" s="454"/>
      <c r="P464" s="454"/>
      <c r="Q464" s="454"/>
      <c r="R464" s="454"/>
      <c r="S464" s="454"/>
      <c r="T464" s="454"/>
      <c r="U464" s="454"/>
      <c r="V464" s="454"/>
      <c r="W464" s="454"/>
      <c r="X464" s="454"/>
      <c r="Y464" s="454"/>
      <c r="Z464" s="454"/>
    </row>
    <row r="465" spans="1:26" ht="15.75" customHeight="1" x14ac:dyDescent="0.25">
      <c r="A465" s="454"/>
      <c r="B465" s="475"/>
      <c r="C465" s="475"/>
      <c r="D465" s="475"/>
      <c r="E465" s="476"/>
      <c r="F465" s="475"/>
      <c r="G465" s="454"/>
      <c r="H465" s="454"/>
      <c r="I465" s="454"/>
      <c r="J465" s="454"/>
      <c r="K465" s="454"/>
      <c r="L465" s="454"/>
      <c r="M465" s="454"/>
      <c r="N465" s="454"/>
      <c r="O465" s="454"/>
      <c r="P465" s="454"/>
      <c r="Q465" s="454"/>
      <c r="R465" s="454"/>
      <c r="S465" s="454"/>
      <c r="T465" s="454"/>
      <c r="U465" s="454"/>
      <c r="V465" s="454"/>
      <c r="W465" s="454"/>
      <c r="X465" s="454"/>
      <c r="Y465" s="454"/>
      <c r="Z465" s="454"/>
    </row>
    <row r="466" spans="1:26" ht="15.75" customHeight="1" x14ac:dyDescent="0.25">
      <c r="A466" s="454"/>
      <c r="B466" s="475"/>
      <c r="C466" s="475"/>
      <c r="D466" s="475"/>
      <c r="E466" s="476"/>
      <c r="F466" s="475"/>
      <c r="G466" s="454"/>
      <c r="H466" s="454"/>
      <c r="I466" s="454"/>
      <c r="J466" s="454"/>
      <c r="K466" s="454"/>
      <c r="L466" s="454"/>
      <c r="M466" s="454"/>
      <c r="N466" s="454"/>
      <c r="O466" s="454"/>
      <c r="P466" s="454"/>
      <c r="Q466" s="454"/>
      <c r="R466" s="454"/>
      <c r="S466" s="454"/>
      <c r="T466" s="454"/>
      <c r="U466" s="454"/>
      <c r="V466" s="454"/>
      <c r="W466" s="454"/>
      <c r="X466" s="454"/>
      <c r="Y466" s="454"/>
      <c r="Z466" s="454"/>
    </row>
    <row r="467" spans="1:26" ht="15.75" customHeight="1" x14ac:dyDescent="0.25">
      <c r="A467" s="454"/>
      <c r="B467" s="475"/>
      <c r="C467" s="475"/>
      <c r="D467" s="475"/>
      <c r="E467" s="476"/>
      <c r="F467" s="475"/>
      <c r="G467" s="454"/>
      <c r="H467" s="454"/>
      <c r="I467" s="454"/>
      <c r="J467" s="454"/>
      <c r="K467" s="454"/>
      <c r="L467" s="454"/>
      <c r="M467" s="454"/>
      <c r="N467" s="454"/>
      <c r="O467" s="454"/>
      <c r="P467" s="454"/>
      <c r="Q467" s="454"/>
      <c r="R467" s="454"/>
      <c r="S467" s="454"/>
      <c r="T467" s="454"/>
      <c r="U467" s="454"/>
      <c r="V467" s="454"/>
      <c r="W467" s="454"/>
      <c r="X467" s="454"/>
      <c r="Y467" s="454"/>
      <c r="Z467" s="454"/>
    </row>
    <row r="468" spans="1:26" ht="15.75" customHeight="1" x14ac:dyDescent="0.25">
      <c r="A468" s="454"/>
      <c r="B468" s="475"/>
      <c r="C468" s="475"/>
      <c r="D468" s="475"/>
      <c r="E468" s="476"/>
      <c r="F468" s="475"/>
      <c r="G468" s="454"/>
      <c r="H468" s="454"/>
      <c r="I468" s="454"/>
      <c r="J468" s="454"/>
      <c r="K468" s="454"/>
      <c r="L468" s="454"/>
      <c r="M468" s="454"/>
      <c r="N468" s="454"/>
      <c r="O468" s="454"/>
      <c r="P468" s="454"/>
      <c r="Q468" s="454"/>
      <c r="R468" s="454"/>
      <c r="S468" s="454"/>
      <c r="T468" s="454"/>
      <c r="U468" s="454"/>
      <c r="V468" s="454"/>
      <c r="W468" s="454"/>
      <c r="X468" s="454"/>
      <c r="Y468" s="454"/>
      <c r="Z468" s="454"/>
    </row>
    <row r="469" spans="1:26" ht="15.75" customHeight="1" x14ac:dyDescent="0.25">
      <c r="A469" s="454"/>
      <c r="B469" s="475"/>
      <c r="C469" s="475"/>
      <c r="D469" s="475"/>
      <c r="E469" s="476"/>
      <c r="F469" s="475"/>
      <c r="G469" s="454"/>
      <c r="H469" s="454"/>
      <c r="I469" s="454"/>
      <c r="J469" s="454"/>
      <c r="K469" s="454"/>
      <c r="L469" s="454"/>
      <c r="M469" s="454"/>
      <c r="N469" s="454"/>
      <c r="O469" s="454"/>
      <c r="P469" s="454"/>
      <c r="Q469" s="454"/>
      <c r="R469" s="454"/>
      <c r="S469" s="454"/>
      <c r="T469" s="454"/>
      <c r="U469" s="454"/>
      <c r="V469" s="454"/>
      <c r="W469" s="454"/>
      <c r="X469" s="454"/>
      <c r="Y469" s="454"/>
      <c r="Z469" s="454"/>
    </row>
    <row r="470" spans="1:26" ht="15.75" customHeight="1" x14ac:dyDescent="0.25">
      <c r="A470" s="454"/>
      <c r="B470" s="475"/>
      <c r="C470" s="475"/>
      <c r="D470" s="475"/>
      <c r="E470" s="476"/>
      <c r="F470" s="475"/>
      <c r="G470" s="454"/>
      <c r="H470" s="454"/>
      <c r="I470" s="454"/>
      <c r="J470" s="454"/>
      <c r="K470" s="454"/>
      <c r="L470" s="454"/>
      <c r="M470" s="454"/>
      <c r="N470" s="454"/>
      <c r="O470" s="454"/>
      <c r="P470" s="454"/>
      <c r="Q470" s="454"/>
      <c r="R470" s="454"/>
      <c r="S470" s="454"/>
      <c r="T470" s="454"/>
      <c r="U470" s="454"/>
      <c r="V470" s="454"/>
      <c r="W470" s="454"/>
      <c r="X470" s="454"/>
      <c r="Y470" s="454"/>
      <c r="Z470" s="454"/>
    </row>
    <row r="471" spans="1:26" ht="15.75" customHeight="1" x14ac:dyDescent="0.25">
      <c r="A471" s="454"/>
      <c r="B471" s="475"/>
      <c r="C471" s="475"/>
      <c r="D471" s="475"/>
      <c r="E471" s="476"/>
      <c r="F471" s="475"/>
      <c r="G471" s="454"/>
      <c r="H471" s="454"/>
      <c r="I471" s="454"/>
      <c r="J471" s="454"/>
      <c r="K471" s="454"/>
      <c r="L471" s="454"/>
      <c r="M471" s="454"/>
      <c r="N471" s="454"/>
      <c r="O471" s="454"/>
      <c r="P471" s="454"/>
      <c r="Q471" s="454"/>
      <c r="R471" s="454"/>
      <c r="S471" s="454"/>
      <c r="T471" s="454"/>
      <c r="U471" s="454"/>
      <c r="V471" s="454"/>
      <c r="W471" s="454"/>
      <c r="X471" s="454"/>
      <c r="Y471" s="454"/>
      <c r="Z471" s="454"/>
    </row>
    <row r="472" spans="1:26" ht="15.75" customHeight="1" x14ac:dyDescent="0.25">
      <c r="A472" s="454"/>
      <c r="B472" s="475"/>
      <c r="C472" s="475"/>
      <c r="D472" s="475"/>
      <c r="E472" s="476"/>
      <c r="F472" s="475"/>
      <c r="G472" s="454"/>
      <c r="H472" s="454"/>
      <c r="I472" s="454"/>
      <c r="J472" s="454"/>
      <c r="K472" s="454"/>
      <c r="L472" s="454"/>
      <c r="M472" s="454"/>
      <c r="N472" s="454"/>
      <c r="O472" s="454"/>
      <c r="P472" s="454"/>
      <c r="Q472" s="454"/>
      <c r="R472" s="454"/>
      <c r="S472" s="454"/>
      <c r="T472" s="454"/>
      <c r="U472" s="454"/>
      <c r="V472" s="454"/>
      <c r="W472" s="454"/>
      <c r="X472" s="454"/>
      <c r="Y472" s="454"/>
      <c r="Z472" s="454"/>
    </row>
    <row r="473" spans="1:26" ht="15.75" customHeight="1" x14ac:dyDescent="0.25">
      <c r="A473" s="454"/>
      <c r="B473" s="475"/>
      <c r="C473" s="475"/>
      <c r="D473" s="475"/>
      <c r="E473" s="476"/>
      <c r="F473" s="475"/>
      <c r="G473" s="454"/>
      <c r="H473" s="454"/>
      <c r="I473" s="454"/>
      <c r="J473" s="454"/>
      <c r="K473" s="454"/>
      <c r="L473" s="454"/>
      <c r="M473" s="454"/>
      <c r="N473" s="454"/>
      <c r="O473" s="454"/>
      <c r="P473" s="454"/>
      <c r="Q473" s="454"/>
      <c r="R473" s="454"/>
      <c r="S473" s="454"/>
      <c r="T473" s="454"/>
      <c r="U473" s="454"/>
      <c r="V473" s="454"/>
      <c r="W473" s="454"/>
      <c r="X473" s="454"/>
      <c r="Y473" s="454"/>
      <c r="Z473" s="454"/>
    </row>
    <row r="474" spans="1:26" ht="15.75" customHeight="1" x14ac:dyDescent="0.25">
      <c r="A474" s="454"/>
      <c r="B474" s="475"/>
      <c r="C474" s="475"/>
      <c r="D474" s="475"/>
      <c r="E474" s="476"/>
      <c r="F474" s="475"/>
      <c r="G474" s="454"/>
      <c r="H474" s="454"/>
      <c r="I474" s="454"/>
      <c r="J474" s="454"/>
      <c r="K474" s="454"/>
      <c r="L474" s="454"/>
      <c r="M474" s="454"/>
      <c r="N474" s="454"/>
      <c r="O474" s="454"/>
      <c r="P474" s="454"/>
      <c r="Q474" s="454"/>
      <c r="R474" s="454"/>
      <c r="S474" s="454"/>
      <c r="T474" s="454"/>
      <c r="U474" s="454"/>
      <c r="V474" s="454"/>
      <c r="W474" s="454"/>
      <c r="X474" s="454"/>
      <c r="Y474" s="454"/>
      <c r="Z474" s="454"/>
    </row>
    <row r="475" spans="1:26" ht="15.75" customHeight="1" x14ac:dyDescent="0.25">
      <c r="A475" s="454"/>
      <c r="B475" s="475"/>
      <c r="C475" s="475"/>
      <c r="D475" s="475"/>
      <c r="E475" s="476"/>
      <c r="F475" s="475"/>
      <c r="G475" s="454"/>
      <c r="H475" s="454"/>
      <c r="I475" s="454"/>
      <c r="J475" s="454"/>
      <c r="K475" s="454"/>
      <c r="L475" s="454"/>
      <c r="M475" s="454"/>
      <c r="N475" s="454"/>
      <c r="O475" s="454"/>
      <c r="P475" s="454"/>
      <c r="Q475" s="454"/>
      <c r="R475" s="454"/>
      <c r="S475" s="454"/>
      <c r="T475" s="454"/>
      <c r="U475" s="454"/>
      <c r="V475" s="454"/>
      <c r="W475" s="454"/>
      <c r="X475" s="454"/>
      <c r="Y475" s="454"/>
      <c r="Z475" s="454"/>
    </row>
    <row r="476" spans="1:26" ht="15.75" customHeight="1" x14ac:dyDescent="0.25">
      <c r="A476" s="454"/>
      <c r="B476" s="475"/>
      <c r="C476" s="475"/>
      <c r="D476" s="475"/>
      <c r="E476" s="476"/>
      <c r="F476" s="475"/>
      <c r="G476" s="454"/>
      <c r="H476" s="454"/>
      <c r="I476" s="454"/>
      <c r="J476" s="454"/>
      <c r="K476" s="454"/>
      <c r="L476" s="454"/>
      <c r="M476" s="454"/>
      <c r="N476" s="454"/>
      <c r="O476" s="454"/>
      <c r="P476" s="454"/>
      <c r="Q476" s="454"/>
      <c r="R476" s="454"/>
      <c r="S476" s="454"/>
      <c r="T476" s="454"/>
      <c r="U476" s="454"/>
      <c r="V476" s="454"/>
      <c r="W476" s="454"/>
      <c r="X476" s="454"/>
      <c r="Y476" s="454"/>
      <c r="Z476" s="454"/>
    </row>
    <row r="477" spans="1:26" ht="15.75" customHeight="1" x14ac:dyDescent="0.25">
      <c r="A477" s="454"/>
      <c r="B477" s="475"/>
      <c r="C477" s="475"/>
      <c r="D477" s="475"/>
      <c r="E477" s="476"/>
      <c r="F477" s="475"/>
      <c r="G477" s="454"/>
      <c r="H477" s="454"/>
      <c r="I477" s="454"/>
      <c r="J477" s="454"/>
      <c r="K477" s="454"/>
      <c r="L477" s="454"/>
      <c r="M477" s="454"/>
      <c r="N477" s="454"/>
      <c r="O477" s="454"/>
      <c r="P477" s="454"/>
      <c r="Q477" s="454"/>
      <c r="R477" s="454"/>
      <c r="S477" s="454"/>
      <c r="T477" s="454"/>
      <c r="U477" s="454"/>
      <c r="V477" s="454"/>
      <c r="W477" s="454"/>
      <c r="X477" s="454"/>
      <c r="Y477" s="454"/>
      <c r="Z477" s="454"/>
    </row>
    <row r="478" spans="1:26" ht="15.75" customHeight="1" x14ac:dyDescent="0.25">
      <c r="A478" s="454"/>
      <c r="B478" s="475"/>
      <c r="C478" s="475"/>
      <c r="D478" s="475"/>
      <c r="E478" s="476"/>
      <c r="F478" s="475"/>
      <c r="G478" s="454"/>
      <c r="H478" s="454"/>
      <c r="I478" s="454"/>
      <c r="J478" s="454"/>
      <c r="K478" s="454"/>
      <c r="L478" s="454"/>
      <c r="M478" s="454"/>
      <c r="N478" s="454"/>
      <c r="O478" s="454"/>
      <c r="P478" s="454"/>
      <c r="Q478" s="454"/>
      <c r="R478" s="454"/>
      <c r="S478" s="454"/>
      <c r="T478" s="454"/>
      <c r="U478" s="454"/>
      <c r="V478" s="454"/>
      <c r="W478" s="454"/>
      <c r="X478" s="454"/>
      <c r="Y478" s="454"/>
      <c r="Z478" s="454"/>
    </row>
    <row r="479" spans="1:26" ht="15.75" customHeight="1" x14ac:dyDescent="0.25">
      <c r="A479" s="454"/>
      <c r="B479" s="475"/>
      <c r="C479" s="475"/>
      <c r="D479" s="475"/>
      <c r="E479" s="476"/>
      <c r="F479" s="475"/>
      <c r="G479" s="454"/>
      <c r="H479" s="454"/>
      <c r="I479" s="454"/>
      <c r="J479" s="454"/>
      <c r="K479" s="454"/>
      <c r="L479" s="454"/>
      <c r="M479" s="454"/>
      <c r="N479" s="454"/>
      <c r="O479" s="454"/>
      <c r="P479" s="454"/>
      <c r="Q479" s="454"/>
      <c r="R479" s="454"/>
      <c r="S479" s="454"/>
      <c r="T479" s="454"/>
      <c r="U479" s="454"/>
      <c r="V479" s="454"/>
      <c r="W479" s="454"/>
      <c r="X479" s="454"/>
      <c r="Y479" s="454"/>
      <c r="Z479" s="454"/>
    </row>
    <row r="480" spans="1:26" ht="15.75" customHeight="1" x14ac:dyDescent="0.25">
      <c r="A480" s="454"/>
      <c r="B480" s="475"/>
      <c r="C480" s="475"/>
      <c r="D480" s="475"/>
      <c r="E480" s="476"/>
      <c r="F480" s="475"/>
      <c r="G480" s="454"/>
      <c r="H480" s="454"/>
      <c r="I480" s="454"/>
      <c r="J480" s="454"/>
      <c r="K480" s="454"/>
      <c r="L480" s="454"/>
      <c r="M480" s="454"/>
      <c r="N480" s="454"/>
      <c r="O480" s="454"/>
      <c r="P480" s="454"/>
      <c r="Q480" s="454"/>
      <c r="R480" s="454"/>
      <c r="S480" s="454"/>
      <c r="T480" s="454"/>
      <c r="U480" s="454"/>
      <c r="V480" s="454"/>
      <c r="W480" s="454"/>
      <c r="X480" s="454"/>
      <c r="Y480" s="454"/>
      <c r="Z480" s="454"/>
    </row>
    <row r="481" spans="1:26" ht="15.75" customHeight="1" x14ac:dyDescent="0.25">
      <c r="A481" s="454"/>
      <c r="B481" s="475"/>
      <c r="C481" s="475"/>
      <c r="D481" s="475"/>
      <c r="E481" s="476"/>
      <c r="F481" s="475"/>
      <c r="G481" s="454"/>
      <c r="H481" s="454"/>
      <c r="I481" s="454"/>
      <c r="J481" s="454"/>
      <c r="K481" s="454"/>
      <c r="L481" s="454"/>
      <c r="M481" s="454"/>
      <c r="N481" s="454"/>
      <c r="O481" s="454"/>
      <c r="P481" s="454"/>
      <c r="Q481" s="454"/>
      <c r="R481" s="454"/>
      <c r="S481" s="454"/>
      <c r="T481" s="454"/>
      <c r="U481" s="454"/>
      <c r="V481" s="454"/>
      <c r="W481" s="454"/>
      <c r="X481" s="454"/>
      <c r="Y481" s="454"/>
      <c r="Z481" s="454"/>
    </row>
    <row r="482" spans="1:26" ht="15.75" customHeight="1" x14ac:dyDescent="0.25">
      <c r="A482" s="454"/>
      <c r="B482" s="475"/>
      <c r="C482" s="475"/>
      <c r="D482" s="475"/>
      <c r="E482" s="476"/>
      <c r="F482" s="475"/>
      <c r="G482" s="454"/>
      <c r="H482" s="454"/>
      <c r="I482" s="454"/>
      <c r="J482" s="454"/>
      <c r="K482" s="454"/>
      <c r="L482" s="454"/>
      <c r="M482" s="454"/>
      <c r="N482" s="454"/>
      <c r="O482" s="454"/>
      <c r="P482" s="454"/>
      <c r="Q482" s="454"/>
      <c r="R482" s="454"/>
      <c r="S482" s="454"/>
      <c r="T482" s="454"/>
      <c r="U482" s="454"/>
      <c r="V482" s="454"/>
      <c r="W482" s="454"/>
      <c r="X482" s="454"/>
      <c r="Y482" s="454"/>
      <c r="Z482" s="454"/>
    </row>
    <row r="483" spans="1:26" ht="15.75" customHeight="1" x14ac:dyDescent="0.25">
      <c r="A483" s="454"/>
      <c r="B483" s="475"/>
      <c r="C483" s="475"/>
      <c r="D483" s="475"/>
      <c r="E483" s="476"/>
      <c r="F483" s="475"/>
      <c r="G483" s="454"/>
      <c r="H483" s="454"/>
      <c r="I483" s="454"/>
      <c r="J483" s="454"/>
      <c r="K483" s="454"/>
      <c r="L483" s="454"/>
      <c r="M483" s="454"/>
      <c r="N483" s="454"/>
      <c r="O483" s="454"/>
      <c r="P483" s="454"/>
      <c r="Q483" s="454"/>
      <c r="R483" s="454"/>
      <c r="S483" s="454"/>
      <c r="T483" s="454"/>
      <c r="U483" s="454"/>
      <c r="V483" s="454"/>
      <c r="W483" s="454"/>
      <c r="X483" s="454"/>
      <c r="Y483" s="454"/>
      <c r="Z483" s="454"/>
    </row>
    <row r="484" spans="1:26" ht="15.75" customHeight="1" x14ac:dyDescent="0.25">
      <c r="A484" s="454"/>
      <c r="B484" s="475"/>
      <c r="C484" s="475"/>
      <c r="D484" s="475"/>
      <c r="E484" s="476"/>
      <c r="F484" s="475"/>
      <c r="G484" s="454"/>
      <c r="H484" s="454"/>
      <c r="I484" s="454"/>
      <c r="J484" s="454"/>
      <c r="K484" s="454"/>
      <c r="L484" s="454"/>
      <c r="M484" s="454"/>
      <c r="N484" s="454"/>
      <c r="O484" s="454"/>
      <c r="P484" s="454"/>
      <c r="Q484" s="454"/>
      <c r="R484" s="454"/>
      <c r="S484" s="454"/>
      <c r="T484" s="454"/>
      <c r="U484" s="454"/>
      <c r="V484" s="454"/>
      <c r="W484" s="454"/>
      <c r="X484" s="454"/>
      <c r="Y484" s="454"/>
      <c r="Z484" s="454"/>
    </row>
    <row r="485" spans="1:26" ht="15.75" customHeight="1" x14ac:dyDescent="0.25">
      <c r="A485" s="454"/>
      <c r="B485" s="475"/>
      <c r="C485" s="475"/>
      <c r="D485" s="475"/>
      <c r="E485" s="476"/>
      <c r="F485" s="475"/>
      <c r="G485" s="454"/>
      <c r="H485" s="454"/>
      <c r="I485" s="454"/>
      <c r="J485" s="454"/>
      <c r="K485" s="454"/>
      <c r="L485" s="454"/>
      <c r="M485" s="454"/>
      <c r="N485" s="454"/>
      <c r="O485" s="454"/>
      <c r="P485" s="454"/>
      <c r="Q485" s="454"/>
      <c r="R485" s="454"/>
      <c r="S485" s="454"/>
      <c r="T485" s="454"/>
      <c r="U485" s="454"/>
      <c r="V485" s="454"/>
      <c r="W485" s="454"/>
      <c r="X485" s="454"/>
      <c r="Y485" s="454"/>
      <c r="Z485" s="454"/>
    </row>
    <row r="486" spans="1:26" ht="15.75" customHeight="1" x14ac:dyDescent="0.25">
      <c r="A486" s="454"/>
      <c r="B486" s="475"/>
      <c r="C486" s="475"/>
      <c r="D486" s="475"/>
      <c r="E486" s="476"/>
      <c r="F486" s="475"/>
      <c r="G486" s="454"/>
      <c r="H486" s="454"/>
      <c r="I486" s="454"/>
      <c r="J486" s="454"/>
      <c r="K486" s="454"/>
      <c r="L486" s="454"/>
      <c r="M486" s="454"/>
      <c r="N486" s="454"/>
      <c r="O486" s="454"/>
      <c r="P486" s="454"/>
      <c r="Q486" s="454"/>
      <c r="R486" s="454"/>
      <c r="S486" s="454"/>
      <c r="T486" s="454"/>
      <c r="U486" s="454"/>
      <c r="V486" s="454"/>
      <c r="W486" s="454"/>
      <c r="X486" s="454"/>
      <c r="Y486" s="454"/>
      <c r="Z486" s="454"/>
    </row>
    <row r="487" spans="1:26" ht="15.75" customHeight="1" x14ac:dyDescent="0.25">
      <c r="A487" s="454"/>
      <c r="B487" s="475"/>
      <c r="C487" s="475"/>
      <c r="D487" s="475"/>
      <c r="E487" s="476"/>
      <c r="F487" s="475"/>
      <c r="G487" s="454"/>
      <c r="H487" s="454"/>
      <c r="I487" s="454"/>
      <c r="J487" s="454"/>
      <c r="K487" s="454"/>
      <c r="L487" s="454"/>
      <c r="M487" s="454"/>
      <c r="N487" s="454"/>
      <c r="O487" s="454"/>
      <c r="P487" s="454"/>
      <c r="Q487" s="454"/>
      <c r="R487" s="454"/>
      <c r="S487" s="454"/>
      <c r="T487" s="454"/>
      <c r="U487" s="454"/>
      <c r="V487" s="454"/>
      <c r="W487" s="454"/>
      <c r="X487" s="454"/>
      <c r="Y487" s="454"/>
      <c r="Z487" s="454"/>
    </row>
    <row r="488" spans="1:26" ht="15.75" customHeight="1" x14ac:dyDescent="0.25">
      <c r="A488" s="454"/>
      <c r="B488" s="475"/>
      <c r="C488" s="475"/>
      <c r="D488" s="475"/>
      <c r="E488" s="476"/>
      <c r="F488" s="475"/>
      <c r="G488" s="454"/>
      <c r="H488" s="454"/>
      <c r="I488" s="454"/>
      <c r="J488" s="454"/>
      <c r="K488" s="454"/>
      <c r="L488" s="454"/>
      <c r="M488" s="454"/>
      <c r="N488" s="454"/>
      <c r="O488" s="454"/>
      <c r="P488" s="454"/>
      <c r="Q488" s="454"/>
      <c r="R488" s="454"/>
      <c r="S488" s="454"/>
      <c r="T488" s="454"/>
      <c r="U488" s="454"/>
      <c r="V488" s="454"/>
      <c r="W488" s="454"/>
      <c r="X488" s="454"/>
      <c r="Y488" s="454"/>
      <c r="Z488" s="454"/>
    </row>
    <row r="489" spans="1:26" ht="15.75" customHeight="1" x14ac:dyDescent="0.25">
      <c r="A489" s="454"/>
      <c r="B489" s="475"/>
      <c r="C489" s="475"/>
      <c r="D489" s="475"/>
      <c r="E489" s="476"/>
      <c r="F489" s="475"/>
      <c r="G489" s="454"/>
      <c r="H489" s="454"/>
      <c r="I489" s="454"/>
      <c r="J489" s="454"/>
      <c r="K489" s="454"/>
      <c r="L489" s="454"/>
      <c r="M489" s="454"/>
      <c r="N489" s="454"/>
      <c r="O489" s="454"/>
      <c r="P489" s="454"/>
      <c r="Q489" s="454"/>
      <c r="R489" s="454"/>
      <c r="S489" s="454"/>
      <c r="T489" s="454"/>
      <c r="U489" s="454"/>
      <c r="V489" s="454"/>
      <c r="W489" s="454"/>
      <c r="X489" s="454"/>
      <c r="Y489" s="454"/>
      <c r="Z489" s="454"/>
    </row>
    <row r="490" spans="1:26" ht="15.75" customHeight="1" x14ac:dyDescent="0.25">
      <c r="A490" s="454"/>
      <c r="B490" s="475"/>
      <c r="C490" s="475"/>
      <c r="D490" s="475"/>
      <c r="E490" s="476"/>
      <c r="F490" s="475"/>
      <c r="G490" s="454"/>
      <c r="H490" s="454"/>
      <c r="I490" s="454"/>
      <c r="J490" s="454"/>
      <c r="K490" s="454"/>
      <c r="L490" s="454"/>
      <c r="M490" s="454"/>
      <c r="N490" s="454"/>
      <c r="O490" s="454"/>
      <c r="P490" s="454"/>
      <c r="Q490" s="454"/>
      <c r="R490" s="454"/>
      <c r="S490" s="454"/>
      <c r="T490" s="454"/>
      <c r="U490" s="454"/>
      <c r="V490" s="454"/>
      <c r="W490" s="454"/>
      <c r="X490" s="454"/>
      <c r="Y490" s="454"/>
      <c r="Z490" s="454"/>
    </row>
    <row r="491" spans="1:26" ht="15.75" customHeight="1" x14ac:dyDescent="0.25">
      <c r="A491" s="454"/>
      <c r="B491" s="475"/>
      <c r="C491" s="475"/>
      <c r="D491" s="475"/>
      <c r="E491" s="476"/>
      <c r="F491" s="475"/>
      <c r="G491" s="454"/>
      <c r="H491" s="454"/>
      <c r="I491" s="454"/>
      <c r="J491" s="454"/>
      <c r="K491" s="454"/>
      <c r="L491" s="454"/>
      <c r="M491" s="454"/>
      <c r="N491" s="454"/>
      <c r="O491" s="454"/>
      <c r="P491" s="454"/>
      <c r="Q491" s="454"/>
      <c r="R491" s="454"/>
      <c r="S491" s="454"/>
      <c r="T491" s="454"/>
      <c r="U491" s="454"/>
      <c r="V491" s="454"/>
      <c r="W491" s="454"/>
      <c r="X491" s="454"/>
      <c r="Y491" s="454"/>
      <c r="Z491" s="454"/>
    </row>
    <row r="492" spans="1:26" ht="15.75" customHeight="1" x14ac:dyDescent="0.25">
      <c r="A492" s="454"/>
      <c r="B492" s="475"/>
      <c r="C492" s="475"/>
      <c r="D492" s="475"/>
      <c r="E492" s="476"/>
      <c r="F492" s="475"/>
      <c r="G492" s="454"/>
      <c r="H492" s="454"/>
      <c r="I492" s="454"/>
      <c r="J492" s="454"/>
      <c r="K492" s="454"/>
      <c r="L492" s="454"/>
      <c r="M492" s="454"/>
      <c r="N492" s="454"/>
      <c r="O492" s="454"/>
      <c r="P492" s="454"/>
      <c r="Q492" s="454"/>
      <c r="R492" s="454"/>
      <c r="S492" s="454"/>
      <c r="T492" s="454"/>
      <c r="U492" s="454"/>
      <c r="V492" s="454"/>
      <c r="W492" s="454"/>
      <c r="X492" s="454"/>
      <c r="Y492" s="454"/>
      <c r="Z492" s="454"/>
    </row>
    <row r="493" spans="1:26" ht="15.75" customHeight="1" x14ac:dyDescent="0.25">
      <c r="A493" s="454"/>
      <c r="B493" s="475"/>
      <c r="C493" s="475"/>
      <c r="D493" s="475"/>
      <c r="E493" s="476"/>
      <c r="F493" s="475"/>
      <c r="G493" s="454"/>
      <c r="H493" s="454"/>
      <c r="I493" s="454"/>
      <c r="J493" s="454"/>
      <c r="K493" s="454"/>
      <c r="L493" s="454"/>
      <c r="M493" s="454"/>
      <c r="N493" s="454"/>
      <c r="O493" s="454"/>
      <c r="P493" s="454"/>
      <c r="Q493" s="454"/>
      <c r="R493" s="454"/>
      <c r="S493" s="454"/>
      <c r="T493" s="454"/>
      <c r="U493" s="454"/>
      <c r="V493" s="454"/>
      <c r="W493" s="454"/>
      <c r="X493" s="454"/>
      <c r="Y493" s="454"/>
      <c r="Z493" s="454"/>
    </row>
    <row r="494" spans="1:26" ht="15.75" customHeight="1" x14ac:dyDescent="0.25">
      <c r="A494" s="454"/>
      <c r="B494" s="475"/>
      <c r="C494" s="475"/>
      <c r="D494" s="475"/>
      <c r="E494" s="476"/>
      <c r="F494" s="475"/>
      <c r="G494" s="454"/>
      <c r="H494" s="454"/>
      <c r="I494" s="454"/>
      <c r="J494" s="454"/>
      <c r="K494" s="454"/>
      <c r="L494" s="454"/>
      <c r="M494" s="454"/>
      <c r="N494" s="454"/>
      <c r="O494" s="454"/>
      <c r="P494" s="454"/>
      <c r="Q494" s="454"/>
      <c r="R494" s="454"/>
      <c r="S494" s="454"/>
      <c r="T494" s="454"/>
      <c r="U494" s="454"/>
      <c r="V494" s="454"/>
      <c r="W494" s="454"/>
      <c r="X494" s="454"/>
      <c r="Y494" s="454"/>
      <c r="Z494" s="454"/>
    </row>
    <row r="495" spans="1:26" ht="15.75" customHeight="1" x14ac:dyDescent="0.25">
      <c r="A495" s="454"/>
      <c r="B495" s="475"/>
      <c r="C495" s="475"/>
      <c r="D495" s="475"/>
      <c r="E495" s="476"/>
      <c r="F495" s="475"/>
      <c r="G495" s="454"/>
      <c r="H495" s="454"/>
      <c r="I495" s="454"/>
      <c r="J495" s="454"/>
      <c r="K495" s="454"/>
      <c r="L495" s="454"/>
      <c r="M495" s="454"/>
      <c r="N495" s="454"/>
      <c r="O495" s="454"/>
      <c r="P495" s="454"/>
      <c r="Q495" s="454"/>
      <c r="R495" s="454"/>
      <c r="S495" s="454"/>
      <c r="T495" s="454"/>
      <c r="U495" s="454"/>
      <c r="V495" s="454"/>
      <c r="W495" s="454"/>
      <c r="X495" s="454"/>
      <c r="Y495" s="454"/>
      <c r="Z495" s="454"/>
    </row>
    <row r="496" spans="1:26" ht="15.75" customHeight="1" x14ac:dyDescent="0.25">
      <c r="A496" s="454"/>
      <c r="B496" s="475"/>
      <c r="C496" s="475"/>
      <c r="D496" s="475"/>
      <c r="E496" s="476"/>
      <c r="F496" s="475"/>
      <c r="G496" s="454"/>
      <c r="H496" s="454"/>
      <c r="I496" s="454"/>
      <c r="J496" s="454"/>
      <c r="K496" s="454"/>
      <c r="L496" s="454"/>
      <c r="M496" s="454"/>
      <c r="N496" s="454"/>
      <c r="O496" s="454"/>
      <c r="P496" s="454"/>
      <c r="Q496" s="454"/>
      <c r="R496" s="454"/>
      <c r="S496" s="454"/>
      <c r="T496" s="454"/>
      <c r="U496" s="454"/>
      <c r="V496" s="454"/>
      <c r="W496" s="454"/>
      <c r="X496" s="454"/>
      <c r="Y496" s="454"/>
      <c r="Z496" s="454"/>
    </row>
    <row r="497" spans="1:26" ht="15.75" customHeight="1" x14ac:dyDescent="0.25">
      <c r="A497" s="454"/>
      <c r="B497" s="475"/>
      <c r="C497" s="475"/>
      <c r="D497" s="475"/>
      <c r="E497" s="476"/>
      <c r="F497" s="475"/>
      <c r="G497" s="454"/>
      <c r="H497" s="454"/>
      <c r="I497" s="454"/>
      <c r="J497" s="454"/>
      <c r="K497" s="454"/>
      <c r="L497" s="454"/>
      <c r="M497" s="454"/>
      <c r="N497" s="454"/>
      <c r="O497" s="454"/>
      <c r="P497" s="454"/>
      <c r="Q497" s="454"/>
      <c r="R497" s="454"/>
      <c r="S497" s="454"/>
      <c r="T497" s="454"/>
      <c r="U497" s="454"/>
      <c r="V497" s="454"/>
      <c r="W497" s="454"/>
      <c r="X497" s="454"/>
      <c r="Y497" s="454"/>
      <c r="Z497" s="454"/>
    </row>
    <row r="498" spans="1:26" ht="15.75" customHeight="1" x14ac:dyDescent="0.25">
      <c r="A498" s="454"/>
      <c r="B498" s="475"/>
      <c r="C498" s="475"/>
      <c r="D498" s="475"/>
      <c r="E498" s="476"/>
      <c r="F498" s="475"/>
      <c r="G498" s="454"/>
      <c r="H498" s="454"/>
      <c r="I498" s="454"/>
      <c r="J498" s="454"/>
      <c r="K498" s="454"/>
      <c r="L498" s="454"/>
      <c r="M498" s="454"/>
      <c r="N498" s="454"/>
      <c r="O498" s="454"/>
      <c r="P498" s="454"/>
      <c r="Q498" s="454"/>
      <c r="R498" s="454"/>
      <c r="S498" s="454"/>
      <c r="T498" s="454"/>
      <c r="U498" s="454"/>
      <c r="V498" s="454"/>
      <c r="W498" s="454"/>
      <c r="X498" s="454"/>
      <c r="Y498" s="454"/>
      <c r="Z498" s="454"/>
    </row>
    <row r="499" spans="1:26" ht="15.75" customHeight="1" x14ac:dyDescent="0.25">
      <c r="A499" s="454"/>
      <c r="B499" s="475"/>
      <c r="C499" s="475"/>
      <c r="D499" s="475"/>
      <c r="E499" s="476"/>
      <c r="F499" s="475"/>
      <c r="G499" s="454"/>
      <c r="H499" s="454"/>
      <c r="I499" s="454"/>
      <c r="J499" s="454"/>
      <c r="K499" s="454"/>
      <c r="L499" s="454"/>
      <c r="M499" s="454"/>
      <c r="N499" s="454"/>
      <c r="O499" s="454"/>
      <c r="P499" s="454"/>
      <c r="Q499" s="454"/>
      <c r="R499" s="454"/>
      <c r="S499" s="454"/>
      <c r="T499" s="454"/>
      <c r="U499" s="454"/>
      <c r="V499" s="454"/>
      <c r="W499" s="454"/>
      <c r="X499" s="454"/>
      <c r="Y499" s="454"/>
      <c r="Z499" s="454"/>
    </row>
    <row r="500" spans="1:26" ht="15.75" customHeight="1" x14ac:dyDescent="0.25">
      <c r="A500" s="454"/>
      <c r="B500" s="475"/>
      <c r="C500" s="475"/>
      <c r="D500" s="475"/>
      <c r="E500" s="476"/>
      <c r="F500" s="475"/>
      <c r="G500" s="454"/>
      <c r="H500" s="454"/>
      <c r="I500" s="454"/>
      <c r="J500" s="454"/>
      <c r="K500" s="454"/>
      <c r="L500" s="454"/>
      <c r="M500" s="454"/>
      <c r="N500" s="454"/>
      <c r="O500" s="454"/>
      <c r="P500" s="454"/>
      <c r="Q500" s="454"/>
      <c r="R500" s="454"/>
      <c r="S500" s="454"/>
      <c r="T500" s="454"/>
      <c r="U500" s="454"/>
      <c r="V500" s="454"/>
      <c r="W500" s="454"/>
      <c r="X500" s="454"/>
      <c r="Y500" s="454"/>
      <c r="Z500" s="454"/>
    </row>
    <row r="501" spans="1:26" ht="15.75" customHeight="1" x14ac:dyDescent="0.25">
      <c r="A501" s="454"/>
      <c r="B501" s="475"/>
      <c r="C501" s="475"/>
      <c r="D501" s="475"/>
      <c r="E501" s="476"/>
      <c r="F501" s="475"/>
      <c r="G501" s="454"/>
      <c r="H501" s="454"/>
      <c r="I501" s="454"/>
      <c r="J501" s="454"/>
      <c r="K501" s="454"/>
      <c r="L501" s="454"/>
      <c r="M501" s="454"/>
      <c r="N501" s="454"/>
      <c r="O501" s="454"/>
      <c r="P501" s="454"/>
      <c r="Q501" s="454"/>
      <c r="R501" s="454"/>
      <c r="S501" s="454"/>
      <c r="T501" s="454"/>
      <c r="U501" s="454"/>
      <c r="V501" s="454"/>
      <c r="W501" s="454"/>
      <c r="X501" s="454"/>
      <c r="Y501" s="454"/>
      <c r="Z501" s="454"/>
    </row>
    <row r="502" spans="1:26" ht="15.75" customHeight="1" x14ac:dyDescent="0.25">
      <c r="A502" s="454"/>
      <c r="B502" s="475"/>
      <c r="C502" s="475"/>
      <c r="D502" s="475"/>
      <c r="E502" s="476"/>
      <c r="F502" s="475"/>
      <c r="G502" s="454"/>
      <c r="H502" s="454"/>
      <c r="I502" s="454"/>
      <c r="J502" s="454"/>
      <c r="K502" s="454"/>
      <c r="L502" s="454"/>
      <c r="M502" s="454"/>
      <c r="N502" s="454"/>
      <c r="O502" s="454"/>
      <c r="P502" s="454"/>
      <c r="Q502" s="454"/>
      <c r="R502" s="454"/>
      <c r="S502" s="454"/>
      <c r="T502" s="454"/>
      <c r="U502" s="454"/>
      <c r="V502" s="454"/>
      <c r="W502" s="454"/>
      <c r="X502" s="454"/>
      <c r="Y502" s="454"/>
      <c r="Z502" s="454"/>
    </row>
    <row r="503" spans="1:26" ht="15.75" customHeight="1" x14ac:dyDescent="0.25">
      <c r="A503" s="454"/>
      <c r="B503" s="475"/>
      <c r="C503" s="475"/>
      <c r="D503" s="475"/>
      <c r="E503" s="476"/>
      <c r="F503" s="475"/>
      <c r="G503" s="454"/>
      <c r="H503" s="454"/>
      <c r="I503" s="454"/>
      <c r="J503" s="454"/>
      <c r="K503" s="454"/>
      <c r="L503" s="454"/>
      <c r="M503" s="454"/>
      <c r="N503" s="454"/>
      <c r="O503" s="454"/>
      <c r="P503" s="454"/>
      <c r="Q503" s="454"/>
      <c r="R503" s="454"/>
      <c r="S503" s="454"/>
      <c r="T503" s="454"/>
      <c r="U503" s="454"/>
      <c r="V503" s="454"/>
      <c r="W503" s="454"/>
      <c r="X503" s="454"/>
      <c r="Y503" s="454"/>
      <c r="Z503" s="454"/>
    </row>
    <row r="504" spans="1:26" ht="15.75" customHeight="1" x14ac:dyDescent="0.25">
      <c r="A504" s="454"/>
      <c r="B504" s="475"/>
      <c r="C504" s="475"/>
      <c r="D504" s="475"/>
      <c r="E504" s="476"/>
      <c r="F504" s="475"/>
      <c r="G504" s="454"/>
      <c r="H504" s="454"/>
      <c r="I504" s="454"/>
      <c r="J504" s="454"/>
      <c r="K504" s="454"/>
      <c r="L504" s="454"/>
      <c r="M504" s="454"/>
      <c r="N504" s="454"/>
      <c r="O504" s="454"/>
      <c r="P504" s="454"/>
      <c r="Q504" s="454"/>
      <c r="R504" s="454"/>
      <c r="S504" s="454"/>
      <c r="T504" s="454"/>
      <c r="U504" s="454"/>
      <c r="V504" s="454"/>
      <c r="W504" s="454"/>
      <c r="X504" s="454"/>
      <c r="Y504" s="454"/>
      <c r="Z504" s="454"/>
    </row>
    <row r="505" spans="1:26" ht="15.75" customHeight="1" x14ac:dyDescent="0.25">
      <c r="A505" s="454"/>
      <c r="B505" s="475"/>
      <c r="C505" s="475"/>
      <c r="D505" s="475"/>
      <c r="E505" s="476"/>
      <c r="F505" s="475"/>
      <c r="G505" s="454"/>
      <c r="H505" s="454"/>
      <c r="I505" s="454"/>
      <c r="J505" s="454"/>
      <c r="K505" s="454"/>
      <c r="L505" s="454"/>
      <c r="M505" s="454"/>
      <c r="N505" s="454"/>
      <c r="O505" s="454"/>
      <c r="P505" s="454"/>
      <c r="Q505" s="454"/>
      <c r="R505" s="454"/>
      <c r="S505" s="454"/>
      <c r="T505" s="454"/>
      <c r="U505" s="454"/>
      <c r="V505" s="454"/>
      <c r="W505" s="454"/>
      <c r="X505" s="454"/>
      <c r="Y505" s="454"/>
      <c r="Z505" s="454"/>
    </row>
    <row r="506" spans="1:26" ht="15.75" customHeight="1" x14ac:dyDescent="0.25">
      <c r="A506" s="454"/>
      <c r="B506" s="475"/>
      <c r="C506" s="475"/>
      <c r="D506" s="475"/>
      <c r="E506" s="476"/>
      <c r="F506" s="475"/>
      <c r="G506" s="454"/>
      <c r="H506" s="454"/>
      <c r="I506" s="454"/>
      <c r="J506" s="454"/>
      <c r="K506" s="454"/>
      <c r="L506" s="454"/>
      <c r="M506" s="454"/>
      <c r="N506" s="454"/>
      <c r="O506" s="454"/>
      <c r="P506" s="454"/>
      <c r="Q506" s="454"/>
      <c r="R506" s="454"/>
      <c r="S506" s="454"/>
      <c r="T506" s="454"/>
      <c r="U506" s="454"/>
      <c r="V506" s="454"/>
      <c r="W506" s="454"/>
      <c r="X506" s="454"/>
      <c r="Y506" s="454"/>
      <c r="Z506" s="454"/>
    </row>
    <row r="507" spans="1:26" ht="15.75" customHeight="1" x14ac:dyDescent="0.25">
      <c r="A507" s="454"/>
      <c r="B507" s="475"/>
      <c r="C507" s="475"/>
      <c r="D507" s="475"/>
      <c r="E507" s="476"/>
      <c r="F507" s="475"/>
      <c r="G507" s="454"/>
      <c r="H507" s="454"/>
      <c r="I507" s="454"/>
      <c r="J507" s="454"/>
      <c r="K507" s="454"/>
      <c r="L507" s="454"/>
      <c r="M507" s="454"/>
      <c r="N507" s="454"/>
      <c r="O507" s="454"/>
      <c r="P507" s="454"/>
      <c r="Q507" s="454"/>
      <c r="R507" s="454"/>
      <c r="S507" s="454"/>
      <c r="T507" s="454"/>
      <c r="U507" s="454"/>
      <c r="V507" s="454"/>
      <c r="W507" s="454"/>
      <c r="X507" s="454"/>
      <c r="Y507" s="454"/>
      <c r="Z507" s="454"/>
    </row>
    <row r="508" spans="1:26" ht="15.75" customHeight="1" x14ac:dyDescent="0.25">
      <c r="A508" s="454"/>
      <c r="B508" s="475"/>
      <c r="C508" s="475"/>
      <c r="D508" s="475"/>
      <c r="E508" s="476"/>
      <c r="F508" s="475"/>
      <c r="G508" s="454"/>
      <c r="H508" s="454"/>
      <c r="I508" s="454"/>
      <c r="J508" s="454"/>
      <c r="K508" s="454"/>
      <c r="L508" s="454"/>
      <c r="M508" s="454"/>
      <c r="N508" s="454"/>
      <c r="O508" s="454"/>
      <c r="P508" s="454"/>
      <c r="Q508" s="454"/>
      <c r="R508" s="454"/>
      <c r="S508" s="454"/>
      <c r="T508" s="454"/>
      <c r="U508" s="454"/>
      <c r="V508" s="454"/>
      <c r="W508" s="454"/>
      <c r="X508" s="454"/>
      <c r="Y508" s="454"/>
      <c r="Z508" s="454"/>
    </row>
    <row r="509" spans="1:26" ht="15.75" customHeight="1" x14ac:dyDescent="0.25">
      <c r="A509" s="454"/>
      <c r="B509" s="475"/>
      <c r="C509" s="475"/>
      <c r="D509" s="475"/>
      <c r="E509" s="476"/>
      <c r="F509" s="475"/>
      <c r="G509" s="454"/>
      <c r="H509" s="454"/>
      <c r="I509" s="454"/>
      <c r="J509" s="454"/>
      <c r="K509" s="454"/>
      <c r="L509" s="454"/>
      <c r="M509" s="454"/>
      <c r="N509" s="454"/>
      <c r="O509" s="454"/>
      <c r="P509" s="454"/>
      <c r="Q509" s="454"/>
      <c r="R509" s="454"/>
      <c r="S509" s="454"/>
      <c r="T509" s="454"/>
      <c r="U509" s="454"/>
      <c r="V509" s="454"/>
      <c r="W509" s="454"/>
      <c r="X509" s="454"/>
      <c r="Y509" s="454"/>
      <c r="Z509" s="454"/>
    </row>
    <row r="510" spans="1:26" ht="15.75" customHeight="1" x14ac:dyDescent="0.25">
      <c r="A510" s="454"/>
      <c r="B510" s="475"/>
      <c r="C510" s="475"/>
      <c r="D510" s="475"/>
      <c r="E510" s="476"/>
      <c r="F510" s="475"/>
      <c r="G510" s="454"/>
      <c r="H510" s="454"/>
      <c r="I510" s="454"/>
      <c r="J510" s="454"/>
      <c r="K510" s="454"/>
      <c r="L510" s="454"/>
      <c r="M510" s="454"/>
      <c r="N510" s="454"/>
      <c r="O510" s="454"/>
      <c r="P510" s="454"/>
      <c r="Q510" s="454"/>
      <c r="R510" s="454"/>
      <c r="S510" s="454"/>
      <c r="T510" s="454"/>
      <c r="U510" s="454"/>
      <c r="V510" s="454"/>
      <c r="W510" s="454"/>
      <c r="X510" s="454"/>
      <c r="Y510" s="454"/>
      <c r="Z510" s="454"/>
    </row>
    <row r="511" spans="1:26" ht="15.75" customHeight="1" x14ac:dyDescent="0.25">
      <c r="A511" s="454"/>
      <c r="B511" s="475"/>
      <c r="C511" s="475"/>
      <c r="D511" s="475"/>
      <c r="E511" s="476"/>
      <c r="F511" s="475"/>
      <c r="G511" s="454"/>
      <c r="H511" s="454"/>
      <c r="I511" s="454"/>
      <c r="J511" s="454"/>
      <c r="K511" s="454"/>
      <c r="L511" s="454"/>
      <c r="M511" s="454"/>
      <c r="N511" s="454"/>
      <c r="O511" s="454"/>
      <c r="P511" s="454"/>
      <c r="Q511" s="454"/>
      <c r="R511" s="454"/>
      <c r="S511" s="454"/>
      <c r="T511" s="454"/>
      <c r="U511" s="454"/>
      <c r="V511" s="454"/>
      <c r="W511" s="454"/>
      <c r="X511" s="454"/>
      <c r="Y511" s="454"/>
      <c r="Z511" s="454"/>
    </row>
    <row r="512" spans="1:26" ht="15.75" customHeight="1" x14ac:dyDescent="0.25">
      <c r="A512" s="454"/>
      <c r="B512" s="475"/>
      <c r="C512" s="475"/>
      <c r="D512" s="475"/>
      <c r="E512" s="476"/>
      <c r="F512" s="475"/>
      <c r="G512" s="454"/>
      <c r="H512" s="454"/>
      <c r="I512" s="454"/>
      <c r="J512" s="454"/>
      <c r="K512" s="454"/>
      <c r="L512" s="454"/>
      <c r="M512" s="454"/>
      <c r="N512" s="454"/>
      <c r="O512" s="454"/>
      <c r="P512" s="454"/>
      <c r="Q512" s="454"/>
      <c r="R512" s="454"/>
      <c r="S512" s="454"/>
      <c r="T512" s="454"/>
      <c r="U512" s="454"/>
      <c r="V512" s="454"/>
      <c r="W512" s="454"/>
      <c r="X512" s="454"/>
      <c r="Y512" s="454"/>
      <c r="Z512" s="454"/>
    </row>
    <row r="513" spans="1:26" ht="15.75" customHeight="1" x14ac:dyDescent="0.25">
      <c r="A513" s="454"/>
      <c r="B513" s="475"/>
      <c r="C513" s="475"/>
      <c r="D513" s="475"/>
      <c r="E513" s="476"/>
      <c r="F513" s="475"/>
      <c r="G513" s="454"/>
      <c r="H513" s="454"/>
      <c r="I513" s="454"/>
      <c r="J513" s="454"/>
      <c r="K513" s="454"/>
      <c r="L513" s="454"/>
      <c r="M513" s="454"/>
      <c r="N513" s="454"/>
      <c r="O513" s="454"/>
      <c r="P513" s="454"/>
      <c r="Q513" s="454"/>
      <c r="R513" s="454"/>
      <c r="S513" s="454"/>
      <c r="T513" s="454"/>
      <c r="U513" s="454"/>
      <c r="V513" s="454"/>
      <c r="W513" s="454"/>
      <c r="X513" s="454"/>
      <c r="Y513" s="454"/>
      <c r="Z513" s="454"/>
    </row>
    <row r="514" spans="1:26" ht="15.75" customHeight="1" x14ac:dyDescent="0.25">
      <c r="A514" s="454"/>
      <c r="B514" s="475"/>
      <c r="C514" s="475"/>
      <c r="D514" s="475"/>
      <c r="E514" s="476"/>
      <c r="F514" s="475"/>
      <c r="G514" s="454"/>
      <c r="H514" s="454"/>
      <c r="I514" s="454"/>
      <c r="J514" s="454"/>
      <c r="K514" s="454"/>
      <c r="L514" s="454"/>
      <c r="M514" s="454"/>
      <c r="N514" s="454"/>
      <c r="O514" s="454"/>
      <c r="P514" s="454"/>
      <c r="Q514" s="454"/>
      <c r="R514" s="454"/>
      <c r="S514" s="454"/>
      <c r="T514" s="454"/>
      <c r="U514" s="454"/>
      <c r="V514" s="454"/>
      <c r="W514" s="454"/>
      <c r="X514" s="454"/>
      <c r="Y514" s="454"/>
      <c r="Z514" s="454"/>
    </row>
    <row r="515" spans="1:26" ht="15.75" customHeight="1" x14ac:dyDescent="0.25">
      <c r="A515" s="454"/>
      <c r="B515" s="475"/>
      <c r="C515" s="475"/>
      <c r="D515" s="475"/>
      <c r="E515" s="476"/>
      <c r="F515" s="475"/>
      <c r="G515" s="454"/>
      <c r="H515" s="454"/>
      <c r="I515" s="454"/>
      <c r="J515" s="454"/>
      <c r="K515" s="454"/>
      <c r="L515" s="454"/>
      <c r="M515" s="454"/>
      <c r="N515" s="454"/>
      <c r="O515" s="454"/>
      <c r="P515" s="454"/>
      <c r="Q515" s="454"/>
      <c r="R515" s="454"/>
      <c r="S515" s="454"/>
      <c r="T515" s="454"/>
      <c r="U515" s="454"/>
      <c r="V515" s="454"/>
      <c r="W515" s="454"/>
      <c r="X515" s="454"/>
      <c r="Y515" s="454"/>
      <c r="Z515" s="454"/>
    </row>
    <row r="516" spans="1:26" ht="15.75" customHeight="1" x14ac:dyDescent="0.25">
      <c r="A516" s="454"/>
      <c r="B516" s="475"/>
      <c r="C516" s="475"/>
      <c r="D516" s="475"/>
      <c r="E516" s="476"/>
      <c r="F516" s="475"/>
      <c r="G516" s="454"/>
      <c r="H516" s="454"/>
      <c r="I516" s="454"/>
      <c r="J516" s="454"/>
      <c r="K516" s="454"/>
      <c r="L516" s="454"/>
      <c r="M516" s="454"/>
      <c r="N516" s="454"/>
      <c r="O516" s="454"/>
      <c r="P516" s="454"/>
      <c r="Q516" s="454"/>
      <c r="R516" s="454"/>
      <c r="S516" s="454"/>
      <c r="T516" s="454"/>
      <c r="U516" s="454"/>
      <c r="V516" s="454"/>
      <c r="W516" s="454"/>
      <c r="X516" s="454"/>
      <c r="Y516" s="454"/>
      <c r="Z516" s="454"/>
    </row>
    <row r="517" spans="1:26" ht="15.75" customHeight="1" x14ac:dyDescent="0.25">
      <c r="A517" s="454"/>
      <c r="B517" s="475"/>
      <c r="C517" s="475"/>
      <c r="D517" s="475"/>
      <c r="E517" s="476"/>
      <c r="F517" s="475"/>
      <c r="G517" s="454"/>
      <c r="H517" s="454"/>
      <c r="I517" s="454"/>
      <c r="J517" s="454"/>
      <c r="K517" s="454"/>
      <c r="L517" s="454"/>
      <c r="M517" s="454"/>
      <c r="N517" s="454"/>
      <c r="O517" s="454"/>
      <c r="P517" s="454"/>
      <c r="Q517" s="454"/>
      <c r="R517" s="454"/>
      <c r="S517" s="454"/>
      <c r="T517" s="454"/>
      <c r="U517" s="454"/>
      <c r="V517" s="454"/>
      <c r="W517" s="454"/>
      <c r="X517" s="454"/>
      <c r="Y517" s="454"/>
      <c r="Z517" s="454"/>
    </row>
    <row r="518" spans="1:26" ht="15.75" customHeight="1" x14ac:dyDescent="0.25">
      <c r="A518" s="454"/>
      <c r="B518" s="475"/>
      <c r="C518" s="475"/>
      <c r="D518" s="475"/>
      <c r="E518" s="476"/>
      <c r="F518" s="475"/>
      <c r="G518" s="454"/>
      <c r="H518" s="454"/>
      <c r="I518" s="454"/>
      <c r="J518" s="454"/>
      <c r="K518" s="454"/>
      <c r="L518" s="454"/>
      <c r="M518" s="454"/>
      <c r="N518" s="454"/>
      <c r="O518" s="454"/>
      <c r="P518" s="454"/>
      <c r="Q518" s="454"/>
      <c r="R518" s="454"/>
      <c r="S518" s="454"/>
      <c r="T518" s="454"/>
      <c r="U518" s="454"/>
      <c r="V518" s="454"/>
      <c r="W518" s="454"/>
      <c r="X518" s="454"/>
      <c r="Y518" s="454"/>
      <c r="Z518" s="454"/>
    </row>
    <row r="519" spans="1:26" ht="15.75" customHeight="1" x14ac:dyDescent="0.25">
      <c r="A519" s="454"/>
      <c r="B519" s="475"/>
      <c r="C519" s="475"/>
      <c r="D519" s="475"/>
      <c r="E519" s="476"/>
      <c r="F519" s="475"/>
      <c r="G519" s="454"/>
      <c r="H519" s="454"/>
      <c r="I519" s="454"/>
      <c r="J519" s="454"/>
      <c r="K519" s="454"/>
      <c r="L519" s="454"/>
      <c r="M519" s="454"/>
      <c r="N519" s="454"/>
      <c r="O519" s="454"/>
      <c r="P519" s="454"/>
      <c r="Q519" s="454"/>
      <c r="R519" s="454"/>
      <c r="S519" s="454"/>
      <c r="T519" s="454"/>
      <c r="U519" s="454"/>
      <c r="V519" s="454"/>
      <c r="W519" s="454"/>
      <c r="X519" s="454"/>
      <c r="Y519" s="454"/>
      <c r="Z519" s="454"/>
    </row>
    <row r="520" spans="1:26" ht="15.75" customHeight="1" x14ac:dyDescent="0.25">
      <c r="A520" s="454"/>
      <c r="B520" s="475"/>
      <c r="C520" s="475"/>
      <c r="D520" s="475"/>
      <c r="E520" s="476"/>
      <c r="F520" s="475"/>
      <c r="G520" s="454"/>
      <c r="H520" s="454"/>
      <c r="I520" s="454"/>
      <c r="J520" s="454"/>
      <c r="K520" s="454"/>
      <c r="L520" s="454"/>
      <c r="M520" s="454"/>
      <c r="N520" s="454"/>
      <c r="O520" s="454"/>
      <c r="P520" s="454"/>
      <c r="Q520" s="454"/>
      <c r="R520" s="454"/>
      <c r="S520" s="454"/>
      <c r="T520" s="454"/>
      <c r="U520" s="454"/>
      <c r="V520" s="454"/>
      <c r="W520" s="454"/>
      <c r="X520" s="454"/>
      <c r="Y520" s="454"/>
      <c r="Z520" s="454"/>
    </row>
    <row r="521" spans="1:26" ht="15.75" customHeight="1" x14ac:dyDescent="0.25">
      <c r="A521" s="454"/>
      <c r="B521" s="475"/>
      <c r="C521" s="475"/>
      <c r="D521" s="475"/>
      <c r="E521" s="476"/>
      <c r="F521" s="475"/>
      <c r="G521" s="454"/>
      <c r="H521" s="454"/>
      <c r="I521" s="454"/>
      <c r="J521" s="454"/>
      <c r="K521" s="454"/>
      <c r="L521" s="454"/>
      <c r="M521" s="454"/>
      <c r="N521" s="454"/>
      <c r="O521" s="454"/>
      <c r="P521" s="454"/>
      <c r="Q521" s="454"/>
      <c r="R521" s="454"/>
      <c r="S521" s="454"/>
      <c r="T521" s="454"/>
      <c r="U521" s="454"/>
      <c r="V521" s="454"/>
      <c r="W521" s="454"/>
      <c r="X521" s="454"/>
      <c r="Y521" s="454"/>
      <c r="Z521" s="454"/>
    </row>
    <row r="522" spans="1:26" ht="15.75" customHeight="1" x14ac:dyDescent="0.25">
      <c r="A522" s="454"/>
      <c r="B522" s="475"/>
      <c r="C522" s="475"/>
      <c r="D522" s="475"/>
      <c r="E522" s="476"/>
      <c r="F522" s="475"/>
      <c r="G522" s="454"/>
      <c r="H522" s="454"/>
      <c r="I522" s="454"/>
      <c r="J522" s="454"/>
      <c r="K522" s="454"/>
      <c r="L522" s="454"/>
      <c r="M522" s="454"/>
      <c r="N522" s="454"/>
      <c r="O522" s="454"/>
      <c r="P522" s="454"/>
      <c r="Q522" s="454"/>
      <c r="R522" s="454"/>
      <c r="S522" s="454"/>
      <c r="T522" s="454"/>
      <c r="U522" s="454"/>
      <c r="V522" s="454"/>
      <c r="W522" s="454"/>
      <c r="X522" s="454"/>
      <c r="Y522" s="454"/>
      <c r="Z522" s="454"/>
    </row>
    <row r="523" spans="1:26" ht="15.75" customHeight="1" x14ac:dyDescent="0.25">
      <c r="A523" s="454"/>
      <c r="B523" s="475"/>
      <c r="C523" s="475"/>
      <c r="D523" s="475"/>
      <c r="E523" s="476"/>
      <c r="F523" s="475"/>
      <c r="G523" s="454"/>
      <c r="H523" s="454"/>
      <c r="I523" s="454"/>
      <c r="J523" s="454"/>
      <c r="K523" s="454"/>
      <c r="L523" s="454"/>
      <c r="M523" s="454"/>
      <c r="N523" s="454"/>
      <c r="O523" s="454"/>
      <c r="P523" s="454"/>
      <c r="Q523" s="454"/>
      <c r="R523" s="454"/>
      <c r="S523" s="454"/>
      <c r="T523" s="454"/>
      <c r="U523" s="454"/>
      <c r="V523" s="454"/>
      <c r="W523" s="454"/>
      <c r="X523" s="454"/>
      <c r="Y523" s="454"/>
      <c r="Z523" s="454"/>
    </row>
    <row r="524" spans="1:26" ht="15.75" customHeight="1" x14ac:dyDescent="0.25">
      <c r="A524" s="454"/>
      <c r="B524" s="475"/>
      <c r="C524" s="475"/>
      <c r="D524" s="475"/>
      <c r="E524" s="476"/>
      <c r="F524" s="475"/>
      <c r="G524" s="454"/>
      <c r="H524" s="454"/>
      <c r="I524" s="454"/>
      <c r="J524" s="454"/>
      <c r="K524" s="454"/>
      <c r="L524" s="454"/>
      <c r="M524" s="454"/>
      <c r="N524" s="454"/>
      <c r="O524" s="454"/>
      <c r="P524" s="454"/>
      <c r="Q524" s="454"/>
      <c r="R524" s="454"/>
      <c r="S524" s="454"/>
      <c r="T524" s="454"/>
      <c r="U524" s="454"/>
      <c r="V524" s="454"/>
      <c r="W524" s="454"/>
      <c r="X524" s="454"/>
      <c r="Y524" s="454"/>
      <c r="Z524" s="454"/>
    </row>
    <row r="525" spans="1:26" ht="15.75" customHeight="1" x14ac:dyDescent="0.25">
      <c r="A525" s="454"/>
      <c r="B525" s="475"/>
      <c r="C525" s="475"/>
      <c r="D525" s="475"/>
      <c r="E525" s="476"/>
      <c r="F525" s="475"/>
      <c r="G525" s="454"/>
      <c r="H525" s="454"/>
      <c r="I525" s="454"/>
      <c r="J525" s="454"/>
      <c r="K525" s="454"/>
      <c r="L525" s="454"/>
      <c r="M525" s="454"/>
      <c r="N525" s="454"/>
      <c r="O525" s="454"/>
      <c r="P525" s="454"/>
      <c r="Q525" s="454"/>
      <c r="R525" s="454"/>
      <c r="S525" s="454"/>
      <c r="T525" s="454"/>
      <c r="U525" s="454"/>
      <c r="V525" s="454"/>
      <c r="W525" s="454"/>
      <c r="X525" s="454"/>
      <c r="Y525" s="454"/>
      <c r="Z525" s="454"/>
    </row>
    <row r="526" spans="1:26" ht="15.75" customHeight="1" x14ac:dyDescent="0.25">
      <c r="A526" s="454"/>
      <c r="B526" s="475"/>
      <c r="C526" s="475"/>
      <c r="D526" s="475"/>
      <c r="E526" s="476"/>
      <c r="F526" s="475"/>
      <c r="G526" s="454"/>
      <c r="H526" s="454"/>
      <c r="I526" s="454"/>
      <c r="J526" s="454"/>
      <c r="K526" s="454"/>
      <c r="L526" s="454"/>
      <c r="M526" s="454"/>
      <c r="N526" s="454"/>
      <c r="O526" s="454"/>
      <c r="P526" s="454"/>
      <c r="Q526" s="454"/>
      <c r="R526" s="454"/>
      <c r="S526" s="454"/>
      <c r="T526" s="454"/>
      <c r="U526" s="454"/>
      <c r="V526" s="454"/>
      <c r="W526" s="454"/>
      <c r="X526" s="454"/>
      <c r="Y526" s="454"/>
      <c r="Z526" s="454"/>
    </row>
    <row r="527" spans="1:26" ht="15.75" customHeight="1" x14ac:dyDescent="0.25">
      <c r="A527" s="454"/>
      <c r="B527" s="475"/>
      <c r="C527" s="475"/>
      <c r="D527" s="475"/>
      <c r="E527" s="476"/>
      <c r="F527" s="475"/>
      <c r="G527" s="454"/>
      <c r="H527" s="454"/>
      <c r="I527" s="454"/>
      <c r="J527" s="454"/>
      <c r="K527" s="454"/>
      <c r="L527" s="454"/>
      <c r="M527" s="454"/>
      <c r="N527" s="454"/>
      <c r="O527" s="454"/>
      <c r="P527" s="454"/>
      <c r="Q527" s="454"/>
      <c r="R527" s="454"/>
      <c r="S527" s="454"/>
      <c r="T527" s="454"/>
      <c r="U527" s="454"/>
      <c r="V527" s="454"/>
      <c r="W527" s="454"/>
      <c r="X527" s="454"/>
      <c r="Y527" s="454"/>
      <c r="Z527" s="454"/>
    </row>
    <row r="528" spans="1:26" ht="15.75" customHeight="1" x14ac:dyDescent="0.25">
      <c r="A528" s="454"/>
      <c r="B528" s="475"/>
      <c r="C528" s="475"/>
      <c r="D528" s="475"/>
      <c r="E528" s="476"/>
      <c r="F528" s="475"/>
      <c r="G528" s="454"/>
      <c r="H528" s="454"/>
      <c r="I528" s="454"/>
      <c r="J528" s="454"/>
      <c r="K528" s="454"/>
      <c r="L528" s="454"/>
      <c r="M528" s="454"/>
      <c r="N528" s="454"/>
      <c r="O528" s="454"/>
      <c r="P528" s="454"/>
      <c r="Q528" s="454"/>
      <c r="R528" s="454"/>
      <c r="S528" s="454"/>
      <c r="T528" s="454"/>
      <c r="U528" s="454"/>
      <c r="V528" s="454"/>
      <c r="W528" s="454"/>
      <c r="X528" s="454"/>
      <c r="Y528" s="454"/>
      <c r="Z528" s="454"/>
    </row>
    <row r="529" spans="1:26" ht="15.75" customHeight="1" x14ac:dyDescent="0.25">
      <c r="A529" s="454"/>
      <c r="B529" s="475"/>
      <c r="C529" s="475"/>
      <c r="D529" s="475"/>
      <c r="E529" s="476"/>
      <c r="F529" s="475"/>
      <c r="G529" s="454"/>
      <c r="H529" s="454"/>
      <c r="I529" s="454"/>
      <c r="J529" s="454"/>
      <c r="K529" s="454"/>
      <c r="L529" s="454"/>
      <c r="M529" s="454"/>
      <c r="N529" s="454"/>
      <c r="O529" s="454"/>
      <c r="P529" s="454"/>
      <c r="Q529" s="454"/>
      <c r="R529" s="454"/>
      <c r="S529" s="454"/>
      <c r="T529" s="454"/>
      <c r="U529" s="454"/>
      <c r="V529" s="454"/>
      <c r="W529" s="454"/>
      <c r="X529" s="454"/>
      <c r="Y529" s="454"/>
      <c r="Z529" s="454"/>
    </row>
    <row r="530" spans="1:26" ht="15.75" customHeight="1" x14ac:dyDescent="0.25">
      <c r="A530" s="454"/>
      <c r="B530" s="475"/>
      <c r="C530" s="475"/>
      <c r="D530" s="475"/>
      <c r="E530" s="476"/>
      <c r="F530" s="475"/>
      <c r="G530" s="454"/>
      <c r="H530" s="454"/>
      <c r="I530" s="454"/>
      <c r="J530" s="454"/>
      <c r="K530" s="454"/>
      <c r="L530" s="454"/>
      <c r="M530" s="454"/>
      <c r="N530" s="454"/>
      <c r="O530" s="454"/>
      <c r="P530" s="454"/>
      <c r="Q530" s="454"/>
      <c r="R530" s="454"/>
      <c r="S530" s="454"/>
      <c r="T530" s="454"/>
      <c r="U530" s="454"/>
      <c r="V530" s="454"/>
      <c r="W530" s="454"/>
      <c r="X530" s="454"/>
      <c r="Y530" s="454"/>
      <c r="Z530" s="454"/>
    </row>
    <row r="531" spans="1:26" ht="15.75" customHeight="1" x14ac:dyDescent="0.25">
      <c r="A531" s="454"/>
      <c r="B531" s="475"/>
      <c r="C531" s="475"/>
      <c r="D531" s="475"/>
      <c r="E531" s="476"/>
      <c r="F531" s="475"/>
      <c r="G531" s="454"/>
      <c r="H531" s="454"/>
      <c r="I531" s="454"/>
      <c r="J531" s="454"/>
      <c r="K531" s="454"/>
      <c r="L531" s="454"/>
      <c r="M531" s="454"/>
      <c r="N531" s="454"/>
      <c r="O531" s="454"/>
      <c r="P531" s="454"/>
      <c r="Q531" s="454"/>
      <c r="R531" s="454"/>
      <c r="S531" s="454"/>
      <c r="T531" s="454"/>
      <c r="U531" s="454"/>
      <c r="V531" s="454"/>
      <c r="W531" s="454"/>
      <c r="X531" s="454"/>
      <c r="Y531" s="454"/>
      <c r="Z531" s="454"/>
    </row>
    <row r="532" spans="1:26" ht="15.75" customHeight="1" x14ac:dyDescent="0.25">
      <c r="A532" s="454"/>
      <c r="B532" s="475"/>
      <c r="C532" s="475"/>
      <c r="D532" s="475"/>
      <c r="E532" s="476"/>
      <c r="F532" s="475"/>
      <c r="G532" s="454"/>
      <c r="H532" s="454"/>
      <c r="I532" s="454"/>
      <c r="J532" s="454"/>
      <c r="K532" s="454"/>
      <c r="L532" s="454"/>
      <c r="M532" s="454"/>
      <c r="N532" s="454"/>
      <c r="O532" s="454"/>
      <c r="P532" s="454"/>
      <c r="Q532" s="454"/>
      <c r="R532" s="454"/>
      <c r="S532" s="454"/>
      <c r="T532" s="454"/>
      <c r="U532" s="454"/>
      <c r="V532" s="454"/>
      <c r="W532" s="454"/>
      <c r="X532" s="454"/>
      <c r="Y532" s="454"/>
      <c r="Z532" s="454"/>
    </row>
    <row r="533" spans="1:26" ht="15.75" customHeight="1" x14ac:dyDescent="0.25">
      <c r="A533" s="454"/>
      <c r="B533" s="475"/>
      <c r="C533" s="475"/>
      <c r="D533" s="475"/>
      <c r="E533" s="476"/>
      <c r="F533" s="475"/>
      <c r="G533" s="454"/>
      <c r="H533" s="454"/>
      <c r="I533" s="454"/>
      <c r="J533" s="454"/>
      <c r="K533" s="454"/>
      <c r="L533" s="454"/>
      <c r="M533" s="454"/>
      <c r="N533" s="454"/>
      <c r="O533" s="454"/>
      <c r="P533" s="454"/>
      <c r="Q533" s="454"/>
      <c r="R533" s="454"/>
      <c r="S533" s="454"/>
      <c r="T533" s="454"/>
      <c r="U533" s="454"/>
      <c r="V533" s="454"/>
      <c r="W533" s="454"/>
      <c r="X533" s="454"/>
      <c r="Y533" s="454"/>
      <c r="Z533" s="454"/>
    </row>
    <row r="534" spans="1:26" ht="15.75" customHeight="1" x14ac:dyDescent="0.25">
      <c r="A534" s="454"/>
      <c r="B534" s="475"/>
      <c r="C534" s="475"/>
      <c r="D534" s="475"/>
      <c r="E534" s="476"/>
      <c r="F534" s="475"/>
      <c r="G534" s="454"/>
      <c r="H534" s="454"/>
      <c r="I534" s="454"/>
      <c r="J534" s="454"/>
      <c r="K534" s="454"/>
      <c r="L534" s="454"/>
      <c r="M534" s="454"/>
      <c r="N534" s="454"/>
      <c r="O534" s="454"/>
      <c r="P534" s="454"/>
      <c r="Q534" s="454"/>
      <c r="R534" s="454"/>
      <c r="S534" s="454"/>
      <c r="T534" s="454"/>
      <c r="U534" s="454"/>
      <c r="V534" s="454"/>
      <c r="W534" s="454"/>
      <c r="X534" s="454"/>
      <c r="Y534" s="454"/>
      <c r="Z534" s="454"/>
    </row>
    <row r="535" spans="1:26" ht="15.75" customHeight="1" x14ac:dyDescent="0.25">
      <c r="A535" s="454"/>
      <c r="B535" s="475"/>
      <c r="C535" s="475"/>
      <c r="D535" s="475"/>
      <c r="E535" s="476"/>
      <c r="F535" s="475"/>
      <c r="G535" s="454"/>
      <c r="H535" s="454"/>
      <c r="I535" s="454"/>
      <c r="J535" s="454"/>
      <c r="K535" s="454"/>
      <c r="L535" s="454"/>
      <c r="M535" s="454"/>
      <c r="N535" s="454"/>
      <c r="O535" s="454"/>
      <c r="P535" s="454"/>
      <c r="Q535" s="454"/>
      <c r="R535" s="454"/>
      <c r="S535" s="454"/>
      <c r="T535" s="454"/>
      <c r="U535" s="454"/>
      <c r="V535" s="454"/>
      <c r="W535" s="454"/>
      <c r="X535" s="454"/>
      <c r="Y535" s="454"/>
      <c r="Z535" s="454"/>
    </row>
    <row r="536" spans="1:26" ht="15.75" customHeight="1" x14ac:dyDescent="0.25">
      <c r="A536" s="454"/>
      <c r="B536" s="475"/>
      <c r="C536" s="475"/>
      <c r="D536" s="475"/>
      <c r="E536" s="476"/>
      <c r="F536" s="475"/>
      <c r="G536" s="454"/>
      <c r="H536" s="454"/>
      <c r="I536" s="454"/>
      <c r="J536" s="454"/>
      <c r="K536" s="454"/>
      <c r="L536" s="454"/>
      <c r="M536" s="454"/>
      <c r="N536" s="454"/>
      <c r="O536" s="454"/>
      <c r="P536" s="454"/>
      <c r="Q536" s="454"/>
      <c r="R536" s="454"/>
      <c r="S536" s="454"/>
      <c r="T536" s="454"/>
      <c r="U536" s="454"/>
      <c r="V536" s="454"/>
      <c r="W536" s="454"/>
      <c r="X536" s="454"/>
      <c r="Y536" s="454"/>
      <c r="Z536" s="454"/>
    </row>
    <row r="537" spans="1:26" ht="15.75" customHeight="1" x14ac:dyDescent="0.25">
      <c r="A537" s="454"/>
      <c r="B537" s="475"/>
      <c r="C537" s="475"/>
      <c r="D537" s="475"/>
      <c r="E537" s="476"/>
      <c r="F537" s="475"/>
      <c r="G537" s="454"/>
      <c r="H537" s="454"/>
      <c r="I537" s="454"/>
      <c r="J537" s="454"/>
      <c r="K537" s="454"/>
      <c r="L537" s="454"/>
      <c r="M537" s="454"/>
      <c r="N537" s="454"/>
      <c r="O537" s="454"/>
      <c r="P537" s="454"/>
      <c r="Q537" s="454"/>
      <c r="R537" s="454"/>
      <c r="S537" s="454"/>
      <c r="T537" s="454"/>
      <c r="U537" s="454"/>
      <c r="V537" s="454"/>
      <c r="W537" s="454"/>
      <c r="X537" s="454"/>
      <c r="Y537" s="454"/>
      <c r="Z537" s="454"/>
    </row>
    <row r="538" spans="1:26" ht="15.75" customHeight="1" x14ac:dyDescent="0.25">
      <c r="A538" s="454"/>
      <c r="B538" s="475"/>
      <c r="C538" s="475"/>
      <c r="D538" s="475"/>
      <c r="E538" s="476"/>
      <c r="F538" s="475"/>
      <c r="G538" s="454"/>
      <c r="H538" s="454"/>
      <c r="I538" s="454"/>
      <c r="J538" s="454"/>
      <c r="K538" s="454"/>
      <c r="L538" s="454"/>
      <c r="M538" s="454"/>
      <c r="N538" s="454"/>
      <c r="O538" s="454"/>
      <c r="P538" s="454"/>
      <c r="Q538" s="454"/>
      <c r="R538" s="454"/>
      <c r="S538" s="454"/>
      <c r="T538" s="454"/>
      <c r="U538" s="454"/>
      <c r="V538" s="454"/>
      <c r="W538" s="454"/>
      <c r="X538" s="454"/>
      <c r="Y538" s="454"/>
      <c r="Z538" s="454"/>
    </row>
    <row r="539" spans="1:26" ht="15.75" customHeight="1" x14ac:dyDescent="0.25">
      <c r="A539" s="454"/>
      <c r="B539" s="475"/>
      <c r="C539" s="475"/>
      <c r="D539" s="475"/>
      <c r="E539" s="476"/>
      <c r="F539" s="475"/>
      <c r="G539" s="454"/>
      <c r="H539" s="454"/>
      <c r="I539" s="454"/>
      <c r="J539" s="454"/>
      <c r="K539" s="454"/>
      <c r="L539" s="454"/>
      <c r="M539" s="454"/>
      <c r="N539" s="454"/>
      <c r="O539" s="454"/>
      <c r="P539" s="454"/>
      <c r="Q539" s="454"/>
      <c r="R539" s="454"/>
      <c r="S539" s="454"/>
      <c r="T539" s="454"/>
      <c r="U539" s="454"/>
      <c r="V539" s="454"/>
      <c r="W539" s="454"/>
      <c r="X539" s="454"/>
      <c r="Y539" s="454"/>
      <c r="Z539" s="454"/>
    </row>
    <row r="540" spans="1:26" ht="15.75" customHeight="1" x14ac:dyDescent="0.25">
      <c r="A540" s="454"/>
      <c r="B540" s="475"/>
      <c r="C540" s="475"/>
      <c r="D540" s="475"/>
      <c r="E540" s="476"/>
      <c r="F540" s="475"/>
      <c r="G540" s="454"/>
      <c r="H540" s="454"/>
      <c r="I540" s="454"/>
      <c r="J540" s="454"/>
      <c r="K540" s="454"/>
      <c r="L540" s="454"/>
      <c r="M540" s="454"/>
      <c r="N540" s="454"/>
      <c r="O540" s="454"/>
      <c r="P540" s="454"/>
      <c r="Q540" s="454"/>
      <c r="R540" s="454"/>
      <c r="S540" s="454"/>
      <c r="T540" s="454"/>
      <c r="U540" s="454"/>
      <c r="V540" s="454"/>
      <c r="W540" s="454"/>
      <c r="X540" s="454"/>
      <c r="Y540" s="454"/>
      <c r="Z540" s="454"/>
    </row>
    <row r="541" spans="1:26" ht="15.75" customHeight="1" x14ac:dyDescent="0.25">
      <c r="A541" s="454"/>
      <c r="B541" s="475"/>
      <c r="C541" s="475"/>
      <c r="D541" s="475"/>
      <c r="E541" s="476"/>
      <c r="F541" s="475"/>
      <c r="G541" s="454"/>
      <c r="H541" s="454"/>
      <c r="I541" s="454"/>
      <c r="J541" s="454"/>
      <c r="K541" s="454"/>
      <c r="L541" s="454"/>
      <c r="M541" s="454"/>
      <c r="N541" s="454"/>
      <c r="O541" s="454"/>
      <c r="P541" s="454"/>
      <c r="Q541" s="454"/>
      <c r="R541" s="454"/>
      <c r="S541" s="454"/>
      <c r="T541" s="454"/>
      <c r="U541" s="454"/>
      <c r="V541" s="454"/>
      <c r="W541" s="454"/>
      <c r="X541" s="454"/>
      <c r="Y541" s="454"/>
      <c r="Z541" s="454"/>
    </row>
    <row r="542" spans="1:26" ht="15.75" customHeight="1" x14ac:dyDescent="0.25">
      <c r="A542" s="454"/>
      <c r="B542" s="475"/>
      <c r="C542" s="475"/>
      <c r="D542" s="475"/>
      <c r="E542" s="476"/>
      <c r="F542" s="475"/>
      <c r="G542" s="454"/>
      <c r="H542" s="454"/>
      <c r="I542" s="454"/>
      <c r="J542" s="454"/>
      <c r="K542" s="454"/>
      <c r="L542" s="454"/>
      <c r="M542" s="454"/>
      <c r="N542" s="454"/>
      <c r="O542" s="454"/>
      <c r="P542" s="454"/>
      <c r="Q542" s="454"/>
      <c r="R542" s="454"/>
      <c r="S542" s="454"/>
      <c r="T542" s="454"/>
      <c r="U542" s="454"/>
      <c r="V542" s="454"/>
      <c r="W542" s="454"/>
      <c r="X542" s="454"/>
      <c r="Y542" s="454"/>
      <c r="Z542" s="454"/>
    </row>
    <row r="543" spans="1:26" ht="15.75" customHeight="1" x14ac:dyDescent="0.25">
      <c r="A543" s="454"/>
      <c r="B543" s="475"/>
      <c r="C543" s="475"/>
      <c r="D543" s="475"/>
      <c r="E543" s="476"/>
      <c r="F543" s="475"/>
      <c r="G543" s="454"/>
      <c r="H543" s="454"/>
      <c r="I543" s="454"/>
      <c r="J543" s="454"/>
      <c r="K543" s="454"/>
      <c r="L543" s="454"/>
      <c r="M543" s="454"/>
      <c r="N543" s="454"/>
      <c r="O543" s="454"/>
      <c r="P543" s="454"/>
      <c r="Q543" s="454"/>
      <c r="R543" s="454"/>
      <c r="S543" s="454"/>
      <c r="T543" s="454"/>
      <c r="U543" s="454"/>
      <c r="V543" s="454"/>
      <c r="W543" s="454"/>
      <c r="X543" s="454"/>
      <c r="Y543" s="454"/>
      <c r="Z543" s="454"/>
    </row>
    <row r="544" spans="1:26" ht="15.75" customHeight="1" x14ac:dyDescent="0.25">
      <c r="A544" s="454"/>
      <c r="B544" s="475"/>
      <c r="C544" s="475"/>
      <c r="D544" s="475"/>
      <c r="E544" s="476"/>
      <c r="F544" s="475"/>
      <c r="G544" s="454"/>
      <c r="H544" s="454"/>
      <c r="I544" s="454"/>
      <c r="J544" s="454"/>
      <c r="K544" s="454"/>
      <c r="L544" s="454"/>
      <c r="M544" s="454"/>
      <c r="N544" s="454"/>
      <c r="O544" s="454"/>
      <c r="P544" s="454"/>
      <c r="Q544" s="454"/>
      <c r="R544" s="454"/>
      <c r="S544" s="454"/>
      <c r="T544" s="454"/>
      <c r="U544" s="454"/>
      <c r="V544" s="454"/>
      <c r="W544" s="454"/>
      <c r="X544" s="454"/>
      <c r="Y544" s="454"/>
      <c r="Z544" s="454"/>
    </row>
    <row r="545" spans="1:26" ht="15.75" customHeight="1" x14ac:dyDescent="0.25">
      <c r="A545" s="454"/>
      <c r="B545" s="475"/>
      <c r="C545" s="475"/>
      <c r="D545" s="475"/>
      <c r="E545" s="476"/>
      <c r="F545" s="475"/>
      <c r="G545" s="454"/>
      <c r="H545" s="454"/>
      <c r="I545" s="454"/>
      <c r="J545" s="454"/>
      <c r="K545" s="454"/>
      <c r="L545" s="454"/>
      <c r="M545" s="454"/>
      <c r="N545" s="454"/>
      <c r="O545" s="454"/>
      <c r="P545" s="454"/>
      <c r="Q545" s="454"/>
      <c r="R545" s="454"/>
      <c r="S545" s="454"/>
      <c r="T545" s="454"/>
      <c r="U545" s="454"/>
      <c r="V545" s="454"/>
      <c r="W545" s="454"/>
      <c r="X545" s="454"/>
      <c r="Y545" s="454"/>
      <c r="Z545" s="454"/>
    </row>
    <row r="546" spans="1:26" ht="15.75" customHeight="1" x14ac:dyDescent="0.25">
      <c r="A546" s="454"/>
      <c r="B546" s="475"/>
      <c r="C546" s="475"/>
      <c r="D546" s="475"/>
      <c r="E546" s="476"/>
      <c r="F546" s="475"/>
      <c r="G546" s="454"/>
      <c r="H546" s="454"/>
      <c r="I546" s="454"/>
      <c r="J546" s="454"/>
      <c r="K546" s="454"/>
      <c r="L546" s="454"/>
      <c r="M546" s="454"/>
      <c r="N546" s="454"/>
      <c r="O546" s="454"/>
      <c r="P546" s="454"/>
      <c r="Q546" s="454"/>
      <c r="R546" s="454"/>
      <c r="S546" s="454"/>
      <c r="T546" s="454"/>
      <c r="U546" s="454"/>
      <c r="V546" s="454"/>
      <c r="W546" s="454"/>
      <c r="X546" s="454"/>
      <c r="Y546" s="454"/>
      <c r="Z546" s="454"/>
    </row>
    <row r="547" spans="1:26" ht="15.75" customHeight="1" x14ac:dyDescent="0.25">
      <c r="A547" s="454"/>
      <c r="B547" s="475"/>
      <c r="C547" s="475"/>
      <c r="D547" s="475"/>
      <c r="E547" s="476"/>
      <c r="F547" s="475"/>
      <c r="G547" s="454"/>
      <c r="H547" s="454"/>
      <c r="I547" s="454"/>
      <c r="J547" s="454"/>
      <c r="K547" s="454"/>
      <c r="L547" s="454"/>
      <c r="M547" s="454"/>
      <c r="N547" s="454"/>
      <c r="O547" s="454"/>
      <c r="P547" s="454"/>
      <c r="Q547" s="454"/>
      <c r="R547" s="454"/>
      <c r="S547" s="454"/>
      <c r="T547" s="454"/>
      <c r="U547" s="454"/>
      <c r="V547" s="454"/>
      <c r="W547" s="454"/>
      <c r="X547" s="454"/>
      <c r="Y547" s="454"/>
      <c r="Z547" s="454"/>
    </row>
    <row r="548" spans="1:26" ht="15.75" customHeight="1" x14ac:dyDescent="0.25">
      <c r="A548" s="454"/>
      <c r="B548" s="475"/>
      <c r="C548" s="475"/>
      <c r="D548" s="475"/>
      <c r="E548" s="476"/>
      <c r="F548" s="475"/>
      <c r="G548" s="454"/>
      <c r="H548" s="454"/>
      <c r="I548" s="454"/>
      <c r="J548" s="454"/>
      <c r="K548" s="454"/>
      <c r="L548" s="454"/>
      <c r="M548" s="454"/>
      <c r="N548" s="454"/>
      <c r="O548" s="454"/>
      <c r="P548" s="454"/>
      <c r="Q548" s="454"/>
      <c r="R548" s="454"/>
      <c r="S548" s="454"/>
      <c r="T548" s="454"/>
      <c r="U548" s="454"/>
      <c r="V548" s="454"/>
      <c r="W548" s="454"/>
      <c r="X548" s="454"/>
      <c r="Y548" s="454"/>
      <c r="Z548" s="454"/>
    </row>
    <row r="549" spans="1:26" ht="15.75" customHeight="1" x14ac:dyDescent="0.25">
      <c r="A549" s="454"/>
      <c r="B549" s="475"/>
      <c r="C549" s="475"/>
      <c r="D549" s="475"/>
      <c r="E549" s="476"/>
      <c r="F549" s="475"/>
      <c r="G549" s="454"/>
      <c r="H549" s="454"/>
      <c r="I549" s="454"/>
      <c r="J549" s="454"/>
      <c r="K549" s="454"/>
      <c r="L549" s="454"/>
      <c r="M549" s="454"/>
      <c r="N549" s="454"/>
      <c r="O549" s="454"/>
      <c r="P549" s="454"/>
      <c r="Q549" s="454"/>
      <c r="R549" s="454"/>
      <c r="S549" s="454"/>
      <c r="T549" s="454"/>
      <c r="U549" s="454"/>
      <c r="V549" s="454"/>
      <c r="W549" s="454"/>
      <c r="X549" s="454"/>
      <c r="Y549" s="454"/>
      <c r="Z549" s="454"/>
    </row>
    <row r="550" spans="1:26" ht="15.75" customHeight="1" x14ac:dyDescent="0.25">
      <c r="A550" s="454"/>
      <c r="B550" s="475"/>
      <c r="C550" s="475"/>
      <c r="D550" s="475"/>
      <c r="E550" s="476"/>
      <c r="F550" s="475"/>
      <c r="G550" s="454"/>
      <c r="H550" s="454"/>
      <c r="I550" s="454"/>
      <c r="J550" s="454"/>
      <c r="K550" s="454"/>
      <c r="L550" s="454"/>
      <c r="M550" s="454"/>
      <c r="N550" s="454"/>
      <c r="O550" s="454"/>
      <c r="P550" s="454"/>
      <c r="Q550" s="454"/>
      <c r="R550" s="454"/>
      <c r="S550" s="454"/>
      <c r="T550" s="454"/>
      <c r="U550" s="454"/>
      <c r="V550" s="454"/>
      <c r="W550" s="454"/>
      <c r="X550" s="454"/>
      <c r="Y550" s="454"/>
      <c r="Z550" s="454"/>
    </row>
    <row r="551" spans="1:26" ht="15.75" customHeight="1" x14ac:dyDescent="0.25">
      <c r="A551" s="454"/>
      <c r="B551" s="475"/>
      <c r="C551" s="475"/>
      <c r="D551" s="475"/>
      <c r="E551" s="476"/>
      <c r="F551" s="475"/>
      <c r="G551" s="454"/>
      <c r="H551" s="454"/>
      <c r="I551" s="454"/>
      <c r="J551" s="454"/>
      <c r="K551" s="454"/>
      <c r="L551" s="454"/>
      <c r="M551" s="454"/>
      <c r="N551" s="454"/>
      <c r="O551" s="454"/>
      <c r="P551" s="454"/>
      <c r="Q551" s="454"/>
      <c r="R551" s="454"/>
      <c r="S551" s="454"/>
      <c r="T551" s="454"/>
      <c r="U551" s="454"/>
      <c r="V551" s="454"/>
      <c r="W551" s="454"/>
      <c r="X551" s="454"/>
      <c r="Y551" s="454"/>
      <c r="Z551" s="454"/>
    </row>
    <row r="552" spans="1:26" ht="15.75" customHeight="1" x14ac:dyDescent="0.25">
      <c r="A552" s="454"/>
      <c r="B552" s="475"/>
      <c r="C552" s="475"/>
      <c r="D552" s="475"/>
      <c r="E552" s="476"/>
      <c r="F552" s="475"/>
      <c r="G552" s="454"/>
      <c r="H552" s="454"/>
      <c r="I552" s="454"/>
      <c r="J552" s="454"/>
      <c r="K552" s="454"/>
      <c r="L552" s="454"/>
      <c r="M552" s="454"/>
      <c r="N552" s="454"/>
      <c r="O552" s="454"/>
      <c r="P552" s="454"/>
      <c r="Q552" s="454"/>
      <c r="R552" s="454"/>
      <c r="S552" s="454"/>
      <c r="T552" s="454"/>
      <c r="U552" s="454"/>
      <c r="V552" s="454"/>
      <c r="W552" s="454"/>
      <c r="X552" s="454"/>
      <c r="Y552" s="454"/>
      <c r="Z552" s="454"/>
    </row>
    <row r="553" spans="1:26" ht="15.75" customHeight="1" x14ac:dyDescent="0.25">
      <c r="A553" s="454"/>
      <c r="B553" s="475"/>
      <c r="C553" s="475"/>
      <c r="D553" s="475"/>
      <c r="E553" s="476"/>
      <c r="F553" s="475"/>
      <c r="G553" s="454"/>
      <c r="H553" s="454"/>
      <c r="I553" s="454"/>
      <c r="J553" s="454"/>
      <c r="K553" s="454"/>
      <c r="L553" s="454"/>
      <c r="M553" s="454"/>
      <c r="N553" s="454"/>
      <c r="O553" s="454"/>
      <c r="P553" s="454"/>
      <c r="Q553" s="454"/>
      <c r="R553" s="454"/>
      <c r="S553" s="454"/>
      <c r="T553" s="454"/>
      <c r="U553" s="454"/>
      <c r="V553" s="454"/>
      <c r="W553" s="454"/>
      <c r="X553" s="454"/>
      <c r="Y553" s="454"/>
      <c r="Z553" s="454"/>
    </row>
    <row r="554" spans="1:26" ht="15.75" customHeight="1" x14ac:dyDescent="0.25">
      <c r="A554" s="454"/>
      <c r="B554" s="475"/>
      <c r="C554" s="475"/>
      <c r="D554" s="475"/>
      <c r="E554" s="476"/>
      <c r="F554" s="475"/>
      <c r="G554" s="454"/>
      <c r="H554" s="454"/>
      <c r="I554" s="454"/>
      <c r="J554" s="454"/>
      <c r="K554" s="454"/>
      <c r="L554" s="454"/>
      <c r="M554" s="454"/>
      <c r="N554" s="454"/>
      <c r="O554" s="454"/>
      <c r="P554" s="454"/>
      <c r="Q554" s="454"/>
      <c r="R554" s="454"/>
      <c r="S554" s="454"/>
      <c r="T554" s="454"/>
      <c r="U554" s="454"/>
      <c r="V554" s="454"/>
      <c r="W554" s="454"/>
      <c r="X554" s="454"/>
      <c r="Y554" s="454"/>
      <c r="Z554" s="454"/>
    </row>
    <row r="555" spans="1:26" ht="15.75" customHeight="1" x14ac:dyDescent="0.25">
      <c r="A555" s="454"/>
      <c r="B555" s="475"/>
      <c r="C555" s="475"/>
      <c r="D555" s="475"/>
      <c r="E555" s="476"/>
      <c r="F555" s="475"/>
      <c r="G555" s="454"/>
      <c r="H555" s="454"/>
      <c r="I555" s="454"/>
      <c r="J555" s="454"/>
      <c r="K555" s="454"/>
      <c r="L555" s="454"/>
      <c r="M555" s="454"/>
      <c r="N555" s="454"/>
      <c r="O555" s="454"/>
      <c r="P555" s="454"/>
      <c r="Q555" s="454"/>
      <c r="R555" s="454"/>
      <c r="S555" s="454"/>
      <c r="T555" s="454"/>
      <c r="U555" s="454"/>
      <c r="V555" s="454"/>
      <c r="W555" s="454"/>
      <c r="X555" s="454"/>
      <c r="Y555" s="454"/>
      <c r="Z555" s="454"/>
    </row>
    <row r="556" spans="1:26" ht="15.75" customHeight="1" x14ac:dyDescent="0.25">
      <c r="A556" s="454"/>
      <c r="B556" s="475"/>
      <c r="C556" s="475"/>
      <c r="D556" s="475"/>
      <c r="E556" s="476"/>
      <c r="F556" s="475"/>
      <c r="G556" s="454"/>
      <c r="H556" s="454"/>
      <c r="I556" s="454"/>
      <c r="J556" s="454"/>
      <c r="K556" s="454"/>
      <c r="L556" s="454"/>
      <c r="M556" s="454"/>
      <c r="N556" s="454"/>
      <c r="O556" s="454"/>
      <c r="P556" s="454"/>
      <c r="Q556" s="454"/>
      <c r="R556" s="454"/>
      <c r="S556" s="454"/>
      <c r="T556" s="454"/>
      <c r="U556" s="454"/>
      <c r="V556" s="454"/>
      <c r="W556" s="454"/>
      <c r="X556" s="454"/>
      <c r="Y556" s="454"/>
      <c r="Z556" s="454"/>
    </row>
    <row r="557" spans="1:26" ht="15.75" customHeight="1" x14ac:dyDescent="0.25">
      <c r="A557" s="454"/>
      <c r="B557" s="475"/>
      <c r="C557" s="475"/>
      <c r="D557" s="475"/>
      <c r="E557" s="476"/>
      <c r="F557" s="475"/>
      <c r="G557" s="454"/>
      <c r="H557" s="454"/>
      <c r="I557" s="454"/>
      <c r="J557" s="454"/>
      <c r="K557" s="454"/>
      <c r="L557" s="454"/>
      <c r="M557" s="454"/>
      <c r="N557" s="454"/>
      <c r="O557" s="454"/>
      <c r="P557" s="454"/>
      <c r="Q557" s="454"/>
      <c r="R557" s="454"/>
      <c r="S557" s="454"/>
      <c r="T557" s="454"/>
      <c r="U557" s="454"/>
      <c r="V557" s="454"/>
      <c r="W557" s="454"/>
      <c r="X557" s="454"/>
      <c r="Y557" s="454"/>
      <c r="Z557" s="454"/>
    </row>
    <row r="558" spans="1:26" ht="15.75" customHeight="1" x14ac:dyDescent="0.25">
      <c r="A558" s="454"/>
      <c r="B558" s="475"/>
      <c r="C558" s="475"/>
      <c r="D558" s="475"/>
      <c r="E558" s="476"/>
      <c r="F558" s="475"/>
      <c r="G558" s="454"/>
      <c r="H558" s="454"/>
      <c r="I558" s="454"/>
      <c r="J558" s="454"/>
      <c r="K558" s="454"/>
      <c r="L558" s="454"/>
      <c r="M558" s="454"/>
      <c r="N558" s="454"/>
      <c r="O558" s="454"/>
      <c r="P558" s="454"/>
      <c r="Q558" s="454"/>
      <c r="R558" s="454"/>
      <c r="S558" s="454"/>
      <c r="T558" s="454"/>
      <c r="U558" s="454"/>
      <c r="V558" s="454"/>
      <c r="W558" s="454"/>
      <c r="X558" s="454"/>
      <c r="Y558" s="454"/>
      <c r="Z558" s="454"/>
    </row>
    <row r="559" spans="1:26" ht="15.75" customHeight="1" x14ac:dyDescent="0.25">
      <c r="A559" s="454"/>
      <c r="B559" s="475"/>
      <c r="C559" s="475"/>
      <c r="D559" s="475"/>
      <c r="E559" s="476"/>
      <c r="F559" s="475"/>
      <c r="G559" s="454"/>
      <c r="H559" s="454"/>
      <c r="I559" s="454"/>
      <c r="J559" s="454"/>
      <c r="K559" s="454"/>
      <c r="L559" s="454"/>
      <c r="M559" s="454"/>
      <c r="N559" s="454"/>
      <c r="O559" s="454"/>
      <c r="P559" s="454"/>
      <c r="Q559" s="454"/>
      <c r="R559" s="454"/>
      <c r="S559" s="454"/>
      <c r="T559" s="454"/>
      <c r="U559" s="454"/>
      <c r="V559" s="454"/>
      <c r="W559" s="454"/>
      <c r="X559" s="454"/>
      <c r="Y559" s="454"/>
      <c r="Z559" s="454"/>
    </row>
    <row r="560" spans="1:26" ht="15.75" customHeight="1" x14ac:dyDescent="0.25">
      <c r="A560" s="454"/>
      <c r="B560" s="475"/>
      <c r="C560" s="475"/>
      <c r="D560" s="475"/>
      <c r="E560" s="476"/>
      <c r="F560" s="475"/>
      <c r="G560" s="454"/>
      <c r="H560" s="454"/>
      <c r="I560" s="454"/>
      <c r="J560" s="454"/>
      <c r="K560" s="454"/>
      <c r="L560" s="454"/>
      <c r="M560" s="454"/>
      <c r="N560" s="454"/>
      <c r="O560" s="454"/>
      <c r="P560" s="454"/>
      <c r="Q560" s="454"/>
      <c r="R560" s="454"/>
      <c r="S560" s="454"/>
      <c r="T560" s="454"/>
      <c r="U560" s="454"/>
      <c r="V560" s="454"/>
      <c r="W560" s="454"/>
      <c r="X560" s="454"/>
      <c r="Y560" s="454"/>
      <c r="Z560" s="454"/>
    </row>
    <row r="561" spans="1:26" ht="15.75" customHeight="1" x14ac:dyDescent="0.25">
      <c r="A561" s="454"/>
      <c r="B561" s="475"/>
      <c r="C561" s="475"/>
      <c r="D561" s="475"/>
      <c r="E561" s="476"/>
      <c r="F561" s="475"/>
      <c r="G561" s="454"/>
      <c r="H561" s="454"/>
      <c r="I561" s="454"/>
      <c r="J561" s="454"/>
      <c r="K561" s="454"/>
      <c r="L561" s="454"/>
      <c r="M561" s="454"/>
      <c r="N561" s="454"/>
      <c r="O561" s="454"/>
      <c r="P561" s="454"/>
      <c r="Q561" s="454"/>
      <c r="R561" s="454"/>
      <c r="S561" s="454"/>
      <c r="T561" s="454"/>
      <c r="U561" s="454"/>
      <c r="V561" s="454"/>
      <c r="W561" s="454"/>
      <c r="X561" s="454"/>
      <c r="Y561" s="454"/>
      <c r="Z561" s="454"/>
    </row>
    <row r="562" spans="1:26" ht="15.75" customHeight="1" x14ac:dyDescent="0.25">
      <c r="A562" s="454"/>
      <c r="B562" s="475"/>
      <c r="C562" s="475"/>
      <c r="D562" s="475"/>
      <c r="E562" s="476"/>
      <c r="F562" s="475"/>
      <c r="G562" s="454"/>
      <c r="H562" s="454"/>
      <c r="I562" s="454"/>
      <c r="J562" s="454"/>
      <c r="K562" s="454"/>
      <c r="L562" s="454"/>
      <c r="M562" s="454"/>
      <c r="N562" s="454"/>
      <c r="O562" s="454"/>
      <c r="P562" s="454"/>
      <c r="Q562" s="454"/>
      <c r="R562" s="454"/>
      <c r="S562" s="454"/>
      <c r="T562" s="454"/>
      <c r="U562" s="454"/>
      <c r="V562" s="454"/>
      <c r="W562" s="454"/>
      <c r="X562" s="454"/>
      <c r="Y562" s="454"/>
      <c r="Z562" s="454"/>
    </row>
    <row r="563" spans="1:26" ht="15.75" customHeight="1" x14ac:dyDescent="0.25">
      <c r="A563" s="454"/>
      <c r="B563" s="475"/>
      <c r="C563" s="475"/>
      <c r="D563" s="475"/>
      <c r="E563" s="476"/>
      <c r="F563" s="475"/>
      <c r="G563" s="454"/>
      <c r="H563" s="454"/>
      <c r="I563" s="454"/>
      <c r="J563" s="454"/>
      <c r="K563" s="454"/>
      <c r="L563" s="454"/>
      <c r="M563" s="454"/>
      <c r="N563" s="454"/>
      <c r="O563" s="454"/>
      <c r="P563" s="454"/>
      <c r="Q563" s="454"/>
      <c r="R563" s="454"/>
      <c r="S563" s="454"/>
      <c r="T563" s="454"/>
      <c r="U563" s="454"/>
      <c r="V563" s="454"/>
      <c r="W563" s="454"/>
      <c r="X563" s="454"/>
      <c r="Y563" s="454"/>
      <c r="Z563" s="454"/>
    </row>
    <row r="564" spans="1:26" ht="15.75" customHeight="1" x14ac:dyDescent="0.25">
      <c r="A564" s="454"/>
      <c r="B564" s="475"/>
      <c r="C564" s="475"/>
      <c r="D564" s="475"/>
      <c r="E564" s="476"/>
      <c r="F564" s="475"/>
      <c r="G564" s="454"/>
      <c r="H564" s="454"/>
      <c r="I564" s="454"/>
      <c r="J564" s="454"/>
      <c r="K564" s="454"/>
      <c r="L564" s="454"/>
      <c r="M564" s="454"/>
      <c r="N564" s="454"/>
      <c r="O564" s="454"/>
      <c r="P564" s="454"/>
      <c r="Q564" s="454"/>
      <c r="R564" s="454"/>
      <c r="S564" s="454"/>
      <c r="T564" s="454"/>
      <c r="U564" s="454"/>
      <c r="V564" s="454"/>
      <c r="W564" s="454"/>
      <c r="X564" s="454"/>
      <c r="Y564" s="454"/>
      <c r="Z564" s="454"/>
    </row>
    <row r="565" spans="1:26" ht="15.75" customHeight="1" x14ac:dyDescent="0.25">
      <c r="A565" s="454"/>
      <c r="B565" s="475"/>
      <c r="C565" s="475"/>
      <c r="D565" s="475"/>
      <c r="E565" s="476"/>
      <c r="F565" s="475"/>
      <c r="G565" s="454"/>
      <c r="H565" s="454"/>
      <c r="I565" s="454"/>
      <c r="J565" s="454"/>
      <c r="K565" s="454"/>
      <c r="L565" s="454"/>
      <c r="M565" s="454"/>
      <c r="N565" s="454"/>
      <c r="O565" s="454"/>
      <c r="P565" s="454"/>
      <c r="Q565" s="454"/>
      <c r="R565" s="454"/>
      <c r="S565" s="454"/>
      <c r="T565" s="454"/>
      <c r="U565" s="454"/>
      <c r="V565" s="454"/>
      <c r="W565" s="454"/>
      <c r="X565" s="454"/>
      <c r="Y565" s="454"/>
      <c r="Z565" s="454"/>
    </row>
    <row r="566" spans="1:26" ht="15.75" customHeight="1" x14ac:dyDescent="0.25">
      <c r="A566" s="454"/>
      <c r="B566" s="475"/>
      <c r="C566" s="475"/>
      <c r="D566" s="475"/>
      <c r="E566" s="476"/>
      <c r="F566" s="475"/>
      <c r="G566" s="454"/>
      <c r="H566" s="454"/>
      <c r="I566" s="454"/>
      <c r="J566" s="454"/>
      <c r="K566" s="454"/>
      <c r="L566" s="454"/>
      <c r="M566" s="454"/>
      <c r="N566" s="454"/>
      <c r="O566" s="454"/>
      <c r="P566" s="454"/>
      <c r="Q566" s="454"/>
      <c r="R566" s="454"/>
      <c r="S566" s="454"/>
      <c r="T566" s="454"/>
      <c r="U566" s="454"/>
      <c r="V566" s="454"/>
      <c r="W566" s="454"/>
      <c r="X566" s="454"/>
      <c r="Y566" s="454"/>
      <c r="Z566" s="454"/>
    </row>
    <row r="567" spans="1:26" ht="15.75" customHeight="1" x14ac:dyDescent="0.25">
      <c r="A567" s="454"/>
      <c r="B567" s="475"/>
      <c r="C567" s="475"/>
      <c r="D567" s="475"/>
      <c r="E567" s="476"/>
      <c r="F567" s="475"/>
      <c r="G567" s="454"/>
      <c r="H567" s="454"/>
      <c r="I567" s="454"/>
      <c r="J567" s="454"/>
      <c r="K567" s="454"/>
      <c r="L567" s="454"/>
      <c r="M567" s="454"/>
      <c r="N567" s="454"/>
      <c r="O567" s="454"/>
      <c r="P567" s="454"/>
      <c r="Q567" s="454"/>
      <c r="R567" s="454"/>
      <c r="S567" s="454"/>
      <c r="T567" s="454"/>
      <c r="U567" s="454"/>
      <c r="V567" s="454"/>
      <c r="W567" s="454"/>
      <c r="X567" s="454"/>
      <c r="Y567" s="454"/>
      <c r="Z567" s="454"/>
    </row>
    <row r="568" spans="1:26" ht="15.75" customHeight="1" x14ac:dyDescent="0.25">
      <c r="A568" s="454"/>
      <c r="B568" s="475"/>
      <c r="C568" s="475"/>
      <c r="D568" s="475"/>
      <c r="E568" s="476"/>
      <c r="F568" s="475"/>
      <c r="G568" s="454"/>
      <c r="H568" s="454"/>
      <c r="I568" s="454"/>
      <c r="J568" s="454"/>
      <c r="K568" s="454"/>
      <c r="L568" s="454"/>
      <c r="M568" s="454"/>
      <c r="N568" s="454"/>
      <c r="O568" s="454"/>
      <c r="P568" s="454"/>
      <c r="Q568" s="454"/>
      <c r="R568" s="454"/>
      <c r="S568" s="454"/>
      <c r="T568" s="454"/>
      <c r="U568" s="454"/>
      <c r="V568" s="454"/>
      <c r="W568" s="454"/>
      <c r="X568" s="454"/>
      <c r="Y568" s="454"/>
      <c r="Z568" s="454"/>
    </row>
    <row r="569" spans="1:26" ht="15.75" customHeight="1" x14ac:dyDescent="0.25">
      <c r="A569" s="454"/>
      <c r="B569" s="475"/>
      <c r="C569" s="475"/>
      <c r="D569" s="475"/>
      <c r="E569" s="476"/>
      <c r="F569" s="475"/>
      <c r="G569" s="454"/>
      <c r="H569" s="454"/>
      <c r="I569" s="454"/>
      <c r="J569" s="454"/>
      <c r="K569" s="454"/>
      <c r="L569" s="454"/>
      <c r="M569" s="454"/>
      <c r="N569" s="454"/>
      <c r="O569" s="454"/>
      <c r="P569" s="454"/>
      <c r="Q569" s="454"/>
      <c r="R569" s="454"/>
      <c r="S569" s="454"/>
      <c r="T569" s="454"/>
      <c r="U569" s="454"/>
      <c r="V569" s="454"/>
      <c r="W569" s="454"/>
      <c r="X569" s="454"/>
      <c r="Y569" s="454"/>
      <c r="Z569" s="454"/>
    </row>
    <row r="570" spans="1:26" ht="15.75" customHeight="1" x14ac:dyDescent="0.25">
      <c r="A570" s="454"/>
      <c r="B570" s="475"/>
      <c r="C570" s="475"/>
      <c r="D570" s="475"/>
      <c r="E570" s="476"/>
      <c r="F570" s="475"/>
      <c r="G570" s="454"/>
      <c r="H570" s="454"/>
      <c r="I570" s="454"/>
      <c r="J570" s="454"/>
      <c r="K570" s="454"/>
      <c r="L570" s="454"/>
      <c r="M570" s="454"/>
      <c r="N570" s="454"/>
      <c r="O570" s="454"/>
      <c r="P570" s="454"/>
      <c r="Q570" s="454"/>
      <c r="R570" s="454"/>
      <c r="S570" s="454"/>
      <c r="T570" s="454"/>
      <c r="U570" s="454"/>
      <c r="V570" s="454"/>
      <c r="W570" s="454"/>
      <c r="X570" s="454"/>
      <c r="Y570" s="454"/>
      <c r="Z570" s="454"/>
    </row>
    <row r="571" spans="1:26" ht="15.75" customHeight="1" x14ac:dyDescent="0.25">
      <c r="A571" s="454"/>
      <c r="B571" s="475"/>
      <c r="C571" s="475"/>
      <c r="D571" s="475"/>
      <c r="E571" s="476"/>
      <c r="F571" s="475"/>
      <c r="G571" s="454"/>
      <c r="H571" s="454"/>
      <c r="I571" s="454"/>
      <c r="J571" s="454"/>
      <c r="K571" s="454"/>
      <c r="L571" s="454"/>
      <c r="M571" s="454"/>
      <c r="N571" s="454"/>
      <c r="O571" s="454"/>
      <c r="P571" s="454"/>
      <c r="Q571" s="454"/>
      <c r="R571" s="454"/>
      <c r="S571" s="454"/>
      <c r="T571" s="454"/>
      <c r="U571" s="454"/>
      <c r="V571" s="454"/>
      <c r="W571" s="454"/>
      <c r="X571" s="454"/>
      <c r="Y571" s="454"/>
      <c r="Z571" s="454"/>
    </row>
    <row r="572" spans="1:26" ht="15.75" customHeight="1" x14ac:dyDescent="0.25">
      <c r="A572" s="454"/>
      <c r="B572" s="475"/>
      <c r="C572" s="475"/>
      <c r="D572" s="475"/>
      <c r="E572" s="476"/>
      <c r="F572" s="475"/>
      <c r="G572" s="454"/>
      <c r="H572" s="454"/>
      <c r="I572" s="454"/>
      <c r="J572" s="454"/>
      <c r="K572" s="454"/>
      <c r="L572" s="454"/>
      <c r="M572" s="454"/>
      <c r="N572" s="454"/>
      <c r="O572" s="454"/>
      <c r="P572" s="454"/>
      <c r="Q572" s="454"/>
      <c r="R572" s="454"/>
      <c r="S572" s="454"/>
      <c r="T572" s="454"/>
      <c r="U572" s="454"/>
      <c r="V572" s="454"/>
      <c r="W572" s="454"/>
      <c r="X572" s="454"/>
      <c r="Y572" s="454"/>
      <c r="Z572" s="454"/>
    </row>
    <row r="573" spans="1:26" ht="15.75" customHeight="1" x14ac:dyDescent="0.25">
      <c r="A573" s="454"/>
      <c r="B573" s="475"/>
      <c r="C573" s="475"/>
      <c r="D573" s="475"/>
      <c r="E573" s="476"/>
      <c r="F573" s="475"/>
      <c r="G573" s="454"/>
      <c r="H573" s="454"/>
      <c r="I573" s="454"/>
      <c r="J573" s="454"/>
      <c r="K573" s="454"/>
      <c r="L573" s="454"/>
      <c r="M573" s="454"/>
      <c r="N573" s="454"/>
      <c r="O573" s="454"/>
      <c r="P573" s="454"/>
      <c r="Q573" s="454"/>
      <c r="R573" s="454"/>
      <c r="S573" s="454"/>
      <c r="T573" s="454"/>
      <c r="U573" s="454"/>
      <c r="V573" s="454"/>
      <c r="W573" s="454"/>
      <c r="X573" s="454"/>
      <c r="Y573" s="454"/>
      <c r="Z573" s="454"/>
    </row>
    <row r="574" spans="1:26" ht="15.75" customHeight="1" x14ac:dyDescent="0.25">
      <c r="A574" s="454"/>
      <c r="B574" s="475"/>
      <c r="C574" s="475"/>
      <c r="D574" s="475"/>
      <c r="E574" s="476"/>
      <c r="F574" s="475"/>
      <c r="G574" s="454"/>
      <c r="H574" s="454"/>
      <c r="I574" s="454"/>
      <c r="J574" s="454"/>
      <c r="K574" s="454"/>
      <c r="L574" s="454"/>
      <c r="M574" s="454"/>
      <c r="N574" s="454"/>
      <c r="O574" s="454"/>
      <c r="P574" s="454"/>
      <c r="Q574" s="454"/>
      <c r="R574" s="454"/>
      <c r="S574" s="454"/>
      <c r="T574" s="454"/>
      <c r="U574" s="454"/>
      <c r="V574" s="454"/>
      <c r="W574" s="454"/>
      <c r="X574" s="454"/>
      <c r="Y574" s="454"/>
      <c r="Z574" s="454"/>
    </row>
    <row r="575" spans="1:26" ht="15.75" customHeight="1" x14ac:dyDescent="0.25">
      <c r="A575" s="454"/>
      <c r="B575" s="475"/>
      <c r="C575" s="475"/>
      <c r="D575" s="475"/>
      <c r="E575" s="476"/>
      <c r="F575" s="475"/>
      <c r="G575" s="454"/>
      <c r="H575" s="454"/>
      <c r="I575" s="454"/>
      <c r="J575" s="454"/>
      <c r="K575" s="454"/>
      <c r="L575" s="454"/>
      <c r="M575" s="454"/>
      <c r="N575" s="454"/>
      <c r="O575" s="454"/>
      <c r="P575" s="454"/>
      <c r="Q575" s="454"/>
      <c r="R575" s="454"/>
      <c r="S575" s="454"/>
      <c r="T575" s="454"/>
      <c r="U575" s="454"/>
      <c r="V575" s="454"/>
      <c r="W575" s="454"/>
      <c r="X575" s="454"/>
      <c r="Y575" s="454"/>
      <c r="Z575" s="454"/>
    </row>
    <row r="576" spans="1:26" ht="15.75" customHeight="1" x14ac:dyDescent="0.25">
      <c r="A576" s="454"/>
      <c r="B576" s="475"/>
      <c r="C576" s="475"/>
      <c r="D576" s="475"/>
      <c r="E576" s="476"/>
      <c r="F576" s="475"/>
      <c r="G576" s="454"/>
      <c r="H576" s="454"/>
      <c r="I576" s="454"/>
      <c r="J576" s="454"/>
      <c r="K576" s="454"/>
      <c r="L576" s="454"/>
      <c r="M576" s="454"/>
      <c r="N576" s="454"/>
      <c r="O576" s="454"/>
      <c r="P576" s="454"/>
      <c r="Q576" s="454"/>
      <c r="R576" s="454"/>
      <c r="S576" s="454"/>
      <c r="T576" s="454"/>
      <c r="U576" s="454"/>
      <c r="V576" s="454"/>
      <c r="W576" s="454"/>
      <c r="X576" s="454"/>
      <c r="Y576" s="454"/>
      <c r="Z576" s="454"/>
    </row>
    <row r="577" spans="1:26" ht="15.75" customHeight="1" x14ac:dyDescent="0.25">
      <c r="A577" s="454"/>
      <c r="B577" s="475"/>
      <c r="C577" s="475"/>
      <c r="D577" s="475"/>
      <c r="E577" s="476"/>
      <c r="F577" s="475"/>
      <c r="G577" s="454"/>
      <c r="H577" s="454"/>
      <c r="I577" s="454"/>
      <c r="J577" s="454"/>
      <c r="K577" s="454"/>
      <c r="L577" s="454"/>
      <c r="M577" s="454"/>
      <c r="N577" s="454"/>
      <c r="O577" s="454"/>
      <c r="P577" s="454"/>
      <c r="Q577" s="454"/>
      <c r="R577" s="454"/>
      <c r="S577" s="454"/>
      <c r="T577" s="454"/>
      <c r="U577" s="454"/>
      <c r="V577" s="454"/>
      <c r="W577" s="454"/>
      <c r="X577" s="454"/>
      <c r="Y577" s="454"/>
      <c r="Z577" s="454"/>
    </row>
    <row r="578" spans="1:26" ht="15.75" customHeight="1" x14ac:dyDescent="0.25">
      <c r="A578" s="454"/>
      <c r="B578" s="475"/>
      <c r="C578" s="475"/>
      <c r="D578" s="475"/>
      <c r="E578" s="476"/>
      <c r="F578" s="475"/>
      <c r="G578" s="454"/>
      <c r="H578" s="454"/>
      <c r="I578" s="454"/>
      <c r="J578" s="454"/>
      <c r="K578" s="454"/>
      <c r="L578" s="454"/>
      <c r="M578" s="454"/>
      <c r="N578" s="454"/>
      <c r="O578" s="454"/>
      <c r="P578" s="454"/>
      <c r="Q578" s="454"/>
      <c r="R578" s="454"/>
      <c r="S578" s="454"/>
      <c r="T578" s="454"/>
      <c r="U578" s="454"/>
      <c r="V578" s="454"/>
      <c r="W578" s="454"/>
      <c r="X578" s="454"/>
      <c r="Y578" s="454"/>
      <c r="Z578" s="454"/>
    </row>
    <row r="579" spans="1:26" ht="15.75" customHeight="1" x14ac:dyDescent="0.25">
      <c r="A579" s="454"/>
      <c r="B579" s="475"/>
      <c r="C579" s="475"/>
      <c r="D579" s="475"/>
      <c r="E579" s="476"/>
      <c r="F579" s="475"/>
      <c r="G579" s="454"/>
      <c r="H579" s="454"/>
      <c r="I579" s="454"/>
      <c r="J579" s="454"/>
      <c r="K579" s="454"/>
      <c r="L579" s="454"/>
      <c r="M579" s="454"/>
      <c r="N579" s="454"/>
      <c r="O579" s="454"/>
      <c r="P579" s="454"/>
      <c r="Q579" s="454"/>
      <c r="R579" s="454"/>
      <c r="S579" s="454"/>
      <c r="T579" s="454"/>
      <c r="U579" s="454"/>
      <c r="V579" s="454"/>
      <c r="W579" s="454"/>
      <c r="X579" s="454"/>
      <c r="Y579" s="454"/>
      <c r="Z579" s="454"/>
    </row>
    <row r="580" spans="1:26" ht="15.75" customHeight="1" x14ac:dyDescent="0.25">
      <c r="A580" s="454"/>
      <c r="B580" s="475"/>
      <c r="C580" s="475"/>
      <c r="D580" s="475"/>
      <c r="E580" s="476"/>
      <c r="F580" s="475"/>
      <c r="G580" s="454"/>
      <c r="H580" s="454"/>
      <c r="I580" s="454"/>
      <c r="J580" s="454"/>
      <c r="K580" s="454"/>
      <c r="L580" s="454"/>
      <c r="M580" s="454"/>
      <c r="N580" s="454"/>
      <c r="O580" s="454"/>
      <c r="P580" s="454"/>
      <c r="Q580" s="454"/>
      <c r="R580" s="454"/>
      <c r="S580" s="454"/>
      <c r="T580" s="454"/>
      <c r="U580" s="454"/>
      <c r="V580" s="454"/>
      <c r="W580" s="454"/>
      <c r="X580" s="454"/>
      <c r="Y580" s="454"/>
      <c r="Z580" s="454"/>
    </row>
    <row r="581" spans="1:26" ht="15.75" customHeight="1" x14ac:dyDescent="0.25">
      <c r="A581" s="454"/>
      <c r="B581" s="475"/>
      <c r="C581" s="475"/>
      <c r="D581" s="475"/>
      <c r="E581" s="476"/>
      <c r="F581" s="475"/>
      <c r="G581" s="454"/>
      <c r="H581" s="454"/>
      <c r="I581" s="454"/>
      <c r="J581" s="454"/>
      <c r="K581" s="454"/>
      <c r="L581" s="454"/>
      <c r="M581" s="454"/>
      <c r="N581" s="454"/>
      <c r="O581" s="454"/>
      <c r="P581" s="454"/>
      <c r="Q581" s="454"/>
      <c r="R581" s="454"/>
      <c r="S581" s="454"/>
      <c r="T581" s="454"/>
      <c r="U581" s="454"/>
      <c r="V581" s="454"/>
      <c r="W581" s="454"/>
      <c r="X581" s="454"/>
      <c r="Y581" s="454"/>
      <c r="Z581" s="454"/>
    </row>
    <row r="582" spans="1:26" ht="15.75" customHeight="1" x14ac:dyDescent="0.25">
      <c r="A582" s="454"/>
      <c r="B582" s="475"/>
      <c r="C582" s="475"/>
      <c r="D582" s="475"/>
      <c r="E582" s="476"/>
      <c r="F582" s="475"/>
      <c r="G582" s="454"/>
      <c r="H582" s="454"/>
      <c r="I582" s="454"/>
      <c r="J582" s="454"/>
      <c r="K582" s="454"/>
      <c r="L582" s="454"/>
      <c r="M582" s="454"/>
      <c r="N582" s="454"/>
      <c r="O582" s="454"/>
      <c r="P582" s="454"/>
      <c r="Q582" s="454"/>
      <c r="R582" s="454"/>
      <c r="S582" s="454"/>
      <c r="T582" s="454"/>
      <c r="U582" s="454"/>
      <c r="V582" s="454"/>
      <c r="W582" s="454"/>
      <c r="X582" s="454"/>
      <c r="Y582" s="454"/>
      <c r="Z582" s="454"/>
    </row>
    <row r="583" spans="1:26" ht="15.75" customHeight="1" x14ac:dyDescent="0.25">
      <c r="A583" s="454"/>
      <c r="B583" s="475"/>
      <c r="C583" s="475"/>
      <c r="D583" s="475"/>
      <c r="E583" s="476"/>
      <c r="F583" s="475"/>
      <c r="G583" s="454"/>
      <c r="H583" s="454"/>
      <c r="I583" s="454"/>
      <c r="J583" s="454"/>
      <c r="K583" s="454"/>
      <c r="L583" s="454"/>
      <c r="M583" s="454"/>
      <c r="N583" s="454"/>
      <c r="O583" s="454"/>
      <c r="P583" s="454"/>
      <c r="Q583" s="454"/>
      <c r="R583" s="454"/>
      <c r="S583" s="454"/>
      <c r="T583" s="454"/>
      <c r="U583" s="454"/>
      <c r="V583" s="454"/>
      <c r="W583" s="454"/>
      <c r="X583" s="454"/>
      <c r="Y583" s="454"/>
      <c r="Z583" s="454"/>
    </row>
    <row r="584" spans="1:26" ht="15.75" customHeight="1" x14ac:dyDescent="0.25">
      <c r="A584" s="454"/>
      <c r="B584" s="475"/>
      <c r="C584" s="475"/>
      <c r="D584" s="475"/>
      <c r="E584" s="476"/>
      <c r="F584" s="475"/>
      <c r="G584" s="454"/>
      <c r="H584" s="454"/>
      <c r="I584" s="454"/>
      <c r="J584" s="454"/>
      <c r="K584" s="454"/>
      <c r="L584" s="454"/>
      <c r="M584" s="454"/>
      <c r="N584" s="454"/>
      <c r="O584" s="454"/>
      <c r="P584" s="454"/>
      <c r="Q584" s="454"/>
      <c r="R584" s="454"/>
      <c r="S584" s="454"/>
      <c r="T584" s="454"/>
      <c r="U584" s="454"/>
      <c r="V584" s="454"/>
      <c r="W584" s="454"/>
      <c r="X584" s="454"/>
      <c r="Y584" s="454"/>
      <c r="Z584" s="454"/>
    </row>
    <row r="585" spans="1:26" ht="15.75" customHeight="1" x14ac:dyDescent="0.25">
      <c r="A585" s="454"/>
      <c r="B585" s="475"/>
      <c r="C585" s="475"/>
      <c r="D585" s="475"/>
      <c r="E585" s="476"/>
      <c r="F585" s="475"/>
      <c r="G585" s="454"/>
      <c r="H585" s="454"/>
      <c r="I585" s="454"/>
      <c r="J585" s="454"/>
      <c r="K585" s="454"/>
      <c r="L585" s="454"/>
      <c r="M585" s="454"/>
      <c r="N585" s="454"/>
      <c r="O585" s="454"/>
      <c r="P585" s="454"/>
      <c r="Q585" s="454"/>
      <c r="R585" s="454"/>
      <c r="S585" s="454"/>
      <c r="T585" s="454"/>
      <c r="U585" s="454"/>
      <c r="V585" s="454"/>
      <c r="W585" s="454"/>
      <c r="X585" s="454"/>
      <c r="Y585" s="454"/>
      <c r="Z585" s="454"/>
    </row>
    <row r="586" spans="1:26" ht="15.75" customHeight="1" x14ac:dyDescent="0.25">
      <c r="A586" s="454"/>
      <c r="B586" s="475"/>
      <c r="C586" s="475"/>
      <c r="D586" s="475"/>
      <c r="E586" s="476"/>
      <c r="F586" s="475"/>
      <c r="G586" s="454"/>
      <c r="H586" s="454"/>
      <c r="I586" s="454"/>
      <c r="J586" s="454"/>
      <c r="K586" s="454"/>
      <c r="L586" s="454"/>
      <c r="M586" s="454"/>
      <c r="N586" s="454"/>
      <c r="O586" s="454"/>
      <c r="P586" s="454"/>
      <c r="Q586" s="454"/>
      <c r="R586" s="454"/>
      <c r="S586" s="454"/>
      <c r="T586" s="454"/>
      <c r="U586" s="454"/>
      <c r="V586" s="454"/>
      <c r="W586" s="454"/>
      <c r="X586" s="454"/>
      <c r="Y586" s="454"/>
      <c r="Z586" s="454"/>
    </row>
    <row r="587" spans="1:26" ht="15.75" customHeight="1" x14ac:dyDescent="0.25">
      <c r="A587" s="454"/>
      <c r="B587" s="475"/>
      <c r="C587" s="475"/>
      <c r="D587" s="475"/>
      <c r="E587" s="476"/>
      <c r="F587" s="475"/>
      <c r="G587" s="454"/>
      <c r="H587" s="454"/>
      <c r="I587" s="454"/>
      <c r="J587" s="454"/>
      <c r="K587" s="454"/>
      <c r="L587" s="454"/>
      <c r="M587" s="454"/>
      <c r="N587" s="454"/>
      <c r="O587" s="454"/>
      <c r="P587" s="454"/>
      <c r="Q587" s="454"/>
      <c r="R587" s="454"/>
      <c r="S587" s="454"/>
      <c r="T587" s="454"/>
      <c r="U587" s="454"/>
      <c r="V587" s="454"/>
      <c r="W587" s="454"/>
      <c r="X587" s="454"/>
      <c r="Y587" s="454"/>
      <c r="Z587" s="454"/>
    </row>
    <row r="588" spans="1:26" ht="15.75" customHeight="1" x14ac:dyDescent="0.25">
      <c r="A588" s="454"/>
      <c r="B588" s="475"/>
      <c r="C588" s="475"/>
      <c r="D588" s="475"/>
      <c r="E588" s="476"/>
      <c r="F588" s="475"/>
      <c r="G588" s="454"/>
      <c r="H588" s="454"/>
      <c r="I588" s="454"/>
      <c r="J588" s="454"/>
      <c r="K588" s="454"/>
      <c r="L588" s="454"/>
      <c r="M588" s="454"/>
      <c r="N588" s="454"/>
      <c r="O588" s="454"/>
      <c r="P588" s="454"/>
      <c r="Q588" s="454"/>
      <c r="R588" s="454"/>
      <c r="S588" s="454"/>
      <c r="T588" s="454"/>
      <c r="U588" s="454"/>
      <c r="V588" s="454"/>
      <c r="W588" s="454"/>
      <c r="X588" s="454"/>
      <c r="Y588" s="454"/>
      <c r="Z588" s="454"/>
    </row>
    <row r="589" spans="1:26" ht="15.75" customHeight="1" x14ac:dyDescent="0.25">
      <c r="A589" s="454"/>
      <c r="B589" s="475"/>
      <c r="C589" s="475"/>
      <c r="D589" s="475"/>
      <c r="E589" s="476"/>
      <c r="F589" s="475"/>
      <c r="G589" s="454"/>
      <c r="H589" s="454"/>
      <c r="I589" s="454"/>
      <c r="J589" s="454"/>
      <c r="K589" s="454"/>
      <c r="L589" s="454"/>
      <c r="M589" s="454"/>
      <c r="N589" s="454"/>
      <c r="O589" s="454"/>
      <c r="P589" s="454"/>
      <c r="Q589" s="454"/>
      <c r="R589" s="454"/>
      <c r="S589" s="454"/>
      <c r="T589" s="454"/>
      <c r="U589" s="454"/>
      <c r="V589" s="454"/>
      <c r="W589" s="454"/>
      <c r="X589" s="454"/>
      <c r="Y589" s="454"/>
      <c r="Z589" s="454"/>
    </row>
    <row r="590" spans="1:26" ht="15.75" customHeight="1" x14ac:dyDescent="0.25">
      <c r="A590" s="454"/>
      <c r="B590" s="475"/>
      <c r="C590" s="475"/>
      <c r="D590" s="475"/>
      <c r="E590" s="476"/>
      <c r="F590" s="475"/>
      <c r="G590" s="454"/>
      <c r="H590" s="454"/>
      <c r="I590" s="454"/>
      <c r="J590" s="454"/>
      <c r="K590" s="454"/>
      <c r="L590" s="454"/>
      <c r="M590" s="454"/>
      <c r="N590" s="454"/>
      <c r="O590" s="454"/>
      <c r="P590" s="454"/>
      <c r="Q590" s="454"/>
      <c r="R590" s="454"/>
      <c r="S590" s="454"/>
      <c r="T590" s="454"/>
      <c r="U590" s="454"/>
      <c r="V590" s="454"/>
      <c r="W590" s="454"/>
      <c r="X590" s="454"/>
      <c r="Y590" s="454"/>
      <c r="Z590" s="454"/>
    </row>
    <row r="591" spans="1:26" ht="15.75" customHeight="1" x14ac:dyDescent="0.25">
      <c r="A591" s="454"/>
      <c r="B591" s="475"/>
      <c r="C591" s="475"/>
      <c r="D591" s="475"/>
      <c r="E591" s="476"/>
      <c r="F591" s="475"/>
      <c r="G591" s="454"/>
      <c r="H591" s="454"/>
      <c r="I591" s="454"/>
      <c r="J591" s="454"/>
      <c r="K591" s="454"/>
      <c r="L591" s="454"/>
      <c r="M591" s="454"/>
      <c r="N591" s="454"/>
      <c r="O591" s="454"/>
      <c r="P591" s="454"/>
      <c r="Q591" s="454"/>
      <c r="R591" s="454"/>
      <c r="S591" s="454"/>
      <c r="T591" s="454"/>
      <c r="U591" s="454"/>
      <c r="V591" s="454"/>
      <c r="W591" s="454"/>
      <c r="X591" s="454"/>
      <c r="Y591" s="454"/>
      <c r="Z591" s="454"/>
    </row>
    <row r="592" spans="1:26" ht="15.75" customHeight="1" x14ac:dyDescent="0.25">
      <c r="A592" s="454"/>
      <c r="B592" s="475"/>
      <c r="C592" s="475"/>
      <c r="D592" s="475"/>
      <c r="E592" s="476"/>
      <c r="F592" s="475"/>
      <c r="G592" s="454"/>
      <c r="H592" s="454"/>
      <c r="I592" s="454"/>
      <c r="J592" s="454"/>
      <c r="K592" s="454"/>
      <c r="L592" s="454"/>
      <c r="M592" s="454"/>
      <c r="N592" s="454"/>
      <c r="O592" s="454"/>
      <c r="P592" s="454"/>
      <c r="Q592" s="454"/>
      <c r="R592" s="454"/>
      <c r="S592" s="454"/>
      <c r="T592" s="454"/>
      <c r="U592" s="454"/>
      <c r="V592" s="454"/>
      <c r="W592" s="454"/>
      <c r="X592" s="454"/>
      <c r="Y592" s="454"/>
      <c r="Z592" s="454"/>
    </row>
    <row r="593" spans="1:26" ht="15.75" customHeight="1" x14ac:dyDescent="0.25">
      <c r="A593" s="454"/>
      <c r="B593" s="475"/>
      <c r="C593" s="475"/>
      <c r="D593" s="475"/>
      <c r="E593" s="476"/>
      <c r="F593" s="475"/>
      <c r="G593" s="454"/>
      <c r="H593" s="454"/>
      <c r="I593" s="454"/>
      <c r="J593" s="454"/>
      <c r="K593" s="454"/>
      <c r="L593" s="454"/>
      <c r="M593" s="454"/>
      <c r="N593" s="454"/>
      <c r="O593" s="454"/>
      <c r="P593" s="454"/>
      <c r="Q593" s="454"/>
      <c r="R593" s="454"/>
      <c r="S593" s="454"/>
      <c r="T593" s="454"/>
      <c r="U593" s="454"/>
      <c r="V593" s="454"/>
      <c r="W593" s="454"/>
      <c r="X593" s="454"/>
      <c r="Y593" s="454"/>
      <c r="Z593" s="454"/>
    </row>
    <row r="594" spans="1:26" ht="15.75" customHeight="1" x14ac:dyDescent="0.25">
      <c r="A594" s="454"/>
      <c r="B594" s="475"/>
      <c r="C594" s="475"/>
      <c r="D594" s="475"/>
      <c r="E594" s="476"/>
      <c r="F594" s="475"/>
      <c r="G594" s="454"/>
      <c r="H594" s="454"/>
      <c r="I594" s="454"/>
      <c r="J594" s="454"/>
      <c r="K594" s="454"/>
      <c r="L594" s="454"/>
      <c r="M594" s="454"/>
      <c r="N594" s="454"/>
      <c r="O594" s="454"/>
      <c r="P594" s="454"/>
      <c r="Q594" s="454"/>
      <c r="R594" s="454"/>
      <c r="S594" s="454"/>
      <c r="T594" s="454"/>
      <c r="U594" s="454"/>
      <c r="V594" s="454"/>
      <c r="W594" s="454"/>
      <c r="X594" s="454"/>
      <c r="Y594" s="454"/>
      <c r="Z594" s="454"/>
    </row>
    <row r="595" spans="1:26" ht="15.75" customHeight="1" x14ac:dyDescent="0.25">
      <c r="A595" s="454"/>
      <c r="B595" s="475"/>
      <c r="C595" s="475"/>
      <c r="D595" s="475"/>
      <c r="E595" s="476"/>
      <c r="F595" s="475"/>
      <c r="G595" s="454"/>
      <c r="H595" s="454"/>
      <c r="I595" s="454"/>
      <c r="J595" s="454"/>
      <c r="K595" s="454"/>
      <c r="L595" s="454"/>
      <c r="M595" s="454"/>
      <c r="N595" s="454"/>
      <c r="O595" s="454"/>
      <c r="P595" s="454"/>
      <c r="Q595" s="454"/>
      <c r="R595" s="454"/>
      <c r="S595" s="454"/>
      <c r="T595" s="454"/>
      <c r="U595" s="454"/>
      <c r="V595" s="454"/>
      <c r="W595" s="454"/>
      <c r="X595" s="454"/>
      <c r="Y595" s="454"/>
      <c r="Z595" s="454"/>
    </row>
    <row r="596" spans="1:26" ht="15.75" customHeight="1" x14ac:dyDescent="0.25">
      <c r="A596" s="454"/>
      <c r="B596" s="475"/>
      <c r="C596" s="475"/>
      <c r="D596" s="475"/>
      <c r="E596" s="476"/>
      <c r="F596" s="475"/>
      <c r="G596" s="454"/>
      <c r="H596" s="454"/>
      <c r="I596" s="454"/>
      <c r="J596" s="454"/>
      <c r="K596" s="454"/>
      <c r="L596" s="454"/>
      <c r="M596" s="454"/>
      <c r="N596" s="454"/>
      <c r="O596" s="454"/>
      <c r="P596" s="454"/>
      <c r="Q596" s="454"/>
      <c r="R596" s="454"/>
      <c r="S596" s="454"/>
      <c r="T596" s="454"/>
      <c r="U596" s="454"/>
      <c r="V596" s="454"/>
      <c r="W596" s="454"/>
      <c r="X596" s="454"/>
      <c r="Y596" s="454"/>
      <c r="Z596" s="454"/>
    </row>
    <row r="597" spans="1:26" ht="15.75" customHeight="1" x14ac:dyDescent="0.25">
      <c r="A597" s="454"/>
      <c r="B597" s="475"/>
      <c r="C597" s="475"/>
      <c r="D597" s="475"/>
      <c r="E597" s="476"/>
      <c r="F597" s="475"/>
      <c r="G597" s="454"/>
      <c r="H597" s="454"/>
      <c r="I597" s="454"/>
      <c r="J597" s="454"/>
      <c r="K597" s="454"/>
      <c r="L597" s="454"/>
      <c r="M597" s="454"/>
      <c r="N597" s="454"/>
      <c r="O597" s="454"/>
      <c r="P597" s="454"/>
      <c r="Q597" s="454"/>
      <c r="R597" s="454"/>
      <c r="S597" s="454"/>
      <c r="T597" s="454"/>
      <c r="U597" s="454"/>
      <c r="V597" s="454"/>
      <c r="W597" s="454"/>
      <c r="X597" s="454"/>
      <c r="Y597" s="454"/>
      <c r="Z597" s="454"/>
    </row>
    <row r="598" spans="1:26" ht="15.75" customHeight="1" x14ac:dyDescent="0.25">
      <c r="A598" s="454"/>
      <c r="B598" s="475"/>
      <c r="C598" s="475"/>
      <c r="D598" s="475"/>
      <c r="E598" s="476"/>
      <c r="F598" s="475"/>
      <c r="G598" s="454"/>
      <c r="H598" s="454"/>
      <c r="I598" s="454"/>
      <c r="J598" s="454"/>
      <c r="K598" s="454"/>
      <c r="L598" s="454"/>
      <c r="M598" s="454"/>
      <c r="N598" s="454"/>
      <c r="O598" s="454"/>
      <c r="P598" s="454"/>
      <c r="Q598" s="454"/>
      <c r="R598" s="454"/>
      <c r="S598" s="454"/>
      <c r="T598" s="454"/>
      <c r="U598" s="454"/>
      <c r="V598" s="454"/>
      <c r="W598" s="454"/>
      <c r="X598" s="454"/>
      <c r="Y598" s="454"/>
      <c r="Z598" s="454"/>
    </row>
    <row r="599" spans="1:26" ht="15.75" customHeight="1" x14ac:dyDescent="0.25">
      <c r="A599" s="454"/>
      <c r="B599" s="475"/>
      <c r="C599" s="475"/>
      <c r="D599" s="475"/>
      <c r="E599" s="476"/>
      <c r="F599" s="475"/>
      <c r="G599" s="454"/>
      <c r="H599" s="454"/>
      <c r="I599" s="454"/>
      <c r="J599" s="454"/>
      <c r="K599" s="454"/>
      <c r="L599" s="454"/>
      <c r="M599" s="454"/>
      <c r="N599" s="454"/>
      <c r="O599" s="454"/>
      <c r="P599" s="454"/>
      <c r="Q599" s="454"/>
      <c r="R599" s="454"/>
      <c r="S599" s="454"/>
      <c r="T599" s="454"/>
      <c r="U599" s="454"/>
      <c r="V599" s="454"/>
      <c r="W599" s="454"/>
      <c r="X599" s="454"/>
      <c r="Y599" s="454"/>
      <c r="Z599" s="454"/>
    </row>
    <row r="600" spans="1:26" ht="15.75" customHeight="1" x14ac:dyDescent="0.25">
      <c r="A600" s="454"/>
      <c r="B600" s="475"/>
      <c r="C600" s="475"/>
      <c r="D600" s="475"/>
      <c r="E600" s="476"/>
      <c r="F600" s="475"/>
      <c r="G600" s="454"/>
      <c r="H600" s="454"/>
      <c r="I600" s="454"/>
      <c r="J600" s="454"/>
      <c r="K600" s="454"/>
      <c r="L600" s="454"/>
      <c r="M600" s="454"/>
      <c r="N600" s="454"/>
      <c r="O600" s="454"/>
      <c r="P600" s="454"/>
      <c r="Q600" s="454"/>
      <c r="R600" s="454"/>
      <c r="S600" s="454"/>
      <c r="T600" s="454"/>
      <c r="U600" s="454"/>
      <c r="V600" s="454"/>
      <c r="W600" s="454"/>
      <c r="X600" s="454"/>
      <c r="Y600" s="454"/>
      <c r="Z600" s="454"/>
    </row>
    <row r="601" spans="1:26" ht="15.75" customHeight="1" x14ac:dyDescent="0.25">
      <c r="A601" s="454"/>
      <c r="B601" s="475"/>
      <c r="C601" s="475"/>
      <c r="D601" s="475"/>
      <c r="E601" s="476"/>
      <c r="F601" s="475"/>
      <c r="G601" s="454"/>
      <c r="H601" s="454"/>
      <c r="I601" s="454"/>
      <c r="J601" s="454"/>
      <c r="K601" s="454"/>
      <c r="L601" s="454"/>
      <c r="M601" s="454"/>
      <c r="N601" s="454"/>
      <c r="O601" s="454"/>
      <c r="P601" s="454"/>
      <c r="Q601" s="454"/>
      <c r="R601" s="454"/>
      <c r="S601" s="454"/>
      <c r="T601" s="454"/>
      <c r="U601" s="454"/>
      <c r="V601" s="454"/>
      <c r="W601" s="454"/>
      <c r="X601" s="454"/>
      <c r="Y601" s="454"/>
      <c r="Z601" s="454"/>
    </row>
    <row r="602" spans="1:26" ht="15.75" customHeight="1" x14ac:dyDescent="0.25">
      <c r="A602" s="454"/>
      <c r="B602" s="475"/>
      <c r="C602" s="475"/>
      <c r="D602" s="475"/>
      <c r="E602" s="476"/>
      <c r="F602" s="475"/>
      <c r="G602" s="454"/>
      <c r="H602" s="454"/>
      <c r="I602" s="454"/>
      <c r="J602" s="454"/>
      <c r="K602" s="454"/>
      <c r="L602" s="454"/>
      <c r="M602" s="454"/>
      <c r="N602" s="454"/>
      <c r="O602" s="454"/>
      <c r="P602" s="454"/>
      <c r="Q602" s="454"/>
      <c r="R602" s="454"/>
      <c r="S602" s="454"/>
      <c r="T602" s="454"/>
      <c r="U602" s="454"/>
      <c r="V602" s="454"/>
      <c r="W602" s="454"/>
      <c r="X602" s="454"/>
      <c r="Y602" s="454"/>
      <c r="Z602" s="454"/>
    </row>
    <row r="603" spans="1:26" ht="15.75" customHeight="1" x14ac:dyDescent="0.25">
      <c r="A603" s="454"/>
      <c r="B603" s="475"/>
      <c r="C603" s="475"/>
      <c r="D603" s="475"/>
      <c r="E603" s="476"/>
      <c r="F603" s="475"/>
      <c r="G603" s="454"/>
      <c r="H603" s="454"/>
      <c r="I603" s="454"/>
      <c r="J603" s="454"/>
      <c r="K603" s="454"/>
      <c r="L603" s="454"/>
      <c r="M603" s="454"/>
      <c r="N603" s="454"/>
      <c r="O603" s="454"/>
      <c r="P603" s="454"/>
      <c r="Q603" s="454"/>
      <c r="R603" s="454"/>
      <c r="S603" s="454"/>
      <c r="T603" s="454"/>
      <c r="U603" s="454"/>
      <c r="V603" s="454"/>
      <c r="W603" s="454"/>
      <c r="X603" s="454"/>
      <c r="Y603" s="454"/>
      <c r="Z603" s="454"/>
    </row>
    <row r="604" spans="1:26" ht="15.75" customHeight="1" x14ac:dyDescent="0.25">
      <c r="A604" s="454"/>
      <c r="B604" s="475"/>
      <c r="C604" s="475"/>
      <c r="D604" s="475"/>
      <c r="E604" s="476"/>
      <c r="F604" s="475"/>
      <c r="G604" s="454"/>
      <c r="H604" s="454"/>
      <c r="I604" s="454"/>
      <c r="J604" s="454"/>
      <c r="K604" s="454"/>
      <c r="L604" s="454"/>
      <c r="M604" s="454"/>
      <c r="N604" s="454"/>
      <c r="O604" s="454"/>
      <c r="P604" s="454"/>
      <c r="Q604" s="454"/>
      <c r="R604" s="454"/>
      <c r="S604" s="454"/>
      <c r="T604" s="454"/>
      <c r="U604" s="454"/>
      <c r="V604" s="454"/>
      <c r="W604" s="454"/>
      <c r="X604" s="454"/>
      <c r="Y604" s="454"/>
      <c r="Z604" s="454"/>
    </row>
    <row r="605" spans="1:26" ht="15.75" customHeight="1" x14ac:dyDescent="0.25">
      <c r="A605" s="454"/>
      <c r="B605" s="475"/>
      <c r="C605" s="475"/>
      <c r="D605" s="475"/>
      <c r="E605" s="476"/>
      <c r="F605" s="475"/>
      <c r="G605" s="454"/>
      <c r="H605" s="454"/>
      <c r="I605" s="454"/>
      <c r="J605" s="454"/>
      <c r="K605" s="454"/>
      <c r="L605" s="454"/>
      <c r="M605" s="454"/>
      <c r="N605" s="454"/>
      <c r="O605" s="454"/>
      <c r="P605" s="454"/>
      <c r="Q605" s="454"/>
      <c r="R605" s="454"/>
      <c r="S605" s="454"/>
      <c r="T605" s="454"/>
      <c r="U605" s="454"/>
      <c r="V605" s="454"/>
      <c r="W605" s="454"/>
      <c r="X605" s="454"/>
      <c r="Y605" s="454"/>
      <c r="Z605" s="454"/>
    </row>
    <row r="606" spans="1:26" ht="15.75" customHeight="1" x14ac:dyDescent="0.25">
      <c r="A606" s="454"/>
      <c r="B606" s="475"/>
      <c r="C606" s="475"/>
      <c r="D606" s="475"/>
      <c r="E606" s="476"/>
      <c r="F606" s="475"/>
      <c r="G606" s="454"/>
      <c r="H606" s="454"/>
      <c r="I606" s="454"/>
      <c r="J606" s="454"/>
      <c r="K606" s="454"/>
      <c r="L606" s="454"/>
      <c r="M606" s="454"/>
      <c r="N606" s="454"/>
      <c r="O606" s="454"/>
      <c r="P606" s="454"/>
      <c r="Q606" s="454"/>
      <c r="R606" s="454"/>
      <c r="S606" s="454"/>
      <c r="T606" s="454"/>
      <c r="U606" s="454"/>
      <c r="V606" s="454"/>
      <c r="W606" s="454"/>
      <c r="X606" s="454"/>
      <c r="Y606" s="454"/>
      <c r="Z606" s="454"/>
    </row>
    <row r="607" spans="1:26" ht="15.75" customHeight="1" x14ac:dyDescent="0.25">
      <c r="A607" s="454"/>
      <c r="B607" s="475"/>
      <c r="C607" s="475"/>
      <c r="D607" s="475"/>
      <c r="E607" s="476"/>
      <c r="F607" s="475"/>
      <c r="G607" s="454"/>
      <c r="H607" s="454"/>
      <c r="I607" s="454"/>
      <c r="J607" s="454"/>
      <c r="K607" s="454"/>
      <c r="L607" s="454"/>
      <c r="M607" s="454"/>
      <c r="N607" s="454"/>
      <c r="O607" s="454"/>
      <c r="P607" s="454"/>
      <c r="Q607" s="454"/>
      <c r="R607" s="454"/>
      <c r="S607" s="454"/>
      <c r="T607" s="454"/>
      <c r="U607" s="454"/>
      <c r="V607" s="454"/>
      <c r="W607" s="454"/>
      <c r="X607" s="454"/>
      <c r="Y607" s="454"/>
      <c r="Z607" s="454"/>
    </row>
    <row r="608" spans="1:26" ht="15.75" customHeight="1" x14ac:dyDescent="0.25">
      <c r="A608" s="454"/>
      <c r="B608" s="475"/>
      <c r="C608" s="475"/>
      <c r="D608" s="475"/>
      <c r="E608" s="476"/>
      <c r="F608" s="475"/>
      <c r="G608" s="454"/>
      <c r="H608" s="454"/>
      <c r="I608" s="454"/>
      <c r="J608" s="454"/>
      <c r="K608" s="454"/>
      <c r="L608" s="454"/>
      <c r="M608" s="454"/>
      <c r="N608" s="454"/>
      <c r="O608" s="454"/>
      <c r="P608" s="454"/>
      <c r="Q608" s="454"/>
      <c r="R608" s="454"/>
      <c r="S608" s="454"/>
      <c r="T608" s="454"/>
      <c r="U608" s="454"/>
      <c r="V608" s="454"/>
      <c r="W608" s="454"/>
      <c r="X608" s="454"/>
      <c r="Y608" s="454"/>
      <c r="Z608" s="454"/>
    </row>
    <row r="609" spans="1:26" ht="15.75" customHeight="1" x14ac:dyDescent="0.25">
      <c r="A609" s="454"/>
      <c r="B609" s="475"/>
      <c r="C609" s="475"/>
      <c r="D609" s="475"/>
      <c r="E609" s="476"/>
      <c r="F609" s="475"/>
      <c r="G609" s="454"/>
      <c r="H609" s="454"/>
      <c r="I609" s="454"/>
      <c r="J609" s="454"/>
      <c r="K609" s="454"/>
      <c r="L609" s="454"/>
      <c r="M609" s="454"/>
      <c r="N609" s="454"/>
      <c r="O609" s="454"/>
      <c r="P609" s="454"/>
      <c r="Q609" s="454"/>
      <c r="R609" s="454"/>
      <c r="S609" s="454"/>
      <c r="T609" s="454"/>
      <c r="U609" s="454"/>
      <c r="V609" s="454"/>
      <c r="W609" s="454"/>
      <c r="X609" s="454"/>
      <c r="Y609" s="454"/>
      <c r="Z609" s="454"/>
    </row>
    <row r="610" spans="1:26" ht="15.75" customHeight="1" x14ac:dyDescent="0.25">
      <c r="A610" s="454"/>
      <c r="B610" s="475"/>
      <c r="C610" s="475"/>
      <c r="D610" s="475"/>
      <c r="E610" s="476"/>
      <c r="F610" s="475"/>
      <c r="G610" s="454"/>
      <c r="H610" s="454"/>
      <c r="I610" s="454"/>
      <c r="J610" s="454"/>
      <c r="K610" s="454"/>
      <c r="L610" s="454"/>
      <c r="M610" s="454"/>
      <c r="N610" s="454"/>
      <c r="O610" s="454"/>
      <c r="P610" s="454"/>
      <c r="Q610" s="454"/>
      <c r="R610" s="454"/>
      <c r="S610" s="454"/>
      <c r="T610" s="454"/>
      <c r="U610" s="454"/>
      <c r="V610" s="454"/>
      <c r="W610" s="454"/>
      <c r="X610" s="454"/>
      <c r="Y610" s="454"/>
      <c r="Z610" s="454"/>
    </row>
    <row r="611" spans="1:26" ht="15.75" customHeight="1" x14ac:dyDescent="0.25">
      <c r="A611" s="454"/>
      <c r="B611" s="475"/>
      <c r="C611" s="475"/>
      <c r="D611" s="475"/>
      <c r="E611" s="476"/>
      <c r="F611" s="475"/>
      <c r="G611" s="454"/>
      <c r="H611" s="454"/>
      <c r="I611" s="454"/>
      <c r="J611" s="454"/>
      <c r="K611" s="454"/>
      <c r="L611" s="454"/>
      <c r="M611" s="454"/>
      <c r="N611" s="454"/>
      <c r="O611" s="454"/>
      <c r="P611" s="454"/>
      <c r="Q611" s="454"/>
      <c r="R611" s="454"/>
      <c r="S611" s="454"/>
      <c r="T611" s="454"/>
      <c r="U611" s="454"/>
      <c r="V611" s="454"/>
      <c r="W611" s="454"/>
      <c r="X611" s="454"/>
      <c r="Y611" s="454"/>
      <c r="Z611" s="454"/>
    </row>
    <row r="612" spans="1:26" ht="15.75" customHeight="1" x14ac:dyDescent="0.25">
      <c r="A612" s="454"/>
      <c r="B612" s="475"/>
      <c r="C612" s="475"/>
      <c r="D612" s="475"/>
      <c r="E612" s="476"/>
      <c r="F612" s="475"/>
      <c r="G612" s="454"/>
      <c r="H612" s="454"/>
      <c r="I612" s="454"/>
      <c r="J612" s="454"/>
      <c r="K612" s="454"/>
      <c r="L612" s="454"/>
      <c r="M612" s="454"/>
      <c r="N612" s="454"/>
      <c r="O612" s="454"/>
      <c r="P612" s="454"/>
      <c r="Q612" s="454"/>
      <c r="R612" s="454"/>
      <c r="S612" s="454"/>
      <c r="T612" s="454"/>
      <c r="U612" s="454"/>
      <c r="V612" s="454"/>
      <c r="W612" s="454"/>
      <c r="X612" s="454"/>
      <c r="Y612" s="454"/>
      <c r="Z612" s="454"/>
    </row>
    <row r="613" spans="1:26" ht="15.75" customHeight="1" x14ac:dyDescent="0.25">
      <c r="A613" s="454"/>
      <c r="B613" s="475"/>
      <c r="C613" s="475"/>
      <c r="D613" s="475"/>
      <c r="E613" s="476"/>
      <c r="F613" s="475"/>
      <c r="G613" s="454"/>
      <c r="H613" s="454"/>
      <c r="I613" s="454"/>
      <c r="J613" s="454"/>
      <c r="K613" s="454"/>
      <c r="L613" s="454"/>
      <c r="M613" s="454"/>
      <c r="N613" s="454"/>
      <c r="O613" s="454"/>
      <c r="P613" s="454"/>
      <c r="Q613" s="454"/>
      <c r="R613" s="454"/>
      <c r="S613" s="454"/>
      <c r="T613" s="454"/>
      <c r="U613" s="454"/>
      <c r="V613" s="454"/>
      <c r="W613" s="454"/>
      <c r="X613" s="454"/>
      <c r="Y613" s="454"/>
      <c r="Z613" s="454"/>
    </row>
    <row r="614" spans="1:26" ht="15.75" customHeight="1" x14ac:dyDescent="0.25">
      <c r="A614" s="454"/>
      <c r="B614" s="475"/>
      <c r="C614" s="475"/>
      <c r="D614" s="475"/>
      <c r="E614" s="476"/>
      <c r="F614" s="475"/>
      <c r="G614" s="454"/>
      <c r="H614" s="454"/>
      <c r="I614" s="454"/>
      <c r="J614" s="454"/>
      <c r="K614" s="454"/>
      <c r="L614" s="454"/>
      <c r="M614" s="454"/>
      <c r="N614" s="454"/>
      <c r="O614" s="454"/>
      <c r="P614" s="454"/>
      <c r="Q614" s="454"/>
      <c r="R614" s="454"/>
      <c r="S614" s="454"/>
      <c r="T614" s="454"/>
      <c r="U614" s="454"/>
      <c r="V614" s="454"/>
      <c r="W614" s="454"/>
      <c r="X614" s="454"/>
      <c r="Y614" s="454"/>
      <c r="Z614" s="454"/>
    </row>
    <row r="615" spans="1:26" ht="15.75" customHeight="1" x14ac:dyDescent="0.25">
      <c r="A615" s="454"/>
      <c r="B615" s="475"/>
      <c r="C615" s="475"/>
      <c r="D615" s="475"/>
      <c r="E615" s="476"/>
      <c r="F615" s="475"/>
      <c r="G615" s="454"/>
      <c r="H615" s="454"/>
      <c r="I615" s="454"/>
      <c r="J615" s="454"/>
      <c r="K615" s="454"/>
      <c r="L615" s="454"/>
      <c r="M615" s="454"/>
      <c r="N615" s="454"/>
      <c r="O615" s="454"/>
      <c r="P615" s="454"/>
      <c r="Q615" s="454"/>
      <c r="R615" s="454"/>
      <c r="S615" s="454"/>
      <c r="T615" s="454"/>
      <c r="U615" s="454"/>
      <c r="V615" s="454"/>
      <c r="W615" s="454"/>
      <c r="X615" s="454"/>
      <c r="Y615" s="454"/>
      <c r="Z615" s="454"/>
    </row>
    <row r="616" spans="1:26" ht="15.75" customHeight="1" x14ac:dyDescent="0.25">
      <c r="A616" s="454"/>
      <c r="B616" s="475"/>
      <c r="C616" s="475"/>
      <c r="D616" s="475"/>
      <c r="E616" s="476"/>
      <c r="F616" s="475"/>
      <c r="G616" s="454"/>
      <c r="H616" s="454"/>
      <c r="I616" s="454"/>
      <c r="J616" s="454"/>
      <c r="K616" s="454"/>
      <c r="L616" s="454"/>
      <c r="M616" s="454"/>
      <c r="N616" s="454"/>
      <c r="O616" s="454"/>
      <c r="P616" s="454"/>
      <c r="Q616" s="454"/>
      <c r="R616" s="454"/>
      <c r="S616" s="454"/>
      <c r="T616" s="454"/>
      <c r="U616" s="454"/>
      <c r="V616" s="454"/>
      <c r="W616" s="454"/>
      <c r="X616" s="454"/>
      <c r="Y616" s="454"/>
      <c r="Z616" s="454"/>
    </row>
    <row r="617" spans="1:26" ht="15.75" customHeight="1" x14ac:dyDescent="0.25">
      <c r="A617" s="454"/>
      <c r="B617" s="475"/>
      <c r="C617" s="475"/>
      <c r="D617" s="475"/>
      <c r="E617" s="476"/>
      <c r="F617" s="475"/>
      <c r="G617" s="454"/>
      <c r="H617" s="454"/>
      <c r="I617" s="454"/>
      <c r="J617" s="454"/>
      <c r="K617" s="454"/>
      <c r="L617" s="454"/>
      <c r="M617" s="454"/>
      <c r="N617" s="454"/>
      <c r="O617" s="454"/>
      <c r="P617" s="454"/>
      <c r="Q617" s="454"/>
      <c r="R617" s="454"/>
      <c r="S617" s="454"/>
      <c r="T617" s="454"/>
      <c r="U617" s="454"/>
      <c r="V617" s="454"/>
      <c r="W617" s="454"/>
      <c r="X617" s="454"/>
      <c r="Y617" s="454"/>
      <c r="Z617" s="454"/>
    </row>
    <row r="618" spans="1:26" ht="15.75" customHeight="1" x14ac:dyDescent="0.25">
      <c r="A618" s="454"/>
      <c r="B618" s="475"/>
      <c r="C618" s="475"/>
      <c r="D618" s="475"/>
      <c r="E618" s="476"/>
      <c r="F618" s="475"/>
      <c r="G618" s="454"/>
      <c r="H618" s="454"/>
      <c r="I618" s="454"/>
      <c r="J618" s="454"/>
      <c r="K618" s="454"/>
      <c r="L618" s="454"/>
      <c r="M618" s="454"/>
      <c r="N618" s="454"/>
      <c r="O618" s="454"/>
      <c r="P618" s="454"/>
      <c r="Q618" s="454"/>
      <c r="R618" s="454"/>
      <c r="S618" s="454"/>
      <c r="T618" s="454"/>
      <c r="U618" s="454"/>
      <c r="V618" s="454"/>
      <c r="W618" s="454"/>
      <c r="X618" s="454"/>
      <c r="Y618" s="454"/>
      <c r="Z618" s="454"/>
    </row>
    <row r="619" spans="1:26" ht="15.75" customHeight="1" x14ac:dyDescent="0.25">
      <c r="A619" s="454"/>
      <c r="B619" s="475"/>
      <c r="C619" s="475"/>
      <c r="D619" s="475"/>
      <c r="E619" s="476"/>
      <c r="F619" s="475"/>
      <c r="G619" s="454"/>
      <c r="H619" s="454"/>
      <c r="I619" s="454"/>
      <c r="J619" s="454"/>
      <c r="K619" s="454"/>
      <c r="L619" s="454"/>
      <c r="M619" s="454"/>
      <c r="N619" s="454"/>
      <c r="O619" s="454"/>
      <c r="P619" s="454"/>
      <c r="Q619" s="454"/>
      <c r="R619" s="454"/>
      <c r="S619" s="454"/>
      <c r="T619" s="454"/>
      <c r="U619" s="454"/>
      <c r="V619" s="454"/>
      <c r="W619" s="454"/>
      <c r="X619" s="454"/>
      <c r="Y619" s="454"/>
      <c r="Z619" s="454"/>
    </row>
    <row r="620" spans="1:26" ht="15.75" customHeight="1" x14ac:dyDescent="0.25">
      <c r="A620" s="454"/>
      <c r="B620" s="475"/>
      <c r="C620" s="475"/>
      <c r="D620" s="475"/>
      <c r="E620" s="476"/>
      <c r="F620" s="475"/>
      <c r="G620" s="454"/>
      <c r="H620" s="454"/>
      <c r="I620" s="454"/>
      <c r="J620" s="454"/>
      <c r="K620" s="454"/>
      <c r="L620" s="454"/>
      <c r="M620" s="454"/>
      <c r="N620" s="454"/>
      <c r="O620" s="454"/>
      <c r="P620" s="454"/>
      <c r="Q620" s="454"/>
      <c r="R620" s="454"/>
      <c r="S620" s="454"/>
      <c r="T620" s="454"/>
      <c r="U620" s="454"/>
      <c r="V620" s="454"/>
      <c r="W620" s="454"/>
      <c r="X620" s="454"/>
      <c r="Y620" s="454"/>
      <c r="Z620" s="454"/>
    </row>
    <row r="621" spans="1:26" ht="15.75" customHeight="1" x14ac:dyDescent="0.25">
      <c r="A621" s="454"/>
      <c r="B621" s="475"/>
      <c r="C621" s="475"/>
      <c r="D621" s="475"/>
      <c r="E621" s="476"/>
      <c r="F621" s="475"/>
      <c r="G621" s="454"/>
      <c r="H621" s="454"/>
      <c r="I621" s="454"/>
      <c r="J621" s="454"/>
      <c r="K621" s="454"/>
      <c r="L621" s="454"/>
      <c r="M621" s="454"/>
      <c r="N621" s="454"/>
      <c r="O621" s="454"/>
      <c r="P621" s="454"/>
      <c r="Q621" s="454"/>
      <c r="R621" s="454"/>
      <c r="S621" s="454"/>
      <c r="T621" s="454"/>
      <c r="U621" s="454"/>
      <c r="V621" s="454"/>
      <c r="W621" s="454"/>
      <c r="X621" s="454"/>
      <c r="Y621" s="454"/>
      <c r="Z621" s="454"/>
    </row>
    <row r="622" spans="1:26" ht="15.75" customHeight="1" x14ac:dyDescent="0.25">
      <c r="A622" s="454"/>
      <c r="B622" s="475"/>
      <c r="C622" s="475"/>
      <c r="D622" s="475"/>
      <c r="E622" s="476"/>
      <c r="F622" s="475"/>
      <c r="G622" s="454"/>
      <c r="H622" s="454"/>
      <c r="I622" s="454"/>
      <c r="J622" s="454"/>
      <c r="K622" s="454"/>
      <c r="L622" s="454"/>
      <c r="M622" s="454"/>
      <c r="N622" s="454"/>
      <c r="O622" s="454"/>
      <c r="P622" s="454"/>
      <c r="Q622" s="454"/>
      <c r="R622" s="454"/>
      <c r="S622" s="454"/>
      <c r="T622" s="454"/>
      <c r="U622" s="454"/>
      <c r="V622" s="454"/>
      <c r="W622" s="454"/>
      <c r="X622" s="454"/>
      <c r="Y622" s="454"/>
      <c r="Z622" s="454"/>
    </row>
    <row r="623" spans="1:26" ht="15.75" customHeight="1" x14ac:dyDescent="0.25">
      <c r="A623" s="454"/>
      <c r="B623" s="475"/>
      <c r="C623" s="475"/>
      <c r="D623" s="475"/>
      <c r="E623" s="476"/>
      <c r="F623" s="475"/>
      <c r="G623" s="454"/>
      <c r="H623" s="454"/>
      <c r="I623" s="454"/>
      <c r="J623" s="454"/>
      <c r="K623" s="454"/>
      <c r="L623" s="454"/>
      <c r="M623" s="454"/>
      <c r="N623" s="454"/>
      <c r="O623" s="454"/>
      <c r="P623" s="454"/>
      <c r="Q623" s="454"/>
      <c r="R623" s="454"/>
      <c r="S623" s="454"/>
      <c r="T623" s="454"/>
      <c r="U623" s="454"/>
      <c r="V623" s="454"/>
      <c r="W623" s="454"/>
      <c r="X623" s="454"/>
      <c r="Y623" s="454"/>
      <c r="Z623" s="454"/>
    </row>
    <row r="624" spans="1:26" ht="15.75" customHeight="1" x14ac:dyDescent="0.25">
      <c r="A624" s="454"/>
      <c r="B624" s="475"/>
      <c r="C624" s="475"/>
      <c r="D624" s="475"/>
      <c r="E624" s="476"/>
      <c r="F624" s="475"/>
      <c r="G624" s="454"/>
      <c r="H624" s="454"/>
      <c r="I624" s="454"/>
      <c r="J624" s="454"/>
      <c r="K624" s="454"/>
      <c r="L624" s="454"/>
      <c r="M624" s="454"/>
      <c r="N624" s="454"/>
      <c r="O624" s="454"/>
      <c r="P624" s="454"/>
      <c r="Q624" s="454"/>
      <c r="R624" s="454"/>
      <c r="S624" s="454"/>
      <c r="T624" s="454"/>
      <c r="U624" s="454"/>
      <c r="V624" s="454"/>
      <c r="W624" s="454"/>
      <c r="X624" s="454"/>
      <c r="Y624" s="454"/>
      <c r="Z624" s="454"/>
    </row>
    <row r="625" spans="1:26" ht="15.75" customHeight="1" x14ac:dyDescent="0.25">
      <c r="A625" s="454"/>
      <c r="B625" s="475"/>
      <c r="C625" s="475"/>
      <c r="D625" s="475"/>
      <c r="E625" s="476"/>
      <c r="F625" s="475"/>
      <c r="G625" s="454"/>
      <c r="H625" s="454"/>
      <c r="I625" s="454"/>
      <c r="J625" s="454"/>
      <c r="K625" s="454"/>
      <c r="L625" s="454"/>
      <c r="M625" s="454"/>
      <c r="N625" s="454"/>
      <c r="O625" s="454"/>
      <c r="P625" s="454"/>
      <c r="Q625" s="454"/>
      <c r="R625" s="454"/>
      <c r="S625" s="454"/>
      <c r="T625" s="454"/>
      <c r="U625" s="454"/>
      <c r="V625" s="454"/>
      <c r="W625" s="454"/>
      <c r="X625" s="454"/>
      <c r="Y625" s="454"/>
      <c r="Z625" s="454"/>
    </row>
    <row r="626" spans="1:26" ht="15.75" customHeight="1" x14ac:dyDescent="0.25">
      <c r="A626" s="454"/>
      <c r="B626" s="475"/>
      <c r="C626" s="475"/>
      <c r="D626" s="475"/>
      <c r="E626" s="476"/>
      <c r="F626" s="475"/>
      <c r="G626" s="454"/>
      <c r="H626" s="454"/>
      <c r="I626" s="454"/>
      <c r="J626" s="454"/>
      <c r="K626" s="454"/>
      <c r="L626" s="454"/>
      <c r="M626" s="454"/>
      <c r="N626" s="454"/>
      <c r="O626" s="454"/>
      <c r="P626" s="454"/>
      <c r="Q626" s="454"/>
      <c r="R626" s="454"/>
      <c r="S626" s="454"/>
      <c r="T626" s="454"/>
      <c r="U626" s="454"/>
      <c r="V626" s="454"/>
      <c r="W626" s="454"/>
      <c r="X626" s="454"/>
      <c r="Y626" s="454"/>
      <c r="Z626" s="454"/>
    </row>
    <row r="627" spans="1:26" ht="15.75" customHeight="1" x14ac:dyDescent="0.25">
      <c r="A627" s="454"/>
      <c r="B627" s="475"/>
      <c r="C627" s="475"/>
      <c r="D627" s="475"/>
      <c r="E627" s="476"/>
      <c r="F627" s="475"/>
      <c r="G627" s="454"/>
      <c r="H627" s="454"/>
      <c r="I627" s="454"/>
      <c r="J627" s="454"/>
      <c r="K627" s="454"/>
      <c r="L627" s="454"/>
      <c r="M627" s="454"/>
      <c r="N627" s="454"/>
      <c r="O627" s="454"/>
      <c r="P627" s="454"/>
      <c r="Q627" s="454"/>
      <c r="R627" s="454"/>
      <c r="S627" s="454"/>
      <c r="T627" s="454"/>
      <c r="U627" s="454"/>
      <c r="V627" s="454"/>
      <c r="W627" s="454"/>
      <c r="X627" s="454"/>
      <c r="Y627" s="454"/>
      <c r="Z627" s="454"/>
    </row>
    <row r="628" spans="1:26" ht="15.75" customHeight="1" x14ac:dyDescent="0.25">
      <c r="A628" s="454"/>
      <c r="B628" s="475"/>
      <c r="C628" s="475"/>
      <c r="D628" s="475"/>
      <c r="E628" s="476"/>
      <c r="F628" s="475"/>
      <c r="G628" s="454"/>
      <c r="H628" s="454"/>
      <c r="I628" s="454"/>
      <c r="J628" s="454"/>
      <c r="K628" s="454"/>
      <c r="L628" s="454"/>
      <c r="M628" s="454"/>
      <c r="N628" s="454"/>
      <c r="O628" s="454"/>
      <c r="P628" s="454"/>
      <c r="Q628" s="454"/>
      <c r="R628" s="454"/>
      <c r="S628" s="454"/>
      <c r="T628" s="454"/>
      <c r="U628" s="454"/>
      <c r="V628" s="454"/>
      <c r="W628" s="454"/>
      <c r="X628" s="454"/>
      <c r="Y628" s="454"/>
      <c r="Z628" s="454"/>
    </row>
    <row r="629" spans="1:26" ht="15.75" customHeight="1" x14ac:dyDescent="0.25">
      <c r="A629" s="454"/>
      <c r="B629" s="475"/>
      <c r="C629" s="475"/>
      <c r="D629" s="475"/>
      <c r="E629" s="476"/>
      <c r="F629" s="475"/>
      <c r="G629" s="454"/>
      <c r="H629" s="454"/>
      <c r="I629" s="454"/>
      <c r="J629" s="454"/>
      <c r="K629" s="454"/>
      <c r="L629" s="454"/>
      <c r="M629" s="454"/>
      <c r="N629" s="454"/>
      <c r="O629" s="454"/>
      <c r="P629" s="454"/>
      <c r="Q629" s="454"/>
      <c r="R629" s="454"/>
      <c r="S629" s="454"/>
      <c r="T629" s="454"/>
      <c r="U629" s="454"/>
      <c r="V629" s="454"/>
      <c r="W629" s="454"/>
      <c r="X629" s="454"/>
      <c r="Y629" s="454"/>
      <c r="Z629" s="454"/>
    </row>
    <row r="630" spans="1:26" ht="15.75" customHeight="1" x14ac:dyDescent="0.25">
      <c r="A630" s="454"/>
      <c r="B630" s="475"/>
      <c r="C630" s="475"/>
      <c r="D630" s="475"/>
      <c r="E630" s="476"/>
      <c r="F630" s="475"/>
      <c r="G630" s="454"/>
      <c r="H630" s="454"/>
      <c r="I630" s="454"/>
      <c r="J630" s="454"/>
      <c r="K630" s="454"/>
      <c r="L630" s="454"/>
      <c r="M630" s="454"/>
      <c r="N630" s="454"/>
      <c r="O630" s="454"/>
      <c r="P630" s="454"/>
      <c r="Q630" s="454"/>
      <c r="R630" s="454"/>
      <c r="S630" s="454"/>
      <c r="T630" s="454"/>
      <c r="U630" s="454"/>
      <c r="V630" s="454"/>
      <c r="W630" s="454"/>
      <c r="X630" s="454"/>
      <c r="Y630" s="454"/>
      <c r="Z630" s="454"/>
    </row>
    <row r="631" spans="1:26" ht="15.75" customHeight="1" x14ac:dyDescent="0.25">
      <c r="A631" s="454"/>
      <c r="B631" s="475"/>
      <c r="C631" s="475"/>
      <c r="D631" s="475"/>
      <c r="E631" s="476"/>
      <c r="F631" s="475"/>
      <c r="G631" s="454"/>
      <c r="H631" s="454"/>
      <c r="I631" s="454"/>
      <c r="J631" s="454"/>
      <c r="K631" s="454"/>
      <c r="L631" s="454"/>
      <c r="M631" s="454"/>
      <c r="N631" s="454"/>
      <c r="O631" s="454"/>
      <c r="P631" s="454"/>
      <c r="Q631" s="454"/>
      <c r="R631" s="454"/>
      <c r="S631" s="454"/>
      <c r="T631" s="454"/>
      <c r="U631" s="454"/>
      <c r="V631" s="454"/>
      <c r="W631" s="454"/>
      <c r="X631" s="454"/>
      <c r="Y631" s="454"/>
      <c r="Z631" s="454"/>
    </row>
    <row r="632" spans="1:26" ht="15.75" customHeight="1" x14ac:dyDescent="0.25">
      <c r="A632" s="454"/>
      <c r="B632" s="475"/>
      <c r="C632" s="475"/>
      <c r="D632" s="475"/>
      <c r="E632" s="476"/>
      <c r="F632" s="475"/>
      <c r="G632" s="454"/>
      <c r="H632" s="454"/>
      <c r="I632" s="454"/>
      <c r="J632" s="454"/>
      <c r="K632" s="454"/>
      <c r="L632" s="454"/>
      <c r="M632" s="454"/>
      <c r="N632" s="454"/>
      <c r="O632" s="454"/>
      <c r="P632" s="454"/>
      <c r="Q632" s="454"/>
      <c r="R632" s="454"/>
      <c r="S632" s="454"/>
      <c r="T632" s="454"/>
      <c r="U632" s="454"/>
      <c r="V632" s="454"/>
      <c r="W632" s="454"/>
      <c r="X632" s="454"/>
      <c r="Y632" s="454"/>
      <c r="Z632" s="454"/>
    </row>
    <row r="633" spans="1:26" ht="15.75" customHeight="1" x14ac:dyDescent="0.25">
      <c r="A633" s="454"/>
      <c r="B633" s="475"/>
      <c r="C633" s="475"/>
      <c r="D633" s="475"/>
      <c r="E633" s="476"/>
      <c r="F633" s="475"/>
      <c r="G633" s="454"/>
      <c r="H633" s="454"/>
      <c r="I633" s="454"/>
      <c r="J633" s="454"/>
      <c r="K633" s="454"/>
      <c r="L633" s="454"/>
      <c r="M633" s="454"/>
      <c r="N633" s="454"/>
      <c r="O633" s="454"/>
      <c r="P633" s="454"/>
      <c r="Q633" s="454"/>
      <c r="R633" s="454"/>
      <c r="S633" s="454"/>
      <c r="T633" s="454"/>
      <c r="U633" s="454"/>
      <c r="V633" s="454"/>
      <c r="W633" s="454"/>
      <c r="X633" s="454"/>
      <c r="Y633" s="454"/>
      <c r="Z633" s="454"/>
    </row>
    <row r="634" spans="1:26" ht="15.75" customHeight="1" x14ac:dyDescent="0.25">
      <c r="A634" s="454"/>
      <c r="B634" s="475"/>
      <c r="C634" s="475"/>
      <c r="D634" s="475"/>
      <c r="E634" s="476"/>
      <c r="F634" s="475"/>
      <c r="G634" s="454"/>
      <c r="H634" s="454"/>
      <c r="I634" s="454"/>
      <c r="J634" s="454"/>
      <c r="K634" s="454"/>
      <c r="L634" s="454"/>
      <c r="M634" s="454"/>
      <c r="N634" s="454"/>
      <c r="O634" s="454"/>
      <c r="P634" s="454"/>
      <c r="Q634" s="454"/>
      <c r="R634" s="454"/>
      <c r="S634" s="454"/>
      <c r="T634" s="454"/>
      <c r="U634" s="454"/>
      <c r="V634" s="454"/>
      <c r="W634" s="454"/>
      <c r="X634" s="454"/>
      <c r="Y634" s="454"/>
      <c r="Z634" s="454"/>
    </row>
    <row r="635" spans="1:26" ht="15.75" customHeight="1" x14ac:dyDescent="0.25">
      <c r="A635" s="454"/>
      <c r="B635" s="475"/>
      <c r="C635" s="475"/>
      <c r="D635" s="475"/>
      <c r="E635" s="476"/>
      <c r="F635" s="475"/>
      <c r="G635" s="454"/>
      <c r="H635" s="454"/>
      <c r="I635" s="454"/>
      <c r="J635" s="454"/>
      <c r="K635" s="454"/>
      <c r="L635" s="454"/>
      <c r="M635" s="454"/>
      <c r="N635" s="454"/>
      <c r="O635" s="454"/>
      <c r="P635" s="454"/>
      <c r="Q635" s="454"/>
      <c r="R635" s="454"/>
      <c r="S635" s="454"/>
      <c r="T635" s="454"/>
      <c r="U635" s="454"/>
      <c r="V635" s="454"/>
      <c r="W635" s="454"/>
      <c r="X635" s="454"/>
      <c r="Y635" s="454"/>
      <c r="Z635" s="454"/>
    </row>
    <row r="636" spans="1:26" ht="15.75" customHeight="1" x14ac:dyDescent="0.25">
      <c r="A636" s="454"/>
      <c r="B636" s="475"/>
      <c r="C636" s="475"/>
      <c r="D636" s="475"/>
      <c r="E636" s="476"/>
      <c r="F636" s="475"/>
      <c r="G636" s="454"/>
      <c r="H636" s="454"/>
      <c r="I636" s="454"/>
      <c r="J636" s="454"/>
      <c r="K636" s="454"/>
      <c r="L636" s="454"/>
      <c r="M636" s="454"/>
      <c r="N636" s="454"/>
      <c r="O636" s="454"/>
      <c r="P636" s="454"/>
      <c r="Q636" s="454"/>
      <c r="R636" s="454"/>
      <c r="S636" s="454"/>
      <c r="T636" s="454"/>
      <c r="U636" s="454"/>
      <c r="V636" s="454"/>
      <c r="W636" s="454"/>
      <c r="X636" s="454"/>
      <c r="Y636" s="454"/>
      <c r="Z636" s="454"/>
    </row>
    <row r="637" spans="1:26" ht="15.75" customHeight="1" x14ac:dyDescent="0.25">
      <c r="A637" s="454"/>
      <c r="B637" s="475"/>
      <c r="C637" s="475"/>
      <c r="D637" s="475"/>
      <c r="E637" s="476"/>
      <c r="F637" s="475"/>
      <c r="G637" s="454"/>
      <c r="H637" s="454"/>
      <c r="I637" s="454"/>
      <c r="J637" s="454"/>
      <c r="K637" s="454"/>
      <c r="L637" s="454"/>
      <c r="M637" s="454"/>
      <c r="N637" s="454"/>
      <c r="O637" s="454"/>
      <c r="P637" s="454"/>
      <c r="Q637" s="454"/>
      <c r="R637" s="454"/>
      <c r="S637" s="454"/>
      <c r="T637" s="454"/>
      <c r="U637" s="454"/>
      <c r="V637" s="454"/>
      <c r="W637" s="454"/>
      <c r="X637" s="454"/>
      <c r="Y637" s="454"/>
      <c r="Z637" s="454"/>
    </row>
    <row r="638" spans="1:26" ht="15.75" customHeight="1" x14ac:dyDescent="0.25">
      <c r="A638" s="454"/>
      <c r="B638" s="475"/>
      <c r="C638" s="475"/>
      <c r="D638" s="475"/>
      <c r="E638" s="476"/>
      <c r="F638" s="475"/>
      <c r="G638" s="454"/>
      <c r="H638" s="454"/>
      <c r="I638" s="454"/>
      <c r="J638" s="454"/>
      <c r="K638" s="454"/>
      <c r="L638" s="454"/>
      <c r="M638" s="454"/>
      <c r="N638" s="454"/>
      <c r="O638" s="454"/>
      <c r="P638" s="454"/>
      <c r="Q638" s="454"/>
      <c r="R638" s="454"/>
      <c r="S638" s="454"/>
      <c r="T638" s="454"/>
      <c r="U638" s="454"/>
      <c r="V638" s="454"/>
      <c r="W638" s="454"/>
      <c r="X638" s="454"/>
      <c r="Y638" s="454"/>
      <c r="Z638" s="454"/>
    </row>
    <row r="639" spans="1:26" ht="15.75" customHeight="1" x14ac:dyDescent="0.25">
      <c r="A639" s="454"/>
      <c r="B639" s="475"/>
      <c r="C639" s="475"/>
      <c r="D639" s="475"/>
      <c r="E639" s="476"/>
      <c r="F639" s="475"/>
      <c r="G639" s="454"/>
      <c r="H639" s="454"/>
      <c r="I639" s="454"/>
      <c r="J639" s="454"/>
      <c r="K639" s="454"/>
      <c r="L639" s="454"/>
      <c r="M639" s="454"/>
      <c r="N639" s="454"/>
      <c r="O639" s="454"/>
      <c r="P639" s="454"/>
      <c r="Q639" s="454"/>
      <c r="R639" s="454"/>
      <c r="S639" s="454"/>
      <c r="T639" s="454"/>
      <c r="U639" s="454"/>
      <c r="V639" s="454"/>
      <c r="W639" s="454"/>
      <c r="X639" s="454"/>
      <c r="Y639" s="454"/>
      <c r="Z639" s="454"/>
    </row>
    <row r="640" spans="1:26" ht="15.75" customHeight="1" x14ac:dyDescent="0.25">
      <c r="A640" s="454"/>
      <c r="B640" s="475"/>
      <c r="C640" s="475"/>
      <c r="D640" s="475"/>
      <c r="E640" s="476"/>
      <c r="F640" s="475"/>
      <c r="G640" s="454"/>
      <c r="H640" s="454"/>
      <c r="I640" s="454"/>
      <c r="J640" s="454"/>
      <c r="K640" s="454"/>
      <c r="L640" s="454"/>
      <c r="M640" s="454"/>
      <c r="N640" s="454"/>
      <c r="O640" s="454"/>
      <c r="P640" s="454"/>
      <c r="Q640" s="454"/>
      <c r="R640" s="454"/>
      <c r="S640" s="454"/>
      <c r="T640" s="454"/>
      <c r="U640" s="454"/>
      <c r="V640" s="454"/>
      <c r="W640" s="454"/>
      <c r="X640" s="454"/>
      <c r="Y640" s="454"/>
      <c r="Z640" s="454"/>
    </row>
    <row r="641" spans="1:26" ht="15.75" customHeight="1" x14ac:dyDescent="0.25">
      <c r="A641" s="454"/>
      <c r="B641" s="475"/>
      <c r="C641" s="475"/>
      <c r="D641" s="475"/>
      <c r="E641" s="476"/>
      <c r="F641" s="475"/>
      <c r="G641" s="454"/>
      <c r="H641" s="454"/>
      <c r="I641" s="454"/>
      <c r="J641" s="454"/>
      <c r="K641" s="454"/>
      <c r="L641" s="454"/>
      <c r="M641" s="454"/>
      <c r="N641" s="454"/>
      <c r="O641" s="454"/>
      <c r="P641" s="454"/>
      <c r="Q641" s="454"/>
      <c r="R641" s="454"/>
      <c r="S641" s="454"/>
      <c r="T641" s="454"/>
      <c r="U641" s="454"/>
      <c r="V641" s="454"/>
      <c r="W641" s="454"/>
      <c r="X641" s="454"/>
      <c r="Y641" s="454"/>
      <c r="Z641" s="454"/>
    </row>
    <row r="642" spans="1:26" ht="15.75" customHeight="1" x14ac:dyDescent="0.25">
      <c r="A642" s="454"/>
      <c r="B642" s="475"/>
      <c r="C642" s="475"/>
      <c r="D642" s="475"/>
      <c r="E642" s="476"/>
      <c r="F642" s="475"/>
      <c r="G642" s="454"/>
      <c r="H642" s="454"/>
      <c r="I642" s="454"/>
      <c r="J642" s="454"/>
      <c r="K642" s="454"/>
      <c r="L642" s="454"/>
      <c r="M642" s="454"/>
      <c r="N642" s="454"/>
      <c r="O642" s="454"/>
      <c r="P642" s="454"/>
      <c r="Q642" s="454"/>
      <c r="R642" s="454"/>
      <c r="S642" s="454"/>
      <c r="T642" s="454"/>
      <c r="U642" s="454"/>
      <c r="V642" s="454"/>
      <c r="W642" s="454"/>
      <c r="X642" s="454"/>
      <c r="Y642" s="454"/>
      <c r="Z642" s="454"/>
    </row>
    <row r="643" spans="1:26" ht="15.75" customHeight="1" x14ac:dyDescent="0.25">
      <c r="A643" s="454"/>
      <c r="B643" s="475"/>
      <c r="C643" s="475"/>
      <c r="D643" s="475"/>
      <c r="E643" s="476"/>
      <c r="F643" s="475"/>
      <c r="G643" s="454"/>
      <c r="H643" s="454"/>
      <c r="I643" s="454"/>
      <c r="J643" s="454"/>
      <c r="K643" s="454"/>
      <c r="L643" s="454"/>
      <c r="M643" s="454"/>
      <c r="N643" s="454"/>
      <c r="O643" s="454"/>
      <c r="P643" s="454"/>
      <c r="Q643" s="454"/>
      <c r="R643" s="454"/>
      <c r="S643" s="454"/>
      <c r="T643" s="454"/>
      <c r="U643" s="454"/>
      <c r="V643" s="454"/>
      <c r="W643" s="454"/>
      <c r="X643" s="454"/>
      <c r="Y643" s="454"/>
      <c r="Z643" s="454"/>
    </row>
    <row r="644" spans="1:26" ht="15.75" customHeight="1" x14ac:dyDescent="0.25">
      <c r="A644" s="454"/>
      <c r="B644" s="475"/>
      <c r="C644" s="475"/>
      <c r="D644" s="475"/>
      <c r="E644" s="476"/>
      <c r="F644" s="475"/>
      <c r="G644" s="454"/>
      <c r="H644" s="454"/>
      <c r="I644" s="454"/>
      <c r="J644" s="454"/>
      <c r="K644" s="454"/>
      <c r="L644" s="454"/>
      <c r="M644" s="454"/>
      <c r="N644" s="454"/>
      <c r="O644" s="454"/>
      <c r="P644" s="454"/>
      <c r="Q644" s="454"/>
      <c r="R644" s="454"/>
      <c r="S644" s="454"/>
      <c r="T644" s="454"/>
      <c r="U644" s="454"/>
      <c r="V644" s="454"/>
      <c r="W644" s="454"/>
      <c r="X644" s="454"/>
      <c r="Y644" s="454"/>
      <c r="Z644" s="454"/>
    </row>
    <row r="645" spans="1:26" ht="15.75" customHeight="1" x14ac:dyDescent="0.25">
      <c r="A645" s="454"/>
      <c r="B645" s="475"/>
      <c r="C645" s="475"/>
      <c r="D645" s="475"/>
      <c r="E645" s="476"/>
      <c r="F645" s="475"/>
      <c r="G645" s="454"/>
      <c r="H645" s="454"/>
      <c r="I645" s="454"/>
      <c r="J645" s="454"/>
      <c r="K645" s="454"/>
      <c r="L645" s="454"/>
      <c r="M645" s="454"/>
      <c r="N645" s="454"/>
      <c r="O645" s="454"/>
      <c r="P645" s="454"/>
      <c r="Q645" s="454"/>
      <c r="R645" s="454"/>
      <c r="S645" s="454"/>
      <c r="T645" s="454"/>
      <c r="U645" s="454"/>
      <c r="V645" s="454"/>
      <c r="W645" s="454"/>
      <c r="X645" s="454"/>
      <c r="Y645" s="454"/>
      <c r="Z645" s="454"/>
    </row>
    <row r="646" spans="1:26" ht="15.75" customHeight="1" x14ac:dyDescent="0.25">
      <c r="A646" s="454"/>
      <c r="B646" s="475"/>
      <c r="C646" s="475"/>
      <c r="D646" s="475"/>
      <c r="E646" s="476"/>
      <c r="F646" s="475"/>
      <c r="G646" s="454"/>
      <c r="H646" s="454"/>
      <c r="I646" s="454"/>
      <c r="J646" s="454"/>
      <c r="K646" s="454"/>
      <c r="L646" s="454"/>
      <c r="M646" s="454"/>
      <c r="N646" s="454"/>
      <c r="O646" s="454"/>
      <c r="P646" s="454"/>
      <c r="Q646" s="454"/>
      <c r="R646" s="454"/>
      <c r="S646" s="454"/>
      <c r="T646" s="454"/>
      <c r="U646" s="454"/>
      <c r="V646" s="454"/>
      <c r="W646" s="454"/>
      <c r="X646" s="454"/>
      <c r="Y646" s="454"/>
      <c r="Z646" s="454"/>
    </row>
    <row r="647" spans="1:26" ht="15.75" customHeight="1" x14ac:dyDescent="0.25">
      <c r="A647" s="454"/>
      <c r="B647" s="475"/>
      <c r="C647" s="475"/>
      <c r="D647" s="475"/>
      <c r="E647" s="476"/>
      <c r="F647" s="475"/>
      <c r="G647" s="454"/>
      <c r="H647" s="454"/>
      <c r="I647" s="454"/>
      <c r="J647" s="454"/>
      <c r="K647" s="454"/>
      <c r="L647" s="454"/>
      <c r="M647" s="454"/>
      <c r="N647" s="454"/>
      <c r="O647" s="454"/>
      <c r="P647" s="454"/>
      <c r="Q647" s="454"/>
      <c r="R647" s="454"/>
      <c r="S647" s="454"/>
      <c r="T647" s="454"/>
      <c r="U647" s="454"/>
      <c r="V647" s="454"/>
      <c r="W647" s="454"/>
      <c r="X647" s="454"/>
      <c r="Y647" s="454"/>
      <c r="Z647" s="454"/>
    </row>
    <row r="648" spans="1:26" ht="15.75" customHeight="1" x14ac:dyDescent="0.25">
      <c r="A648" s="454"/>
      <c r="B648" s="475"/>
      <c r="C648" s="475"/>
      <c r="D648" s="475"/>
      <c r="E648" s="476"/>
      <c r="F648" s="475"/>
      <c r="G648" s="454"/>
      <c r="H648" s="454"/>
      <c r="I648" s="454"/>
      <c r="J648" s="454"/>
      <c r="K648" s="454"/>
      <c r="L648" s="454"/>
      <c r="M648" s="454"/>
      <c r="N648" s="454"/>
      <c r="O648" s="454"/>
      <c r="P648" s="454"/>
      <c r="Q648" s="454"/>
      <c r="R648" s="454"/>
      <c r="S648" s="454"/>
      <c r="T648" s="454"/>
      <c r="U648" s="454"/>
      <c r="V648" s="454"/>
      <c r="W648" s="454"/>
      <c r="X648" s="454"/>
      <c r="Y648" s="454"/>
      <c r="Z648" s="454"/>
    </row>
    <row r="649" spans="1:26" ht="15.75" customHeight="1" x14ac:dyDescent="0.25">
      <c r="A649" s="454"/>
      <c r="B649" s="475"/>
      <c r="C649" s="475"/>
      <c r="D649" s="475"/>
      <c r="E649" s="476"/>
      <c r="F649" s="475"/>
      <c r="G649" s="454"/>
      <c r="H649" s="454"/>
      <c r="I649" s="454"/>
      <c r="J649" s="454"/>
      <c r="K649" s="454"/>
      <c r="L649" s="454"/>
      <c r="M649" s="454"/>
      <c r="N649" s="454"/>
      <c r="O649" s="454"/>
      <c r="P649" s="454"/>
      <c r="Q649" s="454"/>
      <c r="R649" s="454"/>
      <c r="S649" s="454"/>
      <c r="T649" s="454"/>
      <c r="U649" s="454"/>
      <c r="V649" s="454"/>
      <c r="W649" s="454"/>
      <c r="X649" s="454"/>
      <c r="Y649" s="454"/>
      <c r="Z649" s="454"/>
    </row>
    <row r="650" spans="1:26" ht="15.75" customHeight="1" x14ac:dyDescent="0.25">
      <c r="A650" s="454"/>
      <c r="B650" s="475"/>
      <c r="C650" s="475"/>
      <c r="D650" s="475"/>
      <c r="E650" s="476"/>
      <c r="F650" s="475"/>
      <c r="G650" s="454"/>
      <c r="H650" s="454"/>
      <c r="I650" s="454"/>
      <c r="J650" s="454"/>
      <c r="K650" s="454"/>
      <c r="L650" s="454"/>
      <c r="M650" s="454"/>
      <c r="N650" s="454"/>
      <c r="O650" s="454"/>
      <c r="P650" s="454"/>
      <c r="Q650" s="454"/>
      <c r="R650" s="454"/>
      <c r="S650" s="454"/>
      <c r="T650" s="454"/>
      <c r="U650" s="454"/>
      <c r="V650" s="454"/>
      <c r="W650" s="454"/>
      <c r="X650" s="454"/>
      <c r="Y650" s="454"/>
      <c r="Z650" s="454"/>
    </row>
    <row r="651" spans="1:26" ht="15.75" customHeight="1" x14ac:dyDescent="0.25">
      <c r="A651" s="454"/>
      <c r="B651" s="475"/>
      <c r="C651" s="475"/>
      <c r="D651" s="475"/>
      <c r="E651" s="476"/>
      <c r="F651" s="475"/>
      <c r="G651" s="454"/>
      <c r="H651" s="454"/>
      <c r="I651" s="454"/>
      <c r="J651" s="454"/>
      <c r="K651" s="454"/>
      <c r="L651" s="454"/>
      <c r="M651" s="454"/>
      <c r="N651" s="454"/>
      <c r="O651" s="454"/>
      <c r="P651" s="454"/>
      <c r="Q651" s="454"/>
      <c r="R651" s="454"/>
      <c r="S651" s="454"/>
      <c r="T651" s="454"/>
      <c r="U651" s="454"/>
      <c r="V651" s="454"/>
      <c r="W651" s="454"/>
      <c r="X651" s="454"/>
      <c r="Y651" s="454"/>
      <c r="Z651" s="454"/>
    </row>
    <row r="652" spans="1:26" ht="15.75" customHeight="1" x14ac:dyDescent="0.25">
      <c r="A652" s="454"/>
      <c r="B652" s="475"/>
      <c r="C652" s="475"/>
      <c r="D652" s="475"/>
      <c r="E652" s="476"/>
      <c r="F652" s="475"/>
      <c r="G652" s="454"/>
      <c r="H652" s="454"/>
      <c r="I652" s="454"/>
      <c r="J652" s="454"/>
      <c r="K652" s="454"/>
      <c r="L652" s="454"/>
      <c r="M652" s="454"/>
      <c r="N652" s="454"/>
      <c r="O652" s="454"/>
      <c r="P652" s="454"/>
      <c r="Q652" s="454"/>
      <c r="R652" s="454"/>
      <c r="S652" s="454"/>
      <c r="T652" s="454"/>
      <c r="U652" s="454"/>
      <c r="V652" s="454"/>
      <c r="W652" s="454"/>
      <c r="X652" s="454"/>
      <c r="Y652" s="454"/>
      <c r="Z652" s="454"/>
    </row>
    <row r="653" spans="1:26" ht="15.75" customHeight="1" x14ac:dyDescent="0.25">
      <c r="A653" s="454"/>
      <c r="B653" s="475"/>
      <c r="C653" s="475"/>
      <c r="D653" s="475"/>
      <c r="E653" s="476"/>
      <c r="F653" s="475"/>
      <c r="G653" s="454"/>
      <c r="H653" s="454"/>
      <c r="I653" s="454"/>
      <c r="J653" s="454"/>
      <c r="K653" s="454"/>
      <c r="L653" s="454"/>
      <c r="M653" s="454"/>
      <c r="N653" s="454"/>
      <c r="O653" s="454"/>
      <c r="P653" s="454"/>
      <c r="Q653" s="454"/>
      <c r="R653" s="454"/>
      <c r="S653" s="454"/>
      <c r="T653" s="454"/>
      <c r="U653" s="454"/>
      <c r="V653" s="454"/>
      <c r="W653" s="454"/>
      <c r="X653" s="454"/>
      <c r="Y653" s="454"/>
      <c r="Z653" s="454"/>
    </row>
    <row r="654" spans="1:26" ht="15.75" customHeight="1" x14ac:dyDescent="0.25">
      <c r="A654" s="454"/>
      <c r="B654" s="475"/>
      <c r="C654" s="475"/>
      <c r="D654" s="475"/>
      <c r="E654" s="476"/>
      <c r="F654" s="475"/>
      <c r="G654" s="454"/>
      <c r="H654" s="454"/>
      <c r="I654" s="454"/>
      <c r="J654" s="454"/>
      <c r="K654" s="454"/>
      <c r="L654" s="454"/>
      <c r="M654" s="454"/>
      <c r="N654" s="454"/>
      <c r="O654" s="454"/>
      <c r="P654" s="454"/>
      <c r="Q654" s="454"/>
      <c r="R654" s="454"/>
      <c r="S654" s="454"/>
      <c r="T654" s="454"/>
      <c r="U654" s="454"/>
      <c r="V654" s="454"/>
      <c r="W654" s="454"/>
      <c r="X654" s="454"/>
      <c r="Y654" s="454"/>
      <c r="Z654" s="454"/>
    </row>
    <row r="655" spans="1:26" ht="15.75" customHeight="1" x14ac:dyDescent="0.25">
      <c r="A655" s="454"/>
      <c r="B655" s="475"/>
      <c r="C655" s="475"/>
      <c r="D655" s="475"/>
      <c r="E655" s="476"/>
      <c r="F655" s="475"/>
      <c r="G655" s="454"/>
      <c r="H655" s="454"/>
      <c r="I655" s="454"/>
      <c r="J655" s="454"/>
      <c r="K655" s="454"/>
      <c r="L655" s="454"/>
      <c r="M655" s="454"/>
      <c r="N655" s="454"/>
      <c r="O655" s="454"/>
      <c r="P655" s="454"/>
      <c r="Q655" s="454"/>
      <c r="R655" s="454"/>
      <c r="S655" s="454"/>
      <c r="T655" s="454"/>
      <c r="U655" s="454"/>
      <c r="V655" s="454"/>
      <c r="W655" s="454"/>
      <c r="X655" s="454"/>
      <c r="Y655" s="454"/>
      <c r="Z655" s="454"/>
    </row>
    <row r="656" spans="1:26" ht="15.75" customHeight="1" x14ac:dyDescent="0.25">
      <c r="A656" s="454"/>
      <c r="B656" s="475"/>
      <c r="C656" s="475"/>
      <c r="D656" s="475"/>
      <c r="E656" s="476"/>
      <c r="F656" s="475"/>
      <c r="G656" s="454"/>
      <c r="H656" s="454"/>
      <c r="I656" s="454"/>
      <c r="J656" s="454"/>
      <c r="K656" s="454"/>
      <c r="L656" s="454"/>
      <c r="M656" s="454"/>
      <c r="N656" s="454"/>
      <c r="O656" s="454"/>
      <c r="P656" s="454"/>
      <c r="Q656" s="454"/>
      <c r="R656" s="454"/>
      <c r="S656" s="454"/>
      <c r="T656" s="454"/>
      <c r="U656" s="454"/>
      <c r="V656" s="454"/>
      <c r="W656" s="454"/>
      <c r="X656" s="454"/>
      <c r="Y656" s="454"/>
      <c r="Z656" s="454"/>
    </row>
    <row r="657" spans="1:26" ht="15.75" customHeight="1" x14ac:dyDescent="0.25">
      <c r="A657" s="454"/>
      <c r="B657" s="475"/>
      <c r="C657" s="475"/>
      <c r="D657" s="475"/>
      <c r="E657" s="476"/>
      <c r="F657" s="475"/>
      <c r="G657" s="454"/>
      <c r="H657" s="454"/>
      <c r="I657" s="454"/>
      <c r="J657" s="454"/>
      <c r="K657" s="454"/>
      <c r="L657" s="454"/>
      <c r="M657" s="454"/>
      <c r="N657" s="454"/>
      <c r="O657" s="454"/>
      <c r="P657" s="454"/>
      <c r="Q657" s="454"/>
      <c r="R657" s="454"/>
      <c r="S657" s="454"/>
      <c r="T657" s="454"/>
      <c r="U657" s="454"/>
      <c r="V657" s="454"/>
      <c r="W657" s="454"/>
      <c r="X657" s="454"/>
      <c r="Y657" s="454"/>
      <c r="Z657" s="454"/>
    </row>
    <row r="658" spans="1:26" ht="15.75" customHeight="1" x14ac:dyDescent="0.25">
      <c r="A658" s="454"/>
      <c r="B658" s="475"/>
      <c r="C658" s="475"/>
      <c r="D658" s="475"/>
      <c r="E658" s="476"/>
      <c r="F658" s="475"/>
      <c r="G658" s="454"/>
      <c r="H658" s="454"/>
      <c r="I658" s="454"/>
      <c r="J658" s="454"/>
      <c r="K658" s="454"/>
      <c r="L658" s="454"/>
      <c r="M658" s="454"/>
      <c r="N658" s="454"/>
      <c r="O658" s="454"/>
      <c r="P658" s="454"/>
      <c r="Q658" s="454"/>
      <c r="R658" s="454"/>
      <c r="S658" s="454"/>
      <c r="T658" s="454"/>
      <c r="U658" s="454"/>
      <c r="V658" s="454"/>
      <c r="W658" s="454"/>
      <c r="X658" s="454"/>
      <c r="Y658" s="454"/>
      <c r="Z658" s="454"/>
    </row>
    <row r="659" spans="1:26" ht="15.75" customHeight="1" x14ac:dyDescent="0.25">
      <c r="A659" s="454"/>
      <c r="B659" s="475"/>
      <c r="C659" s="475"/>
      <c r="D659" s="475"/>
      <c r="E659" s="476"/>
      <c r="F659" s="475"/>
      <c r="G659" s="454"/>
      <c r="H659" s="454"/>
      <c r="I659" s="454"/>
      <c r="J659" s="454"/>
      <c r="K659" s="454"/>
      <c r="L659" s="454"/>
      <c r="M659" s="454"/>
      <c r="N659" s="454"/>
      <c r="O659" s="454"/>
      <c r="P659" s="454"/>
      <c r="Q659" s="454"/>
      <c r="R659" s="454"/>
      <c r="S659" s="454"/>
      <c r="T659" s="454"/>
      <c r="U659" s="454"/>
      <c r="V659" s="454"/>
      <c r="W659" s="454"/>
      <c r="X659" s="454"/>
      <c r="Y659" s="454"/>
      <c r="Z659" s="454"/>
    </row>
    <row r="660" spans="1:26" ht="15.75" customHeight="1" x14ac:dyDescent="0.25">
      <c r="A660" s="454"/>
      <c r="B660" s="475"/>
      <c r="C660" s="475"/>
      <c r="D660" s="475"/>
      <c r="E660" s="476"/>
      <c r="F660" s="475"/>
      <c r="G660" s="454"/>
      <c r="H660" s="454"/>
      <c r="I660" s="454"/>
      <c r="J660" s="454"/>
      <c r="K660" s="454"/>
      <c r="L660" s="454"/>
      <c r="M660" s="454"/>
      <c r="N660" s="454"/>
      <c r="O660" s="454"/>
      <c r="P660" s="454"/>
      <c r="Q660" s="454"/>
      <c r="R660" s="454"/>
      <c r="S660" s="454"/>
      <c r="T660" s="454"/>
      <c r="U660" s="454"/>
      <c r="V660" s="454"/>
      <c r="W660" s="454"/>
      <c r="X660" s="454"/>
      <c r="Y660" s="454"/>
      <c r="Z660" s="454"/>
    </row>
    <row r="661" spans="1:26" ht="15.75" customHeight="1" x14ac:dyDescent="0.25">
      <c r="A661" s="454"/>
      <c r="B661" s="475"/>
      <c r="C661" s="475"/>
      <c r="D661" s="475"/>
      <c r="E661" s="476"/>
      <c r="F661" s="475"/>
      <c r="G661" s="454"/>
      <c r="H661" s="454"/>
      <c r="I661" s="454"/>
      <c r="J661" s="454"/>
      <c r="K661" s="454"/>
      <c r="L661" s="454"/>
      <c r="M661" s="454"/>
      <c r="N661" s="454"/>
      <c r="O661" s="454"/>
      <c r="P661" s="454"/>
      <c r="Q661" s="454"/>
      <c r="R661" s="454"/>
      <c r="S661" s="454"/>
      <c r="T661" s="454"/>
      <c r="U661" s="454"/>
      <c r="V661" s="454"/>
      <c r="W661" s="454"/>
      <c r="X661" s="454"/>
      <c r="Y661" s="454"/>
      <c r="Z661" s="454"/>
    </row>
    <row r="662" spans="1:26" ht="15.75" customHeight="1" x14ac:dyDescent="0.25">
      <c r="A662" s="454"/>
      <c r="B662" s="475"/>
      <c r="C662" s="475"/>
      <c r="D662" s="475"/>
      <c r="E662" s="476"/>
      <c r="F662" s="475"/>
      <c r="G662" s="454"/>
      <c r="H662" s="454"/>
      <c r="I662" s="454"/>
      <c r="J662" s="454"/>
      <c r="K662" s="454"/>
      <c r="L662" s="454"/>
      <c r="M662" s="454"/>
      <c r="N662" s="454"/>
      <c r="O662" s="454"/>
      <c r="P662" s="454"/>
      <c r="Q662" s="454"/>
      <c r="R662" s="454"/>
      <c r="S662" s="454"/>
      <c r="T662" s="454"/>
      <c r="U662" s="454"/>
      <c r="V662" s="454"/>
      <c r="W662" s="454"/>
      <c r="X662" s="454"/>
      <c r="Y662" s="454"/>
      <c r="Z662" s="454"/>
    </row>
    <row r="663" spans="1:26" ht="15.75" customHeight="1" x14ac:dyDescent="0.25">
      <c r="A663" s="454"/>
      <c r="B663" s="475"/>
      <c r="C663" s="475"/>
      <c r="D663" s="475"/>
      <c r="E663" s="476"/>
      <c r="F663" s="475"/>
      <c r="G663" s="454"/>
      <c r="H663" s="454"/>
      <c r="I663" s="454"/>
      <c r="J663" s="454"/>
      <c r="K663" s="454"/>
      <c r="L663" s="454"/>
      <c r="M663" s="454"/>
      <c r="N663" s="454"/>
      <c r="O663" s="454"/>
      <c r="P663" s="454"/>
      <c r="Q663" s="454"/>
      <c r="R663" s="454"/>
      <c r="S663" s="454"/>
      <c r="T663" s="454"/>
      <c r="U663" s="454"/>
      <c r="V663" s="454"/>
      <c r="W663" s="454"/>
      <c r="X663" s="454"/>
      <c r="Y663" s="454"/>
      <c r="Z663" s="454"/>
    </row>
    <row r="664" spans="1:26" ht="15.75" customHeight="1" x14ac:dyDescent="0.25">
      <c r="A664" s="454"/>
      <c r="B664" s="475"/>
      <c r="C664" s="475"/>
      <c r="D664" s="475"/>
      <c r="E664" s="476"/>
      <c r="F664" s="475"/>
      <c r="G664" s="454"/>
      <c r="H664" s="454"/>
      <c r="I664" s="454"/>
      <c r="J664" s="454"/>
      <c r="K664" s="454"/>
      <c r="L664" s="454"/>
      <c r="M664" s="454"/>
      <c r="N664" s="454"/>
      <c r="O664" s="454"/>
      <c r="P664" s="454"/>
      <c r="Q664" s="454"/>
      <c r="R664" s="454"/>
      <c r="S664" s="454"/>
      <c r="T664" s="454"/>
      <c r="U664" s="454"/>
      <c r="V664" s="454"/>
      <c r="W664" s="454"/>
      <c r="X664" s="454"/>
      <c r="Y664" s="454"/>
      <c r="Z664" s="454"/>
    </row>
    <row r="665" spans="1:26" ht="15.75" customHeight="1" x14ac:dyDescent="0.25">
      <c r="A665" s="454"/>
      <c r="B665" s="475"/>
      <c r="C665" s="475"/>
      <c r="D665" s="475"/>
      <c r="E665" s="476"/>
      <c r="F665" s="475"/>
      <c r="G665" s="454"/>
      <c r="H665" s="454"/>
      <c r="I665" s="454"/>
      <c r="J665" s="454"/>
      <c r="K665" s="454"/>
      <c r="L665" s="454"/>
      <c r="M665" s="454"/>
      <c r="N665" s="454"/>
      <c r="O665" s="454"/>
      <c r="P665" s="454"/>
      <c r="Q665" s="454"/>
      <c r="R665" s="454"/>
      <c r="S665" s="454"/>
      <c r="T665" s="454"/>
      <c r="U665" s="454"/>
      <c r="V665" s="454"/>
      <c r="W665" s="454"/>
      <c r="X665" s="454"/>
      <c r="Y665" s="454"/>
      <c r="Z665" s="454"/>
    </row>
    <row r="666" spans="1:26" ht="15.75" customHeight="1" x14ac:dyDescent="0.25">
      <c r="A666" s="454"/>
      <c r="B666" s="475"/>
      <c r="C666" s="475"/>
      <c r="D666" s="475"/>
      <c r="E666" s="476"/>
      <c r="F666" s="475"/>
      <c r="G666" s="454"/>
      <c r="H666" s="454"/>
      <c r="I666" s="454"/>
      <c r="J666" s="454"/>
      <c r="K666" s="454"/>
      <c r="L666" s="454"/>
      <c r="M666" s="454"/>
      <c r="N666" s="454"/>
      <c r="O666" s="454"/>
      <c r="P666" s="454"/>
      <c r="Q666" s="454"/>
      <c r="R666" s="454"/>
      <c r="S666" s="454"/>
      <c r="T666" s="454"/>
      <c r="U666" s="454"/>
      <c r="V666" s="454"/>
      <c r="W666" s="454"/>
      <c r="X666" s="454"/>
      <c r="Y666" s="454"/>
      <c r="Z666" s="454"/>
    </row>
    <row r="667" spans="1:26" ht="15.75" customHeight="1" x14ac:dyDescent="0.25">
      <c r="A667" s="454"/>
      <c r="B667" s="475"/>
      <c r="C667" s="475"/>
      <c r="D667" s="475"/>
      <c r="E667" s="476"/>
      <c r="F667" s="475"/>
      <c r="G667" s="454"/>
      <c r="H667" s="454"/>
      <c r="I667" s="454"/>
      <c r="J667" s="454"/>
      <c r="K667" s="454"/>
      <c r="L667" s="454"/>
      <c r="M667" s="454"/>
      <c r="N667" s="454"/>
      <c r="O667" s="454"/>
      <c r="P667" s="454"/>
      <c r="Q667" s="454"/>
      <c r="R667" s="454"/>
      <c r="S667" s="454"/>
      <c r="T667" s="454"/>
      <c r="U667" s="454"/>
      <c r="V667" s="454"/>
      <c r="W667" s="454"/>
      <c r="X667" s="454"/>
      <c r="Y667" s="454"/>
      <c r="Z667" s="454"/>
    </row>
    <row r="668" spans="1:26" ht="15.75" customHeight="1" x14ac:dyDescent="0.25">
      <c r="A668" s="454"/>
      <c r="B668" s="475"/>
      <c r="C668" s="475"/>
      <c r="D668" s="475"/>
      <c r="E668" s="476"/>
      <c r="F668" s="475"/>
      <c r="G668" s="454"/>
      <c r="H668" s="454"/>
      <c r="I668" s="454"/>
      <c r="J668" s="454"/>
      <c r="K668" s="454"/>
      <c r="L668" s="454"/>
      <c r="M668" s="454"/>
      <c r="N668" s="454"/>
      <c r="O668" s="454"/>
      <c r="P668" s="454"/>
      <c r="Q668" s="454"/>
      <c r="R668" s="454"/>
      <c r="S668" s="454"/>
      <c r="T668" s="454"/>
      <c r="U668" s="454"/>
      <c r="V668" s="454"/>
      <c r="W668" s="454"/>
      <c r="X668" s="454"/>
      <c r="Y668" s="454"/>
      <c r="Z668" s="454"/>
    </row>
    <row r="669" spans="1:26" ht="15.75" customHeight="1" x14ac:dyDescent="0.25">
      <c r="A669" s="454"/>
      <c r="B669" s="475"/>
      <c r="C669" s="475"/>
      <c r="D669" s="475"/>
      <c r="E669" s="476"/>
      <c r="F669" s="475"/>
      <c r="G669" s="454"/>
      <c r="H669" s="454"/>
      <c r="I669" s="454"/>
      <c r="J669" s="454"/>
      <c r="K669" s="454"/>
      <c r="L669" s="454"/>
      <c r="M669" s="454"/>
      <c r="N669" s="454"/>
      <c r="O669" s="454"/>
      <c r="P669" s="454"/>
      <c r="Q669" s="454"/>
      <c r="R669" s="454"/>
      <c r="S669" s="454"/>
      <c r="T669" s="454"/>
      <c r="U669" s="454"/>
      <c r="V669" s="454"/>
      <c r="W669" s="454"/>
      <c r="X669" s="454"/>
      <c r="Y669" s="454"/>
      <c r="Z669" s="454"/>
    </row>
    <row r="670" spans="1:26" ht="15.75" customHeight="1" x14ac:dyDescent="0.25">
      <c r="A670" s="454"/>
      <c r="B670" s="475"/>
      <c r="C670" s="475"/>
      <c r="D670" s="475"/>
      <c r="E670" s="476"/>
      <c r="F670" s="475"/>
      <c r="G670" s="454"/>
      <c r="H670" s="454"/>
      <c r="I670" s="454"/>
      <c r="J670" s="454"/>
      <c r="K670" s="454"/>
      <c r="L670" s="454"/>
      <c r="M670" s="454"/>
      <c r="N670" s="454"/>
      <c r="O670" s="454"/>
      <c r="P670" s="454"/>
      <c r="Q670" s="454"/>
      <c r="R670" s="454"/>
      <c r="S670" s="454"/>
      <c r="T670" s="454"/>
      <c r="U670" s="454"/>
      <c r="V670" s="454"/>
      <c r="W670" s="454"/>
      <c r="X670" s="454"/>
      <c r="Y670" s="454"/>
      <c r="Z670" s="454"/>
    </row>
    <row r="671" spans="1:26" ht="15.75" customHeight="1" x14ac:dyDescent="0.25">
      <c r="A671" s="454"/>
      <c r="B671" s="475"/>
      <c r="C671" s="475"/>
      <c r="D671" s="475"/>
      <c r="E671" s="476"/>
      <c r="F671" s="475"/>
      <c r="G671" s="454"/>
      <c r="H671" s="454"/>
      <c r="I671" s="454"/>
      <c r="J671" s="454"/>
      <c r="K671" s="454"/>
      <c r="L671" s="454"/>
      <c r="M671" s="454"/>
      <c r="N671" s="454"/>
      <c r="O671" s="454"/>
      <c r="P671" s="454"/>
      <c r="Q671" s="454"/>
      <c r="R671" s="454"/>
      <c r="S671" s="454"/>
      <c r="T671" s="454"/>
      <c r="U671" s="454"/>
      <c r="V671" s="454"/>
      <c r="W671" s="454"/>
      <c r="X671" s="454"/>
      <c r="Y671" s="454"/>
      <c r="Z671" s="454"/>
    </row>
    <row r="672" spans="1:26" ht="15.75" customHeight="1" x14ac:dyDescent="0.25">
      <c r="A672" s="454"/>
      <c r="B672" s="475"/>
      <c r="C672" s="475"/>
      <c r="D672" s="475"/>
      <c r="E672" s="476"/>
      <c r="F672" s="475"/>
      <c r="G672" s="454"/>
      <c r="H672" s="454"/>
      <c r="I672" s="454"/>
      <c r="J672" s="454"/>
      <c r="K672" s="454"/>
      <c r="L672" s="454"/>
      <c r="M672" s="454"/>
      <c r="N672" s="454"/>
      <c r="O672" s="454"/>
      <c r="P672" s="454"/>
      <c r="Q672" s="454"/>
      <c r="R672" s="454"/>
      <c r="S672" s="454"/>
      <c r="T672" s="454"/>
      <c r="U672" s="454"/>
      <c r="V672" s="454"/>
      <c r="W672" s="454"/>
      <c r="X672" s="454"/>
      <c r="Y672" s="454"/>
      <c r="Z672" s="454"/>
    </row>
    <row r="673" spans="1:26" ht="15.75" customHeight="1" x14ac:dyDescent="0.25">
      <c r="A673" s="454"/>
      <c r="B673" s="475"/>
      <c r="C673" s="475"/>
      <c r="D673" s="475"/>
      <c r="E673" s="476"/>
      <c r="F673" s="475"/>
      <c r="G673" s="454"/>
      <c r="H673" s="454"/>
      <c r="I673" s="454"/>
      <c r="J673" s="454"/>
      <c r="K673" s="454"/>
      <c r="L673" s="454"/>
      <c r="M673" s="454"/>
      <c r="N673" s="454"/>
      <c r="O673" s="454"/>
      <c r="P673" s="454"/>
      <c r="Q673" s="454"/>
      <c r="R673" s="454"/>
      <c r="S673" s="454"/>
      <c r="T673" s="454"/>
      <c r="U673" s="454"/>
      <c r="V673" s="454"/>
      <c r="W673" s="454"/>
      <c r="X673" s="454"/>
      <c r="Y673" s="454"/>
      <c r="Z673" s="454"/>
    </row>
    <row r="674" spans="1:26" ht="15.75" customHeight="1" x14ac:dyDescent="0.25">
      <c r="A674" s="454"/>
      <c r="B674" s="475"/>
      <c r="C674" s="475"/>
      <c r="D674" s="475"/>
      <c r="E674" s="476"/>
      <c r="F674" s="475"/>
      <c r="G674" s="454"/>
      <c r="H674" s="454"/>
      <c r="I674" s="454"/>
      <c r="J674" s="454"/>
      <c r="K674" s="454"/>
      <c r="L674" s="454"/>
      <c r="M674" s="454"/>
      <c r="N674" s="454"/>
      <c r="O674" s="454"/>
      <c r="P674" s="454"/>
      <c r="Q674" s="454"/>
      <c r="R674" s="454"/>
      <c r="S674" s="454"/>
      <c r="T674" s="454"/>
      <c r="U674" s="454"/>
      <c r="V674" s="454"/>
      <c r="W674" s="454"/>
      <c r="X674" s="454"/>
      <c r="Y674" s="454"/>
      <c r="Z674" s="454"/>
    </row>
    <row r="675" spans="1:26" ht="15.75" customHeight="1" x14ac:dyDescent="0.25">
      <c r="A675" s="454"/>
      <c r="B675" s="475"/>
      <c r="C675" s="475"/>
      <c r="D675" s="475"/>
      <c r="E675" s="476"/>
      <c r="F675" s="475"/>
      <c r="G675" s="454"/>
      <c r="H675" s="454"/>
      <c r="I675" s="454"/>
      <c r="J675" s="454"/>
      <c r="K675" s="454"/>
      <c r="L675" s="454"/>
      <c r="M675" s="454"/>
      <c r="N675" s="454"/>
      <c r="O675" s="454"/>
      <c r="P675" s="454"/>
      <c r="Q675" s="454"/>
      <c r="R675" s="454"/>
      <c r="S675" s="454"/>
      <c r="T675" s="454"/>
      <c r="U675" s="454"/>
      <c r="V675" s="454"/>
      <c r="W675" s="454"/>
      <c r="X675" s="454"/>
      <c r="Y675" s="454"/>
      <c r="Z675" s="454"/>
    </row>
    <row r="676" spans="1:26" ht="15.75" customHeight="1" x14ac:dyDescent="0.25">
      <c r="A676" s="454"/>
      <c r="B676" s="475"/>
      <c r="C676" s="475"/>
      <c r="D676" s="475"/>
      <c r="E676" s="476"/>
      <c r="F676" s="475"/>
      <c r="G676" s="454"/>
      <c r="H676" s="454"/>
      <c r="I676" s="454"/>
      <c r="J676" s="454"/>
      <c r="K676" s="454"/>
      <c r="L676" s="454"/>
      <c r="M676" s="454"/>
      <c r="N676" s="454"/>
      <c r="O676" s="454"/>
      <c r="P676" s="454"/>
      <c r="Q676" s="454"/>
      <c r="R676" s="454"/>
      <c r="S676" s="454"/>
      <c r="T676" s="454"/>
      <c r="U676" s="454"/>
      <c r="V676" s="454"/>
      <c r="W676" s="454"/>
      <c r="X676" s="454"/>
      <c r="Y676" s="454"/>
      <c r="Z676" s="454"/>
    </row>
    <row r="677" spans="1:26" ht="15.75" customHeight="1" x14ac:dyDescent="0.25">
      <c r="A677" s="454"/>
      <c r="B677" s="475"/>
      <c r="C677" s="475"/>
      <c r="D677" s="475"/>
      <c r="E677" s="476"/>
      <c r="F677" s="475"/>
      <c r="G677" s="454"/>
      <c r="H677" s="454"/>
      <c r="I677" s="454"/>
      <c r="J677" s="454"/>
      <c r="K677" s="454"/>
      <c r="L677" s="454"/>
      <c r="M677" s="454"/>
      <c r="N677" s="454"/>
      <c r="O677" s="454"/>
      <c r="P677" s="454"/>
      <c r="Q677" s="454"/>
      <c r="R677" s="454"/>
      <c r="S677" s="454"/>
      <c r="T677" s="454"/>
      <c r="U677" s="454"/>
      <c r="V677" s="454"/>
      <c r="W677" s="454"/>
      <c r="X677" s="454"/>
      <c r="Y677" s="454"/>
      <c r="Z677" s="454"/>
    </row>
    <row r="678" spans="1:26" ht="15.75" customHeight="1" x14ac:dyDescent="0.25">
      <c r="A678" s="454"/>
      <c r="B678" s="475"/>
      <c r="C678" s="475"/>
      <c r="D678" s="475"/>
      <c r="E678" s="476"/>
      <c r="F678" s="475"/>
      <c r="G678" s="454"/>
      <c r="H678" s="454"/>
      <c r="I678" s="454"/>
      <c r="J678" s="454"/>
      <c r="K678" s="454"/>
      <c r="L678" s="454"/>
      <c r="M678" s="454"/>
      <c r="N678" s="454"/>
      <c r="O678" s="454"/>
      <c r="P678" s="454"/>
      <c r="Q678" s="454"/>
      <c r="R678" s="454"/>
      <c r="S678" s="454"/>
      <c r="T678" s="454"/>
      <c r="U678" s="454"/>
      <c r="V678" s="454"/>
      <c r="W678" s="454"/>
      <c r="X678" s="454"/>
      <c r="Y678" s="454"/>
      <c r="Z678" s="454"/>
    </row>
    <row r="679" spans="1:26" ht="15.75" customHeight="1" x14ac:dyDescent="0.25">
      <c r="A679" s="454"/>
      <c r="B679" s="475"/>
      <c r="C679" s="475"/>
      <c r="D679" s="475"/>
      <c r="E679" s="476"/>
      <c r="F679" s="475"/>
      <c r="G679" s="454"/>
      <c r="H679" s="454"/>
      <c r="I679" s="454"/>
      <c r="J679" s="454"/>
      <c r="K679" s="454"/>
      <c r="L679" s="454"/>
      <c r="M679" s="454"/>
      <c r="N679" s="454"/>
      <c r="O679" s="454"/>
      <c r="P679" s="454"/>
      <c r="Q679" s="454"/>
      <c r="R679" s="454"/>
      <c r="S679" s="454"/>
      <c r="T679" s="454"/>
      <c r="U679" s="454"/>
      <c r="V679" s="454"/>
      <c r="W679" s="454"/>
      <c r="X679" s="454"/>
      <c r="Y679" s="454"/>
      <c r="Z679" s="454"/>
    </row>
    <row r="680" spans="1:26" ht="15.75" customHeight="1" x14ac:dyDescent="0.25">
      <c r="A680" s="454"/>
      <c r="B680" s="475"/>
      <c r="C680" s="475"/>
      <c r="D680" s="475"/>
      <c r="E680" s="476"/>
      <c r="F680" s="475"/>
      <c r="G680" s="454"/>
      <c r="H680" s="454"/>
      <c r="I680" s="454"/>
      <c r="J680" s="454"/>
      <c r="K680" s="454"/>
      <c r="L680" s="454"/>
      <c r="M680" s="454"/>
      <c r="N680" s="454"/>
      <c r="O680" s="454"/>
      <c r="P680" s="454"/>
      <c r="Q680" s="454"/>
      <c r="R680" s="454"/>
      <c r="S680" s="454"/>
      <c r="T680" s="454"/>
      <c r="U680" s="454"/>
      <c r="V680" s="454"/>
      <c r="W680" s="454"/>
      <c r="X680" s="454"/>
      <c r="Y680" s="454"/>
      <c r="Z680" s="454"/>
    </row>
    <row r="681" spans="1:26" ht="15.75" customHeight="1" x14ac:dyDescent="0.25">
      <c r="A681" s="454"/>
      <c r="B681" s="475"/>
      <c r="C681" s="475"/>
      <c r="D681" s="475"/>
      <c r="E681" s="476"/>
      <c r="F681" s="475"/>
      <c r="G681" s="454"/>
      <c r="H681" s="454"/>
      <c r="I681" s="454"/>
      <c r="J681" s="454"/>
      <c r="K681" s="454"/>
      <c r="L681" s="454"/>
      <c r="M681" s="454"/>
      <c r="N681" s="454"/>
      <c r="O681" s="454"/>
      <c r="P681" s="454"/>
      <c r="Q681" s="454"/>
      <c r="R681" s="454"/>
      <c r="S681" s="454"/>
      <c r="T681" s="454"/>
      <c r="U681" s="454"/>
      <c r="V681" s="454"/>
      <c r="W681" s="454"/>
      <c r="X681" s="454"/>
      <c r="Y681" s="454"/>
      <c r="Z681" s="454"/>
    </row>
    <row r="682" spans="1:26" ht="15.75" customHeight="1" x14ac:dyDescent="0.25">
      <c r="A682" s="454"/>
      <c r="B682" s="475"/>
      <c r="C682" s="475"/>
      <c r="D682" s="475"/>
      <c r="E682" s="476"/>
      <c r="F682" s="475"/>
      <c r="G682" s="454"/>
      <c r="H682" s="454"/>
      <c r="I682" s="454"/>
      <c r="J682" s="454"/>
      <c r="K682" s="454"/>
      <c r="L682" s="454"/>
      <c r="M682" s="454"/>
      <c r="N682" s="454"/>
      <c r="O682" s="454"/>
      <c r="P682" s="454"/>
      <c r="Q682" s="454"/>
      <c r="R682" s="454"/>
      <c r="S682" s="454"/>
      <c r="T682" s="454"/>
      <c r="U682" s="454"/>
      <c r="V682" s="454"/>
      <c r="W682" s="454"/>
      <c r="X682" s="454"/>
      <c r="Y682" s="454"/>
      <c r="Z682" s="454"/>
    </row>
    <row r="683" spans="1:26" ht="15.75" customHeight="1" x14ac:dyDescent="0.25">
      <c r="A683" s="454"/>
      <c r="B683" s="475"/>
      <c r="C683" s="475"/>
      <c r="D683" s="475"/>
      <c r="E683" s="476"/>
      <c r="F683" s="475"/>
      <c r="G683" s="454"/>
      <c r="H683" s="454"/>
      <c r="I683" s="454"/>
      <c r="J683" s="454"/>
      <c r="K683" s="454"/>
      <c r="L683" s="454"/>
      <c r="M683" s="454"/>
      <c r="N683" s="454"/>
      <c r="O683" s="454"/>
      <c r="P683" s="454"/>
      <c r="Q683" s="454"/>
      <c r="R683" s="454"/>
      <c r="S683" s="454"/>
      <c r="T683" s="454"/>
      <c r="U683" s="454"/>
      <c r="V683" s="454"/>
      <c r="W683" s="454"/>
      <c r="X683" s="454"/>
      <c r="Y683" s="454"/>
      <c r="Z683" s="454"/>
    </row>
    <row r="684" spans="1:26" ht="15.75" customHeight="1" x14ac:dyDescent="0.25">
      <c r="A684" s="454"/>
      <c r="B684" s="475"/>
      <c r="C684" s="475"/>
      <c r="D684" s="475"/>
      <c r="E684" s="476"/>
      <c r="F684" s="475"/>
      <c r="G684" s="454"/>
      <c r="H684" s="454"/>
      <c r="I684" s="454"/>
      <c r="J684" s="454"/>
      <c r="K684" s="454"/>
      <c r="L684" s="454"/>
      <c r="M684" s="454"/>
      <c r="N684" s="454"/>
      <c r="O684" s="454"/>
      <c r="P684" s="454"/>
      <c r="Q684" s="454"/>
      <c r="R684" s="454"/>
      <c r="S684" s="454"/>
      <c r="T684" s="454"/>
      <c r="U684" s="454"/>
      <c r="V684" s="454"/>
      <c r="W684" s="454"/>
      <c r="X684" s="454"/>
      <c r="Y684" s="454"/>
      <c r="Z684" s="454"/>
    </row>
    <row r="685" spans="1:26" ht="15.75" customHeight="1" x14ac:dyDescent="0.25">
      <c r="A685" s="454"/>
      <c r="B685" s="475"/>
      <c r="C685" s="475"/>
      <c r="D685" s="475"/>
      <c r="E685" s="476"/>
      <c r="F685" s="475"/>
      <c r="G685" s="454"/>
      <c r="H685" s="454"/>
      <c r="I685" s="454"/>
      <c r="J685" s="454"/>
      <c r="K685" s="454"/>
      <c r="L685" s="454"/>
      <c r="M685" s="454"/>
      <c r="N685" s="454"/>
      <c r="O685" s="454"/>
      <c r="P685" s="454"/>
      <c r="Q685" s="454"/>
      <c r="R685" s="454"/>
      <c r="S685" s="454"/>
      <c r="T685" s="454"/>
      <c r="U685" s="454"/>
      <c r="V685" s="454"/>
      <c r="W685" s="454"/>
      <c r="X685" s="454"/>
      <c r="Y685" s="454"/>
      <c r="Z685" s="454"/>
    </row>
    <row r="686" spans="1:26" ht="15.75" customHeight="1" x14ac:dyDescent="0.25">
      <c r="A686" s="454"/>
      <c r="B686" s="475"/>
      <c r="C686" s="475"/>
      <c r="D686" s="475"/>
      <c r="E686" s="476"/>
      <c r="F686" s="475"/>
      <c r="G686" s="454"/>
      <c r="H686" s="454"/>
      <c r="I686" s="454"/>
      <c r="J686" s="454"/>
      <c r="K686" s="454"/>
      <c r="L686" s="454"/>
      <c r="M686" s="454"/>
      <c r="N686" s="454"/>
      <c r="O686" s="454"/>
      <c r="P686" s="454"/>
      <c r="Q686" s="454"/>
      <c r="R686" s="454"/>
      <c r="S686" s="454"/>
      <c r="T686" s="454"/>
      <c r="U686" s="454"/>
      <c r="V686" s="454"/>
      <c r="W686" s="454"/>
      <c r="X686" s="454"/>
      <c r="Y686" s="454"/>
      <c r="Z686" s="454"/>
    </row>
    <row r="687" spans="1:26" ht="15.75" customHeight="1" x14ac:dyDescent="0.25">
      <c r="A687" s="454"/>
      <c r="B687" s="475"/>
      <c r="C687" s="475"/>
      <c r="D687" s="475"/>
      <c r="E687" s="476"/>
      <c r="F687" s="475"/>
      <c r="G687" s="454"/>
      <c r="H687" s="454"/>
      <c r="I687" s="454"/>
      <c r="J687" s="454"/>
      <c r="K687" s="454"/>
      <c r="L687" s="454"/>
      <c r="M687" s="454"/>
      <c r="N687" s="454"/>
      <c r="O687" s="454"/>
      <c r="P687" s="454"/>
      <c r="Q687" s="454"/>
      <c r="R687" s="454"/>
      <c r="S687" s="454"/>
      <c r="T687" s="454"/>
      <c r="U687" s="454"/>
      <c r="V687" s="454"/>
      <c r="W687" s="454"/>
      <c r="X687" s="454"/>
      <c r="Y687" s="454"/>
      <c r="Z687" s="454"/>
    </row>
    <row r="688" spans="1:26" ht="15.75" customHeight="1" x14ac:dyDescent="0.25">
      <c r="A688" s="454"/>
      <c r="B688" s="475"/>
      <c r="C688" s="475"/>
      <c r="D688" s="475"/>
      <c r="E688" s="476"/>
      <c r="F688" s="475"/>
      <c r="G688" s="454"/>
      <c r="H688" s="454"/>
      <c r="I688" s="454"/>
      <c r="J688" s="454"/>
      <c r="K688" s="454"/>
      <c r="L688" s="454"/>
      <c r="M688" s="454"/>
      <c r="N688" s="454"/>
      <c r="O688" s="454"/>
      <c r="P688" s="454"/>
      <c r="Q688" s="454"/>
      <c r="R688" s="454"/>
      <c r="S688" s="454"/>
      <c r="T688" s="454"/>
      <c r="U688" s="454"/>
      <c r="V688" s="454"/>
      <c r="W688" s="454"/>
      <c r="X688" s="454"/>
      <c r="Y688" s="454"/>
      <c r="Z688" s="454"/>
    </row>
    <row r="689" spans="1:26" ht="15.75" customHeight="1" x14ac:dyDescent="0.25">
      <c r="A689" s="454"/>
      <c r="B689" s="475"/>
      <c r="C689" s="475"/>
      <c r="D689" s="475"/>
      <c r="E689" s="476"/>
      <c r="F689" s="475"/>
      <c r="G689" s="454"/>
      <c r="H689" s="454"/>
      <c r="I689" s="454"/>
      <c r="J689" s="454"/>
      <c r="K689" s="454"/>
      <c r="L689" s="454"/>
      <c r="M689" s="454"/>
      <c r="N689" s="454"/>
      <c r="O689" s="454"/>
      <c r="P689" s="454"/>
      <c r="Q689" s="454"/>
      <c r="R689" s="454"/>
      <c r="S689" s="454"/>
      <c r="T689" s="454"/>
      <c r="U689" s="454"/>
      <c r="V689" s="454"/>
      <c r="W689" s="454"/>
      <c r="X689" s="454"/>
      <c r="Y689" s="454"/>
      <c r="Z689" s="454"/>
    </row>
    <row r="690" spans="1:26" ht="15.75" customHeight="1" x14ac:dyDescent="0.25">
      <c r="A690" s="454"/>
      <c r="B690" s="475"/>
      <c r="C690" s="475"/>
      <c r="D690" s="475"/>
      <c r="E690" s="476"/>
      <c r="F690" s="475"/>
      <c r="G690" s="454"/>
      <c r="H690" s="454"/>
      <c r="I690" s="454"/>
      <c r="J690" s="454"/>
      <c r="K690" s="454"/>
      <c r="L690" s="454"/>
      <c r="M690" s="454"/>
      <c r="N690" s="454"/>
      <c r="O690" s="454"/>
      <c r="P690" s="454"/>
      <c r="Q690" s="454"/>
      <c r="R690" s="454"/>
      <c r="S690" s="454"/>
      <c r="T690" s="454"/>
      <c r="U690" s="454"/>
      <c r="V690" s="454"/>
      <c r="W690" s="454"/>
      <c r="X690" s="454"/>
      <c r="Y690" s="454"/>
      <c r="Z690" s="454"/>
    </row>
    <row r="691" spans="1:26" ht="15.75" customHeight="1" x14ac:dyDescent="0.25">
      <c r="A691" s="454"/>
      <c r="B691" s="475"/>
      <c r="C691" s="475"/>
      <c r="D691" s="475"/>
      <c r="E691" s="476"/>
      <c r="F691" s="475"/>
      <c r="G691" s="454"/>
      <c r="H691" s="454"/>
      <c r="I691" s="454"/>
      <c r="J691" s="454"/>
      <c r="K691" s="454"/>
      <c r="L691" s="454"/>
      <c r="M691" s="454"/>
      <c r="N691" s="454"/>
      <c r="O691" s="454"/>
      <c r="P691" s="454"/>
      <c r="Q691" s="454"/>
      <c r="R691" s="454"/>
      <c r="S691" s="454"/>
      <c r="T691" s="454"/>
      <c r="U691" s="454"/>
      <c r="V691" s="454"/>
      <c r="W691" s="454"/>
      <c r="X691" s="454"/>
      <c r="Y691" s="454"/>
      <c r="Z691" s="454"/>
    </row>
    <row r="692" spans="1:26" ht="15.75" customHeight="1" x14ac:dyDescent="0.25">
      <c r="A692" s="454"/>
      <c r="B692" s="475"/>
      <c r="C692" s="475"/>
      <c r="D692" s="475"/>
      <c r="E692" s="476"/>
      <c r="F692" s="475"/>
      <c r="G692" s="454"/>
      <c r="H692" s="454"/>
      <c r="I692" s="454"/>
      <c r="J692" s="454"/>
      <c r="K692" s="454"/>
      <c r="L692" s="454"/>
      <c r="M692" s="454"/>
      <c r="N692" s="454"/>
      <c r="O692" s="454"/>
      <c r="P692" s="454"/>
      <c r="Q692" s="454"/>
      <c r="R692" s="454"/>
      <c r="S692" s="454"/>
      <c r="T692" s="454"/>
      <c r="U692" s="454"/>
      <c r="V692" s="454"/>
      <c r="W692" s="454"/>
      <c r="X692" s="454"/>
      <c r="Y692" s="454"/>
      <c r="Z692" s="454"/>
    </row>
    <row r="693" spans="1:26" ht="15.75" customHeight="1" x14ac:dyDescent="0.25">
      <c r="A693" s="454"/>
      <c r="B693" s="475"/>
      <c r="C693" s="475"/>
      <c r="D693" s="475"/>
      <c r="E693" s="476"/>
      <c r="F693" s="475"/>
      <c r="G693" s="454"/>
      <c r="H693" s="454"/>
      <c r="I693" s="454"/>
      <c r="J693" s="454"/>
      <c r="K693" s="454"/>
      <c r="L693" s="454"/>
      <c r="M693" s="454"/>
      <c r="N693" s="454"/>
      <c r="O693" s="454"/>
      <c r="P693" s="454"/>
      <c r="Q693" s="454"/>
      <c r="R693" s="454"/>
      <c r="S693" s="454"/>
      <c r="T693" s="454"/>
      <c r="U693" s="454"/>
      <c r="V693" s="454"/>
      <c r="W693" s="454"/>
      <c r="X693" s="454"/>
      <c r="Y693" s="454"/>
      <c r="Z693" s="454"/>
    </row>
    <row r="694" spans="1:26" ht="15.75" customHeight="1" x14ac:dyDescent="0.25">
      <c r="A694" s="454"/>
      <c r="B694" s="475"/>
      <c r="C694" s="475"/>
      <c r="D694" s="475"/>
      <c r="E694" s="476"/>
      <c r="F694" s="475"/>
      <c r="G694" s="454"/>
      <c r="H694" s="454"/>
      <c r="I694" s="454"/>
      <c r="J694" s="454"/>
      <c r="K694" s="454"/>
      <c r="L694" s="454"/>
      <c r="M694" s="454"/>
      <c r="N694" s="454"/>
      <c r="O694" s="454"/>
      <c r="P694" s="454"/>
      <c r="Q694" s="454"/>
      <c r="R694" s="454"/>
      <c r="S694" s="454"/>
      <c r="T694" s="454"/>
      <c r="U694" s="454"/>
      <c r="V694" s="454"/>
      <c r="W694" s="454"/>
      <c r="X694" s="454"/>
      <c r="Y694" s="454"/>
      <c r="Z694" s="454"/>
    </row>
    <row r="695" spans="1:26" ht="15.75" customHeight="1" x14ac:dyDescent="0.25">
      <c r="A695" s="454"/>
      <c r="B695" s="475"/>
      <c r="C695" s="475"/>
      <c r="D695" s="475"/>
      <c r="E695" s="476"/>
      <c r="F695" s="475"/>
      <c r="G695" s="454"/>
      <c r="H695" s="454"/>
      <c r="I695" s="454"/>
      <c r="J695" s="454"/>
      <c r="K695" s="454"/>
      <c r="L695" s="454"/>
      <c r="M695" s="454"/>
      <c r="N695" s="454"/>
      <c r="O695" s="454"/>
      <c r="P695" s="454"/>
      <c r="Q695" s="454"/>
      <c r="R695" s="454"/>
      <c r="S695" s="454"/>
      <c r="T695" s="454"/>
      <c r="U695" s="454"/>
      <c r="V695" s="454"/>
      <c r="W695" s="454"/>
      <c r="X695" s="454"/>
      <c r="Y695" s="454"/>
      <c r="Z695" s="454"/>
    </row>
    <row r="696" spans="1:26" ht="15.75" customHeight="1" x14ac:dyDescent="0.25">
      <c r="A696" s="454"/>
      <c r="B696" s="475"/>
      <c r="C696" s="475"/>
      <c r="D696" s="475"/>
      <c r="E696" s="476"/>
      <c r="F696" s="475"/>
      <c r="G696" s="454"/>
      <c r="H696" s="454"/>
      <c r="I696" s="454"/>
      <c r="J696" s="454"/>
      <c r="K696" s="454"/>
      <c r="L696" s="454"/>
      <c r="M696" s="454"/>
      <c r="N696" s="454"/>
      <c r="O696" s="454"/>
      <c r="P696" s="454"/>
      <c r="Q696" s="454"/>
      <c r="R696" s="454"/>
      <c r="S696" s="454"/>
      <c r="T696" s="454"/>
      <c r="U696" s="454"/>
      <c r="V696" s="454"/>
      <c r="W696" s="454"/>
      <c r="X696" s="454"/>
      <c r="Y696" s="454"/>
      <c r="Z696" s="454"/>
    </row>
    <row r="697" spans="1:26" ht="15.75" customHeight="1" x14ac:dyDescent="0.25">
      <c r="A697" s="454"/>
      <c r="B697" s="475"/>
      <c r="C697" s="475"/>
      <c r="D697" s="475"/>
      <c r="E697" s="476"/>
      <c r="F697" s="475"/>
      <c r="G697" s="454"/>
      <c r="H697" s="454"/>
      <c r="I697" s="454"/>
      <c r="J697" s="454"/>
      <c r="K697" s="454"/>
      <c r="L697" s="454"/>
      <c r="M697" s="454"/>
      <c r="N697" s="454"/>
      <c r="O697" s="454"/>
      <c r="P697" s="454"/>
      <c r="Q697" s="454"/>
      <c r="R697" s="454"/>
      <c r="S697" s="454"/>
      <c r="T697" s="454"/>
      <c r="U697" s="454"/>
      <c r="V697" s="454"/>
      <c r="W697" s="454"/>
      <c r="X697" s="454"/>
      <c r="Y697" s="454"/>
      <c r="Z697" s="454"/>
    </row>
    <row r="698" spans="1:26" ht="15.75" customHeight="1" x14ac:dyDescent="0.25">
      <c r="A698" s="454"/>
      <c r="B698" s="475"/>
      <c r="C698" s="475"/>
      <c r="D698" s="475"/>
      <c r="E698" s="476"/>
      <c r="F698" s="475"/>
      <c r="G698" s="454"/>
      <c r="H698" s="454"/>
      <c r="I698" s="454"/>
      <c r="J698" s="454"/>
      <c r="K698" s="454"/>
      <c r="L698" s="454"/>
      <c r="M698" s="454"/>
      <c r="N698" s="454"/>
      <c r="O698" s="454"/>
      <c r="P698" s="454"/>
      <c r="Q698" s="454"/>
      <c r="R698" s="454"/>
      <c r="S698" s="454"/>
      <c r="T698" s="454"/>
      <c r="U698" s="454"/>
      <c r="V698" s="454"/>
      <c r="W698" s="454"/>
      <c r="X698" s="454"/>
      <c r="Y698" s="454"/>
      <c r="Z698" s="454"/>
    </row>
    <row r="699" spans="1:26" ht="15.75" customHeight="1" x14ac:dyDescent="0.25">
      <c r="A699" s="454"/>
      <c r="B699" s="475"/>
      <c r="C699" s="475"/>
      <c r="D699" s="475"/>
      <c r="E699" s="476"/>
      <c r="F699" s="475"/>
      <c r="G699" s="454"/>
      <c r="H699" s="454"/>
      <c r="I699" s="454"/>
      <c r="J699" s="454"/>
      <c r="K699" s="454"/>
      <c r="L699" s="454"/>
      <c r="M699" s="454"/>
      <c r="N699" s="454"/>
      <c r="O699" s="454"/>
      <c r="P699" s="454"/>
      <c r="Q699" s="454"/>
      <c r="R699" s="454"/>
      <c r="S699" s="454"/>
      <c r="T699" s="454"/>
      <c r="U699" s="454"/>
      <c r="V699" s="454"/>
      <c r="W699" s="454"/>
      <c r="X699" s="454"/>
      <c r="Y699" s="454"/>
      <c r="Z699" s="454"/>
    </row>
    <row r="700" spans="1:26" ht="15.75" customHeight="1" x14ac:dyDescent="0.25">
      <c r="A700" s="454"/>
      <c r="B700" s="475"/>
      <c r="C700" s="475"/>
      <c r="D700" s="475"/>
      <c r="E700" s="476"/>
      <c r="F700" s="475"/>
      <c r="G700" s="454"/>
      <c r="H700" s="454"/>
      <c r="I700" s="454"/>
      <c r="J700" s="454"/>
      <c r="K700" s="454"/>
      <c r="L700" s="454"/>
      <c r="M700" s="454"/>
      <c r="N700" s="454"/>
      <c r="O700" s="454"/>
      <c r="P700" s="454"/>
      <c r="Q700" s="454"/>
      <c r="R700" s="454"/>
      <c r="S700" s="454"/>
      <c r="T700" s="454"/>
      <c r="U700" s="454"/>
      <c r="V700" s="454"/>
      <c r="W700" s="454"/>
      <c r="X700" s="454"/>
      <c r="Y700" s="454"/>
      <c r="Z700" s="454"/>
    </row>
    <row r="701" spans="1:26" ht="15.75" customHeight="1" x14ac:dyDescent="0.25">
      <c r="A701" s="454"/>
      <c r="B701" s="475"/>
      <c r="C701" s="475"/>
      <c r="D701" s="475"/>
      <c r="E701" s="476"/>
      <c r="F701" s="475"/>
      <c r="G701" s="454"/>
      <c r="H701" s="454"/>
      <c r="I701" s="454"/>
      <c r="J701" s="454"/>
      <c r="K701" s="454"/>
      <c r="L701" s="454"/>
      <c r="M701" s="454"/>
      <c r="N701" s="454"/>
      <c r="O701" s="454"/>
      <c r="P701" s="454"/>
      <c r="Q701" s="454"/>
      <c r="R701" s="454"/>
      <c r="S701" s="454"/>
      <c r="T701" s="454"/>
      <c r="U701" s="454"/>
      <c r="V701" s="454"/>
      <c r="W701" s="454"/>
      <c r="X701" s="454"/>
      <c r="Y701" s="454"/>
      <c r="Z701" s="454"/>
    </row>
    <row r="702" spans="1:26" ht="15.75" customHeight="1" x14ac:dyDescent="0.25">
      <c r="A702" s="454"/>
      <c r="B702" s="475"/>
      <c r="C702" s="475"/>
      <c r="D702" s="475"/>
      <c r="E702" s="476"/>
      <c r="F702" s="475"/>
      <c r="G702" s="454"/>
      <c r="H702" s="454"/>
      <c r="I702" s="454"/>
      <c r="J702" s="454"/>
      <c r="K702" s="454"/>
      <c r="L702" s="454"/>
      <c r="M702" s="454"/>
      <c r="N702" s="454"/>
      <c r="O702" s="454"/>
      <c r="P702" s="454"/>
      <c r="Q702" s="454"/>
      <c r="R702" s="454"/>
      <c r="S702" s="454"/>
      <c r="T702" s="454"/>
      <c r="U702" s="454"/>
      <c r="V702" s="454"/>
      <c r="W702" s="454"/>
      <c r="X702" s="454"/>
      <c r="Y702" s="454"/>
      <c r="Z702" s="454"/>
    </row>
    <row r="703" spans="1:26" ht="15.75" customHeight="1" x14ac:dyDescent="0.25">
      <c r="A703" s="454"/>
      <c r="B703" s="475"/>
      <c r="C703" s="475"/>
      <c r="D703" s="475"/>
      <c r="E703" s="476"/>
      <c r="F703" s="475"/>
      <c r="G703" s="454"/>
      <c r="H703" s="454"/>
      <c r="I703" s="454"/>
      <c r="J703" s="454"/>
      <c r="K703" s="454"/>
      <c r="L703" s="454"/>
      <c r="M703" s="454"/>
      <c r="N703" s="454"/>
      <c r="O703" s="454"/>
      <c r="P703" s="454"/>
      <c r="Q703" s="454"/>
      <c r="R703" s="454"/>
      <c r="S703" s="454"/>
      <c r="T703" s="454"/>
      <c r="U703" s="454"/>
      <c r="V703" s="454"/>
      <c r="W703" s="454"/>
      <c r="X703" s="454"/>
      <c r="Y703" s="454"/>
      <c r="Z703" s="454"/>
    </row>
    <row r="704" spans="1:26" ht="15.75" customHeight="1" x14ac:dyDescent="0.25">
      <c r="A704" s="454"/>
      <c r="B704" s="475"/>
      <c r="C704" s="475"/>
      <c r="D704" s="475"/>
      <c r="E704" s="476"/>
      <c r="F704" s="475"/>
      <c r="G704" s="454"/>
      <c r="H704" s="454"/>
      <c r="I704" s="454"/>
      <c r="J704" s="454"/>
      <c r="K704" s="454"/>
      <c r="L704" s="454"/>
      <c r="M704" s="454"/>
      <c r="N704" s="454"/>
      <c r="O704" s="454"/>
      <c r="P704" s="454"/>
      <c r="Q704" s="454"/>
      <c r="R704" s="454"/>
      <c r="S704" s="454"/>
      <c r="T704" s="454"/>
      <c r="U704" s="454"/>
      <c r="V704" s="454"/>
      <c r="W704" s="454"/>
      <c r="X704" s="454"/>
      <c r="Y704" s="454"/>
      <c r="Z704" s="454"/>
    </row>
    <row r="705" spans="1:26" ht="15.75" customHeight="1" x14ac:dyDescent="0.25">
      <c r="A705" s="454"/>
      <c r="B705" s="475"/>
      <c r="C705" s="475"/>
      <c r="D705" s="475"/>
      <c r="E705" s="476"/>
      <c r="F705" s="475"/>
      <c r="G705" s="454"/>
      <c r="H705" s="454"/>
      <c r="I705" s="454"/>
      <c r="J705" s="454"/>
      <c r="K705" s="454"/>
      <c r="L705" s="454"/>
      <c r="M705" s="454"/>
      <c r="N705" s="454"/>
      <c r="O705" s="454"/>
      <c r="P705" s="454"/>
      <c r="Q705" s="454"/>
      <c r="R705" s="454"/>
      <c r="S705" s="454"/>
      <c r="T705" s="454"/>
      <c r="U705" s="454"/>
      <c r="V705" s="454"/>
      <c r="W705" s="454"/>
      <c r="X705" s="454"/>
      <c r="Y705" s="454"/>
      <c r="Z705" s="454"/>
    </row>
    <row r="706" spans="1:26" ht="15.75" customHeight="1" x14ac:dyDescent="0.25">
      <c r="A706" s="454"/>
      <c r="B706" s="475"/>
      <c r="C706" s="475"/>
      <c r="D706" s="475"/>
      <c r="E706" s="476"/>
      <c r="F706" s="475"/>
      <c r="G706" s="454"/>
      <c r="H706" s="454"/>
      <c r="I706" s="454"/>
      <c r="J706" s="454"/>
      <c r="K706" s="454"/>
      <c r="L706" s="454"/>
      <c r="M706" s="454"/>
      <c r="N706" s="454"/>
      <c r="O706" s="454"/>
      <c r="P706" s="454"/>
      <c r="Q706" s="454"/>
      <c r="R706" s="454"/>
      <c r="S706" s="454"/>
      <c r="T706" s="454"/>
      <c r="U706" s="454"/>
      <c r="V706" s="454"/>
      <c r="W706" s="454"/>
      <c r="X706" s="454"/>
      <c r="Y706" s="454"/>
      <c r="Z706" s="454"/>
    </row>
    <row r="707" spans="1:26" ht="15.75" customHeight="1" x14ac:dyDescent="0.25">
      <c r="A707" s="454"/>
      <c r="B707" s="475"/>
      <c r="C707" s="475"/>
      <c r="D707" s="475"/>
      <c r="E707" s="476"/>
      <c r="F707" s="475"/>
      <c r="G707" s="454"/>
      <c r="H707" s="454"/>
      <c r="I707" s="454"/>
      <c r="J707" s="454"/>
      <c r="K707" s="454"/>
      <c r="L707" s="454"/>
      <c r="M707" s="454"/>
      <c r="N707" s="454"/>
      <c r="O707" s="454"/>
      <c r="P707" s="454"/>
      <c r="Q707" s="454"/>
      <c r="R707" s="454"/>
      <c r="S707" s="454"/>
      <c r="T707" s="454"/>
      <c r="U707" s="454"/>
      <c r="V707" s="454"/>
      <c r="W707" s="454"/>
      <c r="X707" s="454"/>
      <c r="Y707" s="454"/>
      <c r="Z707" s="454"/>
    </row>
    <row r="708" spans="1:26" ht="15.75" customHeight="1" x14ac:dyDescent="0.25">
      <c r="A708" s="454"/>
      <c r="B708" s="475"/>
      <c r="C708" s="475"/>
      <c r="D708" s="475"/>
      <c r="E708" s="476"/>
      <c r="F708" s="475"/>
      <c r="G708" s="454"/>
      <c r="H708" s="454"/>
      <c r="I708" s="454"/>
      <c r="J708" s="454"/>
      <c r="K708" s="454"/>
      <c r="L708" s="454"/>
      <c r="M708" s="454"/>
      <c r="N708" s="454"/>
      <c r="O708" s="454"/>
      <c r="P708" s="454"/>
      <c r="Q708" s="454"/>
      <c r="R708" s="454"/>
      <c r="S708" s="454"/>
      <c r="T708" s="454"/>
      <c r="U708" s="454"/>
      <c r="V708" s="454"/>
      <c r="W708" s="454"/>
      <c r="X708" s="454"/>
      <c r="Y708" s="454"/>
      <c r="Z708" s="454"/>
    </row>
    <row r="709" spans="1:26" ht="15.75" customHeight="1" x14ac:dyDescent="0.25">
      <c r="A709" s="454"/>
      <c r="B709" s="475"/>
      <c r="C709" s="475"/>
      <c r="D709" s="475"/>
      <c r="E709" s="476"/>
      <c r="F709" s="475"/>
      <c r="G709" s="454"/>
      <c r="H709" s="454"/>
      <c r="I709" s="454"/>
      <c r="J709" s="454"/>
      <c r="K709" s="454"/>
      <c r="L709" s="454"/>
      <c r="M709" s="454"/>
      <c r="N709" s="454"/>
      <c r="O709" s="454"/>
      <c r="P709" s="454"/>
      <c r="Q709" s="454"/>
      <c r="R709" s="454"/>
      <c r="S709" s="454"/>
      <c r="T709" s="454"/>
      <c r="U709" s="454"/>
      <c r="V709" s="454"/>
      <c r="W709" s="454"/>
      <c r="X709" s="454"/>
      <c r="Y709" s="454"/>
      <c r="Z709" s="454"/>
    </row>
    <row r="710" spans="1:26" ht="15.75" customHeight="1" x14ac:dyDescent="0.25">
      <c r="A710" s="454"/>
      <c r="B710" s="475"/>
      <c r="C710" s="475"/>
      <c r="D710" s="475"/>
      <c r="E710" s="476"/>
      <c r="F710" s="475"/>
      <c r="G710" s="454"/>
      <c r="H710" s="454"/>
      <c r="I710" s="454"/>
      <c r="J710" s="454"/>
      <c r="K710" s="454"/>
      <c r="L710" s="454"/>
      <c r="M710" s="454"/>
      <c r="N710" s="454"/>
      <c r="O710" s="454"/>
      <c r="P710" s="454"/>
      <c r="Q710" s="454"/>
      <c r="R710" s="454"/>
      <c r="S710" s="454"/>
      <c r="T710" s="454"/>
      <c r="U710" s="454"/>
      <c r="V710" s="454"/>
      <c r="W710" s="454"/>
      <c r="X710" s="454"/>
      <c r="Y710" s="454"/>
      <c r="Z710" s="454"/>
    </row>
    <row r="711" spans="1:26" ht="15.75" customHeight="1" x14ac:dyDescent="0.25">
      <c r="A711" s="454"/>
      <c r="B711" s="475"/>
      <c r="C711" s="475"/>
      <c r="D711" s="475"/>
      <c r="E711" s="476"/>
      <c r="F711" s="475"/>
      <c r="G711" s="454"/>
      <c r="H711" s="454"/>
      <c r="I711" s="454"/>
      <c r="J711" s="454"/>
      <c r="K711" s="454"/>
      <c r="L711" s="454"/>
      <c r="M711" s="454"/>
      <c r="N711" s="454"/>
      <c r="O711" s="454"/>
      <c r="P711" s="454"/>
      <c r="Q711" s="454"/>
      <c r="R711" s="454"/>
      <c r="S711" s="454"/>
      <c r="T711" s="454"/>
      <c r="U711" s="454"/>
      <c r="V711" s="454"/>
      <c r="W711" s="454"/>
      <c r="X711" s="454"/>
      <c r="Y711" s="454"/>
      <c r="Z711" s="454"/>
    </row>
    <row r="712" spans="1:26" ht="15.75" customHeight="1" x14ac:dyDescent="0.25">
      <c r="A712" s="454"/>
      <c r="B712" s="475"/>
      <c r="C712" s="475"/>
      <c r="D712" s="475"/>
      <c r="E712" s="476"/>
      <c r="F712" s="475"/>
      <c r="G712" s="454"/>
      <c r="H712" s="454"/>
      <c r="I712" s="454"/>
      <c r="J712" s="454"/>
      <c r="K712" s="454"/>
      <c r="L712" s="454"/>
      <c r="M712" s="454"/>
      <c r="N712" s="454"/>
      <c r="O712" s="454"/>
      <c r="P712" s="454"/>
      <c r="Q712" s="454"/>
      <c r="R712" s="454"/>
      <c r="S712" s="454"/>
      <c r="T712" s="454"/>
      <c r="U712" s="454"/>
      <c r="V712" s="454"/>
      <c r="W712" s="454"/>
      <c r="X712" s="454"/>
      <c r="Y712" s="454"/>
      <c r="Z712" s="454"/>
    </row>
    <row r="713" spans="1:26" ht="15.75" customHeight="1" x14ac:dyDescent="0.25">
      <c r="A713" s="454"/>
      <c r="B713" s="475"/>
      <c r="C713" s="475"/>
      <c r="D713" s="475"/>
      <c r="E713" s="476"/>
      <c r="F713" s="475"/>
      <c r="G713" s="454"/>
      <c r="H713" s="454"/>
      <c r="I713" s="454"/>
      <c r="J713" s="454"/>
      <c r="K713" s="454"/>
      <c r="L713" s="454"/>
      <c r="M713" s="454"/>
      <c r="N713" s="454"/>
      <c r="O713" s="454"/>
      <c r="P713" s="454"/>
      <c r="Q713" s="454"/>
      <c r="R713" s="454"/>
      <c r="S713" s="454"/>
      <c r="T713" s="454"/>
      <c r="U713" s="454"/>
      <c r="V713" s="454"/>
      <c r="W713" s="454"/>
      <c r="X713" s="454"/>
      <c r="Y713" s="454"/>
      <c r="Z713" s="454"/>
    </row>
    <row r="714" spans="1:26" ht="15.75" customHeight="1" x14ac:dyDescent="0.25">
      <c r="A714" s="454"/>
      <c r="B714" s="475"/>
      <c r="C714" s="475"/>
      <c r="D714" s="475"/>
      <c r="E714" s="476"/>
      <c r="F714" s="475"/>
      <c r="G714" s="454"/>
      <c r="H714" s="454"/>
      <c r="I714" s="454"/>
      <c r="J714" s="454"/>
      <c r="K714" s="454"/>
      <c r="L714" s="454"/>
      <c r="M714" s="454"/>
      <c r="N714" s="454"/>
      <c r="O714" s="454"/>
      <c r="P714" s="454"/>
      <c r="Q714" s="454"/>
      <c r="R714" s="454"/>
      <c r="S714" s="454"/>
      <c r="T714" s="454"/>
      <c r="U714" s="454"/>
      <c r="V714" s="454"/>
      <c r="W714" s="454"/>
      <c r="X714" s="454"/>
      <c r="Y714" s="454"/>
      <c r="Z714" s="454"/>
    </row>
    <row r="715" spans="1:26" ht="15.75" customHeight="1" x14ac:dyDescent="0.25">
      <c r="A715" s="454"/>
      <c r="B715" s="475"/>
      <c r="C715" s="475"/>
      <c r="D715" s="475"/>
      <c r="E715" s="476"/>
      <c r="F715" s="475"/>
      <c r="G715" s="454"/>
      <c r="H715" s="454"/>
      <c r="I715" s="454"/>
      <c r="J715" s="454"/>
      <c r="K715" s="454"/>
      <c r="L715" s="454"/>
      <c r="M715" s="454"/>
      <c r="N715" s="454"/>
      <c r="O715" s="454"/>
      <c r="P715" s="454"/>
      <c r="Q715" s="454"/>
      <c r="R715" s="454"/>
      <c r="S715" s="454"/>
      <c r="T715" s="454"/>
      <c r="U715" s="454"/>
      <c r="V715" s="454"/>
      <c r="W715" s="454"/>
      <c r="X715" s="454"/>
      <c r="Y715" s="454"/>
      <c r="Z715" s="454"/>
    </row>
    <row r="716" spans="1:26" ht="15.75" customHeight="1" x14ac:dyDescent="0.25">
      <c r="A716" s="454"/>
      <c r="B716" s="475"/>
      <c r="C716" s="475"/>
      <c r="D716" s="475"/>
      <c r="E716" s="476"/>
      <c r="F716" s="475"/>
      <c r="G716" s="454"/>
      <c r="H716" s="454"/>
      <c r="I716" s="454"/>
      <c r="J716" s="454"/>
      <c r="K716" s="454"/>
      <c r="L716" s="454"/>
      <c r="M716" s="454"/>
      <c r="N716" s="454"/>
      <c r="O716" s="454"/>
      <c r="P716" s="454"/>
      <c r="Q716" s="454"/>
      <c r="R716" s="454"/>
      <c r="S716" s="454"/>
      <c r="T716" s="454"/>
      <c r="U716" s="454"/>
      <c r="V716" s="454"/>
      <c r="W716" s="454"/>
      <c r="X716" s="454"/>
      <c r="Y716" s="454"/>
      <c r="Z716" s="454"/>
    </row>
    <row r="717" spans="1:26" ht="15.75" customHeight="1" x14ac:dyDescent="0.25">
      <c r="A717" s="454"/>
      <c r="B717" s="475"/>
      <c r="C717" s="475"/>
      <c r="D717" s="475"/>
      <c r="E717" s="476"/>
      <c r="F717" s="475"/>
      <c r="G717" s="454"/>
      <c r="H717" s="454"/>
      <c r="I717" s="454"/>
      <c r="J717" s="454"/>
      <c r="K717" s="454"/>
      <c r="L717" s="454"/>
      <c r="M717" s="454"/>
      <c r="N717" s="454"/>
      <c r="O717" s="454"/>
      <c r="P717" s="454"/>
      <c r="Q717" s="454"/>
      <c r="R717" s="454"/>
      <c r="S717" s="454"/>
      <c r="T717" s="454"/>
      <c r="U717" s="454"/>
      <c r="V717" s="454"/>
      <c r="W717" s="454"/>
      <c r="X717" s="454"/>
      <c r="Y717" s="454"/>
      <c r="Z717" s="454"/>
    </row>
    <row r="718" spans="1:26" ht="15.75" customHeight="1" x14ac:dyDescent="0.25">
      <c r="A718" s="454"/>
      <c r="B718" s="475"/>
      <c r="C718" s="475"/>
      <c r="D718" s="475"/>
      <c r="E718" s="476"/>
      <c r="F718" s="475"/>
      <c r="G718" s="454"/>
      <c r="H718" s="454"/>
      <c r="I718" s="454"/>
      <c r="J718" s="454"/>
      <c r="K718" s="454"/>
      <c r="L718" s="454"/>
      <c r="M718" s="454"/>
      <c r="N718" s="454"/>
      <c r="O718" s="454"/>
      <c r="P718" s="454"/>
      <c r="Q718" s="454"/>
      <c r="R718" s="454"/>
      <c r="S718" s="454"/>
      <c r="T718" s="454"/>
      <c r="U718" s="454"/>
      <c r="V718" s="454"/>
      <c r="W718" s="454"/>
      <c r="X718" s="454"/>
      <c r="Y718" s="454"/>
      <c r="Z718" s="454"/>
    </row>
    <row r="719" spans="1:26" ht="15.75" customHeight="1" x14ac:dyDescent="0.25">
      <c r="A719" s="454"/>
      <c r="B719" s="475"/>
      <c r="C719" s="475"/>
      <c r="D719" s="475"/>
      <c r="E719" s="476"/>
      <c r="F719" s="475"/>
      <c r="G719" s="454"/>
      <c r="H719" s="454"/>
      <c r="I719" s="454"/>
      <c r="J719" s="454"/>
      <c r="K719" s="454"/>
      <c r="L719" s="454"/>
      <c r="M719" s="454"/>
      <c r="N719" s="454"/>
      <c r="O719" s="454"/>
      <c r="P719" s="454"/>
      <c r="Q719" s="454"/>
      <c r="R719" s="454"/>
      <c r="S719" s="454"/>
      <c r="T719" s="454"/>
      <c r="U719" s="454"/>
      <c r="V719" s="454"/>
      <c r="W719" s="454"/>
      <c r="X719" s="454"/>
      <c r="Y719" s="454"/>
      <c r="Z719" s="454"/>
    </row>
    <row r="720" spans="1:26" ht="15.75" customHeight="1" x14ac:dyDescent="0.25">
      <c r="A720" s="454"/>
      <c r="B720" s="475"/>
      <c r="C720" s="475"/>
      <c r="D720" s="475"/>
      <c r="E720" s="476"/>
      <c r="F720" s="475"/>
      <c r="G720" s="454"/>
      <c r="H720" s="454"/>
      <c r="I720" s="454"/>
      <c r="J720" s="454"/>
      <c r="K720" s="454"/>
      <c r="L720" s="454"/>
      <c r="M720" s="454"/>
      <c r="N720" s="454"/>
      <c r="O720" s="454"/>
      <c r="P720" s="454"/>
      <c r="Q720" s="454"/>
      <c r="R720" s="454"/>
      <c r="S720" s="454"/>
      <c r="T720" s="454"/>
      <c r="U720" s="454"/>
      <c r="V720" s="454"/>
      <c r="W720" s="454"/>
      <c r="X720" s="454"/>
      <c r="Y720" s="454"/>
      <c r="Z720" s="454"/>
    </row>
    <row r="721" spans="1:26" ht="15.75" customHeight="1" x14ac:dyDescent="0.25">
      <c r="A721" s="454"/>
      <c r="B721" s="475"/>
      <c r="C721" s="475"/>
      <c r="D721" s="475"/>
      <c r="E721" s="476"/>
      <c r="F721" s="475"/>
      <c r="G721" s="454"/>
      <c r="H721" s="454"/>
      <c r="I721" s="454"/>
      <c r="J721" s="454"/>
      <c r="K721" s="454"/>
      <c r="L721" s="454"/>
      <c r="M721" s="454"/>
      <c r="N721" s="454"/>
      <c r="O721" s="454"/>
      <c r="P721" s="454"/>
      <c r="Q721" s="454"/>
      <c r="R721" s="454"/>
      <c r="S721" s="454"/>
      <c r="T721" s="454"/>
      <c r="U721" s="454"/>
      <c r="V721" s="454"/>
      <c r="W721" s="454"/>
      <c r="X721" s="454"/>
      <c r="Y721" s="454"/>
      <c r="Z721" s="454"/>
    </row>
    <row r="722" spans="1:26" ht="15.75" customHeight="1" x14ac:dyDescent="0.25">
      <c r="A722" s="454"/>
      <c r="B722" s="475"/>
      <c r="C722" s="475"/>
      <c r="D722" s="475"/>
      <c r="E722" s="476"/>
      <c r="F722" s="475"/>
      <c r="G722" s="454"/>
      <c r="H722" s="454"/>
      <c r="I722" s="454"/>
      <c r="J722" s="454"/>
      <c r="K722" s="454"/>
      <c r="L722" s="454"/>
      <c r="M722" s="454"/>
      <c r="N722" s="454"/>
      <c r="O722" s="454"/>
      <c r="P722" s="454"/>
      <c r="Q722" s="454"/>
      <c r="R722" s="454"/>
      <c r="S722" s="454"/>
      <c r="T722" s="454"/>
      <c r="U722" s="454"/>
      <c r="V722" s="454"/>
      <c r="W722" s="454"/>
      <c r="X722" s="454"/>
      <c r="Y722" s="454"/>
      <c r="Z722" s="454"/>
    </row>
    <row r="723" spans="1:26" ht="15.75" customHeight="1" x14ac:dyDescent="0.25">
      <c r="A723" s="454"/>
      <c r="B723" s="475"/>
      <c r="C723" s="475"/>
      <c r="D723" s="475"/>
      <c r="E723" s="476"/>
      <c r="F723" s="475"/>
      <c r="G723" s="454"/>
      <c r="H723" s="454"/>
      <c r="I723" s="454"/>
      <c r="J723" s="454"/>
      <c r="K723" s="454"/>
      <c r="L723" s="454"/>
      <c r="M723" s="454"/>
      <c r="N723" s="454"/>
      <c r="O723" s="454"/>
      <c r="P723" s="454"/>
      <c r="Q723" s="454"/>
      <c r="R723" s="454"/>
      <c r="S723" s="454"/>
      <c r="T723" s="454"/>
      <c r="U723" s="454"/>
      <c r="V723" s="454"/>
      <c r="W723" s="454"/>
      <c r="X723" s="454"/>
      <c r="Y723" s="454"/>
      <c r="Z723" s="454"/>
    </row>
    <row r="724" spans="1:26" ht="15.75" customHeight="1" x14ac:dyDescent="0.25">
      <c r="A724" s="454"/>
      <c r="B724" s="475"/>
      <c r="C724" s="475"/>
      <c r="D724" s="475"/>
      <c r="E724" s="476"/>
      <c r="F724" s="475"/>
      <c r="G724" s="454"/>
      <c r="H724" s="454"/>
      <c r="I724" s="454"/>
      <c r="J724" s="454"/>
      <c r="K724" s="454"/>
      <c r="L724" s="454"/>
      <c r="M724" s="454"/>
      <c r="N724" s="454"/>
      <c r="O724" s="454"/>
      <c r="P724" s="454"/>
      <c r="Q724" s="454"/>
      <c r="R724" s="454"/>
      <c r="S724" s="454"/>
      <c r="T724" s="454"/>
      <c r="U724" s="454"/>
      <c r="V724" s="454"/>
      <c r="W724" s="454"/>
      <c r="X724" s="454"/>
      <c r="Y724" s="454"/>
      <c r="Z724" s="454"/>
    </row>
    <row r="725" spans="1:26" ht="15.75" customHeight="1" x14ac:dyDescent="0.25">
      <c r="A725" s="454"/>
      <c r="B725" s="475"/>
      <c r="C725" s="475"/>
      <c r="D725" s="475"/>
      <c r="E725" s="476"/>
      <c r="F725" s="475"/>
      <c r="G725" s="454"/>
      <c r="H725" s="454"/>
      <c r="I725" s="454"/>
      <c r="J725" s="454"/>
      <c r="K725" s="454"/>
      <c r="L725" s="454"/>
      <c r="M725" s="454"/>
      <c r="N725" s="454"/>
      <c r="O725" s="454"/>
      <c r="P725" s="454"/>
      <c r="Q725" s="454"/>
      <c r="R725" s="454"/>
      <c r="S725" s="454"/>
      <c r="T725" s="454"/>
      <c r="U725" s="454"/>
      <c r="V725" s="454"/>
      <c r="W725" s="454"/>
      <c r="X725" s="454"/>
      <c r="Y725" s="454"/>
      <c r="Z725" s="454"/>
    </row>
    <row r="726" spans="1:26" ht="15.75" customHeight="1" x14ac:dyDescent="0.25">
      <c r="A726" s="454"/>
      <c r="B726" s="475"/>
      <c r="C726" s="475"/>
      <c r="D726" s="475"/>
      <c r="E726" s="476"/>
      <c r="F726" s="475"/>
      <c r="G726" s="454"/>
      <c r="H726" s="454"/>
      <c r="I726" s="454"/>
      <c r="J726" s="454"/>
      <c r="K726" s="454"/>
      <c r="L726" s="454"/>
      <c r="M726" s="454"/>
      <c r="N726" s="454"/>
      <c r="O726" s="454"/>
      <c r="P726" s="454"/>
      <c r="Q726" s="454"/>
      <c r="R726" s="454"/>
      <c r="S726" s="454"/>
      <c r="T726" s="454"/>
      <c r="U726" s="454"/>
      <c r="V726" s="454"/>
      <c r="W726" s="454"/>
      <c r="X726" s="454"/>
      <c r="Y726" s="454"/>
      <c r="Z726" s="454"/>
    </row>
    <row r="727" spans="1:26" ht="15.75" customHeight="1" x14ac:dyDescent="0.25">
      <c r="A727" s="454"/>
      <c r="B727" s="475"/>
      <c r="C727" s="475"/>
      <c r="D727" s="475"/>
      <c r="E727" s="476"/>
      <c r="F727" s="475"/>
      <c r="G727" s="454"/>
      <c r="H727" s="454"/>
      <c r="I727" s="454"/>
      <c r="J727" s="454"/>
      <c r="K727" s="454"/>
      <c r="L727" s="454"/>
      <c r="M727" s="454"/>
      <c r="N727" s="454"/>
      <c r="O727" s="454"/>
      <c r="P727" s="454"/>
      <c r="Q727" s="454"/>
      <c r="R727" s="454"/>
      <c r="S727" s="454"/>
      <c r="T727" s="454"/>
      <c r="U727" s="454"/>
      <c r="V727" s="454"/>
      <c r="W727" s="454"/>
      <c r="X727" s="454"/>
      <c r="Y727" s="454"/>
      <c r="Z727" s="454"/>
    </row>
    <row r="728" spans="1:26" ht="15.75" customHeight="1" x14ac:dyDescent="0.25">
      <c r="A728" s="454"/>
      <c r="B728" s="475"/>
      <c r="C728" s="475"/>
      <c r="D728" s="475"/>
      <c r="E728" s="476"/>
      <c r="F728" s="475"/>
      <c r="G728" s="454"/>
      <c r="H728" s="454"/>
      <c r="I728" s="454"/>
      <c r="J728" s="454"/>
      <c r="K728" s="454"/>
      <c r="L728" s="454"/>
      <c r="M728" s="454"/>
      <c r="N728" s="454"/>
      <c r="O728" s="454"/>
      <c r="P728" s="454"/>
      <c r="Q728" s="454"/>
      <c r="R728" s="454"/>
      <c r="S728" s="454"/>
      <c r="T728" s="454"/>
      <c r="U728" s="454"/>
      <c r="V728" s="454"/>
      <c r="W728" s="454"/>
      <c r="X728" s="454"/>
      <c r="Y728" s="454"/>
      <c r="Z728" s="454"/>
    </row>
    <row r="729" spans="1:26" ht="15.75" customHeight="1" x14ac:dyDescent="0.25">
      <c r="A729" s="454"/>
      <c r="B729" s="475"/>
      <c r="C729" s="475"/>
      <c r="D729" s="475"/>
      <c r="E729" s="476"/>
      <c r="F729" s="475"/>
      <c r="G729" s="454"/>
      <c r="H729" s="454"/>
      <c r="I729" s="454"/>
      <c r="J729" s="454"/>
      <c r="K729" s="454"/>
      <c r="L729" s="454"/>
      <c r="M729" s="454"/>
      <c r="N729" s="454"/>
      <c r="O729" s="454"/>
      <c r="P729" s="454"/>
      <c r="Q729" s="454"/>
      <c r="R729" s="454"/>
      <c r="S729" s="454"/>
      <c r="T729" s="454"/>
      <c r="U729" s="454"/>
      <c r="V729" s="454"/>
      <c r="W729" s="454"/>
      <c r="X729" s="454"/>
      <c r="Y729" s="454"/>
      <c r="Z729" s="454"/>
    </row>
    <row r="730" spans="1:26" ht="15.75" customHeight="1" x14ac:dyDescent="0.25">
      <c r="A730" s="454"/>
      <c r="B730" s="475"/>
      <c r="C730" s="475"/>
      <c r="D730" s="475"/>
      <c r="E730" s="476"/>
      <c r="F730" s="475"/>
      <c r="G730" s="454"/>
      <c r="H730" s="454"/>
      <c r="I730" s="454"/>
      <c r="J730" s="454"/>
      <c r="K730" s="454"/>
      <c r="L730" s="454"/>
      <c r="M730" s="454"/>
      <c r="N730" s="454"/>
      <c r="O730" s="454"/>
      <c r="P730" s="454"/>
      <c r="Q730" s="454"/>
      <c r="R730" s="454"/>
      <c r="S730" s="454"/>
      <c r="T730" s="454"/>
      <c r="U730" s="454"/>
      <c r="V730" s="454"/>
      <c r="W730" s="454"/>
      <c r="X730" s="454"/>
      <c r="Y730" s="454"/>
      <c r="Z730" s="454"/>
    </row>
    <row r="731" spans="1:26" ht="15.75" customHeight="1" x14ac:dyDescent="0.25">
      <c r="A731" s="454"/>
      <c r="B731" s="475"/>
      <c r="C731" s="475"/>
      <c r="D731" s="475"/>
      <c r="E731" s="476"/>
      <c r="F731" s="475"/>
      <c r="G731" s="454"/>
      <c r="H731" s="454"/>
      <c r="I731" s="454"/>
      <c r="J731" s="454"/>
      <c r="K731" s="454"/>
      <c r="L731" s="454"/>
      <c r="M731" s="454"/>
      <c r="N731" s="454"/>
      <c r="O731" s="454"/>
      <c r="P731" s="454"/>
      <c r="Q731" s="454"/>
      <c r="R731" s="454"/>
      <c r="S731" s="454"/>
      <c r="T731" s="454"/>
      <c r="U731" s="454"/>
      <c r="V731" s="454"/>
      <c r="W731" s="454"/>
      <c r="X731" s="454"/>
      <c r="Y731" s="454"/>
      <c r="Z731" s="454"/>
    </row>
    <row r="732" spans="1:26" ht="15.75" customHeight="1" x14ac:dyDescent="0.25">
      <c r="A732" s="454"/>
      <c r="B732" s="475"/>
      <c r="C732" s="475"/>
      <c r="D732" s="475"/>
      <c r="E732" s="476"/>
      <c r="F732" s="475"/>
      <c r="G732" s="454"/>
      <c r="H732" s="454"/>
      <c r="I732" s="454"/>
      <c r="J732" s="454"/>
      <c r="K732" s="454"/>
      <c r="L732" s="454"/>
      <c r="M732" s="454"/>
      <c r="N732" s="454"/>
      <c r="O732" s="454"/>
      <c r="P732" s="454"/>
      <c r="Q732" s="454"/>
      <c r="R732" s="454"/>
      <c r="S732" s="454"/>
      <c r="T732" s="454"/>
      <c r="U732" s="454"/>
      <c r="V732" s="454"/>
      <c r="W732" s="454"/>
      <c r="X732" s="454"/>
      <c r="Y732" s="454"/>
      <c r="Z732" s="454"/>
    </row>
    <row r="733" spans="1:26" ht="15.75" customHeight="1" x14ac:dyDescent="0.25">
      <c r="A733" s="454"/>
      <c r="B733" s="475"/>
      <c r="C733" s="475"/>
      <c r="D733" s="475"/>
      <c r="E733" s="476"/>
      <c r="F733" s="475"/>
      <c r="G733" s="454"/>
      <c r="H733" s="454"/>
      <c r="I733" s="454"/>
      <c r="J733" s="454"/>
      <c r="K733" s="454"/>
      <c r="L733" s="454"/>
      <c r="M733" s="454"/>
      <c r="N733" s="454"/>
      <c r="O733" s="454"/>
      <c r="P733" s="454"/>
      <c r="Q733" s="454"/>
      <c r="R733" s="454"/>
      <c r="S733" s="454"/>
      <c r="T733" s="454"/>
      <c r="U733" s="454"/>
      <c r="V733" s="454"/>
      <c r="W733" s="454"/>
      <c r="X733" s="454"/>
      <c r="Y733" s="454"/>
      <c r="Z733" s="454"/>
    </row>
    <row r="734" spans="1:26" ht="15.75" customHeight="1" x14ac:dyDescent="0.25">
      <c r="A734" s="454"/>
      <c r="B734" s="475"/>
      <c r="C734" s="475"/>
      <c r="D734" s="475"/>
      <c r="E734" s="476"/>
      <c r="F734" s="475"/>
      <c r="G734" s="454"/>
      <c r="H734" s="454"/>
      <c r="I734" s="454"/>
      <c r="J734" s="454"/>
      <c r="K734" s="454"/>
      <c r="L734" s="454"/>
      <c r="M734" s="454"/>
      <c r="N734" s="454"/>
      <c r="O734" s="454"/>
      <c r="P734" s="454"/>
      <c r="Q734" s="454"/>
      <c r="R734" s="454"/>
      <c r="S734" s="454"/>
      <c r="T734" s="454"/>
      <c r="U734" s="454"/>
      <c r="V734" s="454"/>
      <c r="W734" s="454"/>
      <c r="X734" s="454"/>
      <c r="Y734" s="454"/>
      <c r="Z734" s="454"/>
    </row>
    <row r="735" spans="1:26" ht="15.75" customHeight="1" x14ac:dyDescent="0.25">
      <c r="A735" s="454"/>
      <c r="B735" s="475"/>
      <c r="C735" s="475"/>
      <c r="D735" s="475"/>
      <c r="E735" s="476"/>
      <c r="F735" s="475"/>
      <c r="G735" s="454"/>
      <c r="H735" s="454"/>
      <c r="I735" s="454"/>
      <c r="J735" s="454"/>
      <c r="K735" s="454"/>
      <c r="L735" s="454"/>
      <c r="M735" s="454"/>
      <c r="N735" s="454"/>
      <c r="O735" s="454"/>
      <c r="P735" s="454"/>
      <c r="Q735" s="454"/>
      <c r="R735" s="454"/>
      <c r="S735" s="454"/>
      <c r="T735" s="454"/>
      <c r="U735" s="454"/>
      <c r="V735" s="454"/>
      <c r="W735" s="454"/>
      <c r="X735" s="454"/>
      <c r="Y735" s="454"/>
      <c r="Z735" s="454"/>
    </row>
    <row r="736" spans="1:26" ht="15.75" customHeight="1" x14ac:dyDescent="0.25">
      <c r="A736" s="454"/>
      <c r="B736" s="475"/>
      <c r="C736" s="475"/>
      <c r="D736" s="475"/>
      <c r="E736" s="476"/>
      <c r="F736" s="475"/>
      <c r="G736" s="454"/>
      <c r="H736" s="454"/>
      <c r="I736" s="454"/>
      <c r="J736" s="454"/>
      <c r="K736" s="454"/>
      <c r="L736" s="454"/>
      <c r="M736" s="454"/>
      <c r="N736" s="454"/>
      <c r="O736" s="454"/>
      <c r="P736" s="454"/>
      <c r="Q736" s="454"/>
      <c r="R736" s="454"/>
      <c r="S736" s="454"/>
      <c r="T736" s="454"/>
      <c r="U736" s="454"/>
      <c r="V736" s="454"/>
      <c r="W736" s="454"/>
      <c r="X736" s="454"/>
      <c r="Y736" s="454"/>
      <c r="Z736" s="454"/>
    </row>
    <row r="737" spans="1:26" ht="15.75" customHeight="1" x14ac:dyDescent="0.25">
      <c r="A737" s="454"/>
      <c r="B737" s="475"/>
      <c r="C737" s="475"/>
      <c r="D737" s="475"/>
      <c r="E737" s="476"/>
      <c r="F737" s="475"/>
      <c r="G737" s="454"/>
      <c r="H737" s="454"/>
      <c r="I737" s="454"/>
      <c r="J737" s="454"/>
      <c r="K737" s="454"/>
      <c r="L737" s="454"/>
      <c r="M737" s="454"/>
      <c r="N737" s="454"/>
      <c r="O737" s="454"/>
      <c r="P737" s="454"/>
      <c r="Q737" s="454"/>
      <c r="R737" s="454"/>
      <c r="S737" s="454"/>
      <c r="T737" s="454"/>
      <c r="U737" s="454"/>
      <c r="V737" s="454"/>
      <c r="W737" s="454"/>
      <c r="X737" s="454"/>
      <c r="Y737" s="454"/>
      <c r="Z737" s="454"/>
    </row>
    <row r="738" spans="1:26" ht="15.75" customHeight="1" x14ac:dyDescent="0.25">
      <c r="A738" s="454"/>
      <c r="B738" s="475"/>
      <c r="C738" s="475"/>
      <c r="D738" s="475"/>
      <c r="E738" s="476"/>
      <c r="F738" s="475"/>
      <c r="G738" s="454"/>
      <c r="H738" s="454"/>
      <c r="I738" s="454"/>
      <c r="J738" s="454"/>
      <c r="K738" s="454"/>
      <c r="L738" s="454"/>
      <c r="M738" s="454"/>
      <c r="N738" s="454"/>
      <c r="O738" s="454"/>
      <c r="P738" s="454"/>
      <c r="Q738" s="454"/>
      <c r="R738" s="454"/>
      <c r="S738" s="454"/>
      <c r="T738" s="454"/>
      <c r="U738" s="454"/>
      <c r="V738" s="454"/>
      <c r="W738" s="454"/>
      <c r="X738" s="454"/>
      <c r="Y738" s="454"/>
      <c r="Z738" s="454"/>
    </row>
    <row r="739" spans="1:26" ht="15.75" customHeight="1" x14ac:dyDescent="0.25">
      <c r="A739" s="454"/>
      <c r="B739" s="475"/>
      <c r="C739" s="475"/>
      <c r="D739" s="475"/>
      <c r="E739" s="476"/>
      <c r="F739" s="475"/>
      <c r="G739" s="454"/>
      <c r="H739" s="454"/>
      <c r="I739" s="454"/>
      <c r="J739" s="454"/>
      <c r="K739" s="454"/>
      <c r="L739" s="454"/>
      <c r="M739" s="454"/>
      <c r="N739" s="454"/>
      <c r="O739" s="454"/>
      <c r="P739" s="454"/>
      <c r="Q739" s="454"/>
      <c r="R739" s="454"/>
      <c r="S739" s="454"/>
      <c r="T739" s="454"/>
      <c r="U739" s="454"/>
      <c r="V739" s="454"/>
      <c r="W739" s="454"/>
      <c r="X739" s="454"/>
      <c r="Y739" s="454"/>
      <c r="Z739" s="454"/>
    </row>
    <row r="740" spans="1:26" ht="15.75" customHeight="1" x14ac:dyDescent="0.25">
      <c r="A740" s="454"/>
      <c r="B740" s="475"/>
      <c r="C740" s="475"/>
      <c r="D740" s="475"/>
      <c r="E740" s="476"/>
      <c r="F740" s="475"/>
      <c r="G740" s="454"/>
      <c r="H740" s="454"/>
      <c r="I740" s="454"/>
      <c r="J740" s="454"/>
      <c r="K740" s="454"/>
      <c r="L740" s="454"/>
      <c r="M740" s="454"/>
      <c r="N740" s="454"/>
      <c r="O740" s="454"/>
      <c r="P740" s="454"/>
      <c r="Q740" s="454"/>
      <c r="R740" s="454"/>
      <c r="S740" s="454"/>
      <c r="T740" s="454"/>
      <c r="U740" s="454"/>
      <c r="V740" s="454"/>
      <c r="W740" s="454"/>
      <c r="X740" s="454"/>
      <c r="Y740" s="454"/>
      <c r="Z740" s="454"/>
    </row>
    <row r="741" spans="1:26" ht="15.75" customHeight="1" x14ac:dyDescent="0.25">
      <c r="A741" s="454"/>
      <c r="B741" s="475"/>
      <c r="C741" s="475"/>
      <c r="D741" s="475"/>
      <c r="E741" s="476"/>
      <c r="F741" s="475"/>
      <c r="G741" s="454"/>
      <c r="H741" s="454"/>
      <c r="I741" s="454"/>
      <c r="J741" s="454"/>
      <c r="K741" s="454"/>
      <c r="L741" s="454"/>
      <c r="M741" s="454"/>
      <c r="N741" s="454"/>
      <c r="O741" s="454"/>
      <c r="P741" s="454"/>
      <c r="Q741" s="454"/>
      <c r="R741" s="454"/>
      <c r="S741" s="454"/>
      <c r="T741" s="454"/>
      <c r="U741" s="454"/>
      <c r="V741" s="454"/>
      <c r="W741" s="454"/>
      <c r="X741" s="454"/>
      <c r="Y741" s="454"/>
      <c r="Z741" s="454"/>
    </row>
    <row r="742" spans="1:26" ht="15.75" customHeight="1" x14ac:dyDescent="0.25">
      <c r="A742" s="454"/>
      <c r="B742" s="475"/>
      <c r="C742" s="475"/>
      <c r="D742" s="475"/>
      <c r="E742" s="476"/>
      <c r="F742" s="475"/>
      <c r="G742" s="454"/>
      <c r="H742" s="454"/>
      <c r="I742" s="454"/>
      <c r="J742" s="454"/>
      <c r="K742" s="454"/>
      <c r="L742" s="454"/>
      <c r="M742" s="454"/>
      <c r="N742" s="454"/>
      <c r="O742" s="454"/>
      <c r="P742" s="454"/>
      <c r="Q742" s="454"/>
      <c r="R742" s="454"/>
      <c r="S742" s="454"/>
      <c r="T742" s="454"/>
      <c r="U742" s="454"/>
      <c r="V742" s="454"/>
      <c r="W742" s="454"/>
      <c r="X742" s="454"/>
      <c r="Y742" s="454"/>
      <c r="Z742" s="454"/>
    </row>
    <row r="743" spans="1:26" ht="15.75" customHeight="1" x14ac:dyDescent="0.25">
      <c r="A743" s="454"/>
      <c r="B743" s="475"/>
      <c r="C743" s="475"/>
      <c r="D743" s="475"/>
      <c r="E743" s="476"/>
      <c r="F743" s="475"/>
      <c r="G743" s="454"/>
      <c r="H743" s="454"/>
      <c r="I743" s="454"/>
      <c r="J743" s="454"/>
      <c r="K743" s="454"/>
      <c r="L743" s="454"/>
      <c r="M743" s="454"/>
      <c r="N743" s="454"/>
      <c r="O743" s="454"/>
      <c r="P743" s="454"/>
      <c r="Q743" s="454"/>
      <c r="R743" s="454"/>
      <c r="S743" s="454"/>
      <c r="T743" s="454"/>
      <c r="U743" s="454"/>
      <c r="V743" s="454"/>
      <c r="W743" s="454"/>
      <c r="X743" s="454"/>
      <c r="Y743" s="454"/>
      <c r="Z743" s="454"/>
    </row>
    <row r="744" spans="1:26" ht="15.75" customHeight="1" x14ac:dyDescent="0.25">
      <c r="A744" s="454"/>
      <c r="B744" s="475"/>
      <c r="C744" s="475"/>
      <c r="D744" s="475"/>
      <c r="E744" s="476"/>
      <c r="F744" s="475"/>
      <c r="G744" s="454"/>
      <c r="H744" s="454"/>
      <c r="I744" s="454"/>
      <c r="J744" s="454"/>
      <c r="K744" s="454"/>
      <c r="L744" s="454"/>
      <c r="M744" s="454"/>
      <c r="N744" s="454"/>
      <c r="O744" s="454"/>
      <c r="P744" s="454"/>
      <c r="Q744" s="454"/>
      <c r="R744" s="454"/>
      <c r="S744" s="454"/>
      <c r="T744" s="454"/>
      <c r="U744" s="454"/>
      <c r="V744" s="454"/>
      <c r="W744" s="454"/>
      <c r="X744" s="454"/>
      <c r="Y744" s="454"/>
      <c r="Z744" s="454"/>
    </row>
    <row r="745" spans="1:26" ht="15.75" customHeight="1" x14ac:dyDescent="0.25">
      <c r="A745" s="454"/>
      <c r="B745" s="475"/>
      <c r="C745" s="475"/>
      <c r="D745" s="475"/>
      <c r="E745" s="476"/>
      <c r="F745" s="475"/>
      <c r="G745" s="454"/>
      <c r="H745" s="454"/>
      <c r="I745" s="454"/>
      <c r="J745" s="454"/>
      <c r="K745" s="454"/>
      <c r="L745" s="454"/>
      <c r="M745" s="454"/>
      <c r="N745" s="454"/>
      <c r="O745" s="454"/>
      <c r="P745" s="454"/>
      <c r="Q745" s="454"/>
      <c r="R745" s="454"/>
      <c r="S745" s="454"/>
      <c r="T745" s="454"/>
      <c r="U745" s="454"/>
      <c r="V745" s="454"/>
      <c r="W745" s="454"/>
      <c r="X745" s="454"/>
      <c r="Y745" s="454"/>
      <c r="Z745" s="454"/>
    </row>
    <row r="746" spans="1:26" ht="15.75" customHeight="1" x14ac:dyDescent="0.25">
      <c r="A746" s="454"/>
      <c r="B746" s="475"/>
      <c r="C746" s="475"/>
      <c r="D746" s="475"/>
      <c r="E746" s="476"/>
      <c r="F746" s="475"/>
      <c r="G746" s="454"/>
      <c r="H746" s="454"/>
      <c r="I746" s="454"/>
      <c r="J746" s="454"/>
      <c r="K746" s="454"/>
      <c r="L746" s="454"/>
      <c r="M746" s="454"/>
      <c r="N746" s="454"/>
      <c r="O746" s="454"/>
      <c r="P746" s="454"/>
      <c r="Q746" s="454"/>
      <c r="R746" s="454"/>
      <c r="S746" s="454"/>
      <c r="T746" s="454"/>
      <c r="U746" s="454"/>
      <c r="V746" s="454"/>
      <c r="W746" s="454"/>
      <c r="X746" s="454"/>
      <c r="Y746" s="454"/>
      <c r="Z746" s="454"/>
    </row>
    <row r="747" spans="1:26" ht="15.75" customHeight="1" x14ac:dyDescent="0.25">
      <c r="A747" s="454"/>
      <c r="B747" s="475"/>
      <c r="C747" s="475"/>
      <c r="D747" s="475"/>
      <c r="E747" s="476"/>
      <c r="F747" s="475"/>
      <c r="G747" s="454"/>
      <c r="H747" s="454"/>
      <c r="I747" s="454"/>
      <c r="J747" s="454"/>
      <c r="K747" s="454"/>
      <c r="L747" s="454"/>
      <c r="M747" s="454"/>
      <c r="N747" s="454"/>
      <c r="O747" s="454"/>
      <c r="P747" s="454"/>
      <c r="Q747" s="454"/>
      <c r="R747" s="454"/>
      <c r="S747" s="454"/>
      <c r="T747" s="454"/>
      <c r="U747" s="454"/>
      <c r="V747" s="454"/>
      <c r="W747" s="454"/>
      <c r="X747" s="454"/>
      <c r="Y747" s="454"/>
      <c r="Z747" s="454"/>
    </row>
    <row r="748" spans="1:26" ht="15.75" customHeight="1" x14ac:dyDescent="0.25">
      <c r="A748" s="454"/>
      <c r="B748" s="475"/>
      <c r="C748" s="475"/>
      <c r="D748" s="475"/>
      <c r="E748" s="476"/>
      <c r="F748" s="475"/>
      <c r="G748" s="454"/>
      <c r="H748" s="454"/>
      <c r="I748" s="454"/>
      <c r="J748" s="454"/>
      <c r="K748" s="454"/>
      <c r="L748" s="454"/>
      <c r="M748" s="454"/>
      <c r="N748" s="454"/>
      <c r="O748" s="454"/>
      <c r="P748" s="454"/>
      <c r="Q748" s="454"/>
      <c r="R748" s="454"/>
      <c r="S748" s="454"/>
      <c r="T748" s="454"/>
      <c r="U748" s="454"/>
      <c r="V748" s="454"/>
      <c r="W748" s="454"/>
      <c r="X748" s="454"/>
      <c r="Y748" s="454"/>
      <c r="Z748" s="454"/>
    </row>
    <row r="749" spans="1:26" ht="15.75" customHeight="1" x14ac:dyDescent="0.25">
      <c r="A749" s="454"/>
      <c r="B749" s="475"/>
      <c r="C749" s="475"/>
      <c r="D749" s="475"/>
      <c r="E749" s="476"/>
      <c r="F749" s="475"/>
      <c r="G749" s="454"/>
      <c r="H749" s="454"/>
      <c r="I749" s="454"/>
      <c r="J749" s="454"/>
      <c r="K749" s="454"/>
      <c r="L749" s="454"/>
      <c r="M749" s="454"/>
      <c r="N749" s="454"/>
      <c r="O749" s="454"/>
      <c r="P749" s="454"/>
      <c r="Q749" s="454"/>
      <c r="R749" s="454"/>
      <c r="S749" s="454"/>
      <c r="T749" s="454"/>
      <c r="U749" s="454"/>
      <c r="V749" s="454"/>
      <c r="W749" s="454"/>
      <c r="X749" s="454"/>
      <c r="Y749" s="454"/>
      <c r="Z749" s="454"/>
    </row>
    <row r="750" spans="1:26" ht="15.75" customHeight="1" x14ac:dyDescent="0.25">
      <c r="A750" s="454"/>
      <c r="B750" s="475"/>
      <c r="C750" s="475"/>
      <c r="D750" s="475"/>
      <c r="E750" s="476"/>
      <c r="F750" s="475"/>
      <c r="G750" s="454"/>
      <c r="H750" s="454"/>
      <c r="I750" s="454"/>
      <c r="J750" s="454"/>
      <c r="K750" s="454"/>
      <c r="L750" s="454"/>
      <c r="M750" s="454"/>
      <c r="N750" s="454"/>
      <c r="O750" s="454"/>
      <c r="P750" s="454"/>
      <c r="Q750" s="454"/>
      <c r="R750" s="454"/>
      <c r="S750" s="454"/>
      <c r="T750" s="454"/>
      <c r="U750" s="454"/>
      <c r="V750" s="454"/>
      <c r="W750" s="454"/>
      <c r="X750" s="454"/>
      <c r="Y750" s="454"/>
      <c r="Z750" s="454"/>
    </row>
    <row r="751" spans="1:26" ht="15.75" customHeight="1" x14ac:dyDescent="0.25">
      <c r="A751" s="454"/>
      <c r="B751" s="475"/>
      <c r="C751" s="475"/>
      <c r="D751" s="475"/>
      <c r="E751" s="476"/>
      <c r="F751" s="475"/>
      <c r="G751" s="454"/>
      <c r="H751" s="454"/>
      <c r="I751" s="454"/>
      <c r="J751" s="454"/>
      <c r="K751" s="454"/>
      <c r="L751" s="454"/>
      <c r="M751" s="454"/>
      <c r="N751" s="454"/>
      <c r="O751" s="454"/>
      <c r="P751" s="454"/>
      <c r="Q751" s="454"/>
      <c r="R751" s="454"/>
      <c r="S751" s="454"/>
      <c r="T751" s="454"/>
      <c r="U751" s="454"/>
      <c r="V751" s="454"/>
      <c r="W751" s="454"/>
      <c r="X751" s="454"/>
      <c r="Y751" s="454"/>
      <c r="Z751" s="454"/>
    </row>
    <row r="752" spans="1:26" ht="15.75" customHeight="1" x14ac:dyDescent="0.25">
      <c r="A752" s="454"/>
      <c r="B752" s="475"/>
      <c r="C752" s="475"/>
      <c r="D752" s="475"/>
      <c r="E752" s="476"/>
      <c r="F752" s="475"/>
      <c r="G752" s="454"/>
      <c r="H752" s="454"/>
      <c r="I752" s="454"/>
      <c r="J752" s="454"/>
      <c r="K752" s="454"/>
      <c r="L752" s="454"/>
      <c r="M752" s="454"/>
      <c r="N752" s="454"/>
      <c r="O752" s="454"/>
      <c r="P752" s="454"/>
      <c r="Q752" s="454"/>
      <c r="R752" s="454"/>
      <c r="S752" s="454"/>
      <c r="T752" s="454"/>
      <c r="U752" s="454"/>
      <c r="V752" s="454"/>
      <c r="W752" s="454"/>
      <c r="X752" s="454"/>
      <c r="Y752" s="454"/>
      <c r="Z752" s="454"/>
    </row>
    <row r="753" spans="1:26" ht="15.75" customHeight="1" x14ac:dyDescent="0.25">
      <c r="A753" s="454"/>
      <c r="B753" s="475"/>
      <c r="C753" s="475"/>
      <c r="D753" s="475"/>
      <c r="E753" s="476"/>
      <c r="F753" s="475"/>
      <c r="G753" s="454"/>
      <c r="H753" s="454"/>
      <c r="I753" s="454"/>
      <c r="J753" s="454"/>
      <c r="K753" s="454"/>
      <c r="L753" s="454"/>
      <c r="M753" s="454"/>
      <c r="N753" s="454"/>
      <c r="O753" s="454"/>
      <c r="P753" s="454"/>
      <c r="Q753" s="454"/>
      <c r="R753" s="454"/>
      <c r="S753" s="454"/>
      <c r="T753" s="454"/>
      <c r="U753" s="454"/>
      <c r="V753" s="454"/>
      <c r="W753" s="454"/>
      <c r="X753" s="454"/>
      <c r="Y753" s="454"/>
      <c r="Z753" s="454"/>
    </row>
    <row r="754" spans="1:26" ht="15.75" customHeight="1" x14ac:dyDescent="0.25">
      <c r="A754" s="454"/>
      <c r="B754" s="475"/>
      <c r="C754" s="475"/>
      <c r="D754" s="475"/>
      <c r="E754" s="476"/>
      <c r="F754" s="475"/>
      <c r="G754" s="454"/>
      <c r="H754" s="454"/>
      <c r="I754" s="454"/>
      <c r="J754" s="454"/>
      <c r="K754" s="454"/>
      <c r="L754" s="454"/>
      <c r="M754" s="454"/>
      <c r="N754" s="454"/>
      <c r="O754" s="454"/>
      <c r="P754" s="454"/>
      <c r="Q754" s="454"/>
      <c r="R754" s="454"/>
      <c r="S754" s="454"/>
      <c r="T754" s="454"/>
      <c r="U754" s="454"/>
      <c r="V754" s="454"/>
      <c r="W754" s="454"/>
      <c r="X754" s="454"/>
      <c r="Y754" s="454"/>
      <c r="Z754" s="454"/>
    </row>
    <row r="755" spans="1:26" ht="15.75" customHeight="1" x14ac:dyDescent="0.25">
      <c r="A755" s="454"/>
      <c r="B755" s="475"/>
      <c r="C755" s="475"/>
      <c r="D755" s="475"/>
      <c r="E755" s="476"/>
      <c r="F755" s="475"/>
      <c r="G755" s="454"/>
      <c r="H755" s="454"/>
      <c r="I755" s="454"/>
      <c r="J755" s="454"/>
      <c r="K755" s="454"/>
      <c r="L755" s="454"/>
      <c r="M755" s="454"/>
      <c r="N755" s="454"/>
      <c r="O755" s="454"/>
      <c r="P755" s="454"/>
      <c r="Q755" s="454"/>
      <c r="R755" s="454"/>
      <c r="S755" s="454"/>
      <c r="T755" s="454"/>
      <c r="U755" s="454"/>
      <c r="V755" s="454"/>
      <c r="W755" s="454"/>
      <c r="X755" s="454"/>
      <c r="Y755" s="454"/>
      <c r="Z755" s="454"/>
    </row>
    <row r="756" spans="1:26" ht="15.75" customHeight="1" x14ac:dyDescent="0.25">
      <c r="A756" s="454"/>
      <c r="B756" s="475"/>
      <c r="C756" s="475"/>
      <c r="D756" s="475"/>
      <c r="E756" s="476"/>
      <c r="F756" s="475"/>
      <c r="G756" s="454"/>
      <c r="H756" s="454"/>
      <c r="I756" s="454"/>
      <c r="J756" s="454"/>
      <c r="K756" s="454"/>
      <c r="L756" s="454"/>
      <c r="M756" s="454"/>
      <c r="N756" s="454"/>
      <c r="O756" s="454"/>
      <c r="P756" s="454"/>
      <c r="Q756" s="454"/>
      <c r="R756" s="454"/>
      <c r="S756" s="454"/>
      <c r="T756" s="454"/>
      <c r="U756" s="454"/>
      <c r="V756" s="454"/>
      <c r="W756" s="454"/>
      <c r="X756" s="454"/>
      <c r="Y756" s="454"/>
      <c r="Z756" s="454"/>
    </row>
    <row r="757" spans="1:26" ht="15.75" customHeight="1" x14ac:dyDescent="0.25">
      <c r="A757" s="454"/>
      <c r="B757" s="475"/>
      <c r="C757" s="475"/>
      <c r="D757" s="475"/>
      <c r="E757" s="476"/>
      <c r="F757" s="475"/>
      <c r="G757" s="454"/>
      <c r="H757" s="454"/>
      <c r="I757" s="454"/>
      <c r="J757" s="454"/>
      <c r="K757" s="454"/>
      <c r="L757" s="454"/>
      <c r="M757" s="454"/>
      <c r="N757" s="454"/>
      <c r="O757" s="454"/>
      <c r="P757" s="454"/>
      <c r="Q757" s="454"/>
      <c r="R757" s="454"/>
      <c r="S757" s="454"/>
      <c r="T757" s="454"/>
      <c r="U757" s="454"/>
      <c r="V757" s="454"/>
      <c r="W757" s="454"/>
      <c r="X757" s="454"/>
      <c r="Y757" s="454"/>
      <c r="Z757" s="454"/>
    </row>
    <row r="758" spans="1:26" ht="15.75" customHeight="1" x14ac:dyDescent="0.25">
      <c r="A758" s="454"/>
      <c r="B758" s="475"/>
      <c r="C758" s="475"/>
      <c r="D758" s="475"/>
      <c r="E758" s="476"/>
      <c r="F758" s="475"/>
      <c r="G758" s="454"/>
      <c r="H758" s="454"/>
      <c r="I758" s="454"/>
      <c r="J758" s="454"/>
      <c r="K758" s="454"/>
      <c r="L758" s="454"/>
      <c r="M758" s="454"/>
      <c r="N758" s="454"/>
      <c r="O758" s="454"/>
      <c r="P758" s="454"/>
      <c r="Q758" s="454"/>
      <c r="R758" s="454"/>
      <c r="S758" s="454"/>
      <c r="T758" s="454"/>
      <c r="U758" s="454"/>
      <c r="V758" s="454"/>
      <c r="W758" s="454"/>
      <c r="X758" s="454"/>
      <c r="Y758" s="454"/>
      <c r="Z758" s="454"/>
    </row>
    <row r="759" spans="1:26" ht="15.75" customHeight="1" x14ac:dyDescent="0.25">
      <c r="A759" s="454"/>
      <c r="B759" s="475"/>
      <c r="C759" s="475"/>
      <c r="D759" s="475"/>
      <c r="E759" s="476"/>
      <c r="F759" s="475"/>
      <c r="G759" s="454"/>
      <c r="H759" s="454"/>
      <c r="I759" s="454"/>
      <c r="J759" s="454"/>
      <c r="K759" s="454"/>
      <c r="L759" s="454"/>
      <c r="M759" s="454"/>
      <c r="N759" s="454"/>
      <c r="O759" s="454"/>
      <c r="P759" s="454"/>
      <c r="Q759" s="454"/>
      <c r="R759" s="454"/>
      <c r="S759" s="454"/>
      <c r="T759" s="454"/>
      <c r="U759" s="454"/>
      <c r="V759" s="454"/>
      <c r="W759" s="454"/>
      <c r="X759" s="454"/>
      <c r="Y759" s="454"/>
      <c r="Z759" s="454"/>
    </row>
    <row r="760" spans="1:26" ht="15.75" customHeight="1" x14ac:dyDescent="0.25">
      <c r="A760" s="454"/>
      <c r="B760" s="475"/>
      <c r="C760" s="475"/>
      <c r="D760" s="475"/>
      <c r="E760" s="476"/>
      <c r="F760" s="475"/>
      <c r="G760" s="454"/>
      <c r="H760" s="454"/>
      <c r="I760" s="454"/>
      <c r="J760" s="454"/>
      <c r="K760" s="454"/>
      <c r="L760" s="454"/>
      <c r="M760" s="454"/>
      <c r="N760" s="454"/>
      <c r="O760" s="454"/>
      <c r="P760" s="454"/>
      <c r="Q760" s="454"/>
      <c r="R760" s="454"/>
      <c r="S760" s="454"/>
      <c r="T760" s="454"/>
      <c r="U760" s="454"/>
      <c r="V760" s="454"/>
      <c r="W760" s="454"/>
      <c r="X760" s="454"/>
      <c r="Y760" s="454"/>
      <c r="Z760" s="454"/>
    </row>
    <row r="761" spans="1:26" ht="15.75" customHeight="1" x14ac:dyDescent="0.25">
      <c r="A761" s="454"/>
      <c r="B761" s="475"/>
      <c r="C761" s="475"/>
      <c r="D761" s="475"/>
      <c r="E761" s="476"/>
      <c r="F761" s="475"/>
      <c r="G761" s="454"/>
      <c r="H761" s="454"/>
      <c r="I761" s="454"/>
      <c r="J761" s="454"/>
      <c r="K761" s="454"/>
      <c r="L761" s="454"/>
      <c r="M761" s="454"/>
      <c r="N761" s="454"/>
      <c r="O761" s="454"/>
      <c r="P761" s="454"/>
      <c r="Q761" s="454"/>
      <c r="R761" s="454"/>
      <c r="S761" s="454"/>
      <c r="T761" s="454"/>
      <c r="U761" s="454"/>
      <c r="V761" s="454"/>
      <c r="W761" s="454"/>
      <c r="X761" s="454"/>
      <c r="Y761" s="454"/>
      <c r="Z761" s="454"/>
    </row>
    <row r="762" spans="1:26" ht="15.75" customHeight="1" x14ac:dyDescent="0.25">
      <c r="A762" s="454"/>
      <c r="B762" s="475"/>
      <c r="C762" s="475"/>
      <c r="D762" s="475"/>
      <c r="E762" s="476"/>
      <c r="F762" s="475"/>
      <c r="G762" s="454"/>
      <c r="H762" s="454"/>
      <c r="I762" s="454"/>
      <c r="J762" s="454"/>
      <c r="K762" s="454"/>
      <c r="L762" s="454"/>
      <c r="M762" s="454"/>
      <c r="N762" s="454"/>
      <c r="O762" s="454"/>
      <c r="P762" s="454"/>
      <c r="Q762" s="454"/>
      <c r="R762" s="454"/>
      <c r="S762" s="454"/>
      <c r="T762" s="454"/>
      <c r="U762" s="454"/>
      <c r="V762" s="454"/>
      <c r="W762" s="454"/>
      <c r="X762" s="454"/>
      <c r="Y762" s="454"/>
      <c r="Z762" s="454"/>
    </row>
    <row r="763" spans="1:26" ht="15.75" customHeight="1" x14ac:dyDescent="0.25">
      <c r="A763" s="454"/>
      <c r="B763" s="475"/>
      <c r="C763" s="475"/>
      <c r="D763" s="475"/>
      <c r="E763" s="476"/>
      <c r="F763" s="475"/>
      <c r="G763" s="454"/>
      <c r="H763" s="454"/>
      <c r="I763" s="454"/>
      <c r="J763" s="454"/>
      <c r="K763" s="454"/>
      <c r="L763" s="454"/>
      <c r="M763" s="454"/>
      <c r="N763" s="454"/>
      <c r="O763" s="454"/>
      <c r="P763" s="454"/>
      <c r="Q763" s="454"/>
      <c r="R763" s="454"/>
      <c r="S763" s="454"/>
      <c r="T763" s="454"/>
      <c r="U763" s="454"/>
      <c r="V763" s="454"/>
      <c r="W763" s="454"/>
      <c r="X763" s="454"/>
      <c r="Y763" s="454"/>
      <c r="Z763" s="454"/>
    </row>
    <row r="764" spans="1:26" ht="15.75" customHeight="1" x14ac:dyDescent="0.25">
      <c r="A764" s="454"/>
      <c r="B764" s="475"/>
      <c r="C764" s="475"/>
      <c r="D764" s="475"/>
      <c r="E764" s="476"/>
      <c r="F764" s="475"/>
      <c r="G764" s="454"/>
      <c r="H764" s="454"/>
      <c r="I764" s="454"/>
      <c r="J764" s="454"/>
      <c r="K764" s="454"/>
      <c r="L764" s="454"/>
      <c r="M764" s="454"/>
      <c r="N764" s="454"/>
      <c r="O764" s="454"/>
      <c r="P764" s="454"/>
      <c r="Q764" s="454"/>
      <c r="R764" s="454"/>
      <c r="S764" s="454"/>
      <c r="T764" s="454"/>
      <c r="U764" s="454"/>
      <c r="V764" s="454"/>
      <c r="W764" s="454"/>
      <c r="X764" s="454"/>
      <c r="Y764" s="454"/>
      <c r="Z764" s="454"/>
    </row>
    <row r="765" spans="1:26" ht="15.75" customHeight="1" x14ac:dyDescent="0.25">
      <c r="A765" s="454"/>
      <c r="B765" s="475"/>
      <c r="C765" s="475"/>
      <c r="D765" s="475"/>
      <c r="E765" s="476"/>
      <c r="F765" s="475"/>
      <c r="G765" s="454"/>
      <c r="H765" s="454"/>
      <c r="I765" s="454"/>
      <c r="J765" s="454"/>
      <c r="K765" s="454"/>
      <c r="L765" s="454"/>
      <c r="M765" s="454"/>
      <c r="N765" s="454"/>
      <c r="O765" s="454"/>
      <c r="P765" s="454"/>
      <c r="Q765" s="454"/>
      <c r="R765" s="454"/>
      <c r="S765" s="454"/>
      <c r="T765" s="454"/>
      <c r="U765" s="454"/>
      <c r="V765" s="454"/>
      <c r="W765" s="454"/>
      <c r="X765" s="454"/>
      <c r="Y765" s="454"/>
      <c r="Z765" s="454"/>
    </row>
    <row r="766" spans="1:26" ht="15.75" customHeight="1" x14ac:dyDescent="0.25">
      <c r="A766" s="454"/>
      <c r="B766" s="475"/>
      <c r="C766" s="475"/>
      <c r="D766" s="475"/>
      <c r="E766" s="476"/>
      <c r="F766" s="475"/>
      <c r="G766" s="454"/>
      <c r="H766" s="454"/>
      <c r="I766" s="454"/>
      <c r="J766" s="454"/>
      <c r="K766" s="454"/>
      <c r="L766" s="454"/>
      <c r="M766" s="454"/>
      <c r="N766" s="454"/>
      <c r="O766" s="454"/>
      <c r="P766" s="454"/>
      <c r="Q766" s="454"/>
      <c r="R766" s="454"/>
      <c r="S766" s="454"/>
      <c r="T766" s="454"/>
      <c r="U766" s="454"/>
      <c r="V766" s="454"/>
      <c r="W766" s="454"/>
      <c r="X766" s="454"/>
      <c r="Y766" s="454"/>
      <c r="Z766" s="454"/>
    </row>
    <row r="767" spans="1:26" ht="15.75" customHeight="1" x14ac:dyDescent="0.25">
      <c r="A767" s="454"/>
      <c r="B767" s="475"/>
      <c r="C767" s="475"/>
      <c r="D767" s="475"/>
      <c r="E767" s="476"/>
      <c r="F767" s="475"/>
      <c r="G767" s="454"/>
      <c r="H767" s="454"/>
      <c r="I767" s="454"/>
      <c r="J767" s="454"/>
      <c r="K767" s="454"/>
      <c r="L767" s="454"/>
      <c r="M767" s="454"/>
      <c r="N767" s="454"/>
      <c r="O767" s="454"/>
      <c r="P767" s="454"/>
      <c r="Q767" s="454"/>
      <c r="R767" s="454"/>
      <c r="S767" s="454"/>
      <c r="T767" s="454"/>
      <c r="U767" s="454"/>
      <c r="V767" s="454"/>
      <c r="W767" s="454"/>
      <c r="X767" s="454"/>
      <c r="Y767" s="454"/>
      <c r="Z767" s="454"/>
    </row>
    <row r="768" spans="1:26" ht="15.75" customHeight="1" x14ac:dyDescent="0.25">
      <c r="A768" s="454"/>
      <c r="B768" s="475"/>
      <c r="C768" s="475"/>
      <c r="D768" s="475"/>
      <c r="E768" s="476"/>
      <c r="F768" s="475"/>
      <c r="G768" s="454"/>
      <c r="H768" s="454"/>
      <c r="I768" s="454"/>
      <c r="J768" s="454"/>
      <c r="K768" s="454"/>
      <c r="L768" s="454"/>
      <c r="M768" s="454"/>
      <c r="N768" s="454"/>
      <c r="O768" s="454"/>
      <c r="P768" s="454"/>
      <c r="Q768" s="454"/>
      <c r="R768" s="454"/>
      <c r="S768" s="454"/>
      <c r="T768" s="454"/>
      <c r="U768" s="454"/>
      <c r="V768" s="454"/>
      <c r="W768" s="454"/>
      <c r="X768" s="454"/>
      <c r="Y768" s="454"/>
      <c r="Z768" s="454"/>
    </row>
    <row r="769" spans="1:26" ht="15.75" customHeight="1" x14ac:dyDescent="0.25">
      <c r="A769" s="454"/>
      <c r="B769" s="475"/>
      <c r="C769" s="475"/>
      <c r="D769" s="475"/>
      <c r="E769" s="476"/>
      <c r="F769" s="475"/>
      <c r="G769" s="454"/>
      <c r="H769" s="454"/>
      <c r="I769" s="454"/>
      <c r="J769" s="454"/>
      <c r="K769" s="454"/>
      <c r="L769" s="454"/>
      <c r="M769" s="454"/>
      <c r="N769" s="454"/>
      <c r="O769" s="454"/>
      <c r="P769" s="454"/>
      <c r="Q769" s="454"/>
      <c r="R769" s="454"/>
      <c r="S769" s="454"/>
      <c r="T769" s="454"/>
      <c r="U769" s="454"/>
      <c r="V769" s="454"/>
      <c r="W769" s="454"/>
      <c r="X769" s="454"/>
      <c r="Y769" s="454"/>
      <c r="Z769" s="454"/>
    </row>
    <row r="770" spans="1:26" ht="15.75" customHeight="1" x14ac:dyDescent="0.25">
      <c r="A770" s="454"/>
      <c r="B770" s="475"/>
      <c r="C770" s="475"/>
      <c r="D770" s="475"/>
      <c r="E770" s="476"/>
      <c r="F770" s="475"/>
      <c r="G770" s="454"/>
      <c r="H770" s="454"/>
      <c r="I770" s="454"/>
      <c r="J770" s="454"/>
      <c r="K770" s="454"/>
      <c r="L770" s="454"/>
      <c r="M770" s="454"/>
      <c r="N770" s="454"/>
      <c r="O770" s="454"/>
      <c r="P770" s="454"/>
      <c r="Q770" s="454"/>
      <c r="R770" s="454"/>
      <c r="S770" s="454"/>
      <c r="T770" s="454"/>
      <c r="U770" s="454"/>
      <c r="V770" s="454"/>
      <c r="W770" s="454"/>
      <c r="X770" s="454"/>
      <c r="Y770" s="454"/>
      <c r="Z770" s="454"/>
    </row>
    <row r="771" spans="1:26" ht="15.75" customHeight="1" x14ac:dyDescent="0.25">
      <c r="A771" s="454"/>
      <c r="B771" s="475"/>
      <c r="C771" s="475"/>
      <c r="D771" s="475"/>
      <c r="E771" s="476"/>
      <c r="F771" s="475"/>
      <c r="G771" s="454"/>
      <c r="H771" s="454"/>
      <c r="I771" s="454"/>
      <c r="J771" s="454"/>
      <c r="K771" s="454"/>
      <c r="L771" s="454"/>
      <c r="M771" s="454"/>
      <c r="N771" s="454"/>
      <c r="O771" s="454"/>
      <c r="P771" s="454"/>
      <c r="Q771" s="454"/>
      <c r="R771" s="454"/>
      <c r="S771" s="454"/>
      <c r="T771" s="454"/>
      <c r="U771" s="454"/>
      <c r="V771" s="454"/>
      <c r="W771" s="454"/>
      <c r="X771" s="454"/>
      <c r="Y771" s="454"/>
      <c r="Z771" s="454"/>
    </row>
    <row r="772" spans="1:26" ht="15.75" customHeight="1" x14ac:dyDescent="0.25">
      <c r="A772" s="454"/>
      <c r="B772" s="475"/>
      <c r="C772" s="475"/>
      <c r="D772" s="475"/>
      <c r="E772" s="476"/>
      <c r="F772" s="475"/>
      <c r="G772" s="454"/>
      <c r="H772" s="454"/>
      <c r="I772" s="454"/>
      <c r="J772" s="454"/>
      <c r="K772" s="454"/>
      <c r="L772" s="454"/>
      <c r="M772" s="454"/>
      <c r="N772" s="454"/>
      <c r="O772" s="454"/>
      <c r="P772" s="454"/>
      <c r="Q772" s="454"/>
      <c r="R772" s="454"/>
      <c r="S772" s="454"/>
      <c r="T772" s="454"/>
      <c r="U772" s="454"/>
      <c r="V772" s="454"/>
      <c r="W772" s="454"/>
      <c r="X772" s="454"/>
      <c r="Y772" s="454"/>
      <c r="Z772" s="454"/>
    </row>
    <row r="773" spans="1:26" ht="15.75" customHeight="1" x14ac:dyDescent="0.25">
      <c r="A773" s="454"/>
      <c r="B773" s="475"/>
      <c r="C773" s="475"/>
      <c r="D773" s="475"/>
      <c r="E773" s="476"/>
      <c r="F773" s="475"/>
      <c r="G773" s="454"/>
      <c r="H773" s="454"/>
      <c r="I773" s="454"/>
      <c r="J773" s="454"/>
      <c r="K773" s="454"/>
      <c r="L773" s="454"/>
      <c r="M773" s="454"/>
      <c r="N773" s="454"/>
      <c r="O773" s="454"/>
      <c r="P773" s="454"/>
      <c r="Q773" s="454"/>
      <c r="R773" s="454"/>
      <c r="S773" s="454"/>
      <c r="T773" s="454"/>
      <c r="U773" s="454"/>
      <c r="V773" s="454"/>
      <c r="W773" s="454"/>
      <c r="X773" s="454"/>
      <c r="Y773" s="454"/>
      <c r="Z773" s="454"/>
    </row>
    <row r="774" spans="1:26" ht="15.75" customHeight="1" x14ac:dyDescent="0.25">
      <c r="A774" s="454"/>
      <c r="B774" s="475"/>
      <c r="C774" s="475"/>
      <c r="D774" s="475"/>
      <c r="E774" s="476"/>
      <c r="F774" s="475"/>
      <c r="G774" s="454"/>
      <c r="H774" s="454"/>
      <c r="I774" s="454"/>
      <c r="J774" s="454"/>
      <c r="K774" s="454"/>
      <c r="L774" s="454"/>
      <c r="M774" s="454"/>
      <c r="N774" s="454"/>
      <c r="O774" s="454"/>
      <c r="P774" s="454"/>
      <c r="Q774" s="454"/>
      <c r="R774" s="454"/>
      <c r="S774" s="454"/>
      <c r="T774" s="454"/>
      <c r="U774" s="454"/>
      <c r="V774" s="454"/>
      <c r="W774" s="454"/>
      <c r="X774" s="454"/>
      <c r="Y774" s="454"/>
      <c r="Z774" s="454"/>
    </row>
    <row r="775" spans="1:26" ht="15.75" customHeight="1" x14ac:dyDescent="0.25">
      <c r="A775" s="454"/>
      <c r="B775" s="475"/>
      <c r="C775" s="475"/>
      <c r="D775" s="475"/>
      <c r="E775" s="476"/>
      <c r="F775" s="475"/>
      <c r="G775" s="454"/>
      <c r="H775" s="454"/>
      <c r="I775" s="454"/>
      <c r="J775" s="454"/>
      <c r="K775" s="454"/>
      <c r="L775" s="454"/>
      <c r="M775" s="454"/>
      <c r="N775" s="454"/>
      <c r="O775" s="454"/>
      <c r="P775" s="454"/>
      <c r="Q775" s="454"/>
      <c r="R775" s="454"/>
      <c r="S775" s="454"/>
      <c r="T775" s="454"/>
      <c r="U775" s="454"/>
      <c r="V775" s="454"/>
      <c r="W775" s="454"/>
      <c r="X775" s="454"/>
      <c r="Y775" s="454"/>
      <c r="Z775" s="454"/>
    </row>
    <row r="776" spans="1:26" ht="15.75" customHeight="1" x14ac:dyDescent="0.25">
      <c r="A776" s="454"/>
      <c r="B776" s="475"/>
      <c r="C776" s="475"/>
      <c r="D776" s="475"/>
      <c r="E776" s="476"/>
      <c r="F776" s="475"/>
      <c r="G776" s="454"/>
      <c r="H776" s="454"/>
      <c r="I776" s="454"/>
      <c r="J776" s="454"/>
      <c r="K776" s="454"/>
      <c r="L776" s="454"/>
      <c r="M776" s="454"/>
      <c r="N776" s="454"/>
      <c r="O776" s="454"/>
      <c r="P776" s="454"/>
      <c r="Q776" s="454"/>
      <c r="R776" s="454"/>
      <c r="S776" s="454"/>
      <c r="T776" s="454"/>
      <c r="U776" s="454"/>
      <c r="V776" s="454"/>
      <c r="W776" s="454"/>
      <c r="X776" s="454"/>
      <c r="Y776" s="454"/>
      <c r="Z776" s="454"/>
    </row>
    <row r="777" spans="1:26" ht="15.75" customHeight="1" x14ac:dyDescent="0.25">
      <c r="A777" s="454"/>
      <c r="B777" s="475"/>
      <c r="C777" s="475"/>
      <c r="D777" s="475"/>
      <c r="E777" s="476"/>
      <c r="F777" s="475"/>
      <c r="G777" s="454"/>
      <c r="H777" s="454"/>
      <c r="I777" s="454"/>
      <c r="J777" s="454"/>
      <c r="K777" s="454"/>
      <c r="L777" s="454"/>
      <c r="M777" s="454"/>
      <c r="N777" s="454"/>
      <c r="O777" s="454"/>
      <c r="P777" s="454"/>
      <c r="Q777" s="454"/>
      <c r="R777" s="454"/>
      <c r="S777" s="454"/>
      <c r="T777" s="454"/>
      <c r="U777" s="454"/>
      <c r="V777" s="454"/>
      <c r="W777" s="454"/>
      <c r="X777" s="454"/>
      <c r="Y777" s="454"/>
      <c r="Z777" s="454"/>
    </row>
    <row r="778" spans="1:26" ht="15.75" customHeight="1" x14ac:dyDescent="0.25">
      <c r="A778" s="454"/>
      <c r="B778" s="475"/>
      <c r="C778" s="475"/>
      <c r="D778" s="475"/>
      <c r="E778" s="476"/>
      <c r="F778" s="475"/>
      <c r="G778" s="454"/>
      <c r="H778" s="454"/>
      <c r="I778" s="454"/>
      <c r="J778" s="454"/>
      <c r="K778" s="454"/>
      <c r="L778" s="454"/>
      <c r="M778" s="454"/>
      <c r="N778" s="454"/>
      <c r="O778" s="454"/>
      <c r="P778" s="454"/>
      <c r="Q778" s="454"/>
      <c r="R778" s="454"/>
      <c r="S778" s="454"/>
      <c r="T778" s="454"/>
      <c r="U778" s="454"/>
      <c r="V778" s="454"/>
      <c r="W778" s="454"/>
      <c r="X778" s="454"/>
      <c r="Y778" s="454"/>
      <c r="Z778" s="454"/>
    </row>
    <row r="779" spans="1:26" ht="15.75" customHeight="1" x14ac:dyDescent="0.25">
      <c r="A779" s="454"/>
      <c r="B779" s="475"/>
      <c r="C779" s="475"/>
      <c r="D779" s="475"/>
      <c r="E779" s="476"/>
      <c r="F779" s="475"/>
      <c r="G779" s="454"/>
      <c r="H779" s="454"/>
      <c r="I779" s="454"/>
      <c r="J779" s="454"/>
      <c r="K779" s="454"/>
      <c r="L779" s="454"/>
      <c r="M779" s="454"/>
      <c r="N779" s="454"/>
      <c r="O779" s="454"/>
      <c r="P779" s="454"/>
      <c r="Q779" s="454"/>
      <c r="R779" s="454"/>
      <c r="S779" s="454"/>
      <c r="T779" s="454"/>
      <c r="U779" s="454"/>
      <c r="V779" s="454"/>
      <c r="W779" s="454"/>
      <c r="X779" s="454"/>
      <c r="Y779" s="454"/>
      <c r="Z779" s="454"/>
    </row>
    <row r="780" spans="1:26" ht="15.75" customHeight="1" x14ac:dyDescent="0.25">
      <c r="A780" s="454"/>
      <c r="B780" s="475"/>
      <c r="C780" s="475"/>
      <c r="D780" s="475"/>
      <c r="E780" s="476"/>
      <c r="F780" s="475"/>
      <c r="G780" s="454"/>
      <c r="H780" s="454"/>
      <c r="I780" s="454"/>
      <c r="J780" s="454"/>
      <c r="K780" s="454"/>
      <c r="L780" s="454"/>
      <c r="M780" s="454"/>
      <c r="N780" s="454"/>
      <c r="O780" s="454"/>
      <c r="P780" s="454"/>
      <c r="Q780" s="454"/>
      <c r="R780" s="454"/>
      <c r="S780" s="454"/>
      <c r="T780" s="454"/>
      <c r="U780" s="454"/>
      <c r="V780" s="454"/>
      <c r="W780" s="454"/>
      <c r="X780" s="454"/>
      <c r="Y780" s="454"/>
      <c r="Z780" s="454"/>
    </row>
    <row r="781" spans="1:26" ht="15.75" customHeight="1" x14ac:dyDescent="0.25">
      <c r="A781" s="454"/>
      <c r="B781" s="475"/>
      <c r="C781" s="475"/>
      <c r="D781" s="475"/>
      <c r="E781" s="476"/>
      <c r="F781" s="475"/>
      <c r="G781" s="454"/>
      <c r="H781" s="454"/>
      <c r="I781" s="454"/>
      <c r="J781" s="454"/>
      <c r="K781" s="454"/>
      <c r="L781" s="454"/>
      <c r="M781" s="454"/>
      <c r="N781" s="454"/>
      <c r="O781" s="454"/>
      <c r="P781" s="454"/>
      <c r="Q781" s="454"/>
      <c r="R781" s="454"/>
      <c r="S781" s="454"/>
      <c r="T781" s="454"/>
      <c r="U781" s="454"/>
      <c r="V781" s="454"/>
      <c r="W781" s="454"/>
      <c r="X781" s="454"/>
      <c r="Y781" s="454"/>
      <c r="Z781" s="454"/>
    </row>
    <row r="782" spans="1:26" ht="15.75" customHeight="1" x14ac:dyDescent="0.25">
      <c r="A782" s="454"/>
      <c r="B782" s="475"/>
      <c r="C782" s="475"/>
      <c r="D782" s="475"/>
      <c r="E782" s="476"/>
      <c r="F782" s="475"/>
      <c r="G782" s="454"/>
      <c r="H782" s="454"/>
      <c r="I782" s="454"/>
      <c r="J782" s="454"/>
      <c r="K782" s="454"/>
      <c r="L782" s="454"/>
      <c r="M782" s="454"/>
      <c r="N782" s="454"/>
      <c r="O782" s="454"/>
      <c r="P782" s="454"/>
      <c r="Q782" s="454"/>
      <c r="R782" s="454"/>
      <c r="S782" s="454"/>
      <c r="T782" s="454"/>
      <c r="U782" s="454"/>
      <c r="V782" s="454"/>
      <c r="W782" s="454"/>
      <c r="X782" s="454"/>
      <c r="Y782" s="454"/>
      <c r="Z782" s="454"/>
    </row>
    <row r="783" spans="1:26" ht="15.75" customHeight="1" x14ac:dyDescent="0.25">
      <c r="A783" s="454"/>
      <c r="B783" s="475"/>
      <c r="C783" s="475"/>
      <c r="D783" s="475"/>
      <c r="E783" s="476"/>
      <c r="F783" s="475"/>
      <c r="G783" s="454"/>
      <c r="H783" s="454"/>
      <c r="I783" s="454"/>
      <c r="J783" s="454"/>
      <c r="K783" s="454"/>
      <c r="L783" s="454"/>
      <c r="M783" s="454"/>
      <c r="N783" s="454"/>
      <c r="O783" s="454"/>
      <c r="P783" s="454"/>
      <c r="Q783" s="454"/>
      <c r="R783" s="454"/>
      <c r="S783" s="454"/>
      <c r="T783" s="454"/>
      <c r="U783" s="454"/>
      <c r="V783" s="454"/>
      <c r="W783" s="454"/>
      <c r="X783" s="454"/>
      <c r="Y783" s="454"/>
      <c r="Z783" s="454"/>
    </row>
    <row r="784" spans="1:26" ht="15.75" customHeight="1" x14ac:dyDescent="0.25">
      <c r="A784" s="454"/>
      <c r="B784" s="475"/>
      <c r="C784" s="475"/>
      <c r="D784" s="475"/>
      <c r="E784" s="476"/>
      <c r="F784" s="475"/>
      <c r="G784" s="454"/>
      <c r="H784" s="454"/>
      <c r="I784" s="454"/>
      <c r="J784" s="454"/>
      <c r="K784" s="454"/>
      <c r="L784" s="454"/>
      <c r="M784" s="454"/>
      <c r="N784" s="454"/>
      <c r="O784" s="454"/>
      <c r="P784" s="454"/>
      <c r="Q784" s="454"/>
      <c r="R784" s="454"/>
      <c r="S784" s="454"/>
      <c r="T784" s="454"/>
      <c r="U784" s="454"/>
      <c r="V784" s="454"/>
      <c r="W784" s="454"/>
      <c r="X784" s="454"/>
      <c r="Y784" s="454"/>
      <c r="Z784" s="454"/>
    </row>
    <row r="785" spans="1:26" ht="15.75" customHeight="1" x14ac:dyDescent="0.25">
      <c r="A785" s="454"/>
      <c r="B785" s="475"/>
      <c r="C785" s="475"/>
      <c r="D785" s="475"/>
      <c r="E785" s="476"/>
      <c r="F785" s="475"/>
      <c r="G785" s="454"/>
      <c r="H785" s="454"/>
      <c r="I785" s="454"/>
      <c r="J785" s="454"/>
      <c r="K785" s="454"/>
      <c r="L785" s="454"/>
      <c r="M785" s="454"/>
      <c r="N785" s="454"/>
      <c r="O785" s="454"/>
      <c r="P785" s="454"/>
      <c r="Q785" s="454"/>
      <c r="R785" s="454"/>
      <c r="S785" s="454"/>
      <c r="T785" s="454"/>
      <c r="U785" s="454"/>
      <c r="V785" s="454"/>
      <c r="W785" s="454"/>
      <c r="X785" s="454"/>
      <c r="Y785" s="454"/>
      <c r="Z785" s="454"/>
    </row>
    <row r="786" spans="1:26" ht="15.75" customHeight="1" x14ac:dyDescent="0.25">
      <c r="A786" s="454"/>
      <c r="B786" s="475"/>
      <c r="C786" s="475"/>
      <c r="D786" s="475"/>
      <c r="E786" s="476"/>
      <c r="F786" s="475"/>
      <c r="G786" s="454"/>
      <c r="H786" s="454"/>
      <c r="I786" s="454"/>
      <c r="J786" s="454"/>
      <c r="K786" s="454"/>
      <c r="L786" s="454"/>
      <c r="M786" s="454"/>
      <c r="N786" s="454"/>
      <c r="O786" s="454"/>
      <c r="P786" s="454"/>
      <c r="Q786" s="454"/>
      <c r="R786" s="454"/>
      <c r="S786" s="454"/>
      <c r="T786" s="454"/>
      <c r="U786" s="454"/>
      <c r="V786" s="454"/>
      <c r="W786" s="454"/>
      <c r="X786" s="454"/>
      <c r="Y786" s="454"/>
      <c r="Z786" s="454"/>
    </row>
    <row r="787" spans="1:26" ht="15.75" customHeight="1" x14ac:dyDescent="0.25">
      <c r="A787" s="454"/>
      <c r="B787" s="475"/>
      <c r="C787" s="475"/>
      <c r="D787" s="475"/>
      <c r="E787" s="476"/>
      <c r="F787" s="475"/>
      <c r="G787" s="454"/>
      <c r="H787" s="454"/>
      <c r="I787" s="454"/>
      <c r="J787" s="454"/>
      <c r="K787" s="454"/>
      <c r="L787" s="454"/>
      <c r="M787" s="454"/>
      <c r="N787" s="454"/>
      <c r="O787" s="454"/>
      <c r="P787" s="454"/>
      <c r="Q787" s="454"/>
      <c r="R787" s="454"/>
      <c r="S787" s="454"/>
      <c r="T787" s="454"/>
      <c r="U787" s="454"/>
      <c r="V787" s="454"/>
      <c r="W787" s="454"/>
      <c r="X787" s="454"/>
      <c r="Y787" s="454"/>
      <c r="Z787" s="454"/>
    </row>
    <row r="788" spans="1:26" ht="15.75" customHeight="1" x14ac:dyDescent="0.25">
      <c r="A788" s="454"/>
      <c r="B788" s="475"/>
      <c r="C788" s="475"/>
      <c r="D788" s="475"/>
      <c r="E788" s="476"/>
      <c r="F788" s="475"/>
      <c r="G788" s="454"/>
      <c r="H788" s="454"/>
      <c r="I788" s="454"/>
      <c r="J788" s="454"/>
      <c r="K788" s="454"/>
      <c r="L788" s="454"/>
      <c r="M788" s="454"/>
      <c r="N788" s="454"/>
      <c r="O788" s="454"/>
      <c r="P788" s="454"/>
      <c r="Q788" s="454"/>
      <c r="R788" s="454"/>
      <c r="S788" s="454"/>
      <c r="T788" s="454"/>
      <c r="U788" s="454"/>
      <c r="V788" s="454"/>
      <c r="W788" s="454"/>
      <c r="X788" s="454"/>
      <c r="Y788" s="454"/>
      <c r="Z788" s="454"/>
    </row>
    <row r="789" spans="1:26" ht="15.75" customHeight="1" x14ac:dyDescent="0.25">
      <c r="A789" s="454"/>
      <c r="B789" s="475"/>
      <c r="C789" s="475"/>
      <c r="D789" s="475"/>
      <c r="E789" s="476"/>
      <c r="F789" s="475"/>
      <c r="G789" s="454"/>
      <c r="H789" s="454"/>
      <c r="I789" s="454"/>
      <c r="J789" s="454"/>
      <c r="K789" s="454"/>
      <c r="L789" s="454"/>
      <c r="M789" s="454"/>
      <c r="N789" s="454"/>
      <c r="O789" s="454"/>
      <c r="P789" s="454"/>
      <c r="Q789" s="454"/>
      <c r="R789" s="454"/>
      <c r="S789" s="454"/>
      <c r="T789" s="454"/>
      <c r="U789" s="454"/>
      <c r="V789" s="454"/>
      <c r="W789" s="454"/>
      <c r="X789" s="454"/>
      <c r="Y789" s="454"/>
      <c r="Z789" s="454"/>
    </row>
    <row r="790" spans="1:26" ht="15.75" customHeight="1" x14ac:dyDescent="0.25">
      <c r="A790" s="454"/>
      <c r="B790" s="475"/>
      <c r="C790" s="475"/>
      <c r="D790" s="475"/>
      <c r="E790" s="476"/>
      <c r="F790" s="475"/>
      <c r="G790" s="454"/>
      <c r="H790" s="454"/>
      <c r="I790" s="454"/>
      <c r="J790" s="454"/>
      <c r="K790" s="454"/>
      <c r="L790" s="454"/>
      <c r="M790" s="454"/>
      <c r="N790" s="454"/>
      <c r="O790" s="454"/>
      <c r="P790" s="454"/>
      <c r="Q790" s="454"/>
      <c r="R790" s="454"/>
      <c r="S790" s="454"/>
      <c r="T790" s="454"/>
      <c r="U790" s="454"/>
      <c r="V790" s="454"/>
      <c r="W790" s="454"/>
      <c r="X790" s="454"/>
      <c r="Y790" s="454"/>
      <c r="Z790" s="454"/>
    </row>
    <row r="791" spans="1:26" ht="15.75" customHeight="1" x14ac:dyDescent="0.25">
      <c r="A791" s="454"/>
      <c r="B791" s="475"/>
      <c r="C791" s="475"/>
      <c r="D791" s="475"/>
      <c r="E791" s="476"/>
      <c r="F791" s="475"/>
      <c r="G791" s="454"/>
      <c r="H791" s="454"/>
      <c r="I791" s="454"/>
      <c r="J791" s="454"/>
      <c r="K791" s="454"/>
      <c r="L791" s="454"/>
      <c r="M791" s="454"/>
      <c r="N791" s="454"/>
      <c r="O791" s="454"/>
      <c r="P791" s="454"/>
      <c r="Q791" s="454"/>
      <c r="R791" s="454"/>
      <c r="S791" s="454"/>
      <c r="T791" s="454"/>
      <c r="U791" s="454"/>
      <c r="V791" s="454"/>
      <c r="W791" s="454"/>
      <c r="X791" s="454"/>
      <c r="Y791" s="454"/>
      <c r="Z791" s="454"/>
    </row>
    <row r="792" spans="1:26" ht="15.75" customHeight="1" x14ac:dyDescent="0.25">
      <c r="A792" s="454"/>
      <c r="B792" s="475"/>
      <c r="C792" s="475"/>
      <c r="D792" s="475"/>
      <c r="E792" s="476"/>
      <c r="F792" s="475"/>
      <c r="G792" s="454"/>
      <c r="H792" s="454"/>
      <c r="I792" s="454"/>
      <c r="J792" s="454"/>
      <c r="K792" s="454"/>
      <c r="L792" s="454"/>
      <c r="M792" s="454"/>
      <c r="N792" s="454"/>
      <c r="O792" s="454"/>
      <c r="P792" s="454"/>
      <c r="Q792" s="454"/>
      <c r="R792" s="454"/>
      <c r="S792" s="454"/>
      <c r="T792" s="454"/>
      <c r="U792" s="454"/>
      <c r="V792" s="454"/>
      <c r="W792" s="454"/>
      <c r="X792" s="454"/>
      <c r="Y792" s="454"/>
      <c r="Z792" s="454"/>
    </row>
    <row r="793" spans="1:26" ht="15.75" customHeight="1" x14ac:dyDescent="0.25">
      <c r="A793" s="454"/>
      <c r="B793" s="475"/>
      <c r="C793" s="475"/>
      <c r="D793" s="475"/>
      <c r="E793" s="476"/>
      <c r="F793" s="475"/>
      <c r="G793" s="454"/>
      <c r="H793" s="454"/>
      <c r="I793" s="454"/>
      <c r="J793" s="454"/>
      <c r="K793" s="454"/>
      <c r="L793" s="454"/>
      <c r="M793" s="454"/>
      <c r="N793" s="454"/>
      <c r="O793" s="454"/>
      <c r="P793" s="454"/>
      <c r="Q793" s="454"/>
      <c r="R793" s="454"/>
      <c r="S793" s="454"/>
      <c r="T793" s="454"/>
      <c r="U793" s="454"/>
      <c r="V793" s="454"/>
      <c r="W793" s="454"/>
      <c r="X793" s="454"/>
      <c r="Y793" s="454"/>
      <c r="Z793" s="454"/>
    </row>
    <row r="794" spans="1:26" ht="15.75" customHeight="1" x14ac:dyDescent="0.25">
      <c r="A794" s="454"/>
      <c r="B794" s="475"/>
      <c r="C794" s="475"/>
      <c r="D794" s="475"/>
      <c r="E794" s="476"/>
      <c r="F794" s="475"/>
      <c r="G794" s="454"/>
      <c r="H794" s="454"/>
      <c r="I794" s="454"/>
      <c r="J794" s="454"/>
      <c r="K794" s="454"/>
      <c r="L794" s="454"/>
      <c r="M794" s="454"/>
      <c r="N794" s="454"/>
      <c r="O794" s="454"/>
      <c r="P794" s="454"/>
      <c r="Q794" s="454"/>
      <c r="R794" s="454"/>
      <c r="S794" s="454"/>
      <c r="T794" s="454"/>
      <c r="U794" s="454"/>
      <c r="V794" s="454"/>
      <c r="W794" s="454"/>
      <c r="X794" s="454"/>
      <c r="Y794" s="454"/>
      <c r="Z794" s="454"/>
    </row>
    <row r="795" spans="1:26" ht="15.75" customHeight="1" x14ac:dyDescent="0.25">
      <c r="A795" s="454"/>
      <c r="B795" s="475"/>
      <c r="C795" s="475"/>
      <c r="D795" s="475"/>
      <c r="E795" s="476"/>
      <c r="F795" s="475"/>
      <c r="G795" s="454"/>
      <c r="H795" s="454"/>
      <c r="I795" s="454"/>
      <c r="J795" s="454"/>
      <c r="K795" s="454"/>
      <c r="L795" s="454"/>
      <c r="M795" s="454"/>
      <c r="N795" s="454"/>
      <c r="O795" s="454"/>
      <c r="P795" s="454"/>
      <c r="Q795" s="454"/>
      <c r="R795" s="454"/>
      <c r="S795" s="454"/>
      <c r="T795" s="454"/>
      <c r="U795" s="454"/>
      <c r="V795" s="454"/>
      <c r="W795" s="454"/>
      <c r="X795" s="454"/>
      <c r="Y795" s="454"/>
      <c r="Z795" s="454"/>
    </row>
    <row r="796" spans="1:26" ht="15.75" customHeight="1" x14ac:dyDescent="0.25">
      <c r="A796" s="454"/>
      <c r="B796" s="475"/>
      <c r="C796" s="475"/>
      <c r="D796" s="475"/>
      <c r="E796" s="476"/>
      <c r="F796" s="475"/>
      <c r="G796" s="454"/>
      <c r="H796" s="454"/>
      <c r="I796" s="454"/>
      <c r="J796" s="454"/>
      <c r="K796" s="454"/>
      <c r="L796" s="454"/>
      <c r="M796" s="454"/>
      <c r="N796" s="454"/>
      <c r="O796" s="454"/>
      <c r="P796" s="454"/>
      <c r="Q796" s="454"/>
      <c r="R796" s="454"/>
      <c r="S796" s="454"/>
      <c r="T796" s="454"/>
      <c r="U796" s="454"/>
      <c r="V796" s="454"/>
      <c r="W796" s="454"/>
      <c r="X796" s="454"/>
      <c r="Y796" s="454"/>
      <c r="Z796" s="454"/>
    </row>
    <row r="797" spans="1:26" ht="15.75" customHeight="1" x14ac:dyDescent="0.25">
      <c r="A797" s="454"/>
      <c r="B797" s="475"/>
      <c r="C797" s="475"/>
      <c r="D797" s="475"/>
      <c r="E797" s="476"/>
      <c r="F797" s="475"/>
      <c r="G797" s="454"/>
      <c r="H797" s="454"/>
      <c r="I797" s="454"/>
      <c r="J797" s="454"/>
      <c r="K797" s="454"/>
      <c r="L797" s="454"/>
      <c r="M797" s="454"/>
      <c r="N797" s="454"/>
      <c r="O797" s="454"/>
      <c r="P797" s="454"/>
      <c r="Q797" s="454"/>
      <c r="R797" s="454"/>
      <c r="S797" s="454"/>
      <c r="T797" s="454"/>
      <c r="U797" s="454"/>
      <c r="V797" s="454"/>
      <c r="W797" s="454"/>
      <c r="X797" s="454"/>
      <c r="Y797" s="454"/>
      <c r="Z797" s="454"/>
    </row>
    <row r="798" spans="1:26" ht="15.75" customHeight="1" x14ac:dyDescent="0.25">
      <c r="A798" s="454"/>
      <c r="B798" s="475"/>
      <c r="C798" s="475"/>
      <c r="D798" s="475"/>
      <c r="E798" s="476"/>
      <c r="F798" s="475"/>
      <c r="G798" s="454"/>
      <c r="H798" s="454"/>
      <c r="I798" s="454"/>
      <c r="J798" s="454"/>
      <c r="K798" s="454"/>
      <c r="L798" s="454"/>
      <c r="M798" s="454"/>
      <c r="N798" s="454"/>
      <c r="O798" s="454"/>
      <c r="P798" s="454"/>
      <c r="Q798" s="454"/>
      <c r="R798" s="454"/>
      <c r="S798" s="454"/>
      <c r="T798" s="454"/>
      <c r="U798" s="454"/>
      <c r="V798" s="454"/>
      <c r="W798" s="454"/>
      <c r="X798" s="454"/>
      <c r="Y798" s="454"/>
      <c r="Z798" s="454"/>
    </row>
    <row r="799" spans="1:26" ht="15.75" customHeight="1" x14ac:dyDescent="0.25">
      <c r="A799" s="454"/>
      <c r="B799" s="475"/>
      <c r="C799" s="475"/>
      <c r="D799" s="475"/>
      <c r="E799" s="476"/>
      <c r="F799" s="475"/>
      <c r="G799" s="454"/>
      <c r="H799" s="454"/>
      <c r="I799" s="454"/>
      <c r="J799" s="454"/>
      <c r="K799" s="454"/>
      <c r="L799" s="454"/>
      <c r="M799" s="454"/>
      <c r="N799" s="454"/>
      <c r="O799" s="454"/>
      <c r="P799" s="454"/>
      <c r="Q799" s="454"/>
      <c r="R799" s="454"/>
      <c r="S799" s="454"/>
      <c r="T799" s="454"/>
      <c r="U799" s="454"/>
      <c r="V799" s="454"/>
      <c r="W799" s="454"/>
      <c r="X799" s="454"/>
      <c r="Y799" s="454"/>
      <c r="Z799" s="454"/>
    </row>
    <row r="800" spans="1:26" ht="15.75" customHeight="1" x14ac:dyDescent="0.25">
      <c r="A800" s="454"/>
      <c r="B800" s="475"/>
      <c r="C800" s="475"/>
      <c r="D800" s="475"/>
      <c r="E800" s="476"/>
      <c r="F800" s="475"/>
      <c r="G800" s="454"/>
      <c r="H800" s="454"/>
      <c r="I800" s="454"/>
      <c r="J800" s="454"/>
      <c r="K800" s="454"/>
      <c r="L800" s="454"/>
      <c r="M800" s="454"/>
      <c r="N800" s="454"/>
      <c r="O800" s="454"/>
      <c r="P800" s="454"/>
      <c r="Q800" s="454"/>
      <c r="R800" s="454"/>
      <c r="S800" s="454"/>
      <c r="T800" s="454"/>
      <c r="U800" s="454"/>
      <c r="V800" s="454"/>
      <c r="W800" s="454"/>
      <c r="X800" s="454"/>
      <c r="Y800" s="454"/>
      <c r="Z800" s="454"/>
    </row>
    <row r="801" spans="1:26" ht="15.75" customHeight="1" x14ac:dyDescent="0.25">
      <c r="A801" s="454"/>
      <c r="B801" s="475"/>
      <c r="C801" s="475"/>
      <c r="D801" s="475"/>
      <c r="E801" s="476"/>
      <c r="F801" s="475"/>
      <c r="G801" s="454"/>
      <c r="H801" s="454"/>
      <c r="I801" s="454"/>
      <c r="J801" s="454"/>
      <c r="K801" s="454"/>
      <c r="L801" s="454"/>
      <c r="M801" s="454"/>
      <c r="N801" s="454"/>
      <c r="O801" s="454"/>
      <c r="P801" s="454"/>
      <c r="Q801" s="454"/>
      <c r="R801" s="454"/>
      <c r="S801" s="454"/>
      <c r="T801" s="454"/>
      <c r="U801" s="454"/>
      <c r="V801" s="454"/>
      <c r="W801" s="454"/>
      <c r="X801" s="454"/>
      <c r="Y801" s="454"/>
      <c r="Z801" s="454"/>
    </row>
    <row r="802" spans="1:26" ht="15.75" customHeight="1" x14ac:dyDescent="0.25">
      <c r="A802" s="454"/>
      <c r="B802" s="475"/>
      <c r="C802" s="475"/>
      <c r="D802" s="475"/>
      <c r="E802" s="476"/>
      <c r="F802" s="475"/>
      <c r="G802" s="454"/>
      <c r="H802" s="454"/>
      <c r="I802" s="454"/>
      <c r="J802" s="454"/>
      <c r="K802" s="454"/>
      <c r="L802" s="454"/>
      <c r="M802" s="454"/>
      <c r="N802" s="454"/>
      <c r="O802" s="454"/>
      <c r="P802" s="454"/>
      <c r="Q802" s="454"/>
      <c r="R802" s="454"/>
      <c r="S802" s="454"/>
      <c r="T802" s="454"/>
      <c r="U802" s="454"/>
      <c r="V802" s="454"/>
      <c r="W802" s="454"/>
      <c r="X802" s="454"/>
      <c r="Y802" s="454"/>
      <c r="Z802" s="454"/>
    </row>
    <row r="803" spans="1:26" ht="15.75" customHeight="1" x14ac:dyDescent="0.25">
      <c r="A803" s="454"/>
      <c r="B803" s="475"/>
      <c r="C803" s="475"/>
      <c r="D803" s="475"/>
      <c r="E803" s="476"/>
      <c r="F803" s="475"/>
      <c r="G803" s="454"/>
      <c r="H803" s="454"/>
      <c r="I803" s="454"/>
      <c r="J803" s="454"/>
      <c r="K803" s="454"/>
      <c r="L803" s="454"/>
      <c r="M803" s="454"/>
      <c r="N803" s="454"/>
      <c r="O803" s="454"/>
      <c r="P803" s="454"/>
      <c r="Q803" s="454"/>
      <c r="R803" s="454"/>
      <c r="S803" s="454"/>
      <c r="T803" s="454"/>
      <c r="U803" s="454"/>
      <c r="V803" s="454"/>
      <c r="W803" s="454"/>
      <c r="X803" s="454"/>
      <c r="Y803" s="454"/>
      <c r="Z803" s="454"/>
    </row>
    <row r="804" spans="1:26" ht="15.75" customHeight="1" x14ac:dyDescent="0.25">
      <c r="A804" s="454"/>
      <c r="B804" s="475"/>
      <c r="C804" s="475"/>
      <c r="D804" s="475"/>
      <c r="E804" s="476"/>
      <c r="F804" s="475"/>
      <c r="G804" s="454"/>
      <c r="H804" s="454"/>
      <c r="I804" s="454"/>
      <c r="J804" s="454"/>
      <c r="K804" s="454"/>
      <c r="L804" s="454"/>
      <c r="M804" s="454"/>
      <c r="N804" s="454"/>
      <c r="O804" s="454"/>
      <c r="P804" s="454"/>
      <c r="Q804" s="454"/>
      <c r="R804" s="454"/>
      <c r="S804" s="454"/>
      <c r="T804" s="454"/>
      <c r="U804" s="454"/>
      <c r="V804" s="454"/>
      <c r="W804" s="454"/>
      <c r="X804" s="454"/>
      <c r="Y804" s="454"/>
      <c r="Z804" s="454"/>
    </row>
    <row r="805" spans="1:26" ht="15.75" customHeight="1" x14ac:dyDescent="0.25">
      <c r="A805" s="454"/>
      <c r="B805" s="475"/>
      <c r="C805" s="475"/>
      <c r="D805" s="475"/>
      <c r="E805" s="476"/>
      <c r="F805" s="475"/>
      <c r="G805" s="454"/>
      <c r="H805" s="454"/>
      <c r="I805" s="454"/>
      <c r="J805" s="454"/>
      <c r="K805" s="454"/>
      <c r="L805" s="454"/>
      <c r="M805" s="454"/>
      <c r="N805" s="454"/>
      <c r="O805" s="454"/>
      <c r="P805" s="454"/>
      <c r="Q805" s="454"/>
      <c r="R805" s="454"/>
      <c r="S805" s="454"/>
      <c r="T805" s="454"/>
      <c r="U805" s="454"/>
      <c r="V805" s="454"/>
      <c r="W805" s="454"/>
      <c r="X805" s="454"/>
      <c r="Y805" s="454"/>
      <c r="Z805" s="454"/>
    </row>
    <row r="806" spans="1:26" ht="15.75" customHeight="1" x14ac:dyDescent="0.25">
      <c r="A806" s="454"/>
      <c r="B806" s="475"/>
      <c r="C806" s="475"/>
      <c r="D806" s="475"/>
      <c r="E806" s="476"/>
      <c r="F806" s="475"/>
      <c r="G806" s="454"/>
      <c r="H806" s="454"/>
      <c r="I806" s="454"/>
      <c r="J806" s="454"/>
      <c r="K806" s="454"/>
      <c r="L806" s="454"/>
      <c r="M806" s="454"/>
      <c r="N806" s="454"/>
      <c r="O806" s="454"/>
      <c r="P806" s="454"/>
      <c r="Q806" s="454"/>
      <c r="R806" s="454"/>
      <c r="S806" s="454"/>
      <c r="T806" s="454"/>
      <c r="U806" s="454"/>
      <c r="V806" s="454"/>
      <c r="W806" s="454"/>
      <c r="X806" s="454"/>
      <c r="Y806" s="454"/>
      <c r="Z806" s="454"/>
    </row>
    <row r="807" spans="1:26" ht="15.75" customHeight="1" x14ac:dyDescent="0.25">
      <c r="A807" s="454"/>
      <c r="B807" s="475"/>
      <c r="C807" s="475"/>
      <c r="D807" s="475"/>
      <c r="E807" s="476"/>
      <c r="F807" s="475"/>
      <c r="G807" s="454"/>
      <c r="H807" s="454"/>
      <c r="I807" s="454"/>
      <c r="J807" s="454"/>
      <c r="K807" s="454"/>
      <c r="L807" s="454"/>
      <c r="M807" s="454"/>
      <c r="N807" s="454"/>
      <c r="O807" s="454"/>
      <c r="P807" s="454"/>
      <c r="Q807" s="454"/>
      <c r="R807" s="454"/>
      <c r="S807" s="454"/>
      <c r="T807" s="454"/>
      <c r="U807" s="454"/>
      <c r="V807" s="454"/>
      <c r="W807" s="454"/>
      <c r="X807" s="454"/>
      <c r="Y807" s="454"/>
      <c r="Z807" s="454"/>
    </row>
    <row r="808" spans="1:26" ht="15.75" customHeight="1" x14ac:dyDescent="0.25">
      <c r="A808" s="454"/>
      <c r="B808" s="475"/>
      <c r="C808" s="475"/>
      <c r="D808" s="475"/>
      <c r="E808" s="476"/>
      <c r="F808" s="475"/>
      <c r="G808" s="454"/>
      <c r="H808" s="454"/>
      <c r="I808" s="454"/>
      <c r="J808" s="454"/>
      <c r="K808" s="454"/>
      <c r="L808" s="454"/>
      <c r="M808" s="454"/>
      <c r="N808" s="454"/>
      <c r="O808" s="454"/>
      <c r="P808" s="454"/>
      <c r="Q808" s="454"/>
      <c r="R808" s="454"/>
      <c r="S808" s="454"/>
      <c r="T808" s="454"/>
      <c r="U808" s="454"/>
      <c r="V808" s="454"/>
      <c r="W808" s="454"/>
      <c r="X808" s="454"/>
      <c r="Y808" s="454"/>
      <c r="Z808" s="454"/>
    </row>
    <row r="809" spans="1:26" ht="15.75" customHeight="1" x14ac:dyDescent="0.25">
      <c r="A809" s="454"/>
      <c r="B809" s="475"/>
      <c r="C809" s="475"/>
      <c r="D809" s="475"/>
      <c r="E809" s="476"/>
      <c r="F809" s="475"/>
      <c r="G809" s="454"/>
      <c r="H809" s="454"/>
      <c r="I809" s="454"/>
      <c r="J809" s="454"/>
      <c r="K809" s="454"/>
      <c r="L809" s="454"/>
      <c r="M809" s="454"/>
      <c r="N809" s="454"/>
      <c r="O809" s="454"/>
      <c r="P809" s="454"/>
      <c r="Q809" s="454"/>
      <c r="R809" s="454"/>
      <c r="S809" s="454"/>
      <c r="T809" s="454"/>
      <c r="U809" s="454"/>
      <c r="V809" s="454"/>
      <c r="W809" s="454"/>
      <c r="X809" s="454"/>
      <c r="Y809" s="454"/>
      <c r="Z809" s="454"/>
    </row>
    <row r="810" spans="1:26" ht="15.75" customHeight="1" x14ac:dyDescent="0.25">
      <c r="A810" s="454"/>
      <c r="B810" s="475"/>
      <c r="C810" s="475"/>
      <c r="D810" s="475"/>
      <c r="E810" s="476"/>
      <c r="F810" s="475"/>
      <c r="G810" s="454"/>
      <c r="H810" s="454"/>
      <c r="I810" s="454"/>
      <c r="J810" s="454"/>
      <c r="K810" s="454"/>
      <c r="L810" s="454"/>
      <c r="M810" s="454"/>
      <c r="N810" s="454"/>
      <c r="O810" s="454"/>
      <c r="P810" s="454"/>
      <c r="Q810" s="454"/>
      <c r="R810" s="454"/>
      <c r="S810" s="454"/>
      <c r="T810" s="454"/>
      <c r="U810" s="454"/>
      <c r="V810" s="454"/>
      <c r="W810" s="454"/>
      <c r="X810" s="454"/>
      <c r="Y810" s="454"/>
      <c r="Z810" s="454"/>
    </row>
    <row r="811" spans="1:26" ht="15.75" customHeight="1" x14ac:dyDescent="0.25">
      <c r="A811" s="454"/>
      <c r="B811" s="475"/>
      <c r="C811" s="475"/>
      <c r="D811" s="475"/>
      <c r="E811" s="476"/>
      <c r="F811" s="475"/>
      <c r="G811" s="454"/>
      <c r="H811" s="454"/>
      <c r="I811" s="454"/>
      <c r="J811" s="454"/>
      <c r="K811" s="454"/>
      <c r="L811" s="454"/>
      <c r="M811" s="454"/>
      <c r="N811" s="454"/>
      <c r="O811" s="454"/>
      <c r="P811" s="454"/>
      <c r="Q811" s="454"/>
      <c r="R811" s="454"/>
      <c r="S811" s="454"/>
      <c r="T811" s="454"/>
      <c r="U811" s="454"/>
      <c r="V811" s="454"/>
      <c r="W811" s="454"/>
      <c r="X811" s="454"/>
      <c r="Y811" s="454"/>
      <c r="Z811" s="454"/>
    </row>
    <row r="812" spans="1:26" ht="15.75" customHeight="1" x14ac:dyDescent="0.25">
      <c r="A812" s="454"/>
      <c r="B812" s="475"/>
      <c r="C812" s="475"/>
      <c r="D812" s="475"/>
      <c r="E812" s="476"/>
      <c r="F812" s="475"/>
      <c r="G812" s="454"/>
      <c r="H812" s="454"/>
      <c r="I812" s="454"/>
      <c r="J812" s="454"/>
      <c r="K812" s="454"/>
      <c r="L812" s="454"/>
      <c r="M812" s="454"/>
      <c r="N812" s="454"/>
      <c r="O812" s="454"/>
      <c r="P812" s="454"/>
      <c r="Q812" s="454"/>
      <c r="R812" s="454"/>
      <c r="S812" s="454"/>
      <c r="T812" s="454"/>
      <c r="U812" s="454"/>
      <c r="V812" s="454"/>
      <c r="W812" s="454"/>
      <c r="X812" s="454"/>
      <c r="Y812" s="454"/>
      <c r="Z812" s="454"/>
    </row>
    <row r="813" spans="1:26" ht="15.75" customHeight="1" x14ac:dyDescent="0.25">
      <c r="A813" s="454"/>
      <c r="B813" s="475"/>
      <c r="C813" s="475"/>
      <c r="D813" s="475"/>
      <c r="E813" s="476"/>
      <c r="F813" s="475"/>
      <c r="G813" s="454"/>
      <c r="H813" s="454"/>
      <c r="I813" s="454"/>
      <c r="J813" s="454"/>
      <c r="K813" s="454"/>
      <c r="L813" s="454"/>
      <c r="M813" s="454"/>
      <c r="N813" s="454"/>
      <c r="O813" s="454"/>
      <c r="P813" s="454"/>
      <c r="Q813" s="454"/>
      <c r="R813" s="454"/>
      <c r="S813" s="454"/>
      <c r="T813" s="454"/>
      <c r="U813" s="454"/>
      <c r="V813" s="454"/>
      <c r="W813" s="454"/>
      <c r="X813" s="454"/>
      <c r="Y813" s="454"/>
      <c r="Z813" s="454"/>
    </row>
    <row r="814" spans="1:26" ht="15.75" customHeight="1" x14ac:dyDescent="0.25">
      <c r="A814" s="454"/>
      <c r="B814" s="475"/>
      <c r="C814" s="475"/>
      <c r="D814" s="475"/>
      <c r="E814" s="476"/>
      <c r="F814" s="475"/>
      <c r="G814" s="454"/>
      <c r="H814" s="454"/>
      <c r="I814" s="454"/>
      <c r="J814" s="454"/>
      <c r="K814" s="454"/>
      <c r="L814" s="454"/>
      <c r="M814" s="454"/>
      <c r="N814" s="454"/>
      <c r="O814" s="454"/>
      <c r="P814" s="454"/>
      <c r="Q814" s="454"/>
      <c r="R814" s="454"/>
      <c r="S814" s="454"/>
      <c r="T814" s="454"/>
      <c r="U814" s="454"/>
      <c r="V814" s="454"/>
      <c r="W814" s="454"/>
      <c r="X814" s="454"/>
      <c r="Y814" s="454"/>
      <c r="Z814" s="454"/>
    </row>
    <row r="815" spans="1:26" ht="15.75" customHeight="1" x14ac:dyDescent="0.25">
      <c r="A815" s="454"/>
      <c r="B815" s="475"/>
      <c r="C815" s="475"/>
      <c r="D815" s="475"/>
      <c r="E815" s="476"/>
      <c r="F815" s="475"/>
      <c r="G815" s="454"/>
      <c r="H815" s="454"/>
      <c r="I815" s="454"/>
      <c r="J815" s="454"/>
      <c r="K815" s="454"/>
      <c r="L815" s="454"/>
      <c r="M815" s="454"/>
      <c r="N815" s="454"/>
      <c r="O815" s="454"/>
      <c r="P815" s="454"/>
      <c r="Q815" s="454"/>
      <c r="R815" s="454"/>
      <c r="S815" s="454"/>
      <c r="T815" s="454"/>
      <c r="U815" s="454"/>
      <c r="V815" s="454"/>
      <c r="W815" s="454"/>
      <c r="X815" s="454"/>
      <c r="Y815" s="454"/>
      <c r="Z815" s="454"/>
    </row>
    <row r="816" spans="1:26" ht="15.75" customHeight="1" x14ac:dyDescent="0.25">
      <c r="A816" s="454"/>
      <c r="B816" s="475"/>
      <c r="C816" s="475"/>
      <c r="D816" s="475"/>
      <c r="E816" s="476"/>
      <c r="F816" s="475"/>
      <c r="G816" s="454"/>
      <c r="H816" s="454"/>
      <c r="I816" s="454"/>
      <c r="J816" s="454"/>
      <c r="K816" s="454"/>
      <c r="L816" s="454"/>
      <c r="M816" s="454"/>
      <c r="N816" s="454"/>
      <c r="O816" s="454"/>
      <c r="P816" s="454"/>
      <c r="Q816" s="454"/>
      <c r="R816" s="454"/>
      <c r="S816" s="454"/>
      <c r="T816" s="454"/>
      <c r="U816" s="454"/>
      <c r="V816" s="454"/>
      <c r="W816" s="454"/>
      <c r="X816" s="454"/>
      <c r="Y816" s="454"/>
      <c r="Z816" s="454"/>
    </row>
    <row r="817" spans="1:26" ht="15.75" customHeight="1" x14ac:dyDescent="0.25">
      <c r="A817" s="454"/>
      <c r="B817" s="475"/>
      <c r="C817" s="475"/>
      <c r="D817" s="475"/>
      <c r="E817" s="476"/>
      <c r="F817" s="475"/>
      <c r="G817" s="454"/>
      <c r="H817" s="454"/>
      <c r="I817" s="454"/>
      <c r="J817" s="454"/>
      <c r="K817" s="454"/>
      <c r="L817" s="454"/>
      <c r="M817" s="454"/>
      <c r="N817" s="454"/>
      <c r="O817" s="454"/>
      <c r="P817" s="454"/>
      <c r="Q817" s="454"/>
      <c r="R817" s="454"/>
      <c r="S817" s="454"/>
      <c r="T817" s="454"/>
      <c r="U817" s="454"/>
      <c r="V817" s="454"/>
      <c r="W817" s="454"/>
      <c r="X817" s="454"/>
      <c r="Y817" s="454"/>
      <c r="Z817" s="454"/>
    </row>
    <row r="818" spans="1:26" ht="15.75" customHeight="1" x14ac:dyDescent="0.25">
      <c r="A818" s="454"/>
      <c r="B818" s="475"/>
      <c r="C818" s="475"/>
      <c r="D818" s="475"/>
      <c r="E818" s="476"/>
      <c r="F818" s="475"/>
      <c r="G818" s="454"/>
      <c r="H818" s="454"/>
      <c r="I818" s="454"/>
      <c r="J818" s="454"/>
      <c r="K818" s="454"/>
      <c r="L818" s="454"/>
      <c r="M818" s="454"/>
      <c r="N818" s="454"/>
      <c r="O818" s="454"/>
      <c r="P818" s="454"/>
      <c r="Q818" s="454"/>
      <c r="R818" s="454"/>
      <c r="S818" s="454"/>
      <c r="T818" s="454"/>
      <c r="U818" s="454"/>
      <c r="V818" s="454"/>
      <c r="W818" s="454"/>
      <c r="X818" s="454"/>
      <c r="Y818" s="454"/>
      <c r="Z818" s="454"/>
    </row>
    <row r="819" spans="1:26" ht="15.75" customHeight="1" x14ac:dyDescent="0.25">
      <c r="A819" s="454"/>
      <c r="B819" s="475"/>
      <c r="C819" s="475"/>
      <c r="D819" s="475"/>
      <c r="E819" s="476"/>
      <c r="F819" s="475"/>
      <c r="G819" s="454"/>
      <c r="H819" s="454"/>
      <c r="I819" s="454"/>
      <c r="J819" s="454"/>
      <c r="K819" s="454"/>
      <c r="L819" s="454"/>
      <c r="M819" s="454"/>
      <c r="N819" s="454"/>
      <c r="O819" s="454"/>
      <c r="P819" s="454"/>
      <c r="Q819" s="454"/>
      <c r="R819" s="454"/>
      <c r="S819" s="454"/>
      <c r="T819" s="454"/>
      <c r="U819" s="454"/>
      <c r="V819" s="454"/>
      <c r="W819" s="454"/>
      <c r="X819" s="454"/>
      <c r="Y819" s="454"/>
      <c r="Z819" s="454"/>
    </row>
    <row r="820" spans="1:26" ht="15.75" customHeight="1" x14ac:dyDescent="0.25">
      <c r="A820" s="454"/>
      <c r="B820" s="475"/>
      <c r="C820" s="475"/>
      <c r="D820" s="475"/>
      <c r="E820" s="476"/>
      <c r="F820" s="475"/>
      <c r="G820" s="454"/>
      <c r="H820" s="454"/>
      <c r="I820" s="454"/>
      <c r="J820" s="454"/>
      <c r="K820" s="454"/>
      <c r="L820" s="454"/>
      <c r="M820" s="454"/>
      <c r="N820" s="454"/>
      <c r="O820" s="454"/>
      <c r="P820" s="454"/>
      <c r="Q820" s="454"/>
      <c r="R820" s="454"/>
      <c r="S820" s="454"/>
      <c r="T820" s="454"/>
      <c r="U820" s="454"/>
      <c r="V820" s="454"/>
      <c r="W820" s="454"/>
      <c r="X820" s="454"/>
      <c r="Y820" s="454"/>
      <c r="Z820" s="454"/>
    </row>
    <row r="821" spans="1:26" ht="15.75" customHeight="1" x14ac:dyDescent="0.25">
      <c r="A821" s="454"/>
      <c r="B821" s="475"/>
      <c r="C821" s="475"/>
      <c r="D821" s="475"/>
      <c r="E821" s="476"/>
      <c r="F821" s="475"/>
      <c r="G821" s="454"/>
      <c r="H821" s="454"/>
      <c r="I821" s="454"/>
      <c r="J821" s="454"/>
      <c r="K821" s="454"/>
      <c r="L821" s="454"/>
      <c r="M821" s="454"/>
      <c r="N821" s="454"/>
      <c r="O821" s="454"/>
      <c r="P821" s="454"/>
      <c r="Q821" s="454"/>
      <c r="R821" s="454"/>
      <c r="S821" s="454"/>
      <c r="T821" s="454"/>
      <c r="U821" s="454"/>
      <c r="V821" s="454"/>
      <c r="W821" s="454"/>
      <c r="X821" s="454"/>
      <c r="Y821" s="454"/>
      <c r="Z821" s="454"/>
    </row>
    <row r="822" spans="1:26" ht="15.75" customHeight="1" x14ac:dyDescent="0.25">
      <c r="A822" s="454"/>
      <c r="B822" s="475"/>
      <c r="C822" s="475"/>
      <c r="D822" s="475"/>
      <c r="E822" s="476"/>
      <c r="F822" s="475"/>
      <c r="G822" s="454"/>
      <c r="H822" s="454"/>
      <c r="I822" s="454"/>
      <c r="J822" s="454"/>
      <c r="K822" s="454"/>
      <c r="L822" s="454"/>
      <c r="M822" s="454"/>
      <c r="N822" s="454"/>
      <c r="O822" s="454"/>
      <c r="P822" s="454"/>
      <c r="Q822" s="454"/>
      <c r="R822" s="454"/>
      <c r="S822" s="454"/>
      <c r="T822" s="454"/>
      <c r="U822" s="454"/>
      <c r="V822" s="454"/>
      <c r="W822" s="454"/>
      <c r="X822" s="454"/>
      <c r="Y822" s="454"/>
      <c r="Z822" s="454"/>
    </row>
    <row r="823" spans="1:26" ht="15.75" customHeight="1" x14ac:dyDescent="0.25">
      <c r="A823" s="454"/>
      <c r="B823" s="475"/>
      <c r="C823" s="475"/>
      <c r="D823" s="475"/>
      <c r="E823" s="476"/>
      <c r="F823" s="475"/>
      <c r="G823" s="454"/>
      <c r="H823" s="454"/>
      <c r="I823" s="454"/>
      <c r="J823" s="454"/>
      <c r="K823" s="454"/>
      <c r="L823" s="454"/>
      <c r="M823" s="454"/>
      <c r="N823" s="454"/>
      <c r="O823" s="454"/>
      <c r="P823" s="454"/>
      <c r="Q823" s="454"/>
      <c r="R823" s="454"/>
      <c r="S823" s="454"/>
      <c r="T823" s="454"/>
      <c r="U823" s="454"/>
      <c r="V823" s="454"/>
      <c r="W823" s="454"/>
      <c r="X823" s="454"/>
      <c r="Y823" s="454"/>
      <c r="Z823" s="454"/>
    </row>
    <row r="824" spans="1:26" ht="15.75" customHeight="1" x14ac:dyDescent="0.25">
      <c r="A824" s="454"/>
      <c r="B824" s="475"/>
      <c r="C824" s="475"/>
      <c r="D824" s="475"/>
      <c r="E824" s="476"/>
      <c r="F824" s="475"/>
      <c r="G824" s="454"/>
      <c r="H824" s="454"/>
      <c r="I824" s="454"/>
      <c r="J824" s="454"/>
      <c r="K824" s="454"/>
      <c r="L824" s="454"/>
      <c r="M824" s="454"/>
      <c r="N824" s="454"/>
      <c r="O824" s="454"/>
      <c r="P824" s="454"/>
      <c r="Q824" s="454"/>
      <c r="R824" s="454"/>
      <c r="S824" s="454"/>
      <c r="T824" s="454"/>
      <c r="U824" s="454"/>
      <c r="V824" s="454"/>
      <c r="W824" s="454"/>
      <c r="X824" s="454"/>
      <c r="Y824" s="454"/>
      <c r="Z824" s="454"/>
    </row>
    <row r="825" spans="1:26" ht="15.75" customHeight="1" x14ac:dyDescent="0.25">
      <c r="A825" s="454"/>
      <c r="B825" s="475"/>
      <c r="C825" s="475"/>
      <c r="D825" s="475"/>
      <c r="E825" s="476"/>
      <c r="F825" s="475"/>
      <c r="G825" s="454"/>
      <c r="H825" s="454"/>
      <c r="I825" s="454"/>
      <c r="J825" s="454"/>
      <c r="K825" s="454"/>
      <c r="L825" s="454"/>
      <c r="M825" s="454"/>
      <c r="N825" s="454"/>
      <c r="O825" s="454"/>
      <c r="P825" s="454"/>
      <c r="Q825" s="454"/>
      <c r="R825" s="454"/>
      <c r="S825" s="454"/>
      <c r="T825" s="454"/>
      <c r="U825" s="454"/>
      <c r="V825" s="454"/>
      <c r="W825" s="454"/>
      <c r="X825" s="454"/>
      <c r="Y825" s="454"/>
      <c r="Z825" s="454"/>
    </row>
    <row r="826" spans="1:26" ht="15.75" customHeight="1" x14ac:dyDescent="0.25">
      <c r="A826" s="454"/>
      <c r="B826" s="475"/>
      <c r="C826" s="475"/>
      <c r="D826" s="475"/>
      <c r="E826" s="476"/>
      <c r="F826" s="475"/>
      <c r="G826" s="454"/>
      <c r="H826" s="454"/>
      <c r="I826" s="454"/>
      <c r="J826" s="454"/>
      <c r="K826" s="454"/>
      <c r="L826" s="454"/>
      <c r="M826" s="454"/>
      <c r="N826" s="454"/>
      <c r="O826" s="454"/>
      <c r="P826" s="454"/>
      <c r="Q826" s="454"/>
      <c r="R826" s="454"/>
      <c r="S826" s="454"/>
      <c r="T826" s="454"/>
      <c r="U826" s="454"/>
      <c r="V826" s="454"/>
      <c r="W826" s="454"/>
      <c r="X826" s="454"/>
      <c r="Y826" s="454"/>
      <c r="Z826" s="454"/>
    </row>
    <row r="827" spans="1:26" ht="15.75" customHeight="1" x14ac:dyDescent="0.25">
      <c r="A827" s="454"/>
      <c r="B827" s="475"/>
      <c r="C827" s="475"/>
      <c r="D827" s="475"/>
      <c r="E827" s="476"/>
      <c r="F827" s="475"/>
      <c r="G827" s="454"/>
      <c r="H827" s="454"/>
      <c r="I827" s="454"/>
      <c r="J827" s="454"/>
      <c r="K827" s="454"/>
      <c r="L827" s="454"/>
      <c r="M827" s="454"/>
      <c r="N827" s="454"/>
      <c r="O827" s="454"/>
      <c r="P827" s="454"/>
      <c r="Q827" s="454"/>
      <c r="R827" s="454"/>
      <c r="S827" s="454"/>
      <c r="T827" s="454"/>
      <c r="U827" s="454"/>
      <c r="V827" s="454"/>
      <c r="W827" s="454"/>
      <c r="X827" s="454"/>
      <c r="Y827" s="454"/>
      <c r="Z827" s="454"/>
    </row>
    <row r="828" spans="1:26" ht="15.75" customHeight="1" x14ac:dyDescent="0.25">
      <c r="A828" s="454"/>
      <c r="B828" s="475"/>
      <c r="C828" s="475"/>
      <c r="D828" s="475"/>
      <c r="E828" s="476"/>
      <c r="F828" s="475"/>
      <c r="G828" s="454"/>
      <c r="H828" s="454"/>
      <c r="I828" s="454"/>
      <c r="J828" s="454"/>
      <c r="K828" s="454"/>
      <c r="L828" s="454"/>
      <c r="M828" s="454"/>
      <c r="N828" s="454"/>
      <c r="O828" s="454"/>
      <c r="P828" s="454"/>
      <c r="Q828" s="454"/>
      <c r="R828" s="454"/>
      <c r="S828" s="454"/>
      <c r="T828" s="454"/>
      <c r="U828" s="454"/>
      <c r="V828" s="454"/>
      <c r="W828" s="454"/>
      <c r="X828" s="454"/>
      <c r="Y828" s="454"/>
      <c r="Z828" s="454"/>
    </row>
    <row r="829" spans="1:26" ht="15.75" customHeight="1" x14ac:dyDescent="0.25">
      <c r="A829" s="454"/>
      <c r="B829" s="475"/>
      <c r="C829" s="475"/>
      <c r="D829" s="475"/>
      <c r="E829" s="476"/>
      <c r="F829" s="475"/>
      <c r="G829" s="454"/>
      <c r="H829" s="454"/>
      <c r="I829" s="454"/>
      <c r="J829" s="454"/>
      <c r="K829" s="454"/>
      <c r="L829" s="454"/>
      <c r="M829" s="454"/>
      <c r="N829" s="454"/>
      <c r="O829" s="454"/>
      <c r="P829" s="454"/>
      <c r="Q829" s="454"/>
      <c r="R829" s="454"/>
      <c r="S829" s="454"/>
      <c r="T829" s="454"/>
      <c r="U829" s="454"/>
      <c r="V829" s="454"/>
      <c r="W829" s="454"/>
      <c r="X829" s="454"/>
      <c r="Y829" s="454"/>
      <c r="Z829" s="454"/>
    </row>
    <row r="830" spans="1:26" ht="15.75" customHeight="1" x14ac:dyDescent="0.25">
      <c r="A830" s="454"/>
      <c r="B830" s="475"/>
      <c r="C830" s="475"/>
      <c r="D830" s="475"/>
      <c r="E830" s="476"/>
      <c r="F830" s="475"/>
      <c r="G830" s="454"/>
      <c r="H830" s="454"/>
      <c r="I830" s="454"/>
      <c r="J830" s="454"/>
      <c r="K830" s="454"/>
      <c r="L830" s="454"/>
      <c r="M830" s="454"/>
      <c r="N830" s="454"/>
      <c r="O830" s="454"/>
      <c r="P830" s="454"/>
      <c r="Q830" s="454"/>
      <c r="R830" s="454"/>
      <c r="S830" s="454"/>
      <c r="T830" s="454"/>
      <c r="U830" s="454"/>
      <c r="V830" s="454"/>
      <c r="W830" s="454"/>
      <c r="X830" s="454"/>
      <c r="Y830" s="454"/>
      <c r="Z830" s="454"/>
    </row>
    <row r="831" spans="1:26" ht="15.75" customHeight="1" x14ac:dyDescent="0.25">
      <c r="A831" s="454"/>
      <c r="B831" s="475"/>
      <c r="C831" s="475"/>
      <c r="D831" s="475"/>
      <c r="E831" s="476"/>
      <c r="F831" s="475"/>
      <c r="G831" s="454"/>
      <c r="H831" s="454"/>
      <c r="I831" s="454"/>
      <c r="J831" s="454"/>
      <c r="K831" s="454"/>
      <c r="L831" s="454"/>
      <c r="M831" s="454"/>
      <c r="N831" s="454"/>
      <c r="O831" s="454"/>
      <c r="P831" s="454"/>
      <c r="Q831" s="454"/>
      <c r="R831" s="454"/>
      <c r="S831" s="454"/>
      <c r="T831" s="454"/>
      <c r="U831" s="454"/>
      <c r="V831" s="454"/>
      <c r="W831" s="454"/>
      <c r="X831" s="454"/>
      <c r="Y831" s="454"/>
      <c r="Z831" s="454"/>
    </row>
    <row r="832" spans="1:26" ht="15.75" customHeight="1" x14ac:dyDescent="0.25">
      <c r="A832" s="454"/>
      <c r="B832" s="475"/>
      <c r="C832" s="475"/>
      <c r="D832" s="475"/>
      <c r="E832" s="476"/>
      <c r="F832" s="475"/>
      <c r="G832" s="454"/>
      <c r="H832" s="454"/>
      <c r="I832" s="454"/>
      <c r="J832" s="454"/>
      <c r="K832" s="454"/>
      <c r="L832" s="454"/>
      <c r="M832" s="454"/>
      <c r="N832" s="454"/>
      <c r="O832" s="454"/>
      <c r="P832" s="454"/>
      <c r="Q832" s="454"/>
      <c r="R832" s="454"/>
      <c r="S832" s="454"/>
      <c r="T832" s="454"/>
      <c r="U832" s="454"/>
      <c r="V832" s="454"/>
      <c r="W832" s="454"/>
      <c r="X832" s="454"/>
      <c r="Y832" s="454"/>
      <c r="Z832" s="454"/>
    </row>
    <row r="833" spans="1:26" ht="15.75" customHeight="1" x14ac:dyDescent="0.25">
      <c r="A833" s="454"/>
      <c r="B833" s="475"/>
      <c r="C833" s="475"/>
      <c r="D833" s="475"/>
      <c r="E833" s="476"/>
      <c r="F833" s="475"/>
      <c r="G833" s="454"/>
      <c r="H833" s="454"/>
      <c r="I833" s="454"/>
      <c r="J833" s="454"/>
      <c r="K833" s="454"/>
      <c r="L833" s="454"/>
      <c r="M833" s="454"/>
      <c r="N833" s="454"/>
      <c r="O833" s="454"/>
      <c r="P833" s="454"/>
      <c r="Q833" s="454"/>
      <c r="R833" s="454"/>
      <c r="S833" s="454"/>
      <c r="T833" s="454"/>
      <c r="U833" s="454"/>
      <c r="V833" s="454"/>
      <c r="W833" s="454"/>
      <c r="X833" s="454"/>
      <c r="Y833" s="454"/>
      <c r="Z833" s="454"/>
    </row>
    <row r="834" spans="1:26" ht="15.75" customHeight="1" x14ac:dyDescent="0.25">
      <c r="A834" s="454"/>
      <c r="B834" s="475"/>
      <c r="C834" s="475"/>
      <c r="D834" s="475"/>
      <c r="E834" s="476"/>
      <c r="F834" s="475"/>
      <c r="G834" s="454"/>
      <c r="H834" s="454"/>
      <c r="I834" s="454"/>
      <c r="J834" s="454"/>
      <c r="K834" s="454"/>
      <c r="L834" s="454"/>
      <c r="M834" s="454"/>
      <c r="N834" s="454"/>
      <c r="O834" s="454"/>
      <c r="P834" s="454"/>
      <c r="Q834" s="454"/>
      <c r="R834" s="454"/>
      <c r="S834" s="454"/>
      <c r="T834" s="454"/>
      <c r="U834" s="454"/>
      <c r="V834" s="454"/>
      <c r="W834" s="454"/>
      <c r="X834" s="454"/>
      <c r="Y834" s="454"/>
      <c r="Z834" s="454"/>
    </row>
    <row r="835" spans="1:26" ht="15.75" customHeight="1" x14ac:dyDescent="0.25">
      <c r="A835" s="454"/>
      <c r="B835" s="475"/>
      <c r="C835" s="475"/>
      <c r="D835" s="475"/>
      <c r="E835" s="476"/>
      <c r="F835" s="475"/>
      <c r="G835" s="454"/>
      <c r="H835" s="454"/>
      <c r="I835" s="454"/>
      <c r="J835" s="454"/>
      <c r="K835" s="454"/>
      <c r="L835" s="454"/>
      <c r="M835" s="454"/>
      <c r="N835" s="454"/>
      <c r="O835" s="454"/>
      <c r="P835" s="454"/>
      <c r="Q835" s="454"/>
      <c r="R835" s="454"/>
      <c r="S835" s="454"/>
      <c r="T835" s="454"/>
      <c r="U835" s="454"/>
      <c r="V835" s="454"/>
      <c r="W835" s="454"/>
      <c r="X835" s="454"/>
      <c r="Y835" s="454"/>
      <c r="Z835" s="454"/>
    </row>
    <row r="836" spans="1:26" ht="15.75" customHeight="1" x14ac:dyDescent="0.25">
      <c r="A836" s="454"/>
      <c r="B836" s="475"/>
      <c r="C836" s="475"/>
      <c r="D836" s="475"/>
      <c r="E836" s="476"/>
      <c r="F836" s="475"/>
      <c r="G836" s="454"/>
      <c r="H836" s="454"/>
      <c r="I836" s="454"/>
      <c r="J836" s="454"/>
      <c r="K836" s="454"/>
      <c r="L836" s="454"/>
      <c r="M836" s="454"/>
      <c r="N836" s="454"/>
      <c r="O836" s="454"/>
      <c r="P836" s="454"/>
      <c r="Q836" s="454"/>
      <c r="R836" s="454"/>
      <c r="S836" s="454"/>
      <c r="T836" s="454"/>
      <c r="U836" s="454"/>
      <c r="V836" s="454"/>
      <c r="W836" s="454"/>
      <c r="X836" s="454"/>
      <c r="Y836" s="454"/>
      <c r="Z836" s="454"/>
    </row>
    <row r="837" spans="1:26" ht="15.75" customHeight="1" x14ac:dyDescent="0.25">
      <c r="A837" s="454"/>
      <c r="B837" s="475"/>
      <c r="C837" s="475"/>
      <c r="D837" s="475"/>
      <c r="E837" s="476"/>
      <c r="F837" s="475"/>
      <c r="G837" s="454"/>
      <c r="H837" s="454"/>
      <c r="I837" s="454"/>
      <c r="J837" s="454"/>
      <c r="K837" s="454"/>
      <c r="L837" s="454"/>
      <c r="M837" s="454"/>
      <c r="N837" s="454"/>
      <c r="O837" s="454"/>
      <c r="P837" s="454"/>
      <c r="Q837" s="454"/>
      <c r="R837" s="454"/>
      <c r="S837" s="454"/>
      <c r="T837" s="454"/>
      <c r="U837" s="454"/>
      <c r="V837" s="454"/>
      <c r="W837" s="454"/>
      <c r="X837" s="454"/>
      <c r="Y837" s="454"/>
      <c r="Z837" s="454"/>
    </row>
    <row r="838" spans="1:26" ht="15.75" customHeight="1" x14ac:dyDescent="0.25">
      <c r="A838" s="454"/>
      <c r="B838" s="475"/>
      <c r="C838" s="475"/>
      <c r="D838" s="475"/>
      <c r="E838" s="476"/>
      <c r="F838" s="475"/>
      <c r="G838" s="454"/>
      <c r="H838" s="454"/>
      <c r="I838" s="454"/>
      <c r="J838" s="454"/>
      <c r="K838" s="454"/>
      <c r="L838" s="454"/>
      <c r="M838" s="454"/>
      <c r="N838" s="454"/>
      <c r="O838" s="454"/>
      <c r="P838" s="454"/>
      <c r="Q838" s="454"/>
      <c r="R838" s="454"/>
      <c r="S838" s="454"/>
      <c r="T838" s="454"/>
      <c r="U838" s="454"/>
      <c r="V838" s="454"/>
      <c r="W838" s="454"/>
      <c r="X838" s="454"/>
      <c r="Y838" s="454"/>
      <c r="Z838" s="454"/>
    </row>
    <row r="839" spans="1:26" ht="15.75" customHeight="1" x14ac:dyDescent="0.25">
      <c r="A839" s="454"/>
      <c r="B839" s="475"/>
      <c r="C839" s="475"/>
      <c r="D839" s="475"/>
      <c r="E839" s="476"/>
      <c r="F839" s="475"/>
      <c r="G839" s="454"/>
      <c r="H839" s="454"/>
      <c r="I839" s="454"/>
      <c r="J839" s="454"/>
      <c r="K839" s="454"/>
      <c r="L839" s="454"/>
      <c r="M839" s="454"/>
      <c r="N839" s="454"/>
      <c r="O839" s="454"/>
      <c r="P839" s="454"/>
      <c r="Q839" s="454"/>
      <c r="R839" s="454"/>
      <c r="S839" s="454"/>
      <c r="T839" s="454"/>
      <c r="U839" s="454"/>
      <c r="V839" s="454"/>
      <c r="W839" s="454"/>
      <c r="X839" s="454"/>
      <c r="Y839" s="454"/>
      <c r="Z839" s="454"/>
    </row>
    <row r="840" spans="1:26" ht="15.75" customHeight="1" x14ac:dyDescent="0.25">
      <c r="A840" s="454"/>
      <c r="B840" s="475"/>
      <c r="C840" s="475"/>
      <c r="D840" s="475"/>
      <c r="E840" s="476"/>
      <c r="F840" s="475"/>
      <c r="G840" s="454"/>
      <c r="H840" s="454"/>
      <c r="I840" s="454"/>
      <c r="J840" s="454"/>
      <c r="K840" s="454"/>
      <c r="L840" s="454"/>
      <c r="M840" s="454"/>
      <c r="N840" s="454"/>
      <c r="O840" s="454"/>
      <c r="P840" s="454"/>
      <c r="Q840" s="454"/>
      <c r="R840" s="454"/>
      <c r="S840" s="454"/>
      <c r="T840" s="454"/>
      <c r="U840" s="454"/>
      <c r="V840" s="454"/>
      <c r="W840" s="454"/>
      <c r="X840" s="454"/>
      <c r="Y840" s="454"/>
      <c r="Z840" s="454"/>
    </row>
    <row r="841" spans="1:26" ht="15.75" customHeight="1" x14ac:dyDescent="0.25">
      <c r="A841" s="454"/>
      <c r="B841" s="475"/>
      <c r="C841" s="475"/>
      <c r="D841" s="475"/>
      <c r="E841" s="476"/>
      <c r="F841" s="475"/>
      <c r="G841" s="454"/>
      <c r="H841" s="454"/>
      <c r="I841" s="454"/>
      <c r="J841" s="454"/>
      <c r="K841" s="454"/>
      <c r="L841" s="454"/>
      <c r="M841" s="454"/>
      <c r="N841" s="454"/>
      <c r="O841" s="454"/>
      <c r="P841" s="454"/>
      <c r="Q841" s="454"/>
      <c r="R841" s="454"/>
      <c r="S841" s="454"/>
      <c r="T841" s="454"/>
      <c r="U841" s="454"/>
      <c r="V841" s="454"/>
      <c r="W841" s="454"/>
      <c r="X841" s="454"/>
      <c r="Y841" s="454"/>
      <c r="Z841" s="454"/>
    </row>
    <row r="842" spans="1:26" ht="15.75" customHeight="1" x14ac:dyDescent="0.25">
      <c r="A842" s="454"/>
      <c r="B842" s="475"/>
      <c r="C842" s="475"/>
      <c r="D842" s="475"/>
      <c r="E842" s="476"/>
      <c r="F842" s="475"/>
      <c r="G842" s="454"/>
      <c r="H842" s="454"/>
      <c r="I842" s="454"/>
      <c r="J842" s="454"/>
      <c r="K842" s="454"/>
      <c r="L842" s="454"/>
      <c r="M842" s="454"/>
      <c r="N842" s="454"/>
      <c r="O842" s="454"/>
      <c r="P842" s="454"/>
      <c r="Q842" s="454"/>
      <c r="R842" s="454"/>
      <c r="S842" s="454"/>
      <c r="T842" s="454"/>
      <c r="U842" s="454"/>
      <c r="V842" s="454"/>
      <c r="W842" s="454"/>
      <c r="X842" s="454"/>
      <c r="Y842" s="454"/>
      <c r="Z842" s="454"/>
    </row>
    <row r="843" spans="1:26" ht="15.75" customHeight="1" x14ac:dyDescent="0.25">
      <c r="A843" s="454"/>
      <c r="B843" s="475"/>
      <c r="C843" s="475"/>
      <c r="D843" s="475"/>
      <c r="E843" s="476"/>
      <c r="F843" s="475"/>
      <c r="G843" s="454"/>
      <c r="H843" s="454"/>
      <c r="I843" s="454"/>
      <c r="J843" s="454"/>
      <c r="K843" s="454"/>
      <c r="L843" s="454"/>
      <c r="M843" s="454"/>
      <c r="N843" s="454"/>
      <c r="O843" s="454"/>
      <c r="P843" s="454"/>
      <c r="Q843" s="454"/>
      <c r="R843" s="454"/>
      <c r="S843" s="454"/>
      <c r="T843" s="454"/>
      <c r="U843" s="454"/>
      <c r="V843" s="454"/>
      <c r="W843" s="454"/>
      <c r="X843" s="454"/>
      <c r="Y843" s="454"/>
      <c r="Z843" s="454"/>
    </row>
    <row r="844" spans="1:26" ht="15.75" customHeight="1" x14ac:dyDescent="0.25">
      <c r="A844" s="454"/>
      <c r="B844" s="475"/>
      <c r="C844" s="475"/>
      <c r="D844" s="475"/>
      <c r="E844" s="476"/>
      <c r="F844" s="475"/>
      <c r="G844" s="454"/>
      <c r="H844" s="454"/>
      <c r="I844" s="454"/>
      <c r="J844" s="454"/>
      <c r="K844" s="454"/>
      <c r="L844" s="454"/>
      <c r="M844" s="454"/>
      <c r="N844" s="454"/>
      <c r="O844" s="454"/>
      <c r="P844" s="454"/>
      <c r="Q844" s="454"/>
      <c r="R844" s="454"/>
      <c r="S844" s="454"/>
      <c r="T844" s="454"/>
      <c r="U844" s="454"/>
      <c r="V844" s="454"/>
      <c r="W844" s="454"/>
      <c r="X844" s="454"/>
      <c r="Y844" s="454"/>
      <c r="Z844" s="454"/>
    </row>
    <row r="845" spans="1:26" ht="15.75" customHeight="1" x14ac:dyDescent="0.25">
      <c r="A845" s="454"/>
      <c r="B845" s="475"/>
      <c r="C845" s="475"/>
      <c r="D845" s="475"/>
      <c r="E845" s="476"/>
      <c r="F845" s="475"/>
      <c r="G845" s="454"/>
      <c r="H845" s="454"/>
      <c r="I845" s="454"/>
      <c r="J845" s="454"/>
      <c r="K845" s="454"/>
      <c r="L845" s="454"/>
      <c r="M845" s="454"/>
      <c r="N845" s="454"/>
      <c r="O845" s="454"/>
      <c r="P845" s="454"/>
      <c r="Q845" s="454"/>
      <c r="R845" s="454"/>
      <c r="S845" s="454"/>
      <c r="T845" s="454"/>
      <c r="U845" s="454"/>
      <c r="V845" s="454"/>
      <c r="W845" s="454"/>
      <c r="X845" s="454"/>
      <c r="Y845" s="454"/>
      <c r="Z845" s="454"/>
    </row>
    <row r="846" spans="1:26" ht="15.75" customHeight="1" x14ac:dyDescent="0.25">
      <c r="A846" s="454"/>
      <c r="B846" s="475"/>
      <c r="C846" s="475"/>
      <c r="D846" s="475"/>
      <c r="E846" s="476"/>
      <c r="F846" s="475"/>
      <c r="G846" s="454"/>
      <c r="H846" s="454"/>
      <c r="I846" s="454"/>
      <c r="J846" s="454"/>
      <c r="K846" s="454"/>
      <c r="L846" s="454"/>
      <c r="M846" s="454"/>
      <c r="N846" s="454"/>
      <c r="O846" s="454"/>
      <c r="P846" s="454"/>
      <c r="Q846" s="454"/>
      <c r="R846" s="454"/>
      <c r="S846" s="454"/>
      <c r="T846" s="454"/>
      <c r="U846" s="454"/>
      <c r="V846" s="454"/>
      <c r="W846" s="454"/>
      <c r="X846" s="454"/>
      <c r="Y846" s="454"/>
      <c r="Z846" s="454"/>
    </row>
    <row r="847" spans="1:26" ht="15.75" customHeight="1" x14ac:dyDescent="0.25">
      <c r="A847" s="454"/>
      <c r="B847" s="475"/>
      <c r="C847" s="475"/>
      <c r="D847" s="475"/>
      <c r="E847" s="476"/>
      <c r="F847" s="475"/>
      <c r="G847" s="454"/>
      <c r="H847" s="454"/>
      <c r="I847" s="454"/>
      <c r="J847" s="454"/>
      <c r="K847" s="454"/>
      <c r="L847" s="454"/>
      <c r="M847" s="454"/>
      <c r="N847" s="454"/>
      <c r="O847" s="454"/>
      <c r="P847" s="454"/>
      <c r="Q847" s="454"/>
      <c r="R847" s="454"/>
      <c r="S847" s="454"/>
      <c r="T847" s="454"/>
      <c r="U847" s="454"/>
      <c r="V847" s="454"/>
      <c r="W847" s="454"/>
      <c r="X847" s="454"/>
      <c r="Y847" s="454"/>
      <c r="Z847" s="454"/>
    </row>
    <row r="848" spans="1:26" ht="15.75" customHeight="1" x14ac:dyDescent="0.25">
      <c r="A848" s="454"/>
      <c r="B848" s="475"/>
      <c r="C848" s="475"/>
      <c r="D848" s="475"/>
      <c r="E848" s="476"/>
      <c r="F848" s="475"/>
      <c r="G848" s="454"/>
      <c r="H848" s="454"/>
      <c r="I848" s="454"/>
      <c r="J848" s="454"/>
      <c r="K848" s="454"/>
      <c r="L848" s="454"/>
      <c r="M848" s="454"/>
      <c r="N848" s="454"/>
      <c r="O848" s="454"/>
      <c r="P848" s="454"/>
      <c r="Q848" s="454"/>
      <c r="R848" s="454"/>
      <c r="S848" s="454"/>
      <c r="T848" s="454"/>
      <c r="U848" s="454"/>
      <c r="V848" s="454"/>
      <c r="W848" s="454"/>
      <c r="X848" s="454"/>
      <c r="Y848" s="454"/>
      <c r="Z848" s="454"/>
    </row>
    <row r="849" spans="1:26" ht="15.75" customHeight="1" x14ac:dyDescent="0.25">
      <c r="A849" s="454"/>
      <c r="B849" s="475"/>
      <c r="C849" s="475"/>
      <c r="D849" s="475"/>
      <c r="E849" s="476"/>
      <c r="F849" s="475"/>
      <c r="G849" s="454"/>
      <c r="H849" s="454"/>
      <c r="I849" s="454"/>
      <c r="J849" s="454"/>
      <c r="K849" s="454"/>
      <c r="L849" s="454"/>
      <c r="M849" s="454"/>
      <c r="N849" s="454"/>
      <c r="O849" s="454"/>
      <c r="P849" s="454"/>
      <c r="Q849" s="454"/>
      <c r="R849" s="454"/>
      <c r="S849" s="454"/>
      <c r="T849" s="454"/>
      <c r="U849" s="454"/>
      <c r="V849" s="454"/>
      <c r="W849" s="454"/>
      <c r="X849" s="454"/>
      <c r="Y849" s="454"/>
      <c r="Z849" s="454"/>
    </row>
    <row r="850" spans="1:26" ht="15.75" customHeight="1" x14ac:dyDescent="0.25">
      <c r="A850" s="454"/>
      <c r="B850" s="475"/>
      <c r="C850" s="475"/>
      <c r="D850" s="475"/>
      <c r="E850" s="476"/>
      <c r="F850" s="475"/>
      <c r="G850" s="454"/>
      <c r="H850" s="454"/>
      <c r="I850" s="454"/>
      <c r="J850" s="454"/>
      <c r="K850" s="454"/>
      <c r="L850" s="454"/>
      <c r="M850" s="454"/>
      <c r="N850" s="454"/>
      <c r="O850" s="454"/>
      <c r="P850" s="454"/>
      <c r="Q850" s="454"/>
      <c r="R850" s="454"/>
      <c r="S850" s="454"/>
      <c r="T850" s="454"/>
      <c r="U850" s="454"/>
      <c r="V850" s="454"/>
      <c r="W850" s="454"/>
      <c r="X850" s="454"/>
      <c r="Y850" s="454"/>
      <c r="Z850" s="454"/>
    </row>
    <row r="851" spans="1:26" ht="15.75" customHeight="1" x14ac:dyDescent="0.25">
      <c r="A851" s="454"/>
      <c r="B851" s="475"/>
      <c r="C851" s="475"/>
      <c r="D851" s="475"/>
      <c r="E851" s="476"/>
      <c r="F851" s="475"/>
      <c r="G851" s="454"/>
      <c r="H851" s="454"/>
      <c r="I851" s="454"/>
      <c r="J851" s="454"/>
      <c r="K851" s="454"/>
      <c r="L851" s="454"/>
      <c r="M851" s="454"/>
      <c r="N851" s="454"/>
      <c r="O851" s="454"/>
      <c r="P851" s="454"/>
      <c r="Q851" s="454"/>
      <c r="R851" s="454"/>
      <c r="S851" s="454"/>
      <c r="T851" s="454"/>
      <c r="U851" s="454"/>
      <c r="V851" s="454"/>
      <c r="W851" s="454"/>
      <c r="X851" s="454"/>
      <c r="Y851" s="454"/>
      <c r="Z851" s="454"/>
    </row>
    <row r="852" spans="1:26" ht="15.75" customHeight="1" x14ac:dyDescent="0.25">
      <c r="A852" s="454"/>
      <c r="B852" s="475"/>
      <c r="C852" s="475"/>
      <c r="D852" s="475"/>
      <c r="E852" s="476"/>
      <c r="F852" s="475"/>
      <c r="G852" s="454"/>
      <c r="H852" s="454"/>
      <c r="I852" s="454"/>
      <c r="J852" s="454"/>
      <c r="K852" s="454"/>
      <c r="L852" s="454"/>
      <c r="M852" s="454"/>
      <c r="N852" s="454"/>
      <c r="O852" s="454"/>
      <c r="P852" s="454"/>
      <c r="Q852" s="454"/>
      <c r="R852" s="454"/>
      <c r="S852" s="454"/>
      <c r="T852" s="454"/>
      <c r="U852" s="454"/>
      <c r="V852" s="454"/>
      <c r="W852" s="454"/>
      <c r="X852" s="454"/>
      <c r="Y852" s="454"/>
      <c r="Z852" s="454"/>
    </row>
    <row r="853" spans="1:26" ht="15.75" customHeight="1" x14ac:dyDescent="0.25">
      <c r="A853" s="454"/>
      <c r="B853" s="475"/>
      <c r="C853" s="475"/>
      <c r="D853" s="475"/>
      <c r="E853" s="476"/>
      <c r="F853" s="475"/>
      <c r="G853" s="454"/>
      <c r="H853" s="454"/>
      <c r="I853" s="454"/>
      <c r="J853" s="454"/>
      <c r="K853" s="454"/>
      <c r="L853" s="454"/>
      <c r="M853" s="454"/>
      <c r="N853" s="454"/>
      <c r="O853" s="454"/>
      <c r="P853" s="454"/>
      <c r="Q853" s="454"/>
      <c r="R853" s="454"/>
      <c r="S853" s="454"/>
      <c r="T853" s="454"/>
      <c r="U853" s="454"/>
      <c r="V853" s="454"/>
      <c r="W853" s="454"/>
      <c r="X853" s="454"/>
      <c r="Y853" s="454"/>
      <c r="Z853" s="454"/>
    </row>
    <row r="854" spans="1:26" ht="15.75" customHeight="1" x14ac:dyDescent="0.25">
      <c r="A854" s="454"/>
      <c r="B854" s="475"/>
      <c r="C854" s="475"/>
      <c r="D854" s="475"/>
      <c r="E854" s="476"/>
      <c r="F854" s="475"/>
      <c r="G854" s="454"/>
      <c r="H854" s="454"/>
      <c r="I854" s="454"/>
      <c r="J854" s="454"/>
      <c r="K854" s="454"/>
      <c r="L854" s="454"/>
      <c r="M854" s="454"/>
      <c r="N854" s="454"/>
      <c r="O854" s="454"/>
      <c r="P854" s="454"/>
      <c r="Q854" s="454"/>
      <c r="R854" s="454"/>
      <c r="S854" s="454"/>
      <c r="T854" s="454"/>
      <c r="U854" s="454"/>
      <c r="V854" s="454"/>
      <c r="W854" s="454"/>
      <c r="X854" s="454"/>
      <c r="Y854" s="454"/>
      <c r="Z854" s="454"/>
    </row>
    <row r="855" spans="1:26" ht="15.75" customHeight="1" x14ac:dyDescent="0.25">
      <c r="A855" s="454"/>
      <c r="B855" s="475"/>
      <c r="C855" s="475"/>
      <c r="D855" s="475"/>
      <c r="E855" s="476"/>
      <c r="F855" s="475"/>
      <c r="G855" s="454"/>
      <c r="H855" s="454"/>
      <c r="I855" s="454"/>
      <c r="J855" s="454"/>
      <c r="K855" s="454"/>
      <c r="L855" s="454"/>
      <c r="M855" s="454"/>
      <c r="N855" s="454"/>
      <c r="O855" s="454"/>
      <c r="P855" s="454"/>
      <c r="Q855" s="454"/>
      <c r="R855" s="454"/>
      <c r="S855" s="454"/>
      <c r="T855" s="454"/>
      <c r="U855" s="454"/>
      <c r="V855" s="454"/>
      <c r="W855" s="454"/>
      <c r="X855" s="454"/>
      <c r="Y855" s="454"/>
      <c r="Z855" s="454"/>
    </row>
    <row r="856" spans="1:26" ht="15.75" customHeight="1" x14ac:dyDescent="0.25">
      <c r="A856" s="454"/>
      <c r="B856" s="475"/>
      <c r="C856" s="475"/>
      <c r="D856" s="475"/>
      <c r="E856" s="476"/>
      <c r="F856" s="475"/>
      <c r="G856" s="454"/>
      <c r="H856" s="454"/>
      <c r="I856" s="454"/>
      <c r="J856" s="454"/>
      <c r="K856" s="454"/>
      <c r="L856" s="454"/>
      <c r="M856" s="454"/>
      <c r="N856" s="454"/>
      <c r="O856" s="454"/>
      <c r="P856" s="454"/>
      <c r="Q856" s="454"/>
      <c r="R856" s="454"/>
      <c r="S856" s="454"/>
      <c r="T856" s="454"/>
      <c r="U856" s="454"/>
      <c r="V856" s="454"/>
      <c r="W856" s="454"/>
      <c r="X856" s="454"/>
      <c r="Y856" s="454"/>
      <c r="Z856" s="454"/>
    </row>
    <row r="857" spans="1:26" ht="15.75" customHeight="1" x14ac:dyDescent="0.25">
      <c r="A857" s="454"/>
      <c r="B857" s="475"/>
      <c r="C857" s="475"/>
      <c r="D857" s="475"/>
      <c r="E857" s="476"/>
      <c r="F857" s="475"/>
      <c r="G857" s="454"/>
      <c r="H857" s="454"/>
      <c r="I857" s="454"/>
      <c r="J857" s="454"/>
      <c r="K857" s="454"/>
      <c r="L857" s="454"/>
      <c r="M857" s="454"/>
      <c r="N857" s="454"/>
      <c r="O857" s="454"/>
      <c r="P857" s="454"/>
      <c r="Q857" s="454"/>
      <c r="R857" s="454"/>
      <c r="S857" s="454"/>
      <c r="T857" s="454"/>
      <c r="U857" s="454"/>
      <c r="V857" s="454"/>
      <c r="W857" s="454"/>
      <c r="X857" s="454"/>
      <c r="Y857" s="454"/>
      <c r="Z857" s="454"/>
    </row>
    <row r="858" spans="1:26" ht="15.75" customHeight="1" x14ac:dyDescent="0.25">
      <c r="A858" s="454"/>
      <c r="B858" s="475"/>
      <c r="C858" s="475"/>
      <c r="D858" s="475"/>
      <c r="E858" s="476"/>
      <c r="F858" s="475"/>
      <c r="G858" s="454"/>
      <c r="H858" s="454"/>
      <c r="I858" s="454"/>
      <c r="J858" s="454"/>
      <c r="K858" s="454"/>
      <c r="L858" s="454"/>
      <c r="M858" s="454"/>
      <c r="N858" s="454"/>
      <c r="O858" s="454"/>
      <c r="P858" s="454"/>
      <c r="Q858" s="454"/>
      <c r="R858" s="454"/>
      <c r="S858" s="454"/>
      <c r="T858" s="454"/>
      <c r="U858" s="454"/>
      <c r="V858" s="454"/>
      <c r="W858" s="454"/>
      <c r="X858" s="454"/>
      <c r="Y858" s="454"/>
      <c r="Z858" s="454"/>
    </row>
    <row r="859" spans="1:26" ht="15.75" customHeight="1" x14ac:dyDescent="0.25">
      <c r="A859" s="454"/>
      <c r="B859" s="475"/>
      <c r="C859" s="475"/>
      <c r="D859" s="475"/>
      <c r="E859" s="476"/>
      <c r="F859" s="475"/>
      <c r="G859" s="454"/>
      <c r="H859" s="454"/>
      <c r="I859" s="454"/>
      <c r="J859" s="454"/>
      <c r="K859" s="454"/>
      <c r="L859" s="454"/>
      <c r="M859" s="454"/>
      <c r="N859" s="454"/>
      <c r="O859" s="454"/>
      <c r="P859" s="454"/>
      <c r="Q859" s="454"/>
      <c r="R859" s="454"/>
      <c r="S859" s="454"/>
      <c r="T859" s="454"/>
      <c r="U859" s="454"/>
      <c r="V859" s="454"/>
      <c r="W859" s="454"/>
      <c r="X859" s="454"/>
      <c r="Y859" s="454"/>
      <c r="Z859" s="454"/>
    </row>
    <row r="860" spans="1:26" ht="15.75" customHeight="1" x14ac:dyDescent="0.25">
      <c r="A860" s="454"/>
      <c r="B860" s="475"/>
      <c r="C860" s="475"/>
      <c r="D860" s="475"/>
      <c r="E860" s="476"/>
      <c r="F860" s="475"/>
      <c r="G860" s="454"/>
      <c r="H860" s="454"/>
      <c r="I860" s="454"/>
      <c r="J860" s="454"/>
      <c r="K860" s="454"/>
      <c r="L860" s="454"/>
      <c r="M860" s="454"/>
      <c r="N860" s="454"/>
      <c r="O860" s="454"/>
      <c r="P860" s="454"/>
      <c r="Q860" s="454"/>
      <c r="R860" s="454"/>
      <c r="S860" s="454"/>
      <c r="T860" s="454"/>
      <c r="U860" s="454"/>
      <c r="V860" s="454"/>
      <c r="W860" s="454"/>
      <c r="X860" s="454"/>
      <c r="Y860" s="454"/>
      <c r="Z860" s="454"/>
    </row>
    <row r="861" spans="1:26" ht="15.75" customHeight="1" x14ac:dyDescent="0.25">
      <c r="A861" s="454"/>
      <c r="B861" s="475"/>
      <c r="C861" s="475"/>
      <c r="D861" s="475"/>
      <c r="E861" s="476"/>
      <c r="F861" s="475"/>
      <c r="G861" s="454"/>
      <c r="H861" s="454"/>
      <c r="I861" s="454"/>
      <c r="J861" s="454"/>
      <c r="K861" s="454"/>
      <c r="L861" s="454"/>
      <c r="M861" s="454"/>
      <c r="N861" s="454"/>
      <c r="O861" s="454"/>
      <c r="P861" s="454"/>
      <c r="Q861" s="454"/>
      <c r="R861" s="454"/>
      <c r="S861" s="454"/>
      <c r="T861" s="454"/>
      <c r="U861" s="454"/>
      <c r="V861" s="454"/>
      <c r="W861" s="454"/>
      <c r="X861" s="454"/>
      <c r="Y861" s="454"/>
      <c r="Z861" s="454"/>
    </row>
    <row r="862" spans="1:26" ht="15.75" customHeight="1" x14ac:dyDescent="0.25">
      <c r="A862" s="454"/>
      <c r="B862" s="475"/>
      <c r="C862" s="475"/>
      <c r="D862" s="475"/>
      <c r="E862" s="476"/>
      <c r="F862" s="475"/>
      <c r="G862" s="454"/>
      <c r="H862" s="454"/>
      <c r="I862" s="454"/>
      <c r="J862" s="454"/>
      <c r="K862" s="454"/>
      <c r="L862" s="454"/>
      <c r="M862" s="454"/>
      <c r="N862" s="454"/>
      <c r="O862" s="454"/>
      <c r="P862" s="454"/>
      <c r="Q862" s="454"/>
      <c r="R862" s="454"/>
      <c r="S862" s="454"/>
      <c r="T862" s="454"/>
      <c r="U862" s="454"/>
      <c r="V862" s="454"/>
      <c r="W862" s="454"/>
      <c r="X862" s="454"/>
      <c r="Y862" s="454"/>
      <c r="Z862" s="454"/>
    </row>
    <row r="863" spans="1:26" ht="15.75" customHeight="1" x14ac:dyDescent="0.25">
      <c r="A863" s="454"/>
      <c r="B863" s="475"/>
      <c r="C863" s="475"/>
      <c r="D863" s="475"/>
      <c r="E863" s="476"/>
      <c r="F863" s="475"/>
      <c r="G863" s="454"/>
      <c r="H863" s="454"/>
      <c r="I863" s="454"/>
      <c r="J863" s="454"/>
      <c r="K863" s="454"/>
      <c r="L863" s="454"/>
      <c r="M863" s="454"/>
      <c r="N863" s="454"/>
      <c r="O863" s="454"/>
      <c r="P863" s="454"/>
      <c r="Q863" s="454"/>
      <c r="R863" s="454"/>
      <c r="S863" s="454"/>
      <c r="T863" s="454"/>
      <c r="U863" s="454"/>
      <c r="V863" s="454"/>
      <c r="W863" s="454"/>
      <c r="X863" s="454"/>
      <c r="Y863" s="454"/>
      <c r="Z863" s="454"/>
    </row>
    <row r="864" spans="1:26" ht="15.75" customHeight="1" x14ac:dyDescent="0.25">
      <c r="A864" s="454"/>
      <c r="B864" s="475"/>
      <c r="C864" s="475"/>
      <c r="D864" s="475"/>
      <c r="E864" s="476"/>
      <c r="F864" s="475"/>
      <c r="G864" s="454"/>
      <c r="H864" s="454"/>
      <c r="I864" s="454"/>
      <c r="J864" s="454"/>
      <c r="K864" s="454"/>
      <c r="L864" s="454"/>
      <c r="M864" s="454"/>
      <c r="N864" s="454"/>
      <c r="O864" s="454"/>
      <c r="P864" s="454"/>
      <c r="Q864" s="454"/>
      <c r="R864" s="454"/>
      <c r="S864" s="454"/>
      <c r="T864" s="454"/>
      <c r="U864" s="454"/>
      <c r="V864" s="454"/>
      <c r="W864" s="454"/>
      <c r="X864" s="454"/>
      <c r="Y864" s="454"/>
      <c r="Z864" s="454"/>
    </row>
    <row r="865" spans="1:26" ht="15.75" customHeight="1" x14ac:dyDescent="0.25">
      <c r="A865" s="454"/>
      <c r="B865" s="475"/>
      <c r="C865" s="475"/>
      <c r="D865" s="475"/>
      <c r="E865" s="476"/>
      <c r="F865" s="475"/>
      <c r="G865" s="454"/>
      <c r="H865" s="454"/>
      <c r="I865" s="454"/>
      <c r="J865" s="454"/>
      <c r="K865" s="454"/>
      <c r="L865" s="454"/>
      <c r="M865" s="454"/>
      <c r="N865" s="454"/>
      <c r="O865" s="454"/>
      <c r="P865" s="454"/>
      <c r="Q865" s="454"/>
      <c r="R865" s="454"/>
      <c r="S865" s="454"/>
      <c r="T865" s="454"/>
      <c r="U865" s="454"/>
      <c r="V865" s="454"/>
      <c r="W865" s="454"/>
      <c r="X865" s="454"/>
      <c r="Y865" s="454"/>
      <c r="Z865" s="454"/>
    </row>
    <row r="866" spans="1:26" ht="15.75" customHeight="1" x14ac:dyDescent="0.25">
      <c r="A866" s="454"/>
      <c r="B866" s="475"/>
      <c r="C866" s="475"/>
      <c r="D866" s="475"/>
      <c r="E866" s="476"/>
      <c r="F866" s="475"/>
      <c r="G866" s="454"/>
      <c r="H866" s="454"/>
      <c r="I866" s="454"/>
      <c r="J866" s="454"/>
      <c r="K866" s="454"/>
      <c r="L866" s="454"/>
      <c r="M866" s="454"/>
      <c r="N866" s="454"/>
      <c r="O866" s="454"/>
      <c r="P866" s="454"/>
      <c r="Q866" s="454"/>
      <c r="R866" s="454"/>
      <c r="S866" s="454"/>
      <c r="T866" s="454"/>
      <c r="U866" s="454"/>
      <c r="V866" s="454"/>
      <c r="W866" s="454"/>
      <c r="X866" s="454"/>
      <c r="Y866" s="454"/>
      <c r="Z866" s="454"/>
    </row>
    <row r="867" spans="1:26" ht="15.75" customHeight="1" x14ac:dyDescent="0.25">
      <c r="A867" s="454"/>
      <c r="B867" s="475"/>
      <c r="C867" s="475"/>
      <c r="D867" s="475"/>
      <c r="E867" s="476"/>
      <c r="F867" s="475"/>
      <c r="G867" s="454"/>
      <c r="H867" s="454"/>
      <c r="I867" s="454"/>
      <c r="J867" s="454"/>
      <c r="K867" s="454"/>
      <c r="L867" s="454"/>
      <c r="M867" s="454"/>
      <c r="N867" s="454"/>
      <c r="O867" s="454"/>
      <c r="P867" s="454"/>
      <c r="Q867" s="454"/>
      <c r="R867" s="454"/>
      <c r="S867" s="454"/>
      <c r="T867" s="454"/>
      <c r="U867" s="454"/>
      <c r="V867" s="454"/>
      <c r="W867" s="454"/>
      <c r="X867" s="454"/>
      <c r="Y867" s="454"/>
      <c r="Z867" s="454"/>
    </row>
    <row r="868" spans="1:26" ht="15.75" customHeight="1" x14ac:dyDescent="0.25">
      <c r="A868" s="454"/>
      <c r="B868" s="475"/>
      <c r="C868" s="475"/>
      <c r="D868" s="475"/>
      <c r="E868" s="476"/>
      <c r="F868" s="475"/>
      <c r="G868" s="454"/>
      <c r="H868" s="454"/>
      <c r="I868" s="454"/>
      <c r="J868" s="454"/>
      <c r="K868" s="454"/>
      <c r="L868" s="454"/>
      <c r="M868" s="454"/>
      <c r="N868" s="454"/>
      <c r="O868" s="454"/>
      <c r="P868" s="454"/>
      <c r="Q868" s="454"/>
      <c r="R868" s="454"/>
      <c r="S868" s="454"/>
      <c r="T868" s="454"/>
      <c r="U868" s="454"/>
      <c r="V868" s="454"/>
      <c r="W868" s="454"/>
      <c r="X868" s="454"/>
      <c r="Y868" s="454"/>
      <c r="Z868" s="454"/>
    </row>
    <row r="869" spans="1:26" ht="15.75" customHeight="1" x14ac:dyDescent="0.25">
      <c r="A869" s="454"/>
      <c r="B869" s="475"/>
      <c r="C869" s="475"/>
      <c r="D869" s="475"/>
      <c r="E869" s="476"/>
      <c r="F869" s="475"/>
      <c r="G869" s="454"/>
      <c r="H869" s="454"/>
      <c r="I869" s="454"/>
      <c r="J869" s="454"/>
      <c r="K869" s="454"/>
      <c r="L869" s="454"/>
      <c r="M869" s="454"/>
      <c r="N869" s="454"/>
      <c r="O869" s="454"/>
      <c r="P869" s="454"/>
      <c r="Q869" s="454"/>
      <c r="R869" s="454"/>
      <c r="S869" s="454"/>
      <c r="T869" s="454"/>
      <c r="U869" s="454"/>
      <c r="V869" s="454"/>
      <c r="W869" s="454"/>
      <c r="X869" s="454"/>
      <c r="Y869" s="454"/>
      <c r="Z869" s="454"/>
    </row>
    <row r="870" spans="1:26" ht="15.75" customHeight="1" x14ac:dyDescent="0.25">
      <c r="A870" s="454"/>
      <c r="B870" s="475"/>
      <c r="C870" s="475"/>
      <c r="D870" s="475"/>
      <c r="E870" s="476"/>
      <c r="F870" s="475"/>
      <c r="G870" s="454"/>
      <c r="H870" s="454"/>
      <c r="I870" s="454"/>
      <c r="J870" s="454"/>
      <c r="K870" s="454"/>
      <c r="L870" s="454"/>
      <c r="M870" s="454"/>
      <c r="N870" s="454"/>
      <c r="O870" s="454"/>
      <c r="P870" s="454"/>
      <c r="Q870" s="454"/>
      <c r="R870" s="454"/>
      <c r="S870" s="454"/>
      <c r="T870" s="454"/>
      <c r="U870" s="454"/>
      <c r="V870" s="454"/>
      <c r="W870" s="454"/>
      <c r="X870" s="454"/>
      <c r="Y870" s="454"/>
      <c r="Z870" s="454"/>
    </row>
    <row r="871" spans="1:26" ht="15.75" customHeight="1" x14ac:dyDescent="0.25">
      <c r="A871" s="454"/>
      <c r="B871" s="475"/>
      <c r="C871" s="475"/>
      <c r="D871" s="475"/>
      <c r="E871" s="476"/>
      <c r="F871" s="475"/>
      <c r="G871" s="454"/>
      <c r="H871" s="454"/>
      <c r="I871" s="454"/>
      <c r="J871" s="454"/>
      <c r="K871" s="454"/>
      <c r="L871" s="454"/>
      <c r="M871" s="454"/>
      <c r="N871" s="454"/>
      <c r="O871" s="454"/>
      <c r="P871" s="454"/>
      <c r="Q871" s="454"/>
      <c r="R871" s="454"/>
      <c r="S871" s="454"/>
      <c r="T871" s="454"/>
      <c r="U871" s="454"/>
      <c r="V871" s="454"/>
      <c r="W871" s="454"/>
      <c r="X871" s="454"/>
      <c r="Y871" s="454"/>
      <c r="Z871" s="454"/>
    </row>
    <row r="872" spans="1:26" ht="15.75" customHeight="1" x14ac:dyDescent="0.25">
      <c r="A872" s="454"/>
      <c r="B872" s="475"/>
      <c r="C872" s="475"/>
      <c r="D872" s="475"/>
      <c r="E872" s="476"/>
      <c r="F872" s="475"/>
      <c r="G872" s="454"/>
      <c r="H872" s="454"/>
      <c r="I872" s="454"/>
      <c r="J872" s="454"/>
      <c r="K872" s="454"/>
      <c r="L872" s="454"/>
      <c r="M872" s="454"/>
      <c r="N872" s="454"/>
      <c r="O872" s="454"/>
      <c r="P872" s="454"/>
      <c r="Q872" s="454"/>
      <c r="R872" s="454"/>
      <c r="S872" s="454"/>
      <c r="T872" s="454"/>
      <c r="U872" s="454"/>
      <c r="V872" s="454"/>
      <c r="W872" s="454"/>
      <c r="X872" s="454"/>
      <c r="Y872" s="454"/>
      <c r="Z872" s="454"/>
    </row>
    <row r="873" spans="1:26" ht="15.75" customHeight="1" x14ac:dyDescent="0.25">
      <c r="A873" s="454"/>
      <c r="B873" s="475"/>
      <c r="C873" s="475"/>
      <c r="D873" s="475"/>
      <c r="E873" s="476"/>
      <c r="F873" s="475"/>
      <c r="G873" s="454"/>
      <c r="H873" s="454"/>
      <c r="I873" s="454"/>
      <c r="J873" s="454"/>
      <c r="K873" s="454"/>
      <c r="L873" s="454"/>
      <c r="M873" s="454"/>
      <c r="N873" s="454"/>
      <c r="O873" s="454"/>
      <c r="P873" s="454"/>
      <c r="Q873" s="454"/>
      <c r="R873" s="454"/>
      <c r="S873" s="454"/>
      <c r="T873" s="454"/>
      <c r="U873" s="454"/>
      <c r="V873" s="454"/>
      <c r="W873" s="454"/>
      <c r="X873" s="454"/>
      <c r="Y873" s="454"/>
      <c r="Z873" s="454"/>
    </row>
    <row r="874" spans="1:26" ht="15.75" customHeight="1" x14ac:dyDescent="0.25">
      <c r="A874" s="454"/>
      <c r="B874" s="475"/>
      <c r="C874" s="475"/>
      <c r="D874" s="475"/>
      <c r="E874" s="476"/>
      <c r="F874" s="475"/>
      <c r="G874" s="454"/>
      <c r="H874" s="454"/>
      <c r="I874" s="454"/>
      <c r="J874" s="454"/>
      <c r="K874" s="454"/>
      <c r="L874" s="454"/>
      <c r="M874" s="454"/>
      <c r="N874" s="454"/>
      <c r="O874" s="454"/>
      <c r="P874" s="454"/>
      <c r="Q874" s="454"/>
      <c r="R874" s="454"/>
      <c r="S874" s="454"/>
      <c r="T874" s="454"/>
      <c r="U874" s="454"/>
      <c r="V874" s="454"/>
      <c r="W874" s="454"/>
      <c r="X874" s="454"/>
      <c r="Y874" s="454"/>
      <c r="Z874" s="454"/>
    </row>
    <row r="875" spans="1:26" ht="15.75" customHeight="1" x14ac:dyDescent="0.25">
      <c r="A875" s="454"/>
      <c r="B875" s="475"/>
      <c r="C875" s="475"/>
      <c r="D875" s="475"/>
      <c r="E875" s="476"/>
      <c r="F875" s="475"/>
      <c r="G875" s="454"/>
      <c r="H875" s="454"/>
      <c r="I875" s="454"/>
      <c r="J875" s="454"/>
      <c r="K875" s="454"/>
      <c r="L875" s="454"/>
      <c r="M875" s="454"/>
      <c r="N875" s="454"/>
      <c r="O875" s="454"/>
      <c r="P875" s="454"/>
      <c r="Q875" s="454"/>
      <c r="R875" s="454"/>
      <c r="S875" s="454"/>
      <c r="T875" s="454"/>
      <c r="U875" s="454"/>
      <c r="V875" s="454"/>
      <c r="W875" s="454"/>
      <c r="X875" s="454"/>
      <c r="Y875" s="454"/>
      <c r="Z875" s="454"/>
    </row>
    <row r="876" spans="1:26" ht="15.75" customHeight="1" x14ac:dyDescent="0.25">
      <c r="A876" s="454"/>
      <c r="B876" s="475"/>
      <c r="C876" s="475"/>
      <c r="D876" s="475"/>
      <c r="E876" s="476"/>
      <c r="F876" s="475"/>
      <c r="G876" s="454"/>
      <c r="H876" s="454"/>
      <c r="I876" s="454"/>
      <c r="J876" s="454"/>
      <c r="K876" s="454"/>
      <c r="L876" s="454"/>
      <c r="M876" s="454"/>
      <c r="N876" s="454"/>
      <c r="O876" s="454"/>
      <c r="P876" s="454"/>
      <c r="Q876" s="454"/>
      <c r="R876" s="454"/>
      <c r="S876" s="454"/>
      <c r="T876" s="454"/>
      <c r="U876" s="454"/>
      <c r="V876" s="454"/>
      <c r="W876" s="454"/>
      <c r="X876" s="454"/>
      <c r="Y876" s="454"/>
      <c r="Z876" s="454"/>
    </row>
    <row r="877" spans="1:26" ht="15.75" customHeight="1" x14ac:dyDescent="0.25">
      <c r="A877" s="454"/>
      <c r="B877" s="475"/>
      <c r="C877" s="475"/>
      <c r="D877" s="475"/>
      <c r="E877" s="476"/>
      <c r="F877" s="475"/>
      <c r="G877" s="454"/>
      <c r="H877" s="454"/>
      <c r="I877" s="454"/>
      <c r="J877" s="454"/>
      <c r="K877" s="454"/>
      <c r="L877" s="454"/>
      <c r="M877" s="454"/>
      <c r="N877" s="454"/>
      <c r="O877" s="454"/>
      <c r="P877" s="454"/>
      <c r="Q877" s="454"/>
      <c r="R877" s="454"/>
      <c r="S877" s="454"/>
      <c r="T877" s="454"/>
      <c r="U877" s="454"/>
      <c r="V877" s="454"/>
      <c r="W877" s="454"/>
      <c r="X877" s="454"/>
      <c r="Y877" s="454"/>
      <c r="Z877" s="454"/>
    </row>
    <row r="878" spans="1:26" ht="15.75" customHeight="1" x14ac:dyDescent="0.25">
      <c r="A878" s="454"/>
      <c r="B878" s="475"/>
      <c r="C878" s="475"/>
      <c r="D878" s="475"/>
      <c r="E878" s="476"/>
      <c r="F878" s="475"/>
      <c r="G878" s="454"/>
      <c r="H878" s="454"/>
      <c r="I878" s="454"/>
      <c r="J878" s="454"/>
      <c r="K878" s="454"/>
      <c r="L878" s="454"/>
      <c r="M878" s="454"/>
      <c r="N878" s="454"/>
      <c r="O878" s="454"/>
      <c r="P878" s="454"/>
      <c r="Q878" s="454"/>
      <c r="R878" s="454"/>
      <c r="S878" s="454"/>
      <c r="T878" s="454"/>
      <c r="U878" s="454"/>
      <c r="V878" s="454"/>
      <c r="W878" s="454"/>
      <c r="X878" s="454"/>
      <c r="Y878" s="454"/>
      <c r="Z878" s="454"/>
    </row>
    <row r="879" spans="1:26" ht="15.75" customHeight="1" x14ac:dyDescent="0.25">
      <c r="A879" s="454"/>
      <c r="B879" s="475"/>
      <c r="C879" s="475"/>
      <c r="D879" s="475"/>
      <c r="E879" s="476"/>
      <c r="F879" s="475"/>
      <c r="G879" s="454"/>
      <c r="H879" s="454"/>
      <c r="I879" s="454"/>
      <c r="J879" s="454"/>
      <c r="K879" s="454"/>
      <c r="L879" s="454"/>
      <c r="M879" s="454"/>
      <c r="N879" s="454"/>
      <c r="O879" s="454"/>
      <c r="P879" s="454"/>
      <c r="Q879" s="454"/>
      <c r="R879" s="454"/>
      <c r="S879" s="454"/>
      <c r="T879" s="454"/>
      <c r="U879" s="454"/>
      <c r="V879" s="454"/>
      <c r="W879" s="454"/>
      <c r="X879" s="454"/>
      <c r="Y879" s="454"/>
      <c r="Z879" s="454"/>
    </row>
    <row r="880" spans="1:26" ht="15.75" customHeight="1" x14ac:dyDescent="0.25">
      <c r="A880" s="454"/>
      <c r="B880" s="475"/>
      <c r="C880" s="475"/>
      <c r="D880" s="475"/>
      <c r="E880" s="476"/>
      <c r="F880" s="475"/>
      <c r="G880" s="454"/>
      <c r="H880" s="454"/>
      <c r="I880" s="454"/>
      <c r="J880" s="454"/>
      <c r="K880" s="454"/>
      <c r="L880" s="454"/>
      <c r="M880" s="454"/>
      <c r="N880" s="454"/>
      <c r="O880" s="454"/>
      <c r="P880" s="454"/>
      <c r="Q880" s="454"/>
      <c r="R880" s="454"/>
      <c r="S880" s="454"/>
      <c r="T880" s="454"/>
      <c r="U880" s="454"/>
      <c r="V880" s="454"/>
      <c r="W880" s="454"/>
      <c r="X880" s="454"/>
      <c r="Y880" s="454"/>
      <c r="Z880" s="454"/>
    </row>
    <row r="881" spans="1:26" ht="15.75" customHeight="1" x14ac:dyDescent="0.25">
      <c r="A881" s="454"/>
      <c r="B881" s="475"/>
      <c r="C881" s="475"/>
      <c r="D881" s="475"/>
      <c r="E881" s="476"/>
      <c r="F881" s="475"/>
      <c r="G881" s="454"/>
      <c r="H881" s="454"/>
      <c r="I881" s="454"/>
      <c r="J881" s="454"/>
      <c r="K881" s="454"/>
      <c r="L881" s="454"/>
      <c r="M881" s="454"/>
      <c r="N881" s="454"/>
      <c r="O881" s="454"/>
      <c r="P881" s="454"/>
      <c r="Q881" s="454"/>
      <c r="R881" s="454"/>
      <c r="S881" s="454"/>
      <c r="T881" s="454"/>
      <c r="U881" s="454"/>
      <c r="V881" s="454"/>
      <c r="W881" s="454"/>
      <c r="X881" s="454"/>
      <c r="Y881" s="454"/>
      <c r="Z881" s="454"/>
    </row>
    <row r="882" spans="1:26" ht="15.75" customHeight="1" x14ac:dyDescent="0.25">
      <c r="A882" s="454"/>
      <c r="B882" s="475"/>
      <c r="C882" s="475"/>
      <c r="D882" s="475"/>
      <c r="E882" s="476"/>
      <c r="F882" s="475"/>
      <c r="G882" s="454"/>
      <c r="H882" s="454"/>
      <c r="I882" s="454"/>
      <c r="J882" s="454"/>
      <c r="K882" s="454"/>
      <c r="L882" s="454"/>
      <c r="M882" s="454"/>
      <c r="N882" s="454"/>
      <c r="O882" s="454"/>
      <c r="P882" s="454"/>
      <c r="Q882" s="454"/>
      <c r="R882" s="454"/>
      <c r="S882" s="454"/>
      <c r="T882" s="454"/>
      <c r="U882" s="454"/>
      <c r="V882" s="454"/>
      <c r="W882" s="454"/>
      <c r="X882" s="454"/>
      <c r="Y882" s="454"/>
      <c r="Z882" s="454"/>
    </row>
    <row r="883" spans="1:26" ht="15.75" customHeight="1" x14ac:dyDescent="0.25">
      <c r="A883" s="454"/>
      <c r="B883" s="475"/>
      <c r="C883" s="475"/>
      <c r="D883" s="475"/>
      <c r="E883" s="476"/>
      <c r="F883" s="475"/>
      <c r="G883" s="454"/>
      <c r="H883" s="454"/>
      <c r="I883" s="454"/>
      <c r="J883" s="454"/>
      <c r="K883" s="454"/>
      <c r="L883" s="454"/>
      <c r="M883" s="454"/>
      <c r="N883" s="454"/>
      <c r="O883" s="454"/>
      <c r="P883" s="454"/>
      <c r="Q883" s="454"/>
      <c r="R883" s="454"/>
      <c r="S883" s="454"/>
      <c r="T883" s="454"/>
      <c r="U883" s="454"/>
      <c r="V883" s="454"/>
      <c r="W883" s="454"/>
      <c r="X883" s="454"/>
      <c r="Y883" s="454"/>
      <c r="Z883" s="454"/>
    </row>
    <row r="884" spans="1:26" ht="15.75" customHeight="1" x14ac:dyDescent="0.25">
      <c r="A884" s="454"/>
      <c r="B884" s="475"/>
      <c r="C884" s="475"/>
      <c r="D884" s="475"/>
      <c r="E884" s="476"/>
      <c r="F884" s="475"/>
      <c r="G884" s="454"/>
      <c r="H884" s="454"/>
      <c r="I884" s="454"/>
      <c r="J884" s="454"/>
      <c r="K884" s="454"/>
      <c r="L884" s="454"/>
      <c r="M884" s="454"/>
      <c r="N884" s="454"/>
      <c r="O884" s="454"/>
      <c r="P884" s="454"/>
      <c r="Q884" s="454"/>
      <c r="R884" s="454"/>
      <c r="S884" s="454"/>
      <c r="T884" s="454"/>
      <c r="U884" s="454"/>
      <c r="V884" s="454"/>
      <c r="W884" s="454"/>
      <c r="X884" s="454"/>
      <c r="Y884" s="454"/>
      <c r="Z884" s="454"/>
    </row>
    <row r="885" spans="1:26" ht="15.75" customHeight="1" x14ac:dyDescent="0.25">
      <c r="A885" s="454"/>
      <c r="B885" s="475"/>
      <c r="C885" s="475"/>
      <c r="D885" s="475"/>
      <c r="E885" s="476"/>
      <c r="F885" s="475"/>
      <c r="G885" s="454"/>
      <c r="H885" s="454"/>
      <c r="I885" s="454"/>
      <c r="J885" s="454"/>
      <c r="K885" s="454"/>
      <c r="L885" s="454"/>
      <c r="M885" s="454"/>
      <c r="N885" s="454"/>
      <c r="O885" s="454"/>
      <c r="P885" s="454"/>
      <c r="Q885" s="454"/>
      <c r="R885" s="454"/>
      <c r="S885" s="454"/>
      <c r="T885" s="454"/>
      <c r="U885" s="454"/>
      <c r="V885" s="454"/>
      <c r="W885" s="454"/>
      <c r="X885" s="454"/>
      <c r="Y885" s="454"/>
      <c r="Z885" s="454"/>
    </row>
    <row r="886" spans="1:26" ht="15.75" customHeight="1" x14ac:dyDescent="0.25">
      <c r="A886" s="454"/>
      <c r="B886" s="475"/>
      <c r="C886" s="475"/>
      <c r="D886" s="475"/>
      <c r="E886" s="476"/>
      <c r="F886" s="475"/>
      <c r="G886" s="454"/>
      <c r="H886" s="454"/>
      <c r="I886" s="454"/>
      <c r="J886" s="454"/>
      <c r="K886" s="454"/>
      <c r="L886" s="454"/>
      <c r="M886" s="454"/>
      <c r="N886" s="454"/>
      <c r="O886" s="454"/>
      <c r="P886" s="454"/>
      <c r="Q886" s="454"/>
      <c r="R886" s="454"/>
      <c r="S886" s="454"/>
      <c r="T886" s="454"/>
      <c r="U886" s="454"/>
      <c r="V886" s="454"/>
      <c r="W886" s="454"/>
      <c r="X886" s="454"/>
      <c r="Y886" s="454"/>
      <c r="Z886" s="454"/>
    </row>
    <row r="887" spans="1:26" ht="15.75" customHeight="1" x14ac:dyDescent="0.25">
      <c r="A887" s="454"/>
      <c r="B887" s="475"/>
      <c r="C887" s="475"/>
      <c r="D887" s="475"/>
      <c r="E887" s="476"/>
      <c r="F887" s="475"/>
      <c r="G887" s="454"/>
      <c r="H887" s="454"/>
      <c r="I887" s="454"/>
      <c r="J887" s="454"/>
      <c r="K887" s="454"/>
      <c r="L887" s="454"/>
      <c r="M887" s="454"/>
      <c r="N887" s="454"/>
      <c r="O887" s="454"/>
      <c r="P887" s="454"/>
      <c r="Q887" s="454"/>
      <c r="R887" s="454"/>
      <c r="S887" s="454"/>
      <c r="T887" s="454"/>
      <c r="U887" s="454"/>
      <c r="V887" s="454"/>
      <c r="W887" s="454"/>
      <c r="X887" s="454"/>
      <c r="Y887" s="454"/>
      <c r="Z887" s="454"/>
    </row>
    <row r="888" spans="1:26" ht="15.75" customHeight="1" x14ac:dyDescent="0.25">
      <c r="A888" s="454"/>
      <c r="B888" s="475"/>
      <c r="C888" s="475"/>
      <c r="D888" s="475"/>
      <c r="E888" s="476"/>
      <c r="F888" s="475"/>
      <c r="G888" s="454"/>
      <c r="H888" s="454"/>
      <c r="I888" s="454"/>
      <c r="J888" s="454"/>
      <c r="K888" s="454"/>
      <c r="L888" s="454"/>
      <c r="M888" s="454"/>
      <c r="N888" s="454"/>
      <c r="O888" s="454"/>
      <c r="P888" s="454"/>
      <c r="Q888" s="454"/>
      <c r="R888" s="454"/>
      <c r="S888" s="454"/>
      <c r="T888" s="454"/>
      <c r="U888" s="454"/>
      <c r="V888" s="454"/>
      <c r="W888" s="454"/>
      <c r="X888" s="454"/>
      <c r="Y888" s="454"/>
      <c r="Z888" s="454"/>
    </row>
    <row r="889" spans="1:26" ht="15.75" customHeight="1" x14ac:dyDescent="0.25">
      <c r="A889" s="454"/>
      <c r="B889" s="475"/>
      <c r="C889" s="475"/>
      <c r="D889" s="475"/>
      <c r="E889" s="476"/>
      <c r="F889" s="475"/>
      <c r="G889" s="454"/>
      <c r="H889" s="454"/>
      <c r="I889" s="454"/>
      <c r="J889" s="454"/>
      <c r="K889" s="454"/>
      <c r="L889" s="454"/>
      <c r="M889" s="454"/>
      <c r="N889" s="454"/>
      <c r="O889" s="454"/>
      <c r="P889" s="454"/>
      <c r="Q889" s="454"/>
      <c r="R889" s="454"/>
      <c r="S889" s="454"/>
      <c r="T889" s="454"/>
      <c r="U889" s="454"/>
      <c r="V889" s="454"/>
      <c r="W889" s="454"/>
      <c r="X889" s="454"/>
      <c r="Y889" s="454"/>
      <c r="Z889" s="454"/>
    </row>
    <row r="890" spans="1:26" ht="15.75" customHeight="1" x14ac:dyDescent="0.25">
      <c r="A890" s="454"/>
      <c r="B890" s="475"/>
      <c r="C890" s="475"/>
      <c r="D890" s="475"/>
      <c r="E890" s="476"/>
      <c r="F890" s="475"/>
      <c r="G890" s="454"/>
      <c r="H890" s="454"/>
      <c r="I890" s="454"/>
      <c r="J890" s="454"/>
      <c r="K890" s="454"/>
      <c r="L890" s="454"/>
      <c r="M890" s="454"/>
      <c r="N890" s="454"/>
      <c r="O890" s="454"/>
      <c r="P890" s="454"/>
      <c r="Q890" s="454"/>
      <c r="R890" s="454"/>
      <c r="S890" s="454"/>
      <c r="T890" s="454"/>
      <c r="U890" s="454"/>
      <c r="V890" s="454"/>
      <c r="W890" s="454"/>
      <c r="X890" s="454"/>
      <c r="Y890" s="454"/>
      <c r="Z890" s="454"/>
    </row>
    <row r="891" spans="1:26" ht="15.75" customHeight="1" x14ac:dyDescent="0.25">
      <c r="A891" s="454"/>
      <c r="B891" s="475"/>
      <c r="C891" s="475"/>
      <c r="D891" s="475"/>
      <c r="E891" s="476"/>
      <c r="F891" s="475"/>
      <c r="G891" s="454"/>
      <c r="H891" s="454"/>
      <c r="I891" s="454"/>
      <c r="J891" s="454"/>
      <c r="K891" s="454"/>
      <c r="L891" s="454"/>
      <c r="M891" s="454"/>
      <c r="N891" s="454"/>
      <c r="O891" s="454"/>
      <c r="P891" s="454"/>
      <c r="Q891" s="454"/>
      <c r="R891" s="454"/>
      <c r="S891" s="454"/>
      <c r="T891" s="454"/>
      <c r="U891" s="454"/>
      <c r="V891" s="454"/>
      <c r="W891" s="454"/>
      <c r="X891" s="454"/>
      <c r="Y891" s="454"/>
      <c r="Z891" s="454"/>
    </row>
    <row r="892" spans="1:26" ht="15.75" customHeight="1" x14ac:dyDescent="0.25">
      <c r="A892" s="454"/>
      <c r="B892" s="475"/>
      <c r="C892" s="475"/>
      <c r="D892" s="475"/>
      <c r="E892" s="476"/>
      <c r="F892" s="475"/>
      <c r="G892" s="454"/>
      <c r="H892" s="454"/>
      <c r="I892" s="454"/>
      <c r="J892" s="454"/>
      <c r="K892" s="454"/>
      <c r="L892" s="454"/>
      <c r="M892" s="454"/>
      <c r="N892" s="454"/>
      <c r="O892" s="454"/>
      <c r="P892" s="454"/>
      <c r="Q892" s="454"/>
      <c r="R892" s="454"/>
      <c r="S892" s="454"/>
      <c r="T892" s="454"/>
      <c r="U892" s="454"/>
      <c r="V892" s="454"/>
      <c r="W892" s="454"/>
      <c r="X892" s="454"/>
      <c r="Y892" s="454"/>
      <c r="Z892" s="454"/>
    </row>
    <row r="893" spans="1:26" ht="15.75" customHeight="1" x14ac:dyDescent="0.25">
      <c r="A893" s="454"/>
      <c r="B893" s="475"/>
      <c r="C893" s="475"/>
      <c r="D893" s="475"/>
      <c r="E893" s="476"/>
      <c r="F893" s="475"/>
      <c r="G893" s="454"/>
      <c r="H893" s="454"/>
      <c r="I893" s="454"/>
      <c r="J893" s="454"/>
      <c r="K893" s="454"/>
      <c r="L893" s="454"/>
      <c r="M893" s="454"/>
      <c r="N893" s="454"/>
      <c r="O893" s="454"/>
      <c r="P893" s="454"/>
      <c r="Q893" s="454"/>
      <c r="R893" s="454"/>
      <c r="S893" s="454"/>
      <c r="T893" s="454"/>
      <c r="U893" s="454"/>
      <c r="V893" s="454"/>
      <c r="W893" s="454"/>
      <c r="X893" s="454"/>
      <c r="Y893" s="454"/>
      <c r="Z893" s="454"/>
    </row>
    <row r="894" spans="1:26" ht="15.75" customHeight="1" x14ac:dyDescent="0.25">
      <c r="A894" s="454"/>
      <c r="B894" s="475"/>
      <c r="C894" s="475"/>
      <c r="D894" s="475"/>
      <c r="E894" s="476"/>
      <c r="F894" s="475"/>
      <c r="G894" s="454"/>
      <c r="H894" s="454"/>
      <c r="I894" s="454"/>
      <c r="J894" s="454"/>
      <c r="K894" s="454"/>
      <c r="L894" s="454"/>
      <c r="M894" s="454"/>
      <c r="N894" s="454"/>
      <c r="O894" s="454"/>
      <c r="P894" s="454"/>
      <c r="Q894" s="454"/>
      <c r="R894" s="454"/>
      <c r="S894" s="454"/>
      <c r="T894" s="454"/>
      <c r="U894" s="454"/>
      <c r="V894" s="454"/>
      <c r="W894" s="454"/>
      <c r="X894" s="454"/>
      <c r="Y894" s="454"/>
      <c r="Z894" s="454"/>
    </row>
    <row r="895" spans="1:26" ht="15.75" customHeight="1" x14ac:dyDescent="0.25">
      <c r="A895" s="454"/>
      <c r="B895" s="475"/>
      <c r="C895" s="475"/>
      <c r="D895" s="475"/>
      <c r="E895" s="476"/>
      <c r="F895" s="475"/>
      <c r="G895" s="454"/>
      <c r="H895" s="454"/>
      <c r="I895" s="454"/>
      <c r="J895" s="454"/>
      <c r="K895" s="454"/>
      <c r="L895" s="454"/>
      <c r="M895" s="454"/>
      <c r="N895" s="454"/>
      <c r="O895" s="454"/>
      <c r="P895" s="454"/>
      <c r="Q895" s="454"/>
      <c r="R895" s="454"/>
      <c r="S895" s="454"/>
      <c r="T895" s="454"/>
      <c r="U895" s="454"/>
      <c r="V895" s="454"/>
      <c r="W895" s="454"/>
      <c r="X895" s="454"/>
      <c r="Y895" s="454"/>
      <c r="Z895" s="454"/>
    </row>
    <row r="896" spans="1:26" ht="15.75" customHeight="1" x14ac:dyDescent="0.25">
      <c r="A896" s="454"/>
      <c r="B896" s="475"/>
      <c r="C896" s="475"/>
      <c r="D896" s="475"/>
      <c r="E896" s="476"/>
      <c r="F896" s="475"/>
      <c r="G896" s="454"/>
      <c r="H896" s="454"/>
      <c r="I896" s="454"/>
      <c r="J896" s="454"/>
      <c r="K896" s="454"/>
      <c r="L896" s="454"/>
      <c r="M896" s="454"/>
      <c r="N896" s="454"/>
      <c r="O896" s="454"/>
      <c r="P896" s="454"/>
      <c r="Q896" s="454"/>
      <c r="R896" s="454"/>
      <c r="S896" s="454"/>
      <c r="T896" s="454"/>
      <c r="U896" s="454"/>
      <c r="V896" s="454"/>
      <c r="W896" s="454"/>
      <c r="X896" s="454"/>
      <c r="Y896" s="454"/>
      <c r="Z896" s="454"/>
    </row>
    <row r="897" spans="1:26" ht="15.75" customHeight="1" x14ac:dyDescent="0.25">
      <c r="A897" s="454"/>
      <c r="B897" s="475"/>
      <c r="C897" s="475"/>
      <c r="D897" s="475"/>
      <c r="E897" s="476"/>
      <c r="F897" s="475"/>
      <c r="G897" s="454"/>
      <c r="H897" s="454"/>
      <c r="I897" s="454"/>
      <c r="J897" s="454"/>
      <c r="K897" s="454"/>
      <c r="L897" s="454"/>
      <c r="M897" s="454"/>
      <c r="N897" s="454"/>
      <c r="O897" s="454"/>
      <c r="P897" s="454"/>
      <c r="Q897" s="454"/>
      <c r="R897" s="454"/>
      <c r="S897" s="454"/>
      <c r="T897" s="454"/>
      <c r="U897" s="454"/>
      <c r="V897" s="454"/>
      <c r="W897" s="454"/>
      <c r="X897" s="454"/>
      <c r="Y897" s="454"/>
      <c r="Z897" s="454"/>
    </row>
    <row r="898" spans="1:26" ht="15.75" customHeight="1" x14ac:dyDescent="0.25">
      <c r="A898" s="454"/>
      <c r="B898" s="475"/>
      <c r="C898" s="475"/>
      <c r="D898" s="475"/>
      <c r="E898" s="476"/>
      <c r="F898" s="475"/>
      <c r="G898" s="454"/>
      <c r="H898" s="454"/>
      <c r="I898" s="454"/>
      <c r="J898" s="454"/>
      <c r="K898" s="454"/>
      <c r="L898" s="454"/>
      <c r="M898" s="454"/>
      <c r="N898" s="454"/>
      <c r="O898" s="454"/>
      <c r="P898" s="454"/>
      <c r="Q898" s="454"/>
      <c r="R898" s="454"/>
      <c r="S898" s="454"/>
      <c r="T898" s="454"/>
      <c r="U898" s="454"/>
      <c r="V898" s="454"/>
      <c r="W898" s="454"/>
      <c r="X898" s="454"/>
      <c r="Y898" s="454"/>
      <c r="Z898" s="454"/>
    </row>
    <row r="899" spans="1:26" ht="15.75" customHeight="1" x14ac:dyDescent="0.25">
      <c r="A899" s="454"/>
      <c r="B899" s="475"/>
      <c r="C899" s="475"/>
      <c r="D899" s="475"/>
      <c r="E899" s="476"/>
      <c r="F899" s="475"/>
      <c r="G899" s="454"/>
      <c r="H899" s="454"/>
      <c r="I899" s="454"/>
      <c r="J899" s="454"/>
      <c r="K899" s="454"/>
      <c r="L899" s="454"/>
      <c r="M899" s="454"/>
      <c r="N899" s="454"/>
      <c r="O899" s="454"/>
      <c r="P899" s="454"/>
      <c r="Q899" s="454"/>
      <c r="R899" s="454"/>
      <c r="S899" s="454"/>
      <c r="T899" s="454"/>
      <c r="U899" s="454"/>
      <c r="V899" s="454"/>
      <c r="W899" s="454"/>
      <c r="X899" s="454"/>
      <c r="Y899" s="454"/>
      <c r="Z899" s="454"/>
    </row>
    <row r="900" spans="1:26" ht="15.75" customHeight="1" x14ac:dyDescent="0.25">
      <c r="A900" s="454"/>
      <c r="B900" s="475"/>
      <c r="C900" s="475"/>
      <c r="D900" s="475"/>
      <c r="E900" s="476"/>
      <c r="F900" s="475"/>
      <c r="G900" s="454"/>
      <c r="H900" s="454"/>
      <c r="I900" s="454"/>
      <c r="J900" s="454"/>
      <c r="K900" s="454"/>
      <c r="L900" s="454"/>
      <c r="M900" s="454"/>
      <c r="N900" s="454"/>
      <c r="O900" s="454"/>
      <c r="P900" s="454"/>
      <c r="Q900" s="454"/>
      <c r="R900" s="454"/>
      <c r="S900" s="454"/>
      <c r="T900" s="454"/>
      <c r="U900" s="454"/>
      <c r="V900" s="454"/>
      <c r="W900" s="454"/>
      <c r="X900" s="454"/>
      <c r="Y900" s="454"/>
      <c r="Z900" s="454"/>
    </row>
    <row r="901" spans="1:26" ht="15.75" customHeight="1" x14ac:dyDescent="0.25">
      <c r="A901" s="454"/>
      <c r="B901" s="475"/>
      <c r="C901" s="475"/>
      <c r="D901" s="475"/>
      <c r="E901" s="476"/>
      <c r="F901" s="475"/>
      <c r="G901" s="454"/>
      <c r="H901" s="454"/>
      <c r="I901" s="454"/>
      <c r="J901" s="454"/>
      <c r="K901" s="454"/>
      <c r="L901" s="454"/>
      <c r="M901" s="454"/>
      <c r="N901" s="454"/>
      <c r="O901" s="454"/>
      <c r="P901" s="454"/>
      <c r="Q901" s="454"/>
      <c r="R901" s="454"/>
      <c r="S901" s="454"/>
      <c r="T901" s="454"/>
      <c r="U901" s="454"/>
      <c r="V901" s="454"/>
      <c r="W901" s="454"/>
      <c r="X901" s="454"/>
      <c r="Y901" s="454"/>
      <c r="Z901" s="454"/>
    </row>
    <row r="902" spans="1:26" ht="15.75" customHeight="1" x14ac:dyDescent="0.25">
      <c r="A902" s="454"/>
      <c r="B902" s="475"/>
      <c r="C902" s="475"/>
      <c r="D902" s="475"/>
      <c r="E902" s="476"/>
      <c r="F902" s="475"/>
      <c r="G902" s="454"/>
      <c r="H902" s="454"/>
      <c r="I902" s="454"/>
      <c r="J902" s="454"/>
      <c r="K902" s="454"/>
      <c r="L902" s="454"/>
      <c r="M902" s="454"/>
      <c r="N902" s="454"/>
      <c r="O902" s="454"/>
      <c r="P902" s="454"/>
      <c r="Q902" s="454"/>
      <c r="R902" s="454"/>
      <c r="S902" s="454"/>
      <c r="T902" s="454"/>
      <c r="U902" s="454"/>
      <c r="V902" s="454"/>
      <c r="W902" s="454"/>
      <c r="X902" s="454"/>
      <c r="Y902" s="454"/>
      <c r="Z902" s="454"/>
    </row>
    <row r="903" spans="1:26" ht="15.75" customHeight="1" x14ac:dyDescent="0.25">
      <c r="A903" s="454"/>
      <c r="B903" s="475"/>
      <c r="C903" s="475"/>
      <c r="D903" s="475"/>
      <c r="E903" s="476"/>
      <c r="F903" s="475"/>
      <c r="G903" s="454"/>
      <c r="H903" s="454"/>
      <c r="I903" s="454"/>
      <c r="J903" s="454"/>
      <c r="K903" s="454"/>
      <c r="L903" s="454"/>
      <c r="M903" s="454"/>
      <c r="N903" s="454"/>
      <c r="O903" s="454"/>
      <c r="P903" s="454"/>
      <c r="Q903" s="454"/>
      <c r="R903" s="454"/>
      <c r="S903" s="454"/>
      <c r="T903" s="454"/>
      <c r="U903" s="454"/>
      <c r="V903" s="454"/>
      <c r="W903" s="454"/>
      <c r="X903" s="454"/>
      <c r="Y903" s="454"/>
      <c r="Z903" s="454"/>
    </row>
    <row r="904" spans="1:26" ht="15.75" customHeight="1" x14ac:dyDescent="0.25">
      <c r="A904" s="454"/>
      <c r="B904" s="475"/>
      <c r="C904" s="475"/>
      <c r="D904" s="475"/>
      <c r="E904" s="476"/>
      <c r="F904" s="475"/>
      <c r="G904" s="454"/>
      <c r="H904" s="454"/>
      <c r="I904" s="454"/>
      <c r="J904" s="454"/>
      <c r="K904" s="454"/>
      <c r="L904" s="454"/>
      <c r="M904" s="454"/>
      <c r="N904" s="454"/>
      <c r="O904" s="454"/>
      <c r="P904" s="454"/>
      <c r="Q904" s="454"/>
      <c r="R904" s="454"/>
      <c r="S904" s="454"/>
      <c r="T904" s="454"/>
      <c r="U904" s="454"/>
      <c r="V904" s="454"/>
      <c r="W904" s="454"/>
      <c r="X904" s="454"/>
      <c r="Y904" s="454"/>
      <c r="Z904" s="454"/>
    </row>
    <row r="905" spans="1:26" ht="15.75" customHeight="1" x14ac:dyDescent="0.25">
      <c r="A905" s="454"/>
      <c r="B905" s="475"/>
      <c r="C905" s="475"/>
      <c r="D905" s="475"/>
      <c r="E905" s="476"/>
      <c r="F905" s="475"/>
      <c r="G905" s="454"/>
      <c r="H905" s="454"/>
      <c r="I905" s="454"/>
      <c r="J905" s="454"/>
      <c r="K905" s="454"/>
      <c r="L905" s="454"/>
      <c r="M905" s="454"/>
      <c r="N905" s="454"/>
      <c r="O905" s="454"/>
      <c r="P905" s="454"/>
      <c r="Q905" s="454"/>
      <c r="R905" s="454"/>
      <c r="S905" s="454"/>
      <c r="T905" s="454"/>
      <c r="U905" s="454"/>
      <c r="V905" s="454"/>
      <c r="W905" s="454"/>
      <c r="X905" s="454"/>
      <c r="Y905" s="454"/>
      <c r="Z905" s="454"/>
    </row>
    <row r="906" spans="1:26" ht="15.75" customHeight="1" x14ac:dyDescent="0.25">
      <c r="A906" s="454"/>
      <c r="B906" s="475"/>
      <c r="C906" s="475"/>
      <c r="D906" s="475"/>
      <c r="E906" s="476"/>
      <c r="F906" s="475"/>
      <c r="G906" s="454"/>
      <c r="H906" s="454"/>
      <c r="I906" s="454"/>
      <c r="J906" s="454"/>
      <c r="K906" s="454"/>
      <c r="L906" s="454"/>
      <c r="M906" s="454"/>
      <c r="N906" s="454"/>
      <c r="O906" s="454"/>
      <c r="P906" s="454"/>
      <c r="Q906" s="454"/>
      <c r="R906" s="454"/>
      <c r="S906" s="454"/>
      <c r="T906" s="454"/>
      <c r="U906" s="454"/>
      <c r="V906" s="454"/>
      <c r="W906" s="454"/>
      <c r="X906" s="454"/>
      <c r="Y906" s="454"/>
      <c r="Z906" s="454"/>
    </row>
    <row r="907" spans="1:26" ht="15.75" customHeight="1" x14ac:dyDescent="0.25">
      <c r="A907" s="454"/>
      <c r="B907" s="475"/>
      <c r="C907" s="475"/>
      <c r="D907" s="475"/>
      <c r="E907" s="476"/>
      <c r="F907" s="475"/>
      <c r="G907" s="454"/>
      <c r="H907" s="454"/>
      <c r="I907" s="454"/>
      <c r="J907" s="454"/>
      <c r="K907" s="454"/>
      <c r="L907" s="454"/>
      <c r="M907" s="454"/>
      <c r="N907" s="454"/>
      <c r="O907" s="454"/>
      <c r="P907" s="454"/>
      <c r="Q907" s="454"/>
      <c r="R907" s="454"/>
      <c r="S907" s="454"/>
      <c r="T907" s="454"/>
      <c r="U907" s="454"/>
      <c r="V907" s="454"/>
      <c r="W907" s="454"/>
      <c r="X907" s="454"/>
      <c r="Y907" s="454"/>
      <c r="Z907" s="454"/>
    </row>
    <row r="908" spans="1:26" ht="15.75" customHeight="1" x14ac:dyDescent="0.25">
      <c r="A908" s="454"/>
      <c r="B908" s="475"/>
      <c r="C908" s="475"/>
      <c r="D908" s="475"/>
      <c r="E908" s="476"/>
      <c r="F908" s="475"/>
      <c r="G908" s="454"/>
      <c r="H908" s="454"/>
      <c r="I908" s="454"/>
      <c r="J908" s="454"/>
      <c r="K908" s="454"/>
      <c r="L908" s="454"/>
      <c r="M908" s="454"/>
      <c r="N908" s="454"/>
      <c r="O908" s="454"/>
      <c r="P908" s="454"/>
      <c r="Q908" s="454"/>
      <c r="R908" s="454"/>
      <c r="S908" s="454"/>
      <c r="T908" s="454"/>
      <c r="U908" s="454"/>
      <c r="V908" s="454"/>
      <c r="W908" s="454"/>
      <c r="X908" s="454"/>
      <c r="Y908" s="454"/>
      <c r="Z908" s="454"/>
    </row>
    <row r="909" spans="1:26" ht="15.75" customHeight="1" x14ac:dyDescent="0.25">
      <c r="A909" s="454"/>
      <c r="B909" s="475"/>
      <c r="C909" s="475"/>
      <c r="D909" s="475"/>
      <c r="E909" s="476"/>
      <c r="F909" s="475"/>
      <c r="G909" s="454"/>
      <c r="H909" s="454"/>
      <c r="I909" s="454"/>
      <c r="J909" s="454"/>
      <c r="K909" s="454"/>
      <c r="L909" s="454"/>
      <c r="M909" s="454"/>
      <c r="N909" s="454"/>
      <c r="O909" s="454"/>
      <c r="P909" s="454"/>
      <c r="Q909" s="454"/>
      <c r="R909" s="454"/>
      <c r="S909" s="454"/>
      <c r="T909" s="454"/>
      <c r="U909" s="454"/>
      <c r="V909" s="454"/>
      <c r="W909" s="454"/>
      <c r="X909" s="454"/>
      <c r="Y909" s="454"/>
      <c r="Z909" s="454"/>
    </row>
    <row r="910" spans="1:26" ht="15.75" customHeight="1" x14ac:dyDescent="0.25">
      <c r="A910" s="454"/>
      <c r="B910" s="475"/>
      <c r="C910" s="475"/>
      <c r="D910" s="475"/>
      <c r="E910" s="476"/>
      <c r="F910" s="475"/>
      <c r="G910" s="454"/>
      <c r="H910" s="454"/>
      <c r="I910" s="454"/>
      <c r="J910" s="454"/>
      <c r="K910" s="454"/>
      <c r="L910" s="454"/>
      <c r="M910" s="454"/>
      <c r="N910" s="454"/>
      <c r="O910" s="454"/>
      <c r="P910" s="454"/>
      <c r="Q910" s="454"/>
      <c r="R910" s="454"/>
      <c r="S910" s="454"/>
      <c r="T910" s="454"/>
      <c r="U910" s="454"/>
      <c r="V910" s="454"/>
      <c r="W910" s="454"/>
      <c r="X910" s="454"/>
      <c r="Y910" s="454"/>
      <c r="Z910" s="454"/>
    </row>
    <row r="911" spans="1:26" ht="15.75" customHeight="1" x14ac:dyDescent="0.25">
      <c r="A911" s="454"/>
      <c r="B911" s="475"/>
      <c r="C911" s="475"/>
      <c r="D911" s="475"/>
      <c r="E911" s="476"/>
      <c r="F911" s="475"/>
      <c r="G911" s="454"/>
      <c r="H911" s="454"/>
      <c r="I911" s="454"/>
      <c r="J911" s="454"/>
      <c r="K911" s="454"/>
      <c r="L911" s="454"/>
      <c r="M911" s="454"/>
      <c r="N911" s="454"/>
      <c r="O911" s="454"/>
      <c r="P911" s="454"/>
      <c r="Q911" s="454"/>
      <c r="R911" s="454"/>
      <c r="S911" s="454"/>
      <c r="T911" s="454"/>
      <c r="U911" s="454"/>
      <c r="V911" s="454"/>
      <c r="W911" s="454"/>
      <c r="X911" s="454"/>
      <c r="Y911" s="454"/>
      <c r="Z911" s="454"/>
    </row>
    <row r="912" spans="1:26" ht="15.75" customHeight="1" x14ac:dyDescent="0.25">
      <c r="A912" s="454"/>
      <c r="B912" s="475"/>
      <c r="C912" s="475"/>
      <c r="D912" s="475"/>
      <c r="E912" s="476"/>
      <c r="F912" s="475"/>
      <c r="G912" s="454"/>
      <c r="H912" s="454"/>
      <c r="I912" s="454"/>
      <c r="J912" s="454"/>
      <c r="K912" s="454"/>
      <c r="L912" s="454"/>
      <c r="M912" s="454"/>
      <c r="N912" s="454"/>
      <c r="O912" s="454"/>
      <c r="P912" s="454"/>
      <c r="Q912" s="454"/>
      <c r="R912" s="454"/>
      <c r="S912" s="454"/>
      <c r="T912" s="454"/>
      <c r="U912" s="454"/>
      <c r="V912" s="454"/>
      <c r="W912" s="454"/>
      <c r="X912" s="454"/>
      <c r="Y912" s="454"/>
      <c r="Z912" s="454"/>
    </row>
    <row r="913" spans="1:26" ht="15.75" customHeight="1" x14ac:dyDescent="0.25">
      <c r="A913" s="454"/>
      <c r="B913" s="475"/>
      <c r="C913" s="475"/>
      <c r="D913" s="475"/>
      <c r="E913" s="476"/>
      <c r="F913" s="475"/>
      <c r="G913" s="454"/>
      <c r="H913" s="454"/>
      <c r="I913" s="454"/>
      <c r="J913" s="454"/>
      <c r="K913" s="454"/>
      <c r="L913" s="454"/>
      <c r="M913" s="454"/>
      <c r="N913" s="454"/>
      <c r="O913" s="454"/>
      <c r="P913" s="454"/>
      <c r="Q913" s="454"/>
      <c r="R913" s="454"/>
      <c r="S913" s="454"/>
      <c r="T913" s="454"/>
      <c r="U913" s="454"/>
      <c r="V913" s="454"/>
      <c r="W913" s="454"/>
      <c r="X913" s="454"/>
      <c r="Y913" s="454"/>
      <c r="Z913" s="454"/>
    </row>
    <row r="914" spans="1:26" ht="15.75" customHeight="1" x14ac:dyDescent="0.25">
      <c r="A914" s="454"/>
      <c r="B914" s="475"/>
      <c r="C914" s="475"/>
      <c r="D914" s="475"/>
      <c r="E914" s="476"/>
      <c r="F914" s="475"/>
      <c r="G914" s="454"/>
      <c r="H914" s="454"/>
      <c r="I914" s="454"/>
      <c r="J914" s="454"/>
      <c r="K914" s="454"/>
      <c r="L914" s="454"/>
      <c r="M914" s="454"/>
      <c r="N914" s="454"/>
      <c r="O914" s="454"/>
      <c r="P914" s="454"/>
      <c r="Q914" s="454"/>
      <c r="R914" s="454"/>
      <c r="S914" s="454"/>
      <c r="T914" s="454"/>
      <c r="U914" s="454"/>
      <c r="V914" s="454"/>
      <c r="W914" s="454"/>
      <c r="X914" s="454"/>
      <c r="Y914" s="454"/>
      <c r="Z914" s="454"/>
    </row>
    <row r="915" spans="1:26" ht="15.75" customHeight="1" x14ac:dyDescent="0.25">
      <c r="A915" s="454"/>
      <c r="B915" s="475"/>
      <c r="C915" s="475"/>
      <c r="D915" s="475"/>
      <c r="E915" s="476"/>
      <c r="F915" s="475"/>
      <c r="G915" s="454"/>
      <c r="H915" s="454"/>
      <c r="I915" s="454"/>
      <c r="J915" s="454"/>
      <c r="K915" s="454"/>
      <c r="L915" s="454"/>
      <c r="M915" s="454"/>
      <c r="N915" s="454"/>
      <c r="O915" s="454"/>
      <c r="P915" s="454"/>
      <c r="Q915" s="454"/>
      <c r="R915" s="454"/>
      <c r="S915" s="454"/>
      <c r="T915" s="454"/>
      <c r="U915" s="454"/>
      <c r="V915" s="454"/>
      <c r="W915" s="454"/>
      <c r="X915" s="454"/>
      <c r="Y915" s="454"/>
      <c r="Z915" s="454"/>
    </row>
    <row r="916" spans="1:26" ht="15.75" customHeight="1" x14ac:dyDescent="0.25">
      <c r="A916" s="454"/>
      <c r="B916" s="475"/>
      <c r="C916" s="475"/>
      <c r="D916" s="475"/>
      <c r="E916" s="476"/>
      <c r="F916" s="475"/>
      <c r="G916" s="454"/>
      <c r="H916" s="454"/>
      <c r="I916" s="454"/>
      <c r="J916" s="454"/>
      <c r="K916" s="454"/>
      <c r="L916" s="454"/>
      <c r="M916" s="454"/>
      <c r="N916" s="454"/>
      <c r="O916" s="454"/>
      <c r="P916" s="454"/>
      <c r="Q916" s="454"/>
      <c r="R916" s="454"/>
      <c r="S916" s="454"/>
      <c r="T916" s="454"/>
      <c r="U916" s="454"/>
      <c r="V916" s="454"/>
      <c r="W916" s="454"/>
      <c r="X916" s="454"/>
      <c r="Y916" s="454"/>
      <c r="Z916" s="454"/>
    </row>
    <row r="917" spans="1:26" ht="15.75" customHeight="1" x14ac:dyDescent="0.25">
      <c r="A917" s="454"/>
      <c r="B917" s="475"/>
      <c r="C917" s="475"/>
      <c r="D917" s="475"/>
      <c r="E917" s="476"/>
      <c r="F917" s="475"/>
      <c r="G917" s="454"/>
      <c r="H917" s="454"/>
      <c r="I917" s="454"/>
      <c r="J917" s="454"/>
      <c r="K917" s="454"/>
      <c r="L917" s="454"/>
      <c r="M917" s="454"/>
      <c r="N917" s="454"/>
      <c r="O917" s="454"/>
      <c r="P917" s="454"/>
      <c r="Q917" s="454"/>
      <c r="R917" s="454"/>
      <c r="S917" s="454"/>
      <c r="T917" s="454"/>
      <c r="U917" s="454"/>
      <c r="V917" s="454"/>
      <c r="W917" s="454"/>
      <c r="X917" s="454"/>
      <c r="Y917" s="454"/>
      <c r="Z917" s="454"/>
    </row>
    <row r="918" spans="1:26" ht="15.75" customHeight="1" x14ac:dyDescent="0.25">
      <c r="A918" s="454"/>
      <c r="B918" s="475"/>
      <c r="C918" s="475"/>
      <c r="D918" s="475"/>
      <c r="E918" s="476"/>
      <c r="F918" s="475"/>
      <c r="G918" s="454"/>
      <c r="H918" s="454"/>
      <c r="I918" s="454"/>
      <c r="J918" s="454"/>
      <c r="K918" s="454"/>
      <c r="L918" s="454"/>
      <c r="M918" s="454"/>
      <c r="N918" s="454"/>
      <c r="O918" s="454"/>
      <c r="P918" s="454"/>
      <c r="Q918" s="454"/>
      <c r="R918" s="454"/>
      <c r="S918" s="454"/>
      <c r="T918" s="454"/>
      <c r="U918" s="454"/>
      <c r="V918" s="454"/>
      <c r="W918" s="454"/>
      <c r="X918" s="454"/>
      <c r="Y918" s="454"/>
      <c r="Z918" s="454"/>
    </row>
    <row r="919" spans="1:26" ht="15.75" customHeight="1" x14ac:dyDescent="0.25">
      <c r="A919" s="454"/>
      <c r="B919" s="475"/>
      <c r="C919" s="475"/>
      <c r="D919" s="475"/>
      <c r="E919" s="476"/>
      <c r="F919" s="475"/>
      <c r="G919" s="454"/>
      <c r="H919" s="454"/>
      <c r="I919" s="454"/>
      <c r="J919" s="454"/>
      <c r="K919" s="454"/>
      <c r="L919" s="454"/>
      <c r="M919" s="454"/>
      <c r="N919" s="454"/>
      <c r="O919" s="454"/>
      <c r="P919" s="454"/>
      <c r="Q919" s="454"/>
      <c r="R919" s="454"/>
      <c r="S919" s="454"/>
      <c r="T919" s="454"/>
      <c r="U919" s="454"/>
      <c r="V919" s="454"/>
      <c r="W919" s="454"/>
      <c r="X919" s="454"/>
      <c r="Y919" s="454"/>
      <c r="Z919" s="454"/>
    </row>
    <row r="920" spans="1:26" ht="15.75" customHeight="1" x14ac:dyDescent="0.25">
      <c r="A920" s="454"/>
      <c r="B920" s="475"/>
      <c r="C920" s="475"/>
      <c r="D920" s="475"/>
      <c r="E920" s="476"/>
      <c r="F920" s="475"/>
      <c r="G920" s="454"/>
      <c r="H920" s="454"/>
      <c r="I920" s="454"/>
      <c r="J920" s="454"/>
      <c r="K920" s="454"/>
      <c r="L920" s="454"/>
      <c r="M920" s="454"/>
      <c r="N920" s="454"/>
      <c r="O920" s="454"/>
      <c r="P920" s="454"/>
      <c r="Q920" s="454"/>
      <c r="R920" s="454"/>
      <c r="S920" s="454"/>
      <c r="T920" s="454"/>
      <c r="U920" s="454"/>
      <c r="V920" s="454"/>
      <c r="W920" s="454"/>
      <c r="X920" s="454"/>
      <c r="Y920" s="454"/>
      <c r="Z920" s="454"/>
    </row>
    <row r="921" spans="1:26" ht="15.75" customHeight="1" x14ac:dyDescent="0.25">
      <c r="A921" s="454"/>
      <c r="B921" s="475"/>
      <c r="C921" s="475"/>
      <c r="D921" s="475"/>
      <c r="E921" s="476"/>
      <c r="F921" s="475"/>
      <c r="G921" s="454"/>
      <c r="H921" s="454"/>
      <c r="I921" s="454"/>
      <c r="J921" s="454"/>
      <c r="K921" s="454"/>
      <c r="L921" s="454"/>
      <c r="M921" s="454"/>
      <c r="N921" s="454"/>
      <c r="O921" s="454"/>
      <c r="P921" s="454"/>
      <c r="Q921" s="454"/>
      <c r="R921" s="454"/>
      <c r="S921" s="454"/>
      <c r="T921" s="454"/>
      <c r="U921" s="454"/>
      <c r="V921" s="454"/>
      <c r="W921" s="454"/>
      <c r="X921" s="454"/>
      <c r="Y921" s="454"/>
      <c r="Z921" s="454"/>
    </row>
    <row r="922" spans="1:26" ht="15.75" customHeight="1" x14ac:dyDescent="0.25">
      <c r="A922" s="454"/>
      <c r="B922" s="475"/>
      <c r="C922" s="475"/>
      <c r="D922" s="475"/>
      <c r="E922" s="476"/>
      <c r="F922" s="475"/>
      <c r="G922" s="454"/>
      <c r="H922" s="454"/>
      <c r="I922" s="454"/>
      <c r="J922" s="454"/>
      <c r="K922" s="454"/>
      <c r="L922" s="454"/>
      <c r="M922" s="454"/>
      <c r="N922" s="454"/>
      <c r="O922" s="454"/>
      <c r="P922" s="454"/>
      <c r="Q922" s="454"/>
      <c r="R922" s="454"/>
      <c r="S922" s="454"/>
      <c r="T922" s="454"/>
      <c r="U922" s="454"/>
      <c r="V922" s="454"/>
      <c r="W922" s="454"/>
      <c r="X922" s="454"/>
      <c r="Y922" s="454"/>
      <c r="Z922" s="454"/>
    </row>
    <row r="923" spans="1:26" ht="15.75" customHeight="1" x14ac:dyDescent="0.25">
      <c r="A923" s="454"/>
      <c r="B923" s="475"/>
      <c r="C923" s="475"/>
      <c r="D923" s="475"/>
      <c r="E923" s="476"/>
      <c r="F923" s="475"/>
      <c r="G923" s="454"/>
      <c r="H923" s="454"/>
      <c r="I923" s="454"/>
      <c r="J923" s="454"/>
      <c r="K923" s="454"/>
      <c r="L923" s="454"/>
      <c r="M923" s="454"/>
      <c r="N923" s="454"/>
      <c r="O923" s="454"/>
      <c r="P923" s="454"/>
      <c r="Q923" s="454"/>
      <c r="R923" s="454"/>
      <c r="S923" s="454"/>
      <c r="T923" s="454"/>
      <c r="U923" s="454"/>
      <c r="V923" s="454"/>
      <c r="W923" s="454"/>
      <c r="X923" s="454"/>
      <c r="Y923" s="454"/>
      <c r="Z923" s="454"/>
    </row>
    <row r="924" spans="1:26" ht="15.75" customHeight="1" x14ac:dyDescent="0.25">
      <c r="A924" s="454"/>
      <c r="B924" s="475"/>
      <c r="C924" s="475"/>
      <c r="D924" s="475"/>
      <c r="E924" s="476"/>
      <c r="F924" s="475"/>
      <c r="G924" s="454"/>
      <c r="H924" s="454"/>
      <c r="I924" s="454"/>
      <c r="J924" s="454"/>
      <c r="K924" s="454"/>
      <c r="L924" s="454"/>
      <c r="M924" s="454"/>
      <c r="N924" s="454"/>
      <c r="O924" s="454"/>
      <c r="P924" s="454"/>
      <c r="Q924" s="454"/>
      <c r="R924" s="454"/>
      <c r="S924" s="454"/>
      <c r="T924" s="454"/>
      <c r="U924" s="454"/>
      <c r="V924" s="454"/>
      <c r="W924" s="454"/>
      <c r="X924" s="454"/>
      <c r="Y924" s="454"/>
      <c r="Z924" s="454"/>
    </row>
    <row r="925" spans="1:26" ht="15.75" customHeight="1" x14ac:dyDescent="0.25">
      <c r="A925" s="454"/>
      <c r="B925" s="475"/>
      <c r="C925" s="475"/>
      <c r="D925" s="475"/>
      <c r="E925" s="476"/>
      <c r="F925" s="475"/>
      <c r="G925" s="454"/>
      <c r="H925" s="454"/>
      <c r="I925" s="454"/>
      <c r="J925" s="454"/>
      <c r="K925" s="454"/>
      <c r="L925" s="454"/>
      <c r="M925" s="454"/>
      <c r="N925" s="454"/>
      <c r="O925" s="454"/>
      <c r="P925" s="454"/>
      <c r="Q925" s="454"/>
      <c r="R925" s="454"/>
      <c r="S925" s="454"/>
      <c r="T925" s="454"/>
      <c r="U925" s="454"/>
      <c r="V925" s="454"/>
      <c r="W925" s="454"/>
      <c r="X925" s="454"/>
      <c r="Y925" s="454"/>
      <c r="Z925" s="454"/>
    </row>
    <row r="926" spans="1:26" ht="15.75" customHeight="1" x14ac:dyDescent="0.25">
      <c r="A926" s="454"/>
      <c r="B926" s="475"/>
      <c r="C926" s="475"/>
      <c r="D926" s="475"/>
      <c r="E926" s="476"/>
      <c r="F926" s="475"/>
      <c r="G926" s="454"/>
      <c r="H926" s="454"/>
      <c r="I926" s="454"/>
      <c r="J926" s="454"/>
      <c r="K926" s="454"/>
      <c r="L926" s="454"/>
      <c r="M926" s="454"/>
      <c r="N926" s="454"/>
      <c r="O926" s="454"/>
      <c r="P926" s="454"/>
      <c r="Q926" s="454"/>
      <c r="R926" s="454"/>
      <c r="S926" s="454"/>
      <c r="T926" s="454"/>
      <c r="U926" s="454"/>
      <c r="V926" s="454"/>
      <c r="W926" s="454"/>
      <c r="X926" s="454"/>
      <c r="Y926" s="454"/>
      <c r="Z926" s="454"/>
    </row>
    <row r="927" spans="1:26" ht="15.75" customHeight="1" x14ac:dyDescent="0.25">
      <c r="A927" s="454"/>
      <c r="B927" s="475"/>
      <c r="C927" s="475"/>
      <c r="D927" s="475"/>
      <c r="E927" s="476"/>
      <c r="F927" s="475"/>
      <c r="G927" s="454"/>
      <c r="H927" s="454"/>
      <c r="I927" s="454"/>
      <c r="J927" s="454"/>
      <c r="K927" s="454"/>
      <c r="L927" s="454"/>
      <c r="M927" s="454"/>
      <c r="N927" s="454"/>
      <c r="O927" s="454"/>
      <c r="P927" s="454"/>
      <c r="Q927" s="454"/>
      <c r="R927" s="454"/>
      <c r="S927" s="454"/>
      <c r="T927" s="454"/>
      <c r="U927" s="454"/>
      <c r="V927" s="454"/>
      <c r="W927" s="454"/>
      <c r="X927" s="454"/>
      <c r="Y927" s="454"/>
      <c r="Z927" s="454"/>
    </row>
    <row r="928" spans="1:26" ht="15.75" customHeight="1" x14ac:dyDescent="0.25">
      <c r="A928" s="454"/>
      <c r="B928" s="475"/>
      <c r="C928" s="475"/>
      <c r="D928" s="475"/>
      <c r="E928" s="476"/>
      <c r="F928" s="475"/>
      <c r="G928" s="454"/>
      <c r="H928" s="454"/>
      <c r="I928" s="454"/>
      <c r="J928" s="454"/>
      <c r="K928" s="454"/>
      <c r="L928" s="454"/>
      <c r="M928" s="454"/>
      <c r="N928" s="454"/>
      <c r="O928" s="454"/>
      <c r="P928" s="454"/>
      <c r="Q928" s="454"/>
      <c r="R928" s="454"/>
      <c r="S928" s="454"/>
      <c r="T928" s="454"/>
      <c r="U928" s="454"/>
      <c r="V928" s="454"/>
      <c r="W928" s="454"/>
      <c r="X928" s="454"/>
      <c r="Y928" s="454"/>
      <c r="Z928" s="454"/>
    </row>
    <row r="929" spans="1:26" ht="15.75" customHeight="1" x14ac:dyDescent="0.25">
      <c r="A929" s="454"/>
      <c r="B929" s="475"/>
      <c r="C929" s="475"/>
      <c r="D929" s="475"/>
      <c r="E929" s="476"/>
      <c r="F929" s="475"/>
      <c r="G929" s="454"/>
      <c r="H929" s="454"/>
      <c r="I929" s="454"/>
      <c r="J929" s="454"/>
      <c r="K929" s="454"/>
      <c r="L929" s="454"/>
      <c r="M929" s="454"/>
      <c r="N929" s="454"/>
      <c r="O929" s="454"/>
      <c r="P929" s="454"/>
      <c r="Q929" s="454"/>
      <c r="R929" s="454"/>
      <c r="S929" s="454"/>
      <c r="T929" s="454"/>
      <c r="U929" s="454"/>
      <c r="V929" s="454"/>
      <c r="W929" s="454"/>
      <c r="X929" s="454"/>
      <c r="Y929" s="454"/>
      <c r="Z929" s="454"/>
    </row>
    <row r="930" spans="1:26" ht="15.75" customHeight="1" x14ac:dyDescent="0.25">
      <c r="A930" s="454"/>
      <c r="B930" s="475"/>
      <c r="C930" s="475"/>
      <c r="D930" s="475"/>
      <c r="E930" s="476"/>
      <c r="F930" s="475"/>
      <c r="G930" s="454"/>
      <c r="H930" s="454"/>
      <c r="I930" s="454"/>
      <c r="J930" s="454"/>
      <c r="K930" s="454"/>
      <c r="L930" s="454"/>
      <c r="M930" s="454"/>
      <c r="N930" s="454"/>
      <c r="O930" s="454"/>
      <c r="P930" s="454"/>
      <c r="Q930" s="454"/>
      <c r="R930" s="454"/>
      <c r="S930" s="454"/>
      <c r="T930" s="454"/>
      <c r="U930" s="454"/>
      <c r="V930" s="454"/>
      <c r="W930" s="454"/>
      <c r="X930" s="454"/>
      <c r="Y930" s="454"/>
      <c r="Z930" s="454"/>
    </row>
    <row r="931" spans="1:26" ht="15.75" customHeight="1" x14ac:dyDescent="0.25">
      <c r="A931" s="454"/>
      <c r="B931" s="475"/>
      <c r="C931" s="475"/>
      <c r="D931" s="475"/>
      <c r="E931" s="476"/>
      <c r="F931" s="475"/>
      <c r="G931" s="454"/>
      <c r="H931" s="454"/>
      <c r="I931" s="454"/>
      <c r="J931" s="454"/>
      <c r="K931" s="454"/>
      <c r="L931" s="454"/>
      <c r="M931" s="454"/>
      <c r="N931" s="454"/>
      <c r="O931" s="454"/>
      <c r="P931" s="454"/>
      <c r="Q931" s="454"/>
      <c r="R931" s="454"/>
      <c r="S931" s="454"/>
      <c r="T931" s="454"/>
      <c r="U931" s="454"/>
      <c r="V931" s="454"/>
      <c r="W931" s="454"/>
      <c r="X931" s="454"/>
      <c r="Y931" s="454"/>
      <c r="Z931" s="454"/>
    </row>
    <row r="932" spans="1:26" ht="15.75" customHeight="1" x14ac:dyDescent="0.25">
      <c r="A932" s="454"/>
      <c r="B932" s="475"/>
      <c r="C932" s="475"/>
      <c r="D932" s="475"/>
      <c r="E932" s="476"/>
      <c r="F932" s="475"/>
      <c r="G932" s="454"/>
      <c r="H932" s="454"/>
      <c r="I932" s="454"/>
      <c r="J932" s="454"/>
      <c r="K932" s="454"/>
      <c r="L932" s="454"/>
      <c r="M932" s="454"/>
      <c r="N932" s="454"/>
      <c r="O932" s="454"/>
      <c r="P932" s="454"/>
      <c r="Q932" s="454"/>
      <c r="R932" s="454"/>
      <c r="S932" s="454"/>
      <c r="T932" s="454"/>
      <c r="U932" s="454"/>
      <c r="V932" s="454"/>
      <c r="W932" s="454"/>
      <c r="X932" s="454"/>
      <c r="Y932" s="454"/>
      <c r="Z932" s="454"/>
    </row>
    <row r="933" spans="1:26" ht="15.75" customHeight="1" x14ac:dyDescent="0.25">
      <c r="A933" s="454"/>
      <c r="B933" s="475"/>
      <c r="C933" s="475"/>
      <c r="D933" s="475"/>
      <c r="E933" s="476"/>
      <c r="F933" s="475"/>
      <c r="G933" s="454"/>
      <c r="H933" s="454"/>
      <c r="I933" s="454"/>
      <c r="J933" s="454"/>
      <c r="K933" s="454"/>
      <c r="L933" s="454"/>
      <c r="M933" s="454"/>
      <c r="N933" s="454"/>
      <c r="O933" s="454"/>
      <c r="P933" s="454"/>
      <c r="Q933" s="454"/>
      <c r="R933" s="454"/>
      <c r="S933" s="454"/>
      <c r="T933" s="454"/>
      <c r="U933" s="454"/>
      <c r="V933" s="454"/>
      <c r="W933" s="454"/>
      <c r="X933" s="454"/>
      <c r="Y933" s="454"/>
      <c r="Z933" s="454"/>
    </row>
    <row r="934" spans="1:26" ht="15.75" customHeight="1" x14ac:dyDescent="0.25">
      <c r="A934" s="454"/>
      <c r="B934" s="475"/>
      <c r="C934" s="475"/>
      <c r="D934" s="475"/>
      <c r="E934" s="476"/>
      <c r="F934" s="475"/>
      <c r="G934" s="454"/>
      <c r="H934" s="454"/>
      <c r="I934" s="454"/>
      <c r="J934" s="454"/>
      <c r="K934" s="454"/>
      <c r="L934" s="454"/>
      <c r="M934" s="454"/>
      <c r="N934" s="454"/>
      <c r="O934" s="454"/>
      <c r="P934" s="454"/>
      <c r="Q934" s="454"/>
      <c r="R934" s="454"/>
      <c r="S934" s="454"/>
      <c r="T934" s="454"/>
      <c r="U934" s="454"/>
      <c r="V934" s="454"/>
      <c r="W934" s="454"/>
      <c r="X934" s="454"/>
      <c r="Y934" s="454"/>
      <c r="Z934" s="454"/>
    </row>
    <row r="935" spans="1:26" ht="15.75" customHeight="1" x14ac:dyDescent="0.25">
      <c r="A935" s="454"/>
      <c r="B935" s="475"/>
      <c r="C935" s="475"/>
      <c r="D935" s="475"/>
      <c r="E935" s="476"/>
      <c r="F935" s="475"/>
      <c r="G935" s="454"/>
      <c r="H935" s="454"/>
      <c r="I935" s="454"/>
      <c r="J935" s="454"/>
      <c r="K935" s="454"/>
      <c r="L935" s="454"/>
      <c r="M935" s="454"/>
      <c r="N935" s="454"/>
      <c r="O935" s="454"/>
      <c r="P935" s="454"/>
      <c r="Q935" s="454"/>
      <c r="R935" s="454"/>
      <c r="S935" s="454"/>
      <c r="T935" s="454"/>
      <c r="U935" s="454"/>
      <c r="V935" s="454"/>
      <c r="W935" s="454"/>
      <c r="X935" s="454"/>
      <c r="Y935" s="454"/>
      <c r="Z935" s="454"/>
    </row>
    <row r="936" spans="1:26" ht="15.75" customHeight="1" x14ac:dyDescent="0.25">
      <c r="A936" s="454"/>
      <c r="B936" s="475"/>
      <c r="C936" s="475"/>
      <c r="D936" s="475"/>
      <c r="E936" s="476"/>
      <c r="F936" s="475"/>
      <c r="G936" s="454"/>
      <c r="H936" s="454"/>
      <c r="I936" s="454"/>
      <c r="J936" s="454"/>
      <c r="K936" s="454"/>
      <c r="L936" s="454"/>
      <c r="M936" s="454"/>
      <c r="N936" s="454"/>
      <c r="O936" s="454"/>
      <c r="P936" s="454"/>
      <c r="Q936" s="454"/>
      <c r="R936" s="454"/>
      <c r="S936" s="454"/>
      <c r="T936" s="454"/>
      <c r="U936" s="454"/>
      <c r="V936" s="454"/>
      <c r="W936" s="454"/>
      <c r="X936" s="454"/>
      <c r="Y936" s="454"/>
      <c r="Z936" s="454"/>
    </row>
    <row r="937" spans="1:26" ht="15.75" customHeight="1" x14ac:dyDescent="0.25">
      <c r="A937" s="454"/>
      <c r="B937" s="475"/>
      <c r="C937" s="475"/>
      <c r="D937" s="475"/>
      <c r="E937" s="476"/>
      <c r="F937" s="475"/>
      <c r="G937" s="454"/>
      <c r="H937" s="454"/>
      <c r="I937" s="454"/>
      <c r="J937" s="454"/>
      <c r="K937" s="454"/>
      <c r="L937" s="454"/>
      <c r="M937" s="454"/>
      <c r="N937" s="454"/>
      <c r="O937" s="454"/>
      <c r="P937" s="454"/>
      <c r="Q937" s="454"/>
      <c r="R937" s="454"/>
      <c r="S937" s="454"/>
      <c r="T937" s="454"/>
      <c r="U937" s="454"/>
      <c r="V937" s="454"/>
      <c r="W937" s="454"/>
      <c r="X937" s="454"/>
      <c r="Y937" s="454"/>
      <c r="Z937" s="454"/>
    </row>
    <row r="938" spans="1:26" ht="15.75" customHeight="1" x14ac:dyDescent="0.25">
      <c r="A938" s="454"/>
      <c r="B938" s="475"/>
      <c r="C938" s="475"/>
      <c r="D938" s="475"/>
      <c r="E938" s="476"/>
      <c r="F938" s="475"/>
      <c r="G938" s="454"/>
      <c r="H938" s="454"/>
      <c r="I938" s="454"/>
      <c r="J938" s="454"/>
      <c r="K938" s="454"/>
      <c r="L938" s="454"/>
      <c r="M938" s="454"/>
      <c r="N938" s="454"/>
      <c r="O938" s="454"/>
      <c r="P938" s="454"/>
      <c r="Q938" s="454"/>
      <c r="R938" s="454"/>
      <c r="S938" s="454"/>
      <c r="T938" s="454"/>
      <c r="U938" s="454"/>
      <c r="V938" s="454"/>
      <c r="W938" s="454"/>
      <c r="X938" s="454"/>
      <c r="Y938" s="454"/>
      <c r="Z938" s="454"/>
    </row>
    <row r="939" spans="1:26" ht="15.75" customHeight="1" x14ac:dyDescent="0.25">
      <c r="A939" s="454"/>
      <c r="B939" s="475"/>
      <c r="C939" s="475"/>
      <c r="D939" s="475"/>
      <c r="E939" s="476"/>
      <c r="F939" s="475"/>
      <c r="G939" s="454"/>
      <c r="H939" s="454"/>
      <c r="I939" s="454"/>
      <c r="J939" s="454"/>
      <c r="K939" s="454"/>
      <c r="L939" s="454"/>
      <c r="M939" s="454"/>
      <c r="N939" s="454"/>
      <c r="O939" s="454"/>
      <c r="P939" s="454"/>
      <c r="Q939" s="454"/>
      <c r="R939" s="454"/>
      <c r="S939" s="454"/>
      <c r="T939" s="454"/>
      <c r="U939" s="454"/>
      <c r="V939" s="454"/>
      <c r="W939" s="454"/>
      <c r="X939" s="454"/>
      <c r="Y939" s="454"/>
      <c r="Z939" s="454"/>
    </row>
    <row r="940" spans="1:26" ht="15.75" customHeight="1" x14ac:dyDescent="0.25">
      <c r="A940" s="454"/>
      <c r="B940" s="475"/>
      <c r="C940" s="475"/>
      <c r="D940" s="475"/>
      <c r="E940" s="476"/>
      <c r="F940" s="475"/>
      <c r="G940" s="454"/>
      <c r="H940" s="454"/>
      <c r="I940" s="454"/>
      <c r="J940" s="454"/>
      <c r="K940" s="454"/>
      <c r="L940" s="454"/>
      <c r="M940" s="454"/>
      <c r="N940" s="454"/>
      <c r="O940" s="454"/>
      <c r="P940" s="454"/>
      <c r="Q940" s="454"/>
      <c r="R940" s="454"/>
      <c r="S940" s="454"/>
      <c r="T940" s="454"/>
      <c r="U940" s="454"/>
      <c r="V940" s="454"/>
      <c r="W940" s="454"/>
      <c r="X940" s="454"/>
      <c r="Y940" s="454"/>
      <c r="Z940" s="454"/>
    </row>
    <row r="941" spans="1:26" ht="15.75" customHeight="1" x14ac:dyDescent="0.25">
      <c r="A941" s="454"/>
      <c r="B941" s="475"/>
      <c r="C941" s="475"/>
      <c r="D941" s="475"/>
      <c r="E941" s="476"/>
      <c r="F941" s="475"/>
      <c r="G941" s="454"/>
      <c r="H941" s="454"/>
      <c r="I941" s="454"/>
      <c r="J941" s="454"/>
      <c r="K941" s="454"/>
      <c r="L941" s="454"/>
      <c r="M941" s="454"/>
      <c r="N941" s="454"/>
      <c r="O941" s="454"/>
      <c r="P941" s="454"/>
      <c r="Q941" s="454"/>
      <c r="R941" s="454"/>
      <c r="S941" s="454"/>
      <c r="T941" s="454"/>
      <c r="U941" s="454"/>
      <c r="V941" s="454"/>
      <c r="W941" s="454"/>
      <c r="X941" s="454"/>
      <c r="Y941" s="454"/>
      <c r="Z941" s="454"/>
    </row>
    <row r="942" spans="1:26" ht="15.75" customHeight="1" x14ac:dyDescent="0.25">
      <c r="A942" s="454"/>
      <c r="B942" s="475"/>
      <c r="C942" s="475"/>
      <c r="D942" s="475"/>
      <c r="E942" s="476"/>
      <c r="F942" s="475"/>
      <c r="G942" s="454"/>
      <c r="H942" s="454"/>
      <c r="I942" s="454"/>
      <c r="J942" s="454"/>
      <c r="K942" s="454"/>
      <c r="L942" s="454"/>
      <c r="M942" s="454"/>
      <c r="N942" s="454"/>
      <c r="O942" s="454"/>
      <c r="P942" s="454"/>
      <c r="Q942" s="454"/>
      <c r="R942" s="454"/>
      <c r="S942" s="454"/>
      <c r="T942" s="454"/>
      <c r="U942" s="454"/>
      <c r="V942" s="454"/>
      <c r="W942" s="454"/>
      <c r="X942" s="454"/>
      <c r="Y942" s="454"/>
      <c r="Z942" s="454"/>
    </row>
    <row r="943" spans="1:26" ht="15.75" customHeight="1" x14ac:dyDescent="0.25">
      <c r="A943" s="454"/>
      <c r="B943" s="475"/>
      <c r="C943" s="475"/>
      <c r="D943" s="475"/>
      <c r="E943" s="476"/>
      <c r="F943" s="475"/>
      <c r="G943" s="454"/>
      <c r="H943" s="454"/>
      <c r="I943" s="454"/>
      <c r="J943" s="454"/>
      <c r="K943" s="454"/>
      <c r="L943" s="454"/>
      <c r="M943" s="454"/>
      <c r="N943" s="454"/>
      <c r="O943" s="454"/>
      <c r="P943" s="454"/>
      <c r="Q943" s="454"/>
      <c r="R943" s="454"/>
      <c r="S943" s="454"/>
      <c r="T943" s="454"/>
      <c r="U943" s="454"/>
      <c r="V943" s="454"/>
      <c r="W943" s="454"/>
      <c r="X943" s="454"/>
      <c r="Y943" s="454"/>
      <c r="Z943" s="454"/>
    </row>
    <row r="944" spans="1:26" ht="15.75" customHeight="1" x14ac:dyDescent="0.25">
      <c r="A944" s="454"/>
      <c r="B944" s="475"/>
      <c r="C944" s="475"/>
      <c r="D944" s="475"/>
      <c r="E944" s="476"/>
      <c r="F944" s="475"/>
      <c r="G944" s="454"/>
      <c r="H944" s="454"/>
      <c r="I944" s="454"/>
      <c r="J944" s="454"/>
      <c r="K944" s="454"/>
      <c r="L944" s="454"/>
      <c r="M944" s="454"/>
      <c r="N944" s="454"/>
      <c r="O944" s="454"/>
      <c r="P944" s="454"/>
      <c r="Q944" s="454"/>
      <c r="R944" s="454"/>
      <c r="S944" s="454"/>
      <c r="T944" s="454"/>
      <c r="U944" s="454"/>
      <c r="V944" s="454"/>
      <c r="W944" s="454"/>
      <c r="X944" s="454"/>
      <c r="Y944" s="454"/>
      <c r="Z944" s="454"/>
    </row>
    <row r="945" spans="1:26" ht="15.75" customHeight="1" x14ac:dyDescent="0.25">
      <c r="A945" s="454"/>
      <c r="B945" s="475"/>
      <c r="C945" s="475"/>
      <c r="D945" s="475"/>
      <c r="E945" s="476"/>
      <c r="F945" s="475"/>
      <c r="G945" s="454"/>
      <c r="H945" s="454"/>
      <c r="I945" s="454"/>
      <c r="J945" s="454"/>
      <c r="K945" s="454"/>
      <c r="L945" s="454"/>
      <c r="M945" s="454"/>
      <c r="N945" s="454"/>
      <c r="O945" s="454"/>
      <c r="P945" s="454"/>
      <c r="Q945" s="454"/>
      <c r="R945" s="454"/>
      <c r="S945" s="454"/>
      <c r="T945" s="454"/>
      <c r="U945" s="454"/>
      <c r="V945" s="454"/>
      <c r="W945" s="454"/>
      <c r="X945" s="454"/>
      <c r="Y945" s="454"/>
      <c r="Z945" s="454"/>
    </row>
    <row r="946" spans="1:26" ht="15.75" customHeight="1" x14ac:dyDescent="0.25">
      <c r="A946" s="454"/>
      <c r="B946" s="475"/>
      <c r="C946" s="475"/>
      <c r="D946" s="475"/>
      <c r="E946" s="476"/>
      <c r="F946" s="475"/>
      <c r="G946" s="454"/>
      <c r="H946" s="454"/>
      <c r="I946" s="454"/>
      <c r="J946" s="454"/>
      <c r="K946" s="454"/>
      <c r="L946" s="454"/>
      <c r="M946" s="454"/>
      <c r="N946" s="454"/>
      <c r="O946" s="454"/>
      <c r="P946" s="454"/>
      <c r="Q946" s="454"/>
      <c r="R946" s="454"/>
      <c r="S946" s="454"/>
      <c r="T946" s="454"/>
      <c r="U946" s="454"/>
      <c r="V946" s="454"/>
      <c r="W946" s="454"/>
      <c r="X946" s="454"/>
      <c r="Y946" s="454"/>
      <c r="Z946" s="454"/>
    </row>
    <row r="947" spans="1:26" ht="15.75" customHeight="1" x14ac:dyDescent="0.25">
      <c r="A947" s="454"/>
      <c r="B947" s="475"/>
      <c r="C947" s="475"/>
      <c r="D947" s="475"/>
      <c r="E947" s="476"/>
      <c r="F947" s="475"/>
      <c r="G947" s="454"/>
      <c r="H947" s="454"/>
      <c r="I947" s="454"/>
      <c r="J947" s="454"/>
      <c r="K947" s="454"/>
      <c r="L947" s="454"/>
      <c r="M947" s="454"/>
      <c r="N947" s="454"/>
      <c r="O947" s="454"/>
      <c r="P947" s="454"/>
      <c r="Q947" s="454"/>
      <c r="R947" s="454"/>
      <c r="S947" s="454"/>
      <c r="T947" s="454"/>
      <c r="U947" s="454"/>
      <c r="V947" s="454"/>
      <c r="W947" s="454"/>
      <c r="X947" s="454"/>
      <c r="Y947" s="454"/>
      <c r="Z947" s="454"/>
    </row>
    <row r="948" spans="1:26" ht="15.75" customHeight="1" x14ac:dyDescent="0.25">
      <c r="A948" s="454"/>
      <c r="B948" s="475"/>
      <c r="C948" s="475"/>
      <c r="D948" s="475"/>
      <c r="E948" s="476"/>
      <c r="F948" s="475"/>
      <c r="G948" s="454"/>
      <c r="H948" s="454"/>
      <c r="I948" s="454"/>
      <c r="J948" s="454"/>
      <c r="K948" s="454"/>
      <c r="L948" s="454"/>
      <c r="M948" s="454"/>
      <c r="N948" s="454"/>
      <c r="O948" s="454"/>
      <c r="P948" s="454"/>
      <c r="Q948" s="454"/>
      <c r="R948" s="454"/>
      <c r="S948" s="454"/>
      <c r="T948" s="454"/>
      <c r="U948" s="454"/>
      <c r="V948" s="454"/>
      <c r="W948" s="454"/>
      <c r="X948" s="454"/>
      <c r="Y948" s="454"/>
      <c r="Z948" s="454"/>
    </row>
    <row r="949" spans="1:26" ht="15.75" customHeight="1" x14ac:dyDescent="0.25">
      <c r="A949" s="454"/>
      <c r="B949" s="475"/>
      <c r="C949" s="475"/>
      <c r="D949" s="475"/>
      <c r="E949" s="476"/>
      <c r="F949" s="475"/>
      <c r="G949" s="454"/>
      <c r="H949" s="454"/>
      <c r="I949" s="454"/>
      <c r="J949" s="454"/>
      <c r="K949" s="454"/>
      <c r="L949" s="454"/>
      <c r="M949" s="454"/>
      <c r="N949" s="454"/>
      <c r="O949" s="454"/>
      <c r="P949" s="454"/>
      <c r="Q949" s="454"/>
      <c r="R949" s="454"/>
      <c r="S949" s="454"/>
      <c r="T949" s="454"/>
      <c r="U949" s="454"/>
      <c r="V949" s="454"/>
      <c r="W949" s="454"/>
      <c r="X949" s="454"/>
      <c r="Y949" s="454"/>
      <c r="Z949" s="454"/>
    </row>
    <row r="950" spans="1:26" ht="15.75" customHeight="1" x14ac:dyDescent="0.25">
      <c r="A950" s="454"/>
      <c r="B950" s="475"/>
      <c r="C950" s="475"/>
      <c r="D950" s="475"/>
      <c r="E950" s="476"/>
      <c r="F950" s="475"/>
      <c r="G950" s="454"/>
      <c r="H950" s="454"/>
      <c r="I950" s="454"/>
      <c r="J950" s="454"/>
      <c r="K950" s="454"/>
      <c r="L950" s="454"/>
      <c r="M950" s="454"/>
      <c r="N950" s="454"/>
      <c r="O950" s="454"/>
      <c r="P950" s="454"/>
      <c r="Q950" s="454"/>
      <c r="R950" s="454"/>
      <c r="S950" s="454"/>
      <c r="T950" s="454"/>
      <c r="U950" s="454"/>
      <c r="V950" s="454"/>
      <c r="W950" s="454"/>
      <c r="X950" s="454"/>
      <c r="Y950" s="454"/>
      <c r="Z950" s="454"/>
    </row>
    <row r="951" spans="1:26" ht="15.75" customHeight="1" x14ac:dyDescent="0.25">
      <c r="A951" s="454"/>
      <c r="B951" s="475"/>
      <c r="C951" s="475"/>
      <c r="D951" s="475"/>
      <c r="E951" s="476"/>
      <c r="F951" s="475"/>
      <c r="G951" s="454"/>
      <c r="H951" s="454"/>
      <c r="I951" s="454"/>
      <c r="J951" s="454"/>
      <c r="K951" s="454"/>
      <c r="L951" s="454"/>
      <c r="M951" s="454"/>
      <c r="N951" s="454"/>
      <c r="O951" s="454"/>
      <c r="P951" s="454"/>
      <c r="Q951" s="454"/>
      <c r="R951" s="454"/>
      <c r="S951" s="454"/>
      <c r="T951" s="454"/>
      <c r="U951" s="454"/>
      <c r="V951" s="454"/>
      <c r="W951" s="454"/>
      <c r="X951" s="454"/>
      <c r="Y951" s="454"/>
      <c r="Z951" s="454"/>
    </row>
    <row r="952" spans="1:26" ht="15.75" customHeight="1" x14ac:dyDescent="0.25">
      <c r="A952" s="454"/>
      <c r="B952" s="475"/>
      <c r="C952" s="475"/>
      <c r="D952" s="475"/>
      <c r="E952" s="476"/>
      <c r="F952" s="475"/>
      <c r="G952" s="454"/>
      <c r="H952" s="454"/>
      <c r="I952" s="454"/>
      <c r="J952" s="454"/>
      <c r="K952" s="454"/>
      <c r="L952" s="454"/>
      <c r="M952" s="454"/>
      <c r="N952" s="454"/>
      <c r="O952" s="454"/>
      <c r="P952" s="454"/>
      <c r="Q952" s="454"/>
      <c r="R952" s="454"/>
      <c r="S952" s="454"/>
      <c r="T952" s="454"/>
      <c r="U952" s="454"/>
      <c r="V952" s="454"/>
      <c r="W952" s="454"/>
      <c r="X952" s="454"/>
      <c r="Y952" s="454"/>
      <c r="Z952" s="454"/>
    </row>
    <row r="953" spans="1:26" ht="15.75" customHeight="1" x14ac:dyDescent="0.25">
      <c r="A953" s="454"/>
      <c r="B953" s="475"/>
      <c r="C953" s="475"/>
      <c r="D953" s="475"/>
      <c r="E953" s="476"/>
      <c r="F953" s="475"/>
      <c r="G953" s="454"/>
      <c r="H953" s="454"/>
      <c r="I953" s="454"/>
      <c r="J953" s="454"/>
      <c r="K953" s="454"/>
      <c r="L953" s="454"/>
      <c r="M953" s="454"/>
      <c r="N953" s="454"/>
      <c r="O953" s="454"/>
      <c r="P953" s="454"/>
      <c r="Q953" s="454"/>
      <c r="R953" s="454"/>
      <c r="S953" s="454"/>
      <c r="T953" s="454"/>
      <c r="U953" s="454"/>
      <c r="V953" s="454"/>
      <c r="W953" s="454"/>
      <c r="X953" s="454"/>
      <c r="Y953" s="454"/>
      <c r="Z953" s="454"/>
    </row>
    <row r="954" spans="1:26" ht="15.75" customHeight="1" x14ac:dyDescent="0.25">
      <c r="A954" s="454"/>
      <c r="B954" s="475"/>
      <c r="C954" s="475"/>
      <c r="D954" s="475"/>
      <c r="E954" s="476"/>
      <c r="F954" s="475"/>
      <c r="G954" s="454"/>
      <c r="H954" s="454"/>
      <c r="I954" s="454"/>
      <c r="J954" s="454"/>
      <c r="K954" s="454"/>
      <c r="L954" s="454"/>
      <c r="M954" s="454"/>
      <c r="N954" s="454"/>
      <c r="O954" s="454"/>
      <c r="P954" s="454"/>
      <c r="Q954" s="454"/>
      <c r="R954" s="454"/>
      <c r="S954" s="454"/>
      <c r="T954" s="454"/>
      <c r="U954" s="454"/>
      <c r="V954" s="454"/>
      <c r="W954" s="454"/>
      <c r="X954" s="454"/>
      <c r="Y954" s="454"/>
      <c r="Z954" s="454"/>
    </row>
    <row r="955" spans="1:26" ht="15.75" customHeight="1" x14ac:dyDescent="0.25">
      <c r="A955" s="454"/>
      <c r="B955" s="475"/>
      <c r="C955" s="475"/>
      <c r="D955" s="475"/>
      <c r="E955" s="476"/>
      <c r="F955" s="475"/>
      <c r="G955" s="454"/>
      <c r="H955" s="454"/>
      <c r="I955" s="454"/>
      <c r="J955" s="454"/>
      <c r="K955" s="454"/>
      <c r="L955" s="454"/>
      <c r="M955" s="454"/>
      <c r="N955" s="454"/>
      <c r="O955" s="454"/>
      <c r="P955" s="454"/>
      <c r="Q955" s="454"/>
      <c r="R955" s="454"/>
      <c r="S955" s="454"/>
      <c r="T955" s="454"/>
      <c r="U955" s="454"/>
      <c r="V955" s="454"/>
      <c r="W955" s="454"/>
      <c r="X955" s="454"/>
      <c r="Y955" s="454"/>
      <c r="Z955" s="454"/>
    </row>
    <row r="956" spans="1:26" ht="15.75" customHeight="1" x14ac:dyDescent="0.25">
      <c r="A956" s="454"/>
      <c r="B956" s="475"/>
      <c r="C956" s="475"/>
      <c r="D956" s="475"/>
      <c r="E956" s="476"/>
      <c r="F956" s="475"/>
      <c r="G956" s="454"/>
      <c r="H956" s="454"/>
      <c r="I956" s="454"/>
      <c r="J956" s="454"/>
      <c r="K956" s="454"/>
      <c r="L956" s="454"/>
      <c r="M956" s="454"/>
      <c r="N956" s="454"/>
      <c r="O956" s="454"/>
      <c r="P956" s="454"/>
      <c r="Q956" s="454"/>
      <c r="R956" s="454"/>
      <c r="S956" s="454"/>
      <c r="T956" s="454"/>
      <c r="U956" s="454"/>
      <c r="V956" s="454"/>
      <c r="W956" s="454"/>
      <c r="X956" s="454"/>
      <c r="Y956" s="454"/>
      <c r="Z956" s="454"/>
    </row>
    <row r="957" spans="1:26" ht="15.75" customHeight="1" x14ac:dyDescent="0.25">
      <c r="A957" s="454"/>
      <c r="B957" s="475"/>
      <c r="C957" s="475"/>
      <c r="D957" s="475"/>
      <c r="E957" s="476"/>
      <c r="F957" s="475"/>
      <c r="G957" s="454"/>
      <c r="H957" s="454"/>
      <c r="I957" s="454"/>
      <c r="J957" s="454"/>
      <c r="K957" s="454"/>
      <c r="L957" s="454"/>
      <c r="M957" s="454"/>
      <c r="N957" s="454"/>
      <c r="O957" s="454"/>
      <c r="P957" s="454"/>
      <c r="Q957" s="454"/>
      <c r="R957" s="454"/>
      <c r="S957" s="454"/>
      <c r="T957" s="454"/>
      <c r="U957" s="454"/>
      <c r="V957" s="454"/>
      <c r="W957" s="454"/>
      <c r="X957" s="454"/>
      <c r="Y957" s="454"/>
      <c r="Z957" s="454"/>
    </row>
    <row r="958" spans="1:26" ht="15.75" customHeight="1" x14ac:dyDescent="0.25">
      <c r="A958" s="454"/>
      <c r="B958" s="475"/>
      <c r="C958" s="475"/>
      <c r="D958" s="475"/>
      <c r="E958" s="476"/>
      <c r="F958" s="475"/>
      <c r="G958" s="454"/>
      <c r="H958" s="454"/>
      <c r="I958" s="454"/>
      <c r="J958" s="454"/>
      <c r="K958" s="454"/>
      <c r="L958" s="454"/>
      <c r="M958" s="454"/>
      <c r="N958" s="454"/>
      <c r="O958" s="454"/>
      <c r="P958" s="454"/>
      <c r="Q958" s="454"/>
      <c r="R958" s="454"/>
      <c r="S958" s="454"/>
      <c r="T958" s="454"/>
      <c r="U958" s="454"/>
      <c r="V958" s="454"/>
      <c r="W958" s="454"/>
      <c r="X958" s="454"/>
      <c r="Y958" s="454"/>
      <c r="Z958" s="454"/>
    </row>
    <row r="959" spans="1:26" ht="15.75" customHeight="1" x14ac:dyDescent="0.25">
      <c r="A959" s="454"/>
      <c r="B959" s="475"/>
      <c r="C959" s="475"/>
      <c r="D959" s="475"/>
      <c r="E959" s="476"/>
      <c r="F959" s="475"/>
      <c r="G959" s="454"/>
      <c r="H959" s="454"/>
      <c r="I959" s="454"/>
      <c r="J959" s="454"/>
      <c r="K959" s="454"/>
      <c r="L959" s="454"/>
      <c r="M959" s="454"/>
      <c r="N959" s="454"/>
      <c r="O959" s="454"/>
      <c r="P959" s="454"/>
      <c r="Q959" s="454"/>
      <c r="R959" s="454"/>
      <c r="S959" s="454"/>
      <c r="T959" s="454"/>
      <c r="U959" s="454"/>
      <c r="V959" s="454"/>
      <c r="W959" s="454"/>
      <c r="X959" s="454"/>
      <c r="Y959" s="454"/>
      <c r="Z959" s="454"/>
    </row>
    <row r="960" spans="1:26" ht="15.75" customHeight="1" x14ac:dyDescent="0.25">
      <c r="A960" s="454"/>
      <c r="B960" s="475"/>
      <c r="C960" s="475"/>
      <c r="D960" s="475"/>
      <c r="E960" s="476"/>
      <c r="F960" s="475"/>
      <c r="G960" s="454"/>
      <c r="H960" s="454"/>
      <c r="I960" s="454"/>
      <c r="J960" s="454"/>
      <c r="K960" s="454"/>
      <c r="L960" s="454"/>
      <c r="M960" s="454"/>
      <c r="N960" s="454"/>
      <c r="O960" s="454"/>
      <c r="P960" s="454"/>
      <c r="Q960" s="454"/>
      <c r="R960" s="454"/>
      <c r="S960" s="454"/>
      <c r="T960" s="454"/>
      <c r="U960" s="454"/>
      <c r="V960" s="454"/>
      <c r="W960" s="454"/>
      <c r="X960" s="454"/>
      <c r="Y960" s="454"/>
      <c r="Z960" s="454"/>
    </row>
    <row r="961" spans="1:26" ht="15.75" customHeight="1" x14ac:dyDescent="0.25">
      <c r="A961" s="454"/>
      <c r="B961" s="475"/>
      <c r="C961" s="475"/>
      <c r="D961" s="475"/>
      <c r="E961" s="476"/>
      <c r="F961" s="475"/>
      <c r="G961" s="454"/>
      <c r="H961" s="454"/>
      <c r="I961" s="454"/>
      <c r="J961" s="454"/>
      <c r="K961" s="454"/>
      <c r="L961" s="454"/>
      <c r="M961" s="454"/>
      <c r="N961" s="454"/>
      <c r="O961" s="454"/>
      <c r="P961" s="454"/>
      <c r="Q961" s="454"/>
      <c r="R961" s="454"/>
      <c r="S961" s="454"/>
      <c r="T961" s="454"/>
      <c r="U961" s="454"/>
      <c r="V961" s="454"/>
      <c r="W961" s="454"/>
      <c r="X961" s="454"/>
      <c r="Y961" s="454"/>
      <c r="Z961" s="454"/>
    </row>
    <row r="962" spans="1:26" ht="15.75" customHeight="1" x14ac:dyDescent="0.25">
      <c r="A962" s="454"/>
      <c r="B962" s="475"/>
      <c r="C962" s="475"/>
      <c r="D962" s="475"/>
      <c r="E962" s="476"/>
      <c r="F962" s="475"/>
      <c r="G962" s="454"/>
      <c r="H962" s="454"/>
      <c r="I962" s="454"/>
      <c r="J962" s="454"/>
      <c r="K962" s="454"/>
      <c r="L962" s="454"/>
      <c r="M962" s="454"/>
      <c r="N962" s="454"/>
      <c r="O962" s="454"/>
      <c r="P962" s="454"/>
      <c r="Q962" s="454"/>
      <c r="R962" s="454"/>
      <c r="S962" s="454"/>
      <c r="T962" s="454"/>
      <c r="U962" s="454"/>
      <c r="V962" s="454"/>
      <c r="W962" s="454"/>
      <c r="X962" s="454"/>
      <c r="Y962" s="454"/>
      <c r="Z962" s="454"/>
    </row>
    <row r="963" spans="1:26" ht="15.75" customHeight="1" x14ac:dyDescent="0.25">
      <c r="A963" s="454"/>
      <c r="B963" s="475"/>
      <c r="C963" s="475"/>
      <c r="D963" s="475"/>
      <c r="E963" s="476"/>
      <c r="F963" s="475"/>
      <c r="G963" s="454"/>
      <c r="H963" s="454"/>
      <c r="I963" s="454"/>
      <c r="J963" s="454"/>
      <c r="K963" s="454"/>
      <c r="L963" s="454"/>
      <c r="M963" s="454"/>
      <c r="N963" s="454"/>
      <c r="O963" s="454"/>
      <c r="P963" s="454"/>
      <c r="Q963" s="454"/>
      <c r="R963" s="454"/>
      <c r="S963" s="454"/>
      <c r="T963" s="454"/>
      <c r="U963" s="454"/>
      <c r="V963" s="454"/>
      <c r="W963" s="454"/>
      <c r="X963" s="454"/>
      <c r="Y963" s="454"/>
      <c r="Z963" s="454"/>
    </row>
    <row r="964" spans="1:26" ht="15.75" customHeight="1" x14ac:dyDescent="0.25">
      <c r="A964" s="454"/>
      <c r="B964" s="475"/>
      <c r="C964" s="475"/>
      <c r="D964" s="475"/>
      <c r="E964" s="476"/>
      <c r="F964" s="475"/>
      <c r="G964" s="454"/>
      <c r="H964" s="454"/>
      <c r="I964" s="454"/>
      <c r="J964" s="454"/>
      <c r="K964" s="454"/>
      <c r="L964" s="454"/>
      <c r="M964" s="454"/>
      <c r="N964" s="454"/>
      <c r="O964" s="454"/>
      <c r="P964" s="454"/>
      <c r="Q964" s="454"/>
      <c r="R964" s="454"/>
      <c r="S964" s="454"/>
      <c r="T964" s="454"/>
      <c r="U964" s="454"/>
      <c r="V964" s="454"/>
      <c r="W964" s="454"/>
      <c r="X964" s="454"/>
      <c r="Y964" s="454"/>
      <c r="Z964" s="454"/>
    </row>
    <row r="965" spans="1:26" ht="15.75" customHeight="1" x14ac:dyDescent="0.25">
      <c r="A965" s="454"/>
      <c r="B965" s="475"/>
      <c r="C965" s="475"/>
      <c r="D965" s="475"/>
      <c r="E965" s="476"/>
      <c r="F965" s="475"/>
      <c r="G965" s="454"/>
      <c r="H965" s="454"/>
      <c r="I965" s="454"/>
      <c r="J965" s="454"/>
      <c r="K965" s="454"/>
      <c r="L965" s="454"/>
      <c r="M965" s="454"/>
      <c r="N965" s="454"/>
      <c r="O965" s="454"/>
      <c r="P965" s="454"/>
      <c r="Q965" s="454"/>
      <c r="R965" s="454"/>
      <c r="S965" s="454"/>
      <c r="T965" s="454"/>
      <c r="U965" s="454"/>
      <c r="V965" s="454"/>
      <c r="W965" s="454"/>
      <c r="X965" s="454"/>
      <c r="Y965" s="454"/>
      <c r="Z965" s="454"/>
    </row>
    <row r="966" spans="1:26" ht="15.75" customHeight="1" x14ac:dyDescent="0.25">
      <c r="A966" s="454"/>
      <c r="B966" s="475"/>
      <c r="C966" s="475"/>
      <c r="D966" s="475"/>
      <c r="E966" s="476"/>
      <c r="F966" s="475"/>
      <c r="G966" s="454"/>
      <c r="H966" s="454"/>
      <c r="I966" s="454"/>
      <c r="J966" s="454"/>
      <c r="K966" s="454"/>
      <c r="L966" s="454"/>
      <c r="M966" s="454"/>
      <c r="N966" s="454"/>
      <c r="O966" s="454"/>
      <c r="P966" s="454"/>
      <c r="Q966" s="454"/>
      <c r="R966" s="454"/>
      <c r="S966" s="454"/>
      <c r="T966" s="454"/>
      <c r="U966" s="454"/>
      <c r="V966" s="454"/>
      <c r="W966" s="454"/>
      <c r="X966" s="454"/>
      <c r="Y966" s="454"/>
      <c r="Z966" s="454"/>
    </row>
    <row r="967" spans="1:26" ht="15.75" customHeight="1" x14ac:dyDescent="0.25">
      <c r="A967" s="454"/>
      <c r="B967" s="475"/>
      <c r="C967" s="475"/>
      <c r="D967" s="475"/>
      <c r="E967" s="476"/>
      <c r="F967" s="475"/>
      <c r="G967" s="454"/>
      <c r="H967" s="454"/>
      <c r="I967" s="454"/>
      <c r="J967" s="454"/>
      <c r="K967" s="454"/>
      <c r="L967" s="454"/>
      <c r="M967" s="454"/>
      <c r="N967" s="454"/>
      <c r="O967" s="454"/>
      <c r="P967" s="454"/>
      <c r="Q967" s="454"/>
      <c r="R967" s="454"/>
      <c r="S967" s="454"/>
      <c r="T967" s="454"/>
      <c r="U967" s="454"/>
      <c r="V967" s="454"/>
      <c r="W967" s="454"/>
      <c r="X967" s="454"/>
      <c r="Y967" s="454"/>
      <c r="Z967" s="454"/>
    </row>
    <row r="968" spans="1:26" ht="15.75" customHeight="1" x14ac:dyDescent="0.25">
      <c r="A968" s="454"/>
      <c r="B968" s="475"/>
      <c r="C968" s="475"/>
      <c r="D968" s="475"/>
      <c r="E968" s="476"/>
      <c r="F968" s="475"/>
      <c r="G968" s="454"/>
      <c r="H968" s="454"/>
      <c r="I968" s="454"/>
      <c r="J968" s="454"/>
      <c r="K968" s="454"/>
      <c r="L968" s="454"/>
      <c r="M968" s="454"/>
      <c r="N968" s="454"/>
      <c r="O968" s="454"/>
      <c r="P968" s="454"/>
      <c r="Q968" s="454"/>
      <c r="R968" s="454"/>
      <c r="S968" s="454"/>
      <c r="T968" s="454"/>
      <c r="U968" s="454"/>
      <c r="V968" s="454"/>
      <c r="W968" s="454"/>
      <c r="X968" s="454"/>
      <c r="Y968" s="454"/>
      <c r="Z968" s="454"/>
    </row>
    <row r="969" spans="1:26" ht="15.75" customHeight="1" x14ac:dyDescent="0.25">
      <c r="A969" s="454"/>
      <c r="B969" s="475"/>
      <c r="C969" s="475"/>
      <c r="D969" s="475"/>
      <c r="E969" s="476"/>
      <c r="F969" s="475"/>
      <c r="G969" s="454"/>
      <c r="H969" s="454"/>
      <c r="I969" s="454"/>
      <c r="J969" s="454"/>
      <c r="K969" s="454"/>
      <c r="L969" s="454"/>
      <c r="M969" s="454"/>
      <c r="N969" s="454"/>
      <c r="O969" s="454"/>
      <c r="P969" s="454"/>
      <c r="Q969" s="454"/>
      <c r="R969" s="454"/>
      <c r="S969" s="454"/>
      <c r="T969" s="454"/>
      <c r="U969" s="454"/>
      <c r="V969" s="454"/>
      <c r="W969" s="454"/>
      <c r="X969" s="454"/>
      <c r="Y969" s="454"/>
      <c r="Z969" s="454"/>
    </row>
    <row r="970" spans="1:26" ht="15.75" customHeight="1" x14ac:dyDescent="0.25">
      <c r="A970" s="454"/>
      <c r="B970" s="475"/>
      <c r="C970" s="475"/>
      <c r="D970" s="475"/>
      <c r="E970" s="476"/>
      <c r="F970" s="475"/>
      <c r="G970" s="454"/>
      <c r="H970" s="454"/>
      <c r="I970" s="454"/>
      <c r="J970" s="454"/>
      <c r="K970" s="454"/>
      <c r="L970" s="454"/>
      <c r="M970" s="454"/>
      <c r="N970" s="454"/>
      <c r="O970" s="454"/>
      <c r="P970" s="454"/>
      <c r="Q970" s="454"/>
      <c r="R970" s="454"/>
      <c r="S970" s="454"/>
      <c r="T970" s="454"/>
      <c r="U970" s="454"/>
      <c r="V970" s="454"/>
      <c r="W970" s="454"/>
      <c r="X970" s="454"/>
      <c r="Y970" s="454"/>
      <c r="Z970" s="454"/>
    </row>
    <row r="971" spans="1:26" ht="15.75" customHeight="1" x14ac:dyDescent="0.25">
      <c r="A971" s="454"/>
      <c r="B971" s="475"/>
      <c r="C971" s="475"/>
      <c r="D971" s="475"/>
      <c r="E971" s="476"/>
      <c r="F971" s="475"/>
      <c r="G971" s="454"/>
      <c r="H971" s="454"/>
      <c r="I971" s="454"/>
      <c r="J971" s="454"/>
      <c r="K971" s="454"/>
      <c r="L971" s="454"/>
      <c r="M971" s="454"/>
      <c r="N971" s="454"/>
      <c r="O971" s="454"/>
      <c r="P971" s="454"/>
      <c r="Q971" s="454"/>
      <c r="R971" s="454"/>
      <c r="S971" s="454"/>
      <c r="T971" s="454"/>
      <c r="U971" s="454"/>
      <c r="V971" s="454"/>
      <c r="W971" s="454"/>
      <c r="X971" s="454"/>
      <c r="Y971" s="454"/>
      <c r="Z971" s="454"/>
    </row>
    <row r="972" spans="1:26" ht="15.75" customHeight="1" x14ac:dyDescent="0.25">
      <c r="A972" s="454"/>
      <c r="B972" s="475"/>
      <c r="C972" s="475"/>
      <c r="D972" s="475"/>
      <c r="E972" s="476"/>
      <c r="F972" s="475"/>
      <c r="G972" s="454"/>
      <c r="H972" s="454"/>
      <c r="I972" s="454"/>
      <c r="J972" s="454"/>
      <c r="K972" s="454"/>
      <c r="L972" s="454"/>
      <c r="M972" s="454"/>
      <c r="N972" s="454"/>
      <c r="O972" s="454"/>
      <c r="P972" s="454"/>
      <c r="Q972" s="454"/>
      <c r="R972" s="454"/>
      <c r="S972" s="454"/>
      <c r="T972" s="454"/>
      <c r="U972" s="454"/>
      <c r="V972" s="454"/>
      <c r="W972" s="454"/>
      <c r="X972" s="454"/>
      <c r="Y972" s="454"/>
      <c r="Z972" s="454"/>
    </row>
    <row r="973" spans="1:26" ht="15.75" customHeight="1" x14ac:dyDescent="0.25">
      <c r="A973" s="454"/>
      <c r="B973" s="475"/>
      <c r="C973" s="475"/>
      <c r="D973" s="475"/>
      <c r="E973" s="476"/>
      <c r="F973" s="475"/>
      <c r="G973" s="454"/>
      <c r="H973" s="454"/>
      <c r="I973" s="454"/>
      <c r="J973" s="454"/>
      <c r="K973" s="454"/>
      <c r="L973" s="454"/>
      <c r="M973" s="454"/>
      <c r="N973" s="454"/>
      <c r="O973" s="454"/>
      <c r="P973" s="454"/>
      <c r="Q973" s="454"/>
      <c r="R973" s="454"/>
      <c r="S973" s="454"/>
      <c r="T973" s="454"/>
      <c r="U973" s="454"/>
      <c r="V973" s="454"/>
      <c r="W973" s="454"/>
      <c r="X973" s="454"/>
      <c r="Y973" s="454"/>
      <c r="Z973" s="454"/>
    </row>
    <row r="974" spans="1:26" ht="15.75" customHeight="1" x14ac:dyDescent="0.25">
      <c r="A974" s="454"/>
      <c r="B974" s="475"/>
      <c r="C974" s="475"/>
      <c r="D974" s="475"/>
      <c r="E974" s="476"/>
      <c r="F974" s="475"/>
      <c r="G974" s="454"/>
      <c r="H974" s="454"/>
      <c r="I974" s="454"/>
      <c r="J974" s="454"/>
      <c r="K974" s="454"/>
      <c r="L974" s="454"/>
      <c r="M974" s="454"/>
      <c r="N974" s="454"/>
      <c r="O974" s="454"/>
      <c r="P974" s="454"/>
      <c r="Q974" s="454"/>
      <c r="R974" s="454"/>
      <c r="S974" s="454"/>
      <c r="T974" s="454"/>
      <c r="U974" s="454"/>
      <c r="V974" s="454"/>
      <c r="W974" s="454"/>
      <c r="X974" s="454"/>
      <c r="Y974" s="454"/>
      <c r="Z974" s="454"/>
    </row>
    <row r="975" spans="1:26" ht="15.75" customHeight="1" x14ac:dyDescent="0.25">
      <c r="A975" s="454"/>
      <c r="B975" s="475"/>
      <c r="C975" s="475"/>
      <c r="D975" s="475"/>
      <c r="E975" s="476"/>
      <c r="F975" s="475"/>
      <c r="G975" s="454"/>
      <c r="H975" s="454"/>
      <c r="I975" s="454"/>
      <c r="J975" s="454"/>
      <c r="K975" s="454"/>
      <c r="L975" s="454"/>
      <c r="M975" s="454"/>
      <c r="N975" s="454"/>
      <c r="O975" s="454"/>
      <c r="P975" s="454"/>
      <c r="Q975" s="454"/>
      <c r="R975" s="454"/>
      <c r="S975" s="454"/>
      <c r="T975" s="454"/>
      <c r="U975" s="454"/>
      <c r="V975" s="454"/>
      <c r="W975" s="454"/>
      <c r="X975" s="454"/>
      <c r="Y975" s="454"/>
      <c r="Z975" s="454"/>
    </row>
    <row r="976" spans="1:26" ht="15.75" customHeight="1" x14ac:dyDescent="0.25">
      <c r="A976" s="454"/>
      <c r="B976" s="475"/>
      <c r="C976" s="475"/>
      <c r="D976" s="475"/>
      <c r="E976" s="476"/>
      <c r="F976" s="475"/>
      <c r="G976" s="454"/>
      <c r="H976" s="454"/>
      <c r="I976" s="454"/>
      <c r="J976" s="454"/>
      <c r="K976" s="454"/>
      <c r="L976" s="454"/>
      <c r="M976" s="454"/>
      <c r="N976" s="454"/>
      <c r="O976" s="454"/>
      <c r="P976" s="454"/>
      <c r="Q976" s="454"/>
      <c r="R976" s="454"/>
      <c r="S976" s="454"/>
      <c r="T976" s="454"/>
      <c r="U976" s="454"/>
      <c r="V976" s="454"/>
      <c r="W976" s="454"/>
      <c r="X976" s="454"/>
      <c r="Y976" s="454"/>
      <c r="Z976" s="454"/>
    </row>
    <row r="977" spans="1:26" ht="15.75" customHeight="1" x14ac:dyDescent="0.25">
      <c r="A977" s="454"/>
      <c r="B977" s="475"/>
      <c r="C977" s="475"/>
      <c r="D977" s="475"/>
      <c r="E977" s="476"/>
      <c r="F977" s="475"/>
      <c r="G977" s="454"/>
      <c r="H977" s="454"/>
      <c r="I977" s="454"/>
      <c r="J977" s="454"/>
      <c r="K977" s="454"/>
      <c r="L977" s="454"/>
      <c r="M977" s="454"/>
      <c r="N977" s="454"/>
      <c r="O977" s="454"/>
      <c r="P977" s="454"/>
      <c r="Q977" s="454"/>
      <c r="R977" s="454"/>
      <c r="S977" s="454"/>
      <c r="T977" s="454"/>
      <c r="U977" s="454"/>
      <c r="V977" s="454"/>
      <c r="W977" s="454"/>
      <c r="X977" s="454"/>
      <c r="Y977" s="454"/>
      <c r="Z977" s="454"/>
    </row>
    <row r="978" spans="1:26" ht="15.75" customHeight="1" x14ac:dyDescent="0.25">
      <c r="A978" s="454"/>
      <c r="B978" s="475"/>
      <c r="C978" s="475"/>
      <c r="D978" s="475"/>
      <c r="E978" s="476"/>
      <c r="F978" s="475"/>
      <c r="G978" s="454"/>
      <c r="H978" s="454"/>
      <c r="I978" s="454"/>
      <c r="J978" s="454"/>
      <c r="K978" s="454"/>
      <c r="L978" s="454"/>
      <c r="M978" s="454"/>
      <c r="N978" s="454"/>
      <c r="O978" s="454"/>
      <c r="P978" s="454"/>
      <c r="Q978" s="454"/>
      <c r="R978" s="454"/>
      <c r="S978" s="454"/>
      <c r="T978" s="454"/>
      <c r="U978" s="454"/>
      <c r="V978" s="454"/>
      <c r="W978" s="454"/>
      <c r="X978" s="454"/>
      <c r="Y978" s="454"/>
      <c r="Z978" s="454"/>
    </row>
    <row r="979" spans="1:26" ht="15.75" customHeight="1" x14ac:dyDescent="0.25">
      <c r="A979" s="454"/>
      <c r="B979" s="475"/>
      <c r="C979" s="475"/>
      <c r="D979" s="475"/>
      <c r="E979" s="476"/>
      <c r="F979" s="475"/>
      <c r="G979" s="454"/>
      <c r="H979" s="454"/>
      <c r="I979" s="454"/>
      <c r="J979" s="454"/>
      <c r="K979" s="454"/>
      <c r="L979" s="454"/>
      <c r="M979" s="454"/>
      <c r="N979" s="454"/>
      <c r="O979" s="454"/>
      <c r="P979" s="454"/>
      <c r="Q979" s="454"/>
      <c r="R979" s="454"/>
      <c r="S979" s="454"/>
      <c r="T979" s="454"/>
      <c r="U979" s="454"/>
      <c r="V979" s="454"/>
      <c r="W979" s="454"/>
      <c r="X979" s="454"/>
      <c r="Y979" s="454"/>
      <c r="Z979" s="454"/>
    </row>
    <row r="980" spans="1:26" ht="15.75" customHeight="1" x14ac:dyDescent="0.25">
      <c r="A980" s="454"/>
      <c r="B980" s="475"/>
      <c r="C980" s="475"/>
      <c r="D980" s="475"/>
      <c r="E980" s="476"/>
      <c r="F980" s="475"/>
      <c r="G980" s="454"/>
      <c r="H980" s="454"/>
      <c r="I980" s="454"/>
      <c r="J980" s="454"/>
      <c r="K980" s="454"/>
      <c r="L980" s="454"/>
      <c r="M980" s="454"/>
      <c r="N980" s="454"/>
      <c r="O980" s="454"/>
      <c r="P980" s="454"/>
      <c r="Q980" s="454"/>
      <c r="R980" s="454"/>
      <c r="S980" s="454"/>
      <c r="T980" s="454"/>
      <c r="U980" s="454"/>
      <c r="V980" s="454"/>
      <c r="W980" s="454"/>
      <c r="X980" s="454"/>
      <c r="Y980" s="454"/>
      <c r="Z980" s="454"/>
    </row>
    <row r="981" spans="1:26" ht="15.75" customHeight="1" x14ac:dyDescent="0.25">
      <c r="A981" s="454"/>
      <c r="B981" s="475"/>
      <c r="C981" s="475"/>
      <c r="D981" s="475"/>
      <c r="E981" s="476"/>
      <c r="F981" s="475"/>
      <c r="G981" s="454"/>
      <c r="H981" s="454"/>
      <c r="I981" s="454"/>
      <c r="J981" s="454"/>
      <c r="K981" s="454"/>
      <c r="L981" s="454"/>
      <c r="M981" s="454"/>
      <c r="N981" s="454"/>
      <c r="O981" s="454"/>
      <c r="P981" s="454"/>
      <c r="Q981" s="454"/>
      <c r="R981" s="454"/>
      <c r="S981" s="454"/>
      <c r="T981" s="454"/>
      <c r="U981" s="454"/>
      <c r="V981" s="454"/>
      <c r="W981" s="454"/>
      <c r="X981" s="454"/>
      <c r="Y981" s="454"/>
      <c r="Z981" s="454"/>
    </row>
    <row r="982" spans="1:26" ht="15.75" customHeight="1" x14ac:dyDescent="0.25">
      <c r="A982" s="454"/>
      <c r="B982" s="475"/>
      <c r="C982" s="475"/>
      <c r="D982" s="475"/>
      <c r="E982" s="476"/>
      <c r="F982" s="475"/>
      <c r="G982" s="454"/>
      <c r="H982" s="454"/>
      <c r="I982" s="454"/>
      <c r="J982" s="454"/>
      <c r="K982" s="454"/>
      <c r="L982" s="454"/>
      <c r="M982" s="454"/>
      <c r="N982" s="454"/>
      <c r="O982" s="454"/>
      <c r="P982" s="454"/>
      <c r="Q982" s="454"/>
      <c r="R982" s="454"/>
      <c r="S982" s="454"/>
      <c r="T982" s="454"/>
      <c r="U982" s="454"/>
      <c r="V982" s="454"/>
      <c r="W982" s="454"/>
      <c r="X982" s="454"/>
      <c r="Y982" s="454"/>
      <c r="Z982" s="454"/>
    </row>
    <row r="983" spans="1:26" ht="15.75" customHeight="1" x14ac:dyDescent="0.25">
      <c r="A983" s="454"/>
      <c r="B983" s="475"/>
      <c r="C983" s="475"/>
      <c r="D983" s="475"/>
      <c r="E983" s="476"/>
      <c r="F983" s="475"/>
      <c r="G983" s="454"/>
      <c r="H983" s="454"/>
      <c r="I983" s="454"/>
      <c r="J983" s="454"/>
      <c r="K983" s="454"/>
      <c r="L983" s="454"/>
      <c r="M983" s="454"/>
      <c r="N983" s="454"/>
      <c r="O983" s="454"/>
      <c r="P983" s="454"/>
      <c r="Q983" s="454"/>
      <c r="R983" s="454"/>
      <c r="S983" s="454"/>
      <c r="T983" s="454"/>
      <c r="U983" s="454"/>
      <c r="V983" s="454"/>
      <c r="W983" s="454"/>
      <c r="X983" s="454"/>
      <c r="Y983" s="454"/>
      <c r="Z983" s="454"/>
    </row>
    <row r="984" spans="1:26" ht="15.75" customHeight="1" x14ac:dyDescent="0.25">
      <c r="A984" s="454"/>
      <c r="B984" s="475"/>
      <c r="C984" s="475"/>
      <c r="D984" s="475"/>
      <c r="E984" s="476"/>
      <c r="F984" s="475"/>
      <c r="G984" s="454"/>
      <c r="H984" s="454"/>
      <c r="I984" s="454"/>
      <c r="J984" s="454"/>
      <c r="K984" s="454"/>
      <c r="L984" s="454"/>
      <c r="M984" s="454"/>
      <c r="N984" s="454"/>
      <c r="O984" s="454"/>
      <c r="P984" s="454"/>
      <c r="Q984" s="454"/>
      <c r="R984" s="454"/>
      <c r="S984" s="454"/>
      <c r="T984" s="454"/>
      <c r="U984" s="454"/>
      <c r="V984" s="454"/>
      <c r="W984" s="454"/>
      <c r="X984" s="454"/>
      <c r="Y984" s="454"/>
      <c r="Z984" s="454"/>
    </row>
    <row r="985" spans="1:26" ht="15.75" customHeight="1" x14ac:dyDescent="0.25">
      <c r="A985" s="454"/>
      <c r="B985" s="475"/>
      <c r="C985" s="475"/>
      <c r="D985" s="475"/>
      <c r="E985" s="476"/>
      <c r="F985" s="475"/>
      <c r="G985" s="454"/>
      <c r="H985" s="454"/>
      <c r="I985" s="454"/>
      <c r="J985" s="454"/>
      <c r="K985" s="454"/>
      <c r="L985" s="454"/>
      <c r="M985" s="454"/>
      <c r="N985" s="454"/>
      <c r="O985" s="454"/>
      <c r="P985" s="454"/>
      <c r="Q985" s="454"/>
      <c r="R985" s="454"/>
      <c r="S985" s="454"/>
      <c r="T985" s="454"/>
      <c r="U985" s="454"/>
      <c r="V985" s="454"/>
      <c r="W985" s="454"/>
      <c r="X985" s="454"/>
      <c r="Y985" s="454"/>
      <c r="Z985" s="454"/>
    </row>
    <row r="986" spans="1:26" ht="15.75" customHeight="1" x14ac:dyDescent="0.25">
      <c r="A986" s="454"/>
      <c r="B986" s="475"/>
      <c r="C986" s="475"/>
      <c r="D986" s="475"/>
      <c r="E986" s="476"/>
      <c r="F986" s="475"/>
      <c r="G986" s="454"/>
      <c r="H986" s="454"/>
      <c r="I986" s="454"/>
      <c r="J986" s="454"/>
      <c r="K986" s="454"/>
      <c r="L986" s="454"/>
      <c r="M986" s="454"/>
      <c r="N986" s="454"/>
      <c r="O986" s="454"/>
      <c r="P986" s="454"/>
      <c r="Q986" s="454"/>
      <c r="R986" s="454"/>
      <c r="S986" s="454"/>
      <c r="T986" s="454"/>
      <c r="U986" s="454"/>
      <c r="V986" s="454"/>
      <c r="W986" s="454"/>
      <c r="X986" s="454"/>
      <c r="Y986" s="454"/>
      <c r="Z986" s="454"/>
    </row>
    <row r="987" spans="1:26" ht="15.75" customHeight="1" x14ac:dyDescent="0.25">
      <c r="A987" s="454"/>
      <c r="B987" s="475"/>
      <c r="C987" s="475"/>
      <c r="D987" s="475"/>
      <c r="E987" s="476"/>
      <c r="F987" s="475"/>
      <c r="G987" s="454"/>
      <c r="H987" s="454"/>
      <c r="I987" s="454"/>
      <c r="J987" s="454"/>
      <c r="K987" s="454"/>
      <c r="L987" s="454"/>
      <c r="M987" s="454"/>
      <c r="N987" s="454"/>
      <c r="O987" s="454"/>
      <c r="P987" s="454"/>
      <c r="Q987" s="454"/>
      <c r="R987" s="454"/>
      <c r="S987" s="454"/>
      <c r="T987" s="454"/>
      <c r="U987" s="454"/>
      <c r="V987" s="454"/>
      <c r="W987" s="454"/>
      <c r="X987" s="454"/>
      <c r="Y987" s="454"/>
      <c r="Z987" s="454"/>
    </row>
    <row r="988" spans="1:26" ht="15.75" customHeight="1" x14ac:dyDescent="0.25">
      <c r="A988" s="454"/>
      <c r="B988" s="475"/>
      <c r="C988" s="475"/>
      <c r="D988" s="475"/>
      <c r="E988" s="476"/>
      <c r="F988" s="475"/>
      <c r="G988" s="454"/>
      <c r="H988" s="454"/>
      <c r="I988" s="454"/>
      <c r="J988" s="454"/>
      <c r="K988" s="454"/>
      <c r="L988" s="454"/>
      <c r="M988" s="454"/>
      <c r="N988" s="454"/>
      <c r="O988" s="454"/>
      <c r="P988" s="454"/>
      <c r="Q988" s="454"/>
      <c r="R988" s="454"/>
      <c r="S988" s="454"/>
      <c r="T988" s="454"/>
      <c r="U988" s="454"/>
      <c r="V988" s="454"/>
      <c r="W988" s="454"/>
      <c r="X988" s="454"/>
      <c r="Y988" s="454"/>
      <c r="Z988" s="454"/>
    </row>
    <row r="989" spans="1:26" ht="15.75" customHeight="1" x14ac:dyDescent="0.25">
      <c r="A989" s="454"/>
      <c r="B989" s="475"/>
      <c r="C989" s="475"/>
      <c r="D989" s="475"/>
      <c r="E989" s="476"/>
      <c r="F989" s="475"/>
      <c r="G989" s="454"/>
      <c r="H989" s="454"/>
      <c r="I989" s="454"/>
      <c r="J989" s="454"/>
      <c r="K989" s="454"/>
      <c r="L989" s="454"/>
      <c r="M989" s="454"/>
      <c r="N989" s="454"/>
      <c r="O989" s="454"/>
      <c r="P989" s="454"/>
      <c r="Q989" s="454"/>
      <c r="R989" s="454"/>
      <c r="S989" s="454"/>
      <c r="T989" s="454"/>
      <c r="U989" s="454"/>
      <c r="V989" s="454"/>
      <c r="W989" s="454"/>
      <c r="X989" s="454"/>
      <c r="Y989" s="454"/>
      <c r="Z989" s="454"/>
    </row>
    <row r="990" spans="1:26" ht="15.75" customHeight="1" x14ac:dyDescent="0.25">
      <c r="A990" s="454"/>
      <c r="B990" s="475"/>
      <c r="C990" s="475"/>
      <c r="D990" s="475"/>
      <c r="E990" s="476"/>
      <c r="F990" s="475"/>
      <c r="G990" s="454"/>
      <c r="H990" s="454"/>
      <c r="I990" s="454"/>
      <c r="J990" s="454"/>
      <c r="K990" s="454"/>
      <c r="L990" s="454"/>
      <c r="M990" s="454"/>
      <c r="N990" s="454"/>
      <c r="O990" s="454"/>
      <c r="P990" s="454"/>
      <c r="Q990" s="454"/>
      <c r="R990" s="454"/>
      <c r="S990" s="454"/>
      <c r="T990" s="454"/>
      <c r="U990" s="454"/>
      <c r="V990" s="454"/>
      <c r="W990" s="454"/>
      <c r="X990" s="454"/>
      <c r="Y990" s="454"/>
      <c r="Z990" s="454"/>
    </row>
    <row r="991" spans="1:26" ht="15.75" customHeight="1" x14ac:dyDescent="0.25">
      <c r="A991" s="454"/>
      <c r="B991" s="475"/>
      <c r="C991" s="475"/>
      <c r="D991" s="475"/>
      <c r="E991" s="476"/>
      <c r="F991" s="475"/>
      <c r="G991" s="454"/>
      <c r="H991" s="454"/>
      <c r="I991" s="454"/>
      <c r="J991" s="454"/>
      <c r="K991" s="454"/>
      <c r="L991" s="454"/>
      <c r="M991" s="454"/>
      <c r="N991" s="454"/>
      <c r="O991" s="454"/>
      <c r="P991" s="454"/>
      <c r="Q991" s="454"/>
      <c r="R991" s="454"/>
      <c r="S991" s="454"/>
      <c r="T991" s="454"/>
      <c r="U991" s="454"/>
      <c r="V991" s="454"/>
      <c r="W991" s="454"/>
      <c r="X991" s="454"/>
      <c r="Y991" s="454"/>
      <c r="Z991" s="454"/>
    </row>
    <row r="992" spans="1:26" ht="15.75" customHeight="1" x14ac:dyDescent="0.25">
      <c r="A992" s="454"/>
      <c r="B992" s="475"/>
      <c r="C992" s="475"/>
      <c r="D992" s="475"/>
      <c r="E992" s="476"/>
      <c r="F992" s="475"/>
      <c r="G992" s="454"/>
      <c r="H992" s="454"/>
      <c r="I992" s="454"/>
      <c r="J992" s="454"/>
      <c r="K992" s="454"/>
      <c r="L992" s="454"/>
      <c r="M992" s="454"/>
      <c r="N992" s="454"/>
      <c r="O992" s="454"/>
      <c r="P992" s="454"/>
      <c r="Q992" s="454"/>
      <c r="R992" s="454"/>
      <c r="S992" s="454"/>
      <c r="T992" s="454"/>
      <c r="U992" s="454"/>
      <c r="V992" s="454"/>
      <c r="W992" s="454"/>
      <c r="X992" s="454"/>
      <c r="Y992" s="454"/>
      <c r="Z992" s="454"/>
    </row>
    <row r="993" spans="1:26" ht="15.75" customHeight="1" x14ac:dyDescent="0.25">
      <c r="A993" s="454"/>
      <c r="B993" s="475"/>
      <c r="C993" s="475"/>
      <c r="D993" s="475"/>
      <c r="E993" s="476"/>
      <c r="F993" s="475"/>
      <c r="G993" s="454"/>
      <c r="H993" s="454"/>
      <c r="I993" s="454"/>
      <c r="J993" s="454"/>
      <c r="K993" s="454"/>
      <c r="L993" s="454"/>
      <c r="M993" s="454"/>
      <c r="N993" s="454"/>
      <c r="O993" s="454"/>
      <c r="P993" s="454"/>
      <c r="Q993" s="454"/>
      <c r="R993" s="454"/>
      <c r="S993" s="454"/>
      <c r="T993" s="454"/>
      <c r="U993" s="454"/>
      <c r="V993" s="454"/>
      <c r="W993" s="454"/>
      <c r="X993" s="454"/>
      <c r="Y993" s="454"/>
      <c r="Z993" s="454"/>
    </row>
    <row r="994" spans="1:26" ht="15.75" customHeight="1" x14ac:dyDescent="0.25">
      <c r="A994" s="454"/>
      <c r="B994" s="475"/>
      <c r="C994" s="475"/>
      <c r="D994" s="475"/>
      <c r="E994" s="476"/>
      <c r="F994" s="475"/>
      <c r="G994" s="454"/>
      <c r="H994" s="454"/>
      <c r="I994" s="454"/>
      <c r="J994" s="454"/>
      <c r="K994" s="454"/>
      <c r="L994" s="454"/>
      <c r="M994" s="454"/>
      <c r="N994" s="454"/>
      <c r="O994" s="454"/>
      <c r="P994" s="454"/>
      <c r="Q994" s="454"/>
      <c r="R994" s="454"/>
      <c r="S994" s="454"/>
      <c r="T994" s="454"/>
      <c r="U994" s="454"/>
      <c r="V994" s="454"/>
      <c r="W994" s="454"/>
      <c r="X994" s="454"/>
      <c r="Y994" s="454"/>
      <c r="Z994" s="454"/>
    </row>
    <row r="995" spans="1:26" ht="15.75" customHeight="1" x14ac:dyDescent="0.25">
      <c r="A995" s="454"/>
      <c r="B995" s="475"/>
      <c r="C995" s="475"/>
      <c r="D995" s="475"/>
      <c r="E995" s="476"/>
      <c r="F995" s="475"/>
      <c r="G995" s="454"/>
      <c r="H995" s="454"/>
      <c r="I995" s="454"/>
      <c r="J995" s="454"/>
      <c r="K995" s="454"/>
      <c r="L995" s="454"/>
      <c r="M995" s="454"/>
      <c r="N995" s="454"/>
      <c r="O995" s="454"/>
      <c r="P995" s="454"/>
      <c r="Q995" s="454"/>
      <c r="R995" s="454"/>
      <c r="S995" s="454"/>
      <c r="T995" s="454"/>
      <c r="U995" s="454"/>
      <c r="V995" s="454"/>
      <c r="W995" s="454"/>
      <c r="X995" s="454"/>
      <c r="Y995" s="454"/>
      <c r="Z995" s="454"/>
    </row>
    <row r="996" spans="1:26" ht="15.75" customHeight="1" x14ac:dyDescent="0.25">
      <c r="A996" s="454"/>
      <c r="B996" s="475"/>
      <c r="C996" s="475"/>
      <c r="D996" s="475"/>
      <c r="E996" s="476"/>
      <c r="F996" s="475"/>
      <c r="G996" s="454"/>
      <c r="H996" s="454"/>
      <c r="I996" s="454"/>
      <c r="J996" s="454"/>
      <c r="K996" s="454"/>
      <c r="L996" s="454"/>
      <c r="M996" s="454"/>
      <c r="N996" s="454"/>
      <c r="O996" s="454"/>
      <c r="P996" s="454"/>
      <c r="Q996" s="454"/>
      <c r="R996" s="454"/>
      <c r="S996" s="454"/>
      <c r="T996" s="454"/>
      <c r="U996" s="454"/>
      <c r="V996" s="454"/>
      <c r="W996" s="454"/>
      <c r="X996" s="454"/>
      <c r="Y996" s="454"/>
      <c r="Z996" s="454"/>
    </row>
    <row r="997" spans="1:26" ht="15.75" customHeight="1" x14ac:dyDescent="0.25">
      <c r="A997" s="454"/>
      <c r="B997" s="475"/>
      <c r="C997" s="475"/>
      <c r="D997" s="475"/>
      <c r="E997" s="476"/>
      <c r="F997" s="475"/>
      <c r="G997" s="454"/>
      <c r="H997" s="454"/>
      <c r="I997" s="454"/>
      <c r="J997" s="454"/>
      <c r="K997" s="454"/>
      <c r="L997" s="454"/>
      <c r="M997" s="454"/>
      <c r="N997" s="454"/>
      <c r="O997" s="454"/>
      <c r="P997" s="454"/>
      <c r="Q997" s="454"/>
      <c r="R997" s="454"/>
      <c r="S997" s="454"/>
      <c r="T997" s="454"/>
      <c r="U997" s="454"/>
      <c r="V997" s="454"/>
      <c r="W997" s="454"/>
      <c r="X997" s="454"/>
      <c r="Y997" s="454"/>
      <c r="Z997" s="454"/>
    </row>
    <row r="998" spans="1:26" ht="15.75" customHeight="1" x14ac:dyDescent="0.25">
      <c r="A998" s="454"/>
      <c r="B998" s="475"/>
      <c r="C998" s="475"/>
      <c r="D998" s="475"/>
      <c r="E998" s="476"/>
      <c r="F998" s="475"/>
      <c r="G998" s="454"/>
      <c r="H998" s="454"/>
      <c r="I998" s="454"/>
      <c r="J998" s="454"/>
      <c r="K998" s="454"/>
      <c r="L998" s="454"/>
      <c r="M998" s="454"/>
      <c r="N998" s="454"/>
      <c r="O998" s="454"/>
      <c r="P998" s="454"/>
      <c r="Q998" s="454"/>
      <c r="R998" s="454"/>
      <c r="S998" s="454"/>
      <c r="T998" s="454"/>
      <c r="U998" s="454"/>
      <c r="V998" s="454"/>
      <c r="W998" s="454"/>
      <c r="X998" s="454"/>
      <c r="Y998" s="454"/>
      <c r="Z998" s="454"/>
    </row>
    <row r="999" spans="1:26" ht="15.75" customHeight="1" x14ac:dyDescent="0.25">
      <c r="A999" s="454"/>
      <c r="B999" s="475"/>
      <c r="C999" s="475"/>
      <c r="D999" s="475"/>
      <c r="E999" s="476"/>
      <c r="F999" s="475"/>
      <c r="G999" s="454"/>
      <c r="H999" s="454"/>
      <c r="I999" s="454"/>
      <c r="J999" s="454"/>
      <c r="K999" s="454"/>
      <c r="L999" s="454"/>
      <c r="M999" s="454"/>
      <c r="N999" s="454"/>
      <c r="O999" s="454"/>
      <c r="P999" s="454"/>
      <c r="Q999" s="454"/>
      <c r="R999" s="454"/>
      <c r="S999" s="454"/>
      <c r="T999" s="454"/>
      <c r="U999" s="454"/>
      <c r="V999" s="454"/>
      <c r="W999" s="454"/>
      <c r="X999" s="454"/>
      <c r="Y999" s="454"/>
      <c r="Z999" s="454"/>
    </row>
    <row r="1000" spans="1:26" ht="15.75" customHeight="1" x14ac:dyDescent="0.25">
      <c r="A1000" s="454"/>
      <c r="B1000" s="475"/>
      <c r="C1000" s="475"/>
      <c r="D1000" s="475"/>
      <c r="E1000" s="476"/>
      <c r="F1000" s="475"/>
      <c r="G1000" s="454"/>
      <c r="H1000" s="454"/>
      <c r="I1000" s="454"/>
      <c r="J1000" s="454"/>
      <c r="K1000" s="454"/>
      <c r="L1000" s="454"/>
      <c r="M1000" s="454"/>
      <c r="N1000" s="454"/>
      <c r="O1000" s="454"/>
      <c r="P1000" s="454"/>
      <c r="Q1000" s="454"/>
      <c r="R1000" s="454"/>
      <c r="S1000" s="454"/>
      <c r="T1000" s="454"/>
      <c r="U1000" s="454"/>
      <c r="V1000" s="454"/>
      <c r="W1000" s="454"/>
      <c r="X1000" s="454"/>
      <c r="Y1000" s="454"/>
      <c r="Z1000" s="454"/>
    </row>
    <row r="1001" spans="1:26" ht="15.75" customHeight="1" x14ac:dyDescent="0.25">
      <c r="A1001" s="454"/>
      <c r="B1001" s="475"/>
      <c r="C1001" s="475"/>
      <c r="D1001" s="475"/>
      <c r="E1001" s="476"/>
      <c r="F1001" s="475"/>
      <c r="G1001" s="454"/>
      <c r="H1001" s="454"/>
      <c r="I1001" s="454"/>
      <c r="J1001" s="454"/>
      <c r="K1001" s="454"/>
      <c r="L1001" s="454"/>
      <c r="M1001" s="454"/>
      <c r="N1001" s="454"/>
      <c r="O1001" s="454"/>
      <c r="P1001" s="454"/>
      <c r="Q1001" s="454"/>
      <c r="R1001" s="454"/>
      <c r="S1001" s="454"/>
      <c r="T1001" s="454"/>
      <c r="U1001" s="454"/>
      <c r="V1001" s="454"/>
      <c r="W1001" s="454"/>
      <c r="X1001" s="454"/>
      <c r="Y1001" s="454"/>
      <c r="Z1001" s="454"/>
    </row>
    <row r="1002" spans="1:26" ht="15.75" customHeight="1" x14ac:dyDescent="0.25">
      <c r="A1002" s="454"/>
      <c r="B1002" s="475"/>
      <c r="C1002" s="475"/>
      <c r="D1002" s="475"/>
      <c r="E1002" s="476"/>
      <c r="F1002" s="475"/>
      <c r="G1002" s="454"/>
      <c r="H1002" s="454"/>
      <c r="I1002" s="454"/>
      <c r="J1002" s="454"/>
      <c r="K1002" s="454"/>
      <c r="L1002" s="454"/>
      <c r="M1002" s="454"/>
      <c r="N1002" s="454"/>
      <c r="O1002" s="454"/>
      <c r="P1002" s="454"/>
      <c r="Q1002" s="454"/>
      <c r="R1002" s="454"/>
      <c r="S1002" s="454"/>
      <c r="T1002" s="454"/>
      <c r="U1002" s="454"/>
      <c r="V1002" s="454"/>
      <c r="W1002" s="454"/>
      <c r="X1002" s="454"/>
      <c r="Y1002" s="454"/>
      <c r="Z1002" s="454"/>
    </row>
    <row r="1003" spans="1:26" ht="15.75" customHeight="1" x14ac:dyDescent="0.25">
      <c r="A1003" s="454"/>
      <c r="B1003" s="475"/>
      <c r="C1003" s="475"/>
      <c r="D1003" s="475"/>
      <c r="E1003" s="476"/>
      <c r="F1003" s="475"/>
      <c r="G1003" s="454"/>
      <c r="H1003" s="454"/>
      <c r="I1003" s="454"/>
      <c r="J1003" s="454"/>
      <c r="K1003" s="454"/>
      <c r="L1003" s="454"/>
      <c r="M1003" s="454"/>
      <c r="N1003" s="454"/>
      <c r="O1003" s="454"/>
      <c r="P1003" s="454"/>
      <c r="Q1003" s="454"/>
      <c r="R1003" s="454"/>
      <c r="S1003" s="454"/>
      <c r="T1003" s="454"/>
      <c r="U1003" s="454"/>
      <c r="V1003" s="454"/>
      <c r="W1003" s="454"/>
      <c r="X1003" s="454"/>
      <c r="Y1003" s="454"/>
      <c r="Z1003" s="454"/>
    </row>
    <row r="1004" spans="1:26" ht="15.75" customHeight="1" x14ac:dyDescent="0.25">
      <c r="A1004" s="454"/>
      <c r="B1004" s="475"/>
      <c r="C1004" s="475"/>
      <c r="D1004" s="475"/>
      <c r="E1004" s="476"/>
      <c r="F1004" s="475"/>
      <c r="G1004" s="454"/>
      <c r="H1004" s="454"/>
      <c r="I1004" s="454"/>
      <c r="J1004" s="454"/>
      <c r="K1004" s="454"/>
      <c r="L1004" s="454"/>
      <c r="M1004" s="454"/>
      <c r="N1004" s="454"/>
      <c r="O1004" s="454"/>
      <c r="P1004" s="454"/>
      <c r="Q1004" s="454"/>
      <c r="R1004" s="454"/>
      <c r="S1004" s="454"/>
      <c r="T1004" s="454"/>
      <c r="U1004" s="454"/>
      <c r="V1004" s="454"/>
      <c r="W1004" s="454"/>
      <c r="X1004" s="454"/>
      <c r="Y1004" s="454"/>
      <c r="Z1004" s="454"/>
    </row>
    <row r="1005" spans="1:26" ht="15.75" customHeight="1" x14ac:dyDescent="0.25">
      <c r="A1005" s="454"/>
      <c r="B1005" s="475"/>
      <c r="C1005" s="475"/>
      <c r="D1005" s="475"/>
      <c r="E1005" s="476"/>
      <c r="F1005" s="475"/>
      <c r="G1005" s="454"/>
      <c r="H1005" s="454"/>
      <c r="I1005" s="454"/>
      <c r="J1005" s="454"/>
      <c r="K1005" s="454"/>
      <c r="L1005" s="454"/>
      <c r="M1005" s="454"/>
      <c r="N1005" s="454"/>
      <c r="O1005" s="454"/>
      <c r="P1005" s="454"/>
      <c r="Q1005" s="454"/>
      <c r="R1005" s="454"/>
      <c r="S1005" s="454"/>
      <c r="T1005" s="454"/>
      <c r="U1005" s="454"/>
      <c r="V1005" s="454"/>
      <c r="W1005" s="454"/>
      <c r="X1005" s="454"/>
      <c r="Y1005" s="454"/>
      <c r="Z1005" s="454"/>
    </row>
    <row r="1006" spans="1:26" ht="15.75" customHeight="1" x14ac:dyDescent="0.25">
      <c r="A1006" s="454"/>
      <c r="B1006" s="475"/>
      <c r="C1006" s="475"/>
      <c r="D1006" s="475"/>
      <c r="E1006" s="476"/>
      <c r="F1006" s="475"/>
      <c r="G1006" s="454"/>
      <c r="H1006" s="454"/>
      <c r="I1006" s="454"/>
      <c r="J1006" s="454"/>
      <c r="K1006" s="454"/>
      <c r="L1006" s="454"/>
      <c r="M1006" s="454"/>
      <c r="N1006" s="454"/>
      <c r="O1006" s="454"/>
      <c r="P1006" s="454"/>
      <c r="Q1006" s="454"/>
      <c r="R1006" s="454"/>
      <c r="S1006" s="454"/>
      <c r="T1006" s="454"/>
      <c r="U1006" s="454"/>
      <c r="V1006" s="454"/>
      <c r="W1006" s="454"/>
      <c r="X1006" s="454"/>
      <c r="Y1006" s="454"/>
      <c r="Z1006" s="454"/>
    </row>
  </sheetData>
  <mergeCells count="1">
    <mergeCell ref="A4:F4"/>
  </mergeCells>
  <pageMargins left="0.511811024" right="0.511811024" top="0.78740157499999996" bottom="0.78740157499999996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7E0F8-84BB-4883-A28B-CF89BB468EA0}">
  <sheetPr>
    <tabColor rgb="FF1851D6"/>
    <pageSetUpPr fitToPage="1"/>
  </sheetPr>
  <dimension ref="A1:AG1002"/>
  <sheetViews>
    <sheetView showGridLines="0" zoomScale="70" zoomScaleNormal="70" workbookViewId="0">
      <pane xSplit="6" ySplit="8" topLeftCell="G22" activePane="bottomRight" state="frozen"/>
      <selection pane="topRight" activeCell="G1" sqref="G1"/>
      <selection pane="bottomLeft" activeCell="A9" sqref="A9"/>
      <selection pane="bottomRight" activeCell="R49" sqref="R49"/>
    </sheetView>
  </sheetViews>
  <sheetFormatPr defaultColWidth="14.42578125" defaultRowHeight="15" customHeight="1" x14ac:dyDescent="0.25"/>
  <cols>
    <col min="1" max="1" width="2.28515625" style="140" customWidth="1"/>
    <col min="2" max="2" width="1.42578125" style="140" customWidth="1"/>
    <col min="3" max="3" width="35.42578125" style="140" customWidth="1"/>
    <col min="4" max="4" width="53.140625" style="140" customWidth="1"/>
    <col min="5" max="5" width="14.28515625" style="140" customWidth="1"/>
    <col min="6" max="6" width="16.5703125" style="140" customWidth="1"/>
    <col min="7" max="7" width="1.7109375" style="140" customWidth="1"/>
    <col min="8" max="8" width="17" style="140" bestFit="1" customWidth="1"/>
    <col min="9" max="11" width="15.7109375" style="140" bestFit="1" customWidth="1"/>
    <col min="12" max="12" width="22.7109375" style="140" bestFit="1" customWidth="1"/>
    <col min="13" max="13" width="28.5703125" style="140" bestFit="1" customWidth="1"/>
    <col min="14" max="14" width="33.140625" style="140" bestFit="1" customWidth="1"/>
    <col min="15" max="15" width="16.5703125" style="140" bestFit="1" customWidth="1"/>
    <col min="16" max="16" width="23.7109375" style="140" bestFit="1" customWidth="1"/>
    <col min="17" max="17" width="17.5703125" style="140" bestFit="1" customWidth="1"/>
    <col min="18" max="18" width="21.5703125" style="140" bestFit="1" customWidth="1"/>
    <col min="19" max="19" width="16.5703125" style="140" bestFit="1" customWidth="1"/>
    <col min="20" max="20" width="19.42578125" style="140" bestFit="1" customWidth="1"/>
    <col min="21" max="21" width="18.85546875" style="140" bestFit="1" customWidth="1"/>
    <col min="22" max="22" width="18.85546875" style="140" customWidth="1"/>
    <col min="23" max="23" width="20.28515625" style="140" bestFit="1" customWidth="1"/>
    <col min="24" max="32" width="8.85546875" style="140" customWidth="1"/>
    <col min="33" max="16384" width="14.42578125" style="140"/>
  </cols>
  <sheetData>
    <row r="1" spans="1:33" ht="21" x14ac:dyDescent="0.25">
      <c r="A1" s="294"/>
      <c r="B1" s="294"/>
      <c r="C1" s="295"/>
      <c r="D1" s="296" t="s">
        <v>49</v>
      </c>
      <c r="E1" s="297" t="str">
        <f>'Obra '!D1</f>
        <v>Caio Prado</v>
      </c>
      <c r="F1" s="298"/>
      <c r="G1" s="298"/>
      <c r="H1" s="298"/>
      <c r="I1" s="298"/>
      <c r="J1" s="298"/>
      <c r="K1" s="298"/>
      <c r="L1" s="298"/>
      <c r="M1" s="298"/>
      <c r="N1" s="298"/>
      <c r="O1" s="298"/>
      <c r="P1" s="298"/>
      <c r="Q1" s="298"/>
      <c r="R1" s="298"/>
      <c r="S1" s="298"/>
      <c r="T1" s="298"/>
      <c r="U1" s="298"/>
      <c r="V1" s="299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</row>
    <row r="2" spans="1:33" ht="21" x14ac:dyDescent="0.25">
      <c r="A2" s="300"/>
      <c r="B2" s="300"/>
      <c r="C2" s="301"/>
      <c r="D2" s="296" t="s">
        <v>31</v>
      </c>
      <c r="E2" s="297" t="str">
        <f>'Obra '!D2</f>
        <v>Indepy</v>
      </c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297"/>
      <c r="S2" s="297"/>
      <c r="T2" s="297"/>
      <c r="U2" s="297"/>
      <c r="V2" s="302"/>
      <c r="W2" s="300"/>
      <c r="X2" s="300"/>
      <c r="Y2" s="300"/>
      <c r="Z2" s="300"/>
      <c r="AA2" s="300"/>
      <c r="AB2" s="300"/>
      <c r="AC2" s="300"/>
      <c r="AD2" s="300"/>
      <c r="AE2" s="300"/>
      <c r="AF2" s="300"/>
      <c r="AG2" s="300"/>
    </row>
    <row r="3" spans="1:33" ht="21" customHeight="1" x14ac:dyDescent="0.25">
      <c r="A3" s="300"/>
      <c r="B3" s="300"/>
      <c r="C3" s="301"/>
      <c r="D3" s="296" t="s">
        <v>1782</v>
      </c>
      <c r="E3" s="297" t="s">
        <v>1868</v>
      </c>
      <c r="F3" s="303"/>
      <c r="G3" s="303"/>
      <c r="H3" s="303"/>
      <c r="I3" s="303"/>
      <c r="J3" s="303"/>
      <c r="K3" s="303"/>
      <c r="L3" s="303"/>
      <c r="M3" s="303"/>
      <c r="N3" s="303"/>
      <c r="O3" s="303"/>
      <c r="P3" s="303"/>
      <c r="Q3" s="303"/>
      <c r="R3" s="303"/>
      <c r="S3" s="303"/>
      <c r="T3" s="303"/>
      <c r="U3" s="303"/>
      <c r="V3" s="304"/>
      <c r="W3" s="300"/>
      <c r="X3" s="300"/>
      <c r="Y3" s="300"/>
      <c r="Z3" s="300"/>
      <c r="AA3" s="300"/>
      <c r="AB3" s="300"/>
      <c r="AC3" s="300"/>
      <c r="AD3" s="300"/>
      <c r="AE3" s="300"/>
      <c r="AF3" s="300"/>
      <c r="AG3" s="300"/>
    </row>
    <row r="4" spans="1:33" ht="21.75" thickBot="1" x14ac:dyDescent="0.3">
      <c r="A4" s="300"/>
      <c r="B4" s="300"/>
      <c r="C4" s="305"/>
      <c r="D4" s="306" t="s">
        <v>32</v>
      </c>
      <c r="E4" s="297" t="str">
        <f>'Obra '!D3</f>
        <v>R00 - Larissa</v>
      </c>
      <c r="F4" s="307"/>
      <c r="G4" s="307"/>
      <c r="H4" s="307"/>
      <c r="I4" s="307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8"/>
      <c r="W4" s="300"/>
      <c r="X4" s="300"/>
      <c r="Y4" s="300"/>
      <c r="Z4" s="300"/>
      <c r="AA4" s="300"/>
      <c r="AB4" s="300"/>
      <c r="AC4" s="300"/>
      <c r="AD4" s="300"/>
      <c r="AE4" s="300"/>
      <c r="AF4" s="300"/>
      <c r="AG4" s="300"/>
    </row>
    <row r="5" spans="1:33" ht="35.25" thickBot="1" x14ac:dyDescent="0.3">
      <c r="A5" s="309"/>
      <c r="B5" s="309"/>
      <c r="C5" s="646" t="s">
        <v>1804</v>
      </c>
      <c r="D5" s="647"/>
      <c r="E5" s="647"/>
      <c r="F5" s="647"/>
      <c r="G5" s="647"/>
      <c r="H5" s="647"/>
      <c r="I5" s="647"/>
      <c r="J5" s="647"/>
      <c r="K5" s="647"/>
      <c r="L5" s="647"/>
      <c r="M5" s="647"/>
      <c r="N5" s="647"/>
      <c r="O5" s="647"/>
      <c r="P5" s="647"/>
      <c r="Q5" s="647"/>
      <c r="R5" s="647"/>
      <c r="S5" s="647"/>
      <c r="T5" s="647"/>
      <c r="U5" s="647"/>
      <c r="V5" s="648"/>
      <c r="W5" s="309"/>
      <c r="X5" s="309"/>
      <c r="Y5" s="309"/>
      <c r="Z5" s="309"/>
      <c r="AA5" s="309"/>
      <c r="AB5" s="310"/>
      <c r="AC5" s="310"/>
      <c r="AD5" s="311"/>
      <c r="AE5" s="310"/>
      <c r="AF5" s="310"/>
      <c r="AG5" s="309"/>
    </row>
    <row r="6" spans="1:33" ht="18.75" thickBot="1" x14ac:dyDescent="0.3">
      <c r="A6" s="309"/>
      <c r="B6" s="309"/>
      <c r="C6" s="312" t="s">
        <v>1805</v>
      </c>
      <c r="D6" s="313" t="s">
        <v>1806</v>
      </c>
      <c r="E6" s="313" t="s">
        <v>1807</v>
      </c>
      <c r="F6" s="314" t="s">
        <v>1808</v>
      </c>
      <c r="G6" s="315"/>
      <c r="H6" s="649" t="s">
        <v>1809</v>
      </c>
      <c r="I6" s="650"/>
      <c r="J6" s="650"/>
      <c r="K6" s="650"/>
      <c r="L6" s="650"/>
      <c r="M6" s="650"/>
      <c r="N6" s="650"/>
      <c r="O6" s="650"/>
      <c r="P6" s="650"/>
      <c r="Q6" s="650"/>
      <c r="R6" s="650"/>
      <c r="S6" s="650"/>
      <c r="T6" s="650"/>
      <c r="U6" s="651"/>
      <c r="V6" s="316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</row>
    <row r="7" spans="1:33" ht="18" x14ac:dyDescent="0.25">
      <c r="A7" s="309"/>
      <c r="B7" s="309"/>
      <c r="C7" s="312"/>
      <c r="D7" s="313"/>
      <c r="E7" s="313"/>
      <c r="F7" s="314"/>
      <c r="G7" s="318"/>
      <c r="H7" s="401" t="str">
        <f>'Obra '!$B$17</f>
        <v>Subsolo</v>
      </c>
      <c r="I7" s="402" t="str">
        <f>'Obra '!$B$18</f>
        <v>Térreo</v>
      </c>
      <c r="J7" s="402" t="str">
        <f>'Obra '!$B$19</f>
        <v>1º Pavimento - HMP</v>
      </c>
      <c r="K7" s="402" t="str">
        <f>'Obra '!$B$20</f>
        <v>2º Pavimento - HMP</v>
      </c>
      <c r="L7" s="402" t="str">
        <f>'Obra '!$B$21</f>
        <v>3º Pavimento - R2V / HMP</v>
      </c>
      <c r="M7" s="402" t="str">
        <f>'Obra '!$B$22</f>
        <v>5º/ 7º/ 9º E 11º Pavimento - R2V</v>
      </c>
      <c r="N7" s="402" t="str">
        <f>'Obra '!$B$23</f>
        <v>4º/ 6º/  8º/ 10º E 12º Pavimento - R2V</v>
      </c>
      <c r="O7" s="402" t="str">
        <f>'Obra '!$B$24</f>
        <v>13º Pavimento - LAZER</v>
      </c>
      <c r="P7" s="402" t="str">
        <f>'Obra '!$B$25</f>
        <v>14º E 16º Pavimento - R2V</v>
      </c>
      <c r="Q7" s="402" t="str">
        <f>'Obra '!$B$26</f>
        <v>15º E 17º Pavimento - R2V</v>
      </c>
      <c r="R7" s="402" t="str">
        <f>'Obra '!$B$27</f>
        <v>18º Pavimento - LAZER</v>
      </c>
      <c r="S7" s="556" t="str">
        <f>'Obra '!$B$28</f>
        <v>BARRILETE</v>
      </c>
      <c r="T7" s="652" t="s">
        <v>1810</v>
      </c>
      <c r="U7" s="654" t="s">
        <v>1784</v>
      </c>
      <c r="V7" s="317"/>
      <c r="W7" s="317"/>
      <c r="X7" s="317"/>
      <c r="Y7" s="309"/>
      <c r="Z7" s="309"/>
      <c r="AA7" s="309"/>
      <c r="AB7" s="310"/>
      <c r="AC7" s="310"/>
      <c r="AD7" s="311"/>
      <c r="AE7" s="310"/>
      <c r="AF7" s="310"/>
    </row>
    <row r="8" spans="1:33" ht="18.75" x14ac:dyDescent="0.25">
      <c r="A8" s="309"/>
      <c r="B8" s="309"/>
      <c r="C8" s="319"/>
      <c r="D8" s="320"/>
      <c r="E8" s="320"/>
      <c r="F8" s="321"/>
      <c r="G8" s="318"/>
      <c r="H8" s="395">
        <v>1</v>
      </c>
      <c r="I8" s="393">
        <v>1</v>
      </c>
      <c r="J8" s="393">
        <v>1</v>
      </c>
      <c r="K8" s="393">
        <v>1</v>
      </c>
      <c r="L8" s="393">
        <v>1</v>
      </c>
      <c r="M8" s="394">
        <v>4</v>
      </c>
      <c r="N8" s="394">
        <v>5</v>
      </c>
      <c r="O8" s="394">
        <v>1</v>
      </c>
      <c r="P8" s="394">
        <v>2</v>
      </c>
      <c r="Q8" s="394">
        <v>2</v>
      </c>
      <c r="R8" s="394">
        <v>1</v>
      </c>
      <c r="S8" s="394">
        <v>1</v>
      </c>
      <c r="T8" s="653"/>
      <c r="U8" s="655"/>
      <c r="V8" s="317"/>
      <c r="W8" s="317"/>
      <c r="X8" s="317"/>
      <c r="Y8" s="317"/>
      <c r="Z8" s="317"/>
      <c r="AA8" s="317"/>
      <c r="AB8" s="317"/>
      <c r="AC8" s="317"/>
      <c r="AD8" s="317"/>
      <c r="AE8" s="317"/>
      <c r="AF8" s="317"/>
    </row>
    <row r="9" spans="1:33" ht="18.75" x14ac:dyDescent="0.3">
      <c r="A9" s="309"/>
      <c r="B9" s="309"/>
      <c r="C9" s="322" t="s">
        <v>1811</v>
      </c>
      <c r="D9" s="323" t="s">
        <v>924</v>
      </c>
      <c r="E9" s="324" t="s">
        <v>2</v>
      </c>
      <c r="F9" s="325">
        <f t="shared" ref="F9:F52" si="0">SUMPRODUCT($H$8:$Q$8,$H9:$Q9)</f>
        <v>151</v>
      </c>
      <c r="G9" s="318"/>
      <c r="H9" s="396"/>
      <c r="I9" s="326">
        <v>1</v>
      </c>
      <c r="J9" s="326">
        <v>6</v>
      </c>
      <c r="K9" s="326">
        <v>13</v>
      </c>
      <c r="L9" s="327">
        <v>11</v>
      </c>
      <c r="M9" s="327">
        <v>11</v>
      </c>
      <c r="N9" s="327">
        <v>11</v>
      </c>
      <c r="O9" s="327">
        <v>1</v>
      </c>
      <c r="P9" s="327">
        <v>5</v>
      </c>
      <c r="Q9" s="327">
        <v>5</v>
      </c>
      <c r="R9" s="327"/>
      <c r="S9" s="327"/>
      <c r="T9" s="559">
        <f>CPU!H2778</f>
        <v>952.59879999999998</v>
      </c>
      <c r="U9" s="560">
        <f>SUMPRODUCT(H9:S9,$H$8:$S$8)*T9</f>
        <v>143842.41879999998</v>
      </c>
      <c r="V9" s="317"/>
      <c r="W9" s="317"/>
      <c r="X9" s="317"/>
      <c r="Y9" s="317"/>
      <c r="Z9" s="317"/>
      <c r="AA9" s="317"/>
      <c r="AB9" s="317"/>
      <c r="AC9" s="317"/>
      <c r="AD9" s="317"/>
      <c r="AE9" s="317"/>
      <c r="AF9" s="317"/>
    </row>
    <row r="10" spans="1:33" ht="18.75" x14ac:dyDescent="0.3">
      <c r="A10" s="309"/>
      <c r="B10" s="309"/>
      <c r="C10" s="328" t="s">
        <v>1811</v>
      </c>
      <c r="D10" s="329" t="s">
        <v>934</v>
      </c>
      <c r="E10" s="330" t="s">
        <v>2</v>
      </c>
      <c r="F10" s="331">
        <f t="shared" si="0"/>
        <v>8</v>
      </c>
      <c r="G10" s="318"/>
      <c r="H10" s="396">
        <v>2</v>
      </c>
      <c r="I10" s="326">
        <v>3</v>
      </c>
      <c r="J10" s="326">
        <v>1</v>
      </c>
      <c r="K10" s="326"/>
      <c r="L10" s="327"/>
      <c r="M10" s="327"/>
      <c r="N10" s="327"/>
      <c r="O10" s="327">
        <v>2</v>
      </c>
      <c r="P10" s="327"/>
      <c r="Q10" s="327"/>
      <c r="R10" s="327">
        <v>2</v>
      </c>
      <c r="S10" s="327"/>
      <c r="T10" s="387">
        <f>CPU!H2794</f>
        <v>1166.57</v>
      </c>
      <c r="U10" s="560">
        <f t="shared" ref="U10:U29" si="1">SUMPRODUCT(H10:S10,$H$8:$S$8)*T10</f>
        <v>11665.699999999999</v>
      </c>
      <c r="V10" s="317"/>
      <c r="W10" s="317"/>
      <c r="X10" s="317"/>
      <c r="Y10" s="317"/>
      <c r="Z10" s="317"/>
      <c r="AA10" s="317"/>
      <c r="AB10" s="317"/>
      <c r="AC10" s="317"/>
      <c r="AD10" s="317"/>
      <c r="AE10" s="317"/>
      <c r="AF10" s="317"/>
    </row>
    <row r="11" spans="1:33" ht="18.75" x14ac:dyDescent="0.3">
      <c r="A11" s="309"/>
      <c r="B11" s="309"/>
      <c r="C11" s="328" t="s">
        <v>1811</v>
      </c>
      <c r="D11" s="329" t="s">
        <v>944</v>
      </c>
      <c r="E11" s="330" t="s">
        <v>2</v>
      </c>
      <c r="F11" s="331">
        <f t="shared" si="0"/>
        <v>0</v>
      </c>
      <c r="G11" s="318"/>
      <c r="H11" s="396"/>
      <c r="I11" s="326"/>
      <c r="J11" s="326"/>
      <c r="K11" s="326"/>
      <c r="L11" s="327"/>
      <c r="M11" s="327"/>
      <c r="N11" s="327"/>
      <c r="O11" s="327"/>
      <c r="P11" s="327"/>
      <c r="Q11" s="327"/>
      <c r="R11" s="327"/>
      <c r="S11" s="327"/>
      <c r="T11" s="387">
        <f>CPU!$H$2811</f>
        <v>492.88999999999993</v>
      </c>
      <c r="U11" s="560">
        <f t="shared" si="1"/>
        <v>0</v>
      </c>
      <c r="V11" s="317"/>
      <c r="W11" s="317"/>
      <c r="X11" s="317"/>
      <c r="Y11" s="317"/>
      <c r="Z11" s="317"/>
      <c r="AA11" s="317"/>
      <c r="AB11" s="317"/>
      <c r="AC11" s="317"/>
      <c r="AD11" s="317"/>
      <c r="AE11" s="317"/>
      <c r="AF11" s="317"/>
    </row>
    <row r="12" spans="1:33" ht="18.75" x14ac:dyDescent="0.3">
      <c r="A12" s="309"/>
      <c r="B12" s="309"/>
      <c r="C12" s="332" t="s">
        <v>1811</v>
      </c>
      <c r="D12" s="333" t="s">
        <v>938</v>
      </c>
      <c r="E12" s="334" t="s">
        <v>2</v>
      </c>
      <c r="F12" s="331">
        <f t="shared" si="0"/>
        <v>3</v>
      </c>
      <c r="G12" s="318"/>
      <c r="H12" s="397">
        <v>2</v>
      </c>
      <c r="I12" s="335"/>
      <c r="J12" s="335"/>
      <c r="K12" s="335"/>
      <c r="L12" s="336"/>
      <c r="M12" s="336"/>
      <c r="N12" s="336"/>
      <c r="O12" s="336">
        <v>1</v>
      </c>
      <c r="P12" s="336"/>
      <c r="Q12" s="336"/>
      <c r="R12" s="336">
        <v>1</v>
      </c>
      <c r="S12" s="336"/>
      <c r="T12" s="561">
        <f>CPU!$H$2811</f>
        <v>492.88999999999993</v>
      </c>
      <c r="U12" s="560">
        <f t="shared" si="1"/>
        <v>1971.5599999999997</v>
      </c>
      <c r="V12" s="317"/>
      <c r="W12" s="317"/>
      <c r="X12" s="317"/>
      <c r="Y12" s="317"/>
      <c r="Z12" s="317"/>
      <c r="AA12" s="317"/>
      <c r="AB12" s="317"/>
      <c r="AC12" s="317"/>
      <c r="AD12" s="317"/>
      <c r="AE12" s="317"/>
      <c r="AF12" s="317"/>
    </row>
    <row r="13" spans="1:33" ht="18.75" x14ac:dyDescent="0.3">
      <c r="A13" s="309"/>
      <c r="B13" s="309"/>
      <c r="C13" s="332" t="s">
        <v>1811</v>
      </c>
      <c r="D13" s="333" t="s">
        <v>1812</v>
      </c>
      <c r="E13" s="334" t="s">
        <v>2</v>
      </c>
      <c r="F13" s="331">
        <f t="shared" si="0"/>
        <v>1</v>
      </c>
      <c r="G13" s="318"/>
      <c r="H13" s="397"/>
      <c r="I13" s="335">
        <v>1</v>
      </c>
      <c r="J13" s="335"/>
      <c r="K13" s="335"/>
      <c r="L13" s="336"/>
      <c r="M13" s="336"/>
      <c r="N13" s="336"/>
      <c r="O13" s="336"/>
      <c r="P13" s="336"/>
      <c r="Q13" s="336"/>
      <c r="R13" s="336"/>
      <c r="S13" s="336"/>
      <c r="T13" s="561">
        <f>CPU!H2843</f>
        <v>683.16199999999992</v>
      </c>
      <c r="U13" s="560">
        <f t="shared" si="1"/>
        <v>683.16199999999992</v>
      </c>
      <c r="V13" s="317"/>
      <c r="W13" s="317"/>
      <c r="X13" s="317"/>
      <c r="Y13" s="317"/>
      <c r="Z13" s="317"/>
      <c r="AA13" s="317"/>
      <c r="AB13" s="317"/>
      <c r="AC13" s="317"/>
      <c r="AD13" s="317"/>
      <c r="AE13" s="317"/>
      <c r="AF13" s="317"/>
    </row>
    <row r="14" spans="1:33" ht="18.75" x14ac:dyDescent="0.3">
      <c r="A14" s="309"/>
      <c r="B14" s="309"/>
      <c r="C14" s="332" t="s">
        <v>1811</v>
      </c>
      <c r="D14" s="333" t="s">
        <v>1813</v>
      </c>
      <c r="E14" s="334" t="s">
        <v>2</v>
      </c>
      <c r="F14" s="331">
        <f t="shared" si="0"/>
        <v>8</v>
      </c>
      <c r="G14" s="318"/>
      <c r="H14" s="397">
        <v>2</v>
      </c>
      <c r="I14" s="335">
        <v>3</v>
      </c>
      <c r="J14" s="335">
        <v>1</v>
      </c>
      <c r="K14" s="335"/>
      <c r="L14" s="336"/>
      <c r="M14" s="336"/>
      <c r="N14" s="336"/>
      <c r="O14" s="336">
        <v>2</v>
      </c>
      <c r="P14" s="336"/>
      <c r="Q14" s="336"/>
      <c r="R14" s="336">
        <v>2</v>
      </c>
      <c r="S14" s="336"/>
      <c r="T14" s="561">
        <f>CPU!H2853</f>
        <v>694.26200000000006</v>
      </c>
      <c r="U14" s="560">
        <f t="shared" si="1"/>
        <v>6942.6200000000008</v>
      </c>
      <c r="V14" s="317"/>
      <c r="W14" s="317"/>
      <c r="X14" s="317"/>
      <c r="Y14" s="317"/>
      <c r="Z14" s="317"/>
      <c r="AA14" s="317"/>
      <c r="AB14" s="317"/>
      <c r="AC14" s="317"/>
      <c r="AD14" s="317"/>
      <c r="AE14" s="317"/>
      <c r="AF14" s="317"/>
    </row>
    <row r="15" spans="1:33" ht="18.75" x14ac:dyDescent="0.3">
      <c r="A15" s="309"/>
      <c r="B15" s="309"/>
      <c r="C15" s="332" t="s">
        <v>1811</v>
      </c>
      <c r="D15" s="333" t="s">
        <v>946</v>
      </c>
      <c r="E15" s="334" t="s">
        <v>2</v>
      </c>
      <c r="F15" s="331">
        <f t="shared" si="0"/>
        <v>0</v>
      </c>
      <c r="G15" s="318"/>
      <c r="H15" s="397"/>
      <c r="I15" s="335"/>
      <c r="J15" s="335"/>
      <c r="K15" s="335"/>
      <c r="L15" s="336"/>
      <c r="M15" s="336"/>
      <c r="N15" s="336"/>
      <c r="O15" s="336"/>
      <c r="P15" s="336"/>
      <c r="Q15" s="336"/>
      <c r="R15" s="336"/>
      <c r="S15" s="336"/>
      <c r="T15" s="561">
        <f>CPU!H2820</f>
        <v>1981.2619999999999</v>
      </c>
      <c r="U15" s="560">
        <f t="shared" si="1"/>
        <v>0</v>
      </c>
      <c r="V15" s="317"/>
      <c r="W15" s="317"/>
      <c r="X15" s="317"/>
      <c r="Y15" s="317"/>
      <c r="Z15" s="317"/>
      <c r="AA15" s="317"/>
      <c r="AB15" s="317"/>
      <c r="AC15" s="317"/>
      <c r="AD15" s="317"/>
      <c r="AE15" s="317"/>
      <c r="AF15" s="317"/>
    </row>
    <row r="16" spans="1:33" ht="18.75" x14ac:dyDescent="0.3">
      <c r="A16" s="309"/>
      <c r="B16" s="309"/>
      <c r="C16" s="332" t="s">
        <v>1811</v>
      </c>
      <c r="D16" s="333" t="s">
        <v>955</v>
      </c>
      <c r="E16" s="334" t="s">
        <v>2</v>
      </c>
      <c r="F16" s="331">
        <f t="shared" si="0"/>
        <v>6</v>
      </c>
      <c r="G16" s="318"/>
      <c r="H16" s="397">
        <v>1</v>
      </c>
      <c r="I16" s="335">
        <v>2</v>
      </c>
      <c r="J16" s="335"/>
      <c r="K16" s="335"/>
      <c r="L16" s="336"/>
      <c r="M16" s="336"/>
      <c r="N16" s="336"/>
      <c r="O16" s="336">
        <v>3</v>
      </c>
      <c r="P16" s="336"/>
      <c r="Q16" s="336"/>
      <c r="R16" s="336"/>
      <c r="S16" s="336"/>
      <c r="T16" s="561">
        <f>CPU!H2833</f>
        <v>809.26200000000006</v>
      </c>
      <c r="U16" s="560">
        <f t="shared" si="1"/>
        <v>4855.5720000000001</v>
      </c>
      <c r="V16" s="317"/>
      <c r="W16" s="317"/>
      <c r="X16" s="317"/>
      <c r="Y16" s="317"/>
      <c r="Z16" s="317"/>
      <c r="AA16" s="317"/>
      <c r="AB16" s="317"/>
      <c r="AC16" s="317"/>
      <c r="AD16" s="317"/>
      <c r="AE16" s="317"/>
      <c r="AF16" s="317"/>
    </row>
    <row r="17" spans="1:32" ht="18.75" x14ac:dyDescent="0.3">
      <c r="A17" s="309"/>
      <c r="B17" s="309"/>
      <c r="C17" s="332" t="s">
        <v>1811</v>
      </c>
      <c r="D17" s="333" t="s">
        <v>1814</v>
      </c>
      <c r="E17" s="334" t="s">
        <v>2</v>
      </c>
      <c r="F17" s="331">
        <f t="shared" si="0"/>
        <v>0</v>
      </c>
      <c r="G17" s="318"/>
      <c r="H17" s="397"/>
      <c r="I17" s="335"/>
      <c r="J17" s="335"/>
      <c r="K17" s="335"/>
      <c r="L17" s="336"/>
      <c r="M17" s="336"/>
      <c r="N17" s="336"/>
      <c r="O17" s="336"/>
      <c r="P17" s="336"/>
      <c r="Q17" s="336"/>
      <c r="R17" s="336"/>
      <c r="S17" s="336"/>
      <c r="T17" s="561"/>
      <c r="U17" s="560">
        <f t="shared" si="1"/>
        <v>0</v>
      </c>
      <c r="V17" s="317"/>
      <c r="W17" s="317"/>
      <c r="X17" s="317"/>
      <c r="Y17" s="317"/>
      <c r="Z17" s="317"/>
      <c r="AA17" s="317"/>
      <c r="AB17" s="317"/>
      <c r="AC17" s="317"/>
      <c r="AD17" s="317"/>
      <c r="AE17" s="317"/>
      <c r="AF17" s="317"/>
    </row>
    <row r="18" spans="1:32" ht="18.75" x14ac:dyDescent="0.3">
      <c r="A18" s="309"/>
      <c r="B18" s="309"/>
      <c r="C18" s="332" t="s">
        <v>1811</v>
      </c>
      <c r="D18" s="333" t="s">
        <v>1815</v>
      </c>
      <c r="E18" s="334" t="s">
        <v>2</v>
      </c>
      <c r="F18" s="331">
        <f t="shared" si="0"/>
        <v>0</v>
      </c>
      <c r="G18" s="318"/>
      <c r="H18" s="397"/>
      <c r="I18" s="335"/>
      <c r="J18" s="335"/>
      <c r="K18" s="335"/>
      <c r="L18" s="336"/>
      <c r="M18" s="336"/>
      <c r="N18" s="336"/>
      <c r="O18" s="336"/>
      <c r="P18" s="336"/>
      <c r="Q18" s="336"/>
      <c r="R18" s="336"/>
      <c r="S18" s="336"/>
      <c r="T18" s="561"/>
      <c r="U18" s="560">
        <f t="shared" si="1"/>
        <v>0</v>
      </c>
      <c r="V18" s="317"/>
      <c r="W18" s="317"/>
      <c r="X18" s="317"/>
      <c r="Y18" s="317"/>
      <c r="Z18" s="317"/>
      <c r="AA18" s="317"/>
      <c r="AB18" s="317"/>
      <c r="AC18" s="317"/>
      <c r="AD18" s="317"/>
      <c r="AE18" s="317"/>
      <c r="AF18" s="317"/>
    </row>
    <row r="19" spans="1:32" ht="18.75" x14ac:dyDescent="0.3">
      <c r="A19" s="309"/>
      <c r="B19" s="309"/>
      <c r="C19" s="332" t="s">
        <v>1811</v>
      </c>
      <c r="D19" s="333" t="s">
        <v>962</v>
      </c>
      <c r="E19" s="334" t="s">
        <v>2</v>
      </c>
      <c r="F19" s="331">
        <f t="shared" si="0"/>
        <v>0</v>
      </c>
      <c r="G19" s="318"/>
      <c r="H19" s="397"/>
      <c r="I19" s="335"/>
      <c r="J19" s="335"/>
      <c r="K19" s="335"/>
      <c r="L19" s="336"/>
      <c r="M19" s="336"/>
      <c r="N19" s="336"/>
      <c r="O19" s="336"/>
      <c r="P19" s="336"/>
      <c r="Q19" s="336"/>
      <c r="R19" s="336"/>
      <c r="S19" s="336"/>
      <c r="T19" s="561">
        <f>CPU!H2873</f>
        <v>558.36199999999997</v>
      </c>
      <c r="U19" s="560">
        <f t="shared" si="1"/>
        <v>0</v>
      </c>
      <c r="V19" s="317"/>
      <c r="W19" s="317"/>
      <c r="X19" s="317"/>
      <c r="Y19" s="317"/>
      <c r="Z19" s="317"/>
      <c r="AA19" s="317"/>
      <c r="AB19" s="317"/>
      <c r="AC19" s="317"/>
      <c r="AD19" s="317"/>
      <c r="AE19" s="317"/>
      <c r="AF19" s="317"/>
    </row>
    <row r="20" spans="1:32" ht="18.75" x14ac:dyDescent="0.3">
      <c r="A20" s="309"/>
      <c r="B20" s="309"/>
      <c r="C20" s="332" t="s">
        <v>1811</v>
      </c>
      <c r="D20" s="333" t="s">
        <v>1816</v>
      </c>
      <c r="E20" s="334" t="s">
        <v>2</v>
      </c>
      <c r="F20" s="331">
        <f t="shared" si="0"/>
        <v>0</v>
      </c>
      <c r="G20" s="318"/>
      <c r="H20" s="397"/>
      <c r="I20" s="335"/>
      <c r="J20" s="335"/>
      <c r="K20" s="335"/>
      <c r="L20" s="336"/>
      <c r="M20" s="336"/>
      <c r="N20" s="336"/>
      <c r="O20" s="336"/>
      <c r="P20" s="336"/>
      <c r="Q20" s="336"/>
      <c r="R20" s="336"/>
      <c r="S20" s="336"/>
      <c r="T20" s="561"/>
      <c r="U20" s="560">
        <f t="shared" si="1"/>
        <v>0</v>
      </c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</row>
    <row r="21" spans="1:32" ht="15.75" customHeight="1" x14ac:dyDescent="0.3">
      <c r="A21" s="309"/>
      <c r="B21" s="309"/>
      <c r="C21" s="332" t="s">
        <v>1811</v>
      </c>
      <c r="D21" s="333" t="s">
        <v>1817</v>
      </c>
      <c r="E21" s="334" t="s">
        <v>2</v>
      </c>
      <c r="F21" s="331">
        <f t="shared" si="0"/>
        <v>0</v>
      </c>
      <c r="G21" s="318"/>
      <c r="H21" s="397"/>
      <c r="I21" s="335"/>
      <c r="J21" s="335"/>
      <c r="K21" s="335"/>
      <c r="L21" s="336"/>
      <c r="M21" s="336"/>
      <c r="N21" s="336"/>
      <c r="O21" s="336"/>
      <c r="P21" s="336"/>
      <c r="Q21" s="336"/>
      <c r="R21" s="336"/>
      <c r="S21" s="336"/>
      <c r="T21" s="561"/>
      <c r="U21" s="560">
        <f t="shared" si="1"/>
        <v>0</v>
      </c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</row>
    <row r="22" spans="1:32" ht="15.75" customHeight="1" x14ac:dyDescent="0.3">
      <c r="A22" s="309"/>
      <c r="B22" s="309"/>
      <c r="C22" s="332" t="s">
        <v>1811</v>
      </c>
      <c r="D22" s="333" t="s">
        <v>960</v>
      </c>
      <c r="E22" s="334" t="s">
        <v>2</v>
      </c>
      <c r="F22" s="331">
        <f t="shared" si="0"/>
        <v>1</v>
      </c>
      <c r="G22" s="318"/>
      <c r="H22" s="397">
        <v>1</v>
      </c>
      <c r="I22" s="335"/>
      <c r="J22" s="335"/>
      <c r="K22" s="335"/>
      <c r="L22" s="336"/>
      <c r="M22" s="336"/>
      <c r="N22" s="336"/>
      <c r="O22" s="336"/>
      <c r="P22" s="336"/>
      <c r="Q22" s="336"/>
      <c r="R22" s="336"/>
      <c r="S22" s="336"/>
      <c r="T22" s="561">
        <f>CPU!H2863</f>
        <v>834.26200000000006</v>
      </c>
      <c r="U22" s="560">
        <f t="shared" si="1"/>
        <v>834.26200000000006</v>
      </c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</row>
    <row r="23" spans="1:32" ht="15.75" customHeight="1" x14ac:dyDescent="0.3">
      <c r="A23" s="309"/>
      <c r="B23" s="309"/>
      <c r="C23" s="332" t="s">
        <v>1811</v>
      </c>
      <c r="D23" s="333" t="s">
        <v>1818</v>
      </c>
      <c r="E23" s="334" t="s">
        <v>2</v>
      </c>
      <c r="F23" s="331">
        <f t="shared" si="0"/>
        <v>0</v>
      </c>
      <c r="G23" s="318"/>
      <c r="H23" s="397"/>
      <c r="I23" s="335"/>
      <c r="J23" s="335"/>
      <c r="K23" s="335"/>
      <c r="L23" s="336"/>
      <c r="M23" s="336"/>
      <c r="N23" s="336"/>
      <c r="O23" s="336"/>
      <c r="P23" s="336"/>
      <c r="Q23" s="336"/>
      <c r="R23" s="336"/>
      <c r="S23" s="336"/>
      <c r="T23" s="561">
        <f>CPU!H2786</f>
        <v>1063</v>
      </c>
      <c r="U23" s="560">
        <f t="shared" si="1"/>
        <v>0</v>
      </c>
      <c r="V23" s="317"/>
      <c r="W23" s="317"/>
      <c r="X23" s="317"/>
      <c r="Y23" s="317"/>
      <c r="Z23" s="317"/>
      <c r="AA23" s="317"/>
      <c r="AB23" s="317"/>
      <c r="AC23" s="317"/>
      <c r="AD23" s="317"/>
      <c r="AE23" s="317"/>
      <c r="AF23" s="317"/>
    </row>
    <row r="24" spans="1:32" ht="15.75" customHeight="1" x14ac:dyDescent="0.3">
      <c r="A24" s="309"/>
      <c r="B24" s="309"/>
      <c r="C24" s="332" t="s">
        <v>1811</v>
      </c>
      <c r="D24" s="333" t="s">
        <v>1819</v>
      </c>
      <c r="E24" s="334" t="s">
        <v>2</v>
      </c>
      <c r="F24" s="331">
        <f t="shared" si="0"/>
        <v>0</v>
      </c>
      <c r="G24" s="318"/>
      <c r="H24" s="397"/>
      <c r="I24" s="335"/>
      <c r="J24" s="335"/>
      <c r="K24" s="335"/>
      <c r="L24" s="336"/>
      <c r="M24" s="336"/>
      <c r="N24" s="336"/>
      <c r="O24" s="336"/>
      <c r="P24" s="336"/>
      <c r="Q24" s="336"/>
      <c r="R24" s="336"/>
      <c r="S24" s="336"/>
      <c r="T24" s="561"/>
      <c r="U24" s="560">
        <f t="shared" ref="U24" si="2">SUMPRODUCT(H24:S24,$H$8:$S$8)*T24</f>
        <v>0</v>
      </c>
      <c r="V24" s="317"/>
      <c r="W24" s="317"/>
      <c r="X24" s="317"/>
      <c r="Y24" s="317"/>
      <c r="Z24" s="317"/>
      <c r="AA24" s="317"/>
      <c r="AB24" s="317"/>
      <c r="AC24" s="317"/>
      <c r="AD24" s="317"/>
      <c r="AE24" s="317"/>
      <c r="AF24" s="317"/>
    </row>
    <row r="25" spans="1:32" ht="15.75" customHeight="1" x14ac:dyDescent="0.3">
      <c r="A25" s="309"/>
      <c r="B25" s="309"/>
      <c r="C25" s="332" t="s">
        <v>1811</v>
      </c>
      <c r="D25" s="333" t="s">
        <v>6617</v>
      </c>
      <c r="E25" s="334" t="s">
        <v>2</v>
      </c>
      <c r="F25" s="331">
        <f t="shared" si="0"/>
        <v>2</v>
      </c>
      <c r="G25" s="318"/>
      <c r="H25" s="397">
        <v>2</v>
      </c>
      <c r="I25" s="335"/>
      <c r="J25" s="335"/>
      <c r="K25" s="335"/>
      <c r="L25" s="336"/>
      <c r="M25" s="336"/>
      <c r="N25" s="336"/>
      <c r="O25" s="336"/>
      <c r="P25" s="336"/>
      <c r="Q25" s="336"/>
      <c r="R25" s="336"/>
      <c r="S25" s="336"/>
      <c r="T25" s="561">
        <f>CPU!H2899</f>
        <v>454</v>
      </c>
      <c r="U25" s="560">
        <f t="shared" si="1"/>
        <v>908</v>
      </c>
      <c r="V25" s="317"/>
      <c r="W25" s="317"/>
      <c r="X25" s="317"/>
      <c r="Y25" s="317"/>
      <c r="Z25" s="317"/>
      <c r="AA25" s="317"/>
      <c r="AB25" s="317"/>
      <c r="AC25" s="317"/>
      <c r="AD25" s="317"/>
      <c r="AE25" s="317"/>
      <c r="AF25" s="317"/>
    </row>
    <row r="26" spans="1:32" ht="15.75" customHeight="1" x14ac:dyDescent="0.3">
      <c r="A26" s="309"/>
      <c r="B26" s="309"/>
      <c r="C26" s="332" t="s">
        <v>1811</v>
      </c>
      <c r="D26" s="333" t="s">
        <v>620</v>
      </c>
      <c r="E26" s="334" t="s">
        <v>2</v>
      </c>
      <c r="F26" s="331">
        <f t="shared" si="0"/>
        <v>1</v>
      </c>
      <c r="G26" s="318"/>
      <c r="H26" s="397"/>
      <c r="I26" s="335"/>
      <c r="J26" s="335"/>
      <c r="K26" s="335"/>
      <c r="L26" s="336"/>
      <c r="M26" s="336"/>
      <c r="N26" s="336"/>
      <c r="O26" s="336">
        <v>1</v>
      </c>
      <c r="P26" s="336"/>
      <c r="Q26" s="336"/>
      <c r="R26" s="336"/>
      <c r="S26" s="336"/>
      <c r="T26" s="561">
        <f>CPU!H1174</f>
        <v>3889</v>
      </c>
      <c r="U26" s="560">
        <f t="shared" ref="U26" si="3">SUMPRODUCT(H26:S26,$H$8:$S$8)*T26</f>
        <v>3889</v>
      </c>
      <c r="V26" s="317"/>
      <c r="W26" s="317"/>
      <c r="X26" s="317"/>
      <c r="Y26" s="317"/>
      <c r="Z26" s="317"/>
      <c r="AA26" s="317"/>
      <c r="AB26" s="317"/>
      <c r="AC26" s="317"/>
      <c r="AD26" s="317"/>
      <c r="AE26" s="317"/>
      <c r="AF26" s="317"/>
    </row>
    <row r="27" spans="1:32" ht="15.75" customHeight="1" x14ac:dyDescent="0.3">
      <c r="A27" s="309"/>
      <c r="B27" s="309"/>
      <c r="C27" s="332" t="s">
        <v>1811</v>
      </c>
      <c r="D27" s="333" t="s">
        <v>1820</v>
      </c>
      <c r="E27" s="334" t="s">
        <v>2</v>
      </c>
      <c r="F27" s="331">
        <f t="shared" si="0"/>
        <v>0</v>
      </c>
      <c r="G27" s="318"/>
      <c r="H27" s="397"/>
      <c r="I27" s="335"/>
      <c r="J27" s="335"/>
      <c r="K27" s="335"/>
      <c r="L27" s="336"/>
      <c r="M27" s="336"/>
      <c r="N27" s="336"/>
      <c r="O27" s="336"/>
      <c r="P27" s="336"/>
      <c r="Q27" s="336"/>
      <c r="R27" s="336"/>
      <c r="S27" s="336"/>
      <c r="T27" s="561">
        <f>CPU!H1177</f>
        <v>1577</v>
      </c>
      <c r="U27" s="560">
        <f t="shared" si="1"/>
        <v>0</v>
      </c>
      <c r="V27" s="317"/>
      <c r="W27" s="317"/>
      <c r="X27" s="317"/>
      <c r="Y27" s="317"/>
      <c r="Z27" s="317"/>
      <c r="AA27" s="317"/>
      <c r="AB27" s="317"/>
      <c r="AC27" s="317"/>
      <c r="AD27" s="317"/>
      <c r="AE27" s="317"/>
      <c r="AF27" s="317"/>
    </row>
    <row r="28" spans="1:32" ht="15.75" customHeight="1" x14ac:dyDescent="0.3">
      <c r="A28" s="309"/>
      <c r="B28" s="309"/>
      <c r="C28" s="332" t="s">
        <v>1811</v>
      </c>
      <c r="D28" s="333" t="s">
        <v>1821</v>
      </c>
      <c r="E28" s="334" t="s">
        <v>2</v>
      </c>
      <c r="F28" s="331">
        <f t="shared" si="0"/>
        <v>0</v>
      </c>
      <c r="G28" s="318"/>
      <c r="H28" s="397"/>
      <c r="I28" s="335"/>
      <c r="J28" s="335"/>
      <c r="K28" s="335"/>
      <c r="L28" s="336"/>
      <c r="M28" s="336"/>
      <c r="N28" s="336"/>
      <c r="O28" s="336"/>
      <c r="P28" s="336"/>
      <c r="Q28" s="336"/>
      <c r="R28" s="336"/>
      <c r="S28" s="336"/>
      <c r="T28" s="561"/>
      <c r="U28" s="560">
        <f t="shared" si="1"/>
        <v>0</v>
      </c>
      <c r="V28" s="317"/>
      <c r="W28" s="317"/>
      <c r="X28" s="317"/>
      <c r="Y28" s="317"/>
      <c r="Z28" s="317"/>
      <c r="AA28" s="317"/>
      <c r="AB28" s="317"/>
      <c r="AC28" s="317"/>
      <c r="AD28" s="317"/>
      <c r="AE28" s="317"/>
      <c r="AF28" s="317"/>
    </row>
    <row r="29" spans="1:32" ht="15.75" customHeight="1" thickBot="1" x14ac:dyDescent="0.35">
      <c r="A29" s="309"/>
      <c r="B29" s="309"/>
      <c r="C29" s="337" t="s">
        <v>1822</v>
      </c>
      <c r="D29" s="338" t="s">
        <v>2055</v>
      </c>
      <c r="E29" s="339" t="s">
        <v>2</v>
      </c>
      <c r="F29" s="340">
        <f t="shared" si="0"/>
        <v>294</v>
      </c>
      <c r="G29" s="318"/>
      <c r="H29" s="398"/>
      <c r="I29" s="341"/>
      <c r="J29" s="341">
        <v>12</v>
      </c>
      <c r="K29" s="341">
        <v>26</v>
      </c>
      <c r="L29" s="341">
        <v>22</v>
      </c>
      <c r="M29" s="341">
        <v>22</v>
      </c>
      <c r="N29" s="341">
        <v>22</v>
      </c>
      <c r="O29" s="342"/>
      <c r="P29" s="342">
        <v>10</v>
      </c>
      <c r="Q29" s="342">
        <v>8</v>
      </c>
      <c r="R29" s="342"/>
      <c r="S29" s="342"/>
      <c r="T29" s="562"/>
      <c r="U29" s="563">
        <f t="shared" si="1"/>
        <v>0</v>
      </c>
      <c r="V29" s="414" t="s">
        <v>2365</v>
      </c>
      <c r="W29" s="317"/>
      <c r="X29" s="317"/>
      <c r="Y29" s="317"/>
      <c r="Z29" s="317"/>
      <c r="AA29" s="317"/>
      <c r="AB29" s="317"/>
      <c r="AC29" s="317"/>
      <c r="AD29" s="317"/>
      <c r="AE29" s="317"/>
      <c r="AF29" s="317"/>
    </row>
    <row r="30" spans="1:32" ht="15.75" customHeight="1" thickTop="1" x14ac:dyDescent="0.3">
      <c r="A30" s="309"/>
      <c r="B30" s="309"/>
      <c r="C30" s="332" t="s">
        <v>1822</v>
      </c>
      <c r="D30" s="333" t="s">
        <v>1823</v>
      </c>
      <c r="E30" s="330" t="s">
        <v>2</v>
      </c>
      <c r="F30" s="343">
        <f t="shared" si="0"/>
        <v>0</v>
      </c>
      <c r="G30" s="318"/>
      <c r="H30" s="397"/>
      <c r="I30" s="335"/>
      <c r="J30" s="335"/>
      <c r="K30" s="335"/>
      <c r="L30" s="335"/>
      <c r="M30" s="335"/>
      <c r="N30" s="335"/>
      <c r="O30" s="336"/>
      <c r="P30" s="336"/>
      <c r="Q30" s="336"/>
      <c r="R30" s="336"/>
      <c r="S30" s="336"/>
      <c r="T30" s="561">
        <f>CPU!$H$2897</f>
        <v>836</v>
      </c>
      <c r="U30" s="560">
        <f>SUMPRODUCT(H30:S30,$H$8:$S$8)*T30</f>
        <v>0</v>
      </c>
      <c r="V30" s="414" t="s">
        <v>2364</v>
      </c>
      <c r="W30" s="317"/>
      <c r="X30" s="317"/>
      <c r="Y30" s="317"/>
      <c r="Z30" s="317"/>
      <c r="AA30" s="317"/>
      <c r="AB30" s="317"/>
      <c r="AC30" s="317"/>
      <c r="AD30" s="317"/>
      <c r="AE30" s="317"/>
      <c r="AF30" s="317"/>
    </row>
    <row r="31" spans="1:32" ht="15.75" customHeight="1" x14ac:dyDescent="0.3">
      <c r="A31" s="309"/>
      <c r="B31" s="309"/>
      <c r="C31" s="328" t="s">
        <v>1822</v>
      </c>
      <c r="D31" s="329" t="s">
        <v>988</v>
      </c>
      <c r="E31" s="330" t="s">
        <v>2</v>
      </c>
      <c r="F31" s="331">
        <f t="shared" si="0"/>
        <v>9</v>
      </c>
      <c r="G31" s="318"/>
      <c r="H31" s="396">
        <v>2</v>
      </c>
      <c r="I31" s="326">
        <v>4</v>
      </c>
      <c r="J31" s="326"/>
      <c r="K31" s="326"/>
      <c r="L31" s="327"/>
      <c r="M31" s="327"/>
      <c r="N31" s="327"/>
      <c r="O31" s="327">
        <v>3</v>
      </c>
      <c r="P31" s="327"/>
      <c r="Q31" s="327"/>
      <c r="R31" s="327">
        <v>3</v>
      </c>
      <c r="S31" s="327"/>
      <c r="T31" s="387">
        <v>1183.51</v>
      </c>
      <c r="U31" s="560">
        <f>SUMPRODUCT(H31:S31,$H$8:$S$8)*T31</f>
        <v>14202.119999999999</v>
      </c>
      <c r="V31" s="317"/>
      <c r="W31" s="317"/>
      <c r="X31" s="317"/>
      <c r="Y31" s="317"/>
      <c r="Z31" s="317"/>
      <c r="AA31" s="317"/>
      <c r="AB31" s="317"/>
      <c r="AC31" s="317"/>
      <c r="AD31" s="317"/>
      <c r="AE31" s="317"/>
      <c r="AF31" s="317"/>
    </row>
    <row r="32" spans="1:32" ht="15.75" customHeight="1" x14ac:dyDescent="0.3">
      <c r="A32" s="309"/>
      <c r="B32" s="309"/>
      <c r="C32" s="328" t="s">
        <v>1822</v>
      </c>
      <c r="D32" s="329" t="s">
        <v>982</v>
      </c>
      <c r="E32" s="330" t="s">
        <v>2</v>
      </c>
      <c r="F32" s="331">
        <f t="shared" si="0"/>
        <v>2</v>
      </c>
      <c r="G32" s="318"/>
      <c r="H32" s="396">
        <v>2</v>
      </c>
      <c r="I32" s="326"/>
      <c r="J32" s="326"/>
      <c r="K32" s="326"/>
      <c r="L32" s="327"/>
      <c r="M32" s="327"/>
      <c r="N32" s="327"/>
      <c r="O32" s="327"/>
      <c r="P32" s="327"/>
      <c r="Q32" s="327"/>
      <c r="R32" s="327"/>
      <c r="S32" s="327"/>
      <c r="T32" s="387">
        <f>CPU!$H$2903</f>
        <v>400</v>
      </c>
      <c r="U32" s="560">
        <f t="shared" ref="U32:U40" si="4">SUMPRODUCT(H32:S32,$H$8:$S$8)*T32</f>
        <v>800</v>
      </c>
      <c r="V32" s="317"/>
      <c r="W32" s="317"/>
      <c r="X32" s="317"/>
      <c r="Y32" s="317"/>
      <c r="Z32" s="317"/>
      <c r="AA32" s="317"/>
      <c r="AB32" s="317"/>
      <c r="AC32" s="317"/>
      <c r="AD32" s="317"/>
      <c r="AE32" s="317"/>
      <c r="AF32" s="317"/>
    </row>
    <row r="33" spans="1:32" ht="15.75" customHeight="1" x14ac:dyDescent="0.3">
      <c r="A33" s="309"/>
      <c r="B33" s="309"/>
      <c r="C33" s="328" t="s">
        <v>1822</v>
      </c>
      <c r="D33" s="329" t="s">
        <v>986</v>
      </c>
      <c r="E33" s="330" t="s">
        <v>2</v>
      </c>
      <c r="F33" s="331">
        <f t="shared" si="0"/>
        <v>0</v>
      </c>
      <c r="G33" s="318"/>
      <c r="H33" s="396"/>
      <c r="I33" s="326"/>
      <c r="J33" s="326"/>
      <c r="K33" s="326"/>
      <c r="L33" s="327"/>
      <c r="M33" s="327"/>
      <c r="N33" s="327"/>
      <c r="O33" s="327"/>
      <c r="P33" s="327"/>
      <c r="Q33" s="327"/>
      <c r="R33" s="327">
        <v>1</v>
      </c>
      <c r="S33" s="327"/>
      <c r="T33" s="387">
        <f>CPU!$H$2907</f>
        <v>1196.32</v>
      </c>
      <c r="U33" s="560">
        <f t="shared" si="4"/>
        <v>1196.32</v>
      </c>
      <c r="V33" s="317"/>
      <c r="W33" s="317"/>
      <c r="X33" s="317"/>
      <c r="Y33" s="317"/>
      <c r="Z33" s="317"/>
      <c r="AA33" s="317"/>
      <c r="AB33" s="317"/>
      <c r="AC33" s="317"/>
      <c r="AD33" s="317"/>
      <c r="AE33" s="317"/>
      <c r="AF33" s="317"/>
    </row>
    <row r="34" spans="1:32" ht="15.75" customHeight="1" x14ac:dyDescent="0.3">
      <c r="A34" s="309"/>
      <c r="B34" s="309"/>
      <c r="C34" s="328" t="s">
        <v>1822</v>
      </c>
      <c r="D34" s="329" t="s">
        <v>969</v>
      </c>
      <c r="E34" s="330" t="s">
        <v>2</v>
      </c>
      <c r="F34" s="331">
        <f t="shared" si="0"/>
        <v>12</v>
      </c>
      <c r="G34" s="318"/>
      <c r="H34" s="396"/>
      <c r="I34" s="326">
        <v>5</v>
      </c>
      <c r="J34" s="326"/>
      <c r="K34" s="326"/>
      <c r="L34" s="327">
        <v>1</v>
      </c>
      <c r="M34" s="327"/>
      <c r="N34" s="327"/>
      <c r="O34" s="327">
        <v>2</v>
      </c>
      <c r="P34" s="327">
        <v>2</v>
      </c>
      <c r="Q34" s="327"/>
      <c r="R34" s="327">
        <v>3</v>
      </c>
      <c r="S34" s="327"/>
      <c r="T34" s="387">
        <f>CPU!$H$2887</f>
        <v>72</v>
      </c>
      <c r="U34" s="560">
        <f t="shared" si="4"/>
        <v>1080</v>
      </c>
      <c r="V34" s="317"/>
      <c r="W34" s="317"/>
      <c r="X34" s="317"/>
      <c r="Y34" s="317"/>
      <c r="Z34" s="317"/>
      <c r="AA34" s="317"/>
      <c r="AB34" s="317"/>
      <c r="AC34" s="317"/>
      <c r="AD34" s="317"/>
      <c r="AE34" s="317"/>
      <c r="AF34" s="317"/>
    </row>
    <row r="35" spans="1:32" ht="15.75" customHeight="1" x14ac:dyDescent="0.3">
      <c r="A35" s="309"/>
      <c r="B35" s="309"/>
      <c r="C35" s="328" t="s">
        <v>1822</v>
      </c>
      <c r="D35" s="329" t="s">
        <v>971</v>
      </c>
      <c r="E35" s="330" t="s">
        <v>2</v>
      </c>
      <c r="F35" s="331">
        <f t="shared" si="0"/>
        <v>6</v>
      </c>
      <c r="G35" s="318"/>
      <c r="H35" s="416">
        <f>SUM(H$15:H$18)</f>
        <v>1</v>
      </c>
      <c r="I35" s="417">
        <f t="shared" ref="I35:S35" si="5">SUM(I$15:I$18)</f>
        <v>2</v>
      </c>
      <c r="J35" s="417">
        <f t="shared" si="5"/>
        <v>0</v>
      </c>
      <c r="K35" s="417">
        <f t="shared" si="5"/>
        <v>0</v>
      </c>
      <c r="L35" s="417">
        <f t="shared" si="5"/>
        <v>0</v>
      </c>
      <c r="M35" s="417">
        <f t="shared" si="5"/>
        <v>0</v>
      </c>
      <c r="N35" s="417">
        <f t="shared" si="5"/>
        <v>0</v>
      </c>
      <c r="O35" s="417">
        <f t="shared" si="5"/>
        <v>3</v>
      </c>
      <c r="P35" s="417">
        <f t="shared" si="5"/>
        <v>0</v>
      </c>
      <c r="Q35" s="417">
        <f t="shared" si="5"/>
        <v>0</v>
      </c>
      <c r="R35" s="417">
        <f t="shared" si="5"/>
        <v>0</v>
      </c>
      <c r="S35" s="557">
        <f t="shared" si="5"/>
        <v>0</v>
      </c>
      <c r="T35" s="387">
        <f>CPU!$H$2889</f>
        <v>1054.93</v>
      </c>
      <c r="U35" s="560">
        <f t="shared" si="4"/>
        <v>6329.58</v>
      </c>
      <c r="V35" s="317"/>
      <c r="W35" s="317"/>
      <c r="X35" s="317"/>
      <c r="Y35" s="317"/>
      <c r="Z35" s="317"/>
      <c r="AA35" s="317"/>
      <c r="AB35" s="317"/>
      <c r="AC35" s="317"/>
      <c r="AD35" s="317"/>
      <c r="AE35" s="317"/>
      <c r="AF35" s="317"/>
    </row>
    <row r="36" spans="1:32" ht="15.75" customHeight="1" x14ac:dyDescent="0.3">
      <c r="A36" s="309"/>
      <c r="B36" s="309"/>
      <c r="C36" s="328" t="s">
        <v>1822</v>
      </c>
      <c r="D36" s="329" t="s">
        <v>967</v>
      </c>
      <c r="E36" s="330" t="s">
        <v>2</v>
      </c>
      <c r="F36" s="331">
        <f t="shared" si="0"/>
        <v>1</v>
      </c>
      <c r="G36" s="318"/>
      <c r="H36" s="416">
        <f>SUM(H$19:H$22)</f>
        <v>1</v>
      </c>
      <c r="I36" s="417">
        <f t="shared" ref="I36:S36" si="6">SUM(I$19:I$22)</f>
        <v>0</v>
      </c>
      <c r="J36" s="417">
        <f t="shared" si="6"/>
        <v>0</v>
      </c>
      <c r="K36" s="417">
        <f t="shared" si="6"/>
        <v>0</v>
      </c>
      <c r="L36" s="417">
        <f t="shared" si="6"/>
        <v>0</v>
      </c>
      <c r="M36" s="417">
        <f t="shared" si="6"/>
        <v>0</v>
      </c>
      <c r="N36" s="417">
        <f t="shared" si="6"/>
        <v>0</v>
      </c>
      <c r="O36" s="417">
        <f t="shared" si="6"/>
        <v>0</v>
      </c>
      <c r="P36" s="417">
        <f t="shared" si="6"/>
        <v>0</v>
      </c>
      <c r="Q36" s="417">
        <f t="shared" si="6"/>
        <v>0</v>
      </c>
      <c r="R36" s="417">
        <f t="shared" si="6"/>
        <v>0</v>
      </c>
      <c r="S36" s="557">
        <f t="shared" si="6"/>
        <v>0</v>
      </c>
      <c r="T36" s="387">
        <f>CPU!$H$2885</f>
        <v>150</v>
      </c>
      <c r="U36" s="560">
        <f t="shared" si="4"/>
        <v>150</v>
      </c>
      <c r="V36" s="317"/>
      <c r="W36" s="317"/>
      <c r="X36" s="317"/>
      <c r="Y36" s="317"/>
      <c r="Z36" s="317"/>
      <c r="AA36" s="317"/>
      <c r="AB36" s="317"/>
      <c r="AC36" s="317"/>
      <c r="AD36" s="317"/>
      <c r="AE36" s="317"/>
      <c r="AF36" s="317"/>
    </row>
    <row r="37" spans="1:32" ht="15.75" customHeight="1" x14ac:dyDescent="0.3">
      <c r="A37" s="309"/>
      <c r="B37" s="309"/>
      <c r="C37" s="328" t="s">
        <v>1822</v>
      </c>
      <c r="D37" s="329" t="s">
        <v>965</v>
      </c>
      <c r="E37" s="330" t="s">
        <v>2</v>
      </c>
      <c r="F37" s="331">
        <f t="shared" si="0"/>
        <v>12</v>
      </c>
      <c r="G37" s="318"/>
      <c r="H37" s="416">
        <f>SUM(H$11:H$14)</f>
        <v>4</v>
      </c>
      <c r="I37" s="417">
        <f t="shared" ref="I37:S37" si="7">SUM(I$11:I$14)</f>
        <v>4</v>
      </c>
      <c r="J37" s="417">
        <f t="shared" si="7"/>
        <v>1</v>
      </c>
      <c r="K37" s="417">
        <f t="shared" si="7"/>
        <v>0</v>
      </c>
      <c r="L37" s="417">
        <f t="shared" si="7"/>
        <v>0</v>
      </c>
      <c r="M37" s="417">
        <f t="shared" si="7"/>
        <v>0</v>
      </c>
      <c r="N37" s="417">
        <f t="shared" si="7"/>
        <v>0</v>
      </c>
      <c r="O37" s="417">
        <f t="shared" si="7"/>
        <v>3</v>
      </c>
      <c r="P37" s="417">
        <f t="shared" si="7"/>
        <v>0</v>
      </c>
      <c r="Q37" s="417">
        <f t="shared" si="7"/>
        <v>0</v>
      </c>
      <c r="R37" s="417">
        <f t="shared" si="7"/>
        <v>3</v>
      </c>
      <c r="S37" s="557">
        <f t="shared" si="7"/>
        <v>0</v>
      </c>
      <c r="T37" s="387">
        <f>CPU!$H$2883</f>
        <v>350</v>
      </c>
      <c r="U37" s="560">
        <f t="shared" si="4"/>
        <v>5250</v>
      </c>
      <c r="V37" s="317"/>
      <c r="W37" s="317"/>
      <c r="X37" s="317"/>
      <c r="Y37" s="317"/>
      <c r="Z37" s="317"/>
      <c r="AA37" s="317"/>
      <c r="AB37" s="317"/>
      <c r="AC37" s="317"/>
      <c r="AD37" s="317"/>
      <c r="AE37" s="317"/>
      <c r="AF37" s="317"/>
    </row>
    <row r="38" spans="1:32" ht="15.75" customHeight="1" x14ac:dyDescent="0.3">
      <c r="A38" s="309"/>
      <c r="B38" s="309"/>
      <c r="C38" s="328" t="s">
        <v>1822</v>
      </c>
      <c r="D38" s="329" t="s">
        <v>72</v>
      </c>
      <c r="E38" s="330" t="s">
        <v>2</v>
      </c>
      <c r="F38" s="331">
        <f t="shared" si="0"/>
        <v>20</v>
      </c>
      <c r="G38" s="318"/>
      <c r="H38" s="416">
        <f>H$10*2+H$25*2</f>
        <v>8</v>
      </c>
      <c r="I38" s="417">
        <f t="shared" ref="I38:S38" si="8">I$10*2+I$25*2</f>
        <v>6</v>
      </c>
      <c r="J38" s="417">
        <f t="shared" si="8"/>
        <v>2</v>
      </c>
      <c r="K38" s="417">
        <f t="shared" si="8"/>
        <v>0</v>
      </c>
      <c r="L38" s="417">
        <f t="shared" si="8"/>
        <v>0</v>
      </c>
      <c r="M38" s="417">
        <f t="shared" si="8"/>
        <v>0</v>
      </c>
      <c r="N38" s="417">
        <f t="shared" si="8"/>
        <v>0</v>
      </c>
      <c r="O38" s="417">
        <f t="shared" si="8"/>
        <v>4</v>
      </c>
      <c r="P38" s="417">
        <f t="shared" si="8"/>
        <v>0</v>
      </c>
      <c r="Q38" s="417">
        <f t="shared" si="8"/>
        <v>0</v>
      </c>
      <c r="R38" s="417">
        <f t="shared" si="8"/>
        <v>4</v>
      </c>
      <c r="S38" s="557">
        <f t="shared" si="8"/>
        <v>0</v>
      </c>
      <c r="T38" s="387">
        <f>CPU!$H$2901</f>
        <v>44</v>
      </c>
      <c r="U38" s="560">
        <f t="shared" si="4"/>
        <v>1056</v>
      </c>
      <c r="V38" s="317"/>
      <c r="W38" s="317"/>
      <c r="X38" s="317"/>
      <c r="Y38" s="317"/>
      <c r="Z38" s="317"/>
      <c r="AA38" s="317"/>
      <c r="AB38" s="317"/>
      <c r="AC38" s="317"/>
      <c r="AD38" s="317"/>
      <c r="AE38" s="317"/>
      <c r="AF38" s="317"/>
    </row>
    <row r="39" spans="1:32" ht="15.75" customHeight="1" x14ac:dyDescent="0.3">
      <c r="A39" s="309"/>
      <c r="B39" s="309"/>
      <c r="C39" s="328" t="s">
        <v>1822</v>
      </c>
      <c r="D39" s="329" t="s">
        <v>975</v>
      </c>
      <c r="E39" s="330" t="s">
        <v>2</v>
      </c>
      <c r="F39" s="331">
        <f t="shared" si="0"/>
        <v>460</v>
      </c>
      <c r="G39" s="318"/>
      <c r="H39" s="416">
        <f>SUM(H$16:H$22,H$9:H$10,H29)</f>
        <v>4</v>
      </c>
      <c r="I39" s="417">
        <f t="shared" ref="I39:Q39" si="9">SUM(I$16:I$22,I$9:I$10,I29)</f>
        <v>6</v>
      </c>
      <c r="J39" s="417">
        <f>SUM(J$16:J$22,J$9:J$10,J29)</f>
        <v>19</v>
      </c>
      <c r="K39" s="417">
        <f t="shared" si="9"/>
        <v>39</v>
      </c>
      <c r="L39" s="417">
        <f t="shared" si="9"/>
        <v>33</v>
      </c>
      <c r="M39" s="417">
        <f>SUM(M$16:M$22,M$9:M$10,M29)</f>
        <v>33</v>
      </c>
      <c r="N39" s="417">
        <f t="shared" si="9"/>
        <v>33</v>
      </c>
      <c r="O39" s="417">
        <f t="shared" si="9"/>
        <v>6</v>
      </c>
      <c r="P39" s="417">
        <f t="shared" si="9"/>
        <v>15</v>
      </c>
      <c r="Q39" s="417">
        <f t="shared" si="9"/>
        <v>13</v>
      </c>
      <c r="R39" s="417">
        <f t="shared" ref="R39:S39" si="10">SUM(R$16:R$22,R$9:R$10,R29)</f>
        <v>2</v>
      </c>
      <c r="S39" s="557">
        <f t="shared" si="10"/>
        <v>0</v>
      </c>
      <c r="T39" s="387">
        <f>CPU!$H$2893</f>
        <v>176</v>
      </c>
      <c r="U39" s="560">
        <f t="shared" si="4"/>
        <v>81312</v>
      </c>
      <c r="V39" s="317"/>
      <c r="W39" s="317"/>
      <c r="X39" s="317"/>
      <c r="Y39" s="317"/>
      <c r="Z39" s="317"/>
      <c r="AA39" s="317"/>
      <c r="AB39" s="317"/>
      <c r="AC39" s="317"/>
      <c r="AD39" s="317"/>
      <c r="AE39" s="317"/>
      <c r="AF39" s="317"/>
    </row>
    <row r="40" spans="1:32" ht="15.75" customHeight="1" x14ac:dyDescent="0.3">
      <c r="A40" s="309"/>
      <c r="B40" s="309"/>
      <c r="C40" s="328" t="s">
        <v>1822</v>
      </c>
      <c r="D40" s="329" t="s">
        <v>977</v>
      </c>
      <c r="E40" s="330" t="s">
        <v>2</v>
      </c>
      <c r="F40" s="331">
        <f t="shared" si="0"/>
        <v>2</v>
      </c>
      <c r="G40" s="318"/>
      <c r="H40" s="416">
        <f>H32</f>
        <v>2</v>
      </c>
      <c r="I40" s="417">
        <f t="shared" ref="I40:Q40" si="11">I32</f>
        <v>0</v>
      </c>
      <c r="J40" s="417">
        <f t="shared" si="11"/>
        <v>0</v>
      </c>
      <c r="K40" s="417">
        <f t="shared" si="11"/>
        <v>0</v>
      </c>
      <c r="L40" s="417">
        <f t="shared" si="11"/>
        <v>0</v>
      </c>
      <c r="M40" s="417">
        <f t="shared" si="11"/>
        <v>0</v>
      </c>
      <c r="N40" s="417">
        <f t="shared" si="11"/>
        <v>0</v>
      </c>
      <c r="O40" s="417">
        <f t="shared" si="11"/>
        <v>0</v>
      </c>
      <c r="P40" s="417">
        <f t="shared" si="11"/>
        <v>0</v>
      </c>
      <c r="Q40" s="417">
        <f t="shared" si="11"/>
        <v>0</v>
      </c>
      <c r="R40" s="417">
        <f t="shared" ref="R40:S40" si="12">R32</f>
        <v>0</v>
      </c>
      <c r="S40" s="557">
        <f t="shared" si="12"/>
        <v>0</v>
      </c>
      <c r="T40" s="387">
        <f>CPU!$H$2895</f>
        <v>240</v>
      </c>
      <c r="U40" s="560">
        <f t="shared" si="4"/>
        <v>480</v>
      </c>
      <c r="V40" s="317"/>
      <c r="W40" s="317"/>
      <c r="X40" s="317"/>
      <c r="Y40" s="317"/>
      <c r="Z40" s="317"/>
      <c r="AA40" s="317"/>
      <c r="AB40" s="317"/>
      <c r="AC40" s="317"/>
      <c r="AD40" s="317"/>
      <c r="AE40" s="317"/>
      <c r="AF40" s="317"/>
    </row>
    <row r="41" spans="1:32" ht="15.75" customHeight="1" x14ac:dyDescent="0.3">
      <c r="A41" s="309"/>
      <c r="B41" s="309"/>
      <c r="C41" s="344" t="s">
        <v>1822</v>
      </c>
      <c r="D41" s="345" t="s">
        <v>1824</v>
      </c>
      <c r="E41" s="346" t="s">
        <v>2</v>
      </c>
      <c r="F41" s="347">
        <f t="shared" si="0"/>
        <v>21</v>
      </c>
      <c r="G41" s="348"/>
      <c r="H41" s="399">
        <f t="shared" ref="H41:S41" si="13">SUM(H$11:H$25)</f>
        <v>8</v>
      </c>
      <c r="I41" s="349">
        <f t="shared" si="13"/>
        <v>6</v>
      </c>
      <c r="J41" s="349">
        <f t="shared" si="13"/>
        <v>1</v>
      </c>
      <c r="K41" s="349">
        <f t="shared" si="13"/>
        <v>0</v>
      </c>
      <c r="L41" s="349">
        <f t="shared" si="13"/>
        <v>0</v>
      </c>
      <c r="M41" s="349">
        <f t="shared" si="13"/>
        <v>0</v>
      </c>
      <c r="N41" s="349">
        <f t="shared" si="13"/>
        <v>0</v>
      </c>
      <c r="O41" s="349">
        <f t="shared" si="13"/>
        <v>6</v>
      </c>
      <c r="P41" s="349">
        <f t="shared" si="13"/>
        <v>0</v>
      </c>
      <c r="Q41" s="349">
        <f t="shared" si="13"/>
        <v>0</v>
      </c>
      <c r="R41" s="349">
        <f t="shared" si="13"/>
        <v>3</v>
      </c>
      <c r="S41" s="558">
        <f t="shared" si="13"/>
        <v>0</v>
      </c>
      <c r="T41" s="564"/>
      <c r="U41" s="565">
        <f t="shared" ref="U41:U47" si="14">SUMPRODUCT(H41:J41,$H$8:$J$8)*T41</f>
        <v>0</v>
      </c>
      <c r="V41" s="317"/>
      <c r="W41" s="317" t="s">
        <v>1825</v>
      </c>
      <c r="X41" s="317"/>
      <c r="Y41" s="317"/>
      <c r="Z41" s="317"/>
      <c r="AA41" s="317"/>
      <c r="AB41" s="317"/>
      <c r="AC41" s="317"/>
      <c r="AD41" s="317"/>
      <c r="AE41" s="317"/>
      <c r="AF41" s="317"/>
    </row>
    <row r="42" spans="1:32" ht="15.75" customHeight="1" x14ac:dyDescent="0.3">
      <c r="A42" s="309"/>
      <c r="B42" s="309"/>
      <c r="C42" s="344" t="s">
        <v>1822</v>
      </c>
      <c r="D42" s="345" t="s">
        <v>1826</v>
      </c>
      <c r="E42" s="346" t="s">
        <v>2</v>
      </c>
      <c r="F42" s="347">
        <f t="shared" si="0"/>
        <v>161</v>
      </c>
      <c r="G42" s="348"/>
      <c r="H42" s="399">
        <f t="shared" ref="H42:S43" si="15">SUM(H$9:H$10,H$23:H$25)</f>
        <v>4</v>
      </c>
      <c r="I42" s="349">
        <f t="shared" si="15"/>
        <v>4</v>
      </c>
      <c r="J42" s="349">
        <f t="shared" si="15"/>
        <v>7</v>
      </c>
      <c r="K42" s="349">
        <f t="shared" si="15"/>
        <v>13</v>
      </c>
      <c r="L42" s="349">
        <f t="shared" si="15"/>
        <v>11</v>
      </c>
      <c r="M42" s="349">
        <f t="shared" si="15"/>
        <v>11</v>
      </c>
      <c r="N42" s="349">
        <f t="shared" si="15"/>
        <v>11</v>
      </c>
      <c r="O42" s="349">
        <f t="shared" si="15"/>
        <v>3</v>
      </c>
      <c r="P42" s="349">
        <f t="shared" si="15"/>
        <v>5</v>
      </c>
      <c r="Q42" s="349">
        <f t="shared" si="15"/>
        <v>5</v>
      </c>
      <c r="R42" s="349">
        <f t="shared" si="15"/>
        <v>2</v>
      </c>
      <c r="S42" s="558">
        <f t="shared" si="15"/>
        <v>0</v>
      </c>
      <c r="T42" s="564"/>
      <c r="U42" s="565">
        <f t="shared" si="14"/>
        <v>0</v>
      </c>
      <c r="V42" s="317"/>
      <c r="W42" s="317" t="s">
        <v>1825</v>
      </c>
      <c r="X42" s="317"/>
      <c r="Y42" s="317"/>
      <c r="Z42" s="317"/>
      <c r="AA42" s="317"/>
      <c r="AB42" s="317"/>
      <c r="AC42" s="317"/>
      <c r="AD42" s="317"/>
      <c r="AE42" s="317"/>
      <c r="AF42" s="317"/>
    </row>
    <row r="43" spans="1:32" ht="15.75" customHeight="1" x14ac:dyDescent="0.3">
      <c r="A43" s="309"/>
      <c r="B43" s="309"/>
      <c r="C43" s="344" t="s">
        <v>1822</v>
      </c>
      <c r="D43" s="345" t="s">
        <v>1827</v>
      </c>
      <c r="E43" s="346" t="s">
        <v>2</v>
      </c>
      <c r="F43" s="347">
        <f t="shared" si="0"/>
        <v>161</v>
      </c>
      <c r="G43" s="348"/>
      <c r="H43" s="399">
        <f t="shared" si="15"/>
        <v>4</v>
      </c>
      <c r="I43" s="349">
        <f t="shared" si="15"/>
        <v>4</v>
      </c>
      <c r="J43" s="349">
        <f t="shared" si="15"/>
        <v>7</v>
      </c>
      <c r="K43" s="349">
        <f t="shared" si="15"/>
        <v>13</v>
      </c>
      <c r="L43" s="349">
        <f t="shared" si="15"/>
        <v>11</v>
      </c>
      <c r="M43" s="349">
        <f t="shared" si="15"/>
        <v>11</v>
      </c>
      <c r="N43" s="349">
        <f t="shared" si="15"/>
        <v>11</v>
      </c>
      <c r="O43" s="349">
        <f t="shared" si="15"/>
        <v>3</v>
      </c>
      <c r="P43" s="349">
        <f t="shared" si="15"/>
        <v>5</v>
      </c>
      <c r="Q43" s="349">
        <f t="shared" si="15"/>
        <v>5</v>
      </c>
      <c r="R43" s="349">
        <f t="shared" si="15"/>
        <v>2</v>
      </c>
      <c r="S43" s="558">
        <f t="shared" si="15"/>
        <v>0</v>
      </c>
      <c r="T43" s="564"/>
      <c r="U43" s="565">
        <f t="shared" si="14"/>
        <v>0</v>
      </c>
      <c r="V43" s="317"/>
      <c r="W43" s="317" t="s">
        <v>1825</v>
      </c>
      <c r="X43" s="317"/>
      <c r="Y43" s="317"/>
      <c r="Z43" s="317"/>
      <c r="AA43" s="317"/>
      <c r="AB43" s="317"/>
      <c r="AC43" s="317"/>
      <c r="AD43" s="317"/>
      <c r="AE43" s="317"/>
      <c r="AF43" s="317"/>
    </row>
    <row r="44" spans="1:32" ht="15.75" customHeight="1" x14ac:dyDescent="0.3">
      <c r="A44" s="309"/>
      <c r="B44" s="309"/>
      <c r="C44" s="344" t="s">
        <v>1822</v>
      </c>
      <c r="D44" s="345" t="s">
        <v>1828</v>
      </c>
      <c r="E44" s="346" t="s">
        <v>2</v>
      </c>
      <c r="F44" s="347">
        <f t="shared" si="0"/>
        <v>636</v>
      </c>
      <c r="G44" s="348"/>
      <c r="H44" s="399">
        <f>SUM(H$9:H$10)*4</f>
        <v>8</v>
      </c>
      <c r="I44" s="349">
        <f t="shared" ref="I44:S44" si="16">SUM(I$9:I$10)*4</f>
        <v>16</v>
      </c>
      <c r="J44" s="349">
        <f t="shared" si="16"/>
        <v>28</v>
      </c>
      <c r="K44" s="349">
        <f t="shared" si="16"/>
        <v>52</v>
      </c>
      <c r="L44" s="349">
        <f t="shared" si="16"/>
        <v>44</v>
      </c>
      <c r="M44" s="349">
        <f t="shared" si="16"/>
        <v>44</v>
      </c>
      <c r="N44" s="349">
        <f t="shared" si="16"/>
        <v>44</v>
      </c>
      <c r="O44" s="349">
        <f t="shared" si="16"/>
        <v>12</v>
      </c>
      <c r="P44" s="349">
        <f t="shared" si="16"/>
        <v>20</v>
      </c>
      <c r="Q44" s="349">
        <f t="shared" si="16"/>
        <v>20</v>
      </c>
      <c r="R44" s="349">
        <f t="shared" si="16"/>
        <v>8</v>
      </c>
      <c r="S44" s="558">
        <f t="shared" si="16"/>
        <v>0</v>
      </c>
      <c r="T44" s="564"/>
      <c r="U44" s="565">
        <f t="shared" si="14"/>
        <v>0</v>
      </c>
      <c r="V44" s="317"/>
      <c r="W44" s="317" t="s">
        <v>1825</v>
      </c>
      <c r="X44" s="317"/>
      <c r="Y44" s="317"/>
      <c r="Z44" s="317"/>
      <c r="AA44" s="317"/>
      <c r="AB44" s="317"/>
      <c r="AC44" s="317"/>
      <c r="AD44" s="317"/>
      <c r="AE44" s="317"/>
      <c r="AF44" s="317"/>
    </row>
    <row r="45" spans="1:32" ht="15.75" customHeight="1" x14ac:dyDescent="0.3">
      <c r="A45" s="309"/>
      <c r="B45" s="309"/>
      <c r="C45" s="344" t="s">
        <v>1822</v>
      </c>
      <c r="D45" s="345" t="s">
        <v>1829</v>
      </c>
      <c r="E45" s="346" t="s">
        <v>2</v>
      </c>
      <c r="F45" s="347">
        <f t="shared" si="0"/>
        <v>12</v>
      </c>
      <c r="G45" s="348"/>
      <c r="H45" s="399">
        <f>SUM(H$11:H$14)</f>
        <v>4</v>
      </c>
      <c r="I45" s="349">
        <f t="shared" ref="I45:S45" si="17">SUM(I$11:I$14)</f>
        <v>4</v>
      </c>
      <c r="J45" s="349">
        <f t="shared" si="17"/>
        <v>1</v>
      </c>
      <c r="K45" s="349">
        <f t="shared" si="17"/>
        <v>0</v>
      </c>
      <c r="L45" s="349">
        <f t="shared" si="17"/>
        <v>0</v>
      </c>
      <c r="M45" s="349">
        <f t="shared" si="17"/>
        <v>0</v>
      </c>
      <c r="N45" s="349">
        <f t="shared" si="17"/>
        <v>0</v>
      </c>
      <c r="O45" s="349">
        <f t="shared" si="17"/>
        <v>3</v>
      </c>
      <c r="P45" s="349">
        <f t="shared" si="17"/>
        <v>0</v>
      </c>
      <c r="Q45" s="349">
        <f t="shared" si="17"/>
        <v>0</v>
      </c>
      <c r="R45" s="349">
        <f t="shared" si="17"/>
        <v>3</v>
      </c>
      <c r="S45" s="558">
        <f t="shared" si="17"/>
        <v>0</v>
      </c>
      <c r="T45" s="564"/>
      <c r="U45" s="565">
        <f t="shared" si="14"/>
        <v>0</v>
      </c>
      <c r="V45" s="317"/>
      <c r="W45" s="317" t="s">
        <v>1825</v>
      </c>
      <c r="X45" s="317"/>
      <c r="Y45" s="317"/>
      <c r="Z45" s="317"/>
      <c r="AA45" s="317"/>
      <c r="AB45" s="317"/>
      <c r="AC45" s="317"/>
      <c r="AD45" s="317"/>
      <c r="AE45" s="317"/>
      <c r="AF45" s="317"/>
    </row>
    <row r="46" spans="1:32" ht="15.75" customHeight="1" x14ac:dyDescent="0.3">
      <c r="A46" s="309"/>
      <c r="B46" s="309"/>
      <c r="C46" s="344" t="s">
        <v>1822</v>
      </c>
      <c r="D46" s="345" t="s">
        <v>1830</v>
      </c>
      <c r="E46" s="346" t="s">
        <v>2</v>
      </c>
      <c r="F46" s="347">
        <f t="shared" si="0"/>
        <v>6</v>
      </c>
      <c r="G46" s="348"/>
      <c r="H46" s="399">
        <f>SUM(H$16:H$18)</f>
        <v>1</v>
      </c>
      <c r="I46" s="349">
        <f t="shared" ref="I46:S46" si="18">SUM(I$16:I$18)</f>
        <v>2</v>
      </c>
      <c r="J46" s="349">
        <f t="shared" si="18"/>
        <v>0</v>
      </c>
      <c r="K46" s="349">
        <f t="shared" si="18"/>
        <v>0</v>
      </c>
      <c r="L46" s="349">
        <f t="shared" si="18"/>
        <v>0</v>
      </c>
      <c r="M46" s="349">
        <f t="shared" si="18"/>
        <v>0</v>
      </c>
      <c r="N46" s="349">
        <f t="shared" si="18"/>
        <v>0</v>
      </c>
      <c r="O46" s="349">
        <f t="shared" si="18"/>
        <v>3</v>
      </c>
      <c r="P46" s="349">
        <f t="shared" si="18"/>
        <v>0</v>
      </c>
      <c r="Q46" s="349">
        <f t="shared" si="18"/>
        <v>0</v>
      </c>
      <c r="R46" s="349">
        <f t="shared" si="18"/>
        <v>0</v>
      </c>
      <c r="S46" s="558">
        <f t="shared" si="18"/>
        <v>0</v>
      </c>
      <c r="T46" s="564"/>
      <c r="U46" s="565">
        <f t="shared" si="14"/>
        <v>0</v>
      </c>
      <c r="V46" s="317"/>
      <c r="W46" s="317" t="s">
        <v>1825</v>
      </c>
      <c r="X46" s="317"/>
      <c r="Y46" s="317"/>
      <c r="Z46" s="317"/>
      <c r="AA46" s="317"/>
      <c r="AB46" s="317"/>
      <c r="AC46" s="317"/>
      <c r="AD46" s="317"/>
      <c r="AE46" s="317"/>
      <c r="AF46" s="317"/>
    </row>
    <row r="47" spans="1:32" ht="15.75" customHeight="1" x14ac:dyDescent="0.3">
      <c r="A47" s="309"/>
      <c r="B47" s="309"/>
      <c r="C47" s="344" t="s">
        <v>1822</v>
      </c>
      <c r="D47" s="345" t="s">
        <v>1831</v>
      </c>
      <c r="E47" s="346" t="s">
        <v>2</v>
      </c>
      <c r="F47" s="347">
        <f t="shared" si="0"/>
        <v>1</v>
      </c>
      <c r="G47" s="348"/>
      <c r="H47" s="399">
        <f>SUM(H$19:H$22)</f>
        <v>1</v>
      </c>
      <c r="I47" s="349">
        <f t="shared" ref="I47:S47" si="19">SUM(I$19:I$22)</f>
        <v>0</v>
      </c>
      <c r="J47" s="349">
        <f t="shared" si="19"/>
        <v>0</v>
      </c>
      <c r="K47" s="349">
        <f t="shared" si="19"/>
        <v>0</v>
      </c>
      <c r="L47" s="349">
        <f t="shared" si="19"/>
        <v>0</v>
      </c>
      <c r="M47" s="349">
        <f t="shared" si="19"/>
        <v>0</v>
      </c>
      <c r="N47" s="349">
        <f t="shared" si="19"/>
        <v>0</v>
      </c>
      <c r="O47" s="349">
        <f t="shared" si="19"/>
        <v>0</v>
      </c>
      <c r="P47" s="349">
        <f t="shared" si="19"/>
        <v>0</v>
      </c>
      <c r="Q47" s="349">
        <f t="shared" si="19"/>
        <v>0</v>
      </c>
      <c r="R47" s="349">
        <f t="shared" si="19"/>
        <v>0</v>
      </c>
      <c r="S47" s="558">
        <f t="shared" si="19"/>
        <v>0</v>
      </c>
      <c r="T47" s="564"/>
      <c r="U47" s="565">
        <f t="shared" si="14"/>
        <v>0</v>
      </c>
      <c r="V47" s="317"/>
      <c r="W47" s="317" t="s">
        <v>1825</v>
      </c>
      <c r="X47" s="317"/>
      <c r="Y47" s="317"/>
      <c r="Z47" s="317"/>
      <c r="AA47" s="317"/>
      <c r="AB47" s="317"/>
      <c r="AC47" s="317"/>
      <c r="AD47" s="317"/>
      <c r="AE47" s="317"/>
      <c r="AF47" s="317"/>
    </row>
    <row r="48" spans="1:32" ht="15.75" customHeight="1" thickBot="1" x14ac:dyDescent="0.35">
      <c r="A48" s="309"/>
      <c r="B48" s="309"/>
      <c r="C48" s="337" t="s">
        <v>1822</v>
      </c>
      <c r="D48" s="338" t="s">
        <v>973</v>
      </c>
      <c r="E48" s="339"/>
      <c r="F48" s="340">
        <f t="shared" si="0"/>
        <v>0</v>
      </c>
      <c r="G48" s="318"/>
      <c r="H48" s="400"/>
      <c r="I48" s="350"/>
      <c r="J48" s="350"/>
      <c r="K48" s="350"/>
      <c r="L48" s="351"/>
      <c r="M48" s="351"/>
      <c r="N48" s="351"/>
      <c r="O48" s="351"/>
      <c r="P48" s="351"/>
      <c r="Q48" s="351"/>
      <c r="R48" s="351"/>
      <c r="S48" s="351"/>
      <c r="T48" s="562">
        <f>CPU!$H$2907</f>
        <v>1196.32</v>
      </c>
      <c r="U48" s="566">
        <f>SUMPRODUCT(H48:Q48,$H$8:$Q$8)*T48</f>
        <v>0</v>
      </c>
      <c r="V48" s="317"/>
      <c r="W48" s="317"/>
      <c r="X48" s="317"/>
      <c r="Y48" s="317"/>
      <c r="Z48" s="317"/>
      <c r="AA48" s="317"/>
      <c r="AB48" s="317"/>
      <c r="AC48" s="317"/>
      <c r="AD48" s="317"/>
      <c r="AE48" s="317"/>
      <c r="AF48" s="317"/>
    </row>
    <row r="49" spans="1:33" ht="15.75" customHeight="1" thickTop="1" x14ac:dyDescent="0.3">
      <c r="A49" s="309"/>
      <c r="B49" s="309"/>
      <c r="C49" s="328" t="s">
        <v>1832</v>
      </c>
      <c r="D49" s="329" t="s">
        <v>1833</v>
      </c>
      <c r="E49" s="330" t="s">
        <v>1</v>
      </c>
      <c r="F49" s="331">
        <f t="shared" si="0"/>
        <v>0</v>
      </c>
      <c r="G49" s="318"/>
      <c r="H49" s="381"/>
      <c r="I49" s="352"/>
      <c r="J49" s="353"/>
      <c r="K49" s="352"/>
      <c r="L49" s="354"/>
      <c r="M49" s="354"/>
      <c r="N49" s="352"/>
      <c r="O49" s="354"/>
      <c r="P49" s="354"/>
      <c r="Q49" s="354"/>
      <c r="R49" s="354"/>
      <c r="S49" s="354"/>
      <c r="T49" s="387">
        <f>CPU!$H$2915</f>
        <v>750</v>
      </c>
      <c r="U49" s="567">
        <f>SUMPRODUCT(H49:S49,$H$8:$S$8)*T49</f>
        <v>0</v>
      </c>
      <c r="V49" s="317"/>
      <c r="W49" s="317"/>
      <c r="X49" s="317"/>
      <c r="Y49" s="317"/>
      <c r="Z49" s="317"/>
      <c r="AA49" s="317"/>
      <c r="AB49" s="317"/>
      <c r="AC49" s="317"/>
      <c r="AD49" s="317"/>
      <c r="AE49" s="317"/>
      <c r="AF49" s="317"/>
    </row>
    <row r="50" spans="1:33" ht="18" customHeight="1" x14ac:dyDescent="0.3">
      <c r="A50" s="309"/>
      <c r="B50" s="309"/>
      <c r="C50" s="332" t="s">
        <v>1832</v>
      </c>
      <c r="D50" s="333" t="s">
        <v>1834</v>
      </c>
      <c r="E50" s="334" t="s">
        <v>1</v>
      </c>
      <c r="F50" s="331">
        <f t="shared" si="0"/>
        <v>0</v>
      </c>
      <c r="G50" s="318"/>
      <c r="H50" s="381"/>
      <c r="I50" s="355"/>
      <c r="J50" s="355"/>
      <c r="K50" s="355"/>
      <c r="L50" s="356"/>
      <c r="M50" s="356"/>
      <c r="N50" s="355"/>
      <c r="O50" s="356"/>
      <c r="P50" s="356"/>
      <c r="Q50" s="356"/>
      <c r="R50" s="356"/>
      <c r="S50" s="356"/>
      <c r="T50" s="387">
        <f>CPU!$H$2913</f>
        <v>750</v>
      </c>
      <c r="U50" s="388">
        <f>SUMPRODUCT(H50:S50,$H$8:$S$8)*T50</f>
        <v>0</v>
      </c>
      <c r="V50" s="317"/>
      <c r="W50" s="317"/>
      <c r="X50" s="317"/>
      <c r="Y50" s="317"/>
      <c r="Z50" s="317"/>
      <c r="AA50" s="317"/>
      <c r="AB50" s="317"/>
      <c r="AC50" s="317"/>
      <c r="AD50" s="317"/>
      <c r="AE50" s="317"/>
      <c r="AF50" s="317"/>
    </row>
    <row r="51" spans="1:33" ht="18" customHeight="1" x14ac:dyDescent="0.3">
      <c r="A51" s="309"/>
      <c r="B51" s="309"/>
      <c r="C51" s="332" t="s">
        <v>1832</v>
      </c>
      <c r="D51" s="333" t="s">
        <v>1835</v>
      </c>
      <c r="E51" s="334" t="s">
        <v>1</v>
      </c>
      <c r="F51" s="331">
        <f t="shared" si="0"/>
        <v>0</v>
      </c>
      <c r="G51" s="318"/>
      <c r="H51" s="381"/>
      <c r="I51" s="355"/>
      <c r="J51" s="335"/>
      <c r="K51" s="335"/>
      <c r="L51" s="336"/>
      <c r="M51" s="336"/>
      <c r="N51" s="336"/>
      <c r="O51" s="336"/>
      <c r="P51" s="336"/>
      <c r="Q51" s="336"/>
      <c r="R51" s="336"/>
      <c r="S51" s="336"/>
      <c r="T51" s="387">
        <f>CPU!$H$2917</f>
        <v>750</v>
      </c>
      <c r="U51" s="388">
        <f>SUMPRODUCT(H51:S51,$H$8:$S$8)*T51</f>
        <v>0</v>
      </c>
      <c r="V51" s="317"/>
      <c r="W51" s="317"/>
      <c r="X51" s="317"/>
      <c r="Y51" s="317"/>
      <c r="Z51" s="317"/>
      <c r="AA51" s="317"/>
      <c r="AB51" s="317"/>
      <c r="AC51" s="317"/>
      <c r="AD51" s="317"/>
      <c r="AE51" s="317"/>
      <c r="AF51" s="317"/>
    </row>
    <row r="52" spans="1:33" ht="15.75" customHeight="1" thickBot="1" x14ac:dyDescent="0.35">
      <c r="A52" s="309"/>
      <c r="B52" s="309"/>
      <c r="C52" s="357"/>
      <c r="D52" s="358"/>
      <c r="E52" s="359"/>
      <c r="F52" s="360">
        <f t="shared" si="0"/>
        <v>0</v>
      </c>
      <c r="G52" s="318"/>
      <c r="H52" s="382"/>
      <c r="I52" s="383"/>
      <c r="J52" s="383"/>
      <c r="K52" s="383"/>
      <c r="L52" s="384"/>
      <c r="M52" s="384"/>
      <c r="N52" s="384"/>
      <c r="O52" s="384"/>
      <c r="P52" s="384"/>
      <c r="Q52" s="384"/>
      <c r="R52" s="384"/>
      <c r="S52" s="384"/>
      <c r="T52" s="389"/>
      <c r="U52" s="390">
        <f>SUMPRODUCT(H52:Q52,$H$8:$Q$8)*T52</f>
        <v>0</v>
      </c>
      <c r="V52" s="317"/>
      <c r="W52" s="317"/>
      <c r="X52" s="317"/>
      <c r="Y52" s="317"/>
      <c r="Z52" s="317"/>
      <c r="AA52" s="317"/>
      <c r="AB52" s="317"/>
      <c r="AC52" s="317"/>
      <c r="AD52" s="317"/>
      <c r="AE52" s="317"/>
      <c r="AF52" s="317"/>
    </row>
    <row r="53" spans="1:33" ht="15.75" customHeight="1" x14ac:dyDescent="0.25">
      <c r="A53" s="309"/>
      <c r="B53" s="309"/>
      <c r="C53" s="317"/>
      <c r="D53" s="419"/>
      <c r="E53" s="317"/>
      <c r="F53" s="361"/>
      <c r="G53" s="362"/>
      <c r="H53" s="317"/>
      <c r="I53" s="317"/>
      <c r="J53" s="317"/>
      <c r="K53" s="317"/>
      <c r="L53" s="317"/>
      <c r="M53" s="317"/>
      <c r="N53" s="317"/>
      <c r="O53" s="317"/>
      <c r="P53" s="317"/>
      <c r="Q53" s="317"/>
      <c r="R53" s="317"/>
      <c r="S53" s="317"/>
      <c r="T53" s="363"/>
      <c r="U53" s="363"/>
      <c r="V53" s="317"/>
      <c r="W53" s="317"/>
      <c r="X53" s="317"/>
      <c r="Y53" s="317"/>
      <c r="Z53" s="317"/>
      <c r="AA53" s="317"/>
      <c r="AB53" s="317"/>
      <c r="AC53" s="317"/>
      <c r="AD53" s="317"/>
      <c r="AE53" s="317"/>
      <c r="AF53" s="317"/>
    </row>
    <row r="54" spans="1:33" ht="15.75" customHeight="1" x14ac:dyDescent="0.3">
      <c r="A54" s="309"/>
      <c r="B54" s="309"/>
      <c r="C54" s="317"/>
      <c r="D54" s="317"/>
      <c r="E54" s="317"/>
      <c r="F54" s="364" t="s">
        <v>1811</v>
      </c>
      <c r="G54" s="362"/>
      <c r="H54" s="365" cm="1">
        <f t="array" ref="H54">SUMPRODUCT(H$9:H$52,$T$9:$T$52,--($C$9:$C$52=$F54))*H$8</f>
        <v>7258.9679999999989</v>
      </c>
      <c r="I54" s="365">
        <f t="array" ref="I54">SUMPRODUCT(I$9:I$52,$T$9:$T$52,--($C$9:$C$52=$F54))*I$8</f>
        <v>8836.7808000000005</v>
      </c>
      <c r="J54" s="365">
        <f t="array" ref="J54">SUMPRODUCT(J$9:J$52,$T$9:$T$52,--($C$9:$C$52=$F54))*J$8</f>
        <v>7576.4247999999998</v>
      </c>
      <c r="K54" s="365" cm="1">
        <f t="array" ref="K54">SUMPRODUCT(K$9:K$52,$T$9:$T$52,--($C$9:$C$52=$F54))*K$8</f>
        <v>12383.7844</v>
      </c>
      <c r="L54" s="365">
        <f t="array" ref="L54">SUMPRODUCT(L$9:L$52,$T$9:$T$52,--($C$9:$C$52=$F54))*L$8</f>
        <v>10478.586799999999</v>
      </c>
      <c r="M54" s="365" cm="1">
        <f t="array" ref="M54">SUMPRODUCT(M$9:M$52,$T$9:$T$52,--($C$9:$C$52=$F54))*M$8</f>
        <v>41914.347199999997</v>
      </c>
      <c r="N54" s="365">
        <f t="array" ref="N54">SUMPRODUCT(N$9:N$52,$T$9:$T$52,--($C$9:$C$52=$F54))*N$8</f>
        <v>52392.933999999994</v>
      </c>
      <c r="O54" s="365">
        <f t="array" ref="O54">SUMPRODUCT(O$9:O$52,$T$9:$T$52,--($C$9:$C$52=$F54))*O$8</f>
        <v>11483.9388</v>
      </c>
      <c r="P54" s="365">
        <f t="array" ref="P54">SUMPRODUCT(P$9:P$52,$T$9:$T$52,--($C$9:$C$52=$F54))*P$8</f>
        <v>9525.9879999999994</v>
      </c>
      <c r="Q54" s="365" cm="1">
        <f t="array" ref="Q54">SUMPRODUCT(Q$9:Q$52,$T$9:$T$52,--($C$9:$C$52=$F54))*Q$8</f>
        <v>9525.9879999999994</v>
      </c>
      <c r="R54" s="365" cm="1">
        <f t="array" ref="R54">SUMPRODUCT(R$9:R$52,$T$9:$T$52,--($C$9:$C$52=$F54))*R$8</f>
        <v>4214.5540000000001</v>
      </c>
      <c r="S54" s="365">
        <f t="array" ref="S54">SUMPRODUCT(S$9:S$52,$T$9:$T$52,--($C$9:$C$52=$F54))*S$8</f>
        <v>0</v>
      </c>
      <c r="T54" s="363">
        <f>SUM(H54:S54)</f>
        <v>175592.29480000003</v>
      </c>
      <c r="U54" s="363">
        <f>T54+T55+T56</f>
        <v>287448.31480000005</v>
      </c>
      <c r="V54" s="317"/>
      <c r="W54" s="317"/>
      <c r="X54" s="317"/>
      <c r="Y54" s="317"/>
      <c r="Z54" s="317"/>
      <c r="AA54" s="317"/>
      <c r="AB54" s="317"/>
      <c r="AC54" s="317"/>
      <c r="AD54" s="317"/>
      <c r="AE54" s="317"/>
      <c r="AF54" s="317"/>
    </row>
    <row r="55" spans="1:33" ht="15.75" customHeight="1" x14ac:dyDescent="0.3">
      <c r="A55" s="317"/>
      <c r="B55" s="317"/>
      <c r="C55" s="317"/>
      <c r="D55" s="309"/>
      <c r="E55" s="317"/>
      <c r="F55" s="364" t="s">
        <v>1822</v>
      </c>
      <c r="G55" s="366"/>
      <c r="H55" s="365">
        <f t="array" ref="H55">SUMPRODUCT(H$9:H$52,$T$9:$T$52,--($C$9:$C$52=$F55))*H$8</f>
        <v>7307.95</v>
      </c>
      <c r="I55" s="365">
        <f t="array" ref="I55">SUMPRODUCT(I$9:I$52,$T$9:$T$52,--($C$9:$C$52=$F55))*I$8</f>
        <v>9923.9</v>
      </c>
      <c r="J55" s="365">
        <f t="array" ref="J55">SUMPRODUCT(J$9:J$52,$T$9:$T$52,--($C$9:$C$52=$F55))*J$8</f>
        <v>3782</v>
      </c>
      <c r="K55" s="365" cm="1">
        <f t="array" ref="K55">SUMPRODUCT(K$9:K$52,$T$9:$T$52,--($C$9:$C$52=$F55))*K$8</f>
        <v>6864</v>
      </c>
      <c r="L55" s="365">
        <f t="array" ref="L55">SUMPRODUCT(L$9:L$52,$T$9:$T$52,--($C$9:$C$52=$F55))*L$8</f>
        <v>5880</v>
      </c>
      <c r="M55" s="365">
        <f t="array" ref="M55">SUMPRODUCT(M$9:M$52,$T$9:$T$52,--($C$9:$C$52=$F55))*M$8</f>
        <v>23232</v>
      </c>
      <c r="N55" s="365">
        <f t="array" ref="N55">SUMPRODUCT(N$9:N$52,$T$9:$T$52,--($C$9:$C$52=$F55))*N$8</f>
        <v>29040</v>
      </c>
      <c r="O55" s="365">
        <f t="array" ref="O55">SUMPRODUCT(O$9:O$52,$T$9:$T$52,--($C$9:$C$52=$F55))*O$8</f>
        <v>9141.32</v>
      </c>
      <c r="P55" s="365">
        <f t="array" ref="P55">SUMPRODUCT(P$9:P$52,$T$9:$T$52,--($C$9:$C$52=$F55))*P$8</f>
        <v>5568</v>
      </c>
      <c r="Q55" s="365">
        <f t="array" ref="Q55">SUMPRODUCT(Q$9:Q$52,$T$9:$T$52,--($C$9:$C$52=$F55))*Q$8</f>
        <v>4576</v>
      </c>
      <c r="R55" s="365">
        <f t="array" ref="R55">SUMPRODUCT(R$9:R$52,$T$9:$T$52,--($C$9:$C$52=$F55))*R$8</f>
        <v>6540.8499999999995</v>
      </c>
      <c r="S55" s="365">
        <f t="array" ref="S55">SUMPRODUCT(S$9:S$52,$T$9:$T$52,--($C$9:$C$52=$F55))*S$8</f>
        <v>0</v>
      </c>
      <c r="T55" s="363">
        <f t="shared" ref="T55:T56" si="20">SUM(H55:S55)</f>
        <v>111856.02000000002</v>
      </c>
      <c r="U55" s="363"/>
      <c r="V55" s="317"/>
      <c r="W55" s="317"/>
      <c r="X55" s="317"/>
      <c r="Y55" s="317"/>
      <c r="Z55" s="317"/>
      <c r="AA55" s="317"/>
      <c r="AB55" s="317"/>
      <c r="AC55" s="317"/>
      <c r="AD55" s="317"/>
      <c r="AE55" s="317"/>
      <c r="AF55" s="309"/>
    </row>
    <row r="56" spans="1:33" ht="15.75" customHeight="1" x14ac:dyDescent="0.3">
      <c r="A56" s="317"/>
      <c r="B56" s="317"/>
      <c r="C56" s="317"/>
      <c r="D56" s="309"/>
      <c r="E56" s="317"/>
      <c r="F56" s="364" t="s">
        <v>1832</v>
      </c>
      <c r="G56" s="366"/>
      <c r="H56" s="365">
        <f t="array" ref="H56">SUMPRODUCT(H$9:H$52,$T$9:$T$52,--($C$9:$C$52=$F56))*H$8</f>
        <v>0</v>
      </c>
      <c r="I56" s="365">
        <f t="array" ref="I56">SUMPRODUCT(I$9:I$52,$T$9:$T$52,--($C$9:$C$52=$F56))*I$8</f>
        <v>0</v>
      </c>
      <c r="J56" s="365">
        <f t="array" ref="J56">SUMPRODUCT(J$9:J$52,$T$9:$T$52,--($C$9:$C$52=$F56))*J$8</f>
        <v>0</v>
      </c>
      <c r="K56" s="365">
        <f t="array" ref="K56">SUMPRODUCT(K$9:K$52,$T$9:$T$52,--($C$9:$C$52=$F56))*K$8</f>
        <v>0</v>
      </c>
      <c r="L56" s="365">
        <f t="array" ref="L56">SUMPRODUCT(L$9:L$52,$T$9:$T$52,--($C$9:$C$52=$F56))*L$8</f>
        <v>0</v>
      </c>
      <c r="M56" s="365">
        <f t="array" ref="M56">SUMPRODUCT(M$9:M$52,$T$9:$T$52,--($C$9:$C$52=$F56))*M$8</f>
        <v>0</v>
      </c>
      <c r="N56" s="365">
        <f t="array" ref="N56">SUMPRODUCT(N$9:N$52,$T$9:$T$52,--($C$9:$C$52=$F56))*N$8</f>
        <v>0</v>
      </c>
      <c r="O56" s="365">
        <f t="array" ref="O56">SUMPRODUCT(O$9:O$52,$T$9:$T$52,--($C$9:$C$52=$F56))*O$8</f>
        <v>0</v>
      </c>
      <c r="P56" s="365">
        <f t="array" ref="P56">SUMPRODUCT(P$9:P$52,$T$9:$T$52,--($C$9:$C$52=$F56))*P$8</f>
        <v>0</v>
      </c>
      <c r="Q56" s="365">
        <f t="array" ref="Q56">SUMPRODUCT(Q$9:Q$52,$T$9:$T$52,--($C$9:$C$52=$F56))*Q$8</f>
        <v>0</v>
      </c>
      <c r="R56" s="365">
        <f t="array" ref="R56">SUMPRODUCT(R$9:R$52,$T$9:$T$52,--($C$9:$C$52=$F56))*R$8</f>
        <v>0</v>
      </c>
      <c r="S56" s="365">
        <f t="array" ref="S56">SUMPRODUCT(S$9:S$52,$T$9:$T$52,--($C$9:$C$52=$F56))*S$8</f>
        <v>0</v>
      </c>
      <c r="T56" s="363">
        <f t="shared" si="20"/>
        <v>0</v>
      </c>
      <c r="U56" s="363"/>
      <c r="V56" s="317"/>
      <c r="W56" s="317"/>
      <c r="X56" s="317"/>
      <c r="Y56" s="317"/>
      <c r="Z56" s="317"/>
      <c r="AA56" s="317"/>
      <c r="AB56" s="317"/>
      <c r="AC56" s="317"/>
      <c r="AD56" s="317"/>
      <c r="AE56" s="317"/>
      <c r="AF56" s="309"/>
    </row>
    <row r="57" spans="1:33" ht="15.75" customHeight="1" thickBot="1" x14ac:dyDescent="0.3">
      <c r="A57" s="317"/>
      <c r="B57" s="317"/>
      <c r="C57" s="317"/>
      <c r="D57" s="317"/>
      <c r="E57" s="317"/>
      <c r="F57" s="361"/>
      <c r="G57" s="366"/>
      <c r="H57" s="317"/>
      <c r="I57" s="317"/>
      <c r="J57" s="317"/>
      <c r="K57" s="317"/>
      <c r="L57" s="317"/>
      <c r="M57" s="317"/>
      <c r="N57" s="317"/>
      <c r="O57" s="317"/>
      <c r="P57" s="317"/>
      <c r="Q57" s="317"/>
      <c r="R57" s="317"/>
      <c r="S57" s="317"/>
      <c r="T57" s="363"/>
      <c r="U57" s="363"/>
      <c r="V57" s="363"/>
      <c r="W57" s="317"/>
      <c r="X57" s="317"/>
      <c r="Y57" s="317"/>
      <c r="Z57" s="317"/>
      <c r="AA57" s="317"/>
      <c r="AB57" s="317"/>
      <c r="AC57" s="317"/>
      <c r="AD57" s="317"/>
      <c r="AE57" s="317"/>
      <c r="AF57" s="317"/>
      <c r="AG57" s="309"/>
    </row>
    <row r="58" spans="1:33" ht="15.75" customHeight="1" x14ac:dyDescent="0.3">
      <c r="A58" s="309"/>
      <c r="B58" s="309"/>
      <c r="C58" s="370" t="s">
        <v>1865</v>
      </c>
      <c r="D58" s="371" t="s">
        <v>1866</v>
      </c>
      <c r="E58" s="372" t="s">
        <v>131</v>
      </c>
      <c r="F58" s="373">
        <f>SUMPRODUCT($H$8:$Q$8,$H58:$Q58)</f>
        <v>0</v>
      </c>
      <c r="G58" s="369"/>
      <c r="H58" s="380"/>
      <c r="I58" s="391"/>
      <c r="J58" s="391"/>
      <c r="K58" s="391"/>
      <c r="L58" s="391"/>
      <c r="M58" s="391"/>
      <c r="N58" s="392"/>
      <c r="O58" s="392"/>
      <c r="P58" s="392"/>
      <c r="Q58" s="392"/>
      <c r="R58" s="392"/>
      <c r="S58" s="392"/>
      <c r="T58" s="385"/>
      <c r="U58" s="386">
        <f>SUMPRODUCT(H58:Q58,$H$8:$Q$8)*T58</f>
        <v>0</v>
      </c>
      <c r="V58" s="317"/>
      <c r="W58" s="317"/>
      <c r="X58" s="317"/>
      <c r="Y58" s="317"/>
      <c r="Z58" s="317"/>
      <c r="AA58" s="317"/>
      <c r="AB58" s="317"/>
      <c r="AC58" s="317"/>
      <c r="AD58" s="317"/>
      <c r="AE58" s="317"/>
      <c r="AF58" s="317"/>
    </row>
    <row r="59" spans="1:33" ht="18" customHeight="1" x14ac:dyDescent="0.3">
      <c r="A59" s="309"/>
      <c r="B59" s="309"/>
      <c r="C59" s="374" t="s">
        <v>1865</v>
      </c>
      <c r="D59" s="333" t="s">
        <v>1867</v>
      </c>
      <c r="E59" s="334" t="s">
        <v>131</v>
      </c>
      <c r="F59" s="375">
        <f>SUMPRODUCT($H$8:$Q$8,$H59:$Q59)</f>
        <v>0</v>
      </c>
      <c r="G59" s="369"/>
      <c r="H59" s="381"/>
      <c r="I59" s="355"/>
      <c r="J59" s="335"/>
      <c r="K59" s="335"/>
      <c r="L59" s="335"/>
      <c r="M59" s="336"/>
      <c r="N59" s="336"/>
      <c r="O59" s="336"/>
      <c r="P59" s="336"/>
      <c r="Q59" s="336"/>
      <c r="R59" s="336"/>
      <c r="S59" s="336"/>
      <c r="T59" s="387"/>
      <c r="U59" s="388">
        <f>SUMPRODUCT(H59:Q59,$H$8:$Q$8)*T59</f>
        <v>0</v>
      </c>
      <c r="V59" s="317"/>
      <c r="W59" s="317"/>
      <c r="X59" s="317"/>
      <c r="Y59" s="317"/>
      <c r="Z59" s="317"/>
      <c r="AA59" s="317"/>
      <c r="AB59" s="317"/>
      <c r="AC59" s="317"/>
      <c r="AD59" s="317"/>
      <c r="AE59" s="317"/>
      <c r="AF59" s="317"/>
    </row>
    <row r="60" spans="1:33" ht="18" customHeight="1" x14ac:dyDescent="0.3">
      <c r="A60" s="309"/>
      <c r="B60" s="309"/>
      <c r="C60" s="374" t="s">
        <v>1865</v>
      </c>
      <c r="D60" s="333"/>
      <c r="E60" s="334"/>
      <c r="F60" s="375">
        <f>SUMPRODUCT($H$8:$Q$8,$H60:$Q60)</f>
        <v>0</v>
      </c>
      <c r="G60" s="369"/>
      <c r="H60" s="381"/>
      <c r="I60" s="355"/>
      <c r="J60" s="335"/>
      <c r="K60" s="335"/>
      <c r="L60" s="336"/>
      <c r="M60" s="336"/>
      <c r="N60" s="336"/>
      <c r="O60" s="336"/>
      <c r="P60" s="336"/>
      <c r="Q60" s="336"/>
      <c r="R60" s="336"/>
      <c r="S60" s="336"/>
      <c r="T60" s="387"/>
      <c r="U60" s="388">
        <f>SUMPRODUCT(H60:Q60,$H$8:$Q$8)*T60</f>
        <v>0</v>
      </c>
      <c r="V60" s="317"/>
      <c r="W60" s="317"/>
      <c r="X60" s="317"/>
      <c r="Y60" s="317"/>
      <c r="Z60" s="317"/>
      <c r="AA60" s="317"/>
      <c r="AB60" s="317"/>
      <c r="AC60" s="317"/>
      <c r="AD60" s="317"/>
      <c r="AE60" s="317"/>
      <c r="AF60" s="317"/>
    </row>
    <row r="61" spans="1:33" ht="15.75" customHeight="1" thickBot="1" x14ac:dyDescent="0.35">
      <c r="A61" s="309"/>
      <c r="B61" s="309"/>
      <c r="C61" s="376"/>
      <c r="D61" s="377"/>
      <c r="E61" s="378"/>
      <c r="F61" s="379">
        <f>SUMPRODUCT($H$8:$Q$8,$H61:$Q61)</f>
        <v>0</v>
      </c>
      <c r="G61" s="369"/>
      <c r="H61" s="382"/>
      <c r="I61" s="383"/>
      <c r="J61" s="383"/>
      <c r="K61" s="383"/>
      <c r="L61" s="384"/>
      <c r="M61" s="384"/>
      <c r="N61" s="384"/>
      <c r="O61" s="384"/>
      <c r="P61" s="384"/>
      <c r="Q61" s="384"/>
      <c r="R61" s="384"/>
      <c r="S61" s="384"/>
      <c r="T61" s="389"/>
      <c r="U61" s="390">
        <f>SUMPRODUCT(H61:Q61,$H$8:$Q$8)*T61</f>
        <v>0</v>
      </c>
      <c r="V61" s="317"/>
      <c r="W61" s="317"/>
      <c r="X61" s="317"/>
      <c r="Y61" s="317"/>
      <c r="Z61" s="317"/>
      <c r="AA61" s="317"/>
      <c r="AB61" s="317"/>
      <c r="AC61" s="317"/>
      <c r="AD61" s="317"/>
      <c r="AE61" s="317"/>
      <c r="AF61" s="317"/>
    </row>
    <row r="62" spans="1:33" ht="15.75" customHeight="1" x14ac:dyDescent="0.25">
      <c r="A62" s="317"/>
      <c r="B62" s="317"/>
      <c r="C62" s="415" t="s">
        <v>2052</v>
      </c>
      <c r="D62" s="317"/>
      <c r="E62" s="317"/>
      <c r="F62" s="361"/>
      <c r="G62" s="366"/>
      <c r="H62" s="414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63"/>
      <c r="V62" s="363"/>
      <c r="W62" s="317"/>
      <c r="X62" s="317"/>
      <c r="Y62" s="317"/>
      <c r="Z62" s="317"/>
      <c r="AA62" s="317"/>
      <c r="AB62" s="317"/>
      <c r="AC62" s="317"/>
      <c r="AD62" s="317"/>
      <c r="AE62" s="317"/>
      <c r="AF62" s="317"/>
      <c r="AG62" s="309"/>
    </row>
    <row r="63" spans="1:33" ht="15.75" customHeight="1" x14ac:dyDescent="0.25">
      <c r="A63" s="317"/>
      <c r="B63" s="317"/>
      <c r="C63" s="414" t="s">
        <v>2854</v>
      </c>
      <c r="D63" s="317"/>
      <c r="E63" s="317"/>
      <c r="F63" s="361"/>
      <c r="G63" s="366"/>
      <c r="H63" s="317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63"/>
      <c r="V63" s="363"/>
      <c r="W63" s="317"/>
      <c r="X63" s="317"/>
      <c r="Y63" s="317"/>
      <c r="Z63" s="317"/>
      <c r="AA63" s="317"/>
      <c r="AB63" s="317"/>
      <c r="AC63" s="317"/>
      <c r="AD63" s="317"/>
      <c r="AE63" s="317"/>
      <c r="AF63" s="317"/>
      <c r="AG63" s="309"/>
    </row>
    <row r="64" spans="1:33" ht="15.75" customHeight="1" x14ac:dyDescent="0.25">
      <c r="A64" s="317"/>
      <c r="B64" s="317"/>
      <c r="C64" s="317"/>
      <c r="D64" s="317"/>
      <c r="E64" s="317"/>
      <c r="F64" s="361"/>
      <c r="G64" s="366"/>
      <c r="H64" s="317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63"/>
      <c r="V64" s="363"/>
      <c r="W64" s="317"/>
      <c r="X64" s="317"/>
      <c r="Y64" s="317"/>
      <c r="Z64" s="317"/>
      <c r="AA64" s="317"/>
      <c r="AB64" s="317"/>
      <c r="AC64" s="317"/>
      <c r="AD64" s="317"/>
      <c r="AE64" s="317"/>
      <c r="AF64" s="317"/>
      <c r="AG64" s="309"/>
    </row>
    <row r="65" spans="1:33" ht="15.75" customHeight="1" x14ac:dyDescent="0.25">
      <c r="A65" s="317"/>
      <c r="B65" s="317"/>
      <c r="C65" s="317"/>
      <c r="D65" s="309"/>
      <c r="E65" s="317"/>
      <c r="F65" s="361"/>
      <c r="G65" s="366"/>
      <c r="H65" s="317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63"/>
      <c r="V65" s="363"/>
      <c r="W65" s="317"/>
      <c r="X65" s="317"/>
      <c r="Y65" s="317"/>
      <c r="Z65" s="317"/>
      <c r="AA65" s="317"/>
      <c r="AB65" s="317"/>
      <c r="AC65" s="317"/>
      <c r="AD65" s="317"/>
      <c r="AE65" s="317"/>
      <c r="AF65" s="317"/>
      <c r="AG65" s="309"/>
    </row>
    <row r="66" spans="1:33" ht="15.75" customHeight="1" x14ac:dyDescent="0.25">
      <c r="A66" s="317"/>
      <c r="B66" s="317"/>
      <c r="C66" s="317"/>
      <c r="D66" s="309"/>
      <c r="E66" s="317"/>
      <c r="F66" s="361"/>
      <c r="G66" s="366"/>
      <c r="H66" s="317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63"/>
      <c r="V66" s="363"/>
      <c r="W66" s="317"/>
      <c r="X66" s="317"/>
      <c r="Y66" s="317"/>
      <c r="Z66" s="317"/>
      <c r="AA66" s="317"/>
      <c r="AB66" s="317"/>
      <c r="AC66" s="317"/>
      <c r="AD66" s="317"/>
      <c r="AE66" s="317"/>
      <c r="AF66" s="317"/>
      <c r="AG66" s="309"/>
    </row>
    <row r="67" spans="1:33" ht="15.75" customHeight="1" x14ac:dyDescent="0.25">
      <c r="A67" s="317"/>
      <c r="B67" s="317"/>
      <c r="C67" s="317"/>
      <c r="D67" s="309"/>
      <c r="E67" s="317"/>
      <c r="F67" s="361"/>
      <c r="G67" s="366"/>
      <c r="H67" s="317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63"/>
      <c r="V67" s="363"/>
      <c r="W67" s="317"/>
      <c r="X67" s="317"/>
      <c r="Y67" s="317"/>
      <c r="Z67" s="317"/>
      <c r="AA67" s="317"/>
      <c r="AB67" s="317"/>
      <c r="AC67" s="317"/>
      <c r="AD67" s="317"/>
      <c r="AE67" s="317"/>
      <c r="AF67" s="317"/>
      <c r="AG67" s="309"/>
    </row>
    <row r="68" spans="1:33" ht="15.75" customHeight="1" x14ac:dyDescent="0.25">
      <c r="A68" s="317"/>
      <c r="B68" s="317"/>
      <c r="C68" s="317"/>
      <c r="D68" s="309"/>
      <c r="E68" s="317"/>
      <c r="F68" s="361"/>
      <c r="G68" s="366"/>
      <c r="H68" s="317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63"/>
      <c r="V68" s="363"/>
      <c r="W68" s="317"/>
      <c r="X68" s="317"/>
      <c r="Y68" s="317"/>
      <c r="Z68" s="317"/>
      <c r="AA68" s="317"/>
      <c r="AB68" s="317"/>
      <c r="AC68" s="317"/>
      <c r="AD68" s="317"/>
      <c r="AE68" s="317"/>
      <c r="AF68" s="317"/>
      <c r="AG68" s="309"/>
    </row>
    <row r="69" spans="1:33" ht="15.75" customHeight="1" x14ac:dyDescent="0.25">
      <c r="A69" s="317"/>
      <c r="B69" s="317"/>
      <c r="C69" s="317"/>
      <c r="D69" s="309"/>
      <c r="E69" s="317"/>
      <c r="F69" s="361"/>
      <c r="G69" s="366"/>
      <c r="H69" s="317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63"/>
      <c r="V69" s="363"/>
      <c r="W69" s="317"/>
      <c r="X69" s="317"/>
      <c r="Y69" s="317"/>
      <c r="Z69" s="317"/>
      <c r="AA69" s="317"/>
      <c r="AB69" s="317"/>
      <c r="AC69" s="317"/>
      <c r="AD69" s="317"/>
      <c r="AE69" s="317"/>
      <c r="AF69" s="317"/>
      <c r="AG69" s="309"/>
    </row>
    <row r="70" spans="1:33" ht="15.75" customHeight="1" x14ac:dyDescent="0.25">
      <c r="A70" s="317"/>
      <c r="B70" s="317"/>
      <c r="C70" s="317"/>
      <c r="D70" s="309"/>
      <c r="E70" s="317"/>
      <c r="F70" s="361"/>
      <c r="G70" s="366"/>
      <c r="H70" s="317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63"/>
      <c r="V70" s="363"/>
      <c r="W70" s="317"/>
      <c r="X70" s="317"/>
      <c r="Y70" s="317"/>
      <c r="Z70" s="317"/>
      <c r="AA70" s="317"/>
      <c r="AB70" s="317"/>
      <c r="AC70" s="317"/>
      <c r="AD70" s="317"/>
      <c r="AE70" s="317"/>
      <c r="AF70" s="317"/>
      <c r="AG70" s="309"/>
    </row>
    <row r="71" spans="1:33" ht="15.75" customHeight="1" x14ac:dyDescent="0.25">
      <c r="A71" s="317"/>
      <c r="B71" s="317"/>
      <c r="C71" s="317"/>
      <c r="D71" s="309"/>
      <c r="E71" s="317"/>
      <c r="F71" s="361"/>
      <c r="G71" s="366"/>
      <c r="H71" s="317"/>
      <c r="I71" s="317"/>
      <c r="J71" s="317"/>
      <c r="K71" s="317"/>
      <c r="L71" s="317"/>
      <c r="M71" s="317"/>
      <c r="N71" s="317"/>
      <c r="O71" s="317"/>
      <c r="P71" s="317"/>
      <c r="Q71" s="317"/>
      <c r="R71" s="317"/>
      <c r="S71" s="317"/>
      <c r="T71" s="317"/>
      <c r="U71" s="363"/>
      <c r="V71" s="363"/>
      <c r="W71" s="317"/>
      <c r="X71" s="317"/>
      <c r="Y71" s="317"/>
      <c r="Z71" s="317"/>
      <c r="AA71" s="317"/>
      <c r="AB71" s="317"/>
      <c r="AC71" s="317"/>
      <c r="AD71" s="317"/>
      <c r="AE71" s="317"/>
      <c r="AF71" s="317"/>
      <c r="AG71" s="309"/>
    </row>
    <row r="72" spans="1:33" ht="15.75" customHeight="1" x14ac:dyDescent="0.25">
      <c r="A72" s="317"/>
      <c r="B72" s="317"/>
      <c r="C72" s="317"/>
      <c r="D72" s="309"/>
      <c r="E72" s="317"/>
      <c r="F72" s="361"/>
      <c r="G72" s="366"/>
      <c r="H72" s="317"/>
      <c r="I72" s="317"/>
      <c r="J72" s="317"/>
      <c r="K72" s="317"/>
      <c r="L72" s="317"/>
      <c r="M72" s="317"/>
      <c r="N72" s="317"/>
      <c r="O72" s="317"/>
      <c r="P72" s="317"/>
      <c r="Q72" s="317"/>
      <c r="R72" s="317"/>
      <c r="S72" s="317"/>
      <c r="T72" s="317"/>
      <c r="U72" s="363"/>
      <c r="V72" s="363"/>
      <c r="W72" s="317"/>
      <c r="X72" s="317"/>
      <c r="Y72" s="317"/>
      <c r="Z72" s="317"/>
      <c r="AA72" s="317"/>
      <c r="AB72" s="317"/>
      <c r="AC72" s="317"/>
      <c r="AD72" s="317"/>
      <c r="AE72" s="317"/>
      <c r="AF72" s="317"/>
      <c r="AG72" s="309"/>
    </row>
    <row r="73" spans="1:33" ht="15.75" customHeight="1" x14ac:dyDescent="0.25">
      <c r="A73" s="317"/>
      <c r="B73" s="317"/>
      <c r="C73" s="317"/>
      <c r="D73" s="309"/>
      <c r="E73" s="317"/>
      <c r="F73" s="361"/>
      <c r="G73" s="366"/>
      <c r="H73" s="317"/>
      <c r="I73" s="317"/>
      <c r="J73" s="317"/>
      <c r="K73" s="317"/>
      <c r="L73" s="317"/>
      <c r="M73" s="317"/>
      <c r="N73" s="317"/>
      <c r="O73" s="317"/>
      <c r="P73" s="317"/>
      <c r="Q73" s="317"/>
      <c r="R73" s="317"/>
      <c r="S73" s="317"/>
      <c r="T73" s="317"/>
      <c r="U73" s="363"/>
      <c r="V73" s="363"/>
      <c r="W73" s="317"/>
      <c r="X73" s="317"/>
      <c r="Y73" s="317"/>
      <c r="Z73" s="317"/>
      <c r="AA73" s="317"/>
      <c r="AB73" s="317"/>
      <c r="AC73" s="317"/>
      <c r="AD73" s="317"/>
      <c r="AE73" s="317"/>
      <c r="AF73" s="317"/>
      <c r="AG73" s="309"/>
    </row>
    <row r="74" spans="1:33" ht="15.75" customHeight="1" x14ac:dyDescent="0.25">
      <c r="A74" s="317"/>
      <c r="B74" s="317"/>
      <c r="C74" s="317"/>
      <c r="D74" s="317"/>
      <c r="E74" s="317"/>
      <c r="F74" s="361"/>
      <c r="G74" s="366"/>
      <c r="H74" s="317"/>
      <c r="I74" s="317"/>
      <c r="J74" s="317"/>
      <c r="K74" s="317"/>
      <c r="L74" s="317"/>
      <c r="M74" s="317"/>
      <c r="N74" s="317"/>
      <c r="O74" s="317"/>
      <c r="P74" s="317"/>
      <c r="Q74" s="317"/>
      <c r="R74" s="317"/>
      <c r="S74" s="317"/>
      <c r="T74" s="317"/>
      <c r="U74" s="363"/>
      <c r="V74" s="363"/>
      <c r="W74" s="317"/>
      <c r="X74" s="317"/>
      <c r="Y74" s="317"/>
      <c r="Z74" s="317"/>
      <c r="AA74" s="317"/>
      <c r="AB74" s="317"/>
      <c r="AC74" s="317"/>
      <c r="AD74" s="317"/>
      <c r="AE74" s="317"/>
      <c r="AF74" s="317"/>
      <c r="AG74" s="309"/>
    </row>
    <row r="75" spans="1:33" ht="15.75" customHeight="1" x14ac:dyDescent="0.25">
      <c r="A75" s="317"/>
      <c r="B75" s="317"/>
      <c r="C75" s="317"/>
      <c r="D75" s="317"/>
      <c r="E75" s="317"/>
      <c r="F75" s="361"/>
      <c r="G75" s="366"/>
      <c r="H75" s="317"/>
      <c r="I75" s="317"/>
      <c r="J75" s="317"/>
      <c r="K75" s="317"/>
      <c r="L75" s="317"/>
      <c r="M75" s="317"/>
      <c r="N75" s="317"/>
      <c r="O75" s="317"/>
      <c r="P75" s="317"/>
      <c r="Q75" s="317"/>
      <c r="R75" s="317"/>
      <c r="S75" s="317"/>
      <c r="T75" s="317"/>
      <c r="U75" s="363"/>
      <c r="V75" s="363"/>
      <c r="W75" s="317"/>
      <c r="X75" s="317"/>
      <c r="Y75" s="317"/>
      <c r="Z75" s="317"/>
      <c r="AA75" s="317"/>
      <c r="AB75" s="317"/>
      <c r="AC75" s="317"/>
      <c r="AD75" s="317"/>
      <c r="AE75" s="317"/>
      <c r="AF75" s="317"/>
      <c r="AG75" s="309"/>
    </row>
    <row r="76" spans="1:33" ht="15.75" customHeight="1" x14ac:dyDescent="0.25">
      <c r="A76" s="317"/>
      <c r="B76" s="317"/>
      <c r="C76" s="317"/>
      <c r="D76" s="317"/>
      <c r="E76" s="317"/>
      <c r="F76" s="361"/>
      <c r="G76" s="366"/>
      <c r="H76" s="317"/>
      <c r="I76" s="317"/>
      <c r="J76" s="317"/>
      <c r="K76" s="317"/>
      <c r="L76" s="317"/>
      <c r="M76" s="317"/>
      <c r="N76" s="317"/>
      <c r="O76" s="317"/>
      <c r="P76" s="317"/>
      <c r="Q76" s="317"/>
      <c r="R76" s="317"/>
      <c r="S76" s="317"/>
      <c r="T76" s="317"/>
      <c r="U76" s="363"/>
      <c r="V76" s="363"/>
      <c r="W76" s="317"/>
      <c r="X76" s="317"/>
      <c r="Y76" s="317"/>
      <c r="Z76" s="317"/>
      <c r="AA76" s="317"/>
      <c r="AB76" s="317"/>
      <c r="AC76" s="317"/>
      <c r="AD76" s="317"/>
      <c r="AE76" s="317"/>
      <c r="AF76" s="317"/>
      <c r="AG76" s="309"/>
    </row>
    <row r="77" spans="1:33" ht="15.75" customHeight="1" x14ac:dyDescent="0.25">
      <c r="A77" s="317"/>
      <c r="B77" s="317"/>
      <c r="C77" s="317"/>
      <c r="D77" s="309"/>
      <c r="E77" s="317"/>
      <c r="F77" s="361"/>
      <c r="G77" s="366"/>
      <c r="H77" s="317"/>
      <c r="I77" s="317"/>
      <c r="J77" s="317"/>
      <c r="K77" s="317"/>
      <c r="L77" s="317"/>
      <c r="M77" s="317"/>
      <c r="N77" s="317"/>
      <c r="O77" s="317"/>
      <c r="P77" s="317"/>
      <c r="Q77" s="317"/>
      <c r="R77" s="317"/>
      <c r="S77" s="317"/>
      <c r="T77" s="317"/>
      <c r="U77" s="363"/>
      <c r="V77" s="363"/>
      <c r="W77" s="317"/>
      <c r="X77" s="317"/>
      <c r="Y77" s="317"/>
      <c r="Z77" s="317"/>
      <c r="AA77" s="317"/>
      <c r="AB77" s="317"/>
      <c r="AC77" s="317"/>
      <c r="AD77" s="317"/>
      <c r="AE77" s="317"/>
      <c r="AF77" s="317"/>
      <c r="AG77" s="309"/>
    </row>
    <row r="78" spans="1:33" ht="15.75" customHeight="1" x14ac:dyDescent="0.25">
      <c r="A78" s="317"/>
      <c r="B78" s="317"/>
      <c r="C78" s="317"/>
      <c r="D78" s="309"/>
      <c r="E78" s="317"/>
      <c r="F78" s="361"/>
      <c r="G78" s="366"/>
      <c r="H78" s="317"/>
      <c r="I78" s="317"/>
      <c r="J78" s="317"/>
      <c r="K78" s="317"/>
      <c r="L78" s="317"/>
      <c r="M78" s="317"/>
      <c r="N78" s="317"/>
      <c r="O78" s="317"/>
      <c r="P78" s="317"/>
      <c r="Q78" s="317"/>
      <c r="R78" s="317"/>
      <c r="S78" s="317"/>
      <c r="T78" s="317"/>
      <c r="U78" s="363"/>
      <c r="V78" s="363"/>
      <c r="W78" s="317"/>
      <c r="X78" s="317"/>
      <c r="Y78" s="317"/>
      <c r="Z78" s="317"/>
      <c r="AA78" s="317"/>
      <c r="AB78" s="317"/>
      <c r="AC78" s="317"/>
      <c r="AD78" s="317"/>
      <c r="AE78" s="317"/>
      <c r="AF78" s="317"/>
      <c r="AG78" s="309"/>
    </row>
    <row r="79" spans="1:33" ht="15.75" customHeight="1" x14ac:dyDescent="0.25">
      <c r="A79" s="317"/>
      <c r="B79" s="317"/>
      <c r="C79" s="317"/>
      <c r="D79" s="317"/>
      <c r="E79" s="317"/>
      <c r="F79" s="361"/>
      <c r="G79" s="366"/>
      <c r="H79" s="317"/>
      <c r="I79" s="317"/>
      <c r="J79" s="317"/>
      <c r="K79" s="317"/>
      <c r="L79" s="317"/>
      <c r="M79" s="317"/>
      <c r="N79" s="317"/>
      <c r="O79" s="317"/>
      <c r="P79" s="317"/>
      <c r="Q79" s="317"/>
      <c r="R79" s="317"/>
      <c r="S79" s="317"/>
      <c r="T79" s="317"/>
      <c r="U79" s="363"/>
      <c r="V79" s="363"/>
      <c r="W79" s="317"/>
      <c r="X79" s="317"/>
      <c r="Y79" s="317"/>
      <c r="Z79" s="317"/>
      <c r="AA79" s="317"/>
      <c r="AB79" s="317"/>
      <c r="AC79" s="317"/>
      <c r="AD79" s="317"/>
      <c r="AE79" s="317"/>
      <c r="AF79" s="317"/>
      <c r="AG79" s="309"/>
    </row>
    <row r="80" spans="1:33" ht="15.75" customHeight="1" x14ac:dyDescent="0.25">
      <c r="A80" s="317"/>
      <c r="B80" s="317"/>
      <c r="C80" s="317"/>
      <c r="D80" s="317"/>
      <c r="E80" s="317"/>
      <c r="F80" s="361"/>
      <c r="G80" s="366"/>
      <c r="H80" s="317"/>
      <c r="I80" s="317"/>
      <c r="J80" s="317"/>
      <c r="K80" s="317"/>
      <c r="L80" s="317"/>
      <c r="M80" s="317"/>
      <c r="N80" s="317"/>
      <c r="O80" s="317"/>
      <c r="P80" s="317"/>
      <c r="Q80" s="317"/>
      <c r="R80" s="317"/>
      <c r="S80" s="317"/>
      <c r="T80" s="317"/>
      <c r="U80" s="363"/>
      <c r="V80" s="363"/>
      <c r="W80" s="317"/>
      <c r="X80" s="317"/>
      <c r="Y80" s="317"/>
      <c r="Z80" s="317"/>
      <c r="AA80" s="317"/>
      <c r="AB80" s="317"/>
      <c r="AC80" s="317"/>
      <c r="AD80" s="317"/>
      <c r="AE80" s="317"/>
      <c r="AF80" s="317"/>
      <c r="AG80" s="309"/>
    </row>
    <row r="81" spans="1:33" ht="15.75" customHeight="1" x14ac:dyDescent="0.25">
      <c r="A81" s="317"/>
      <c r="B81" s="317"/>
      <c r="C81" s="317"/>
      <c r="D81" s="317"/>
      <c r="E81" s="317"/>
      <c r="F81" s="361"/>
      <c r="G81" s="366"/>
      <c r="H81" s="317"/>
      <c r="I81" s="317"/>
      <c r="J81" s="317"/>
      <c r="K81" s="317"/>
      <c r="L81" s="317"/>
      <c r="M81" s="317"/>
      <c r="N81" s="317"/>
      <c r="O81" s="317"/>
      <c r="P81" s="317"/>
      <c r="Q81" s="317"/>
      <c r="R81" s="317"/>
      <c r="S81" s="317"/>
      <c r="T81" s="317"/>
      <c r="U81" s="363"/>
      <c r="V81" s="363"/>
      <c r="W81" s="317"/>
      <c r="X81" s="317"/>
      <c r="Y81" s="317"/>
      <c r="Z81" s="317"/>
      <c r="AA81" s="317"/>
      <c r="AB81" s="317"/>
      <c r="AC81" s="317"/>
      <c r="AD81" s="317"/>
      <c r="AE81" s="317"/>
      <c r="AF81" s="317"/>
      <c r="AG81" s="309"/>
    </row>
    <row r="82" spans="1:33" ht="15.75" customHeight="1" x14ac:dyDescent="0.25">
      <c r="A82" s="317"/>
      <c r="B82" s="317"/>
      <c r="C82" s="317"/>
      <c r="D82" s="317"/>
      <c r="E82" s="317"/>
      <c r="F82" s="361"/>
      <c r="G82" s="366"/>
      <c r="H82" s="317"/>
      <c r="I82" s="317"/>
      <c r="J82" s="317"/>
      <c r="K82" s="317"/>
      <c r="L82" s="317"/>
      <c r="M82" s="317"/>
      <c r="N82" s="317"/>
      <c r="O82" s="317"/>
      <c r="P82" s="317"/>
      <c r="Q82" s="317"/>
      <c r="R82" s="317"/>
      <c r="S82" s="317"/>
      <c r="T82" s="317"/>
      <c r="U82" s="363"/>
      <c r="V82" s="363"/>
      <c r="W82" s="317"/>
      <c r="X82" s="317"/>
      <c r="Y82" s="317"/>
      <c r="Z82" s="317"/>
      <c r="AA82" s="317"/>
      <c r="AB82" s="317"/>
      <c r="AC82" s="317"/>
      <c r="AD82" s="317"/>
      <c r="AE82" s="317"/>
      <c r="AF82" s="317"/>
      <c r="AG82" s="309"/>
    </row>
    <row r="83" spans="1:33" ht="15.75" customHeight="1" x14ac:dyDescent="0.25">
      <c r="A83" s="317"/>
      <c r="B83" s="317"/>
      <c r="C83" s="317"/>
      <c r="D83" s="317"/>
      <c r="E83" s="317"/>
      <c r="F83" s="361"/>
      <c r="G83" s="366"/>
      <c r="H83" s="317"/>
      <c r="I83" s="317"/>
      <c r="J83" s="317"/>
      <c r="K83" s="317"/>
      <c r="L83" s="317"/>
      <c r="M83" s="317"/>
      <c r="N83" s="317"/>
      <c r="O83" s="317"/>
      <c r="P83" s="317"/>
      <c r="Q83" s="317"/>
      <c r="R83" s="317"/>
      <c r="S83" s="317"/>
      <c r="T83" s="317"/>
      <c r="U83" s="363"/>
      <c r="V83" s="363"/>
      <c r="W83" s="317"/>
      <c r="X83" s="317"/>
      <c r="Y83" s="317"/>
      <c r="Z83" s="317"/>
      <c r="AA83" s="317"/>
      <c r="AB83" s="317"/>
      <c r="AC83" s="317"/>
      <c r="AD83" s="317"/>
      <c r="AE83" s="317"/>
      <c r="AF83" s="317"/>
      <c r="AG83" s="309"/>
    </row>
    <row r="84" spans="1:33" ht="15.75" customHeight="1" x14ac:dyDescent="0.25">
      <c r="A84" s="317"/>
      <c r="B84" s="317"/>
      <c r="C84" s="317"/>
      <c r="D84" s="317"/>
      <c r="E84" s="317"/>
      <c r="F84" s="361"/>
      <c r="G84" s="366"/>
      <c r="H84" s="317"/>
      <c r="I84" s="317"/>
      <c r="J84" s="317"/>
      <c r="K84" s="317"/>
      <c r="L84" s="317"/>
      <c r="M84" s="317"/>
      <c r="N84" s="317"/>
      <c r="O84" s="317"/>
      <c r="P84" s="317"/>
      <c r="Q84" s="317"/>
      <c r="R84" s="317"/>
      <c r="S84" s="317"/>
      <c r="T84" s="317"/>
      <c r="U84" s="363"/>
      <c r="V84" s="363"/>
      <c r="W84" s="317"/>
      <c r="X84" s="317"/>
      <c r="Y84" s="317"/>
      <c r="Z84" s="317"/>
      <c r="AA84" s="317"/>
      <c r="AB84" s="317"/>
      <c r="AC84" s="317"/>
      <c r="AD84" s="317"/>
      <c r="AE84" s="317"/>
      <c r="AF84" s="317"/>
      <c r="AG84" s="309"/>
    </row>
    <row r="85" spans="1:33" ht="15.75" customHeight="1" x14ac:dyDescent="0.25">
      <c r="A85" s="317"/>
      <c r="B85" s="317"/>
      <c r="C85" s="317"/>
      <c r="D85" s="317"/>
      <c r="E85" s="317"/>
      <c r="F85" s="361"/>
      <c r="G85" s="366"/>
      <c r="H85" s="317"/>
      <c r="I85" s="317"/>
      <c r="J85" s="317"/>
      <c r="K85" s="317"/>
      <c r="L85" s="317"/>
      <c r="M85" s="317"/>
      <c r="N85" s="317"/>
      <c r="O85" s="317"/>
      <c r="P85" s="317"/>
      <c r="Q85" s="317"/>
      <c r="R85" s="317"/>
      <c r="S85" s="317"/>
      <c r="T85" s="317"/>
      <c r="U85" s="363"/>
      <c r="V85" s="363"/>
      <c r="W85" s="317"/>
      <c r="X85" s="317"/>
      <c r="Y85" s="317"/>
      <c r="Z85" s="317"/>
      <c r="AA85" s="317"/>
      <c r="AB85" s="317"/>
      <c r="AC85" s="317"/>
      <c r="AD85" s="317"/>
      <c r="AE85" s="317"/>
      <c r="AF85" s="317"/>
      <c r="AG85" s="309"/>
    </row>
    <row r="86" spans="1:33" ht="15.75" customHeight="1" x14ac:dyDescent="0.25">
      <c r="A86" s="317"/>
      <c r="B86" s="317"/>
      <c r="C86" s="317"/>
      <c r="D86" s="317"/>
      <c r="E86" s="317"/>
      <c r="F86" s="361"/>
      <c r="G86" s="366"/>
      <c r="H86" s="317"/>
      <c r="I86" s="317"/>
      <c r="J86" s="317"/>
      <c r="K86" s="317"/>
      <c r="L86" s="317"/>
      <c r="M86" s="317"/>
      <c r="N86" s="317"/>
      <c r="O86" s="317"/>
      <c r="P86" s="317"/>
      <c r="Q86" s="317"/>
      <c r="R86" s="317"/>
      <c r="S86" s="317"/>
      <c r="T86" s="317"/>
      <c r="U86" s="363"/>
      <c r="V86" s="363"/>
      <c r="W86" s="317"/>
      <c r="X86" s="317"/>
      <c r="Y86" s="317"/>
      <c r="Z86" s="317"/>
      <c r="AA86" s="317"/>
      <c r="AB86" s="317"/>
      <c r="AC86" s="317"/>
      <c r="AD86" s="317"/>
      <c r="AE86" s="317"/>
      <c r="AF86" s="317"/>
      <c r="AG86" s="309"/>
    </row>
    <row r="87" spans="1:33" ht="15.75" customHeight="1" x14ac:dyDescent="0.25">
      <c r="A87" s="317"/>
      <c r="B87" s="317"/>
      <c r="C87" s="317"/>
      <c r="D87" s="317"/>
      <c r="E87" s="317"/>
      <c r="F87" s="361"/>
      <c r="G87" s="366"/>
      <c r="H87" s="317"/>
      <c r="I87" s="317"/>
      <c r="J87" s="317"/>
      <c r="K87" s="317"/>
      <c r="L87" s="317"/>
      <c r="M87" s="317"/>
      <c r="N87" s="317"/>
      <c r="O87" s="317"/>
      <c r="P87" s="317"/>
      <c r="Q87" s="317"/>
      <c r="R87" s="317"/>
      <c r="S87" s="317"/>
      <c r="T87" s="317"/>
      <c r="U87" s="363"/>
      <c r="V87" s="363"/>
      <c r="W87" s="317"/>
      <c r="X87" s="317"/>
      <c r="Y87" s="317"/>
      <c r="Z87" s="317"/>
      <c r="AA87" s="317"/>
      <c r="AB87" s="317"/>
      <c r="AC87" s="317"/>
      <c r="AD87" s="317"/>
      <c r="AE87" s="317"/>
      <c r="AF87" s="317"/>
      <c r="AG87" s="309"/>
    </row>
    <row r="88" spans="1:33" ht="15.75" customHeight="1" x14ac:dyDescent="0.25">
      <c r="A88" s="317"/>
      <c r="B88" s="317"/>
      <c r="C88" s="317"/>
      <c r="D88" s="317"/>
      <c r="E88" s="317"/>
      <c r="F88" s="361"/>
      <c r="G88" s="366"/>
      <c r="H88" s="317"/>
      <c r="I88" s="317"/>
      <c r="J88" s="317"/>
      <c r="K88" s="317"/>
      <c r="L88" s="317"/>
      <c r="M88" s="317"/>
      <c r="N88" s="317"/>
      <c r="O88" s="317"/>
      <c r="P88" s="317"/>
      <c r="Q88" s="317"/>
      <c r="R88" s="317"/>
      <c r="S88" s="317"/>
      <c r="T88" s="317"/>
      <c r="U88" s="363"/>
      <c r="V88" s="363"/>
      <c r="W88" s="317"/>
      <c r="X88" s="317"/>
      <c r="Y88" s="317"/>
      <c r="Z88" s="317"/>
      <c r="AA88" s="317"/>
      <c r="AB88" s="317"/>
      <c r="AC88" s="317"/>
      <c r="AD88" s="317"/>
      <c r="AE88" s="317"/>
      <c r="AF88" s="317"/>
      <c r="AG88" s="309"/>
    </row>
    <row r="89" spans="1:33" ht="15.75" customHeight="1" x14ac:dyDescent="0.25">
      <c r="A89" s="317"/>
      <c r="B89" s="317"/>
      <c r="C89" s="317"/>
      <c r="D89" s="317"/>
      <c r="E89" s="317"/>
      <c r="F89" s="361"/>
      <c r="G89" s="366"/>
      <c r="H89" s="317"/>
      <c r="I89" s="317"/>
      <c r="J89" s="317"/>
      <c r="K89" s="317"/>
      <c r="L89" s="317"/>
      <c r="M89" s="317"/>
      <c r="N89" s="317"/>
      <c r="O89" s="317"/>
      <c r="P89" s="317"/>
      <c r="Q89" s="317"/>
      <c r="R89" s="317"/>
      <c r="S89" s="317"/>
      <c r="T89" s="317"/>
      <c r="U89" s="363"/>
      <c r="V89" s="363"/>
      <c r="W89" s="317"/>
      <c r="X89" s="317"/>
      <c r="Y89" s="317"/>
      <c r="Z89" s="317"/>
      <c r="AA89" s="317"/>
      <c r="AB89" s="317"/>
      <c r="AC89" s="317"/>
      <c r="AD89" s="317"/>
      <c r="AE89" s="317"/>
      <c r="AF89" s="317"/>
      <c r="AG89" s="309"/>
    </row>
    <row r="90" spans="1:33" ht="15.75" customHeight="1" x14ac:dyDescent="0.25">
      <c r="A90" s="317"/>
      <c r="B90" s="317"/>
      <c r="C90" s="317"/>
      <c r="D90" s="317"/>
      <c r="E90" s="317"/>
      <c r="F90" s="361"/>
      <c r="G90" s="366"/>
      <c r="H90" s="317"/>
      <c r="I90" s="317"/>
      <c r="J90" s="317"/>
      <c r="K90" s="317"/>
      <c r="L90" s="317"/>
      <c r="M90" s="317"/>
      <c r="N90" s="317"/>
      <c r="O90" s="317"/>
      <c r="P90" s="317"/>
      <c r="Q90" s="317"/>
      <c r="R90" s="317"/>
      <c r="S90" s="317"/>
      <c r="T90" s="317"/>
      <c r="U90" s="363"/>
      <c r="V90" s="363"/>
      <c r="W90" s="317"/>
      <c r="X90" s="317"/>
      <c r="Y90" s="317"/>
      <c r="Z90" s="317"/>
      <c r="AA90" s="317"/>
      <c r="AB90" s="317"/>
      <c r="AC90" s="317"/>
      <c r="AD90" s="317"/>
      <c r="AE90" s="317"/>
      <c r="AF90" s="317"/>
      <c r="AG90" s="309"/>
    </row>
    <row r="91" spans="1:33" ht="15.75" customHeight="1" x14ac:dyDescent="0.25">
      <c r="A91" s="317"/>
      <c r="B91" s="317"/>
      <c r="C91" s="317"/>
      <c r="D91" s="317"/>
      <c r="E91" s="317"/>
      <c r="F91" s="361"/>
      <c r="G91" s="366"/>
      <c r="H91" s="317"/>
      <c r="I91" s="317"/>
      <c r="J91" s="317"/>
      <c r="K91" s="317"/>
      <c r="L91" s="317"/>
      <c r="M91" s="317"/>
      <c r="N91" s="317"/>
      <c r="O91" s="317"/>
      <c r="P91" s="317"/>
      <c r="Q91" s="317"/>
      <c r="R91" s="317"/>
      <c r="S91" s="317"/>
      <c r="T91" s="317"/>
      <c r="U91" s="363"/>
      <c r="V91" s="363"/>
      <c r="W91" s="317"/>
      <c r="X91" s="317"/>
      <c r="Y91" s="317"/>
      <c r="Z91" s="317"/>
      <c r="AA91" s="317"/>
      <c r="AB91" s="317"/>
      <c r="AC91" s="317"/>
      <c r="AD91" s="317"/>
      <c r="AE91" s="317"/>
      <c r="AF91" s="317"/>
      <c r="AG91" s="309"/>
    </row>
    <row r="92" spans="1:33" ht="15.75" customHeight="1" x14ac:dyDescent="0.25">
      <c r="A92" s="317"/>
      <c r="B92" s="317"/>
      <c r="C92" s="317"/>
      <c r="D92" s="317"/>
      <c r="E92" s="317"/>
      <c r="F92" s="361"/>
      <c r="G92" s="366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63"/>
      <c r="V92" s="363"/>
      <c r="W92" s="317"/>
      <c r="X92" s="317"/>
      <c r="Y92" s="317"/>
      <c r="Z92" s="317"/>
      <c r="AA92" s="317"/>
      <c r="AB92" s="317"/>
      <c r="AC92" s="317"/>
      <c r="AD92" s="317"/>
      <c r="AE92" s="317"/>
      <c r="AF92" s="317"/>
      <c r="AG92" s="309"/>
    </row>
    <row r="93" spans="1:33" ht="15.75" customHeight="1" x14ac:dyDescent="0.25">
      <c r="A93" s="317"/>
      <c r="B93" s="317"/>
      <c r="C93" s="317"/>
      <c r="D93" s="317"/>
      <c r="E93" s="317"/>
      <c r="F93" s="361"/>
      <c r="G93" s="366"/>
      <c r="H93" s="317"/>
      <c r="I93" s="317"/>
      <c r="J93" s="317"/>
      <c r="K93" s="317"/>
      <c r="L93" s="317"/>
      <c r="M93" s="317"/>
      <c r="N93" s="317"/>
      <c r="O93" s="317"/>
      <c r="P93" s="317"/>
      <c r="Q93" s="317"/>
      <c r="R93" s="317"/>
      <c r="S93" s="317"/>
      <c r="T93" s="317"/>
      <c r="U93" s="363"/>
      <c r="V93" s="363"/>
      <c r="W93" s="317"/>
      <c r="X93" s="317"/>
      <c r="Y93" s="317"/>
      <c r="Z93" s="317"/>
      <c r="AA93" s="317"/>
      <c r="AB93" s="317"/>
      <c r="AC93" s="317"/>
      <c r="AD93" s="317"/>
      <c r="AE93" s="317"/>
      <c r="AF93" s="317"/>
      <c r="AG93" s="309"/>
    </row>
    <row r="94" spans="1:33" ht="15.75" customHeight="1" x14ac:dyDescent="0.25">
      <c r="A94" s="317"/>
      <c r="B94" s="317"/>
      <c r="C94" s="317"/>
      <c r="D94" s="317"/>
      <c r="E94" s="317"/>
      <c r="F94" s="361"/>
      <c r="G94" s="366"/>
      <c r="H94" s="317"/>
      <c r="I94" s="317"/>
      <c r="J94" s="317"/>
      <c r="K94" s="317"/>
      <c r="L94" s="317"/>
      <c r="M94" s="317"/>
      <c r="N94" s="317"/>
      <c r="O94" s="317"/>
      <c r="P94" s="317"/>
      <c r="Q94" s="317"/>
      <c r="R94" s="317"/>
      <c r="S94" s="317"/>
      <c r="T94" s="317"/>
      <c r="U94" s="363"/>
      <c r="V94" s="363"/>
      <c r="W94" s="317"/>
      <c r="X94" s="317"/>
      <c r="Y94" s="317"/>
      <c r="Z94" s="317"/>
      <c r="AA94" s="317"/>
      <c r="AB94" s="317"/>
      <c r="AC94" s="317"/>
      <c r="AD94" s="317"/>
      <c r="AE94" s="317"/>
      <c r="AF94" s="317"/>
      <c r="AG94" s="309"/>
    </row>
    <row r="95" spans="1:33" ht="15.75" customHeight="1" x14ac:dyDescent="0.25">
      <c r="A95" s="317"/>
      <c r="B95" s="317"/>
      <c r="C95" s="317"/>
      <c r="D95" s="317"/>
      <c r="E95" s="317"/>
      <c r="F95" s="361"/>
      <c r="G95" s="366"/>
      <c r="H95" s="317"/>
      <c r="I95" s="317"/>
      <c r="J95" s="317"/>
      <c r="K95" s="317"/>
      <c r="L95" s="317"/>
      <c r="M95" s="317"/>
      <c r="N95" s="317"/>
      <c r="O95" s="317"/>
      <c r="P95" s="317"/>
      <c r="Q95" s="317"/>
      <c r="R95" s="317"/>
      <c r="S95" s="317"/>
      <c r="T95" s="317"/>
      <c r="U95" s="363"/>
      <c r="V95" s="363"/>
      <c r="W95" s="317"/>
      <c r="X95" s="317"/>
      <c r="Y95" s="317"/>
      <c r="Z95" s="317"/>
      <c r="AA95" s="317"/>
      <c r="AB95" s="317"/>
      <c r="AC95" s="317"/>
      <c r="AD95" s="317"/>
      <c r="AE95" s="317"/>
      <c r="AF95" s="317"/>
      <c r="AG95" s="309"/>
    </row>
    <row r="96" spans="1:33" ht="15.75" customHeight="1" x14ac:dyDescent="0.25">
      <c r="A96" s="317"/>
      <c r="B96" s="317"/>
      <c r="C96" s="317"/>
      <c r="D96" s="317"/>
      <c r="E96" s="317"/>
      <c r="F96" s="361"/>
      <c r="G96" s="366"/>
      <c r="H96" s="317"/>
      <c r="I96" s="317"/>
      <c r="J96" s="317"/>
      <c r="K96" s="317"/>
      <c r="L96" s="317"/>
      <c r="M96" s="317"/>
      <c r="N96" s="317"/>
      <c r="O96" s="317"/>
      <c r="P96" s="317"/>
      <c r="Q96" s="317"/>
      <c r="R96" s="317"/>
      <c r="S96" s="317"/>
      <c r="T96" s="317"/>
      <c r="U96" s="363"/>
      <c r="V96" s="363"/>
      <c r="W96" s="317"/>
      <c r="X96" s="317"/>
      <c r="Y96" s="317"/>
      <c r="Z96" s="317"/>
      <c r="AA96" s="317"/>
      <c r="AB96" s="317"/>
      <c r="AC96" s="317"/>
      <c r="AD96" s="317"/>
      <c r="AE96" s="317"/>
      <c r="AF96" s="317"/>
      <c r="AG96" s="309"/>
    </row>
    <row r="97" spans="1:33" ht="15.75" customHeight="1" x14ac:dyDescent="0.25">
      <c r="A97" s="317"/>
      <c r="B97" s="317"/>
      <c r="C97" s="317"/>
      <c r="D97" s="317"/>
      <c r="E97" s="317"/>
      <c r="F97" s="361"/>
      <c r="G97" s="366"/>
      <c r="H97" s="317"/>
      <c r="I97" s="317"/>
      <c r="J97" s="317"/>
      <c r="K97" s="317"/>
      <c r="L97" s="317"/>
      <c r="M97" s="317"/>
      <c r="N97" s="317"/>
      <c r="O97" s="317"/>
      <c r="P97" s="317"/>
      <c r="Q97" s="317"/>
      <c r="R97" s="317"/>
      <c r="S97" s="317"/>
      <c r="T97" s="317"/>
      <c r="U97" s="363"/>
      <c r="V97" s="363"/>
      <c r="W97" s="317"/>
      <c r="X97" s="317"/>
      <c r="Y97" s="317"/>
      <c r="Z97" s="317"/>
      <c r="AA97" s="317"/>
      <c r="AB97" s="317"/>
      <c r="AC97" s="317"/>
      <c r="AD97" s="317"/>
      <c r="AE97" s="317"/>
      <c r="AF97" s="317"/>
      <c r="AG97" s="309"/>
    </row>
    <row r="98" spans="1:33" ht="15.75" customHeight="1" x14ac:dyDescent="0.25">
      <c r="A98" s="317"/>
      <c r="B98" s="317"/>
      <c r="C98" s="317"/>
      <c r="D98" s="317"/>
      <c r="E98" s="317"/>
      <c r="F98" s="361"/>
      <c r="G98" s="366"/>
      <c r="H98" s="317"/>
      <c r="I98" s="317"/>
      <c r="J98" s="317"/>
      <c r="K98" s="317"/>
      <c r="L98" s="317"/>
      <c r="M98" s="317"/>
      <c r="N98" s="317"/>
      <c r="O98" s="317"/>
      <c r="P98" s="317"/>
      <c r="Q98" s="317"/>
      <c r="R98" s="317"/>
      <c r="S98" s="317"/>
      <c r="T98" s="317"/>
      <c r="U98" s="363"/>
      <c r="V98" s="363"/>
      <c r="W98" s="317"/>
      <c r="X98" s="317"/>
      <c r="Y98" s="317"/>
      <c r="Z98" s="317"/>
      <c r="AA98" s="317"/>
      <c r="AB98" s="317"/>
      <c r="AC98" s="317"/>
      <c r="AD98" s="317"/>
      <c r="AE98" s="317"/>
      <c r="AF98" s="317"/>
      <c r="AG98" s="309"/>
    </row>
    <row r="99" spans="1:33" ht="15.75" customHeight="1" x14ac:dyDescent="0.25">
      <c r="A99" s="317"/>
      <c r="B99" s="317"/>
      <c r="C99" s="317"/>
      <c r="D99" s="317"/>
      <c r="E99" s="317"/>
      <c r="F99" s="361"/>
      <c r="G99" s="366"/>
      <c r="H99" s="317"/>
      <c r="I99" s="317"/>
      <c r="J99" s="317"/>
      <c r="K99" s="317"/>
      <c r="L99" s="317"/>
      <c r="M99" s="317"/>
      <c r="N99" s="317"/>
      <c r="O99" s="317"/>
      <c r="P99" s="317"/>
      <c r="Q99" s="317"/>
      <c r="R99" s="317"/>
      <c r="S99" s="317"/>
      <c r="T99" s="317"/>
      <c r="U99" s="363"/>
      <c r="V99" s="363"/>
      <c r="W99" s="317"/>
      <c r="X99" s="317"/>
      <c r="Y99" s="317"/>
      <c r="Z99" s="317"/>
      <c r="AA99" s="317"/>
      <c r="AB99" s="317"/>
      <c r="AC99" s="317"/>
      <c r="AD99" s="317"/>
      <c r="AE99" s="317"/>
      <c r="AF99" s="317"/>
      <c r="AG99" s="309"/>
    </row>
    <row r="100" spans="1:33" ht="15.75" customHeight="1" x14ac:dyDescent="0.25">
      <c r="A100" s="317"/>
      <c r="B100" s="317"/>
      <c r="C100" s="317"/>
      <c r="D100" s="317"/>
      <c r="E100" s="317"/>
      <c r="F100" s="361"/>
      <c r="G100" s="366"/>
      <c r="H100" s="317"/>
      <c r="I100" s="317"/>
      <c r="J100" s="317"/>
      <c r="K100" s="317"/>
      <c r="L100" s="317"/>
      <c r="M100" s="317"/>
      <c r="N100" s="317"/>
      <c r="O100" s="317"/>
      <c r="P100" s="317"/>
      <c r="Q100" s="317"/>
      <c r="R100" s="317"/>
      <c r="S100" s="317"/>
      <c r="T100" s="317"/>
      <c r="U100" s="363"/>
      <c r="V100" s="363"/>
      <c r="W100" s="317"/>
      <c r="X100" s="317"/>
      <c r="Y100" s="317"/>
      <c r="Z100" s="317"/>
      <c r="AA100" s="317"/>
      <c r="AB100" s="317"/>
      <c r="AC100" s="317"/>
      <c r="AD100" s="317"/>
      <c r="AE100" s="317"/>
      <c r="AF100" s="317"/>
      <c r="AG100" s="309"/>
    </row>
    <row r="101" spans="1:33" ht="15.75" customHeight="1" x14ac:dyDescent="0.25">
      <c r="A101" s="317"/>
      <c r="B101" s="317"/>
      <c r="C101" s="317"/>
      <c r="D101" s="317"/>
      <c r="E101" s="317"/>
      <c r="F101" s="361"/>
      <c r="G101" s="366"/>
      <c r="H101" s="317"/>
      <c r="I101" s="317"/>
      <c r="J101" s="317"/>
      <c r="K101" s="317"/>
      <c r="L101" s="317"/>
      <c r="M101" s="317"/>
      <c r="N101" s="317"/>
      <c r="O101" s="317"/>
      <c r="P101" s="317"/>
      <c r="Q101" s="317"/>
      <c r="R101" s="317"/>
      <c r="S101" s="317"/>
      <c r="T101" s="317"/>
      <c r="U101" s="363"/>
      <c r="V101" s="363"/>
      <c r="W101" s="317"/>
      <c r="X101" s="317"/>
      <c r="Y101" s="317"/>
      <c r="Z101" s="317"/>
      <c r="AA101" s="317"/>
      <c r="AB101" s="317"/>
      <c r="AC101" s="317"/>
      <c r="AD101" s="317"/>
      <c r="AE101" s="317"/>
      <c r="AF101" s="317"/>
      <c r="AG101" s="309"/>
    </row>
    <row r="102" spans="1:33" ht="15.75" customHeight="1" x14ac:dyDescent="0.25">
      <c r="A102" s="317"/>
      <c r="B102" s="317"/>
      <c r="C102" s="317"/>
      <c r="D102" s="317"/>
      <c r="E102" s="317"/>
      <c r="F102" s="361"/>
      <c r="G102" s="366"/>
      <c r="H102" s="317"/>
      <c r="I102" s="317"/>
      <c r="J102" s="317"/>
      <c r="K102" s="317"/>
      <c r="L102" s="317"/>
      <c r="M102" s="317"/>
      <c r="N102" s="317"/>
      <c r="O102" s="317"/>
      <c r="P102" s="317"/>
      <c r="Q102" s="317"/>
      <c r="R102" s="317"/>
      <c r="S102" s="317"/>
      <c r="T102" s="317"/>
      <c r="U102" s="363"/>
      <c r="V102" s="363"/>
      <c r="W102" s="317"/>
      <c r="X102" s="317"/>
      <c r="Y102" s="317"/>
      <c r="Z102" s="317"/>
      <c r="AA102" s="317"/>
      <c r="AB102" s="317"/>
      <c r="AC102" s="317"/>
      <c r="AD102" s="317"/>
      <c r="AE102" s="317"/>
      <c r="AF102" s="317"/>
      <c r="AG102" s="309"/>
    </row>
    <row r="103" spans="1:33" ht="15.75" customHeight="1" x14ac:dyDescent="0.25">
      <c r="A103" s="317"/>
      <c r="B103" s="317"/>
      <c r="C103" s="317"/>
      <c r="D103" s="317"/>
      <c r="E103" s="317"/>
      <c r="F103" s="361"/>
      <c r="G103" s="366"/>
      <c r="H103" s="317"/>
      <c r="I103" s="317"/>
      <c r="J103" s="317"/>
      <c r="K103" s="317"/>
      <c r="L103" s="317"/>
      <c r="M103" s="317"/>
      <c r="N103" s="317"/>
      <c r="O103" s="317"/>
      <c r="P103" s="317"/>
      <c r="Q103" s="317"/>
      <c r="R103" s="317"/>
      <c r="S103" s="317"/>
      <c r="T103" s="317"/>
      <c r="U103" s="363"/>
      <c r="V103" s="363"/>
      <c r="W103" s="317"/>
      <c r="X103" s="317"/>
      <c r="Y103" s="317"/>
      <c r="Z103" s="317"/>
      <c r="AA103" s="317"/>
      <c r="AB103" s="317"/>
      <c r="AC103" s="317"/>
      <c r="AD103" s="317"/>
      <c r="AE103" s="317"/>
      <c r="AF103" s="317"/>
      <c r="AG103" s="309"/>
    </row>
    <row r="104" spans="1:33" ht="15.75" customHeight="1" x14ac:dyDescent="0.25">
      <c r="A104" s="317"/>
      <c r="B104" s="317"/>
      <c r="C104" s="317"/>
      <c r="D104" s="317"/>
      <c r="E104" s="317"/>
      <c r="F104" s="361"/>
      <c r="G104" s="366"/>
      <c r="H104" s="317"/>
      <c r="I104" s="317"/>
      <c r="J104" s="317"/>
      <c r="K104" s="317"/>
      <c r="L104" s="317"/>
      <c r="M104" s="317"/>
      <c r="N104" s="317"/>
      <c r="O104" s="317"/>
      <c r="P104" s="317"/>
      <c r="Q104" s="317"/>
      <c r="R104" s="317"/>
      <c r="S104" s="317"/>
      <c r="T104" s="317"/>
      <c r="U104" s="363"/>
      <c r="V104" s="363"/>
      <c r="W104" s="317"/>
      <c r="X104" s="317"/>
      <c r="Y104" s="317"/>
      <c r="Z104" s="317"/>
      <c r="AA104" s="317"/>
      <c r="AB104" s="317"/>
      <c r="AC104" s="317"/>
      <c r="AD104" s="317"/>
      <c r="AE104" s="317"/>
      <c r="AF104" s="317"/>
      <c r="AG104" s="309"/>
    </row>
    <row r="105" spans="1:33" ht="15.75" customHeight="1" x14ac:dyDescent="0.25">
      <c r="A105" s="317"/>
      <c r="B105" s="317"/>
      <c r="C105" s="317"/>
      <c r="D105" s="317"/>
      <c r="E105" s="317"/>
      <c r="F105" s="361"/>
      <c r="G105" s="366"/>
      <c r="H105" s="317"/>
      <c r="I105" s="317"/>
      <c r="J105" s="317"/>
      <c r="K105" s="317"/>
      <c r="L105" s="317"/>
      <c r="M105" s="317"/>
      <c r="N105" s="317"/>
      <c r="O105" s="317"/>
      <c r="P105" s="317"/>
      <c r="Q105" s="317"/>
      <c r="R105" s="317"/>
      <c r="S105" s="317"/>
      <c r="T105" s="317"/>
      <c r="U105" s="363"/>
      <c r="V105" s="363"/>
      <c r="W105" s="317"/>
      <c r="X105" s="317"/>
      <c r="Y105" s="317"/>
      <c r="Z105" s="317"/>
      <c r="AA105" s="317"/>
      <c r="AB105" s="317"/>
      <c r="AC105" s="317"/>
      <c r="AD105" s="317"/>
      <c r="AE105" s="317"/>
      <c r="AF105" s="317"/>
      <c r="AG105" s="309"/>
    </row>
    <row r="106" spans="1:33" ht="15.75" customHeight="1" x14ac:dyDescent="0.25">
      <c r="A106" s="317"/>
      <c r="B106" s="317"/>
      <c r="C106" s="317"/>
      <c r="D106" s="317"/>
      <c r="E106" s="317"/>
      <c r="F106" s="361"/>
      <c r="G106" s="366"/>
      <c r="H106" s="317"/>
      <c r="I106" s="317"/>
      <c r="J106" s="317"/>
      <c r="K106" s="317"/>
      <c r="L106" s="317"/>
      <c r="M106" s="317"/>
      <c r="N106" s="317"/>
      <c r="O106" s="317"/>
      <c r="P106" s="317"/>
      <c r="Q106" s="317"/>
      <c r="R106" s="317"/>
      <c r="S106" s="317"/>
      <c r="T106" s="317"/>
      <c r="U106" s="363"/>
      <c r="V106" s="363"/>
      <c r="W106" s="317"/>
      <c r="X106" s="317"/>
      <c r="Y106" s="317"/>
      <c r="Z106" s="317"/>
      <c r="AA106" s="317"/>
      <c r="AB106" s="317"/>
      <c r="AC106" s="317"/>
      <c r="AD106" s="317"/>
      <c r="AE106" s="317"/>
      <c r="AF106" s="317"/>
      <c r="AG106" s="309"/>
    </row>
    <row r="107" spans="1:33" ht="15.75" customHeight="1" x14ac:dyDescent="0.25">
      <c r="A107" s="317"/>
      <c r="B107" s="317"/>
      <c r="C107" s="317"/>
      <c r="D107" s="317"/>
      <c r="E107" s="317"/>
      <c r="F107" s="361"/>
      <c r="G107" s="366"/>
      <c r="H107" s="317"/>
      <c r="I107" s="317"/>
      <c r="J107" s="317"/>
      <c r="K107" s="317"/>
      <c r="L107" s="317"/>
      <c r="M107" s="317"/>
      <c r="N107" s="317"/>
      <c r="O107" s="317"/>
      <c r="P107" s="317"/>
      <c r="Q107" s="317"/>
      <c r="R107" s="317"/>
      <c r="S107" s="317"/>
      <c r="T107" s="317"/>
      <c r="U107" s="363"/>
      <c r="V107" s="363"/>
      <c r="W107" s="317"/>
      <c r="X107" s="317"/>
      <c r="Y107" s="317"/>
      <c r="Z107" s="317"/>
      <c r="AA107" s="317"/>
      <c r="AB107" s="317"/>
      <c r="AC107" s="317"/>
      <c r="AD107" s="317"/>
      <c r="AE107" s="317"/>
      <c r="AF107" s="317"/>
      <c r="AG107" s="309"/>
    </row>
    <row r="108" spans="1:33" ht="15.75" customHeight="1" x14ac:dyDescent="0.25">
      <c r="A108" s="317"/>
      <c r="B108" s="317"/>
      <c r="C108" s="317"/>
      <c r="D108" s="317"/>
      <c r="E108" s="317"/>
      <c r="F108" s="361"/>
      <c r="G108" s="366"/>
      <c r="H108" s="317"/>
      <c r="I108" s="317"/>
      <c r="J108" s="317"/>
      <c r="K108" s="317"/>
      <c r="L108" s="317"/>
      <c r="M108" s="317"/>
      <c r="N108" s="317"/>
      <c r="O108" s="317"/>
      <c r="P108" s="317"/>
      <c r="Q108" s="317"/>
      <c r="R108" s="317"/>
      <c r="S108" s="317"/>
      <c r="T108" s="317"/>
      <c r="U108" s="363"/>
      <c r="V108" s="363"/>
      <c r="W108" s="317"/>
      <c r="X108" s="317"/>
      <c r="Y108" s="317"/>
      <c r="Z108" s="317"/>
      <c r="AA108" s="317"/>
      <c r="AB108" s="317"/>
      <c r="AC108" s="317"/>
      <c r="AD108" s="317"/>
      <c r="AE108" s="317"/>
      <c r="AF108" s="317"/>
      <c r="AG108" s="309"/>
    </row>
    <row r="109" spans="1:33" ht="15.75" customHeight="1" x14ac:dyDescent="0.25">
      <c r="A109" s="317"/>
      <c r="B109" s="317"/>
      <c r="C109" s="317"/>
      <c r="D109" s="317"/>
      <c r="E109" s="317"/>
      <c r="F109" s="361"/>
      <c r="G109" s="366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63"/>
      <c r="V109" s="363"/>
      <c r="W109" s="317"/>
      <c r="X109" s="317"/>
      <c r="Y109" s="317"/>
      <c r="Z109" s="317"/>
      <c r="AA109" s="317"/>
      <c r="AB109" s="317"/>
      <c r="AC109" s="317"/>
      <c r="AD109" s="317"/>
      <c r="AE109" s="317"/>
      <c r="AF109" s="317"/>
      <c r="AG109" s="309"/>
    </row>
    <row r="110" spans="1:33" ht="15.75" customHeight="1" x14ac:dyDescent="0.25">
      <c r="A110" s="317"/>
      <c r="B110" s="317"/>
      <c r="C110" s="317"/>
      <c r="D110" s="317"/>
      <c r="E110" s="317"/>
      <c r="F110" s="361"/>
      <c r="G110" s="366"/>
      <c r="H110" s="317"/>
      <c r="I110" s="317"/>
      <c r="J110" s="317"/>
      <c r="K110" s="317"/>
      <c r="L110" s="317"/>
      <c r="M110" s="317"/>
      <c r="N110" s="317"/>
      <c r="O110" s="317"/>
      <c r="P110" s="317"/>
      <c r="Q110" s="317"/>
      <c r="R110" s="317"/>
      <c r="S110" s="317"/>
      <c r="T110" s="317"/>
      <c r="U110" s="363"/>
      <c r="V110" s="363"/>
      <c r="W110" s="317"/>
      <c r="X110" s="317"/>
      <c r="Y110" s="317"/>
      <c r="Z110" s="317"/>
      <c r="AA110" s="317"/>
      <c r="AB110" s="317"/>
      <c r="AC110" s="317"/>
      <c r="AD110" s="317"/>
      <c r="AE110" s="317"/>
      <c r="AF110" s="317"/>
      <c r="AG110" s="309"/>
    </row>
    <row r="111" spans="1:33" ht="15.75" customHeight="1" x14ac:dyDescent="0.25">
      <c r="A111" s="317"/>
      <c r="B111" s="317"/>
      <c r="C111" s="317"/>
      <c r="D111" s="317"/>
      <c r="E111" s="317"/>
      <c r="F111" s="361"/>
      <c r="G111" s="366"/>
      <c r="H111" s="317"/>
      <c r="I111" s="317"/>
      <c r="J111" s="317"/>
      <c r="K111" s="317"/>
      <c r="L111" s="317"/>
      <c r="M111" s="317"/>
      <c r="N111" s="317"/>
      <c r="O111" s="317"/>
      <c r="P111" s="317"/>
      <c r="Q111" s="317"/>
      <c r="R111" s="317"/>
      <c r="S111" s="317"/>
      <c r="T111" s="317"/>
      <c r="U111" s="363"/>
      <c r="V111" s="363"/>
      <c r="W111" s="317"/>
      <c r="X111" s="317"/>
      <c r="Y111" s="317"/>
      <c r="Z111" s="317"/>
      <c r="AA111" s="317"/>
      <c r="AB111" s="317"/>
      <c r="AC111" s="317"/>
      <c r="AD111" s="317"/>
      <c r="AE111" s="317"/>
      <c r="AF111" s="317"/>
      <c r="AG111" s="309"/>
    </row>
    <row r="112" spans="1:33" ht="15.75" customHeight="1" x14ac:dyDescent="0.25">
      <c r="A112" s="317"/>
      <c r="B112" s="317"/>
      <c r="C112" s="317"/>
      <c r="D112" s="317"/>
      <c r="E112" s="317"/>
      <c r="F112" s="361"/>
      <c r="G112" s="366"/>
      <c r="H112" s="317"/>
      <c r="I112" s="317"/>
      <c r="J112" s="317"/>
      <c r="K112" s="317"/>
      <c r="L112" s="317"/>
      <c r="M112" s="317"/>
      <c r="N112" s="317"/>
      <c r="O112" s="317"/>
      <c r="P112" s="317"/>
      <c r="Q112" s="317"/>
      <c r="R112" s="317"/>
      <c r="S112" s="317"/>
      <c r="T112" s="317"/>
      <c r="U112" s="363"/>
      <c r="V112" s="363"/>
      <c r="W112" s="317"/>
      <c r="X112" s="317"/>
      <c r="Y112" s="317"/>
      <c r="Z112" s="317"/>
      <c r="AA112" s="317"/>
      <c r="AB112" s="317"/>
      <c r="AC112" s="317"/>
      <c r="AD112" s="317"/>
      <c r="AE112" s="317"/>
      <c r="AF112" s="317"/>
      <c r="AG112" s="309"/>
    </row>
    <row r="113" spans="1:33" ht="15.75" customHeight="1" x14ac:dyDescent="0.25">
      <c r="A113" s="317"/>
      <c r="B113" s="317"/>
      <c r="C113" s="317"/>
      <c r="D113" s="317"/>
      <c r="E113" s="317"/>
      <c r="F113" s="361"/>
      <c r="G113" s="366"/>
      <c r="H113" s="317"/>
      <c r="I113" s="317"/>
      <c r="J113" s="317"/>
      <c r="K113" s="317"/>
      <c r="L113" s="317"/>
      <c r="M113" s="317"/>
      <c r="N113" s="317"/>
      <c r="O113" s="317"/>
      <c r="P113" s="317"/>
      <c r="Q113" s="317"/>
      <c r="R113" s="317"/>
      <c r="S113" s="317"/>
      <c r="T113" s="317"/>
      <c r="U113" s="363"/>
      <c r="V113" s="363"/>
      <c r="W113" s="317"/>
      <c r="X113" s="317"/>
      <c r="Y113" s="317"/>
      <c r="Z113" s="317"/>
      <c r="AA113" s="317"/>
      <c r="AB113" s="317"/>
      <c r="AC113" s="317"/>
      <c r="AD113" s="317"/>
      <c r="AE113" s="317"/>
      <c r="AF113" s="317"/>
      <c r="AG113" s="309"/>
    </row>
    <row r="114" spans="1:33" ht="15.75" customHeight="1" x14ac:dyDescent="0.25">
      <c r="A114" s="317"/>
      <c r="B114" s="317"/>
      <c r="C114" s="317"/>
      <c r="D114" s="317"/>
      <c r="E114" s="317"/>
      <c r="F114" s="361"/>
      <c r="G114" s="366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63"/>
      <c r="V114" s="363"/>
      <c r="W114" s="317"/>
      <c r="X114" s="317"/>
      <c r="Y114" s="317"/>
      <c r="Z114" s="317"/>
      <c r="AA114" s="317"/>
      <c r="AB114" s="317"/>
      <c r="AC114" s="317"/>
      <c r="AD114" s="317"/>
      <c r="AE114" s="317"/>
      <c r="AF114" s="317"/>
      <c r="AG114" s="309"/>
    </row>
    <row r="115" spans="1:33" ht="15.75" customHeight="1" x14ac:dyDescent="0.25">
      <c r="A115" s="317"/>
      <c r="B115" s="317"/>
      <c r="C115" s="317"/>
      <c r="D115" s="317"/>
      <c r="E115" s="317"/>
      <c r="F115" s="361"/>
      <c r="G115" s="366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63"/>
      <c r="V115" s="363"/>
      <c r="W115" s="317"/>
      <c r="X115" s="317"/>
      <c r="Y115" s="317"/>
      <c r="Z115" s="317"/>
      <c r="AA115" s="317"/>
      <c r="AB115" s="317"/>
      <c r="AC115" s="317"/>
      <c r="AD115" s="317"/>
      <c r="AE115" s="317"/>
      <c r="AF115" s="317"/>
      <c r="AG115" s="309"/>
    </row>
    <row r="116" spans="1:33" ht="15.75" customHeight="1" x14ac:dyDescent="0.25">
      <c r="A116" s="317"/>
      <c r="B116" s="317"/>
      <c r="C116" s="317"/>
      <c r="D116" s="317"/>
      <c r="E116" s="317"/>
      <c r="F116" s="361"/>
      <c r="G116" s="366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63"/>
      <c r="V116" s="363"/>
      <c r="W116" s="317"/>
      <c r="X116" s="317"/>
      <c r="Y116" s="317"/>
      <c r="Z116" s="317"/>
      <c r="AA116" s="317"/>
      <c r="AB116" s="317"/>
      <c r="AC116" s="317"/>
      <c r="AD116" s="317"/>
      <c r="AE116" s="317"/>
      <c r="AF116" s="317"/>
      <c r="AG116" s="309"/>
    </row>
    <row r="117" spans="1:33" ht="15.75" customHeight="1" x14ac:dyDescent="0.25">
      <c r="A117" s="317"/>
      <c r="B117" s="317"/>
      <c r="C117" s="317"/>
      <c r="D117" s="317"/>
      <c r="E117" s="317"/>
      <c r="F117" s="361"/>
      <c r="G117" s="366"/>
      <c r="H117" s="317"/>
      <c r="I117" s="317"/>
      <c r="J117" s="317"/>
      <c r="K117" s="317"/>
      <c r="L117" s="317"/>
      <c r="M117" s="317"/>
      <c r="N117" s="317"/>
      <c r="O117" s="317"/>
      <c r="P117" s="317"/>
      <c r="Q117" s="317"/>
      <c r="R117" s="317"/>
      <c r="S117" s="317"/>
      <c r="T117" s="317"/>
      <c r="U117" s="363"/>
      <c r="V117" s="363"/>
      <c r="W117" s="317"/>
      <c r="X117" s="317"/>
      <c r="Y117" s="317"/>
      <c r="Z117" s="317"/>
      <c r="AA117" s="317"/>
      <c r="AB117" s="317"/>
      <c r="AC117" s="317"/>
      <c r="AD117" s="317"/>
      <c r="AE117" s="317"/>
      <c r="AF117" s="317"/>
      <c r="AG117" s="309"/>
    </row>
    <row r="118" spans="1:33" ht="15.75" customHeight="1" x14ac:dyDescent="0.25">
      <c r="A118" s="317"/>
      <c r="B118" s="317"/>
      <c r="C118" s="317"/>
      <c r="D118" s="317"/>
      <c r="E118" s="317"/>
      <c r="F118" s="361"/>
      <c r="G118" s="366"/>
      <c r="H118" s="317"/>
      <c r="I118" s="317"/>
      <c r="J118" s="317"/>
      <c r="K118" s="317"/>
      <c r="L118" s="317"/>
      <c r="M118" s="317"/>
      <c r="N118" s="317"/>
      <c r="O118" s="317"/>
      <c r="P118" s="317"/>
      <c r="Q118" s="317"/>
      <c r="R118" s="317"/>
      <c r="S118" s="317"/>
      <c r="T118" s="317"/>
      <c r="U118" s="363"/>
      <c r="V118" s="363"/>
      <c r="W118" s="317"/>
      <c r="X118" s="317"/>
      <c r="Y118" s="317"/>
      <c r="Z118" s="317"/>
      <c r="AA118" s="317"/>
      <c r="AB118" s="317"/>
      <c r="AC118" s="317"/>
      <c r="AD118" s="317"/>
      <c r="AE118" s="317"/>
      <c r="AF118" s="317"/>
      <c r="AG118" s="309"/>
    </row>
    <row r="119" spans="1:33" ht="15.75" customHeight="1" x14ac:dyDescent="0.25">
      <c r="A119" s="317"/>
      <c r="B119" s="317"/>
      <c r="C119" s="317"/>
      <c r="D119" s="317"/>
      <c r="E119" s="317"/>
      <c r="F119" s="361"/>
      <c r="G119" s="366"/>
      <c r="H119" s="317"/>
      <c r="I119" s="317"/>
      <c r="J119" s="317"/>
      <c r="K119" s="317"/>
      <c r="L119" s="317"/>
      <c r="M119" s="317"/>
      <c r="N119" s="317"/>
      <c r="O119" s="317"/>
      <c r="P119" s="317"/>
      <c r="Q119" s="317"/>
      <c r="R119" s="317"/>
      <c r="S119" s="317"/>
      <c r="T119" s="317"/>
      <c r="U119" s="363"/>
      <c r="V119" s="363"/>
      <c r="W119" s="317"/>
      <c r="X119" s="317"/>
      <c r="Y119" s="317"/>
      <c r="Z119" s="317"/>
      <c r="AA119" s="317"/>
      <c r="AB119" s="317"/>
      <c r="AC119" s="317"/>
      <c r="AD119" s="317"/>
      <c r="AE119" s="317"/>
      <c r="AF119" s="317"/>
      <c r="AG119" s="309"/>
    </row>
    <row r="120" spans="1:33" ht="15.75" customHeight="1" x14ac:dyDescent="0.25">
      <c r="A120" s="317"/>
      <c r="B120" s="317"/>
      <c r="C120" s="317"/>
      <c r="D120" s="317"/>
      <c r="E120" s="317"/>
      <c r="F120" s="361"/>
      <c r="G120" s="366"/>
      <c r="H120" s="317"/>
      <c r="I120" s="317"/>
      <c r="J120" s="317"/>
      <c r="K120" s="317"/>
      <c r="L120" s="317"/>
      <c r="M120" s="317"/>
      <c r="N120" s="317"/>
      <c r="O120" s="317"/>
      <c r="P120" s="317"/>
      <c r="Q120" s="317"/>
      <c r="R120" s="317"/>
      <c r="S120" s="317"/>
      <c r="T120" s="317"/>
      <c r="U120" s="363"/>
      <c r="V120" s="363"/>
      <c r="W120" s="317"/>
      <c r="X120" s="317"/>
      <c r="Y120" s="317"/>
      <c r="Z120" s="317"/>
      <c r="AA120" s="317"/>
      <c r="AB120" s="317"/>
      <c r="AC120" s="317"/>
      <c r="AD120" s="317"/>
      <c r="AE120" s="317"/>
      <c r="AF120" s="317"/>
      <c r="AG120" s="309"/>
    </row>
    <row r="121" spans="1:33" ht="15.75" customHeight="1" x14ac:dyDescent="0.25">
      <c r="A121" s="317"/>
      <c r="B121" s="317"/>
      <c r="C121" s="317"/>
      <c r="D121" s="317"/>
      <c r="E121" s="317"/>
      <c r="F121" s="361"/>
      <c r="G121" s="366"/>
      <c r="H121" s="317"/>
      <c r="I121" s="317"/>
      <c r="J121" s="317"/>
      <c r="K121" s="317"/>
      <c r="L121" s="317"/>
      <c r="M121" s="317"/>
      <c r="N121" s="317"/>
      <c r="O121" s="317"/>
      <c r="P121" s="317"/>
      <c r="Q121" s="317"/>
      <c r="R121" s="317"/>
      <c r="S121" s="317"/>
      <c r="T121" s="317"/>
      <c r="U121" s="363"/>
      <c r="V121" s="363"/>
      <c r="W121" s="317"/>
      <c r="X121" s="317"/>
      <c r="Y121" s="317"/>
      <c r="Z121" s="317"/>
      <c r="AA121" s="317"/>
      <c r="AB121" s="317"/>
      <c r="AC121" s="317"/>
      <c r="AD121" s="317"/>
      <c r="AE121" s="317"/>
      <c r="AF121" s="317"/>
      <c r="AG121" s="309"/>
    </row>
    <row r="122" spans="1:33" ht="15.75" customHeight="1" x14ac:dyDescent="0.25">
      <c r="A122" s="317"/>
      <c r="B122" s="317"/>
      <c r="C122" s="317"/>
      <c r="D122" s="317"/>
      <c r="E122" s="317"/>
      <c r="F122" s="361"/>
      <c r="G122" s="366"/>
      <c r="H122" s="317"/>
      <c r="I122" s="317"/>
      <c r="J122" s="317"/>
      <c r="K122" s="317"/>
      <c r="L122" s="317"/>
      <c r="M122" s="317"/>
      <c r="N122" s="317"/>
      <c r="O122" s="317"/>
      <c r="P122" s="317"/>
      <c r="Q122" s="317"/>
      <c r="R122" s="317"/>
      <c r="S122" s="317"/>
      <c r="T122" s="317"/>
      <c r="U122" s="363"/>
      <c r="V122" s="363"/>
      <c r="W122" s="317"/>
      <c r="X122" s="317"/>
      <c r="Y122" s="317"/>
      <c r="Z122" s="317"/>
      <c r="AA122" s="317"/>
      <c r="AB122" s="317"/>
      <c r="AC122" s="317"/>
      <c r="AD122" s="317"/>
      <c r="AE122" s="317"/>
      <c r="AF122" s="317"/>
      <c r="AG122" s="309"/>
    </row>
    <row r="123" spans="1:33" ht="15.75" customHeight="1" x14ac:dyDescent="0.25">
      <c r="A123" s="317"/>
      <c r="B123" s="317"/>
      <c r="C123" s="317"/>
      <c r="D123" s="317"/>
      <c r="E123" s="317"/>
      <c r="F123" s="361"/>
      <c r="G123" s="366"/>
      <c r="H123" s="317"/>
      <c r="I123" s="317"/>
      <c r="J123" s="317"/>
      <c r="K123" s="317"/>
      <c r="L123" s="317"/>
      <c r="M123" s="317"/>
      <c r="N123" s="317"/>
      <c r="O123" s="317"/>
      <c r="P123" s="317"/>
      <c r="Q123" s="317"/>
      <c r="R123" s="317"/>
      <c r="S123" s="317"/>
      <c r="T123" s="317"/>
      <c r="U123" s="363"/>
      <c r="V123" s="363"/>
      <c r="W123" s="317"/>
      <c r="X123" s="317"/>
      <c r="Y123" s="317"/>
      <c r="Z123" s="317"/>
      <c r="AA123" s="317"/>
      <c r="AB123" s="317"/>
      <c r="AC123" s="317"/>
      <c r="AD123" s="317"/>
      <c r="AE123" s="317"/>
      <c r="AF123" s="317"/>
      <c r="AG123" s="309"/>
    </row>
    <row r="124" spans="1:33" ht="15.75" customHeight="1" x14ac:dyDescent="0.25">
      <c r="A124" s="317"/>
      <c r="B124" s="317"/>
      <c r="C124" s="317"/>
      <c r="D124" s="317"/>
      <c r="E124" s="317"/>
      <c r="F124" s="361"/>
      <c r="G124" s="366"/>
      <c r="H124" s="317"/>
      <c r="I124" s="317"/>
      <c r="J124" s="317"/>
      <c r="K124" s="317"/>
      <c r="L124" s="317"/>
      <c r="M124" s="317"/>
      <c r="N124" s="317"/>
      <c r="O124" s="317"/>
      <c r="P124" s="317"/>
      <c r="Q124" s="317"/>
      <c r="R124" s="317"/>
      <c r="S124" s="317"/>
      <c r="T124" s="317"/>
      <c r="U124" s="363"/>
      <c r="V124" s="363"/>
      <c r="W124" s="317"/>
      <c r="X124" s="317"/>
      <c r="Y124" s="317"/>
      <c r="Z124" s="317"/>
      <c r="AA124" s="317"/>
      <c r="AB124" s="317"/>
      <c r="AC124" s="317"/>
      <c r="AD124" s="317"/>
      <c r="AE124" s="317"/>
      <c r="AF124" s="317"/>
      <c r="AG124" s="309"/>
    </row>
    <row r="125" spans="1:33" ht="15.75" customHeight="1" x14ac:dyDescent="0.25">
      <c r="A125" s="317"/>
      <c r="B125" s="317"/>
      <c r="C125" s="317"/>
      <c r="D125" s="317"/>
      <c r="E125" s="317"/>
      <c r="F125" s="361"/>
      <c r="G125" s="366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63"/>
      <c r="V125" s="363"/>
      <c r="W125" s="317"/>
      <c r="X125" s="317"/>
      <c r="Y125" s="317"/>
      <c r="Z125" s="317"/>
      <c r="AA125" s="317"/>
      <c r="AB125" s="317"/>
      <c r="AC125" s="317"/>
      <c r="AD125" s="317"/>
      <c r="AE125" s="317"/>
      <c r="AF125" s="317"/>
      <c r="AG125" s="309"/>
    </row>
    <row r="126" spans="1:33" ht="15.75" customHeight="1" x14ac:dyDescent="0.25">
      <c r="A126" s="317"/>
      <c r="B126" s="317"/>
      <c r="C126" s="317"/>
      <c r="D126" s="317"/>
      <c r="E126" s="317"/>
      <c r="F126" s="361"/>
      <c r="G126" s="366"/>
      <c r="H126" s="317"/>
      <c r="I126" s="317"/>
      <c r="J126" s="317"/>
      <c r="K126" s="317"/>
      <c r="L126" s="317"/>
      <c r="M126" s="317"/>
      <c r="N126" s="317"/>
      <c r="O126" s="317"/>
      <c r="P126" s="317"/>
      <c r="Q126" s="317"/>
      <c r="R126" s="317"/>
      <c r="S126" s="317"/>
      <c r="T126" s="317"/>
      <c r="U126" s="363"/>
      <c r="V126" s="363"/>
      <c r="W126" s="317"/>
      <c r="X126" s="317"/>
      <c r="Y126" s="317"/>
      <c r="Z126" s="317"/>
      <c r="AA126" s="317"/>
      <c r="AB126" s="317"/>
      <c r="AC126" s="317"/>
      <c r="AD126" s="317"/>
      <c r="AE126" s="317"/>
      <c r="AF126" s="317"/>
      <c r="AG126" s="309"/>
    </row>
    <row r="127" spans="1:33" ht="15.75" customHeight="1" x14ac:dyDescent="0.25">
      <c r="A127" s="317"/>
      <c r="B127" s="317"/>
      <c r="C127" s="317"/>
      <c r="D127" s="317"/>
      <c r="E127" s="317"/>
      <c r="F127" s="361"/>
      <c r="G127" s="366"/>
      <c r="H127" s="317"/>
      <c r="I127" s="317"/>
      <c r="J127" s="317"/>
      <c r="K127" s="317"/>
      <c r="L127" s="317"/>
      <c r="M127" s="317"/>
      <c r="N127" s="317"/>
      <c r="O127" s="317"/>
      <c r="P127" s="317"/>
      <c r="Q127" s="317"/>
      <c r="R127" s="317"/>
      <c r="S127" s="317"/>
      <c r="T127" s="317"/>
      <c r="U127" s="363"/>
      <c r="V127" s="363"/>
      <c r="W127" s="317"/>
      <c r="X127" s="317"/>
      <c r="Y127" s="317"/>
      <c r="Z127" s="317"/>
      <c r="AA127" s="317"/>
      <c r="AB127" s="317"/>
      <c r="AC127" s="317"/>
      <c r="AD127" s="317"/>
      <c r="AE127" s="317"/>
      <c r="AF127" s="317"/>
      <c r="AG127" s="309"/>
    </row>
    <row r="128" spans="1:33" ht="15.75" customHeight="1" x14ac:dyDescent="0.25">
      <c r="A128" s="317"/>
      <c r="B128" s="317"/>
      <c r="C128" s="317"/>
      <c r="D128" s="317"/>
      <c r="E128" s="317"/>
      <c r="F128" s="361"/>
      <c r="G128" s="366"/>
      <c r="H128" s="317"/>
      <c r="I128" s="317"/>
      <c r="J128" s="317"/>
      <c r="K128" s="317"/>
      <c r="L128" s="317"/>
      <c r="M128" s="317"/>
      <c r="N128" s="317"/>
      <c r="O128" s="317"/>
      <c r="P128" s="317"/>
      <c r="Q128" s="317"/>
      <c r="R128" s="317"/>
      <c r="S128" s="317"/>
      <c r="T128" s="317"/>
      <c r="U128" s="363"/>
      <c r="V128" s="363"/>
      <c r="W128" s="317"/>
      <c r="X128" s="317"/>
      <c r="Y128" s="317"/>
      <c r="Z128" s="317"/>
      <c r="AA128" s="317"/>
      <c r="AB128" s="317"/>
      <c r="AC128" s="317"/>
      <c r="AD128" s="317"/>
      <c r="AE128" s="317"/>
      <c r="AF128" s="317"/>
      <c r="AG128" s="309"/>
    </row>
    <row r="129" spans="1:33" ht="15.75" customHeight="1" x14ac:dyDescent="0.25">
      <c r="A129" s="317"/>
      <c r="B129" s="317"/>
      <c r="C129" s="317"/>
      <c r="D129" s="317"/>
      <c r="E129" s="317"/>
      <c r="F129" s="361"/>
      <c r="G129" s="366"/>
      <c r="H129" s="317"/>
      <c r="I129" s="317"/>
      <c r="J129" s="317"/>
      <c r="K129" s="317"/>
      <c r="L129" s="317"/>
      <c r="M129" s="317"/>
      <c r="N129" s="317"/>
      <c r="O129" s="317"/>
      <c r="P129" s="317"/>
      <c r="Q129" s="317"/>
      <c r="R129" s="317"/>
      <c r="S129" s="317"/>
      <c r="T129" s="317"/>
      <c r="U129" s="363"/>
      <c r="V129" s="363"/>
      <c r="W129" s="317"/>
      <c r="X129" s="317"/>
      <c r="Y129" s="317"/>
      <c r="Z129" s="317"/>
      <c r="AA129" s="317"/>
      <c r="AB129" s="317"/>
      <c r="AC129" s="317"/>
      <c r="AD129" s="317"/>
      <c r="AE129" s="317"/>
      <c r="AF129" s="317"/>
      <c r="AG129" s="309"/>
    </row>
    <row r="130" spans="1:33" ht="15.75" customHeight="1" x14ac:dyDescent="0.25">
      <c r="A130" s="317"/>
      <c r="B130" s="317"/>
      <c r="C130" s="317"/>
      <c r="D130" s="317"/>
      <c r="E130" s="317"/>
      <c r="F130" s="361"/>
      <c r="G130" s="366"/>
      <c r="H130" s="317"/>
      <c r="I130" s="317"/>
      <c r="J130" s="317"/>
      <c r="K130" s="317"/>
      <c r="L130" s="317"/>
      <c r="M130" s="317"/>
      <c r="N130" s="317"/>
      <c r="O130" s="317"/>
      <c r="P130" s="317"/>
      <c r="Q130" s="317"/>
      <c r="R130" s="317"/>
      <c r="S130" s="317"/>
      <c r="T130" s="317"/>
      <c r="U130" s="363"/>
      <c r="V130" s="363"/>
      <c r="W130" s="317"/>
      <c r="X130" s="317"/>
      <c r="Y130" s="317"/>
      <c r="Z130" s="317"/>
      <c r="AA130" s="317"/>
      <c r="AB130" s="317"/>
      <c r="AC130" s="317"/>
      <c r="AD130" s="317"/>
      <c r="AE130" s="317"/>
      <c r="AF130" s="317"/>
      <c r="AG130" s="309"/>
    </row>
    <row r="131" spans="1:33" ht="15.75" customHeight="1" x14ac:dyDescent="0.25">
      <c r="A131" s="317"/>
      <c r="B131" s="317"/>
      <c r="C131" s="317"/>
      <c r="D131" s="317"/>
      <c r="E131" s="317"/>
      <c r="F131" s="361"/>
      <c r="G131" s="366"/>
      <c r="H131" s="317"/>
      <c r="I131" s="317"/>
      <c r="J131" s="317"/>
      <c r="K131" s="317"/>
      <c r="L131" s="317"/>
      <c r="M131" s="317"/>
      <c r="N131" s="317"/>
      <c r="O131" s="317"/>
      <c r="P131" s="317"/>
      <c r="Q131" s="317"/>
      <c r="R131" s="317"/>
      <c r="S131" s="317"/>
      <c r="T131" s="317"/>
      <c r="U131" s="363"/>
      <c r="V131" s="363"/>
      <c r="W131" s="317"/>
      <c r="X131" s="317"/>
      <c r="Y131" s="317"/>
      <c r="Z131" s="317"/>
      <c r="AA131" s="317"/>
      <c r="AB131" s="317"/>
      <c r="AC131" s="317"/>
      <c r="AD131" s="317"/>
      <c r="AE131" s="317"/>
      <c r="AF131" s="317"/>
      <c r="AG131" s="309"/>
    </row>
    <row r="132" spans="1:33" ht="15.75" customHeight="1" x14ac:dyDescent="0.25">
      <c r="A132" s="317"/>
      <c r="B132" s="317"/>
      <c r="C132" s="317"/>
      <c r="D132" s="317"/>
      <c r="E132" s="317"/>
      <c r="F132" s="361"/>
      <c r="G132" s="366"/>
      <c r="H132" s="317"/>
      <c r="I132" s="317"/>
      <c r="J132" s="317"/>
      <c r="K132" s="317"/>
      <c r="L132" s="317"/>
      <c r="M132" s="317"/>
      <c r="N132" s="317"/>
      <c r="O132" s="317"/>
      <c r="P132" s="317"/>
      <c r="Q132" s="317"/>
      <c r="R132" s="317"/>
      <c r="S132" s="317"/>
      <c r="T132" s="317"/>
      <c r="U132" s="363"/>
      <c r="V132" s="363"/>
      <c r="W132" s="317"/>
      <c r="X132" s="317"/>
      <c r="Y132" s="317"/>
      <c r="Z132" s="317"/>
      <c r="AA132" s="317"/>
      <c r="AB132" s="317"/>
      <c r="AC132" s="317"/>
      <c r="AD132" s="317"/>
      <c r="AE132" s="317"/>
      <c r="AF132" s="317"/>
      <c r="AG132" s="309"/>
    </row>
    <row r="133" spans="1:33" ht="15.75" customHeight="1" x14ac:dyDescent="0.25">
      <c r="A133" s="317"/>
      <c r="B133" s="317"/>
      <c r="C133" s="317"/>
      <c r="D133" s="317"/>
      <c r="E133" s="317"/>
      <c r="F133" s="361"/>
      <c r="G133" s="366"/>
      <c r="H133" s="317"/>
      <c r="I133" s="317"/>
      <c r="J133" s="317"/>
      <c r="K133" s="317"/>
      <c r="L133" s="317"/>
      <c r="M133" s="317"/>
      <c r="N133" s="317"/>
      <c r="O133" s="317"/>
      <c r="P133" s="317"/>
      <c r="Q133" s="317"/>
      <c r="R133" s="317"/>
      <c r="S133" s="317"/>
      <c r="T133" s="317"/>
      <c r="U133" s="363"/>
      <c r="V133" s="363"/>
      <c r="W133" s="317"/>
      <c r="X133" s="317"/>
      <c r="Y133" s="317"/>
      <c r="Z133" s="317"/>
      <c r="AA133" s="317"/>
      <c r="AB133" s="317"/>
      <c r="AC133" s="317"/>
      <c r="AD133" s="317"/>
      <c r="AE133" s="317"/>
      <c r="AF133" s="317"/>
      <c r="AG133" s="309"/>
    </row>
    <row r="134" spans="1:33" ht="15.75" customHeight="1" x14ac:dyDescent="0.25">
      <c r="A134" s="317"/>
      <c r="B134" s="317"/>
      <c r="C134" s="317"/>
      <c r="D134" s="317"/>
      <c r="E134" s="317"/>
      <c r="F134" s="361"/>
      <c r="G134" s="366"/>
      <c r="H134" s="317"/>
      <c r="I134" s="317"/>
      <c r="J134" s="317"/>
      <c r="K134" s="317"/>
      <c r="L134" s="317"/>
      <c r="M134" s="317"/>
      <c r="N134" s="317"/>
      <c r="O134" s="317"/>
      <c r="P134" s="317"/>
      <c r="Q134" s="317"/>
      <c r="R134" s="317"/>
      <c r="S134" s="317"/>
      <c r="T134" s="317"/>
      <c r="U134" s="363"/>
      <c r="V134" s="363"/>
      <c r="W134" s="317"/>
      <c r="X134" s="317"/>
      <c r="Y134" s="317"/>
      <c r="Z134" s="317"/>
      <c r="AA134" s="317"/>
      <c r="AB134" s="317"/>
      <c r="AC134" s="317"/>
      <c r="AD134" s="317"/>
      <c r="AE134" s="317"/>
      <c r="AF134" s="317"/>
      <c r="AG134" s="309"/>
    </row>
    <row r="135" spans="1:33" ht="15.75" customHeight="1" x14ac:dyDescent="0.25">
      <c r="A135" s="317"/>
      <c r="B135" s="317"/>
      <c r="C135" s="317"/>
      <c r="D135" s="317"/>
      <c r="E135" s="317"/>
      <c r="F135" s="361"/>
      <c r="G135" s="366"/>
      <c r="H135" s="317"/>
      <c r="I135" s="317"/>
      <c r="J135" s="317"/>
      <c r="K135" s="317"/>
      <c r="L135" s="317"/>
      <c r="M135" s="317"/>
      <c r="N135" s="317"/>
      <c r="O135" s="317"/>
      <c r="P135" s="317"/>
      <c r="Q135" s="317"/>
      <c r="R135" s="317"/>
      <c r="S135" s="317"/>
      <c r="T135" s="317"/>
      <c r="U135" s="363"/>
      <c r="V135" s="363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09"/>
    </row>
    <row r="136" spans="1:33" ht="15.75" customHeight="1" x14ac:dyDescent="0.25">
      <c r="A136" s="317"/>
      <c r="B136" s="317"/>
      <c r="C136" s="317"/>
      <c r="D136" s="317"/>
      <c r="E136" s="317"/>
      <c r="F136" s="361"/>
      <c r="G136" s="366"/>
      <c r="H136" s="317"/>
      <c r="I136" s="317"/>
      <c r="J136" s="317"/>
      <c r="K136" s="317"/>
      <c r="L136" s="317"/>
      <c r="M136" s="317"/>
      <c r="N136" s="317"/>
      <c r="O136" s="317"/>
      <c r="P136" s="317"/>
      <c r="Q136" s="317"/>
      <c r="R136" s="317"/>
      <c r="S136" s="317"/>
      <c r="T136" s="317"/>
      <c r="U136" s="363"/>
      <c r="V136" s="363"/>
      <c r="W136" s="317"/>
      <c r="X136" s="317"/>
      <c r="Y136" s="317"/>
      <c r="Z136" s="317"/>
      <c r="AA136" s="317"/>
      <c r="AB136" s="317"/>
      <c r="AC136" s="317"/>
      <c r="AD136" s="317"/>
      <c r="AE136" s="317"/>
      <c r="AF136" s="317"/>
      <c r="AG136" s="309"/>
    </row>
    <row r="137" spans="1:33" ht="15.75" customHeight="1" x14ac:dyDescent="0.25">
      <c r="A137" s="317"/>
      <c r="B137" s="317"/>
      <c r="C137" s="317"/>
      <c r="D137" s="317"/>
      <c r="E137" s="317"/>
      <c r="F137" s="361"/>
      <c r="G137" s="366"/>
      <c r="H137" s="317"/>
      <c r="I137" s="317"/>
      <c r="J137" s="317"/>
      <c r="K137" s="317"/>
      <c r="L137" s="317"/>
      <c r="M137" s="317"/>
      <c r="N137" s="317"/>
      <c r="O137" s="317"/>
      <c r="P137" s="317"/>
      <c r="Q137" s="317"/>
      <c r="R137" s="317"/>
      <c r="S137" s="317"/>
      <c r="T137" s="317"/>
      <c r="U137" s="363"/>
      <c r="V137" s="363"/>
      <c r="W137" s="317"/>
      <c r="X137" s="317"/>
      <c r="Y137" s="317"/>
      <c r="Z137" s="317"/>
      <c r="AA137" s="317"/>
      <c r="AB137" s="317"/>
      <c r="AC137" s="317"/>
      <c r="AD137" s="317"/>
      <c r="AE137" s="317"/>
      <c r="AF137" s="317"/>
      <c r="AG137" s="309"/>
    </row>
    <row r="138" spans="1:33" ht="15.75" customHeight="1" x14ac:dyDescent="0.25">
      <c r="A138" s="317"/>
      <c r="B138" s="317"/>
      <c r="C138" s="317"/>
      <c r="D138" s="317"/>
      <c r="E138" s="317"/>
      <c r="F138" s="361"/>
      <c r="G138" s="366"/>
      <c r="H138" s="317"/>
      <c r="I138" s="317"/>
      <c r="J138" s="317"/>
      <c r="K138" s="317"/>
      <c r="L138" s="317"/>
      <c r="M138" s="317"/>
      <c r="N138" s="317"/>
      <c r="O138" s="317"/>
      <c r="P138" s="317"/>
      <c r="Q138" s="317"/>
      <c r="R138" s="317"/>
      <c r="S138" s="317"/>
      <c r="T138" s="317"/>
      <c r="U138" s="363"/>
      <c r="V138" s="363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09"/>
    </row>
    <row r="139" spans="1:33" ht="15.75" customHeight="1" x14ac:dyDescent="0.25">
      <c r="A139" s="317"/>
      <c r="B139" s="317"/>
      <c r="C139" s="317"/>
      <c r="D139" s="317"/>
      <c r="E139" s="317"/>
      <c r="F139" s="361"/>
      <c r="G139" s="366"/>
      <c r="H139" s="317"/>
      <c r="I139" s="317"/>
      <c r="J139" s="317"/>
      <c r="K139" s="317"/>
      <c r="L139" s="317"/>
      <c r="M139" s="317"/>
      <c r="N139" s="317"/>
      <c r="O139" s="317"/>
      <c r="P139" s="317"/>
      <c r="Q139" s="317"/>
      <c r="R139" s="317"/>
      <c r="S139" s="317"/>
      <c r="T139" s="317"/>
      <c r="U139" s="363"/>
      <c r="V139" s="363"/>
      <c r="W139" s="317"/>
      <c r="X139" s="317"/>
      <c r="Y139" s="317"/>
      <c r="Z139" s="317"/>
      <c r="AA139" s="317"/>
      <c r="AB139" s="317"/>
      <c r="AC139" s="317"/>
      <c r="AD139" s="317"/>
      <c r="AE139" s="317"/>
      <c r="AF139" s="317"/>
      <c r="AG139" s="309"/>
    </row>
    <row r="140" spans="1:33" ht="15.75" customHeight="1" x14ac:dyDescent="0.25">
      <c r="A140" s="317"/>
      <c r="B140" s="317"/>
      <c r="C140" s="317"/>
      <c r="D140" s="317"/>
      <c r="E140" s="317"/>
      <c r="F140" s="361"/>
      <c r="G140" s="366"/>
      <c r="H140" s="317"/>
      <c r="I140" s="317"/>
      <c r="J140" s="317"/>
      <c r="K140" s="317"/>
      <c r="L140" s="317"/>
      <c r="M140" s="317"/>
      <c r="N140" s="317"/>
      <c r="O140" s="317"/>
      <c r="P140" s="317"/>
      <c r="Q140" s="317"/>
      <c r="R140" s="317"/>
      <c r="S140" s="317"/>
      <c r="T140" s="317"/>
      <c r="U140" s="363"/>
      <c r="V140" s="363"/>
      <c r="W140" s="317"/>
      <c r="X140" s="317"/>
      <c r="Y140" s="317"/>
      <c r="Z140" s="317"/>
      <c r="AA140" s="317"/>
      <c r="AB140" s="317"/>
      <c r="AC140" s="317"/>
      <c r="AD140" s="317"/>
      <c r="AE140" s="317"/>
      <c r="AF140" s="317"/>
      <c r="AG140" s="309"/>
    </row>
    <row r="141" spans="1:33" ht="15.75" customHeight="1" x14ac:dyDescent="0.25">
      <c r="A141" s="317"/>
      <c r="B141" s="317"/>
      <c r="C141" s="317"/>
      <c r="D141" s="317"/>
      <c r="E141" s="317"/>
      <c r="F141" s="361"/>
      <c r="G141" s="366"/>
      <c r="H141" s="317"/>
      <c r="I141" s="317"/>
      <c r="J141" s="317"/>
      <c r="K141" s="317"/>
      <c r="L141" s="317"/>
      <c r="M141" s="317"/>
      <c r="N141" s="317"/>
      <c r="O141" s="317"/>
      <c r="P141" s="317"/>
      <c r="Q141" s="317"/>
      <c r="R141" s="317"/>
      <c r="S141" s="317"/>
      <c r="T141" s="317"/>
      <c r="U141" s="363"/>
      <c r="V141" s="363"/>
      <c r="W141" s="317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09"/>
    </row>
    <row r="142" spans="1:33" ht="15.75" customHeight="1" x14ac:dyDescent="0.25">
      <c r="A142" s="317"/>
      <c r="B142" s="317"/>
      <c r="C142" s="317"/>
      <c r="D142" s="317"/>
      <c r="E142" s="317"/>
      <c r="F142" s="361"/>
      <c r="G142" s="366"/>
      <c r="H142" s="317"/>
      <c r="I142" s="317"/>
      <c r="J142" s="317"/>
      <c r="K142" s="317"/>
      <c r="L142" s="317"/>
      <c r="M142" s="317"/>
      <c r="N142" s="317"/>
      <c r="O142" s="317"/>
      <c r="P142" s="317"/>
      <c r="Q142" s="317"/>
      <c r="R142" s="317"/>
      <c r="S142" s="317"/>
      <c r="T142" s="317"/>
      <c r="U142" s="363"/>
      <c r="V142" s="363"/>
      <c r="W142" s="317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09"/>
    </row>
    <row r="143" spans="1:33" ht="15.75" customHeight="1" x14ac:dyDescent="0.25">
      <c r="A143" s="317"/>
      <c r="B143" s="317"/>
      <c r="C143" s="317"/>
      <c r="D143" s="317"/>
      <c r="E143" s="317"/>
      <c r="F143" s="361"/>
      <c r="G143" s="366"/>
      <c r="H143" s="317"/>
      <c r="I143" s="317"/>
      <c r="J143" s="317"/>
      <c r="K143" s="317"/>
      <c r="L143" s="317"/>
      <c r="M143" s="317"/>
      <c r="N143" s="317"/>
      <c r="O143" s="317"/>
      <c r="P143" s="317"/>
      <c r="Q143" s="317"/>
      <c r="R143" s="317"/>
      <c r="S143" s="317"/>
      <c r="T143" s="317"/>
      <c r="U143" s="363"/>
      <c r="V143" s="363"/>
      <c r="W143" s="317"/>
      <c r="X143" s="317"/>
      <c r="Y143" s="317"/>
      <c r="Z143" s="317"/>
      <c r="AA143" s="317"/>
      <c r="AB143" s="317"/>
      <c r="AC143" s="317"/>
      <c r="AD143" s="317"/>
      <c r="AE143" s="317"/>
      <c r="AF143" s="317"/>
      <c r="AG143" s="309"/>
    </row>
    <row r="144" spans="1:33" ht="15.75" customHeight="1" x14ac:dyDescent="0.25">
      <c r="A144" s="317"/>
      <c r="B144" s="317"/>
      <c r="C144" s="317"/>
      <c r="D144" s="317"/>
      <c r="E144" s="317"/>
      <c r="F144" s="361"/>
      <c r="G144" s="366"/>
      <c r="H144" s="317"/>
      <c r="I144" s="317"/>
      <c r="J144" s="317"/>
      <c r="K144" s="317"/>
      <c r="L144" s="317"/>
      <c r="M144" s="317"/>
      <c r="N144" s="317"/>
      <c r="O144" s="317"/>
      <c r="P144" s="317"/>
      <c r="Q144" s="317"/>
      <c r="R144" s="317"/>
      <c r="S144" s="317"/>
      <c r="T144" s="317"/>
      <c r="U144" s="363"/>
      <c r="V144" s="363"/>
      <c r="W144" s="317"/>
      <c r="X144" s="317"/>
      <c r="Y144" s="317"/>
      <c r="Z144" s="317"/>
      <c r="AA144" s="317"/>
      <c r="AB144" s="317"/>
      <c r="AC144" s="317"/>
      <c r="AD144" s="317"/>
      <c r="AE144" s="317"/>
      <c r="AF144" s="317"/>
      <c r="AG144" s="309"/>
    </row>
    <row r="145" spans="1:33" ht="15.75" customHeight="1" x14ac:dyDescent="0.25">
      <c r="A145" s="317"/>
      <c r="B145" s="317"/>
      <c r="C145" s="317"/>
      <c r="D145" s="317"/>
      <c r="E145" s="317"/>
      <c r="F145" s="361"/>
      <c r="G145" s="366"/>
      <c r="H145" s="317"/>
      <c r="I145" s="317"/>
      <c r="J145" s="317"/>
      <c r="K145" s="317"/>
      <c r="L145" s="317"/>
      <c r="M145" s="317"/>
      <c r="N145" s="317"/>
      <c r="O145" s="317"/>
      <c r="P145" s="317"/>
      <c r="Q145" s="317"/>
      <c r="R145" s="317"/>
      <c r="S145" s="317"/>
      <c r="T145" s="317"/>
      <c r="U145" s="363"/>
      <c r="V145" s="363"/>
      <c r="W145" s="317"/>
      <c r="X145" s="317"/>
      <c r="Y145" s="317"/>
      <c r="Z145" s="317"/>
      <c r="AA145" s="317"/>
      <c r="AB145" s="317"/>
      <c r="AC145" s="317"/>
      <c r="AD145" s="317"/>
      <c r="AE145" s="317"/>
      <c r="AF145" s="317"/>
      <c r="AG145" s="309"/>
    </row>
    <row r="146" spans="1:33" ht="15.75" customHeight="1" x14ac:dyDescent="0.25">
      <c r="A146" s="317"/>
      <c r="B146" s="317"/>
      <c r="C146" s="317"/>
      <c r="D146" s="317"/>
      <c r="E146" s="317"/>
      <c r="F146" s="361"/>
      <c r="G146" s="366"/>
      <c r="H146" s="317"/>
      <c r="I146" s="317"/>
      <c r="J146" s="317"/>
      <c r="K146" s="317"/>
      <c r="L146" s="317"/>
      <c r="M146" s="317"/>
      <c r="N146" s="317"/>
      <c r="O146" s="317"/>
      <c r="P146" s="317"/>
      <c r="Q146" s="317"/>
      <c r="R146" s="317"/>
      <c r="S146" s="317"/>
      <c r="T146" s="317"/>
      <c r="U146" s="363"/>
      <c r="V146" s="363"/>
      <c r="W146" s="317"/>
      <c r="X146" s="317"/>
      <c r="Y146" s="317"/>
      <c r="Z146" s="317"/>
      <c r="AA146" s="317"/>
      <c r="AB146" s="317"/>
      <c r="AC146" s="317"/>
      <c r="AD146" s="317"/>
      <c r="AE146" s="317"/>
      <c r="AF146" s="317"/>
      <c r="AG146" s="309"/>
    </row>
    <row r="147" spans="1:33" ht="15.75" customHeight="1" x14ac:dyDescent="0.25">
      <c r="A147" s="317"/>
      <c r="B147" s="317"/>
      <c r="C147" s="317"/>
      <c r="D147" s="317"/>
      <c r="E147" s="317"/>
      <c r="F147" s="361"/>
      <c r="G147" s="366"/>
      <c r="H147" s="317"/>
      <c r="I147" s="317"/>
      <c r="J147" s="317"/>
      <c r="K147" s="317"/>
      <c r="L147" s="317"/>
      <c r="M147" s="317"/>
      <c r="N147" s="317"/>
      <c r="O147" s="317"/>
      <c r="P147" s="317"/>
      <c r="Q147" s="317"/>
      <c r="R147" s="317"/>
      <c r="S147" s="317"/>
      <c r="T147" s="317"/>
      <c r="U147" s="363"/>
      <c r="V147" s="363"/>
      <c r="W147" s="317"/>
      <c r="X147" s="317"/>
      <c r="Y147" s="317"/>
      <c r="Z147" s="317"/>
      <c r="AA147" s="317"/>
      <c r="AB147" s="317"/>
      <c r="AC147" s="317"/>
      <c r="AD147" s="317"/>
      <c r="AE147" s="317"/>
      <c r="AF147" s="317"/>
      <c r="AG147" s="309"/>
    </row>
    <row r="148" spans="1:33" ht="15.75" customHeight="1" x14ac:dyDescent="0.25">
      <c r="A148" s="317"/>
      <c r="B148" s="317"/>
      <c r="C148" s="317"/>
      <c r="D148" s="317"/>
      <c r="E148" s="317"/>
      <c r="F148" s="361"/>
      <c r="G148" s="366"/>
      <c r="H148" s="317"/>
      <c r="I148" s="317"/>
      <c r="J148" s="317"/>
      <c r="K148" s="317"/>
      <c r="L148" s="317"/>
      <c r="M148" s="317"/>
      <c r="N148" s="317"/>
      <c r="O148" s="317"/>
      <c r="P148" s="317"/>
      <c r="Q148" s="317"/>
      <c r="R148" s="317"/>
      <c r="S148" s="317"/>
      <c r="T148" s="317"/>
      <c r="U148" s="363"/>
      <c r="V148" s="363"/>
      <c r="W148" s="317"/>
      <c r="X148" s="317"/>
      <c r="Y148" s="317"/>
      <c r="Z148" s="317"/>
      <c r="AA148" s="317"/>
      <c r="AB148" s="317"/>
      <c r="AC148" s="317"/>
      <c r="AD148" s="317"/>
      <c r="AE148" s="317"/>
      <c r="AF148" s="317"/>
      <c r="AG148" s="309"/>
    </row>
    <row r="149" spans="1:33" ht="15.75" customHeight="1" x14ac:dyDescent="0.25">
      <c r="A149" s="317"/>
      <c r="B149" s="317"/>
      <c r="C149" s="317"/>
      <c r="D149" s="317"/>
      <c r="E149" s="317"/>
      <c r="F149" s="361"/>
      <c r="G149" s="366"/>
      <c r="H149" s="317"/>
      <c r="I149" s="317"/>
      <c r="J149" s="317"/>
      <c r="K149" s="317"/>
      <c r="L149" s="317"/>
      <c r="M149" s="317"/>
      <c r="N149" s="317"/>
      <c r="O149" s="317"/>
      <c r="P149" s="317"/>
      <c r="Q149" s="317"/>
      <c r="R149" s="317"/>
      <c r="S149" s="317"/>
      <c r="T149" s="317"/>
      <c r="U149" s="363"/>
      <c r="V149" s="363"/>
      <c r="W149" s="317"/>
      <c r="X149" s="317"/>
      <c r="Y149" s="317"/>
      <c r="Z149" s="317"/>
      <c r="AA149" s="317"/>
      <c r="AB149" s="317"/>
      <c r="AC149" s="317"/>
      <c r="AD149" s="317"/>
      <c r="AE149" s="317"/>
      <c r="AF149" s="317"/>
      <c r="AG149" s="309"/>
    </row>
    <row r="150" spans="1:33" ht="15.75" customHeight="1" x14ac:dyDescent="0.25">
      <c r="A150" s="317"/>
      <c r="B150" s="317"/>
      <c r="C150" s="317"/>
      <c r="D150" s="317"/>
      <c r="E150" s="317"/>
      <c r="F150" s="361"/>
      <c r="G150" s="366"/>
      <c r="H150" s="317"/>
      <c r="I150" s="317"/>
      <c r="J150" s="317"/>
      <c r="K150" s="317"/>
      <c r="L150" s="317"/>
      <c r="M150" s="317"/>
      <c r="N150" s="317"/>
      <c r="O150" s="317"/>
      <c r="P150" s="317"/>
      <c r="Q150" s="317"/>
      <c r="R150" s="317"/>
      <c r="S150" s="317"/>
      <c r="T150" s="317"/>
      <c r="U150" s="363"/>
      <c r="V150" s="363"/>
      <c r="W150" s="317"/>
      <c r="X150" s="317"/>
      <c r="Y150" s="317"/>
      <c r="Z150" s="317"/>
      <c r="AA150" s="317"/>
      <c r="AB150" s="317"/>
      <c r="AC150" s="317"/>
      <c r="AD150" s="317"/>
      <c r="AE150" s="317"/>
      <c r="AF150" s="317"/>
      <c r="AG150" s="309"/>
    </row>
    <row r="151" spans="1:33" ht="15.75" customHeight="1" x14ac:dyDescent="0.25">
      <c r="A151" s="317"/>
      <c r="B151" s="317"/>
      <c r="C151" s="317"/>
      <c r="D151" s="317"/>
      <c r="E151" s="317"/>
      <c r="F151" s="361"/>
      <c r="G151" s="366"/>
      <c r="H151" s="317"/>
      <c r="I151" s="317"/>
      <c r="J151" s="317"/>
      <c r="K151" s="317"/>
      <c r="L151" s="317"/>
      <c r="M151" s="317"/>
      <c r="N151" s="317"/>
      <c r="O151" s="317"/>
      <c r="P151" s="317"/>
      <c r="Q151" s="317"/>
      <c r="R151" s="317"/>
      <c r="S151" s="317"/>
      <c r="T151" s="317"/>
      <c r="U151" s="363"/>
      <c r="V151" s="363"/>
      <c r="W151" s="317"/>
      <c r="X151" s="317"/>
      <c r="Y151" s="317"/>
      <c r="Z151" s="317"/>
      <c r="AA151" s="317"/>
      <c r="AB151" s="317"/>
      <c r="AC151" s="317"/>
      <c r="AD151" s="317"/>
      <c r="AE151" s="317"/>
      <c r="AF151" s="317"/>
      <c r="AG151" s="309"/>
    </row>
    <row r="152" spans="1:33" ht="15.75" customHeight="1" x14ac:dyDescent="0.25">
      <c r="A152" s="317"/>
      <c r="B152" s="317"/>
      <c r="C152" s="317"/>
      <c r="D152" s="317"/>
      <c r="E152" s="317"/>
      <c r="F152" s="361"/>
      <c r="G152" s="366"/>
      <c r="H152" s="317"/>
      <c r="I152" s="317"/>
      <c r="J152" s="317"/>
      <c r="K152" s="317"/>
      <c r="L152" s="317"/>
      <c r="M152" s="317"/>
      <c r="N152" s="317"/>
      <c r="O152" s="317"/>
      <c r="P152" s="317"/>
      <c r="Q152" s="317"/>
      <c r="R152" s="317"/>
      <c r="S152" s="317"/>
      <c r="T152" s="317"/>
      <c r="U152" s="363"/>
      <c r="V152" s="363"/>
      <c r="W152" s="317"/>
      <c r="X152" s="317"/>
      <c r="Y152" s="317"/>
      <c r="Z152" s="317"/>
      <c r="AA152" s="317"/>
      <c r="AB152" s="317"/>
      <c r="AC152" s="317"/>
      <c r="AD152" s="317"/>
      <c r="AE152" s="317"/>
      <c r="AF152" s="317"/>
      <c r="AG152" s="309"/>
    </row>
    <row r="153" spans="1:33" ht="15.75" customHeight="1" x14ac:dyDescent="0.25">
      <c r="A153" s="317"/>
      <c r="B153" s="317"/>
      <c r="C153" s="317"/>
      <c r="D153" s="317"/>
      <c r="E153" s="317"/>
      <c r="F153" s="361"/>
      <c r="G153" s="366"/>
      <c r="H153" s="317"/>
      <c r="I153" s="317"/>
      <c r="J153" s="317"/>
      <c r="K153" s="317"/>
      <c r="L153" s="317"/>
      <c r="M153" s="317"/>
      <c r="N153" s="317"/>
      <c r="O153" s="317"/>
      <c r="P153" s="317"/>
      <c r="Q153" s="317"/>
      <c r="R153" s="317"/>
      <c r="S153" s="317"/>
      <c r="T153" s="317"/>
      <c r="U153" s="363"/>
      <c r="V153" s="363"/>
      <c r="W153" s="317"/>
      <c r="X153" s="317"/>
      <c r="Y153" s="317"/>
      <c r="Z153" s="317"/>
      <c r="AA153" s="317"/>
      <c r="AB153" s="317"/>
      <c r="AC153" s="317"/>
      <c r="AD153" s="317"/>
      <c r="AE153" s="317"/>
      <c r="AF153" s="317"/>
      <c r="AG153" s="309"/>
    </row>
    <row r="154" spans="1:33" ht="15.75" customHeight="1" x14ac:dyDescent="0.25">
      <c r="A154" s="317"/>
      <c r="B154" s="317"/>
      <c r="C154" s="317"/>
      <c r="D154" s="317"/>
      <c r="E154" s="317"/>
      <c r="F154" s="361"/>
      <c r="G154" s="366"/>
      <c r="H154" s="317"/>
      <c r="I154" s="317"/>
      <c r="J154" s="317"/>
      <c r="K154" s="317"/>
      <c r="L154" s="317"/>
      <c r="M154" s="317"/>
      <c r="N154" s="317"/>
      <c r="O154" s="317"/>
      <c r="P154" s="317"/>
      <c r="Q154" s="317"/>
      <c r="R154" s="317"/>
      <c r="S154" s="317"/>
      <c r="T154" s="317"/>
      <c r="U154" s="363"/>
      <c r="V154" s="363"/>
      <c r="W154" s="317"/>
      <c r="X154" s="317"/>
      <c r="Y154" s="317"/>
      <c r="Z154" s="317"/>
      <c r="AA154" s="317"/>
      <c r="AB154" s="317"/>
      <c r="AC154" s="317"/>
      <c r="AD154" s="317"/>
      <c r="AE154" s="317"/>
      <c r="AF154" s="317"/>
      <c r="AG154" s="309"/>
    </row>
    <row r="155" spans="1:33" ht="15.75" customHeight="1" x14ac:dyDescent="0.25">
      <c r="A155" s="317"/>
      <c r="B155" s="317"/>
      <c r="C155" s="317"/>
      <c r="D155" s="317"/>
      <c r="E155" s="317"/>
      <c r="F155" s="361"/>
      <c r="G155" s="366"/>
      <c r="H155" s="317"/>
      <c r="I155" s="317"/>
      <c r="J155" s="317"/>
      <c r="K155" s="317"/>
      <c r="L155" s="317"/>
      <c r="M155" s="317"/>
      <c r="N155" s="317"/>
      <c r="O155" s="317"/>
      <c r="P155" s="317"/>
      <c r="Q155" s="317"/>
      <c r="R155" s="317"/>
      <c r="S155" s="317"/>
      <c r="T155" s="317"/>
      <c r="U155" s="363"/>
      <c r="V155" s="363"/>
      <c r="W155" s="317"/>
      <c r="X155" s="317"/>
      <c r="Y155" s="317"/>
      <c r="Z155" s="317"/>
      <c r="AA155" s="317"/>
      <c r="AB155" s="317"/>
      <c r="AC155" s="317"/>
      <c r="AD155" s="317"/>
      <c r="AE155" s="317"/>
      <c r="AF155" s="317"/>
      <c r="AG155" s="309"/>
    </row>
    <row r="156" spans="1:33" ht="15.75" customHeight="1" x14ac:dyDescent="0.25">
      <c r="A156" s="317"/>
      <c r="B156" s="317"/>
      <c r="C156" s="317"/>
      <c r="D156" s="317"/>
      <c r="E156" s="317"/>
      <c r="F156" s="361"/>
      <c r="G156" s="366"/>
      <c r="H156" s="317"/>
      <c r="I156" s="317"/>
      <c r="J156" s="317"/>
      <c r="K156" s="317"/>
      <c r="L156" s="317"/>
      <c r="M156" s="317"/>
      <c r="N156" s="317"/>
      <c r="O156" s="317"/>
      <c r="P156" s="317"/>
      <c r="Q156" s="317"/>
      <c r="R156" s="317"/>
      <c r="S156" s="317"/>
      <c r="T156" s="317"/>
      <c r="U156" s="363"/>
      <c r="V156" s="363"/>
      <c r="W156" s="317"/>
      <c r="X156" s="317"/>
      <c r="Y156" s="317"/>
      <c r="Z156" s="317"/>
      <c r="AA156" s="317"/>
      <c r="AB156" s="317"/>
      <c r="AC156" s="317"/>
      <c r="AD156" s="317"/>
      <c r="AE156" s="317"/>
      <c r="AF156" s="317"/>
      <c r="AG156" s="309"/>
    </row>
    <row r="157" spans="1:33" ht="15.75" customHeight="1" x14ac:dyDescent="0.25">
      <c r="A157" s="317"/>
      <c r="B157" s="317"/>
      <c r="C157" s="317"/>
      <c r="D157" s="317"/>
      <c r="E157" s="317"/>
      <c r="F157" s="361"/>
      <c r="G157" s="366"/>
      <c r="H157" s="317"/>
      <c r="I157" s="317"/>
      <c r="J157" s="317"/>
      <c r="K157" s="317"/>
      <c r="L157" s="317"/>
      <c r="M157" s="317"/>
      <c r="N157" s="317"/>
      <c r="O157" s="317"/>
      <c r="P157" s="317"/>
      <c r="Q157" s="317"/>
      <c r="R157" s="317"/>
      <c r="S157" s="317"/>
      <c r="T157" s="317"/>
      <c r="U157" s="363"/>
      <c r="V157" s="363"/>
      <c r="W157" s="317"/>
      <c r="X157" s="317"/>
      <c r="Y157" s="317"/>
      <c r="Z157" s="317"/>
      <c r="AA157" s="317"/>
      <c r="AB157" s="317"/>
      <c r="AC157" s="317"/>
      <c r="AD157" s="317"/>
      <c r="AE157" s="317"/>
      <c r="AF157" s="317"/>
      <c r="AG157" s="309"/>
    </row>
    <row r="158" spans="1:33" ht="15.75" customHeight="1" x14ac:dyDescent="0.25">
      <c r="A158" s="317"/>
      <c r="B158" s="317"/>
      <c r="C158" s="317"/>
      <c r="D158" s="317"/>
      <c r="E158" s="317"/>
      <c r="F158" s="361"/>
      <c r="G158" s="366"/>
      <c r="H158" s="317"/>
      <c r="I158" s="317"/>
      <c r="J158" s="317"/>
      <c r="K158" s="317"/>
      <c r="L158" s="317"/>
      <c r="M158" s="317"/>
      <c r="N158" s="317"/>
      <c r="O158" s="317"/>
      <c r="P158" s="317"/>
      <c r="Q158" s="317"/>
      <c r="R158" s="317"/>
      <c r="S158" s="317"/>
      <c r="T158" s="317"/>
      <c r="U158" s="363"/>
      <c r="V158" s="363"/>
      <c r="W158" s="317"/>
      <c r="X158" s="317"/>
      <c r="Y158" s="317"/>
      <c r="Z158" s="317"/>
      <c r="AA158" s="317"/>
      <c r="AB158" s="317"/>
      <c r="AC158" s="317"/>
      <c r="AD158" s="317"/>
      <c r="AE158" s="317"/>
      <c r="AF158" s="317"/>
      <c r="AG158" s="309"/>
    </row>
    <row r="159" spans="1:33" ht="15.75" customHeight="1" x14ac:dyDescent="0.25">
      <c r="A159" s="317"/>
      <c r="B159" s="317"/>
      <c r="C159" s="317"/>
      <c r="D159" s="317"/>
      <c r="E159" s="317"/>
      <c r="F159" s="361"/>
      <c r="G159" s="366"/>
      <c r="H159" s="317"/>
      <c r="I159" s="317"/>
      <c r="J159" s="317"/>
      <c r="K159" s="317"/>
      <c r="L159" s="317"/>
      <c r="M159" s="317"/>
      <c r="N159" s="317"/>
      <c r="O159" s="317"/>
      <c r="P159" s="317"/>
      <c r="Q159" s="317"/>
      <c r="R159" s="317"/>
      <c r="S159" s="317"/>
      <c r="T159" s="317"/>
      <c r="U159" s="363"/>
      <c r="V159" s="363"/>
      <c r="W159" s="317"/>
      <c r="X159" s="317"/>
      <c r="Y159" s="317"/>
      <c r="Z159" s="317"/>
      <c r="AA159" s="317"/>
      <c r="AB159" s="317"/>
      <c r="AC159" s="317"/>
      <c r="AD159" s="317"/>
      <c r="AE159" s="317"/>
      <c r="AF159" s="317"/>
      <c r="AG159" s="309"/>
    </row>
    <row r="160" spans="1:33" ht="15.75" customHeight="1" x14ac:dyDescent="0.25">
      <c r="A160" s="317"/>
      <c r="B160" s="317"/>
      <c r="C160" s="317"/>
      <c r="D160" s="317"/>
      <c r="E160" s="317"/>
      <c r="F160" s="361"/>
      <c r="G160" s="366"/>
      <c r="H160" s="317"/>
      <c r="I160" s="317"/>
      <c r="J160" s="317"/>
      <c r="K160" s="317"/>
      <c r="L160" s="317"/>
      <c r="M160" s="317"/>
      <c r="N160" s="317"/>
      <c r="O160" s="317"/>
      <c r="P160" s="317"/>
      <c r="Q160" s="317"/>
      <c r="R160" s="317"/>
      <c r="S160" s="317"/>
      <c r="T160" s="317"/>
      <c r="U160" s="363"/>
      <c r="V160" s="363"/>
      <c r="W160" s="317"/>
      <c r="X160" s="317"/>
      <c r="Y160" s="317"/>
      <c r="Z160" s="317"/>
      <c r="AA160" s="317"/>
      <c r="AB160" s="317"/>
      <c r="AC160" s="317"/>
      <c r="AD160" s="317"/>
      <c r="AE160" s="317"/>
      <c r="AF160" s="317"/>
      <c r="AG160" s="309"/>
    </row>
    <row r="161" spans="1:33" ht="15.75" customHeight="1" x14ac:dyDescent="0.25">
      <c r="A161" s="317"/>
      <c r="B161" s="317"/>
      <c r="C161" s="317"/>
      <c r="D161" s="317"/>
      <c r="E161" s="317"/>
      <c r="F161" s="361"/>
      <c r="G161" s="366"/>
      <c r="H161" s="317"/>
      <c r="I161" s="317"/>
      <c r="J161" s="317"/>
      <c r="K161" s="317"/>
      <c r="L161" s="317"/>
      <c r="M161" s="317"/>
      <c r="N161" s="317"/>
      <c r="O161" s="317"/>
      <c r="P161" s="317"/>
      <c r="Q161" s="317"/>
      <c r="R161" s="317"/>
      <c r="S161" s="317"/>
      <c r="T161" s="317"/>
      <c r="U161" s="363"/>
      <c r="V161" s="363"/>
      <c r="W161" s="317"/>
      <c r="X161" s="317"/>
      <c r="Y161" s="317"/>
      <c r="Z161" s="317"/>
      <c r="AA161" s="317"/>
      <c r="AB161" s="317"/>
      <c r="AC161" s="317"/>
      <c r="AD161" s="317"/>
      <c r="AE161" s="317"/>
      <c r="AF161" s="317"/>
      <c r="AG161" s="309"/>
    </row>
    <row r="162" spans="1:33" ht="15.75" customHeight="1" x14ac:dyDescent="0.25">
      <c r="A162" s="317"/>
      <c r="B162" s="317"/>
      <c r="C162" s="317"/>
      <c r="D162" s="317"/>
      <c r="E162" s="317"/>
      <c r="F162" s="361"/>
      <c r="G162" s="366"/>
      <c r="H162" s="317"/>
      <c r="I162" s="317"/>
      <c r="J162" s="317"/>
      <c r="K162" s="317"/>
      <c r="L162" s="317"/>
      <c r="M162" s="317"/>
      <c r="N162" s="317"/>
      <c r="O162" s="317"/>
      <c r="P162" s="317"/>
      <c r="Q162" s="317"/>
      <c r="R162" s="317"/>
      <c r="S162" s="317"/>
      <c r="T162" s="317"/>
      <c r="U162" s="363"/>
      <c r="V162" s="363"/>
      <c r="W162" s="317"/>
      <c r="X162" s="317"/>
      <c r="Y162" s="317"/>
      <c r="Z162" s="317"/>
      <c r="AA162" s="317"/>
      <c r="AB162" s="317"/>
      <c r="AC162" s="317"/>
      <c r="AD162" s="317"/>
      <c r="AE162" s="317"/>
      <c r="AF162" s="317"/>
      <c r="AG162" s="309"/>
    </row>
    <row r="163" spans="1:33" ht="15.75" customHeight="1" x14ac:dyDescent="0.25">
      <c r="A163" s="317"/>
      <c r="B163" s="317"/>
      <c r="C163" s="317"/>
      <c r="D163" s="317"/>
      <c r="E163" s="317"/>
      <c r="F163" s="361"/>
      <c r="G163" s="366"/>
      <c r="H163" s="317"/>
      <c r="I163" s="317"/>
      <c r="J163" s="317"/>
      <c r="K163" s="317"/>
      <c r="L163" s="317"/>
      <c r="M163" s="317"/>
      <c r="N163" s="317"/>
      <c r="O163" s="317"/>
      <c r="P163" s="317"/>
      <c r="Q163" s="317"/>
      <c r="R163" s="317"/>
      <c r="S163" s="317"/>
      <c r="T163" s="317"/>
      <c r="U163" s="363"/>
      <c r="V163" s="363"/>
      <c r="W163" s="317"/>
      <c r="X163" s="317"/>
      <c r="Y163" s="317"/>
      <c r="Z163" s="317"/>
      <c r="AA163" s="317"/>
      <c r="AB163" s="317"/>
      <c r="AC163" s="317"/>
      <c r="AD163" s="317"/>
      <c r="AE163" s="317"/>
      <c r="AF163" s="317"/>
      <c r="AG163" s="309"/>
    </row>
    <row r="164" spans="1:33" ht="15.75" customHeight="1" x14ac:dyDescent="0.25">
      <c r="A164" s="317"/>
      <c r="B164" s="317"/>
      <c r="C164" s="317"/>
      <c r="D164" s="317"/>
      <c r="E164" s="317"/>
      <c r="F164" s="361"/>
      <c r="G164" s="366"/>
      <c r="H164" s="317"/>
      <c r="I164" s="317"/>
      <c r="J164" s="317"/>
      <c r="K164" s="317"/>
      <c r="L164" s="317"/>
      <c r="M164" s="317"/>
      <c r="N164" s="317"/>
      <c r="O164" s="317"/>
      <c r="P164" s="317"/>
      <c r="Q164" s="317"/>
      <c r="R164" s="317"/>
      <c r="S164" s="317"/>
      <c r="T164" s="317"/>
      <c r="U164" s="363"/>
      <c r="V164" s="363"/>
      <c r="W164" s="317"/>
      <c r="X164" s="317"/>
      <c r="Y164" s="317"/>
      <c r="Z164" s="317"/>
      <c r="AA164" s="317"/>
      <c r="AB164" s="317"/>
      <c r="AC164" s="317"/>
      <c r="AD164" s="317"/>
      <c r="AE164" s="317"/>
      <c r="AF164" s="317"/>
      <c r="AG164" s="309"/>
    </row>
    <row r="165" spans="1:33" ht="15.75" customHeight="1" x14ac:dyDescent="0.25">
      <c r="A165" s="317"/>
      <c r="B165" s="317"/>
      <c r="C165" s="317"/>
      <c r="D165" s="317"/>
      <c r="E165" s="317"/>
      <c r="F165" s="361"/>
      <c r="G165" s="366"/>
      <c r="H165" s="317"/>
      <c r="I165" s="317"/>
      <c r="J165" s="317"/>
      <c r="K165" s="317"/>
      <c r="L165" s="317"/>
      <c r="M165" s="317"/>
      <c r="N165" s="317"/>
      <c r="O165" s="317"/>
      <c r="P165" s="317"/>
      <c r="Q165" s="317"/>
      <c r="R165" s="317"/>
      <c r="S165" s="317"/>
      <c r="T165" s="317"/>
      <c r="U165" s="363"/>
      <c r="V165" s="363"/>
      <c r="W165" s="317"/>
      <c r="X165" s="317"/>
      <c r="Y165" s="317"/>
      <c r="Z165" s="317"/>
      <c r="AA165" s="317"/>
      <c r="AB165" s="317"/>
      <c r="AC165" s="317"/>
      <c r="AD165" s="317"/>
      <c r="AE165" s="317"/>
      <c r="AF165" s="317"/>
      <c r="AG165" s="309"/>
    </row>
    <row r="166" spans="1:33" ht="15.75" customHeight="1" x14ac:dyDescent="0.25">
      <c r="A166" s="317"/>
      <c r="B166" s="317"/>
      <c r="C166" s="317"/>
      <c r="D166" s="317"/>
      <c r="E166" s="317"/>
      <c r="F166" s="361"/>
      <c r="G166" s="366"/>
      <c r="H166" s="317"/>
      <c r="I166" s="317"/>
      <c r="J166" s="317"/>
      <c r="K166" s="317"/>
      <c r="L166" s="317"/>
      <c r="M166" s="317"/>
      <c r="N166" s="317"/>
      <c r="O166" s="317"/>
      <c r="P166" s="317"/>
      <c r="Q166" s="317"/>
      <c r="R166" s="317"/>
      <c r="S166" s="317"/>
      <c r="T166" s="317"/>
      <c r="U166" s="363"/>
      <c r="V166" s="363"/>
      <c r="W166" s="317"/>
      <c r="X166" s="317"/>
      <c r="Y166" s="317"/>
      <c r="Z166" s="317"/>
      <c r="AA166" s="317"/>
      <c r="AB166" s="317"/>
      <c r="AC166" s="317"/>
      <c r="AD166" s="317"/>
      <c r="AE166" s="317"/>
      <c r="AF166" s="317"/>
      <c r="AG166" s="309"/>
    </row>
    <row r="167" spans="1:33" ht="15.75" customHeight="1" x14ac:dyDescent="0.25">
      <c r="A167" s="317"/>
      <c r="B167" s="317"/>
      <c r="C167" s="317"/>
      <c r="D167" s="317"/>
      <c r="E167" s="317"/>
      <c r="F167" s="361"/>
      <c r="G167" s="366"/>
      <c r="H167" s="317"/>
      <c r="I167" s="317"/>
      <c r="J167" s="317"/>
      <c r="K167" s="317"/>
      <c r="L167" s="317"/>
      <c r="M167" s="317"/>
      <c r="N167" s="317"/>
      <c r="O167" s="317"/>
      <c r="P167" s="317"/>
      <c r="Q167" s="317"/>
      <c r="R167" s="317"/>
      <c r="S167" s="317"/>
      <c r="T167" s="317"/>
      <c r="U167" s="363"/>
      <c r="V167" s="363"/>
      <c r="W167" s="317"/>
      <c r="X167" s="317"/>
      <c r="Y167" s="317"/>
      <c r="Z167" s="317"/>
      <c r="AA167" s="317"/>
      <c r="AB167" s="317"/>
      <c r="AC167" s="317"/>
      <c r="AD167" s="317"/>
      <c r="AE167" s="317"/>
      <c r="AF167" s="317"/>
      <c r="AG167" s="309"/>
    </row>
    <row r="168" spans="1:33" ht="15.75" customHeight="1" x14ac:dyDescent="0.25">
      <c r="A168" s="317"/>
      <c r="B168" s="317"/>
      <c r="C168" s="317"/>
      <c r="D168" s="317"/>
      <c r="E168" s="317"/>
      <c r="F168" s="361"/>
      <c r="G168" s="366"/>
      <c r="H168" s="317"/>
      <c r="I168" s="317"/>
      <c r="J168" s="317"/>
      <c r="K168" s="317"/>
      <c r="L168" s="317"/>
      <c r="M168" s="317"/>
      <c r="N168" s="317"/>
      <c r="O168" s="317"/>
      <c r="P168" s="317"/>
      <c r="Q168" s="317"/>
      <c r="R168" s="317"/>
      <c r="S168" s="317"/>
      <c r="T168" s="317"/>
      <c r="U168" s="363"/>
      <c r="V168" s="363"/>
      <c r="W168" s="317"/>
      <c r="X168" s="317"/>
      <c r="Y168" s="317"/>
      <c r="Z168" s="317"/>
      <c r="AA168" s="317"/>
      <c r="AB168" s="317"/>
      <c r="AC168" s="317"/>
      <c r="AD168" s="317"/>
      <c r="AE168" s="317"/>
      <c r="AF168" s="317"/>
      <c r="AG168" s="309"/>
    </row>
    <row r="169" spans="1:33" ht="15.75" customHeight="1" x14ac:dyDescent="0.25">
      <c r="A169" s="317"/>
      <c r="B169" s="317"/>
      <c r="C169" s="317"/>
      <c r="D169" s="317"/>
      <c r="E169" s="317"/>
      <c r="F169" s="361"/>
      <c r="G169" s="366"/>
      <c r="H169" s="317"/>
      <c r="I169" s="317"/>
      <c r="J169" s="317"/>
      <c r="K169" s="317"/>
      <c r="L169" s="317"/>
      <c r="M169" s="317"/>
      <c r="N169" s="317"/>
      <c r="O169" s="317"/>
      <c r="P169" s="317"/>
      <c r="Q169" s="317"/>
      <c r="R169" s="317"/>
      <c r="S169" s="317"/>
      <c r="T169" s="317"/>
      <c r="U169" s="363"/>
      <c r="V169" s="363"/>
      <c r="W169" s="317"/>
      <c r="X169" s="317"/>
      <c r="Y169" s="317"/>
      <c r="Z169" s="317"/>
      <c r="AA169" s="317"/>
      <c r="AB169" s="317"/>
      <c r="AC169" s="317"/>
      <c r="AD169" s="317"/>
      <c r="AE169" s="317"/>
      <c r="AF169" s="317"/>
      <c r="AG169" s="309"/>
    </row>
    <row r="170" spans="1:33" ht="15.75" customHeight="1" x14ac:dyDescent="0.25">
      <c r="A170" s="317"/>
      <c r="B170" s="317"/>
      <c r="C170" s="317"/>
      <c r="D170" s="317"/>
      <c r="E170" s="317"/>
      <c r="F170" s="361"/>
      <c r="G170" s="366"/>
      <c r="H170" s="317"/>
      <c r="I170" s="317"/>
      <c r="J170" s="317"/>
      <c r="K170" s="317"/>
      <c r="L170" s="317"/>
      <c r="M170" s="317"/>
      <c r="N170" s="317"/>
      <c r="O170" s="317"/>
      <c r="P170" s="317"/>
      <c r="Q170" s="317"/>
      <c r="R170" s="317"/>
      <c r="S170" s="317"/>
      <c r="T170" s="317"/>
      <c r="U170" s="363"/>
      <c r="V170" s="363"/>
      <c r="W170" s="317"/>
      <c r="X170" s="317"/>
      <c r="Y170" s="317"/>
      <c r="Z170" s="317"/>
      <c r="AA170" s="317"/>
      <c r="AB170" s="317"/>
      <c r="AC170" s="317"/>
      <c r="AD170" s="317"/>
      <c r="AE170" s="317"/>
      <c r="AF170" s="317"/>
      <c r="AG170" s="309"/>
    </row>
    <row r="171" spans="1:33" ht="15.75" customHeight="1" x14ac:dyDescent="0.25">
      <c r="A171" s="317"/>
      <c r="B171" s="317"/>
      <c r="C171" s="317"/>
      <c r="D171" s="317"/>
      <c r="E171" s="317"/>
      <c r="F171" s="361"/>
      <c r="G171" s="366"/>
      <c r="H171" s="317"/>
      <c r="I171" s="317"/>
      <c r="J171" s="317"/>
      <c r="K171" s="317"/>
      <c r="L171" s="317"/>
      <c r="M171" s="317"/>
      <c r="N171" s="317"/>
      <c r="O171" s="317"/>
      <c r="P171" s="317"/>
      <c r="Q171" s="317"/>
      <c r="R171" s="317"/>
      <c r="S171" s="317"/>
      <c r="T171" s="317"/>
      <c r="U171" s="363"/>
      <c r="V171" s="363"/>
      <c r="W171" s="317"/>
      <c r="X171" s="317"/>
      <c r="Y171" s="317"/>
      <c r="Z171" s="317"/>
      <c r="AA171" s="317"/>
      <c r="AB171" s="317"/>
      <c r="AC171" s="317"/>
      <c r="AD171" s="317"/>
      <c r="AE171" s="317"/>
      <c r="AF171" s="317"/>
      <c r="AG171" s="309"/>
    </row>
    <row r="172" spans="1:33" ht="15.75" customHeight="1" x14ac:dyDescent="0.25">
      <c r="A172" s="317"/>
      <c r="B172" s="317"/>
      <c r="C172" s="317"/>
      <c r="D172" s="317"/>
      <c r="E172" s="317"/>
      <c r="F172" s="361"/>
      <c r="G172" s="366"/>
      <c r="H172" s="317"/>
      <c r="I172" s="317"/>
      <c r="J172" s="317"/>
      <c r="K172" s="317"/>
      <c r="L172" s="317"/>
      <c r="M172" s="317"/>
      <c r="N172" s="317"/>
      <c r="O172" s="317"/>
      <c r="P172" s="317"/>
      <c r="Q172" s="317"/>
      <c r="R172" s="317"/>
      <c r="S172" s="317"/>
      <c r="T172" s="317"/>
      <c r="U172" s="363"/>
      <c r="V172" s="363"/>
      <c r="W172" s="317"/>
      <c r="X172" s="317"/>
      <c r="Y172" s="317"/>
      <c r="Z172" s="317"/>
      <c r="AA172" s="317"/>
      <c r="AB172" s="317"/>
      <c r="AC172" s="317"/>
      <c r="AD172" s="317"/>
      <c r="AE172" s="317"/>
      <c r="AF172" s="317"/>
      <c r="AG172" s="309"/>
    </row>
    <row r="173" spans="1:33" ht="15.75" customHeight="1" x14ac:dyDescent="0.25">
      <c r="A173" s="317"/>
      <c r="B173" s="317"/>
      <c r="C173" s="317"/>
      <c r="D173" s="317"/>
      <c r="E173" s="317"/>
      <c r="F173" s="361"/>
      <c r="G173" s="366"/>
      <c r="H173" s="317"/>
      <c r="I173" s="317"/>
      <c r="J173" s="317"/>
      <c r="K173" s="317"/>
      <c r="L173" s="317"/>
      <c r="M173" s="317"/>
      <c r="N173" s="317"/>
      <c r="O173" s="317"/>
      <c r="P173" s="317"/>
      <c r="Q173" s="317"/>
      <c r="R173" s="317"/>
      <c r="S173" s="317"/>
      <c r="T173" s="317"/>
      <c r="U173" s="363"/>
      <c r="V173" s="363"/>
      <c r="W173" s="317"/>
      <c r="X173" s="317"/>
      <c r="Y173" s="317"/>
      <c r="Z173" s="317"/>
      <c r="AA173" s="317"/>
      <c r="AB173" s="317"/>
      <c r="AC173" s="317"/>
      <c r="AD173" s="317"/>
      <c r="AE173" s="317"/>
      <c r="AF173" s="317"/>
      <c r="AG173" s="309"/>
    </row>
    <row r="174" spans="1:33" ht="15.75" customHeight="1" x14ac:dyDescent="0.25">
      <c r="A174" s="317"/>
      <c r="B174" s="317"/>
      <c r="C174" s="317"/>
      <c r="D174" s="317"/>
      <c r="E174" s="317"/>
      <c r="F174" s="361"/>
      <c r="G174" s="366"/>
      <c r="H174" s="317"/>
      <c r="I174" s="317"/>
      <c r="J174" s="317"/>
      <c r="K174" s="317"/>
      <c r="L174" s="317"/>
      <c r="M174" s="317"/>
      <c r="N174" s="317"/>
      <c r="O174" s="317"/>
      <c r="P174" s="317"/>
      <c r="Q174" s="317"/>
      <c r="R174" s="317"/>
      <c r="S174" s="317"/>
      <c r="T174" s="317"/>
      <c r="U174" s="363"/>
      <c r="V174" s="363"/>
      <c r="W174" s="317"/>
      <c r="X174" s="317"/>
      <c r="Y174" s="317"/>
      <c r="Z174" s="317"/>
      <c r="AA174" s="317"/>
      <c r="AB174" s="317"/>
      <c r="AC174" s="317"/>
      <c r="AD174" s="317"/>
      <c r="AE174" s="317"/>
      <c r="AF174" s="317"/>
      <c r="AG174" s="309"/>
    </row>
    <row r="175" spans="1:33" ht="15.75" customHeight="1" x14ac:dyDescent="0.25">
      <c r="A175" s="317"/>
      <c r="B175" s="317"/>
      <c r="C175" s="317"/>
      <c r="D175" s="317"/>
      <c r="E175" s="317"/>
      <c r="F175" s="361"/>
      <c r="G175" s="366"/>
      <c r="H175" s="317"/>
      <c r="I175" s="317"/>
      <c r="J175" s="317"/>
      <c r="K175" s="317"/>
      <c r="L175" s="317"/>
      <c r="M175" s="317"/>
      <c r="N175" s="317"/>
      <c r="O175" s="317"/>
      <c r="P175" s="317"/>
      <c r="Q175" s="317"/>
      <c r="R175" s="317"/>
      <c r="S175" s="317"/>
      <c r="T175" s="317"/>
      <c r="U175" s="363"/>
      <c r="V175" s="363"/>
      <c r="W175" s="317"/>
      <c r="X175" s="317"/>
      <c r="Y175" s="317"/>
      <c r="Z175" s="317"/>
      <c r="AA175" s="317"/>
      <c r="AB175" s="317"/>
      <c r="AC175" s="317"/>
      <c r="AD175" s="317"/>
      <c r="AE175" s="317"/>
      <c r="AF175" s="317"/>
      <c r="AG175" s="309"/>
    </row>
    <row r="176" spans="1:33" ht="15.75" customHeight="1" x14ac:dyDescent="0.25">
      <c r="A176" s="317"/>
      <c r="B176" s="317"/>
      <c r="C176" s="317"/>
      <c r="D176" s="317"/>
      <c r="E176" s="317"/>
      <c r="F176" s="361"/>
      <c r="G176" s="366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63"/>
      <c r="V176" s="363"/>
      <c r="W176" s="317"/>
      <c r="X176" s="317"/>
      <c r="Y176" s="317"/>
      <c r="Z176" s="317"/>
      <c r="AA176" s="317"/>
      <c r="AB176" s="317"/>
      <c r="AC176" s="317"/>
      <c r="AD176" s="317"/>
      <c r="AE176" s="317"/>
      <c r="AF176" s="317"/>
      <c r="AG176" s="309"/>
    </row>
    <row r="177" spans="1:33" ht="15.75" customHeight="1" x14ac:dyDescent="0.25">
      <c r="A177" s="317"/>
      <c r="B177" s="317"/>
      <c r="C177" s="317"/>
      <c r="D177" s="317"/>
      <c r="E177" s="317"/>
      <c r="F177" s="361"/>
      <c r="G177" s="366"/>
      <c r="H177" s="317"/>
      <c r="I177" s="317"/>
      <c r="J177" s="317"/>
      <c r="K177" s="317"/>
      <c r="L177" s="317"/>
      <c r="M177" s="317"/>
      <c r="N177" s="317"/>
      <c r="O177" s="317"/>
      <c r="P177" s="317"/>
      <c r="Q177" s="317"/>
      <c r="R177" s="317"/>
      <c r="S177" s="317"/>
      <c r="T177" s="317"/>
      <c r="U177" s="363"/>
      <c r="V177" s="363"/>
      <c r="W177" s="317"/>
      <c r="X177" s="317"/>
      <c r="Y177" s="317"/>
      <c r="Z177" s="317"/>
      <c r="AA177" s="317"/>
      <c r="AB177" s="317"/>
      <c r="AC177" s="317"/>
      <c r="AD177" s="317"/>
      <c r="AE177" s="317"/>
      <c r="AF177" s="317"/>
      <c r="AG177" s="309"/>
    </row>
    <row r="178" spans="1:33" ht="15.75" customHeight="1" x14ac:dyDescent="0.25">
      <c r="A178" s="317"/>
      <c r="B178" s="317"/>
      <c r="C178" s="317"/>
      <c r="D178" s="317"/>
      <c r="E178" s="317"/>
      <c r="F178" s="361"/>
      <c r="G178" s="366"/>
      <c r="H178" s="317"/>
      <c r="I178" s="317"/>
      <c r="J178" s="317"/>
      <c r="K178" s="317"/>
      <c r="L178" s="317"/>
      <c r="M178" s="317"/>
      <c r="N178" s="317"/>
      <c r="O178" s="317"/>
      <c r="P178" s="317"/>
      <c r="Q178" s="317"/>
      <c r="R178" s="317"/>
      <c r="S178" s="317"/>
      <c r="T178" s="317"/>
      <c r="U178" s="363"/>
      <c r="V178" s="363"/>
      <c r="W178" s="317"/>
      <c r="X178" s="317"/>
      <c r="Y178" s="317"/>
      <c r="Z178" s="317"/>
      <c r="AA178" s="317"/>
      <c r="AB178" s="317"/>
      <c r="AC178" s="317"/>
      <c r="AD178" s="317"/>
      <c r="AE178" s="317"/>
      <c r="AF178" s="317"/>
      <c r="AG178" s="309"/>
    </row>
    <row r="179" spans="1:33" ht="15.75" customHeight="1" x14ac:dyDescent="0.25">
      <c r="A179" s="317"/>
      <c r="B179" s="317"/>
      <c r="C179" s="317"/>
      <c r="D179" s="317"/>
      <c r="E179" s="317"/>
      <c r="F179" s="361"/>
      <c r="G179" s="366"/>
      <c r="H179" s="317"/>
      <c r="I179" s="317"/>
      <c r="J179" s="317"/>
      <c r="K179" s="317"/>
      <c r="L179" s="317"/>
      <c r="M179" s="317"/>
      <c r="N179" s="317"/>
      <c r="O179" s="317"/>
      <c r="P179" s="317"/>
      <c r="Q179" s="317"/>
      <c r="R179" s="317"/>
      <c r="S179" s="317"/>
      <c r="T179" s="317"/>
      <c r="U179" s="363"/>
      <c r="V179" s="363"/>
      <c r="W179" s="317"/>
      <c r="X179" s="317"/>
      <c r="Y179" s="317"/>
      <c r="Z179" s="317"/>
      <c r="AA179" s="317"/>
      <c r="AB179" s="317"/>
      <c r="AC179" s="317"/>
      <c r="AD179" s="317"/>
      <c r="AE179" s="317"/>
      <c r="AF179" s="317"/>
      <c r="AG179" s="309"/>
    </row>
    <row r="180" spans="1:33" ht="15.75" customHeight="1" x14ac:dyDescent="0.25">
      <c r="A180" s="317"/>
      <c r="B180" s="317"/>
      <c r="C180" s="317"/>
      <c r="D180" s="317"/>
      <c r="E180" s="317"/>
      <c r="F180" s="361"/>
      <c r="G180" s="366"/>
      <c r="H180" s="317"/>
      <c r="I180" s="317"/>
      <c r="J180" s="317"/>
      <c r="K180" s="317"/>
      <c r="L180" s="317"/>
      <c r="M180" s="317"/>
      <c r="N180" s="317"/>
      <c r="O180" s="317"/>
      <c r="P180" s="317"/>
      <c r="Q180" s="317"/>
      <c r="R180" s="317"/>
      <c r="S180" s="317"/>
      <c r="T180" s="317"/>
      <c r="U180" s="363"/>
      <c r="V180" s="363"/>
      <c r="W180" s="317"/>
      <c r="X180" s="317"/>
      <c r="Y180" s="317"/>
      <c r="Z180" s="317"/>
      <c r="AA180" s="317"/>
      <c r="AB180" s="317"/>
      <c r="AC180" s="317"/>
      <c r="AD180" s="317"/>
      <c r="AE180" s="317"/>
      <c r="AF180" s="317"/>
      <c r="AG180" s="309"/>
    </row>
    <row r="181" spans="1:33" ht="15.75" customHeight="1" x14ac:dyDescent="0.25">
      <c r="A181" s="317"/>
      <c r="B181" s="317"/>
      <c r="C181" s="317"/>
      <c r="D181" s="317"/>
      <c r="E181" s="317"/>
      <c r="F181" s="361"/>
      <c r="G181" s="366"/>
      <c r="H181" s="317"/>
      <c r="I181" s="317"/>
      <c r="J181" s="317"/>
      <c r="K181" s="317"/>
      <c r="L181" s="317"/>
      <c r="M181" s="317"/>
      <c r="N181" s="317"/>
      <c r="O181" s="317"/>
      <c r="P181" s="317"/>
      <c r="Q181" s="317"/>
      <c r="R181" s="317"/>
      <c r="S181" s="317"/>
      <c r="T181" s="317"/>
      <c r="U181" s="363"/>
      <c r="V181" s="363"/>
      <c r="W181" s="317"/>
      <c r="X181" s="317"/>
      <c r="Y181" s="317"/>
      <c r="Z181" s="317"/>
      <c r="AA181" s="317"/>
      <c r="AB181" s="317"/>
      <c r="AC181" s="317"/>
      <c r="AD181" s="317"/>
      <c r="AE181" s="317"/>
      <c r="AF181" s="317"/>
      <c r="AG181" s="309"/>
    </row>
    <row r="182" spans="1:33" ht="15.75" customHeight="1" x14ac:dyDescent="0.25">
      <c r="A182" s="317"/>
      <c r="B182" s="317"/>
      <c r="C182" s="317"/>
      <c r="D182" s="317"/>
      <c r="E182" s="317"/>
      <c r="F182" s="361"/>
      <c r="G182" s="366"/>
      <c r="H182" s="317"/>
      <c r="I182" s="317"/>
      <c r="J182" s="317"/>
      <c r="K182" s="317"/>
      <c r="L182" s="317"/>
      <c r="M182" s="317"/>
      <c r="N182" s="317"/>
      <c r="O182" s="317"/>
      <c r="P182" s="317"/>
      <c r="Q182" s="317"/>
      <c r="R182" s="317"/>
      <c r="S182" s="317"/>
      <c r="T182" s="317"/>
      <c r="U182" s="363"/>
      <c r="V182" s="363"/>
      <c r="W182" s="317"/>
      <c r="X182" s="317"/>
      <c r="Y182" s="317"/>
      <c r="Z182" s="317"/>
      <c r="AA182" s="317"/>
      <c r="AB182" s="317"/>
      <c r="AC182" s="317"/>
      <c r="AD182" s="317"/>
      <c r="AE182" s="317"/>
      <c r="AF182" s="317"/>
      <c r="AG182" s="309"/>
    </row>
    <row r="183" spans="1:33" ht="15.75" customHeight="1" x14ac:dyDescent="0.25">
      <c r="A183" s="317"/>
      <c r="B183" s="317"/>
      <c r="C183" s="317"/>
      <c r="D183" s="317"/>
      <c r="E183" s="317"/>
      <c r="F183" s="361"/>
      <c r="G183" s="366"/>
      <c r="H183" s="317"/>
      <c r="I183" s="317"/>
      <c r="J183" s="317"/>
      <c r="K183" s="317"/>
      <c r="L183" s="317"/>
      <c r="M183" s="317"/>
      <c r="N183" s="317"/>
      <c r="O183" s="317"/>
      <c r="P183" s="317"/>
      <c r="Q183" s="317"/>
      <c r="R183" s="317"/>
      <c r="S183" s="317"/>
      <c r="T183" s="317"/>
      <c r="U183" s="363"/>
      <c r="V183" s="363"/>
      <c r="W183" s="317"/>
      <c r="X183" s="317"/>
      <c r="Y183" s="317"/>
      <c r="Z183" s="317"/>
      <c r="AA183" s="317"/>
      <c r="AB183" s="317"/>
      <c r="AC183" s="317"/>
      <c r="AD183" s="317"/>
      <c r="AE183" s="317"/>
      <c r="AF183" s="317"/>
      <c r="AG183" s="309"/>
    </row>
    <row r="184" spans="1:33" ht="15.75" customHeight="1" x14ac:dyDescent="0.25">
      <c r="A184" s="317"/>
      <c r="B184" s="317"/>
      <c r="C184" s="317"/>
      <c r="D184" s="317"/>
      <c r="E184" s="317"/>
      <c r="F184" s="361"/>
      <c r="G184" s="366"/>
      <c r="H184" s="317"/>
      <c r="I184" s="317"/>
      <c r="J184" s="317"/>
      <c r="K184" s="317"/>
      <c r="L184" s="317"/>
      <c r="M184" s="317"/>
      <c r="N184" s="317"/>
      <c r="O184" s="317"/>
      <c r="P184" s="317"/>
      <c r="Q184" s="317"/>
      <c r="R184" s="317"/>
      <c r="S184" s="317"/>
      <c r="T184" s="317"/>
      <c r="U184" s="363"/>
      <c r="V184" s="363"/>
      <c r="W184" s="317"/>
      <c r="X184" s="317"/>
      <c r="Y184" s="317"/>
      <c r="Z184" s="317"/>
      <c r="AA184" s="317"/>
      <c r="AB184" s="317"/>
      <c r="AC184" s="317"/>
      <c r="AD184" s="317"/>
      <c r="AE184" s="317"/>
      <c r="AF184" s="317"/>
      <c r="AG184" s="309"/>
    </row>
    <row r="185" spans="1:33" ht="15.75" customHeight="1" x14ac:dyDescent="0.25">
      <c r="A185" s="317"/>
      <c r="B185" s="317"/>
      <c r="C185" s="317"/>
      <c r="D185" s="317"/>
      <c r="E185" s="317"/>
      <c r="F185" s="361"/>
      <c r="G185" s="366"/>
      <c r="H185" s="317"/>
      <c r="I185" s="317"/>
      <c r="J185" s="317"/>
      <c r="K185" s="317"/>
      <c r="L185" s="317"/>
      <c r="M185" s="317"/>
      <c r="N185" s="317"/>
      <c r="O185" s="317"/>
      <c r="P185" s="317"/>
      <c r="Q185" s="317"/>
      <c r="R185" s="317"/>
      <c r="S185" s="317"/>
      <c r="T185" s="317"/>
      <c r="U185" s="363"/>
      <c r="V185" s="363"/>
      <c r="W185" s="317"/>
      <c r="X185" s="317"/>
      <c r="Y185" s="317"/>
      <c r="Z185" s="317"/>
      <c r="AA185" s="317"/>
      <c r="AB185" s="317"/>
      <c r="AC185" s="317"/>
      <c r="AD185" s="317"/>
      <c r="AE185" s="317"/>
      <c r="AF185" s="317"/>
      <c r="AG185" s="309"/>
    </row>
    <row r="186" spans="1:33" ht="15.75" customHeight="1" x14ac:dyDescent="0.25">
      <c r="A186" s="317"/>
      <c r="B186" s="317"/>
      <c r="C186" s="317"/>
      <c r="D186" s="317"/>
      <c r="E186" s="317"/>
      <c r="F186" s="361"/>
      <c r="G186" s="366"/>
      <c r="H186" s="317"/>
      <c r="I186" s="317"/>
      <c r="J186" s="317"/>
      <c r="K186" s="317"/>
      <c r="L186" s="317"/>
      <c r="M186" s="317"/>
      <c r="N186" s="317"/>
      <c r="O186" s="317"/>
      <c r="P186" s="317"/>
      <c r="Q186" s="317"/>
      <c r="R186" s="317"/>
      <c r="S186" s="317"/>
      <c r="T186" s="317"/>
      <c r="U186" s="363"/>
      <c r="V186" s="363"/>
      <c r="W186" s="317"/>
      <c r="X186" s="317"/>
      <c r="Y186" s="317"/>
      <c r="Z186" s="317"/>
      <c r="AA186" s="317"/>
      <c r="AB186" s="317"/>
      <c r="AC186" s="317"/>
      <c r="AD186" s="317"/>
      <c r="AE186" s="317"/>
      <c r="AF186" s="317"/>
      <c r="AG186" s="309"/>
    </row>
    <row r="187" spans="1:33" ht="15.75" customHeight="1" x14ac:dyDescent="0.25">
      <c r="A187" s="317"/>
      <c r="B187" s="317"/>
      <c r="C187" s="317"/>
      <c r="D187" s="317"/>
      <c r="E187" s="317"/>
      <c r="F187" s="361"/>
      <c r="G187" s="366"/>
      <c r="H187" s="317"/>
      <c r="I187" s="317"/>
      <c r="J187" s="317"/>
      <c r="K187" s="317"/>
      <c r="L187" s="317"/>
      <c r="M187" s="317"/>
      <c r="N187" s="317"/>
      <c r="O187" s="317"/>
      <c r="P187" s="317"/>
      <c r="Q187" s="317"/>
      <c r="R187" s="317"/>
      <c r="S187" s="317"/>
      <c r="T187" s="317"/>
      <c r="U187" s="363"/>
      <c r="V187" s="363"/>
      <c r="W187" s="317"/>
      <c r="X187" s="317"/>
      <c r="Y187" s="317"/>
      <c r="Z187" s="317"/>
      <c r="AA187" s="317"/>
      <c r="AB187" s="317"/>
      <c r="AC187" s="317"/>
      <c r="AD187" s="317"/>
      <c r="AE187" s="317"/>
      <c r="AF187" s="317"/>
      <c r="AG187" s="309"/>
    </row>
    <row r="188" spans="1:33" ht="15.75" customHeight="1" x14ac:dyDescent="0.25">
      <c r="A188" s="317"/>
      <c r="B188" s="317"/>
      <c r="C188" s="317"/>
      <c r="D188" s="317"/>
      <c r="E188" s="317"/>
      <c r="F188" s="361"/>
      <c r="G188" s="366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63"/>
      <c r="V188" s="363"/>
      <c r="W188" s="317"/>
      <c r="X188" s="317"/>
      <c r="Y188" s="317"/>
      <c r="Z188" s="317"/>
      <c r="AA188" s="317"/>
      <c r="AB188" s="317"/>
      <c r="AC188" s="317"/>
      <c r="AD188" s="317"/>
      <c r="AE188" s="317"/>
      <c r="AF188" s="317"/>
      <c r="AG188" s="309"/>
    </row>
    <row r="189" spans="1:33" ht="15.75" customHeight="1" x14ac:dyDescent="0.25">
      <c r="A189" s="317"/>
      <c r="B189" s="317"/>
      <c r="C189" s="317"/>
      <c r="D189" s="317"/>
      <c r="E189" s="317"/>
      <c r="F189" s="361"/>
      <c r="G189" s="366"/>
      <c r="H189" s="317"/>
      <c r="I189" s="317"/>
      <c r="J189" s="317"/>
      <c r="K189" s="317"/>
      <c r="L189" s="317"/>
      <c r="M189" s="317"/>
      <c r="N189" s="317"/>
      <c r="O189" s="317"/>
      <c r="P189" s="317"/>
      <c r="Q189" s="317"/>
      <c r="R189" s="317"/>
      <c r="S189" s="317"/>
      <c r="T189" s="317"/>
      <c r="U189" s="363"/>
      <c r="V189" s="363"/>
      <c r="W189" s="317"/>
      <c r="X189" s="317"/>
      <c r="Y189" s="317"/>
      <c r="Z189" s="317"/>
      <c r="AA189" s="317"/>
      <c r="AB189" s="317"/>
      <c r="AC189" s="317"/>
      <c r="AD189" s="317"/>
      <c r="AE189" s="317"/>
      <c r="AF189" s="317"/>
      <c r="AG189" s="309"/>
    </row>
    <row r="190" spans="1:33" ht="15.75" customHeight="1" x14ac:dyDescent="0.25">
      <c r="A190" s="317"/>
      <c r="B190" s="317"/>
      <c r="C190" s="317"/>
      <c r="D190" s="317"/>
      <c r="E190" s="317"/>
      <c r="F190" s="361"/>
      <c r="G190" s="366"/>
      <c r="H190" s="317"/>
      <c r="I190" s="317"/>
      <c r="J190" s="317"/>
      <c r="K190" s="317"/>
      <c r="L190" s="317"/>
      <c r="M190" s="317"/>
      <c r="N190" s="317"/>
      <c r="O190" s="317"/>
      <c r="P190" s="317"/>
      <c r="Q190" s="317"/>
      <c r="R190" s="317"/>
      <c r="S190" s="317"/>
      <c r="T190" s="317"/>
      <c r="U190" s="363"/>
      <c r="V190" s="363"/>
      <c r="W190" s="317"/>
      <c r="X190" s="317"/>
      <c r="Y190" s="317"/>
      <c r="Z190" s="317"/>
      <c r="AA190" s="317"/>
      <c r="AB190" s="317"/>
      <c r="AC190" s="317"/>
      <c r="AD190" s="317"/>
      <c r="AE190" s="317"/>
      <c r="AF190" s="317"/>
      <c r="AG190" s="309"/>
    </row>
    <row r="191" spans="1:33" ht="15.75" customHeight="1" x14ac:dyDescent="0.25">
      <c r="A191" s="317"/>
      <c r="B191" s="317"/>
      <c r="C191" s="317"/>
      <c r="D191" s="317"/>
      <c r="E191" s="317"/>
      <c r="F191" s="361"/>
      <c r="G191" s="366"/>
      <c r="H191" s="317"/>
      <c r="I191" s="317"/>
      <c r="J191" s="317"/>
      <c r="K191" s="317"/>
      <c r="L191" s="317"/>
      <c r="M191" s="317"/>
      <c r="N191" s="317"/>
      <c r="O191" s="317"/>
      <c r="P191" s="317"/>
      <c r="Q191" s="317"/>
      <c r="R191" s="317"/>
      <c r="S191" s="317"/>
      <c r="T191" s="317"/>
      <c r="U191" s="363"/>
      <c r="V191" s="363"/>
      <c r="W191" s="317"/>
      <c r="X191" s="317"/>
      <c r="Y191" s="317"/>
      <c r="Z191" s="317"/>
      <c r="AA191" s="317"/>
      <c r="AB191" s="317"/>
      <c r="AC191" s="317"/>
      <c r="AD191" s="317"/>
      <c r="AE191" s="317"/>
      <c r="AF191" s="317"/>
      <c r="AG191" s="309"/>
    </row>
    <row r="192" spans="1:33" ht="15.75" customHeight="1" x14ac:dyDescent="0.25">
      <c r="A192" s="317"/>
      <c r="B192" s="317"/>
      <c r="C192" s="317"/>
      <c r="D192" s="317"/>
      <c r="E192" s="317"/>
      <c r="F192" s="361"/>
      <c r="G192" s="366"/>
      <c r="H192" s="317"/>
      <c r="I192" s="317"/>
      <c r="J192" s="317"/>
      <c r="K192" s="317"/>
      <c r="L192" s="317"/>
      <c r="M192" s="317"/>
      <c r="N192" s="317"/>
      <c r="O192" s="317"/>
      <c r="P192" s="317"/>
      <c r="Q192" s="317"/>
      <c r="R192" s="317"/>
      <c r="S192" s="317"/>
      <c r="T192" s="317"/>
      <c r="U192" s="363"/>
      <c r="V192" s="363"/>
      <c r="W192" s="317"/>
      <c r="X192" s="317"/>
      <c r="Y192" s="317"/>
      <c r="Z192" s="317"/>
      <c r="AA192" s="317"/>
      <c r="AB192" s="317"/>
      <c r="AC192" s="317"/>
      <c r="AD192" s="317"/>
      <c r="AE192" s="317"/>
      <c r="AF192" s="317"/>
      <c r="AG192" s="309"/>
    </row>
    <row r="193" spans="1:33" ht="15.75" customHeight="1" x14ac:dyDescent="0.25">
      <c r="A193" s="317"/>
      <c r="B193" s="317"/>
      <c r="C193" s="317"/>
      <c r="D193" s="317"/>
      <c r="E193" s="317"/>
      <c r="F193" s="361"/>
      <c r="G193" s="366"/>
      <c r="H193" s="317"/>
      <c r="I193" s="317"/>
      <c r="J193" s="317"/>
      <c r="K193" s="317"/>
      <c r="L193" s="317"/>
      <c r="M193" s="317"/>
      <c r="N193" s="317"/>
      <c r="O193" s="317"/>
      <c r="P193" s="317"/>
      <c r="Q193" s="317"/>
      <c r="R193" s="317"/>
      <c r="S193" s="317"/>
      <c r="T193" s="317"/>
      <c r="U193" s="363"/>
      <c r="V193" s="363"/>
      <c r="W193" s="317"/>
      <c r="X193" s="317"/>
      <c r="Y193" s="317"/>
      <c r="Z193" s="317"/>
      <c r="AA193" s="317"/>
      <c r="AB193" s="317"/>
      <c r="AC193" s="317"/>
      <c r="AD193" s="317"/>
      <c r="AE193" s="317"/>
      <c r="AF193" s="317"/>
      <c r="AG193" s="309"/>
    </row>
    <row r="194" spans="1:33" ht="15.75" customHeight="1" x14ac:dyDescent="0.25">
      <c r="A194" s="317"/>
      <c r="B194" s="317"/>
      <c r="C194" s="317"/>
      <c r="D194" s="317"/>
      <c r="E194" s="317"/>
      <c r="F194" s="361"/>
      <c r="G194" s="366"/>
      <c r="H194" s="317"/>
      <c r="I194" s="317"/>
      <c r="J194" s="317"/>
      <c r="K194" s="317"/>
      <c r="L194" s="317"/>
      <c r="M194" s="317"/>
      <c r="N194" s="317"/>
      <c r="O194" s="317"/>
      <c r="P194" s="317"/>
      <c r="Q194" s="317"/>
      <c r="R194" s="317"/>
      <c r="S194" s="317"/>
      <c r="T194" s="317"/>
      <c r="U194" s="363"/>
      <c r="V194" s="363"/>
      <c r="W194" s="317"/>
      <c r="X194" s="317"/>
      <c r="Y194" s="317"/>
      <c r="Z194" s="317"/>
      <c r="AA194" s="317"/>
      <c r="AB194" s="317"/>
      <c r="AC194" s="317"/>
      <c r="AD194" s="317"/>
      <c r="AE194" s="317"/>
      <c r="AF194" s="317"/>
      <c r="AG194" s="309"/>
    </row>
    <row r="195" spans="1:33" ht="15.75" customHeight="1" x14ac:dyDescent="0.25">
      <c r="A195" s="317"/>
      <c r="B195" s="317"/>
      <c r="C195" s="317"/>
      <c r="D195" s="317"/>
      <c r="E195" s="317"/>
      <c r="F195" s="361"/>
      <c r="G195" s="366"/>
      <c r="H195" s="317"/>
      <c r="I195" s="317"/>
      <c r="J195" s="317"/>
      <c r="K195" s="317"/>
      <c r="L195" s="317"/>
      <c r="M195" s="317"/>
      <c r="N195" s="317"/>
      <c r="O195" s="317"/>
      <c r="P195" s="317"/>
      <c r="Q195" s="317"/>
      <c r="R195" s="317"/>
      <c r="S195" s="317"/>
      <c r="T195" s="317"/>
      <c r="U195" s="363"/>
      <c r="V195" s="363"/>
      <c r="W195" s="317"/>
      <c r="X195" s="317"/>
      <c r="Y195" s="317"/>
      <c r="Z195" s="317"/>
      <c r="AA195" s="317"/>
      <c r="AB195" s="317"/>
      <c r="AC195" s="317"/>
      <c r="AD195" s="317"/>
      <c r="AE195" s="317"/>
      <c r="AF195" s="317"/>
      <c r="AG195" s="309"/>
    </row>
    <row r="196" spans="1:33" ht="15.75" customHeight="1" x14ac:dyDescent="0.25">
      <c r="A196" s="317"/>
      <c r="B196" s="317"/>
      <c r="C196" s="317"/>
      <c r="D196" s="317"/>
      <c r="E196" s="317"/>
      <c r="F196" s="361"/>
      <c r="G196" s="366"/>
      <c r="H196" s="317"/>
      <c r="I196" s="317"/>
      <c r="J196" s="317"/>
      <c r="K196" s="317"/>
      <c r="L196" s="317"/>
      <c r="M196" s="317"/>
      <c r="N196" s="317"/>
      <c r="O196" s="317"/>
      <c r="P196" s="317"/>
      <c r="Q196" s="317"/>
      <c r="R196" s="317"/>
      <c r="S196" s="317"/>
      <c r="T196" s="317"/>
      <c r="U196" s="363"/>
      <c r="V196" s="363"/>
      <c r="W196" s="317"/>
      <c r="X196" s="317"/>
      <c r="Y196" s="317"/>
      <c r="Z196" s="317"/>
      <c r="AA196" s="317"/>
      <c r="AB196" s="317"/>
      <c r="AC196" s="317"/>
      <c r="AD196" s="317"/>
      <c r="AE196" s="317"/>
      <c r="AF196" s="317"/>
      <c r="AG196" s="309"/>
    </row>
    <row r="197" spans="1:33" ht="15.75" customHeight="1" x14ac:dyDescent="0.25">
      <c r="A197" s="317"/>
      <c r="B197" s="317"/>
      <c r="C197" s="317"/>
      <c r="D197" s="317"/>
      <c r="E197" s="317"/>
      <c r="F197" s="361"/>
      <c r="G197" s="366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63"/>
      <c r="V197" s="363"/>
      <c r="W197" s="317"/>
      <c r="X197" s="317"/>
      <c r="Y197" s="317"/>
      <c r="Z197" s="317"/>
      <c r="AA197" s="317"/>
      <c r="AB197" s="317"/>
      <c r="AC197" s="317"/>
      <c r="AD197" s="317"/>
      <c r="AE197" s="317"/>
      <c r="AF197" s="317"/>
      <c r="AG197" s="309"/>
    </row>
    <row r="198" spans="1:33" ht="15.75" customHeight="1" x14ac:dyDescent="0.25">
      <c r="A198" s="317"/>
      <c r="B198" s="317"/>
      <c r="C198" s="317"/>
      <c r="D198" s="317"/>
      <c r="E198" s="317"/>
      <c r="F198" s="361"/>
      <c r="G198" s="366"/>
      <c r="H198" s="317"/>
      <c r="I198" s="317"/>
      <c r="J198" s="317"/>
      <c r="K198" s="317"/>
      <c r="L198" s="317"/>
      <c r="M198" s="317"/>
      <c r="N198" s="317"/>
      <c r="O198" s="317"/>
      <c r="P198" s="317"/>
      <c r="Q198" s="317"/>
      <c r="R198" s="317"/>
      <c r="S198" s="317"/>
      <c r="T198" s="317"/>
      <c r="U198" s="363"/>
      <c r="V198" s="363"/>
      <c r="W198" s="317"/>
      <c r="X198" s="317"/>
      <c r="Y198" s="317"/>
      <c r="Z198" s="317"/>
      <c r="AA198" s="317"/>
      <c r="AB198" s="317"/>
      <c r="AC198" s="317"/>
      <c r="AD198" s="317"/>
      <c r="AE198" s="317"/>
      <c r="AF198" s="317"/>
      <c r="AG198" s="309"/>
    </row>
    <row r="199" spans="1:33" ht="15.75" customHeight="1" x14ac:dyDescent="0.25">
      <c r="A199" s="317"/>
      <c r="B199" s="317"/>
      <c r="C199" s="317"/>
      <c r="D199" s="317"/>
      <c r="E199" s="317"/>
      <c r="F199" s="361"/>
      <c r="G199" s="366"/>
      <c r="H199" s="317"/>
      <c r="I199" s="317"/>
      <c r="J199" s="317"/>
      <c r="K199" s="317"/>
      <c r="L199" s="317"/>
      <c r="M199" s="317"/>
      <c r="N199" s="317"/>
      <c r="O199" s="317"/>
      <c r="P199" s="317"/>
      <c r="Q199" s="317"/>
      <c r="R199" s="317"/>
      <c r="S199" s="317"/>
      <c r="T199" s="317"/>
      <c r="U199" s="363"/>
      <c r="V199" s="363"/>
      <c r="W199" s="317"/>
      <c r="X199" s="317"/>
      <c r="Y199" s="317"/>
      <c r="Z199" s="317"/>
      <c r="AA199" s="317"/>
      <c r="AB199" s="317"/>
      <c r="AC199" s="317"/>
      <c r="AD199" s="317"/>
      <c r="AE199" s="317"/>
      <c r="AF199" s="317"/>
      <c r="AG199" s="309"/>
    </row>
    <row r="200" spans="1:33" ht="15.75" customHeight="1" x14ac:dyDescent="0.25">
      <c r="A200" s="317"/>
      <c r="B200" s="317"/>
      <c r="C200" s="317"/>
      <c r="D200" s="317"/>
      <c r="E200" s="317"/>
      <c r="F200" s="361"/>
      <c r="G200" s="366"/>
      <c r="H200" s="317"/>
      <c r="I200" s="317"/>
      <c r="J200" s="317"/>
      <c r="K200" s="317"/>
      <c r="L200" s="317"/>
      <c r="M200" s="317"/>
      <c r="N200" s="317"/>
      <c r="O200" s="317"/>
      <c r="P200" s="317"/>
      <c r="Q200" s="317"/>
      <c r="R200" s="317"/>
      <c r="S200" s="317"/>
      <c r="T200" s="317"/>
      <c r="U200" s="363"/>
      <c r="V200" s="363"/>
      <c r="W200" s="317"/>
      <c r="X200" s="317"/>
      <c r="Y200" s="317"/>
      <c r="Z200" s="317"/>
      <c r="AA200" s="317"/>
      <c r="AB200" s="317"/>
      <c r="AC200" s="317"/>
      <c r="AD200" s="317"/>
      <c r="AE200" s="317"/>
      <c r="AF200" s="317"/>
      <c r="AG200" s="309"/>
    </row>
    <row r="201" spans="1:33" ht="15.75" customHeight="1" x14ac:dyDescent="0.25">
      <c r="A201" s="317"/>
      <c r="B201" s="317"/>
      <c r="C201" s="317"/>
      <c r="D201" s="317"/>
      <c r="E201" s="317"/>
      <c r="F201" s="361"/>
      <c r="G201" s="366"/>
      <c r="H201" s="317"/>
      <c r="I201" s="317"/>
      <c r="J201" s="317"/>
      <c r="K201" s="317"/>
      <c r="L201" s="317"/>
      <c r="M201" s="317"/>
      <c r="N201" s="317"/>
      <c r="O201" s="317"/>
      <c r="P201" s="317"/>
      <c r="Q201" s="317"/>
      <c r="R201" s="317"/>
      <c r="S201" s="317"/>
      <c r="T201" s="317"/>
      <c r="U201" s="363"/>
      <c r="V201" s="363"/>
      <c r="W201" s="317"/>
      <c r="X201" s="317"/>
      <c r="Y201" s="317"/>
      <c r="Z201" s="317"/>
      <c r="AA201" s="317"/>
      <c r="AB201" s="317"/>
      <c r="AC201" s="317"/>
      <c r="AD201" s="317"/>
      <c r="AE201" s="317"/>
      <c r="AF201" s="317"/>
      <c r="AG201" s="309"/>
    </row>
    <row r="202" spans="1:33" ht="15.75" customHeight="1" x14ac:dyDescent="0.25">
      <c r="A202" s="317"/>
      <c r="B202" s="317"/>
      <c r="C202" s="317"/>
      <c r="D202" s="317"/>
      <c r="E202" s="317"/>
      <c r="F202" s="361"/>
      <c r="G202" s="366"/>
      <c r="H202" s="317"/>
      <c r="I202" s="317"/>
      <c r="J202" s="317"/>
      <c r="K202" s="317"/>
      <c r="L202" s="317"/>
      <c r="M202" s="317"/>
      <c r="N202" s="317"/>
      <c r="O202" s="317"/>
      <c r="P202" s="317"/>
      <c r="Q202" s="317"/>
      <c r="R202" s="317"/>
      <c r="S202" s="317"/>
      <c r="T202" s="317"/>
      <c r="U202" s="363"/>
      <c r="V202" s="363"/>
      <c r="W202" s="317"/>
      <c r="X202" s="317"/>
      <c r="Y202" s="317"/>
      <c r="Z202" s="317"/>
      <c r="AA202" s="317"/>
      <c r="AB202" s="317"/>
      <c r="AC202" s="317"/>
      <c r="AD202" s="317"/>
      <c r="AE202" s="317"/>
      <c r="AF202" s="317"/>
      <c r="AG202" s="309"/>
    </row>
    <row r="203" spans="1:33" ht="15.75" customHeight="1" x14ac:dyDescent="0.25">
      <c r="A203" s="317"/>
      <c r="B203" s="317"/>
      <c r="C203" s="317"/>
      <c r="D203" s="317"/>
      <c r="E203" s="317"/>
      <c r="F203" s="361"/>
      <c r="G203" s="366"/>
      <c r="H203" s="317"/>
      <c r="I203" s="317"/>
      <c r="J203" s="317"/>
      <c r="K203" s="317"/>
      <c r="L203" s="317"/>
      <c r="M203" s="317"/>
      <c r="N203" s="317"/>
      <c r="O203" s="317"/>
      <c r="P203" s="317"/>
      <c r="Q203" s="317"/>
      <c r="R203" s="317"/>
      <c r="S203" s="317"/>
      <c r="T203" s="317"/>
      <c r="U203" s="363"/>
      <c r="V203" s="363"/>
      <c r="W203" s="317"/>
      <c r="X203" s="317"/>
      <c r="Y203" s="317"/>
      <c r="Z203" s="317"/>
      <c r="AA203" s="317"/>
      <c r="AB203" s="317"/>
      <c r="AC203" s="317"/>
      <c r="AD203" s="317"/>
      <c r="AE203" s="317"/>
      <c r="AF203" s="317"/>
      <c r="AG203" s="309"/>
    </row>
    <row r="204" spans="1:33" ht="15.75" customHeight="1" x14ac:dyDescent="0.25">
      <c r="A204" s="317"/>
      <c r="B204" s="317"/>
      <c r="C204" s="317"/>
      <c r="D204" s="317"/>
      <c r="E204" s="317"/>
      <c r="F204" s="361"/>
      <c r="G204" s="366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63"/>
      <c r="V204" s="363"/>
      <c r="W204" s="317"/>
      <c r="X204" s="317"/>
      <c r="Y204" s="317"/>
      <c r="Z204" s="317"/>
      <c r="AA204" s="317"/>
      <c r="AB204" s="317"/>
      <c r="AC204" s="317"/>
      <c r="AD204" s="317"/>
      <c r="AE204" s="317"/>
      <c r="AF204" s="317"/>
      <c r="AG204" s="309"/>
    </row>
    <row r="205" spans="1:33" ht="15.75" customHeight="1" x14ac:dyDescent="0.25">
      <c r="A205" s="317"/>
      <c r="B205" s="317"/>
      <c r="C205" s="317"/>
      <c r="D205" s="317"/>
      <c r="E205" s="317"/>
      <c r="F205" s="361"/>
      <c r="G205" s="366"/>
      <c r="H205" s="317"/>
      <c r="I205" s="317"/>
      <c r="J205" s="317"/>
      <c r="K205" s="317"/>
      <c r="L205" s="317"/>
      <c r="M205" s="317"/>
      <c r="N205" s="317"/>
      <c r="O205" s="317"/>
      <c r="P205" s="317"/>
      <c r="Q205" s="317"/>
      <c r="R205" s="317"/>
      <c r="S205" s="317"/>
      <c r="T205" s="317"/>
      <c r="U205" s="363"/>
      <c r="V205" s="363"/>
      <c r="W205" s="317"/>
      <c r="X205" s="317"/>
      <c r="Y205" s="317"/>
      <c r="Z205" s="317"/>
      <c r="AA205" s="317"/>
      <c r="AB205" s="317"/>
      <c r="AC205" s="317"/>
      <c r="AD205" s="317"/>
      <c r="AE205" s="317"/>
      <c r="AF205" s="317"/>
      <c r="AG205" s="309"/>
    </row>
    <row r="206" spans="1:33" ht="15.75" customHeight="1" x14ac:dyDescent="0.25">
      <c r="A206" s="317"/>
      <c r="B206" s="317"/>
      <c r="C206" s="317"/>
      <c r="D206" s="317"/>
      <c r="E206" s="317"/>
      <c r="F206" s="361"/>
      <c r="G206" s="366"/>
      <c r="H206" s="317"/>
      <c r="I206" s="317"/>
      <c r="J206" s="317"/>
      <c r="K206" s="317"/>
      <c r="L206" s="317"/>
      <c r="M206" s="317"/>
      <c r="N206" s="317"/>
      <c r="O206" s="317"/>
      <c r="P206" s="317"/>
      <c r="Q206" s="317"/>
      <c r="R206" s="317"/>
      <c r="S206" s="317"/>
      <c r="T206" s="317"/>
      <c r="U206" s="363"/>
      <c r="V206" s="363"/>
      <c r="W206" s="317"/>
      <c r="X206" s="317"/>
      <c r="Y206" s="317"/>
      <c r="Z206" s="317"/>
      <c r="AA206" s="317"/>
      <c r="AB206" s="317"/>
      <c r="AC206" s="317"/>
      <c r="AD206" s="317"/>
      <c r="AE206" s="317"/>
      <c r="AF206" s="317"/>
      <c r="AG206" s="309"/>
    </row>
    <row r="207" spans="1:33" ht="15.75" customHeight="1" x14ac:dyDescent="0.25">
      <c r="A207" s="317"/>
      <c r="B207" s="317"/>
      <c r="C207" s="317"/>
      <c r="D207" s="317"/>
      <c r="E207" s="317"/>
      <c r="F207" s="361"/>
      <c r="G207" s="366"/>
      <c r="H207" s="317"/>
      <c r="I207" s="317"/>
      <c r="J207" s="317"/>
      <c r="K207" s="317"/>
      <c r="L207" s="317"/>
      <c r="M207" s="317"/>
      <c r="N207" s="317"/>
      <c r="O207" s="317"/>
      <c r="P207" s="317"/>
      <c r="Q207" s="317"/>
      <c r="R207" s="317"/>
      <c r="S207" s="317"/>
      <c r="T207" s="317"/>
      <c r="U207" s="363"/>
      <c r="V207" s="363"/>
      <c r="W207" s="317"/>
      <c r="X207" s="317"/>
      <c r="Y207" s="317"/>
      <c r="Z207" s="317"/>
      <c r="AA207" s="317"/>
      <c r="AB207" s="317"/>
      <c r="AC207" s="317"/>
      <c r="AD207" s="317"/>
      <c r="AE207" s="317"/>
      <c r="AF207" s="317"/>
      <c r="AG207" s="309"/>
    </row>
    <row r="208" spans="1:33" ht="15.75" customHeight="1" x14ac:dyDescent="0.25">
      <c r="A208" s="317"/>
      <c r="B208" s="317"/>
      <c r="C208" s="317"/>
      <c r="D208" s="317"/>
      <c r="E208" s="317"/>
      <c r="F208" s="361"/>
      <c r="G208" s="366"/>
      <c r="H208" s="317"/>
      <c r="I208" s="317"/>
      <c r="J208" s="317"/>
      <c r="K208" s="317"/>
      <c r="L208" s="317"/>
      <c r="M208" s="317"/>
      <c r="N208" s="317"/>
      <c r="O208" s="317"/>
      <c r="P208" s="317"/>
      <c r="Q208" s="317"/>
      <c r="R208" s="317"/>
      <c r="S208" s="317"/>
      <c r="T208" s="317"/>
      <c r="U208" s="363"/>
      <c r="V208" s="363"/>
      <c r="W208" s="317"/>
      <c r="X208" s="317"/>
      <c r="Y208" s="317"/>
      <c r="Z208" s="317"/>
      <c r="AA208" s="317"/>
      <c r="AB208" s="317"/>
      <c r="AC208" s="317"/>
      <c r="AD208" s="317"/>
      <c r="AE208" s="317"/>
      <c r="AF208" s="317"/>
      <c r="AG208" s="309"/>
    </row>
    <row r="209" spans="1:33" ht="15.75" customHeight="1" x14ac:dyDescent="0.25">
      <c r="A209" s="317"/>
      <c r="B209" s="317"/>
      <c r="C209" s="317"/>
      <c r="D209" s="317"/>
      <c r="E209" s="317"/>
      <c r="F209" s="361"/>
      <c r="G209" s="366"/>
      <c r="H209" s="317"/>
      <c r="I209" s="317"/>
      <c r="J209" s="317"/>
      <c r="K209" s="317"/>
      <c r="L209" s="317"/>
      <c r="M209" s="317"/>
      <c r="N209" s="317"/>
      <c r="O209" s="317"/>
      <c r="P209" s="317"/>
      <c r="Q209" s="317"/>
      <c r="R209" s="317"/>
      <c r="S209" s="317"/>
      <c r="T209" s="317"/>
      <c r="U209" s="363"/>
      <c r="V209" s="363"/>
      <c r="W209" s="317"/>
      <c r="X209" s="317"/>
      <c r="Y209" s="317"/>
      <c r="Z209" s="317"/>
      <c r="AA209" s="317"/>
      <c r="AB209" s="317"/>
      <c r="AC209" s="317"/>
      <c r="AD209" s="317"/>
      <c r="AE209" s="317"/>
      <c r="AF209" s="317"/>
      <c r="AG209" s="309"/>
    </row>
    <row r="210" spans="1:33" ht="15.75" customHeight="1" x14ac:dyDescent="0.25">
      <c r="A210" s="317"/>
      <c r="B210" s="317"/>
      <c r="C210" s="317"/>
      <c r="D210" s="317"/>
      <c r="E210" s="317"/>
      <c r="F210" s="361"/>
      <c r="G210" s="366"/>
      <c r="H210" s="317"/>
      <c r="I210" s="317"/>
      <c r="J210" s="317"/>
      <c r="K210" s="317"/>
      <c r="L210" s="317"/>
      <c r="M210" s="317"/>
      <c r="N210" s="317"/>
      <c r="O210" s="317"/>
      <c r="P210" s="317"/>
      <c r="Q210" s="317"/>
      <c r="R210" s="317"/>
      <c r="S210" s="317"/>
      <c r="T210" s="317"/>
      <c r="U210" s="363"/>
      <c r="V210" s="363"/>
      <c r="W210" s="317"/>
      <c r="X210" s="317"/>
      <c r="Y210" s="317"/>
      <c r="Z210" s="317"/>
      <c r="AA210" s="317"/>
      <c r="AB210" s="317"/>
      <c r="AC210" s="317"/>
      <c r="AD210" s="317"/>
      <c r="AE210" s="317"/>
      <c r="AF210" s="317"/>
      <c r="AG210" s="309"/>
    </row>
    <row r="211" spans="1:33" ht="15.75" customHeight="1" x14ac:dyDescent="0.25">
      <c r="A211" s="317"/>
      <c r="B211" s="317"/>
      <c r="C211" s="317"/>
      <c r="D211" s="317"/>
      <c r="E211" s="317"/>
      <c r="F211" s="361"/>
      <c r="G211" s="366"/>
      <c r="H211" s="317"/>
      <c r="I211" s="317"/>
      <c r="J211" s="317"/>
      <c r="K211" s="317"/>
      <c r="L211" s="317"/>
      <c r="M211" s="317"/>
      <c r="N211" s="317"/>
      <c r="O211" s="317"/>
      <c r="P211" s="317"/>
      <c r="Q211" s="317"/>
      <c r="R211" s="317"/>
      <c r="S211" s="317"/>
      <c r="T211" s="317"/>
      <c r="U211" s="363"/>
      <c r="V211" s="363"/>
      <c r="W211" s="317"/>
      <c r="X211" s="317"/>
      <c r="Y211" s="317"/>
      <c r="Z211" s="317"/>
      <c r="AA211" s="317"/>
      <c r="AB211" s="317"/>
      <c r="AC211" s="317"/>
      <c r="AD211" s="317"/>
      <c r="AE211" s="317"/>
      <c r="AF211" s="317"/>
      <c r="AG211" s="309"/>
    </row>
    <row r="212" spans="1:33" ht="15.75" customHeight="1" x14ac:dyDescent="0.25">
      <c r="A212" s="317"/>
      <c r="B212" s="317"/>
      <c r="C212" s="317"/>
      <c r="D212" s="317"/>
      <c r="E212" s="317"/>
      <c r="F212" s="361"/>
      <c r="G212" s="366"/>
      <c r="H212" s="317"/>
      <c r="I212" s="317"/>
      <c r="J212" s="317"/>
      <c r="K212" s="317"/>
      <c r="L212" s="317"/>
      <c r="M212" s="317"/>
      <c r="N212" s="317"/>
      <c r="O212" s="317"/>
      <c r="P212" s="317"/>
      <c r="Q212" s="317"/>
      <c r="R212" s="317"/>
      <c r="S212" s="317"/>
      <c r="T212" s="317"/>
      <c r="U212" s="363"/>
      <c r="V212" s="363"/>
      <c r="W212" s="317"/>
      <c r="X212" s="317"/>
      <c r="Y212" s="317"/>
      <c r="Z212" s="317"/>
      <c r="AA212" s="317"/>
      <c r="AB212" s="317"/>
      <c r="AC212" s="317"/>
      <c r="AD212" s="317"/>
      <c r="AE212" s="317"/>
      <c r="AF212" s="317"/>
      <c r="AG212" s="309"/>
    </row>
    <row r="213" spans="1:33" ht="15.75" customHeight="1" x14ac:dyDescent="0.25">
      <c r="A213" s="317"/>
      <c r="B213" s="317"/>
      <c r="C213" s="317"/>
      <c r="D213" s="317"/>
      <c r="E213" s="317"/>
      <c r="F213" s="361"/>
      <c r="G213" s="366"/>
      <c r="H213" s="317"/>
      <c r="I213" s="317"/>
      <c r="J213" s="317"/>
      <c r="K213" s="317"/>
      <c r="L213" s="317"/>
      <c r="M213" s="317"/>
      <c r="N213" s="317"/>
      <c r="O213" s="317"/>
      <c r="P213" s="317"/>
      <c r="Q213" s="317"/>
      <c r="R213" s="317"/>
      <c r="S213" s="317"/>
      <c r="T213" s="317"/>
      <c r="U213" s="363"/>
      <c r="V213" s="363"/>
      <c r="W213" s="317"/>
      <c r="X213" s="317"/>
      <c r="Y213" s="317"/>
      <c r="Z213" s="317"/>
      <c r="AA213" s="317"/>
      <c r="AB213" s="317"/>
      <c r="AC213" s="317"/>
      <c r="AD213" s="317"/>
      <c r="AE213" s="317"/>
      <c r="AF213" s="317"/>
      <c r="AG213" s="309"/>
    </row>
    <row r="214" spans="1:33" ht="15.75" customHeight="1" x14ac:dyDescent="0.25">
      <c r="A214" s="317"/>
      <c r="B214" s="317"/>
      <c r="C214" s="317"/>
      <c r="D214" s="317"/>
      <c r="E214" s="317"/>
      <c r="F214" s="361"/>
      <c r="G214" s="366"/>
      <c r="H214" s="317"/>
      <c r="I214" s="317"/>
      <c r="J214" s="317"/>
      <c r="K214" s="317"/>
      <c r="L214" s="317"/>
      <c r="M214" s="317"/>
      <c r="N214" s="317"/>
      <c r="O214" s="317"/>
      <c r="P214" s="317"/>
      <c r="Q214" s="317"/>
      <c r="R214" s="317"/>
      <c r="S214" s="317"/>
      <c r="T214" s="317"/>
      <c r="U214" s="363"/>
      <c r="V214" s="363"/>
      <c r="W214" s="317"/>
      <c r="X214" s="317"/>
      <c r="Y214" s="317"/>
      <c r="Z214" s="317"/>
      <c r="AA214" s="317"/>
      <c r="AB214" s="317"/>
      <c r="AC214" s="317"/>
      <c r="AD214" s="317"/>
      <c r="AE214" s="317"/>
      <c r="AF214" s="317"/>
      <c r="AG214" s="309"/>
    </row>
    <row r="215" spans="1:33" ht="15.75" customHeight="1" x14ac:dyDescent="0.25">
      <c r="A215" s="317"/>
      <c r="B215" s="317"/>
      <c r="C215" s="317"/>
      <c r="D215" s="317"/>
      <c r="E215" s="317"/>
      <c r="F215" s="361"/>
      <c r="G215" s="366"/>
      <c r="H215" s="317"/>
      <c r="I215" s="317"/>
      <c r="J215" s="317"/>
      <c r="K215" s="317"/>
      <c r="L215" s="317"/>
      <c r="M215" s="317"/>
      <c r="N215" s="317"/>
      <c r="O215" s="317"/>
      <c r="P215" s="317"/>
      <c r="Q215" s="317"/>
      <c r="R215" s="317"/>
      <c r="S215" s="317"/>
      <c r="T215" s="317"/>
      <c r="U215" s="363"/>
      <c r="V215" s="363"/>
      <c r="W215" s="317"/>
      <c r="X215" s="317"/>
      <c r="Y215" s="317"/>
      <c r="Z215" s="317"/>
      <c r="AA215" s="317"/>
      <c r="AB215" s="317"/>
      <c r="AC215" s="317"/>
      <c r="AD215" s="317"/>
      <c r="AE215" s="317"/>
      <c r="AF215" s="317"/>
      <c r="AG215" s="309"/>
    </row>
    <row r="216" spans="1:33" ht="15.75" customHeight="1" x14ac:dyDescent="0.25">
      <c r="A216" s="317"/>
      <c r="B216" s="317"/>
      <c r="C216" s="317"/>
      <c r="D216" s="317"/>
      <c r="E216" s="317"/>
      <c r="F216" s="361"/>
      <c r="G216" s="366"/>
      <c r="H216" s="317"/>
      <c r="I216" s="317"/>
      <c r="J216" s="317"/>
      <c r="K216" s="317"/>
      <c r="L216" s="317"/>
      <c r="M216" s="317"/>
      <c r="N216" s="317"/>
      <c r="O216" s="317"/>
      <c r="P216" s="317"/>
      <c r="Q216" s="317"/>
      <c r="R216" s="317"/>
      <c r="S216" s="317"/>
      <c r="T216" s="317"/>
      <c r="U216" s="363"/>
      <c r="V216" s="363"/>
      <c r="W216" s="317"/>
      <c r="X216" s="317"/>
      <c r="Y216" s="317"/>
      <c r="Z216" s="317"/>
      <c r="AA216" s="317"/>
      <c r="AB216" s="317"/>
      <c r="AC216" s="317"/>
      <c r="AD216" s="317"/>
      <c r="AE216" s="317"/>
      <c r="AF216" s="317"/>
      <c r="AG216" s="309"/>
    </row>
    <row r="217" spans="1:33" ht="15.75" customHeight="1" x14ac:dyDescent="0.25">
      <c r="A217" s="317"/>
      <c r="B217" s="317"/>
      <c r="C217" s="317"/>
      <c r="D217" s="317"/>
      <c r="E217" s="317"/>
      <c r="F217" s="361"/>
      <c r="G217" s="366"/>
      <c r="H217" s="317"/>
      <c r="I217" s="317"/>
      <c r="J217" s="317"/>
      <c r="K217" s="317"/>
      <c r="L217" s="317"/>
      <c r="M217" s="317"/>
      <c r="N217" s="317"/>
      <c r="O217" s="317"/>
      <c r="P217" s="317"/>
      <c r="Q217" s="317"/>
      <c r="R217" s="317"/>
      <c r="S217" s="317"/>
      <c r="T217" s="317"/>
      <c r="U217" s="363"/>
      <c r="V217" s="363"/>
      <c r="W217" s="317"/>
      <c r="X217" s="317"/>
      <c r="Y217" s="317"/>
      <c r="Z217" s="317"/>
      <c r="AA217" s="317"/>
      <c r="AB217" s="317"/>
      <c r="AC217" s="317"/>
      <c r="AD217" s="317"/>
      <c r="AE217" s="317"/>
      <c r="AF217" s="317"/>
      <c r="AG217" s="309"/>
    </row>
    <row r="218" spans="1:33" ht="15.75" customHeight="1" x14ac:dyDescent="0.25">
      <c r="A218" s="317"/>
      <c r="B218" s="317"/>
      <c r="C218" s="317"/>
      <c r="D218" s="317"/>
      <c r="E218" s="317"/>
      <c r="F218" s="361"/>
      <c r="G218" s="366"/>
      <c r="H218" s="317"/>
      <c r="I218" s="317"/>
      <c r="J218" s="317"/>
      <c r="K218" s="317"/>
      <c r="L218" s="317"/>
      <c r="M218" s="317"/>
      <c r="N218" s="317"/>
      <c r="O218" s="317"/>
      <c r="P218" s="317"/>
      <c r="Q218" s="317"/>
      <c r="R218" s="317"/>
      <c r="S218" s="317"/>
      <c r="T218" s="317"/>
      <c r="U218" s="363"/>
      <c r="V218" s="363"/>
      <c r="W218" s="317"/>
      <c r="X218" s="317"/>
      <c r="Y218" s="317"/>
      <c r="Z218" s="317"/>
      <c r="AA218" s="317"/>
      <c r="AB218" s="317"/>
      <c r="AC218" s="317"/>
      <c r="AD218" s="317"/>
      <c r="AE218" s="317"/>
      <c r="AF218" s="317"/>
      <c r="AG218" s="309"/>
    </row>
    <row r="219" spans="1:33" ht="15.75" customHeight="1" x14ac:dyDescent="0.25">
      <c r="A219" s="317"/>
      <c r="B219" s="317"/>
      <c r="C219" s="317"/>
      <c r="D219" s="317"/>
      <c r="E219" s="317"/>
      <c r="F219" s="361"/>
      <c r="G219" s="366"/>
      <c r="H219" s="317"/>
      <c r="I219" s="317"/>
      <c r="J219" s="317"/>
      <c r="K219" s="317"/>
      <c r="L219" s="317"/>
      <c r="M219" s="317"/>
      <c r="N219" s="317"/>
      <c r="O219" s="317"/>
      <c r="P219" s="317"/>
      <c r="Q219" s="317"/>
      <c r="R219" s="317"/>
      <c r="S219" s="317"/>
      <c r="T219" s="317"/>
      <c r="U219" s="363"/>
      <c r="V219" s="363"/>
      <c r="W219" s="317"/>
      <c r="X219" s="317"/>
      <c r="Y219" s="317"/>
      <c r="Z219" s="317"/>
      <c r="AA219" s="317"/>
      <c r="AB219" s="317"/>
      <c r="AC219" s="317"/>
      <c r="AD219" s="317"/>
      <c r="AE219" s="317"/>
      <c r="AF219" s="317"/>
      <c r="AG219" s="309"/>
    </row>
    <row r="220" spans="1:33" ht="15.75" customHeight="1" x14ac:dyDescent="0.25">
      <c r="A220" s="317"/>
      <c r="B220" s="317"/>
      <c r="C220" s="317"/>
      <c r="D220" s="317"/>
      <c r="E220" s="317"/>
      <c r="F220" s="361"/>
      <c r="G220" s="366"/>
      <c r="H220" s="317"/>
      <c r="I220" s="317"/>
      <c r="J220" s="317"/>
      <c r="K220" s="317"/>
      <c r="L220" s="317"/>
      <c r="M220" s="317"/>
      <c r="N220" s="317"/>
      <c r="O220" s="317"/>
      <c r="P220" s="317"/>
      <c r="Q220" s="317"/>
      <c r="R220" s="317"/>
      <c r="S220" s="317"/>
      <c r="T220" s="317"/>
      <c r="U220" s="363"/>
      <c r="V220" s="363"/>
      <c r="W220" s="317"/>
      <c r="X220" s="317"/>
      <c r="Y220" s="317"/>
      <c r="Z220" s="317"/>
      <c r="AA220" s="317"/>
      <c r="AB220" s="317"/>
      <c r="AC220" s="317"/>
      <c r="AD220" s="317"/>
      <c r="AE220" s="317"/>
      <c r="AF220" s="317"/>
      <c r="AG220" s="309"/>
    </row>
    <row r="221" spans="1:33" ht="15.75" customHeight="1" x14ac:dyDescent="0.25">
      <c r="A221" s="317"/>
      <c r="B221" s="317"/>
      <c r="C221" s="317"/>
      <c r="D221" s="317"/>
      <c r="E221" s="317"/>
      <c r="F221" s="361"/>
      <c r="G221" s="366"/>
      <c r="H221" s="317"/>
      <c r="I221" s="317"/>
      <c r="J221" s="317"/>
      <c r="K221" s="317"/>
      <c r="L221" s="317"/>
      <c r="M221" s="317"/>
      <c r="N221" s="317"/>
      <c r="O221" s="317"/>
      <c r="P221" s="317"/>
      <c r="Q221" s="317"/>
      <c r="R221" s="317"/>
      <c r="S221" s="317"/>
      <c r="T221" s="317"/>
      <c r="U221" s="363"/>
      <c r="V221" s="363"/>
      <c r="W221" s="317"/>
      <c r="X221" s="317"/>
      <c r="Y221" s="317"/>
      <c r="Z221" s="317"/>
      <c r="AA221" s="317"/>
      <c r="AB221" s="317"/>
      <c r="AC221" s="317"/>
      <c r="AD221" s="317"/>
      <c r="AE221" s="317"/>
      <c r="AF221" s="317"/>
      <c r="AG221" s="309"/>
    </row>
    <row r="222" spans="1:33" ht="15.75" customHeight="1" x14ac:dyDescent="0.25">
      <c r="A222" s="317"/>
      <c r="B222" s="317"/>
      <c r="C222" s="317"/>
      <c r="D222" s="317"/>
      <c r="E222" s="317"/>
      <c r="F222" s="361"/>
      <c r="G222" s="366"/>
      <c r="H222" s="317"/>
      <c r="I222" s="317"/>
      <c r="J222" s="317"/>
      <c r="K222" s="317"/>
      <c r="L222" s="317"/>
      <c r="M222" s="317"/>
      <c r="N222" s="317"/>
      <c r="O222" s="317"/>
      <c r="P222" s="317"/>
      <c r="Q222" s="317"/>
      <c r="R222" s="317"/>
      <c r="S222" s="317"/>
      <c r="T222" s="317"/>
      <c r="U222" s="363"/>
      <c r="V222" s="363"/>
      <c r="W222" s="317"/>
      <c r="X222" s="317"/>
      <c r="Y222" s="317"/>
      <c r="Z222" s="317"/>
      <c r="AA222" s="317"/>
      <c r="AB222" s="317"/>
      <c r="AC222" s="317"/>
      <c r="AD222" s="317"/>
      <c r="AE222" s="317"/>
      <c r="AF222" s="317"/>
      <c r="AG222" s="309"/>
    </row>
    <row r="223" spans="1:33" ht="15.75" customHeight="1" x14ac:dyDescent="0.25">
      <c r="A223" s="317"/>
      <c r="B223" s="317"/>
      <c r="C223" s="317"/>
      <c r="D223" s="317"/>
      <c r="E223" s="317"/>
      <c r="F223" s="361"/>
      <c r="G223" s="366"/>
      <c r="H223" s="317"/>
      <c r="I223" s="317"/>
      <c r="J223" s="317"/>
      <c r="K223" s="317"/>
      <c r="L223" s="317"/>
      <c r="M223" s="317"/>
      <c r="N223" s="317"/>
      <c r="O223" s="317"/>
      <c r="P223" s="317"/>
      <c r="Q223" s="317"/>
      <c r="R223" s="317"/>
      <c r="S223" s="317"/>
      <c r="T223" s="317"/>
      <c r="U223" s="363"/>
      <c r="V223" s="363"/>
      <c r="W223" s="317"/>
      <c r="X223" s="317"/>
      <c r="Y223" s="317"/>
      <c r="Z223" s="317"/>
      <c r="AA223" s="317"/>
      <c r="AB223" s="317"/>
      <c r="AC223" s="317"/>
      <c r="AD223" s="317"/>
      <c r="AE223" s="317"/>
      <c r="AF223" s="317"/>
      <c r="AG223" s="309"/>
    </row>
    <row r="224" spans="1:33" ht="15.75" customHeight="1" x14ac:dyDescent="0.25">
      <c r="A224" s="317"/>
      <c r="B224" s="317"/>
      <c r="C224" s="317"/>
      <c r="D224" s="317"/>
      <c r="E224" s="317"/>
      <c r="F224" s="361"/>
      <c r="G224" s="366"/>
      <c r="H224" s="317"/>
      <c r="I224" s="317"/>
      <c r="J224" s="317"/>
      <c r="K224" s="317"/>
      <c r="L224" s="317"/>
      <c r="M224" s="317"/>
      <c r="N224" s="317"/>
      <c r="O224" s="317"/>
      <c r="P224" s="317"/>
      <c r="Q224" s="317"/>
      <c r="R224" s="317"/>
      <c r="S224" s="317"/>
      <c r="T224" s="317"/>
      <c r="U224" s="363"/>
      <c r="V224" s="363"/>
      <c r="W224" s="317"/>
      <c r="X224" s="317"/>
      <c r="Y224" s="317"/>
      <c r="Z224" s="317"/>
      <c r="AA224" s="317"/>
      <c r="AB224" s="317"/>
      <c r="AC224" s="317"/>
      <c r="AD224" s="317"/>
      <c r="AE224" s="317"/>
      <c r="AF224" s="317"/>
      <c r="AG224" s="309"/>
    </row>
    <row r="225" spans="1:33" ht="15.75" customHeight="1" x14ac:dyDescent="0.25">
      <c r="A225" s="317"/>
      <c r="B225" s="317"/>
      <c r="C225" s="317"/>
      <c r="D225" s="317"/>
      <c r="E225" s="317"/>
      <c r="F225" s="361"/>
      <c r="G225" s="366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63"/>
      <c r="V225" s="363"/>
      <c r="W225" s="317"/>
      <c r="X225" s="317"/>
      <c r="Y225" s="317"/>
      <c r="Z225" s="317"/>
      <c r="AA225" s="317"/>
      <c r="AB225" s="317"/>
      <c r="AC225" s="317"/>
      <c r="AD225" s="317"/>
      <c r="AE225" s="317"/>
      <c r="AF225" s="317"/>
      <c r="AG225" s="309"/>
    </row>
    <row r="226" spans="1:33" ht="15.75" customHeight="1" x14ac:dyDescent="0.25">
      <c r="A226" s="317"/>
      <c r="B226" s="317"/>
      <c r="C226" s="317"/>
      <c r="D226" s="317"/>
      <c r="E226" s="317"/>
      <c r="F226" s="361"/>
      <c r="G226" s="366"/>
      <c r="H226" s="317"/>
      <c r="I226" s="317"/>
      <c r="J226" s="317"/>
      <c r="K226" s="317"/>
      <c r="L226" s="317"/>
      <c r="M226" s="317"/>
      <c r="N226" s="317"/>
      <c r="O226" s="317"/>
      <c r="P226" s="317"/>
      <c r="Q226" s="317"/>
      <c r="R226" s="317"/>
      <c r="S226" s="317"/>
      <c r="T226" s="317"/>
      <c r="U226" s="363"/>
      <c r="V226" s="363"/>
      <c r="W226" s="317"/>
      <c r="X226" s="317"/>
      <c r="Y226" s="317"/>
      <c r="Z226" s="317"/>
      <c r="AA226" s="317"/>
      <c r="AB226" s="317"/>
      <c r="AC226" s="317"/>
      <c r="AD226" s="317"/>
      <c r="AE226" s="317"/>
      <c r="AF226" s="317"/>
      <c r="AG226" s="309"/>
    </row>
    <row r="227" spans="1:33" ht="15.75" customHeight="1" x14ac:dyDescent="0.25">
      <c r="A227" s="317"/>
      <c r="B227" s="317"/>
      <c r="C227" s="317"/>
      <c r="D227" s="317"/>
      <c r="E227" s="317"/>
      <c r="F227" s="361"/>
      <c r="G227" s="366"/>
      <c r="H227" s="317"/>
      <c r="I227" s="317"/>
      <c r="J227" s="317"/>
      <c r="K227" s="317"/>
      <c r="L227" s="317"/>
      <c r="M227" s="317"/>
      <c r="N227" s="317"/>
      <c r="O227" s="317"/>
      <c r="P227" s="317"/>
      <c r="Q227" s="317"/>
      <c r="R227" s="317"/>
      <c r="S227" s="317"/>
      <c r="T227" s="317"/>
      <c r="U227" s="363"/>
      <c r="V227" s="363"/>
      <c r="W227" s="317"/>
      <c r="X227" s="317"/>
      <c r="Y227" s="317"/>
      <c r="Z227" s="317"/>
      <c r="AA227" s="317"/>
      <c r="AB227" s="317"/>
      <c r="AC227" s="317"/>
      <c r="AD227" s="317"/>
      <c r="AE227" s="317"/>
      <c r="AF227" s="317"/>
      <c r="AG227" s="309"/>
    </row>
    <row r="228" spans="1:33" ht="15.75" customHeight="1" x14ac:dyDescent="0.25">
      <c r="A228" s="317"/>
      <c r="B228" s="317"/>
      <c r="C228" s="317"/>
      <c r="D228" s="317"/>
      <c r="E228" s="317"/>
      <c r="F228" s="361"/>
      <c r="G228" s="366"/>
      <c r="H228" s="317"/>
      <c r="I228" s="317"/>
      <c r="J228" s="317"/>
      <c r="K228" s="317"/>
      <c r="L228" s="317"/>
      <c r="M228" s="317"/>
      <c r="N228" s="317"/>
      <c r="O228" s="317"/>
      <c r="P228" s="317"/>
      <c r="Q228" s="317"/>
      <c r="R228" s="317"/>
      <c r="S228" s="317"/>
      <c r="T228" s="317"/>
      <c r="U228" s="363"/>
      <c r="V228" s="363"/>
      <c r="W228" s="317"/>
      <c r="X228" s="317"/>
      <c r="Y228" s="317"/>
      <c r="Z228" s="317"/>
      <c r="AA228" s="317"/>
      <c r="AB228" s="317"/>
      <c r="AC228" s="317"/>
      <c r="AD228" s="317"/>
      <c r="AE228" s="317"/>
      <c r="AF228" s="317"/>
      <c r="AG228" s="309"/>
    </row>
    <row r="229" spans="1:33" ht="15.75" customHeight="1" x14ac:dyDescent="0.25">
      <c r="A229" s="317"/>
      <c r="B229" s="317"/>
      <c r="C229" s="317"/>
      <c r="D229" s="317"/>
      <c r="E229" s="317"/>
      <c r="F229" s="361"/>
      <c r="G229" s="366"/>
      <c r="H229" s="317"/>
      <c r="I229" s="317"/>
      <c r="J229" s="317"/>
      <c r="K229" s="317"/>
      <c r="L229" s="317"/>
      <c r="M229" s="317"/>
      <c r="N229" s="317"/>
      <c r="O229" s="317"/>
      <c r="P229" s="317"/>
      <c r="Q229" s="317"/>
      <c r="R229" s="317"/>
      <c r="S229" s="317"/>
      <c r="T229" s="317"/>
      <c r="U229" s="363"/>
      <c r="V229" s="363"/>
      <c r="W229" s="317"/>
      <c r="X229" s="317"/>
      <c r="Y229" s="317"/>
      <c r="Z229" s="317"/>
      <c r="AA229" s="317"/>
      <c r="AB229" s="317"/>
      <c r="AC229" s="317"/>
      <c r="AD229" s="317"/>
      <c r="AE229" s="317"/>
      <c r="AF229" s="317"/>
      <c r="AG229" s="309"/>
    </row>
    <row r="230" spans="1:33" ht="15.75" customHeight="1" x14ac:dyDescent="0.25">
      <c r="A230" s="317"/>
      <c r="B230" s="317"/>
      <c r="C230" s="317"/>
      <c r="D230" s="317"/>
      <c r="E230" s="317"/>
      <c r="F230" s="361"/>
      <c r="G230" s="366"/>
      <c r="H230" s="317"/>
      <c r="I230" s="317"/>
      <c r="J230" s="317"/>
      <c r="K230" s="317"/>
      <c r="L230" s="317"/>
      <c r="M230" s="317"/>
      <c r="N230" s="317"/>
      <c r="O230" s="317"/>
      <c r="P230" s="317"/>
      <c r="Q230" s="317"/>
      <c r="R230" s="317"/>
      <c r="S230" s="317"/>
      <c r="T230" s="317"/>
      <c r="U230" s="363"/>
      <c r="V230" s="363"/>
      <c r="W230" s="317"/>
      <c r="X230" s="317"/>
      <c r="Y230" s="317"/>
      <c r="Z230" s="317"/>
      <c r="AA230" s="317"/>
      <c r="AB230" s="317"/>
      <c r="AC230" s="317"/>
      <c r="AD230" s="317"/>
      <c r="AE230" s="317"/>
      <c r="AF230" s="317"/>
      <c r="AG230" s="309"/>
    </row>
    <row r="231" spans="1:33" ht="15.75" customHeight="1" x14ac:dyDescent="0.25">
      <c r="A231" s="317"/>
      <c r="B231" s="317"/>
      <c r="C231" s="317"/>
      <c r="D231" s="317"/>
      <c r="E231" s="317"/>
      <c r="F231" s="361"/>
      <c r="G231" s="366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63"/>
      <c r="V231" s="363"/>
      <c r="W231" s="317"/>
      <c r="X231" s="317"/>
      <c r="Y231" s="317"/>
      <c r="Z231" s="317"/>
      <c r="AA231" s="317"/>
      <c r="AB231" s="317"/>
      <c r="AC231" s="317"/>
      <c r="AD231" s="317"/>
      <c r="AE231" s="317"/>
      <c r="AF231" s="317"/>
      <c r="AG231" s="309"/>
    </row>
    <row r="232" spans="1:33" ht="15.75" customHeight="1" x14ac:dyDescent="0.25">
      <c r="A232" s="317"/>
      <c r="B232" s="317"/>
      <c r="C232" s="317"/>
      <c r="D232" s="317"/>
      <c r="E232" s="317"/>
      <c r="F232" s="361"/>
      <c r="G232" s="366"/>
      <c r="H232" s="317"/>
      <c r="I232" s="317"/>
      <c r="J232" s="317"/>
      <c r="K232" s="317"/>
      <c r="L232" s="317"/>
      <c r="M232" s="317"/>
      <c r="N232" s="317"/>
      <c r="O232" s="317"/>
      <c r="P232" s="317"/>
      <c r="Q232" s="317"/>
      <c r="R232" s="317"/>
      <c r="S232" s="317"/>
      <c r="T232" s="317"/>
      <c r="U232" s="363"/>
      <c r="V232" s="363"/>
      <c r="W232" s="317"/>
      <c r="X232" s="317"/>
      <c r="Y232" s="317"/>
      <c r="Z232" s="317"/>
      <c r="AA232" s="317"/>
      <c r="AB232" s="317"/>
      <c r="AC232" s="317"/>
      <c r="AD232" s="317"/>
      <c r="AE232" s="317"/>
      <c r="AF232" s="317"/>
      <c r="AG232" s="309"/>
    </row>
    <row r="233" spans="1:33" ht="15.75" customHeight="1" x14ac:dyDescent="0.25">
      <c r="A233" s="317"/>
      <c r="B233" s="317"/>
      <c r="C233" s="317"/>
      <c r="D233" s="317"/>
      <c r="E233" s="317"/>
      <c r="F233" s="361"/>
      <c r="G233" s="366"/>
      <c r="H233" s="317"/>
      <c r="I233" s="317"/>
      <c r="J233" s="317"/>
      <c r="K233" s="317"/>
      <c r="L233" s="317"/>
      <c r="M233" s="317"/>
      <c r="N233" s="317"/>
      <c r="O233" s="317"/>
      <c r="P233" s="317"/>
      <c r="Q233" s="317"/>
      <c r="R233" s="317"/>
      <c r="S233" s="317"/>
      <c r="T233" s="317"/>
      <c r="U233" s="363"/>
      <c r="V233" s="363"/>
      <c r="W233" s="317"/>
      <c r="X233" s="317"/>
      <c r="Y233" s="317"/>
      <c r="Z233" s="317"/>
      <c r="AA233" s="317"/>
      <c r="AB233" s="317"/>
      <c r="AC233" s="317"/>
      <c r="AD233" s="317"/>
      <c r="AE233" s="317"/>
      <c r="AF233" s="317"/>
      <c r="AG233" s="309"/>
    </row>
    <row r="234" spans="1:33" ht="15.75" customHeight="1" x14ac:dyDescent="0.25">
      <c r="A234" s="317"/>
      <c r="B234" s="317"/>
      <c r="C234" s="317"/>
      <c r="D234" s="317"/>
      <c r="E234" s="317"/>
      <c r="F234" s="361"/>
      <c r="G234" s="366"/>
      <c r="H234" s="317"/>
      <c r="I234" s="317"/>
      <c r="J234" s="317"/>
      <c r="K234" s="317"/>
      <c r="L234" s="317"/>
      <c r="M234" s="317"/>
      <c r="N234" s="317"/>
      <c r="O234" s="317"/>
      <c r="P234" s="317"/>
      <c r="Q234" s="317"/>
      <c r="R234" s="317"/>
      <c r="S234" s="317"/>
      <c r="T234" s="317"/>
      <c r="U234" s="363"/>
      <c r="V234" s="363"/>
      <c r="W234" s="317"/>
      <c r="X234" s="317"/>
      <c r="Y234" s="317"/>
      <c r="Z234" s="317"/>
      <c r="AA234" s="317"/>
      <c r="AB234" s="317"/>
      <c r="AC234" s="317"/>
      <c r="AD234" s="317"/>
      <c r="AE234" s="317"/>
      <c r="AF234" s="317"/>
      <c r="AG234" s="309"/>
    </row>
    <row r="235" spans="1:33" ht="15.75" customHeight="1" x14ac:dyDescent="0.25">
      <c r="A235" s="317"/>
      <c r="B235" s="317"/>
      <c r="C235" s="317"/>
      <c r="D235" s="317"/>
      <c r="E235" s="317"/>
      <c r="F235" s="361"/>
      <c r="G235" s="366"/>
      <c r="H235" s="317"/>
      <c r="I235" s="317"/>
      <c r="J235" s="317"/>
      <c r="K235" s="317"/>
      <c r="L235" s="317"/>
      <c r="M235" s="317"/>
      <c r="N235" s="317"/>
      <c r="O235" s="317"/>
      <c r="P235" s="317"/>
      <c r="Q235" s="317"/>
      <c r="R235" s="317"/>
      <c r="S235" s="317"/>
      <c r="T235" s="317"/>
      <c r="U235" s="363"/>
      <c r="V235" s="363"/>
      <c r="W235" s="317"/>
      <c r="X235" s="317"/>
      <c r="Y235" s="317"/>
      <c r="Z235" s="317"/>
      <c r="AA235" s="317"/>
      <c r="AB235" s="317"/>
      <c r="AC235" s="317"/>
      <c r="AD235" s="317"/>
      <c r="AE235" s="317"/>
      <c r="AF235" s="317"/>
      <c r="AG235" s="309"/>
    </row>
    <row r="236" spans="1:33" ht="15.75" customHeight="1" x14ac:dyDescent="0.25">
      <c r="A236" s="317"/>
      <c r="B236" s="317"/>
      <c r="C236" s="317"/>
      <c r="D236" s="317"/>
      <c r="E236" s="317"/>
      <c r="F236" s="361"/>
      <c r="G236" s="366"/>
      <c r="H236" s="317"/>
      <c r="I236" s="317"/>
      <c r="J236" s="317"/>
      <c r="K236" s="317"/>
      <c r="L236" s="317"/>
      <c r="M236" s="317"/>
      <c r="N236" s="317"/>
      <c r="O236" s="317"/>
      <c r="P236" s="317"/>
      <c r="Q236" s="317"/>
      <c r="R236" s="317"/>
      <c r="S236" s="317"/>
      <c r="T236" s="317"/>
      <c r="U236" s="363"/>
      <c r="V236" s="363"/>
      <c r="W236" s="317"/>
      <c r="X236" s="317"/>
      <c r="Y236" s="317"/>
      <c r="Z236" s="317"/>
      <c r="AA236" s="317"/>
      <c r="AB236" s="317"/>
      <c r="AC236" s="317"/>
      <c r="AD236" s="317"/>
      <c r="AE236" s="317"/>
      <c r="AF236" s="317"/>
      <c r="AG236" s="309"/>
    </row>
    <row r="237" spans="1:33" ht="15.75" customHeight="1" x14ac:dyDescent="0.25">
      <c r="A237" s="317"/>
      <c r="B237" s="317"/>
      <c r="C237" s="317"/>
      <c r="D237" s="317"/>
      <c r="E237" s="317"/>
      <c r="F237" s="361"/>
      <c r="G237" s="366"/>
      <c r="H237" s="317"/>
      <c r="I237" s="317"/>
      <c r="J237" s="317"/>
      <c r="K237" s="317"/>
      <c r="L237" s="317"/>
      <c r="M237" s="317"/>
      <c r="N237" s="317"/>
      <c r="O237" s="317"/>
      <c r="P237" s="317"/>
      <c r="Q237" s="317"/>
      <c r="R237" s="317"/>
      <c r="S237" s="317"/>
      <c r="T237" s="317"/>
      <c r="U237" s="363"/>
      <c r="V237" s="363"/>
      <c r="W237" s="317"/>
      <c r="X237" s="317"/>
      <c r="Y237" s="317"/>
      <c r="Z237" s="317"/>
      <c r="AA237" s="317"/>
      <c r="AB237" s="317"/>
      <c r="AC237" s="317"/>
      <c r="AD237" s="317"/>
      <c r="AE237" s="317"/>
      <c r="AF237" s="317"/>
      <c r="AG237" s="309"/>
    </row>
    <row r="238" spans="1:33" ht="15.75" customHeight="1" x14ac:dyDescent="0.25">
      <c r="A238" s="317"/>
      <c r="B238" s="317"/>
      <c r="C238" s="317"/>
      <c r="D238" s="317"/>
      <c r="E238" s="317"/>
      <c r="F238" s="361"/>
      <c r="G238" s="366"/>
      <c r="H238" s="317"/>
      <c r="I238" s="317"/>
      <c r="J238" s="317"/>
      <c r="K238" s="317"/>
      <c r="L238" s="317"/>
      <c r="M238" s="317"/>
      <c r="N238" s="317"/>
      <c r="O238" s="317"/>
      <c r="P238" s="317"/>
      <c r="Q238" s="317"/>
      <c r="R238" s="317"/>
      <c r="S238" s="317"/>
      <c r="T238" s="317"/>
      <c r="U238" s="363"/>
      <c r="V238" s="363"/>
      <c r="W238" s="317"/>
      <c r="X238" s="317"/>
      <c r="Y238" s="317"/>
      <c r="Z238" s="317"/>
      <c r="AA238" s="317"/>
      <c r="AB238" s="317"/>
      <c r="AC238" s="317"/>
      <c r="AD238" s="317"/>
      <c r="AE238" s="317"/>
      <c r="AF238" s="317"/>
      <c r="AG238" s="309"/>
    </row>
    <row r="239" spans="1:33" ht="15.75" customHeight="1" x14ac:dyDescent="0.25">
      <c r="A239" s="317"/>
      <c r="B239" s="317"/>
      <c r="C239" s="317"/>
      <c r="D239" s="317"/>
      <c r="E239" s="317"/>
      <c r="F239" s="361"/>
      <c r="G239" s="366"/>
      <c r="H239" s="317"/>
      <c r="I239" s="317"/>
      <c r="J239" s="317"/>
      <c r="K239" s="317"/>
      <c r="L239" s="317"/>
      <c r="M239" s="317"/>
      <c r="N239" s="317"/>
      <c r="O239" s="317"/>
      <c r="P239" s="317"/>
      <c r="Q239" s="317"/>
      <c r="R239" s="317"/>
      <c r="S239" s="317"/>
      <c r="T239" s="317"/>
      <c r="U239" s="363"/>
      <c r="V239" s="363"/>
      <c r="W239" s="317"/>
      <c r="X239" s="317"/>
      <c r="Y239" s="317"/>
      <c r="Z239" s="317"/>
      <c r="AA239" s="317"/>
      <c r="AB239" s="317"/>
      <c r="AC239" s="317"/>
      <c r="AD239" s="317"/>
      <c r="AE239" s="317"/>
      <c r="AF239" s="317"/>
      <c r="AG239" s="309"/>
    </row>
    <row r="240" spans="1:33" ht="15.75" customHeight="1" x14ac:dyDescent="0.25">
      <c r="A240" s="317"/>
      <c r="B240" s="317"/>
      <c r="C240" s="317"/>
      <c r="D240" s="317"/>
      <c r="E240" s="317"/>
      <c r="F240" s="361"/>
      <c r="G240" s="366"/>
      <c r="H240" s="317"/>
      <c r="I240" s="317"/>
      <c r="J240" s="317"/>
      <c r="K240" s="317"/>
      <c r="L240" s="317"/>
      <c r="M240" s="317"/>
      <c r="N240" s="317"/>
      <c r="O240" s="317"/>
      <c r="P240" s="317"/>
      <c r="Q240" s="317"/>
      <c r="R240" s="317"/>
      <c r="S240" s="317"/>
      <c r="T240" s="317"/>
      <c r="U240" s="363"/>
      <c r="V240" s="363"/>
      <c r="W240" s="317"/>
      <c r="X240" s="317"/>
      <c r="Y240" s="317"/>
      <c r="Z240" s="317"/>
      <c r="AA240" s="317"/>
      <c r="AB240" s="317"/>
      <c r="AC240" s="317"/>
      <c r="AD240" s="317"/>
      <c r="AE240" s="317"/>
      <c r="AF240" s="317"/>
      <c r="AG240" s="309"/>
    </row>
    <row r="241" spans="1:33" ht="15.75" customHeight="1" x14ac:dyDescent="0.25">
      <c r="A241" s="317"/>
      <c r="B241" s="317"/>
      <c r="C241" s="317"/>
      <c r="D241" s="317"/>
      <c r="E241" s="317"/>
      <c r="F241" s="361"/>
      <c r="G241" s="366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63"/>
      <c r="V241" s="363"/>
      <c r="W241" s="317"/>
      <c r="X241" s="317"/>
      <c r="Y241" s="317"/>
      <c r="Z241" s="317"/>
      <c r="AA241" s="317"/>
      <c r="AB241" s="317"/>
      <c r="AC241" s="317"/>
      <c r="AD241" s="317"/>
      <c r="AE241" s="317"/>
      <c r="AF241" s="317"/>
      <c r="AG241" s="309"/>
    </row>
    <row r="242" spans="1:33" ht="15.75" customHeight="1" x14ac:dyDescent="0.25">
      <c r="A242" s="317"/>
      <c r="B242" s="317"/>
      <c r="C242" s="317"/>
      <c r="D242" s="317"/>
      <c r="E242" s="317"/>
      <c r="F242" s="361"/>
      <c r="G242" s="366"/>
      <c r="H242" s="317"/>
      <c r="I242" s="317"/>
      <c r="J242" s="317"/>
      <c r="K242" s="317"/>
      <c r="L242" s="317"/>
      <c r="M242" s="317"/>
      <c r="N242" s="317"/>
      <c r="O242" s="317"/>
      <c r="P242" s="317"/>
      <c r="Q242" s="317"/>
      <c r="R242" s="317"/>
      <c r="S242" s="317"/>
      <c r="T242" s="317"/>
      <c r="U242" s="363"/>
      <c r="V242" s="363"/>
      <c r="W242" s="317"/>
      <c r="X242" s="317"/>
      <c r="Y242" s="317"/>
      <c r="Z242" s="317"/>
      <c r="AA242" s="317"/>
      <c r="AB242" s="317"/>
      <c r="AC242" s="317"/>
      <c r="AD242" s="317"/>
      <c r="AE242" s="317"/>
      <c r="AF242" s="317"/>
      <c r="AG242" s="309"/>
    </row>
    <row r="243" spans="1:33" ht="15.75" customHeight="1" x14ac:dyDescent="0.25">
      <c r="A243" s="317"/>
      <c r="B243" s="317"/>
      <c r="C243" s="317"/>
      <c r="D243" s="317"/>
      <c r="E243" s="317"/>
      <c r="F243" s="361"/>
      <c r="G243" s="366"/>
      <c r="H243" s="317"/>
      <c r="I243" s="317"/>
      <c r="J243" s="317"/>
      <c r="K243" s="317"/>
      <c r="L243" s="317"/>
      <c r="M243" s="317"/>
      <c r="N243" s="317"/>
      <c r="O243" s="317"/>
      <c r="P243" s="317"/>
      <c r="Q243" s="317"/>
      <c r="R243" s="317"/>
      <c r="S243" s="317"/>
      <c r="T243" s="317"/>
      <c r="U243" s="363"/>
      <c r="V243" s="363"/>
      <c r="W243" s="317"/>
      <c r="X243" s="317"/>
      <c r="Y243" s="317"/>
      <c r="Z243" s="317"/>
      <c r="AA243" s="317"/>
      <c r="AB243" s="317"/>
      <c r="AC243" s="317"/>
      <c r="AD243" s="317"/>
      <c r="AE243" s="317"/>
      <c r="AF243" s="317"/>
      <c r="AG243" s="309"/>
    </row>
    <row r="244" spans="1:33" ht="15.75" customHeight="1" x14ac:dyDescent="0.25">
      <c r="A244" s="317"/>
      <c r="B244" s="317"/>
      <c r="C244" s="317"/>
      <c r="D244" s="317"/>
      <c r="E244" s="317"/>
      <c r="F244" s="361"/>
      <c r="G244" s="366"/>
      <c r="H244" s="317"/>
      <c r="I244" s="317"/>
      <c r="J244" s="317"/>
      <c r="K244" s="317"/>
      <c r="L244" s="317"/>
      <c r="M244" s="317"/>
      <c r="N244" s="317"/>
      <c r="O244" s="317"/>
      <c r="P244" s="317"/>
      <c r="Q244" s="317"/>
      <c r="R244" s="317"/>
      <c r="S244" s="317"/>
      <c r="T244" s="317"/>
      <c r="U244" s="363"/>
      <c r="V244" s="363"/>
      <c r="W244" s="317"/>
      <c r="X244" s="317"/>
      <c r="Y244" s="317"/>
      <c r="Z244" s="317"/>
      <c r="AA244" s="317"/>
      <c r="AB244" s="317"/>
      <c r="AC244" s="317"/>
      <c r="AD244" s="317"/>
      <c r="AE244" s="317"/>
      <c r="AF244" s="317"/>
      <c r="AG244" s="309"/>
    </row>
    <row r="245" spans="1:33" ht="15.75" customHeight="1" x14ac:dyDescent="0.25">
      <c r="A245" s="317"/>
      <c r="B245" s="317"/>
      <c r="C245" s="317"/>
      <c r="D245" s="317"/>
      <c r="E245" s="317"/>
      <c r="F245" s="361"/>
      <c r="G245" s="366"/>
      <c r="H245" s="317"/>
      <c r="I245" s="317"/>
      <c r="J245" s="317"/>
      <c r="K245" s="317"/>
      <c r="L245" s="317"/>
      <c r="M245" s="317"/>
      <c r="N245" s="317"/>
      <c r="O245" s="317"/>
      <c r="P245" s="317"/>
      <c r="Q245" s="317"/>
      <c r="R245" s="317"/>
      <c r="S245" s="317"/>
      <c r="T245" s="317"/>
      <c r="U245" s="363"/>
      <c r="V245" s="363"/>
      <c r="W245" s="317"/>
      <c r="X245" s="317"/>
      <c r="Y245" s="317"/>
      <c r="Z245" s="317"/>
      <c r="AA245" s="317"/>
      <c r="AB245" s="317"/>
      <c r="AC245" s="317"/>
      <c r="AD245" s="317"/>
      <c r="AE245" s="317"/>
      <c r="AF245" s="317"/>
      <c r="AG245" s="309"/>
    </row>
    <row r="246" spans="1:33" ht="15.75" customHeight="1" x14ac:dyDescent="0.25">
      <c r="A246" s="317"/>
      <c r="B246" s="317"/>
      <c r="C246" s="317"/>
      <c r="D246" s="317"/>
      <c r="E246" s="317"/>
      <c r="F246" s="361"/>
      <c r="G246" s="366"/>
      <c r="H246" s="317"/>
      <c r="I246" s="317"/>
      <c r="J246" s="317"/>
      <c r="K246" s="317"/>
      <c r="L246" s="317"/>
      <c r="M246" s="317"/>
      <c r="N246" s="317"/>
      <c r="O246" s="317"/>
      <c r="P246" s="317"/>
      <c r="Q246" s="317"/>
      <c r="R246" s="317"/>
      <c r="S246" s="317"/>
      <c r="T246" s="317"/>
      <c r="U246" s="363"/>
      <c r="V246" s="363"/>
      <c r="W246" s="317"/>
      <c r="X246" s="317"/>
      <c r="Y246" s="317"/>
      <c r="Z246" s="317"/>
      <c r="AA246" s="317"/>
      <c r="AB246" s="317"/>
      <c r="AC246" s="317"/>
      <c r="AD246" s="317"/>
      <c r="AE246" s="317"/>
      <c r="AF246" s="317"/>
      <c r="AG246" s="309"/>
    </row>
    <row r="247" spans="1:33" ht="15.75" customHeight="1" x14ac:dyDescent="0.25">
      <c r="A247" s="317"/>
      <c r="B247" s="317"/>
      <c r="C247" s="317"/>
      <c r="D247" s="317"/>
      <c r="E247" s="317"/>
      <c r="F247" s="361"/>
      <c r="G247" s="366"/>
      <c r="H247" s="317"/>
      <c r="I247" s="317"/>
      <c r="J247" s="317"/>
      <c r="K247" s="317"/>
      <c r="L247" s="317"/>
      <c r="M247" s="317"/>
      <c r="N247" s="317"/>
      <c r="O247" s="317"/>
      <c r="P247" s="317"/>
      <c r="Q247" s="317"/>
      <c r="R247" s="317"/>
      <c r="S247" s="317"/>
      <c r="T247" s="317"/>
      <c r="U247" s="363"/>
      <c r="V247" s="363"/>
      <c r="W247" s="317"/>
      <c r="X247" s="317"/>
      <c r="Y247" s="317"/>
      <c r="Z247" s="317"/>
      <c r="AA247" s="317"/>
      <c r="AB247" s="317"/>
      <c r="AC247" s="317"/>
      <c r="AD247" s="317"/>
      <c r="AE247" s="317"/>
      <c r="AF247" s="317"/>
      <c r="AG247" s="309"/>
    </row>
    <row r="248" spans="1:33" ht="15.75" customHeight="1" x14ac:dyDescent="0.25">
      <c r="A248" s="317"/>
      <c r="B248" s="317"/>
      <c r="C248" s="317"/>
      <c r="D248" s="317"/>
      <c r="E248" s="317"/>
      <c r="F248" s="361"/>
      <c r="G248" s="366"/>
      <c r="H248" s="317"/>
      <c r="I248" s="317"/>
      <c r="J248" s="317"/>
      <c r="K248" s="317"/>
      <c r="L248" s="317"/>
      <c r="M248" s="317"/>
      <c r="N248" s="317"/>
      <c r="O248" s="317"/>
      <c r="P248" s="317"/>
      <c r="Q248" s="317"/>
      <c r="R248" s="317"/>
      <c r="S248" s="317"/>
      <c r="T248" s="317"/>
      <c r="U248" s="363"/>
      <c r="V248" s="363"/>
      <c r="W248" s="317"/>
      <c r="X248" s="317"/>
      <c r="Y248" s="317"/>
      <c r="Z248" s="317"/>
      <c r="AA248" s="317"/>
      <c r="AB248" s="317"/>
      <c r="AC248" s="317"/>
      <c r="AD248" s="317"/>
      <c r="AE248" s="317"/>
      <c r="AF248" s="317"/>
      <c r="AG248" s="309"/>
    </row>
    <row r="249" spans="1:33" ht="15.75" customHeight="1" x14ac:dyDescent="0.25">
      <c r="A249" s="317"/>
      <c r="B249" s="317"/>
      <c r="C249" s="317"/>
      <c r="D249" s="317"/>
      <c r="E249" s="317"/>
      <c r="F249" s="361"/>
      <c r="G249" s="366"/>
      <c r="H249" s="317"/>
      <c r="I249" s="317"/>
      <c r="J249" s="317"/>
      <c r="K249" s="317"/>
      <c r="L249" s="317"/>
      <c r="M249" s="317"/>
      <c r="N249" s="317"/>
      <c r="O249" s="317"/>
      <c r="P249" s="317"/>
      <c r="Q249" s="317"/>
      <c r="R249" s="317"/>
      <c r="S249" s="317"/>
      <c r="T249" s="317"/>
      <c r="U249" s="363"/>
      <c r="V249" s="363"/>
      <c r="W249" s="317"/>
      <c r="X249" s="317"/>
      <c r="Y249" s="317"/>
      <c r="Z249" s="317"/>
      <c r="AA249" s="317"/>
      <c r="AB249" s="317"/>
      <c r="AC249" s="317"/>
      <c r="AD249" s="317"/>
      <c r="AE249" s="317"/>
      <c r="AF249" s="317"/>
      <c r="AG249" s="309"/>
    </row>
    <row r="250" spans="1:33" ht="15.75" customHeight="1" x14ac:dyDescent="0.25">
      <c r="A250" s="317"/>
      <c r="B250" s="317"/>
      <c r="C250" s="317"/>
      <c r="D250" s="317"/>
      <c r="E250" s="317"/>
      <c r="F250" s="361"/>
      <c r="G250" s="366"/>
      <c r="H250" s="317"/>
      <c r="I250" s="317"/>
      <c r="J250" s="317"/>
      <c r="K250" s="317"/>
      <c r="L250" s="317"/>
      <c r="M250" s="317"/>
      <c r="N250" s="317"/>
      <c r="O250" s="317"/>
      <c r="P250" s="317"/>
      <c r="Q250" s="317"/>
      <c r="R250" s="317"/>
      <c r="S250" s="317"/>
      <c r="T250" s="317"/>
      <c r="U250" s="363"/>
      <c r="V250" s="363"/>
      <c r="W250" s="317"/>
      <c r="X250" s="317"/>
      <c r="Y250" s="317"/>
      <c r="Z250" s="317"/>
      <c r="AA250" s="317"/>
      <c r="AB250" s="317"/>
      <c r="AC250" s="317"/>
      <c r="AD250" s="317"/>
      <c r="AE250" s="317"/>
      <c r="AF250" s="317"/>
      <c r="AG250" s="309"/>
    </row>
    <row r="251" spans="1:33" ht="15.75" customHeight="1" x14ac:dyDescent="0.25">
      <c r="A251" s="317"/>
      <c r="B251" s="317"/>
      <c r="C251" s="317"/>
      <c r="D251" s="317"/>
      <c r="E251" s="317"/>
      <c r="F251" s="361"/>
      <c r="G251" s="366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63"/>
      <c r="V251" s="363"/>
      <c r="W251" s="317"/>
      <c r="X251" s="317"/>
      <c r="Y251" s="317"/>
      <c r="Z251" s="317"/>
      <c r="AA251" s="317"/>
      <c r="AB251" s="317"/>
      <c r="AC251" s="317"/>
      <c r="AD251" s="317"/>
      <c r="AE251" s="317"/>
      <c r="AF251" s="317"/>
      <c r="AG251" s="309"/>
    </row>
    <row r="252" spans="1:33" ht="15.75" customHeight="1" x14ac:dyDescent="0.25">
      <c r="A252" s="317"/>
      <c r="B252" s="317"/>
      <c r="C252" s="317"/>
      <c r="D252" s="317"/>
      <c r="E252" s="317"/>
      <c r="F252" s="361"/>
      <c r="G252" s="366"/>
      <c r="H252" s="317"/>
      <c r="I252" s="317"/>
      <c r="J252" s="317"/>
      <c r="K252" s="317"/>
      <c r="L252" s="317"/>
      <c r="M252" s="317"/>
      <c r="N252" s="317"/>
      <c r="O252" s="317"/>
      <c r="P252" s="317"/>
      <c r="Q252" s="317"/>
      <c r="R252" s="317"/>
      <c r="S252" s="317"/>
      <c r="T252" s="317"/>
      <c r="U252" s="363"/>
      <c r="V252" s="363"/>
      <c r="W252" s="317"/>
      <c r="X252" s="317"/>
      <c r="Y252" s="317"/>
      <c r="Z252" s="317"/>
      <c r="AA252" s="317"/>
      <c r="AB252" s="317"/>
      <c r="AC252" s="317"/>
      <c r="AD252" s="317"/>
      <c r="AE252" s="317"/>
      <c r="AF252" s="317"/>
      <c r="AG252" s="309"/>
    </row>
    <row r="253" spans="1:33" ht="15.75" customHeight="1" x14ac:dyDescent="0.25">
      <c r="A253" s="309"/>
      <c r="B253" s="309"/>
      <c r="C253" s="309"/>
      <c r="D253" s="309"/>
      <c r="E253" s="309"/>
      <c r="F253" s="309"/>
      <c r="G253" s="367"/>
      <c r="H253" s="309"/>
      <c r="I253" s="309"/>
      <c r="J253" s="309"/>
      <c r="K253" s="309"/>
      <c r="L253" s="309"/>
      <c r="M253" s="309"/>
      <c r="N253" s="309"/>
      <c r="O253" s="309"/>
      <c r="P253" s="309"/>
      <c r="Q253" s="309"/>
      <c r="R253" s="309"/>
      <c r="S253" s="309"/>
      <c r="T253" s="309"/>
      <c r="U253" s="368"/>
      <c r="V253" s="368"/>
      <c r="W253" s="309"/>
      <c r="X253" s="309"/>
      <c r="Y253" s="309"/>
      <c r="Z253" s="309"/>
      <c r="AA253" s="309"/>
      <c r="AB253" s="309"/>
      <c r="AC253" s="309"/>
      <c r="AD253" s="309"/>
      <c r="AE253" s="309"/>
      <c r="AF253" s="309"/>
      <c r="AG253" s="309"/>
    </row>
    <row r="254" spans="1:33" ht="15.75" customHeight="1" x14ac:dyDescent="0.25">
      <c r="A254" s="309"/>
      <c r="B254" s="309"/>
      <c r="C254" s="309"/>
      <c r="D254" s="309"/>
      <c r="E254" s="309"/>
      <c r="F254" s="309"/>
      <c r="G254" s="367"/>
      <c r="H254" s="309"/>
      <c r="I254" s="309"/>
      <c r="J254" s="309"/>
      <c r="K254" s="309"/>
      <c r="L254" s="309"/>
      <c r="M254" s="309"/>
      <c r="N254" s="309"/>
      <c r="O254" s="309"/>
      <c r="P254" s="309"/>
      <c r="Q254" s="309"/>
      <c r="R254" s="309"/>
      <c r="S254" s="309"/>
      <c r="T254" s="309"/>
      <c r="U254" s="368"/>
      <c r="V254" s="368"/>
      <c r="W254" s="309"/>
      <c r="X254" s="309"/>
      <c r="Y254" s="309"/>
      <c r="Z254" s="309"/>
      <c r="AA254" s="309"/>
      <c r="AB254" s="309"/>
      <c r="AC254" s="309"/>
      <c r="AD254" s="309"/>
      <c r="AE254" s="309"/>
      <c r="AF254" s="309"/>
      <c r="AG254" s="309"/>
    </row>
    <row r="255" spans="1:33" ht="15.75" customHeight="1" x14ac:dyDescent="0.25">
      <c r="A255" s="309"/>
      <c r="B255" s="309"/>
      <c r="C255" s="309"/>
      <c r="D255" s="309"/>
      <c r="E255" s="309"/>
      <c r="F255" s="309"/>
      <c r="G255" s="367"/>
      <c r="H255" s="309"/>
      <c r="I255" s="309"/>
      <c r="J255" s="309"/>
      <c r="K255" s="309"/>
      <c r="L255" s="309"/>
      <c r="M255" s="309"/>
      <c r="N255" s="309"/>
      <c r="O255" s="309"/>
      <c r="P255" s="309"/>
      <c r="Q255" s="309"/>
      <c r="R255" s="309"/>
      <c r="S255" s="309"/>
      <c r="T255" s="309"/>
      <c r="U255" s="368"/>
      <c r="V255" s="368"/>
      <c r="W255" s="309"/>
      <c r="X255" s="309"/>
      <c r="Y255" s="309"/>
      <c r="Z255" s="309"/>
      <c r="AA255" s="309"/>
      <c r="AB255" s="309"/>
      <c r="AC255" s="309"/>
      <c r="AD255" s="309"/>
      <c r="AE255" s="309"/>
      <c r="AF255" s="309"/>
      <c r="AG255" s="309"/>
    </row>
    <row r="256" spans="1:33" ht="15.75" customHeight="1" x14ac:dyDescent="0.25">
      <c r="A256" s="309"/>
      <c r="B256" s="309"/>
      <c r="C256" s="309"/>
      <c r="D256" s="309"/>
      <c r="E256" s="309"/>
      <c r="F256" s="309"/>
      <c r="G256" s="309"/>
      <c r="H256" s="309"/>
      <c r="I256" s="309"/>
      <c r="J256" s="309"/>
      <c r="K256" s="309"/>
      <c r="L256" s="309"/>
      <c r="M256" s="309"/>
      <c r="N256" s="309"/>
      <c r="O256" s="309"/>
      <c r="P256" s="309"/>
      <c r="Q256" s="309"/>
      <c r="R256" s="309"/>
      <c r="S256" s="309"/>
      <c r="T256" s="309"/>
      <c r="U256" s="309"/>
      <c r="V256" s="309"/>
      <c r="W256" s="309"/>
      <c r="X256" s="309"/>
      <c r="Y256" s="309"/>
      <c r="Z256" s="309"/>
      <c r="AA256" s="309"/>
      <c r="AB256" s="309"/>
      <c r="AC256" s="309"/>
      <c r="AD256" s="309"/>
      <c r="AE256" s="309"/>
      <c r="AF256" s="309"/>
      <c r="AG256" s="309"/>
    </row>
    <row r="257" spans="1:33" ht="15.75" customHeight="1" x14ac:dyDescent="0.25">
      <c r="A257" s="309"/>
      <c r="B257" s="309"/>
      <c r="C257" s="309"/>
      <c r="D257" s="309"/>
      <c r="E257" s="309"/>
      <c r="F257" s="309"/>
      <c r="G257" s="309"/>
      <c r="H257" s="309"/>
      <c r="I257" s="309"/>
      <c r="J257" s="309"/>
      <c r="K257" s="309"/>
      <c r="L257" s="309"/>
      <c r="M257" s="309"/>
      <c r="N257" s="309"/>
      <c r="O257" s="309"/>
      <c r="P257" s="309"/>
      <c r="Q257" s="309"/>
      <c r="R257" s="309"/>
      <c r="S257" s="309"/>
      <c r="T257" s="309"/>
      <c r="U257" s="309"/>
      <c r="V257" s="309"/>
      <c r="W257" s="309"/>
      <c r="X257" s="309"/>
      <c r="Y257" s="309"/>
      <c r="Z257" s="309"/>
      <c r="AA257" s="309"/>
      <c r="AB257" s="309"/>
      <c r="AC257" s="309"/>
      <c r="AD257" s="309"/>
      <c r="AE257" s="309"/>
      <c r="AF257" s="309"/>
      <c r="AG257" s="309"/>
    </row>
    <row r="258" spans="1:33" ht="15.75" customHeight="1" x14ac:dyDescent="0.25">
      <c r="A258" s="309"/>
      <c r="B258" s="309"/>
      <c r="C258" s="309"/>
      <c r="D258" s="309"/>
      <c r="E258" s="309"/>
      <c r="F258" s="309"/>
      <c r="G258" s="309"/>
      <c r="H258" s="309"/>
      <c r="I258" s="309"/>
      <c r="J258" s="309"/>
      <c r="K258" s="309"/>
      <c r="L258" s="309"/>
      <c r="M258" s="309"/>
      <c r="N258" s="309"/>
      <c r="O258" s="309"/>
      <c r="P258" s="309"/>
      <c r="Q258" s="309"/>
      <c r="R258" s="309"/>
      <c r="S258" s="309"/>
      <c r="T258" s="309"/>
      <c r="U258" s="309"/>
      <c r="V258" s="309"/>
      <c r="W258" s="309"/>
      <c r="X258" s="309"/>
      <c r="Y258" s="309"/>
      <c r="Z258" s="309"/>
      <c r="AA258" s="309"/>
      <c r="AB258" s="309"/>
      <c r="AC258" s="309"/>
      <c r="AD258" s="309"/>
      <c r="AE258" s="309"/>
      <c r="AF258" s="309"/>
      <c r="AG258" s="309"/>
    </row>
    <row r="259" spans="1:33" ht="15.75" customHeight="1" x14ac:dyDescent="0.25">
      <c r="A259" s="309"/>
      <c r="B259" s="309"/>
      <c r="C259" s="309"/>
      <c r="D259" s="309"/>
      <c r="E259" s="309"/>
      <c r="F259" s="309"/>
      <c r="G259" s="309"/>
      <c r="H259" s="309"/>
      <c r="I259" s="309"/>
      <c r="J259" s="309"/>
      <c r="K259" s="309"/>
      <c r="L259" s="309"/>
      <c r="M259" s="309"/>
      <c r="N259" s="309"/>
      <c r="O259" s="309"/>
      <c r="P259" s="309"/>
      <c r="Q259" s="309"/>
      <c r="R259" s="309"/>
      <c r="S259" s="309"/>
      <c r="T259" s="309"/>
      <c r="U259" s="309"/>
      <c r="V259" s="309"/>
      <c r="W259" s="309"/>
      <c r="X259" s="309"/>
      <c r="Y259" s="309"/>
      <c r="Z259" s="309"/>
      <c r="AA259" s="309"/>
      <c r="AB259" s="309"/>
      <c r="AC259" s="309"/>
      <c r="AD259" s="309"/>
      <c r="AE259" s="309"/>
      <c r="AF259" s="309"/>
      <c r="AG259" s="309"/>
    </row>
    <row r="260" spans="1:33" ht="15.75" customHeight="1" x14ac:dyDescent="0.25">
      <c r="A260" s="309"/>
      <c r="B260" s="309"/>
      <c r="C260" s="309"/>
      <c r="D260" s="309"/>
      <c r="E260" s="309"/>
      <c r="F260" s="309"/>
      <c r="G260" s="309"/>
      <c r="H260" s="309"/>
      <c r="I260" s="309"/>
      <c r="J260" s="309"/>
      <c r="K260" s="309"/>
      <c r="L260" s="309"/>
      <c r="M260" s="309"/>
      <c r="N260" s="309"/>
      <c r="O260" s="309"/>
      <c r="P260" s="309"/>
      <c r="Q260" s="309"/>
      <c r="R260" s="309"/>
      <c r="S260" s="309"/>
      <c r="T260" s="309"/>
      <c r="U260" s="309"/>
      <c r="V260" s="309"/>
      <c r="W260" s="309"/>
      <c r="X260" s="309"/>
      <c r="Y260" s="309"/>
      <c r="Z260" s="309"/>
      <c r="AA260" s="309"/>
      <c r="AB260" s="309"/>
      <c r="AC260" s="309"/>
      <c r="AD260" s="309"/>
      <c r="AE260" s="309"/>
      <c r="AF260" s="309"/>
      <c r="AG260" s="309"/>
    </row>
    <row r="261" spans="1:33" ht="15.75" customHeight="1" x14ac:dyDescent="0.25">
      <c r="A261" s="309"/>
      <c r="B261" s="309"/>
      <c r="C261" s="309"/>
      <c r="D261" s="309"/>
      <c r="E261" s="309"/>
      <c r="F261" s="309"/>
      <c r="G261" s="309"/>
      <c r="H261" s="309"/>
      <c r="I261" s="309"/>
      <c r="J261" s="309"/>
      <c r="K261" s="309"/>
      <c r="L261" s="309"/>
      <c r="M261" s="309"/>
      <c r="N261" s="309"/>
      <c r="O261" s="309"/>
      <c r="P261" s="309"/>
      <c r="Q261" s="309"/>
      <c r="R261" s="309"/>
      <c r="S261" s="309"/>
      <c r="T261" s="309"/>
      <c r="U261" s="309"/>
      <c r="V261" s="309"/>
      <c r="W261" s="309"/>
      <c r="X261" s="309"/>
      <c r="Y261" s="309"/>
      <c r="Z261" s="309"/>
      <c r="AA261" s="309"/>
      <c r="AB261" s="309"/>
      <c r="AC261" s="309"/>
      <c r="AD261" s="309"/>
      <c r="AE261" s="309"/>
      <c r="AF261" s="309"/>
      <c r="AG261" s="309"/>
    </row>
    <row r="262" spans="1:33" ht="15.75" customHeight="1" x14ac:dyDescent="0.25">
      <c r="A262" s="309"/>
      <c r="B262" s="309"/>
      <c r="C262" s="309"/>
      <c r="D262" s="309"/>
      <c r="E262" s="309"/>
      <c r="F262" s="309"/>
      <c r="G262" s="309"/>
      <c r="H262" s="309"/>
      <c r="I262" s="309"/>
      <c r="J262" s="309"/>
      <c r="K262" s="309"/>
      <c r="L262" s="309"/>
      <c r="M262" s="309"/>
      <c r="N262" s="309"/>
      <c r="O262" s="309"/>
      <c r="P262" s="309"/>
      <c r="Q262" s="309"/>
      <c r="R262" s="309"/>
      <c r="S262" s="309"/>
      <c r="T262" s="309"/>
      <c r="U262" s="309"/>
      <c r="V262" s="309"/>
      <c r="W262" s="309"/>
      <c r="X262" s="309"/>
      <c r="Y262" s="309"/>
      <c r="Z262" s="309"/>
      <c r="AA262" s="309"/>
      <c r="AB262" s="309"/>
      <c r="AC262" s="309"/>
      <c r="AD262" s="309"/>
      <c r="AE262" s="309"/>
      <c r="AF262" s="309"/>
      <c r="AG262" s="309"/>
    </row>
    <row r="263" spans="1:33" ht="15.75" customHeight="1" x14ac:dyDescent="0.25">
      <c r="A263" s="309"/>
      <c r="B263" s="309"/>
      <c r="C263" s="309"/>
      <c r="D263" s="309"/>
      <c r="E263" s="309"/>
      <c r="F263" s="309"/>
      <c r="G263" s="309"/>
      <c r="H263" s="309"/>
      <c r="I263" s="309"/>
      <c r="J263" s="309"/>
      <c r="K263" s="309"/>
      <c r="L263" s="309"/>
      <c r="M263" s="309"/>
      <c r="N263" s="309"/>
      <c r="O263" s="309"/>
      <c r="P263" s="309"/>
      <c r="Q263" s="309"/>
      <c r="R263" s="309"/>
      <c r="S263" s="309"/>
      <c r="T263" s="309"/>
      <c r="U263" s="309"/>
      <c r="V263" s="309"/>
      <c r="W263" s="309"/>
      <c r="X263" s="309"/>
      <c r="Y263" s="309"/>
      <c r="Z263" s="309"/>
      <c r="AA263" s="309"/>
      <c r="AB263" s="309"/>
      <c r="AC263" s="309"/>
      <c r="AD263" s="309"/>
      <c r="AE263" s="309"/>
      <c r="AF263" s="309"/>
      <c r="AG263" s="309"/>
    </row>
    <row r="264" spans="1:33" ht="15.75" customHeight="1" x14ac:dyDescent="0.25">
      <c r="A264" s="309"/>
      <c r="B264" s="309"/>
      <c r="C264" s="309"/>
      <c r="D264" s="309"/>
      <c r="E264" s="309"/>
      <c r="F264" s="309"/>
      <c r="G264" s="309"/>
      <c r="H264" s="309"/>
      <c r="I264" s="309"/>
      <c r="J264" s="309"/>
      <c r="K264" s="309"/>
      <c r="L264" s="309"/>
      <c r="M264" s="309"/>
      <c r="N264" s="309"/>
      <c r="O264" s="309"/>
      <c r="P264" s="309"/>
      <c r="Q264" s="309"/>
      <c r="R264" s="309"/>
      <c r="S264" s="309"/>
      <c r="T264" s="309"/>
      <c r="U264" s="309"/>
      <c r="V264" s="309"/>
      <c r="W264" s="309"/>
      <c r="X264" s="309"/>
      <c r="Y264" s="309"/>
      <c r="Z264" s="309"/>
      <c r="AA264" s="309"/>
      <c r="AB264" s="309"/>
      <c r="AC264" s="309"/>
      <c r="AD264" s="309"/>
      <c r="AE264" s="309"/>
      <c r="AF264" s="309"/>
      <c r="AG264" s="309"/>
    </row>
    <row r="265" spans="1:33" ht="15.75" customHeight="1" x14ac:dyDescent="0.25">
      <c r="A265" s="309"/>
      <c r="B265" s="309"/>
      <c r="C265" s="309"/>
      <c r="D265" s="309"/>
      <c r="E265" s="309"/>
      <c r="F265" s="309"/>
      <c r="G265" s="309"/>
      <c r="H265" s="309"/>
      <c r="I265" s="309"/>
      <c r="J265" s="309"/>
      <c r="K265" s="309"/>
      <c r="L265" s="309"/>
      <c r="M265" s="309"/>
      <c r="N265" s="309"/>
      <c r="O265" s="309"/>
      <c r="P265" s="309"/>
      <c r="Q265" s="309"/>
      <c r="R265" s="309"/>
      <c r="S265" s="309"/>
      <c r="T265" s="309"/>
      <c r="U265" s="309"/>
      <c r="V265" s="309"/>
      <c r="W265" s="309"/>
      <c r="X265" s="309"/>
      <c r="Y265" s="309"/>
      <c r="Z265" s="309"/>
      <c r="AA265" s="309"/>
      <c r="AB265" s="309"/>
      <c r="AC265" s="309"/>
      <c r="AD265" s="309"/>
      <c r="AE265" s="309"/>
      <c r="AF265" s="309"/>
      <c r="AG265" s="309"/>
    </row>
    <row r="266" spans="1:33" ht="15.75" customHeight="1" x14ac:dyDescent="0.25">
      <c r="A266" s="309"/>
      <c r="B266" s="309"/>
      <c r="C266" s="309"/>
      <c r="D266" s="309"/>
      <c r="E266" s="309"/>
      <c r="F266" s="309"/>
      <c r="G266" s="309"/>
      <c r="H266" s="309"/>
      <c r="I266" s="309"/>
      <c r="J266" s="309"/>
      <c r="K266" s="309"/>
      <c r="L266" s="309"/>
      <c r="M266" s="309"/>
      <c r="N266" s="309"/>
      <c r="O266" s="309"/>
      <c r="P266" s="309"/>
      <c r="Q266" s="309"/>
      <c r="R266" s="309"/>
      <c r="S266" s="309"/>
      <c r="T266" s="309"/>
      <c r="U266" s="309"/>
      <c r="V266" s="309"/>
      <c r="W266" s="309"/>
      <c r="X266" s="309"/>
      <c r="Y266" s="309"/>
      <c r="Z266" s="309"/>
      <c r="AA266" s="309"/>
      <c r="AB266" s="309"/>
      <c r="AC266" s="309"/>
      <c r="AD266" s="309"/>
      <c r="AE266" s="309"/>
      <c r="AF266" s="309"/>
      <c r="AG266" s="309"/>
    </row>
    <row r="267" spans="1:33" ht="15.75" customHeight="1" x14ac:dyDescent="0.25">
      <c r="A267" s="309"/>
      <c r="B267" s="309"/>
      <c r="C267" s="309"/>
      <c r="D267" s="309"/>
      <c r="E267" s="309"/>
      <c r="F267" s="309"/>
      <c r="G267" s="309"/>
      <c r="H267" s="309"/>
      <c r="I267" s="309"/>
      <c r="J267" s="309"/>
      <c r="K267" s="309"/>
      <c r="L267" s="309"/>
      <c r="M267" s="309"/>
      <c r="N267" s="309"/>
      <c r="O267" s="309"/>
      <c r="P267" s="309"/>
      <c r="Q267" s="309"/>
      <c r="R267" s="309"/>
      <c r="S267" s="309"/>
      <c r="T267" s="309"/>
      <c r="U267" s="309"/>
      <c r="V267" s="309"/>
      <c r="W267" s="309"/>
      <c r="X267" s="309"/>
      <c r="Y267" s="309"/>
      <c r="Z267" s="309"/>
      <c r="AA267" s="309"/>
      <c r="AB267" s="309"/>
      <c r="AC267" s="309"/>
      <c r="AD267" s="309"/>
      <c r="AE267" s="309"/>
      <c r="AF267" s="309"/>
      <c r="AG267" s="309"/>
    </row>
    <row r="268" spans="1:33" ht="15.75" customHeight="1" x14ac:dyDescent="0.25">
      <c r="A268" s="309"/>
      <c r="B268" s="309"/>
      <c r="C268" s="309"/>
      <c r="D268" s="309"/>
      <c r="E268" s="309"/>
      <c r="F268" s="309"/>
      <c r="G268" s="309"/>
      <c r="H268" s="309"/>
      <c r="I268" s="309"/>
      <c r="J268" s="309"/>
      <c r="K268" s="309"/>
      <c r="L268" s="309"/>
      <c r="M268" s="309"/>
      <c r="N268" s="309"/>
      <c r="O268" s="309"/>
      <c r="P268" s="309"/>
      <c r="Q268" s="309"/>
      <c r="R268" s="309"/>
      <c r="S268" s="309"/>
      <c r="T268" s="309"/>
      <c r="U268" s="309"/>
      <c r="V268" s="309"/>
      <c r="W268" s="309"/>
      <c r="X268" s="309"/>
      <c r="Y268" s="309"/>
      <c r="Z268" s="309"/>
      <c r="AA268" s="309"/>
      <c r="AB268" s="309"/>
      <c r="AC268" s="309"/>
      <c r="AD268" s="309"/>
      <c r="AE268" s="309"/>
      <c r="AF268" s="309"/>
      <c r="AG268" s="309"/>
    </row>
    <row r="269" spans="1:33" ht="15.75" customHeight="1" x14ac:dyDescent="0.25">
      <c r="A269" s="309"/>
      <c r="B269" s="309"/>
      <c r="C269" s="309"/>
      <c r="D269" s="309"/>
      <c r="E269" s="309"/>
      <c r="F269" s="309"/>
      <c r="G269" s="309"/>
      <c r="H269" s="309"/>
      <c r="I269" s="309"/>
      <c r="J269" s="309"/>
      <c r="K269" s="309"/>
      <c r="L269" s="309"/>
      <c r="M269" s="309"/>
      <c r="N269" s="309"/>
      <c r="O269" s="309"/>
      <c r="P269" s="309"/>
      <c r="Q269" s="309"/>
      <c r="R269" s="309"/>
      <c r="S269" s="309"/>
      <c r="T269" s="309"/>
      <c r="U269" s="309"/>
      <c r="V269" s="309"/>
      <c r="W269" s="309"/>
      <c r="X269" s="309"/>
      <c r="Y269" s="309"/>
      <c r="Z269" s="309"/>
      <c r="AA269" s="309"/>
      <c r="AB269" s="309"/>
      <c r="AC269" s="309"/>
      <c r="AD269" s="309"/>
      <c r="AE269" s="309"/>
      <c r="AF269" s="309"/>
      <c r="AG269" s="309"/>
    </row>
    <row r="270" spans="1:33" ht="15.75" customHeight="1" x14ac:dyDescent="0.25">
      <c r="A270" s="309"/>
      <c r="B270" s="309"/>
      <c r="C270" s="309"/>
      <c r="D270" s="309"/>
      <c r="E270" s="309"/>
      <c r="F270" s="309"/>
      <c r="G270" s="309"/>
      <c r="H270" s="309"/>
      <c r="I270" s="309"/>
      <c r="J270" s="309"/>
      <c r="K270" s="309"/>
      <c r="L270" s="309"/>
      <c r="M270" s="309"/>
      <c r="N270" s="309"/>
      <c r="O270" s="309"/>
      <c r="P270" s="309"/>
      <c r="Q270" s="309"/>
      <c r="R270" s="309"/>
      <c r="S270" s="309"/>
      <c r="T270" s="309"/>
      <c r="U270" s="309"/>
      <c r="V270" s="309"/>
      <c r="W270" s="309"/>
      <c r="X270" s="309"/>
      <c r="Y270" s="309"/>
      <c r="Z270" s="309"/>
      <c r="AA270" s="309"/>
      <c r="AB270" s="309"/>
      <c r="AC270" s="309"/>
      <c r="AD270" s="309"/>
      <c r="AE270" s="309"/>
      <c r="AF270" s="309"/>
      <c r="AG270" s="309"/>
    </row>
    <row r="271" spans="1:33" ht="15.75" customHeight="1" x14ac:dyDescent="0.25">
      <c r="A271" s="309"/>
      <c r="B271" s="309"/>
      <c r="C271" s="309"/>
      <c r="D271" s="309"/>
      <c r="E271" s="309"/>
      <c r="F271" s="309"/>
      <c r="G271" s="309"/>
      <c r="H271" s="309"/>
      <c r="I271" s="309"/>
      <c r="J271" s="309"/>
      <c r="K271" s="309"/>
      <c r="L271" s="309"/>
      <c r="M271" s="309"/>
      <c r="N271" s="309"/>
      <c r="O271" s="309"/>
      <c r="P271" s="309"/>
      <c r="Q271" s="309"/>
      <c r="R271" s="309"/>
      <c r="S271" s="309"/>
      <c r="T271" s="309"/>
      <c r="U271" s="309"/>
      <c r="V271" s="309"/>
      <c r="W271" s="309"/>
      <c r="X271" s="309"/>
      <c r="Y271" s="309"/>
      <c r="Z271" s="309"/>
      <c r="AA271" s="309"/>
      <c r="AB271" s="309"/>
      <c r="AC271" s="309"/>
      <c r="AD271" s="309"/>
      <c r="AE271" s="309"/>
      <c r="AF271" s="309"/>
      <c r="AG271" s="309"/>
    </row>
    <row r="272" spans="1:33" ht="15.75" customHeight="1" x14ac:dyDescent="0.25">
      <c r="A272" s="309"/>
      <c r="B272" s="309"/>
      <c r="C272" s="309"/>
      <c r="D272" s="309"/>
      <c r="E272" s="309"/>
      <c r="F272" s="309"/>
      <c r="G272" s="309"/>
      <c r="H272" s="309"/>
      <c r="I272" s="309"/>
      <c r="J272" s="309"/>
      <c r="K272" s="309"/>
      <c r="L272" s="309"/>
      <c r="M272" s="309"/>
      <c r="N272" s="309"/>
      <c r="O272" s="309"/>
      <c r="P272" s="309"/>
      <c r="Q272" s="309"/>
      <c r="R272" s="309"/>
      <c r="S272" s="309"/>
      <c r="T272" s="309"/>
      <c r="U272" s="309"/>
      <c r="V272" s="309"/>
      <c r="W272" s="309"/>
      <c r="X272" s="309"/>
      <c r="Y272" s="309"/>
      <c r="Z272" s="309"/>
      <c r="AA272" s="309"/>
      <c r="AB272" s="309"/>
      <c r="AC272" s="309"/>
      <c r="AD272" s="309"/>
      <c r="AE272" s="309"/>
      <c r="AF272" s="309"/>
      <c r="AG272" s="309"/>
    </row>
    <row r="273" spans="1:33" ht="15.75" customHeight="1" x14ac:dyDescent="0.25">
      <c r="A273" s="309"/>
      <c r="B273" s="309"/>
      <c r="C273" s="309"/>
      <c r="D273" s="309"/>
      <c r="E273" s="309"/>
      <c r="F273" s="309"/>
      <c r="G273" s="309"/>
      <c r="H273" s="309"/>
      <c r="I273" s="309"/>
      <c r="J273" s="309"/>
      <c r="K273" s="309"/>
      <c r="L273" s="309"/>
      <c r="M273" s="309"/>
      <c r="N273" s="309"/>
      <c r="O273" s="309"/>
      <c r="P273" s="309"/>
      <c r="Q273" s="309"/>
      <c r="R273" s="309"/>
      <c r="S273" s="309"/>
      <c r="T273" s="309"/>
      <c r="U273" s="309"/>
      <c r="V273" s="309"/>
      <c r="W273" s="309"/>
      <c r="X273" s="309"/>
      <c r="Y273" s="309"/>
      <c r="Z273" s="309"/>
      <c r="AA273" s="309"/>
      <c r="AB273" s="309"/>
      <c r="AC273" s="309"/>
      <c r="AD273" s="309"/>
      <c r="AE273" s="309"/>
      <c r="AF273" s="309"/>
      <c r="AG273" s="309"/>
    </row>
    <row r="274" spans="1:33" ht="15.75" customHeight="1" x14ac:dyDescent="0.25">
      <c r="A274" s="309"/>
      <c r="B274" s="309"/>
      <c r="C274" s="309"/>
      <c r="D274" s="309"/>
      <c r="E274" s="309"/>
      <c r="F274" s="309"/>
      <c r="G274" s="309"/>
      <c r="H274" s="309"/>
      <c r="I274" s="309"/>
      <c r="J274" s="309"/>
      <c r="K274" s="309"/>
      <c r="L274" s="309"/>
      <c r="M274" s="309"/>
      <c r="N274" s="309"/>
      <c r="O274" s="309"/>
      <c r="P274" s="309"/>
      <c r="Q274" s="309"/>
      <c r="R274" s="309"/>
      <c r="S274" s="309"/>
      <c r="T274" s="309"/>
      <c r="U274" s="309"/>
      <c r="V274" s="309"/>
      <c r="W274" s="309"/>
      <c r="X274" s="309"/>
      <c r="Y274" s="309"/>
      <c r="Z274" s="309"/>
      <c r="AA274" s="309"/>
      <c r="AB274" s="309"/>
      <c r="AC274" s="309"/>
      <c r="AD274" s="309"/>
      <c r="AE274" s="309"/>
      <c r="AF274" s="309"/>
      <c r="AG274" s="309"/>
    </row>
    <row r="275" spans="1:33" ht="15.75" customHeight="1" x14ac:dyDescent="0.25">
      <c r="A275" s="309"/>
      <c r="B275" s="309"/>
      <c r="C275" s="309"/>
      <c r="D275" s="309"/>
      <c r="E275" s="309"/>
      <c r="F275" s="309"/>
      <c r="G275" s="309"/>
      <c r="H275" s="309"/>
      <c r="I275" s="309"/>
      <c r="J275" s="309"/>
      <c r="K275" s="309"/>
      <c r="L275" s="309"/>
      <c r="M275" s="309"/>
      <c r="N275" s="309"/>
      <c r="O275" s="309"/>
      <c r="P275" s="309"/>
      <c r="Q275" s="309"/>
      <c r="R275" s="309"/>
      <c r="S275" s="309"/>
      <c r="T275" s="309"/>
      <c r="U275" s="309"/>
      <c r="V275" s="309"/>
      <c r="W275" s="309"/>
      <c r="X275" s="309"/>
      <c r="Y275" s="309"/>
      <c r="Z275" s="309"/>
      <c r="AA275" s="309"/>
      <c r="AB275" s="309"/>
      <c r="AC275" s="309"/>
      <c r="AD275" s="309"/>
      <c r="AE275" s="309"/>
      <c r="AF275" s="309"/>
      <c r="AG275" s="309"/>
    </row>
    <row r="276" spans="1:33" ht="15.75" customHeight="1" x14ac:dyDescent="0.25">
      <c r="A276" s="309"/>
      <c r="B276" s="309"/>
      <c r="C276" s="309"/>
      <c r="D276" s="309"/>
      <c r="E276" s="309"/>
      <c r="F276" s="309"/>
      <c r="G276" s="309"/>
      <c r="H276" s="309"/>
      <c r="I276" s="309"/>
      <c r="J276" s="309"/>
      <c r="K276" s="309"/>
      <c r="L276" s="309"/>
      <c r="M276" s="309"/>
      <c r="N276" s="309"/>
      <c r="O276" s="309"/>
      <c r="P276" s="309"/>
      <c r="Q276" s="309"/>
      <c r="R276" s="309"/>
      <c r="S276" s="309"/>
      <c r="T276" s="309"/>
      <c r="U276" s="309"/>
      <c r="V276" s="309"/>
      <c r="W276" s="309"/>
      <c r="X276" s="309"/>
      <c r="Y276" s="309"/>
      <c r="Z276" s="309"/>
      <c r="AA276" s="309"/>
      <c r="AB276" s="309"/>
      <c r="AC276" s="309"/>
      <c r="AD276" s="309"/>
      <c r="AE276" s="309"/>
      <c r="AF276" s="309"/>
      <c r="AG276" s="309"/>
    </row>
    <row r="277" spans="1:33" ht="15.75" customHeight="1" x14ac:dyDescent="0.25">
      <c r="A277" s="309"/>
      <c r="B277" s="309"/>
      <c r="C277" s="309"/>
      <c r="D277" s="309"/>
      <c r="E277" s="309"/>
      <c r="F277" s="309"/>
      <c r="G277" s="309"/>
      <c r="H277" s="309"/>
      <c r="I277" s="309"/>
      <c r="J277" s="309"/>
      <c r="K277" s="309"/>
      <c r="L277" s="309"/>
      <c r="M277" s="309"/>
      <c r="N277" s="309"/>
      <c r="O277" s="309"/>
      <c r="P277" s="309"/>
      <c r="Q277" s="309"/>
      <c r="R277" s="309"/>
      <c r="S277" s="309"/>
      <c r="T277" s="309"/>
      <c r="U277" s="309"/>
      <c r="V277" s="309"/>
      <c r="W277" s="309"/>
      <c r="X277" s="309"/>
      <c r="Y277" s="309"/>
      <c r="Z277" s="309"/>
      <c r="AA277" s="309"/>
      <c r="AB277" s="309"/>
      <c r="AC277" s="309"/>
      <c r="AD277" s="309"/>
      <c r="AE277" s="309"/>
      <c r="AF277" s="309"/>
      <c r="AG277" s="309"/>
    </row>
    <row r="278" spans="1:33" ht="15.75" customHeight="1" x14ac:dyDescent="0.25">
      <c r="A278" s="309"/>
      <c r="B278" s="309"/>
      <c r="C278" s="309"/>
      <c r="D278" s="309"/>
      <c r="E278" s="309"/>
      <c r="F278" s="309"/>
      <c r="G278" s="309"/>
      <c r="H278" s="309"/>
      <c r="I278" s="309"/>
      <c r="J278" s="309"/>
      <c r="K278" s="309"/>
      <c r="L278" s="309"/>
      <c r="M278" s="309"/>
      <c r="N278" s="309"/>
      <c r="O278" s="309"/>
      <c r="P278" s="309"/>
      <c r="Q278" s="309"/>
      <c r="R278" s="309"/>
      <c r="S278" s="309"/>
      <c r="T278" s="309"/>
      <c r="U278" s="309"/>
      <c r="V278" s="309"/>
      <c r="W278" s="309"/>
      <c r="X278" s="309"/>
      <c r="Y278" s="309"/>
      <c r="Z278" s="309"/>
      <c r="AA278" s="309"/>
      <c r="AB278" s="309"/>
      <c r="AC278" s="309"/>
      <c r="AD278" s="309"/>
      <c r="AE278" s="309"/>
      <c r="AF278" s="309"/>
      <c r="AG278" s="309"/>
    </row>
    <row r="279" spans="1:33" ht="15.75" customHeight="1" x14ac:dyDescent="0.25">
      <c r="A279" s="309"/>
      <c r="B279" s="309"/>
      <c r="C279" s="309"/>
      <c r="D279" s="309"/>
      <c r="E279" s="309"/>
      <c r="F279" s="309"/>
      <c r="G279" s="309"/>
      <c r="H279" s="309"/>
      <c r="I279" s="309"/>
      <c r="J279" s="309"/>
      <c r="K279" s="309"/>
      <c r="L279" s="309"/>
      <c r="M279" s="309"/>
      <c r="N279" s="309"/>
      <c r="O279" s="309"/>
      <c r="P279" s="309"/>
      <c r="Q279" s="309"/>
      <c r="R279" s="309"/>
      <c r="S279" s="309"/>
      <c r="T279" s="309"/>
      <c r="U279" s="309"/>
      <c r="V279" s="309"/>
      <c r="W279" s="309"/>
      <c r="X279" s="309"/>
      <c r="Y279" s="309"/>
      <c r="Z279" s="309"/>
      <c r="AA279" s="309"/>
      <c r="AB279" s="309"/>
      <c r="AC279" s="309"/>
      <c r="AD279" s="309"/>
      <c r="AE279" s="309"/>
      <c r="AF279" s="309"/>
      <c r="AG279" s="309"/>
    </row>
    <row r="280" spans="1:33" ht="15.75" customHeight="1" x14ac:dyDescent="0.25">
      <c r="A280" s="309"/>
      <c r="B280" s="309"/>
      <c r="C280" s="309"/>
      <c r="D280" s="309"/>
      <c r="E280" s="309"/>
      <c r="F280" s="309"/>
      <c r="G280" s="309"/>
      <c r="H280" s="309"/>
      <c r="I280" s="309"/>
      <c r="J280" s="309"/>
      <c r="K280" s="309"/>
      <c r="L280" s="309"/>
      <c r="M280" s="309"/>
      <c r="N280" s="309"/>
      <c r="O280" s="309"/>
      <c r="P280" s="309"/>
      <c r="Q280" s="309"/>
      <c r="R280" s="309"/>
      <c r="S280" s="309"/>
      <c r="T280" s="309"/>
      <c r="U280" s="309"/>
      <c r="V280" s="309"/>
      <c r="W280" s="309"/>
      <c r="X280" s="309"/>
      <c r="Y280" s="309"/>
      <c r="Z280" s="309"/>
      <c r="AA280" s="309"/>
      <c r="AB280" s="309"/>
      <c r="AC280" s="309"/>
      <c r="AD280" s="309"/>
      <c r="AE280" s="309"/>
      <c r="AF280" s="309"/>
      <c r="AG280" s="309"/>
    </row>
    <row r="281" spans="1:33" ht="15.75" customHeight="1" x14ac:dyDescent="0.25">
      <c r="A281" s="309"/>
      <c r="B281" s="309"/>
      <c r="C281" s="309"/>
      <c r="D281" s="309"/>
      <c r="E281" s="309"/>
      <c r="F281" s="309"/>
      <c r="G281" s="309"/>
      <c r="H281" s="309"/>
      <c r="I281" s="309"/>
      <c r="J281" s="309"/>
      <c r="K281" s="309"/>
      <c r="L281" s="309"/>
      <c r="M281" s="309"/>
      <c r="N281" s="309"/>
      <c r="O281" s="309"/>
      <c r="P281" s="309"/>
      <c r="Q281" s="309"/>
      <c r="R281" s="309"/>
      <c r="S281" s="309"/>
      <c r="T281" s="309"/>
      <c r="U281" s="309"/>
      <c r="V281" s="309"/>
      <c r="W281" s="309"/>
      <c r="X281" s="309"/>
      <c r="Y281" s="309"/>
      <c r="Z281" s="309"/>
      <c r="AA281" s="309"/>
      <c r="AB281" s="309"/>
      <c r="AC281" s="309"/>
      <c r="AD281" s="309"/>
      <c r="AE281" s="309"/>
      <c r="AF281" s="309"/>
      <c r="AG281" s="309"/>
    </row>
    <row r="282" spans="1:33" ht="15.75" customHeight="1" x14ac:dyDescent="0.25">
      <c r="A282" s="309"/>
      <c r="B282" s="309"/>
      <c r="C282" s="309"/>
      <c r="D282" s="309"/>
      <c r="E282" s="309"/>
      <c r="F282" s="309"/>
      <c r="G282" s="309"/>
      <c r="H282" s="309"/>
      <c r="I282" s="309"/>
      <c r="J282" s="309"/>
      <c r="K282" s="309"/>
      <c r="L282" s="309"/>
      <c r="M282" s="309"/>
      <c r="N282" s="309"/>
      <c r="O282" s="309"/>
      <c r="P282" s="309"/>
      <c r="Q282" s="309"/>
      <c r="R282" s="309"/>
      <c r="S282" s="309"/>
      <c r="T282" s="309"/>
      <c r="U282" s="309"/>
      <c r="V282" s="309"/>
      <c r="W282" s="309"/>
      <c r="X282" s="309"/>
      <c r="Y282" s="309"/>
      <c r="Z282" s="309"/>
      <c r="AA282" s="309"/>
      <c r="AB282" s="309"/>
      <c r="AC282" s="309"/>
      <c r="AD282" s="309"/>
      <c r="AE282" s="309"/>
      <c r="AF282" s="309"/>
      <c r="AG282" s="309"/>
    </row>
    <row r="283" spans="1:33" ht="15.75" customHeight="1" x14ac:dyDescent="0.25">
      <c r="A283" s="309"/>
      <c r="B283" s="309"/>
      <c r="C283" s="309"/>
      <c r="D283" s="309"/>
      <c r="E283" s="309"/>
      <c r="F283" s="309"/>
      <c r="G283" s="309"/>
      <c r="H283" s="309"/>
      <c r="I283" s="309"/>
      <c r="J283" s="309"/>
      <c r="K283" s="309"/>
      <c r="L283" s="309"/>
      <c r="M283" s="309"/>
      <c r="N283" s="309"/>
      <c r="O283" s="309"/>
      <c r="P283" s="309"/>
      <c r="Q283" s="309"/>
      <c r="R283" s="309"/>
      <c r="S283" s="309"/>
      <c r="T283" s="309"/>
      <c r="U283" s="309"/>
      <c r="V283" s="309"/>
      <c r="W283" s="309"/>
      <c r="X283" s="309"/>
      <c r="Y283" s="309"/>
      <c r="Z283" s="309"/>
      <c r="AA283" s="309"/>
      <c r="AB283" s="309"/>
      <c r="AC283" s="309"/>
      <c r="AD283" s="309"/>
      <c r="AE283" s="309"/>
      <c r="AF283" s="309"/>
      <c r="AG283" s="309"/>
    </row>
    <row r="284" spans="1:33" ht="15.75" customHeight="1" x14ac:dyDescent="0.25">
      <c r="A284" s="309"/>
      <c r="B284" s="309"/>
      <c r="C284" s="309"/>
      <c r="D284" s="309"/>
      <c r="E284" s="309"/>
      <c r="F284" s="309"/>
      <c r="G284" s="309"/>
      <c r="H284" s="309"/>
      <c r="I284" s="309"/>
      <c r="J284" s="309"/>
      <c r="K284" s="309"/>
      <c r="L284" s="309"/>
      <c r="M284" s="309"/>
      <c r="N284" s="309"/>
      <c r="O284" s="309"/>
      <c r="P284" s="309"/>
      <c r="Q284" s="309"/>
      <c r="R284" s="309"/>
      <c r="S284" s="309"/>
      <c r="T284" s="309"/>
      <c r="U284" s="309"/>
      <c r="V284" s="309"/>
      <c r="W284" s="309"/>
      <c r="X284" s="309"/>
      <c r="Y284" s="309"/>
      <c r="Z284" s="309"/>
      <c r="AA284" s="309"/>
      <c r="AB284" s="309"/>
      <c r="AC284" s="309"/>
      <c r="AD284" s="309"/>
      <c r="AE284" s="309"/>
      <c r="AF284" s="309"/>
      <c r="AG284" s="309"/>
    </row>
    <row r="285" spans="1:33" ht="15.75" customHeight="1" x14ac:dyDescent="0.25">
      <c r="A285" s="309"/>
      <c r="B285" s="309"/>
      <c r="C285" s="309"/>
      <c r="D285" s="309"/>
      <c r="E285" s="309"/>
      <c r="F285" s="309"/>
      <c r="G285" s="309"/>
      <c r="H285" s="309"/>
      <c r="I285" s="309"/>
      <c r="J285" s="309"/>
      <c r="K285" s="309"/>
      <c r="L285" s="309"/>
      <c r="M285" s="309"/>
      <c r="N285" s="309"/>
      <c r="O285" s="309"/>
      <c r="P285" s="309"/>
      <c r="Q285" s="309"/>
      <c r="R285" s="309"/>
      <c r="S285" s="309"/>
      <c r="T285" s="309"/>
      <c r="U285" s="309"/>
      <c r="V285" s="309"/>
      <c r="W285" s="309"/>
      <c r="X285" s="309"/>
      <c r="Y285" s="309"/>
      <c r="Z285" s="309"/>
      <c r="AA285" s="309"/>
      <c r="AB285" s="309"/>
      <c r="AC285" s="309"/>
      <c r="AD285" s="309"/>
      <c r="AE285" s="309"/>
      <c r="AF285" s="309"/>
      <c r="AG285" s="309"/>
    </row>
    <row r="286" spans="1:33" ht="15.75" customHeight="1" x14ac:dyDescent="0.25">
      <c r="A286" s="309"/>
      <c r="B286" s="309"/>
      <c r="C286" s="309"/>
      <c r="D286" s="309"/>
      <c r="E286" s="309"/>
      <c r="F286" s="309"/>
      <c r="G286" s="309"/>
      <c r="H286" s="309"/>
      <c r="I286" s="309"/>
      <c r="J286" s="309"/>
      <c r="K286" s="309"/>
      <c r="L286" s="309"/>
      <c r="M286" s="309"/>
      <c r="N286" s="309"/>
      <c r="O286" s="309"/>
      <c r="P286" s="309"/>
      <c r="Q286" s="309"/>
      <c r="R286" s="309"/>
      <c r="S286" s="309"/>
      <c r="T286" s="309"/>
      <c r="U286" s="309"/>
      <c r="V286" s="309"/>
      <c r="W286" s="309"/>
      <c r="X286" s="309"/>
      <c r="Y286" s="309"/>
      <c r="Z286" s="309"/>
      <c r="AA286" s="309"/>
      <c r="AB286" s="309"/>
      <c r="AC286" s="309"/>
      <c r="AD286" s="309"/>
      <c r="AE286" s="309"/>
      <c r="AF286" s="309"/>
      <c r="AG286" s="309"/>
    </row>
    <row r="287" spans="1:33" ht="15.75" customHeight="1" x14ac:dyDescent="0.25">
      <c r="A287" s="309"/>
      <c r="B287" s="309"/>
      <c r="C287" s="309"/>
      <c r="D287" s="309"/>
      <c r="E287" s="309"/>
      <c r="F287" s="309"/>
      <c r="G287" s="309"/>
      <c r="H287" s="309"/>
      <c r="I287" s="309"/>
      <c r="J287" s="309"/>
      <c r="K287" s="309"/>
      <c r="L287" s="309"/>
      <c r="M287" s="309"/>
      <c r="N287" s="309"/>
      <c r="O287" s="309"/>
      <c r="P287" s="309"/>
      <c r="Q287" s="309"/>
      <c r="R287" s="309"/>
      <c r="S287" s="309"/>
      <c r="T287" s="309"/>
      <c r="U287" s="309"/>
      <c r="V287" s="309"/>
      <c r="W287" s="309"/>
      <c r="X287" s="309"/>
      <c r="Y287" s="309"/>
      <c r="Z287" s="309"/>
      <c r="AA287" s="309"/>
      <c r="AB287" s="309"/>
      <c r="AC287" s="309"/>
      <c r="AD287" s="309"/>
      <c r="AE287" s="309"/>
      <c r="AF287" s="309"/>
      <c r="AG287" s="309"/>
    </row>
    <row r="288" spans="1:33" ht="15.75" customHeight="1" x14ac:dyDescent="0.25">
      <c r="A288" s="309"/>
      <c r="B288" s="309"/>
      <c r="C288" s="309"/>
      <c r="D288" s="309"/>
      <c r="E288" s="309"/>
      <c r="F288" s="309"/>
      <c r="G288" s="309"/>
      <c r="H288" s="309"/>
      <c r="I288" s="309"/>
      <c r="J288" s="309"/>
      <c r="K288" s="309"/>
      <c r="L288" s="309"/>
      <c r="M288" s="309"/>
      <c r="N288" s="309"/>
      <c r="O288" s="309"/>
      <c r="P288" s="309"/>
      <c r="Q288" s="309"/>
      <c r="R288" s="309"/>
      <c r="S288" s="309"/>
      <c r="T288" s="309"/>
      <c r="U288" s="309"/>
      <c r="V288" s="309"/>
      <c r="W288" s="309"/>
      <c r="X288" s="309"/>
      <c r="Y288" s="309"/>
      <c r="Z288" s="309"/>
      <c r="AA288" s="309"/>
      <c r="AB288" s="309"/>
      <c r="AC288" s="309"/>
      <c r="AD288" s="309"/>
      <c r="AE288" s="309"/>
      <c r="AF288" s="309"/>
      <c r="AG288" s="309"/>
    </row>
    <row r="289" spans="1:33" ht="15.75" customHeight="1" x14ac:dyDescent="0.25">
      <c r="A289" s="309"/>
      <c r="B289" s="309"/>
      <c r="C289" s="309"/>
      <c r="D289" s="309"/>
      <c r="E289" s="309"/>
      <c r="F289" s="309"/>
      <c r="G289" s="309"/>
      <c r="H289" s="309"/>
      <c r="I289" s="309"/>
      <c r="J289" s="309"/>
      <c r="K289" s="309"/>
      <c r="L289" s="309"/>
      <c r="M289" s="309"/>
      <c r="N289" s="309"/>
      <c r="O289" s="309"/>
      <c r="P289" s="309"/>
      <c r="Q289" s="309"/>
      <c r="R289" s="309"/>
      <c r="S289" s="309"/>
      <c r="T289" s="309"/>
      <c r="U289" s="309"/>
      <c r="V289" s="309"/>
      <c r="W289" s="309"/>
      <c r="X289" s="309"/>
      <c r="Y289" s="309"/>
      <c r="Z289" s="309"/>
      <c r="AA289" s="309"/>
      <c r="AB289" s="309"/>
      <c r="AC289" s="309"/>
      <c r="AD289" s="309"/>
      <c r="AE289" s="309"/>
      <c r="AF289" s="309"/>
      <c r="AG289" s="309"/>
    </row>
    <row r="290" spans="1:33" ht="15.75" customHeight="1" x14ac:dyDescent="0.25">
      <c r="A290" s="309"/>
      <c r="B290" s="309"/>
      <c r="C290" s="309"/>
      <c r="D290" s="309"/>
      <c r="E290" s="309"/>
      <c r="F290" s="309"/>
      <c r="G290" s="309"/>
      <c r="H290" s="309"/>
      <c r="I290" s="309"/>
      <c r="J290" s="309"/>
      <c r="K290" s="309"/>
      <c r="L290" s="309"/>
      <c r="M290" s="309"/>
      <c r="N290" s="309"/>
      <c r="O290" s="309"/>
      <c r="P290" s="309"/>
      <c r="Q290" s="309"/>
      <c r="R290" s="309"/>
      <c r="S290" s="309"/>
      <c r="T290" s="309"/>
      <c r="U290" s="309"/>
      <c r="V290" s="309"/>
      <c r="W290" s="309"/>
      <c r="X290" s="309"/>
      <c r="Y290" s="309"/>
      <c r="Z290" s="309"/>
      <c r="AA290" s="309"/>
      <c r="AB290" s="309"/>
      <c r="AC290" s="309"/>
      <c r="AD290" s="309"/>
      <c r="AE290" s="309"/>
      <c r="AF290" s="309"/>
      <c r="AG290" s="309"/>
    </row>
    <row r="291" spans="1:33" ht="15.75" customHeight="1" x14ac:dyDescent="0.25">
      <c r="A291" s="309"/>
      <c r="B291" s="309"/>
      <c r="C291" s="309"/>
      <c r="D291" s="309"/>
      <c r="E291" s="309"/>
      <c r="F291" s="309"/>
      <c r="G291" s="309"/>
      <c r="H291" s="309"/>
      <c r="I291" s="309"/>
      <c r="J291" s="309"/>
      <c r="K291" s="309"/>
      <c r="L291" s="309"/>
      <c r="M291" s="309"/>
      <c r="N291" s="309"/>
      <c r="O291" s="309"/>
      <c r="P291" s="309"/>
      <c r="Q291" s="309"/>
      <c r="R291" s="309"/>
      <c r="S291" s="309"/>
      <c r="T291" s="309"/>
      <c r="U291" s="309"/>
      <c r="V291" s="309"/>
      <c r="W291" s="309"/>
      <c r="X291" s="309"/>
      <c r="Y291" s="309"/>
      <c r="Z291" s="309"/>
      <c r="AA291" s="309"/>
      <c r="AB291" s="309"/>
      <c r="AC291" s="309"/>
      <c r="AD291" s="309"/>
      <c r="AE291" s="309"/>
      <c r="AF291" s="309"/>
      <c r="AG291" s="309"/>
    </row>
    <row r="292" spans="1:33" ht="15.75" customHeight="1" x14ac:dyDescent="0.25">
      <c r="A292" s="309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309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  <c r="AG292" s="309"/>
    </row>
    <row r="293" spans="1:33" ht="15.75" customHeight="1" x14ac:dyDescent="0.25">
      <c r="A293" s="309"/>
      <c r="B293" s="309"/>
      <c r="C293" s="309"/>
      <c r="D293" s="309"/>
      <c r="E293" s="309"/>
      <c r="F293" s="309"/>
      <c r="G293" s="309"/>
      <c r="H293" s="309"/>
      <c r="I293" s="309"/>
      <c r="J293" s="309"/>
      <c r="K293" s="309"/>
      <c r="L293" s="309"/>
      <c r="M293" s="309"/>
      <c r="N293" s="309"/>
      <c r="O293" s="309"/>
      <c r="P293" s="309"/>
      <c r="Q293" s="309"/>
      <c r="R293" s="309"/>
      <c r="S293" s="309"/>
      <c r="T293" s="309"/>
      <c r="U293" s="309"/>
      <c r="V293" s="309"/>
      <c r="W293" s="309"/>
      <c r="X293" s="309"/>
      <c r="Y293" s="309"/>
      <c r="Z293" s="309"/>
      <c r="AA293" s="309"/>
      <c r="AB293" s="309"/>
      <c r="AC293" s="309"/>
      <c r="AD293" s="309"/>
      <c r="AE293" s="309"/>
      <c r="AF293" s="309"/>
      <c r="AG293" s="309"/>
    </row>
    <row r="294" spans="1:33" ht="15.75" customHeight="1" x14ac:dyDescent="0.25">
      <c r="A294" s="309"/>
      <c r="B294" s="309"/>
      <c r="C294" s="309"/>
      <c r="D294" s="309"/>
      <c r="E294" s="309"/>
      <c r="F294" s="309"/>
      <c r="G294" s="309"/>
      <c r="H294" s="309"/>
      <c r="I294" s="309"/>
      <c r="J294" s="309"/>
      <c r="K294" s="309"/>
      <c r="L294" s="309"/>
      <c r="M294" s="309"/>
      <c r="N294" s="309"/>
      <c r="O294" s="309"/>
      <c r="P294" s="309"/>
      <c r="Q294" s="309"/>
      <c r="R294" s="309"/>
      <c r="S294" s="309"/>
      <c r="T294" s="309"/>
      <c r="U294" s="309"/>
      <c r="V294" s="309"/>
      <c r="W294" s="309"/>
      <c r="X294" s="309"/>
      <c r="Y294" s="309"/>
      <c r="Z294" s="309"/>
      <c r="AA294" s="309"/>
      <c r="AB294" s="309"/>
      <c r="AC294" s="309"/>
      <c r="AD294" s="309"/>
      <c r="AE294" s="309"/>
      <c r="AF294" s="309"/>
      <c r="AG294" s="309"/>
    </row>
    <row r="295" spans="1:33" ht="15.75" customHeight="1" x14ac:dyDescent="0.25">
      <c r="A295" s="309"/>
      <c r="B295" s="309"/>
      <c r="C295" s="309"/>
      <c r="D295" s="309"/>
      <c r="E295" s="309"/>
      <c r="F295" s="309"/>
      <c r="G295" s="309"/>
      <c r="H295" s="309"/>
      <c r="I295" s="309"/>
      <c r="J295" s="309"/>
      <c r="K295" s="309"/>
      <c r="L295" s="309"/>
      <c r="M295" s="309"/>
      <c r="N295" s="309"/>
      <c r="O295" s="309"/>
      <c r="P295" s="309"/>
      <c r="Q295" s="309"/>
      <c r="R295" s="309"/>
      <c r="S295" s="309"/>
      <c r="T295" s="309"/>
      <c r="U295" s="309"/>
      <c r="V295" s="309"/>
      <c r="W295" s="309"/>
      <c r="X295" s="309"/>
      <c r="Y295" s="309"/>
      <c r="Z295" s="309"/>
      <c r="AA295" s="309"/>
      <c r="AB295" s="309"/>
      <c r="AC295" s="309"/>
      <c r="AD295" s="309"/>
      <c r="AE295" s="309"/>
      <c r="AF295" s="309"/>
      <c r="AG295" s="309"/>
    </row>
    <row r="296" spans="1:33" ht="15.75" customHeight="1" x14ac:dyDescent="0.25">
      <c r="A296" s="309"/>
      <c r="B296" s="309"/>
      <c r="C296" s="309"/>
      <c r="D296" s="309"/>
      <c r="E296" s="309"/>
      <c r="F296" s="309"/>
      <c r="G296" s="309"/>
      <c r="H296" s="309"/>
      <c r="I296" s="309"/>
      <c r="J296" s="309"/>
      <c r="K296" s="309"/>
      <c r="L296" s="309"/>
      <c r="M296" s="309"/>
      <c r="N296" s="309"/>
      <c r="O296" s="309"/>
      <c r="P296" s="309"/>
      <c r="Q296" s="309"/>
      <c r="R296" s="309"/>
      <c r="S296" s="309"/>
      <c r="T296" s="309"/>
      <c r="U296" s="309"/>
      <c r="V296" s="309"/>
      <c r="W296" s="309"/>
      <c r="X296" s="309"/>
      <c r="Y296" s="309"/>
      <c r="Z296" s="309"/>
      <c r="AA296" s="309"/>
      <c r="AB296" s="309"/>
      <c r="AC296" s="309"/>
      <c r="AD296" s="309"/>
      <c r="AE296" s="309"/>
      <c r="AF296" s="309"/>
      <c r="AG296" s="309"/>
    </row>
    <row r="297" spans="1:33" ht="15.75" customHeight="1" x14ac:dyDescent="0.25">
      <c r="A297" s="309"/>
      <c r="B297" s="309"/>
      <c r="C297" s="309"/>
      <c r="D297" s="309"/>
      <c r="E297" s="309"/>
      <c r="F297" s="309"/>
      <c r="G297" s="309"/>
      <c r="H297" s="309"/>
      <c r="I297" s="309"/>
      <c r="J297" s="309"/>
      <c r="K297" s="309"/>
      <c r="L297" s="309"/>
      <c r="M297" s="309"/>
      <c r="N297" s="309"/>
      <c r="O297" s="309"/>
      <c r="P297" s="309"/>
      <c r="Q297" s="309"/>
      <c r="R297" s="309"/>
      <c r="S297" s="309"/>
      <c r="T297" s="309"/>
      <c r="U297" s="309"/>
      <c r="V297" s="309"/>
      <c r="W297" s="309"/>
      <c r="X297" s="309"/>
      <c r="Y297" s="309"/>
      <c r="Z297" s="309"/>
      <c r="AA297" s="309"/>
      <c r="AB297" s="309"/>
      <c r="AC297" s="309"/>
      <c r="AD297" s="309"/>
      <c r="AE297" s="309"/>
      <c r="AF297" s="309"/>
      <c r="AG297" s="309"/>
    </row>
    <row r="298" spans="1:33" ht="15.75" customHeight="1" x14ac:dyDescent="0.25">
      <c r="A298" s="309"/>
      <c r="B298" s="309"/>
      <c r="C298" s="309"/>
      <c r="D298" s="309"/>
      <c r="E298" s="309"/>
      <c r="F298" s="309"/>
      <c r="G298" s="309"/>
      <c r="H298" s="309"/>
      <c r="I298" s="309"/>
      <c r="J298" s="309"/>
      <c r="K298" s="309"/>
      <c r="L298" s="309"/>
      <c r="M298" s="309"/>
      <c r="N298" s="309"/>
      <c r="O298" s="309"/>
      <c r="P298" s="309"/>
      <c r="Q298" s="309"/>
      <c r="R298" s="309"/>
      <c r="S298" s="309"/>
      <c r="T298" s="309"/>
      <c r="U298" s="309"/>
      <c r="V298" s="309"/>
      <c r="W298" s="309"/>
      <c r="X298" s="309"/>
      <c r="Y298" s="309"/>
      <c r="Z298" s="309"/>
      <c r="AA298" s="309"/>
      <c r="AB298" s="309"/>
      <c r="AC298" s="309"/>
      <c r="AD298" s="309"/>
      <c r="AE298" s="309"/>
      <c r="AF298" s="309"/>
      <c r="AG298" s="309"/>
    </row>
    <row r="299" spans="1:33" ht="15.75" customHeight="1" x14ac:dyDescent="0.25">
      <c r="A299" s="309"/>
      <c r="B299" s="309"/>
      <c r="C299" s="309"/>
      <c r="D299" s="309"/>
      <c r="E299" s="309"/>
      <c r="F299" s="309"/>
      <c r="G299" s="309"/>
      <c r="H299" s="309"/>
      <c r="I299" s="309"/>
      <c r="J299" s="309"/>
      <c r="K299" s="309"/>
      <c r="L299" s="309"/>
      <c r="M299" s="309"/>
      <c r="N299" s="309"/>
      <c r="O299" s="309"/>
      <c r="P299" s="309"/>
      <c r="Q299" s="309"/>
      <c r="R299" s="309"/>
      <c r="S299" s="309"/>
      <c r="T299" s="309"/>
      <c r="U299" s="309"/>
      <c r="V299" s="309"/>
      <c r="W299" s="309"/>
      <c r="X299" s="309"/>
      <c r="Y299" s="309"/>
      <c r="Z299" s="309"/>
      <c r="AA299" s="309"/>
      <c r="AB299" s="309"/>
      <c r="AC299" s="309"/>
      <c r="AD299" s="309"/>
      <c r="AE299" s="309"/>
      <c r="AF299" s="309"/>
      <c r="AG299" s="309"/>
    </row>
    <row r="300" spans="1:33" ht="15.75" customHeight="1" x14ac:dyDescent="0.25">
      <c r="A300" s="309"/>
      <c r="B300" s="309"/>
      <c r="C300" s="309"/>
      <c r="D300" s="309"/>
      <c r="E300" s="309"/>
      <c r="F300" s="309"/>
      <c r="G300" s="309"/>
      <c r="H300" s="309"/>
      <c r="I300" s="309"/>
      <c r="J300" s="309"/>
      <c r="K300" s="309"/>
      <c r="L300" s="309"/>
      <c r="M300" s="309"/>
      <c r="N300" s="309"/>
      <c r="O300" s="309"/>
      <c r="P300" s="309"/>
      <c r="Q300" s="309"/>
      <c r="R300" s="309"/>
      <c r="S300" s="309"/>
      <c r="T300" s="309"/>
      <c r="U300" s="309"/>
      <c r="V300" s="309"/>
      <c r="W300" s="309"/>
      <c r="X300" s="309"/>
      <c r="Y300" s="309"/>
      <c r="Z300" s="309"/>
      <c r="AA300" s="309"/>
      <c r="AB300" s="309"/>
      <c r="AC300" s="309"/>
      <c r="AD300" s="309"/>
      <c r="AE300" s="309"/>
      <c r="AF300" s="309"/>
      <c r="AG300" s="309"/>
    </row>
    <row r="301" spans="1:33" ht="15.75" customHeight="1" x14ac:dyDescent="0.25">
      <c r="A301" s="309"/>
      <c r="B301" s="309"/>
      <c r="C301" s="309"/>
      <c r="D301" s="309"/>
      <c r="E301" s="309"/>
      <c r="F301" s="309"/>
      <c r="G301" s="309"/>
      <c r="H301" s="309"/>
      <c r="I301" s="309"/>
      <c r="J301" s="309"/>
      <c r="K301" s="309"/>
      <c r="L301" s="309"/>
      <c r="M301" s="309"/>
      <c r="N301" s="309"/>
      <c r="O301" s="309"/>
      <c r="P301" s="309"/>
      <c r="Q301" s="309"/>
      <c r="R301" s="309"/>
      <c r="S301" s="309"/>
      <c r="T301" s="309"/>
      <c r="U301" s="309"/>
      <c r="V301" s="309"/>
      <c r="W301" s="309"/>
      <c r="X301" s="309"/>
      <c r="Y301" s="309"/>
      <c r="Z301" s="309"/>
      <c r="AA301" s="309"/>
      <c r="AB301" s="309"/>
      <c r="AC301" s="309"/>
      <c r="AD301" s="309"/>
      <c r="AE301" s="309"/>
      <c r="AF301" s="309"/>
      <c r="AG301" s="309"/>
    </row>
    <row r="302" spans="1:33" ht="15.75" customHeight="1" x14ac:dyDescent="0.25">
      <c r="A302" s="309"/>
      <c r="B302" s="309"/>
      <c r="C302" s="309"/>
      <c r="D302" s="309"/>
      <c r="E302" s="309"/>
      <c r="F302" s="309"/>
      <c r="G302" s="309"/>
      <c r="H302" s="309"/>
      <c r="I302" s="309"/>
      <c r="J302" s="309"/>
      <c r="K302" s="309"/>
      <c r="L302" s="309"/>
      <c r="M302" s="309"/>
      <c r="N302" s="309"/>
      <c r="O302" s="309"/>
      <c r="P302" s="309"/>
      <c r="Q302" s="309"/>
      <c r="R302" s="309"/>
      <c r="S302" s="309"/>
      <c r="T302" s="309"/>
      <c r="U302" s="309"/>
      <c r="V302" s="309"/>
      <c r="W302" s="309"/>
      <c r="X302" s="309"/>
      <c r="Y302" s="309"/>
      <c r="Z302" s="309"/>
      <c r="AA302" s="309"/>
      <c r="AB302" s="309"/>
      <c r="AC302" s="309"/>
      <c r="AD302" s="309"/>
      <c r="AE302" s="309"/>
      <c r="AF302" s="309"/>
      <c r="AG302" s="309"/>
    </row>
    <row r="303" spans="1:33" ht="15.75" customHeight="1" x14ac:dyDescent="0.25">
      <c r="A303" s="309"/>
      <c r="B303" s="309"/>
      <c r="C303" s="309"/>
      <c r="D303" s="309"/>
      <c r="E303" s="309"/>
      <c r="F303" s="309"/>
      <c r="G303" s="309"/>
      <c r="H303" s="309"/>
      <c r="I303" s="309"/>
      <c r="J303" s="309"/>
      <c r="K303" s="309"/>
      <c r="L303" s="309"/>
      <c r="M303" s="309"/>
      <c r="N303" s="309"/>
      <c r="O303" s="309"/>
      <c r="P303" s="309"/>
      <c r="Q303" s="309"/>
      <c r="R303" s="309"/>
      <c r="S303" s="309"/>
      <c r="T303" s="309"/>
      <c r="U303" s="309"/>
      <c r="V303" s="309"/>
      <c r="W303" s="309"/>
      <c r="X303" s="309"/>
      <c r="Y303" s="309"/>
      <c r="Z303" s="309"/>
      <c r="AA303" s="309"/>
      <c r="AB303" s="309"/>
      <c r="AC303" s="309"/>
      <c r="AD303" s="309"/>
      <c r="AE303" s="309"/>
      <c r="AF303" s="309"/>
      <c r="AG303" s="309"/>
    </row>
    <row r="304" spans="1:33" ht="15.75" customHeight="1" x14ac:dyDescent="0.25">
      <c r="A304" s="309"/>
      <c r="B304" s="309"/>
      <c r="C304" s="309"/>
      <c r="D304" s="309"/>
      <c r="E304" s="309"/>
      <c r="F304" s="309"/>
      <c r="G304" s="309"/>
      <c r="H304" s="309"/>
      <c r="I304" s="309"/>
      <c r="J304" s="309"/>
      <c r="K304" s="309"/>
      <c r="L304" s="309"/>
      <c r="M304" s="309"/>
      <c r="N304" s="309"/>
      <c r="O304" s="309"/>
      <c r="P304" s="309"/>
      <c r="Q304" s="309"/>
      <c r="R304" s="309"/>
      <c r="S304" s="309"/>
      <c r="T304" s="309"/>
      <c r="U304" s="309"/>
      <c r="V304" s="309"/>
      <c r="W304" s="309"/>
      <c r="X304" s="309"/>
      <c r="Y304" s="309"/>
      <c r="Z304" s="309"/>
      <c r="AA304" s="309"/>
      <c r="AB304" s="309"/>
      <c r="AC304" s="309"/>
      <c r="AD304" s="309"/>
      <c r="AE304" s="309"/>
      <c r="AF304" s="309"/>
      <c r="AG304" s="309"/>
    </row>
    <row r="305" spans="1:33" ht="15.75" customHeight="1" x14ac:dyDescent="0.25">
      <c r="A305" s="309"/>
      <c r="B305" s="309"/>
      <c r="C305" s="309"/>
      <c r="D305" s="309"/>
      <c r="E305" s="309"/>
      <c r="F305" s="309"/>
      <c r="G305" s="309"/>
      <c r="H305" s="309"/>
      <c r="I305" s="309"/>
      <c r="J305" s="309"/>
      <c r="K305" s="309"/>
      <c r="L305" s="309"/>
      <c r="M305" s="309"/>
      <c r="N305" s="309"/>
      <c r="O305" s="309"/>
      <c r="P305" s="309"/>
      <c r="Q305" s="309"/>
      <c r="R305" s="309"/>
      <c r="S305" s="309"/>
      <c r="T305" s="309"/>
      <c r="U305" s="309"/>
      <c r="V305" s="309"/>
      <c r="W305" s="309"/>
      <c r="X305" s="309"/>
      <c r="Y305" s="309"/>
      <c r="Z305" s="309"/>
      <c r="AA305" s="309"/>
      <c r="AB305" s="309"/>
      <c r="AC305" s="309"/>
      <c r="AD305" s="309"/>
      <c r="AE305" s="309"/>
      <c r="AF305" s="309"/>
      <c r="AG305" s="309"/>
    </row>
    <row r="306" spans="1:33" ht="15.75" customHeight="1" x14ac:dyDescent="0.25">
      <c r="A306" s="309"/>
      <c r="B306" s="309"/>
      <c r="C306" s="309"/>
      <c r="D306" s="309"/>
      <c r="E306" s="309"/>
      <c r="F306" s="309"/>
      <c r="G306" s="309"/>
      <c r="H306" s="309"/>
      <c r="I306" s="309"/>
      <c r="J306" s="309"/>
      <c r="K306" s="309"/>
      <c r="L306" s="309"/>
      <c r="M306" s="309"/>
      <c r="N306" s="309"/>
      <c r="O306" s="309"/>
      <c r="P306" s="309"/>
      <c r="Q306" s="309"/>
      <c r="R306" s="309"/>
      <c r="S306" s="309"/>
      <c r="T306" s="309"/>
      <c r="U306" s="309"/>
      <c r="V306" s="309"/>
      <c r="W306" s="309"/>
      <c r="X306" s="309"/>
      <c r="Y306" s="309"/>
      <c r="Z306" s="309"/>
      <c r="AA306" s="309"/>
      <c r="AB306" s="309"/>
      <c r="AC306" s="309"/>
      <c r="AD306" s="309"/>
      <c r="AE306" s="309"/>
      <c r="AF306" s="309"/>
      <c r="AG306" s="309"/>
    </row>
    <row r="307" spans="1:33" ht="15.75" customHeight="1" x14ac:dyDescent="0.25">
      <c r="A307" s="309"/>
      <c r="B307" s="309"/>
      <c r="C307" s="309"/>
      <c r="D307" s="309"/>
      <c r="E307" s="309"/>
      <c r="F307" s="309"/>
      <c r="G307" s="309"/>
      <c r="H307" s="309"/>
      <c r="I307" s="309"/>
      <c r="J307" s="309"/>
      <c r="K307" s="309"/>
      <c r="L307" s="309"/>
      <c r="M307" s="309"/>
      <c r="N307" s="309"/>
      <c r="O307" s="309"/>
      <c r="P307" s="309"/>
      <c r="Q307" s="309"/>
      <c r="R307" s="309"/>
      <c r="S307" s="309"/>
      <c r="T307" s="309"/>
      <c r="U307" s="309"/>
      <c r="V307" s="309"/>
      <c r="W307" s="309"/>
      <c r="X307" s="309"/>
      <c r="Y307" s="309"/>
      <c r="Z307" s="309"/>
      <c r="AA307" s="309"/>
      <c r="AB307" s="309"/>
      <c r="AC307" s="309"/>
      <c r="AD307" s="309"/>
      <c r="AE307" s="309"/>
      <c r="AF307" s="309"/>
      <c r="AG307" s="309"/>
    </row>
    <row r="308" spans="1:33" ht="15.75" customHeight="1" x14ac:dyDescent="0.25">
      <c r="A308" s="309"/>
      <c r="B308" s="309"/>
      <c r="C308" s="309"/>
      <c r="D308" s="309"/>
      <c r="E308" s="309"/>
      <c r="F308" s="309"/>
      <c r="G308" s="309"/>
      <c r="H308" s="309"/>
      <c r="I308" s="309"/>
      <c r="J308" s="309"/>
      <c r="K308" s="309"/>
      <c r="L308" s="309"/>
      <c r="M308" s="309"/>
      <c r="N308" s="309"/>
      <c r="O308" s="309"/>
      <c r="P308" s="309"/>
      <c r="Q308" s="309"/>
      <c r="R308" s="309"/>
      <c r="S308" s="309"/>
      <c r="T308" s="309"/>
      <c r="U308" s="309"/>
      <c r="V308" s="309"/>
      <c r="W308" s="309"/>
      <c r="X308" s="309"/>
      <c r="Y308" s="309"/>
      <c r="Z308" s="309"/>
      <c r="AA308" s="309"/>
      <c r="AB308" s="309"/>
      <c r="AC308" s="309"/>
      <c r="AD308" s="309"/>
      <c r="AE308" s="309"/>
      <c r="AF308" s="309"/>
      <c r="AG308" s="309"/>
    </row>
    <row r="309" spans="1:33" ht="15.75" customHeight="1" x14ac:dyDescent="0.25">
      <c r="A309" s="309"/>
      <c r="B309" s="309"/>
      <c r="C309" s="309"/>
      <c r="D309" s="309"/>
      <c r="E309" s="309"/>
      <c r="F309" s="309"/>
      <c r="G309" s="309"/>
      <c r="H309" s="309"/>
      <c r="I309" s="309"/>
      <c r="J309" s="309"/>
      <c r="K309" s="309"/>
      <c r="L309" s="309"/>
      <c r="M309" s="309"/>
      <c r="N309" s="309"/>
      <c r="O309" s="309"/>
      <c r="P309" s="309"/>
      <c r="Q309" s="309"/>
      <c r="R309" s="309"/>
      <c r="S309" s="309"/>
      <c r="T309" s="309"/>
      <c r="U309" s="309"/>
      <c r="V309" s="309"/>
      <c r="W309" s="309"/>
      <c r="X309" s="309"/>
      <c r="Y309" s="309"/>
      <c r="Z309" s="309"/>
      <c r="AA309" s="309"/>
      <c r="AB309" s="309"/>
      <c r="AC309" s="309"/>
      <c r="AD309" s="309"/>
      <c r="AE309" s="309"/>
      <c r="AF309" s="309"/>
      <c r="AG309" s="309"/>
    </row>
    <row r="310" spans="1:33" ht="15.75" customHeight="1" x14ac:dyDescent="0.25">
      <c r="A310" s="309"/>
      <c r="B310" s="309"/>
      <c r="C310" s="309"/>
      <c r="D310" s="309"/>
      <c r="E310" s="309"/>
      <c r="F310" s="309"/>
      <c r="G310" s="309"/>
      <c r="H310" s="309"/>
      <c r="I310" s="309"/>
      <c r="J310" s="309"/>
      <c r="K310" s="309"/>
      <c r="L310" s="309"/>
      <c r="M310" s="309"/>
      <c r="N310" s="309"/>
      <c r="O310" s="309"/>
      <c r="P310" s="309"/>
      <c r="Q310" s="309"/>
      <c r="R310" s="309"/>
      <c r="S310" s="309"/>
      <c r="T310" s="309"/>
      <c r="U310" s="309"/>
      <c r="V310" s="309"/>
      <c r="W310" s="309"/>
      <c r="X310" s="309"/>
      <c r="Y310" s="309"/>
      <c r="Z310" s="309"/>
      <c r="AA310" s="309"/>
      <c r="AB310" s="309"/>
      <c r="AC310" s="309"/>
      <c r="AD310" s="309"/>
      <c r="AE310" s="309"/>
      <c r="AF310" s="309"/>
      <c r="AG310" s="309"/>
    </row>
    <row r="311" spans="1:33" ht="15.75" customHeight="1" x14ac:dyDescent="0.25">
      <c r="A311" s="309"/>
      <c r="B311" s="309"/>
      <c r="C311" s="309"/>
      <c r="D311" s="309"/>
      <c r="E311" s="309"/>
      <c r="F311" s="309"/>
      <c r="G311" s="309"/>
      <c r="H311" s="309"/>
      <c r="I311" s="309"/>
      <c r="J311" s="309"/>
      <c r="K311" s="309"/>
      <c r="L311" s="309"/>
      <c r="M311" s="309"/>
      <c r="N311" s="309"/>
      <c r="O311" s="309"/>
      <c r="P311" s="309"/>
      <c r="Q311" s="309"/>
      <c r="R311" s="309"/>
      <c r="S311" s="309"/>
      <c r="T311" s="309"/>
      <c r="U311" s="309"/>
      <c r="V311" s="309"/>
      <c r="W311" s="309"/>
      <c r="X311" s="309"/>
      <c r="Y311" s="309"/>
      <c r="Z311" s="309"/>
      <c r="AA311" s="309"/>
      <c r="AB311" s="309"/>
      <c r="AC311" s="309"/>
      <c r="AD311" s="309"/>
      <c r="AE311" s="309"/>
      <c r="AF311" s="309"/>
      <c r="AG311" s="309"/>
    </row>
    <row r="312" spans="1:33" ht="15.75" customHeight="1" x14ac:dyDescent="0.25">
      <c r="A312" s="309"/>
      <c r="B312" s="309"/>
      <c r="C312" s="309"/>
      <c r="D312" s="309"/>
      <c r="E312" s="309"/>
      <c r="F312" s="309"/>
      <c r="G312" s="309"/>
      <c r="H312" s="309"/>
      <c r="I312" s="309"/>
      <c r="J312" s="309"/>
      <c r="K312" s="309"/>
      <c r="L312" s="309"/>
      <c r="M312" s="309"/>
      <c r="N312" s="309"/>
      <c r="O312" s="309"/>
      <c r="P312" s="309"/>
      <c r="Q312" s="309"/>
      <c r="R312" s="309"/>
      <c r="S312" s="309"/>
      <c r="T312" s="309"/>
      <c r="U312" s="309"/>
      <c r="V312" s="309"/>
      <c r="W312" s="309"/>
      <c r="X312" s="309"/>
      <c r="Y312" s="309"/>
      <c r="Z312" s="309"/>
      <c r="AA312" s="309"/>
      <c r="AB312" s="309"/>
      <c r="AC312" s="309"/>
      <c r="AD312" s="309"/>
      <c r="AE312" s="309"/>
      <c r="AF312" s="309"/>
      <c r="AG312" s="309"/>
    </row>
    <row r="313" spans="1:33" ht="15.75" customHeight="1" x14ac:dyDescent="0.25">
      <c r="A313" s="309"/>
      <c r="B313" s="309"/>
      <c r="C313" s="309"/>
      <c r="D313" s="309"/>
      <c r="E313" s="309"/>
      <c r="F313" s="309"/>
      <c r="G313" s="309"/>
      <c r="H313" s="309"/>
      <c r="I313" s="309"/>
      <c r="J313" s="309"/>
      <c r="K313" s="309"/>
      <c r="L313" s="309"/>
      <c r="M313" s="309"/>
      <c r="N313" s="309"/>
      <c r="O313" s="309"/>
      <c r="P313" s="309"/>
      <c r="Q313" s="309"/>
      <c r="R313" s="309"/>
      <c r="S313" s="309"/>
      <c r="T313" s="309"/>
      <c r="U313" s="309"/>
      <c r="V313" s="309"/>
      <c r="W313" s="309"/>
      <c r="X313" s="309"/>
      <c r="Y313" s="309"/>
      <c r="Z313" s="309"/>
      <c r="AA313" s="309"/>
      <c r="AB313" s="309"/>
      <c r="AC313" s="309"/>
      <c r="AD313" s="309"/>
      <c r="AE313" s="309"/>
      <c r="AF313" s="309"/>
      <c r="AG313" s="309"/>
    </row>
    <row r="314" spans="1:33" ht="15.75" customHeight="1" x14ac:dyDescent="0.25">
      <c r="A314" s="309"/>
      <c r="B314" s="309"/>
      <c r="C314" s="309"/>
      <c r="D314" s="309"/>
      <c r="E314" s="309"/>
      <c r="F314" s="309"/>
      <c r="G314" s="309"/>
      <c r="H314" s="309"/>
      <c r="I314" s="309"/>
      <c r="J314" s="309"/>
      <c r="K314" s="309"/>
      <c r="L314" s="309"/>
      <c r="M314" s="309"/>
      <c r="N314" s="309"/>
      <c r="O314" s="309"/>
      <c r="P314" s="309"/>
      <c r="Q314" s="309"/>
      <c r="R314" s="309"/>
      <c r="S314" s="309"/>
      <c r="T314" s="309"/>
      <c r="U314" s="309"/>
      <c r="V314" s="309"/>
      <c r="W314" s="309"/>
      <c r="X314" s="309"/>
      <c r="Y314" s="309"/>
      <c r="Z314" s="309"/>
      <c r="AA314" s="309"/>
      <c r="AB314" s="309"/>
      <c r="AC314" s="309"/>
      <c r="AD314" s="309"/>
      <c r="AE314" s="309"/>
      <c r="AF314" s="309"/>
      <c r="AG314" s="309"/>
    </row>
    <row r="315" spans="1:33" ht="15.75" customHeight="1" x14ac:dyDescent="0.25">
      <c r="A315" s="309"/>
      <c r="B315" s="309"/>
      <c r="C315" s="309"/>
      <c r="D315" s="309"/>
      <c r="E315" s="309"/>
      <c r="F315" s="309"/>
      <c r="G315" s="309"/>
      <c r="H315" s="309"/>
      <c r="I315" s="309"/>
      <c r="J315" s="309"/>
      <c r="K315" s="309"/>
      <c r="L315" s="309"/>
      <c r="M315" s="309"/>
      <c r="N315" s="309"/>
      <c r="O315" s="309"/>
      <c r="P315" s="309"/>
      <c r="Q315" s="309"/>
      <c r="R315" s="309"/>
      <c r="S315" s="309"/>
      <c r="T315" s="309"/>
      <c r="U315" s="309"/>
      <c r="V315" s="309"/>
      <c r="W315" s="309"/>
      <c r="X315" s="309"/>
      <c r="Y315" s="309"/>
      <c r="Z315" s="309"/>
      <c r="AA315" s="309"/>
      <c r="AB315" s="309"/>
      <c r="AC315" s="309"/>
      <c r="AD315" s="309"/>
      <c r="AE315" s="309"/>
      <c r="AF315" s="309"/>
      <c r="AG315" s="309"/>
    </row>
    <row r="316" spans="1:33" ht="15.75" customHeight="1" x14ac:dyDescent="0.25">
      <c r="A316" s="309"/>
      <c r="B316" s="309"/>
      <c r="C316" s="309"/>
      <c r="D316" s="309"/>
      <c r="E316" s="309"/>
      <c r="F316" s="309"/>
      <c r="G316" s="309"/>
      <c r="H316" s="309"/>
      <c r="I316" s="309"/>
      <c r="J316" s="309"/>
      <c r="K316" s="309"/>
      <c r="L316" s="309"/>
      <c r="M316" s="309"/>
      <c r="N316" s="309"/>
      <c r="O316" s="309"/>
      <c r="P316" s="309"/>
      <c r="Q316" s="309"/>
      <c r="R316" s="309"/>
      <c r="S316" s="309"/>
      <c r="T316" s="309"/>
      <c r="U316" s="309"/>
      <c r="V316" s="309"/>
      <c r="W316" s="309"/>
      <c r="X316" s="309"/>
      <c r="Y316" s="309"/>
      <c r="Z316" s="309"/>
      <c r="AA316" s="309"/>
      <c r="AB316" s="309"/>
      <c r="AC316" s="309"/>
      <c r="AD316" s="309"/>
      <c r="AE316" s="309"/>
      <c r="AF316" s="309"/>
      <c r="AG316" s="309"/>
    </row>
    <row r="317" spans="1:33" ht="15.75" customHeight="1" x14ac:dyDescent="0.25">
      <c r="A317" s="309"/>
      <c r="B317" s="309"/>
      <c r="C317" s="309"/>
      <c r="D317" s="309"/>
      <c r="E317" s="309"/>
      <c r="F317" s="309"/>
      <c r="G317" s="309"/>
      <c r="H317" s="309"/>
      <c r="I317" s="309"/>
      <c r="J317" s="309"/>
      <c r="K317" s="309"/>
      <c r="L317" s="309"/>
      <c r="M317" s="309"/>
      <c r="N317" s="309"/>
      <c r="O317" s="309"/>
      <c r="P317" s="309"/>
      <c r="Q317" s="309"/>
      <c r="R317" s="309"/>
      <c r="S317" s="309"/>
      <c r="T317" s="309"/>
      <c r="U317" s="309"/>
      <c r="V317" s="309"/>
      <c r="W317" s="309"/>
      <c r="X317" s="309"/>
      <c r="Y317" s="309"/>
      <c r="Z317" s="309"/>
      <c r="AA317" s="309"/>
      <c r="AB317" s="309"/>
      <c r="AC317" s="309"/>
      <c r="AD317" s="309"/>
      <c r="AE317" s="309"/>
      <c r="AF317" s="309"/>
      <c r="AG317" s="309"/>
    </row>
    <row r="318" spans="1:33" ht="15.75" customHeight="1" x14ac:dyDescent="0.25">
      <c r="A318" s="309"/>
      <c r="B318" s="309"/>
      <c r="C318" s="309"/>
      <c r="D318" s="309"/>
      <c r="E318" s="309"/>
      <c r="F318" s="309"/>
      <c r="G318" s="309"/>
      <c r="H318" s="309"/>
      <c r="I318" s="309"/>
      <c r="J318" s="309"/>
      <c r="K318" s="309"/>
      <c r="L318" s="309"/>
      <c r="M318" s="309"/>
      <c r="N318" s="309"/>
      <c r="O318" s="309"/>
      <c r="P318" s="309"/>
      <c r="Q318" s="309"/>
      <c r="R318" s="309"/>
      <c r="S318" s="309"/>
      <c r="T318" s="309"/>
      <c r="U318" s="309"/>
      <c r="V318" s="309"/>
      <c r="W318" s="309"/>
      <c r="X318" s="309"/>
      <c r="Y318" s="309"/>
      <c r="Z318" s="309"/>
      <c r="AA318" s="309"/>
      <c r="AB318" s="309"/>
      <c r="AC318" s="309"/>
      <c r="AD318" s="309"/>
      <c r="AE318" s="309"/>
      <c r="AF318" s="309"/>
      <c r="AG318" s="309"/>
    </row>
    <row r="319" spans="1:33" ht="15.75" customHeight="1" x14ac:dyDescent="0.25">
      <c r="A319" s="309"/>
      <c r="B319" s="309"/>
      <c r="C319" s="309"/>
      <c r="D319" s="309"/>
      <c r="E319" s="309"/>
      <c r="F319" s="309"/>
      <c r="G319" s="309"/>
      <c r="H319" s="309"/>
      <c r="I319" s="309"/>
      <c r="J319" s="309"/>
      <c r="K319" s="309"/>
      <c r="L319" s="309"/>
      <c r="M319" s="309"/>
      <c r="N319" s="309"/>
      <c r="O319" s="309"/>
      <c r="P319" s="309"/>
      <c r="Q319" s="309"/>
      <c r="R319" s="309"/>
      <c r="S319" s="309"/>
      <c r="T319" s="309"/>
      <c r="U319" s="309"/>
      <c r="V319" s="309"/>
      <c r="W319" s="309"/>
      <c r="X319" s="309"/>
      <c r="Y319" s="309"/>
      <c r="Z319" s="309"/>
      <c r="AA319" s="309"/>
      <c r="AB319" s="309"/>
      <c r="AC319" s="309"/>
      <c r="AD319" s="309"/>
      <c r="AE319" s="309"/>
      <c r="AF319" s="309"/>
      <c r="AG319" s="309"/>
    </row>
    <row r="320" spans="1:33" ht="15.75" customHeight="1" x14ac:dyDescent="0.25">
      <c r="A320" s="309"/>
      <c r="B320" s="309"/>
      <c r="C320" s="309"/>
      <c r="D320" s="309"/>
      <c r="E320" s="309"/>
      <c r="F320" s="309"/>
      <c r="G320" s="309"/>
      <c r="H320" s="309"/>
      <c r="I320" s="309"/>
      <c r="J320" s="309"/>
      <c r="K320" s="309"/>
      <c r="L320" s="309"/>
      <c r="M320" s="309"/>
      <c r="N320" s="309"/>
      <c r="O320" s="309"/>
      <c r="P320" s="309"/>
      <c r="Q320" s="309"/>
      <c r="R320" s="309"/>
      <c r="S320" s="309"/>
      <c r="T320" s="309"/>
      <c r="U320" s="309"/>
      <c r="V320" s="309"/>
      <c r="W320" s="309"/>
      <c r="X320" s="309"/>
      <c r="Y320" s="309"/>
      <c r="Z320" s="309"/>
      <c r="AA320" s="309"/>
      <c r="AB320" s="309"/>
      <c r="AC320" s="309"/>
      <c r="AD320" s="309"/>
      <c r="AE320" s="309"/>
      <c r="AF320" s="309"/>
      <c r="AG320" s="309"/>
    </row>
    <row r="321" spans="1:33" ht="15.75" customHeight="1" x14ac:dyDescent="0.25">
      <c r="A321" s="309"/>
      <c r="B321" s="309"/>
      <c r="C321" s="309"/>
      <c r="D321" s="309"/>
      <c r="E321" s="309"/>
      <c r="F321" s="309"/>
      <c r="G321" s="309"/>
      <c r="H321" s="309"/>
      <c r="I321" s="309"/>
      <c r="J321" s="309"/>
      <c r="K321" s="309"/>
      <c r="L321" s="309"/>
      <c r="M321" s="309"/>
      <c r="N321" s="309"/>
      <c r="O321" s="309"/>
      <c r="P321" s="309"/>
      <c r="Q321" s="309"/>
      <c r="R321" s="309"/>
      <c r="S321" s="309"/>
      <c r="T321" s="309"/>
      <c r="U321" s="309"/>
      <c r="V321" s="309"/>
      <c r="W321" s="309"/>
      <c r="X321" s="309"/>
      <c r="Y321" s="309"/>
      <c r="Z321" s="309"/>
      <c r="AA321" s="309"/>
      <c r="AB321" s="309"/>
      <c r="AC321" s="309"/>
      <c r="AD321" s="309"/>
      <c r="AE321" s="309"/>
      <c r="AF321" s="309"/>
      <c r="AG321" s="309"/>
    </row>
    <row r="322" spans="1:33" ht="15.75" customHeight="1" x14ac:dyDescent="0.25">
      <c r="A322" s="309"/>
      <c r="B322" s="309"/>
      <c r="C322" s="309"/>
      <c r="D322" s="309"/>
      <c r="E322" s="309"/>
      <c r="F322" s="309"/>
      <c r="G322" s="309"/>
      <c r="H322" s="309"/>
      <c r="I322" s="309"/>
      <c r="J322" s="309"/>
      <c r="K322" s="309"/>
      <c r="L322" s="309"/>
      <c r="M322" s="309"/>
      <c r="N322" s="309"/>
      <c r="O322" s="309"/>
      <c r="P322" s="309"/>
      <c r="Q322" s="309"/>
      <c r="R322" s="309"/>
      <c r="S322" s="309"/>
      <c r="T322" s="309"/>
      <c r="U322" s="309"/>
      <c r="V322" s="309"/>
      <c r="W322" s="309"/>
      <c r="X322" s="309"/>
      <c r="Y322" s="309"/>
      <c r="Z322" s="309"/>
      <c r="AA322" s="309"/>
      <c r="AB322" s="309"/>
      <c r="AC322" s="309"/>
      <c r="AD322" s="309"/>
      <c r="AE322" s="309"/>
      <c r="AF322" s="309"/>
      <c r="AG322" s="309"/>
    </row>
    <row r="323" spans="1:33" ht="15.75" customHeight="1" x14ac:dyDescent="0.25">
      <c r="A323" s="309"/>
      <c r="B323" s="309"/>
      <c r="C323" s="309"/>
      <c r="D323" s="309"/>
      <c r="E323" s="309"/>
      <c r="F323" s="309"/>
      <c r="G323" s="309"/>
      <c r="H323" s="309"/>
      <c r="I323" s="309"/>
      <c r="J323" s="309"/>
      <c r="K323" s="309"/>
      <c r="L323" s="309"/>
      <c r="M323" s="309"/>
      <c r="N323" s="309"/>
      <c r="O323" s="309"/>
      <c r="P323" s="309"/>
      <c r="Q323" s="309"/>
      <c r="R323" s="309"/>
      <c r="S323" s="309"/>
      <c r="T323" s="309"/>
      <c r="U323" s="309"/>
      <c r="V323" s="309"/>
      <c r="W323" s="309"/>
      <c r="X323" s="309"/>
      <c r="Y323" s="309"/>
      <c r="Z323" s="309"/>
      <c r="AA323" s="309"/>
      <c r="AB323" s="309"/>
      <c r="AC323" s="309"/>
      <c r="AD323" s="309"/>
      <c r="AE323" s="309"/>
      <c r="AF323" s="309"/>
      <c r="AG323" s="309"/>
    </row>
    <row r="324" spans="1:33" ht="15.75" customHeight="1" x14ac:dyDescent="0.25">
      <c r="A324" s="309"/>
      <c r="B324" s="309"/>
      <c r="C324" s="309"/>
      <c r="D324" s="309"/>
      <c r="E324" s="309"/>
      <c r="F324" s="309"/>
      <c r="G324" s="309"/>
      <c r="H324" s="309"/>
      <c r="I324" s="309"/>
      <c r="J324" s="309"/>
      <c r="K324" s="309"/>
      <c r="L324" s="309"/>
      <c r="M324" s="309"/>
      <c r="N324" s="309"/>
      <c r="O324" s="309"/>
      <c r="P324" s="309"/>
      <c r="Q324" s="309"/>
      <c r="R324" s="309"/>
      <c r="S324" s="309"/>
      <c r="T324" s="309"/>
      <c r="U324" s="309"/>
      <c r="V324" s="309"/>
      <c r="W324" s="309"/>
      <c r="X324" s="309"/>
      <c r="Y324" s="309"/>
      <c r="Z324" s="309"/>
      <c r="AA324" s="309"/>
      <c r="AB324" s="309"/>
      <c r="AC324" s="309"/>
      <c r="AD324" s="309"/>
      <c r="AE324" s="309"/>
      <c r="AF324" s="309"/>
      <c r="AG324" s="309"/>
    </row>
    <row r="325" spans="1:33" ht="15.75" customHeight="1" x14ac:dyDescent="0.25">
      <c r="A325" s="309"/>
      <c r="B325" s="309"/>
      <c r="C325" s="309"/>
      <c r="D325" s="309"/>
      <c r="E325" s="309"/>
      <c r="F325" s="309"/>
      <c r="G325" s="309"/>
      <c r="H325" s="309"/>
      <c r="I325" s="309"/>
      <c r="J325" s="309"/>
      <c r="K325" s="309"/>
      <c r="L325" s="309"/>
      <c r="M325" s="309"/>
      <c r="N325" s="309"/>
      <c r="O325" s="309"/>
      <c r="P325" s="309"/>
      <c r="Q325" s="309"/>
      <c r="R325" s="309"/>
      <c r="S325" s="309"/>
      <c r="T325" s="309"/>
      <c r="U325" s="309"/>
      <c r="V325" s="309"/>
      <c r="W325" s="309"/>
      <c r="X325" s="309"/>
      <c r="Y325" s="309"/>
      <c r="Z325" s="309"/>
      <c r="AA325" s="309"/>
      <c r="AB325" s="309"/>
      <c r="AC325" s="309"/>
      <c r="AD325" s="309"/>
      <c r="AE325" s="309"/>
      <c r="AF325" s="309"/>
      <c r="AG325" s="309"/>
    </row>
    <row r="326" spans="1:33" ht="15.75" customHeight="1" x14ac:dyDescent="0.25">
      <c r="A326" s="309"/>
      <c r="B326" s="309"/>
      <c r="C326" s="309"/>
      <c r="D326" s="309"/>
      <c r="E326" s="309"/>
      <c r="F326" s="309"/>
      <c r="G326" s="309"/>
      <c r="H326" s="309"/>
      <c r="I326" s="309"/>
      <c r="J326" s="309"/>
      <c r="K326" s="309"/>
      <c r="L326" s="309"/>
      <c r="M326" s="309"/>
      <c r="N326" s="309"/>
      <c r="O326" s="309"/>
      <c r="P326" s="309"/>
      <c r="Q326" s="309"/>
      <c r="R326" s="309"/>
      <c r="S326" s="309"/>
      <c r="T326" s="309"/>
      <c r="U326" s="309"/>
      <c r="V326" s="309"/>
      <c r="W326" s="309"/>
      <c r="X326" s="309"/>
      <c r="Y326" s="309"/>
      <c r="Z326" s="309"/>
      <c r="AA326" s="309"/>
      <c r="AB326" s="309"/>
      <c r="AC326" s="309"/>
      <c r="AD326" s="309"/>
      <c r="AE326" s="309"/>
      <c r="AF326" s="309"/>
      <c r="AG326" s="309"/>
    </row>
    <row r="327" spans="1:33" ht="15.75" customHeight="1" x14ac:dyDescent="0.25">
      <c r="A327" s="309"/>
      <c r="B327" s="309"/>
      <c r="C327" s="309"/>
      <c r="D327" s="309"/>
      <c r="E327" s="309"/>
      <c r="F327" s="309"/>
      <c r="G327" s="309"/>
      <c r="H327" s="309"/>
      <c r="I327" s="309"/>
      <c r="J327" s="309"/>
      <c r="K327" s="309"/>
      <c r="L327" s="309"/>
      <c r="M327" s="309"/>
      <c r="N327" s="309"/>
      <c r="O327" s="309"/>
      <c r="P327" s="309"/>
      <c r="Q327" s="309"/>
      <c r="R327" s="309"/>
      <c r="S327" s="309"/>
      <c r="T327" s="309"/>
      <c r="U327" s="309"/>
      <c r="V327" s="309"/>
      <c r="W327" s="309"/>
      <c r="X327" s="309"/>
      <c r="Y327" s="309"/>
      <c r="Z327" s="309"/>
      <c r="AA327" s="309"/>
      <c r="AB327" s="309"/>
      <c r="AC327" s="309"/>
      <c r="AD327" s="309"/>
      <c r="AE327" s="309"/>
      <c r="AF327" s="309"/>
      <c r="AG327" s="309"/>
    </row>
    <row r="328" spans="1:33" ht="15.75" customHeight="1" x14ac:dyDescent="0.25">
      <c r="A328" s="309"/>
      <c r="B328" s="309"/>
      <c r="C328" s="309"/>
      <c r="D328" s="309"/>
      <c r="E328" s="309"/>
      <c r="F328" s="309"/>
      <c r="G328" s="309"/>
      <c r="H328" s="309"/>
      <c r="I328" s="309"/>
      <c r="J328" s="309"/>
      <c r="K328" s="309"/>
      <c r="L328" s="309"/>
      <c r="M328" s="309"/>
      <c r="N328" s="309"/>
      <c r="O328" s="309"/>
      <c r="P328" s="309"/>
      <c r="Q328" s="309"/>
      <c r="R328" s="309"/>
      <c r="S328" s="309"/>
      <c r="T328" s="309"/>
      <c r="U328" s="309"/>
      <c r="V328" s="309"/>
      <c r="W328" s="309"/>
      <c r="X328" s="309"/>
      <c r="Y328" s="309"/>
      <c r="Z328" s="309"/>
      <c r="AA328" s="309"/>
      <c r="AB328" s="309"/>
      <c r="AC328" s="309"/>
      <c r="AD328" s="309"/>
      <c r="AE328" s="309"/>
      <c r="AF328" s="309"/>
      <c r="AG328" s="309"/>
    </row>
    <row r="329" spans="1:33" ht="15.75" customHeight="1" x14ac:dyDescent="0.25">
      <c r="A329" s="309"/>
      <c r="B329" s="309"/>
      <c r="C329" s="309"/>
      <c r="D329" s="309"/>
      <c r="E329" s="309"/>
      <c r="F329" s="309"/>
      <c r="G329" s="309"/>
      <c r="H329" s="309"/>
      <c r="I329" s="309"/>
      <c r="J329" s="309"/>
      <c r="K329" s="309"/>
      <c r="L329" s="309"/>
      <c r="M329" s="309"/>
      <c r="N329" s="309"/>
      <c r="O329" s="309"/>
      <c r="P329" s="309"/>
      <c r="Q329" s="309"/>
      <c r="R329" s="309"/>
      <c r="S329" s="309"/>
      <c r="T329" s="309"/>
      <c r="U329" s="309"/>
      <c r="V329" s="309"/>
      <c r="W329" s="309"/>
      <c r="X329" s="309"/>
      <c r="Y329" s="309"/>
      <c r="Z329" s="309"/>
      <c r="AA329" s="309"/>
      <c r="AB329" s="309"/>
      <c r="AC329" s="309"/>
      <c r="AD329" s="309"/>
      <c r="AE329" s="309"/>
      <c r="AF329" s="309"/>
      <c r="AG329" s="309"/>
    </row>
    <row r="330" spans="1:33" ht="15.75" customHeight="1" x14ac:dyDescent="0.25">
      <c r="A330" s="309"/>
      <c r="B330" s="309"/>
      <c r="C330" s="309"/>
      <c r="D330" s="309"/>
      <c r="E330" s="309"/>
      <c r="F330" s="309"/>
      <c r="G330" s="309"/>
      <c r="H330" s="309"/>
      <c r="I330" s="309"/>
      <c r="J330" s="309"/>
      <c r="K330" s="309"/>
      <c r="L330" s="309"/>
      <c r="M330" s="309"/>
      <c r="N330" s="309"/>
      <c r="O330" s="309"/>
      <c r="P330" s="309"/>
      <c r="Q330" s="309"/>
      <c r="R330" s="309"/>
      <c r="S330" s="309"/>
      <c r="T330" s="309"/>
      <c r="U330" s="309"/>
      <c r="V330" s="309"/>
      <c r="W330" s="309"/>
      <c r="X330" s="309"/>
      <c r="Y330" s="309"/>
      <c r="Z330" s="309"/>
      <c r="AA330" s="309"/>
      <c r="AB330" s="309"/>
      <c r="AC330" s="309"/>
      <c r="AD330" s="309"/>
      <c r="AE330" s="309"/>
      <c r="AF330" s="309"/>
      <c r="AG330" s="309"/>
    </row>
    <row r="331" spans="1:33" ht="15.75" customHeight="1" x14ac:dyDescent="0.25">
      <c r="A331" s="309"/>
      <c r="B331" s="309"/>
      <c r="C331" s="309"/>
      <c r="D331" s="309"/>
      <c r="E331" s="309"/>
      <c r="F331" s="309"/>
      <c r="G331" s="309"/>
      <c r="H331" s="309"/>
      <c r="I331" s="309"/>
      <c r="J331" s="309"/>
      <c r="K331" s="309"/>
      <c r="L331" s="309"/>
      <c r="M331" s="309"/>
      <c r="N331" s="309"/>
      <c r="O331" s="309"/>
      <c r="P331" s="309"/>
      <c r="Q331" s="309"/>
      <c r="R331" s="309"/>
      <c r="S331" s="309"/>
      <c r="T331" s="309"/>
      <c r="U331" s="309"/>
      <c r="V331" s="309"/>
      <c r="W331" s="309"/>
      <c r="X331" s="309"/>
      <c r="Y331" s="309"/>
      <c r="Z331" s="309"/>
      <c r="AA331" s="309"/>
      <c r="AB331" s="309"/>
      <c r="AC331" s="309"/>
      <c r="AD331" s="309"/>
      <c r="AE331" s="309"/>
      <c r="AF331" s="309"/>
      <c r="AG331" s="309"/>
    </row>
    <row r="332" spans="1:33" ht="15.75" customHeight="1" x14ac:dyDescent="0.25">
      <c r="A332" s="309"/>
      <c r="B332" s="309"/>
      <c r="C332" s="309"/>
      <c r="D332" s="309"/>
      <c r="E332" s="309"/>
      <c r="F332" s="309"/>
      <c r="G332" s="309"/>
      <c r="H332" s="309"/>
      <c r="I332" s="309"/>
      <c r="J332" s="309"/>
      <c r="K332" s="309"/>
      <c r="L332" s="309"/>
      <c r="M332" s="309"/>
      <c r="N332" s="309"/>
      <c r="O332" s="309"/>
      <c r="P332" s="309"/>
      <c r="Q332" s="309"/>
      <c r="R332" s="309"/>
      <c r="S332" s="309"/>
      <c r="T332" s="309"/>
      <c r="U332" s="309"/>
      <c r="V332" s="309"/>
      <c r="W332" s="309"/>
      <c r="X332" s="309"/>
      <c r="Y332" s="309"/>
      <c r="Z332" s="309"/>
      <c r="AA332" s="309"/>
      <c r="AB332" s="309"/>
      <c r="AC332" s="309"/>
      <c r="AD332" s="309"/>
      <c r="AE332" s="309"/>
      <c r="AF332" s="309"/>
      <c r="AG332" s="309"/>
    </row>
    <row r="333" spans="1:33" ht="15.75" customHeight="1" x14ac:dyDescent="0.25">
      <c r="A333" s="309"/>
      <c r="B333" s="309"/>
      <c r="C333" s="309"/>
      <c r="D333" s="309"/>
      <c r="E333" s="309"/>
      <c r="F333" s="309"/>
      <c r="G333" s="309"/>
      <c r="H333" s="309"/>
      <c r="I333" s="309"/>
      <c r="J333" s="309"/>
      <c r="K333" s="309"/>
      <c r="L333" s="309"/>
      <c r="M333" s="309"/>
      <c r="N333" s="309"/>
      <c r="O333" s="309"/>
      <c r="P333" s="309"/>
      <c r="Q333" s="309"/>
      <c r="R333" s="309"/>
      <c r="S333" s="309"/>
      <c r="T333" s="309"/>
      <c r="U333" s="309"/>
      <c r="V333" s="309"/>
      <c r="W333" s="309"/>
      <c r="X333" s="309"/>
      <c r="Y333" s="309"/>
      <c r="Z333" s="309"/>
      <c r="AA333" s="309"/>
      <c r="AB333" s="309"/>
      <c r="AC333" s="309"/>
      <c r="AD333" s="309"/>
      <c r="AE333" s="309"/>
      <c r="AF333" s="309"/>
      <c r="AG333" s="309"/>
    </row>
    <row r="334" spans="1:33" ht="15.75" customHeight="1" x14ac:dyDescent="0.25">
      <c r="A334" s="309"/>
      <c r="B334" s="309"/>
      <c r="C334" s="309"/>
      <c r="D334" s="309"/>
      <c r="E334" s="309"/>
      <c r="F334" s="309"/>
      <c r="G334" s="309"/>
      <c r="H334" s="309"/>
      <c r="I334" s="309"/>
      <c r="J334" s="309"/>
      <c r="K334" s="309"/>
      <c r="L334" s="309"/>
      <c r="M334" s="309"/>
      <c r="N334" s="309"/>
      <c r="O334" s="309"/>
      <c r="P334" s="309"/>
      <c r="Q334" s="309"/>
      <c r="R334" s="309"/>
      <c r="S334" s="309"/>
      <c r="T334" s="309"/>
      <c r="U334" s="309"/>
      <c r="V334" s="309"/>
      <c r="W334" s="309"/>
      <c r="X334" s="309"/>
      <c r="Y334" s="309"/>
      <c r="Z334" s="309"/>
      <c r="AA334" s="309"/>
      <c r="AB334" s="309"/>
      <c r="AC334" s="309"/>
      <c r="AD334" s="309"/>
      <c r="AE334" s="309"/>
      <c r="AF334" s="309"/>
      <c r="AG334" s="309"/>
    </row>
    <row r="335" spans="1:33" ht="15.75" customHeight="1" x14ac:dyDescent="0.25">
      <c r="A335" s="309"/>
      <c r="B335" s="309"/>
      <c r="C335" s="309"/>
      <c r="D335" s="309"/>
      <c r="E335" s="309"/>
      <c r="F335" s="309"/>
      <c r="G335" s="309"/>
      <c r="H335" s="309"/>
      <c r="I335" s="309"/>
      <c r="J335" s="309"/>
      <c r="K335" s="309"/>
      <c r="L335" s="309"/>
      <c r="M335" s="309"/>
      <c r="N335" s="309"/>
      <c r="O335" s="309"/>
      <c r="P335" s="309"/>
      <c r="Q335" s="309"/>
      <c r="R335" s="309"/>
      <c r="S335" s="309"/>
      <c r="T335" s="309"/>
      <c r="U335" s="309"/>
      <c r="V335" s="309"/>
      <c r="W335" s="309"/>
      <c r="X335" s="309"/>
      <c r="Y335" s="309"/>
      <c r="Z335" s="309"/>
      <c r="AA335" s="309"/>
      <c r="AB335" s="309"/>
      <c r="AC335" s="309"/>
      <c r="AD335" s="309"/>
      <c r="AE335" s="309"/>
      <c r="AF335" s="309"/>
      <c r="AG335" s="309"/>
    </row>
    <row r="336" spans="1:33" ht="15.75" customHeight="1" x14ac:dyDescent="0.25">
      <c r="A336" s="309"/>
      <c r="B336" s="309"/>
      <c r="C336" s="309"/>
      <c r="D336" s="309"/>
      <c r="E336" s="309"/>
      <c r="F336" s="309"/>
      <c r="G336" s="309"/>
      <c r="H336" s="309"/>
      <c r="I336" s="309"/>
      <c r="J336" s="309"/>
      <c r="K336" s="309"/>
      <c r="L336" s="309"/>
      <c r="M336" s="309"/>
      <c r="N336" s="309"/>
      <c r="O336" s="309"/>
      <c r="P336" s="309"/>
      <c r="Q336" s="309"/>
      <c r="R336" s="309"/>
      <c r="S336" s="309"/>
      <c r="T336" s="309"/>
      <c r="U336" s="309"/>
      <c r="V336" s="309"/>
      <c r="W336" s="309"/>
      <c r="X336" s="309"/>
      <c r="Y336" s="309"/>
      <c r="Z336" s="309"/>
      <c r="AA336" s="309"/>
      <c r="AB336" s="309"/>
      <c r="AC336" s="309"/>
      <c r="AD336" s="309"/>
      <c r="AE336" s="309"/>
      <c r="AF336" s="309"/>
      <c r="AG336" s="309"/>
    </row>
    <row r="337" spans="1:33" ht="15.75" customHeight="1" x14ac:dyDescent="0.25">
      <c r="A337" s="309"/>
      <c r="B337" s="309"/>
      <c r="C337" s="309"/>
      <c r="D337" s="309"/>
      <c r="E337" s="309"/>
      <c r="F337" s="309"/>
      <c r="G337" s="309"/>
      <c r="H337" s="309"/>
      <c r="I337" s="309"/>
      <c r="J337" s="309"/>
      <c r="K337" s="309"/>
      <c r="L337" s="309"/>
      <c r="M337" s="309"/>
      <c r="N337" s="309"/>
      <c r="O337" s="309"/>
      <c r="P337" s="309"/>
      <c r="Q337" s="309"/>
      <c r="R337" s="309"/>
      <c r="S337" s="309"/>
      <c r="T337" s="309"/>
      <c r="U337" s="309"/>
      <c r="V337" s="309"/>
      <c r="W337" s="309"/>
      <c r="X337" s="309"/>
      <c r="Y337" s="309"/>
      <c r="Z337" s="309"/>
      <c r="AA337" s="309"/>
      <c r="AB337" s="309"/>
      <c r="AC337" s="309"/>
      <c r="AD337" s="309"/>
      <c r="AE337" s="309"/>
      <c r="AF337" s="309"/>
      <c r="AG337" s="309"/>
    </row>
    <row r="338" spans="1:33" ht="15.75" customHeight="1" x14ac:dyDescent="0.25">
      <c r="A338" s="309"/>
      <c r="B338" s="309"/>
      <c r="C338" s="309"/>
      <c r="D338" s="309"/>
      <c r="E338" s="309"/>
      <c r="F338" s="309"/>
      <c r="G338" s="309"/>
      <c r="H338" s="309"/>
      <c r="I338" s="309"/>
      <c r="J338" s="309"/>
      <c r="K338" s="309"/>
      <c r="L338" s="309"/>
      <c r="M338" s="309"/>
      <c r="N338" s="309"/>
      <c r="O338" s="309"/>
      <c r="P338" s="309"/>
      <c r="Q338" s="309"/>
      <c r="R338" s="309"/>
      <c r="S338" s="309"/>
      <c r="T338" s="309"/>
      <c r="U338" s="309"/>
      <c r="V338" s="309"/>
      <c r="W338" s="309"/>
      <c r="X338" s="309"/>
      <c r="Y338" s="309"/>
      <c r="Z338" s="309"/>
      <c r="AA338" s="309"/>
      <c r="AB338" s="309"/>
      <c r="AC338" s="309"/>
      <c r="AD338" s="309"/>
      <c r="AE338" s="309"/>
      <c r="AF338" s="309"/>
      <c r="AG338" s="309"/>
    </row>
    <row r="339" spans="1:33" ht="15.75" customHeight="1" x14ac:dyDescent="0.25">
      <c r="A339" s="309"/>
      <c r="B339" s="309"/>
      <c r="C339" s="309"/>
      <c r="D339" s="309"/>
      <c r="E339" s="309"/>
      <c r="F339" s="309"/>
      <c r="G339" s="309"/>
      <c r="H339" s="309"/>
      <c r="I339" s="309"/>
      <c r="J339" s="309"/>
      <c r="K339" s="309"/>
      <c r="L339" s="309"/>
      <c r="M339" s="309"/>
      <c r="N339" s="309"/>
      <c r="O339" s="309"/>
      <c r="P339" s="309"/>
      <c r="Q339" s="309"/>
      <c r="R339" s="309"/>
      <c r="S339" s="309"/>
      <c r="T339" s="309"/>
      <c r="U339" s="309"/>
      <c r="V339" s="309"/>
      <c r="W339" s="309"/>
      <c r="X339" s="309"/>
      <c r="Y339" s="309"/>
      <c r="Z339" s="309"/>
      <c r="AA339" s="309"/>
      <c r="AB339" s="309"/>
      <c r="AC339" s="309"/>
      <c r="AD339" s="309"/>
      <c r="AE339" s="309"/>
      <c r="AF339" s="309"/>
      <c r="AG339" s="309"/>
    </row>
    <row r="340" spans="1:33" ht="15.75" customHeight="1" x14ac:dyDescent="0.25">
      <c r="A340" s="309"/>
      <c r="B340" s="309"/>
      <c r="C340" s="309"/>
      <c r="D340" s="309"/>
      <c r="E340" s="309"/>
      <c r="F340" s="309"/>
      <c r="G340" s="309"/>
      <c r="H340" s="309"/>
      <c r="I340" s="309"/>
      <c r="J340" s="309"/>
      <c r="K340" s="309"/>
      <c r="L340" s="309"/>
      <c r="M340" s="309"/>
      <c r="N340" s="309"/>
      <c r="O340" s="309"/>
      <c r="P340" s="309"/>
      <c r="Q340" s="309"/>
      <c r="R340" s="309"/>
      <c r="S340" s="309"/>
      <c r="T340" s="309"/>
      <c r="U340" s="309"/>
      <c r="V340" s="309"/>
      <c r="W340" s="309"/>
      <c r="X340" s="309"/>
      <c r="Y340" s="309"/>
      <c r="Z340" s="309"/>
      <c r="AA340" s="309"/>
      <c r="AB340" s="309"/>
      <c r="AC340" s="309"/>
      <c r="AD340" s="309"/>
      <c r="AE340" s="309"/>
      <c r="AF340" s="309"/>
      <c r="AG340" s="309"/>
    </row>
    <row r="341" spans="1:33" ht="15.75" customHeight="1" x14ac:dyDescent="0.25">
      <c r="A341" s="309"/>
      <c r="B341" s="309"/>
      <c r="C341" s="309"/>
      <c r="D341" s="309"/>
      <c r="E341" s="309"/>
      <c r="F341" s="309"/>
      <c r="G341" s="309"/>
      <c r="H341" s="309"/>
      <c r="I341" s="309"/>
      <c r="J341" s="309"/>
      <c r="K341" s="309"/>
      <c r="L341" s="309"/>
      <c r="M341" s="309"/>
      <c r="N341" s="309"/>
      <c r="O341" s="309"/>
      <c r="P341" s="309"/>
      <c r="Q341" s="309"/>
      <c r="R341" s="309"/>
      <c r="S341" s="309"/>
      <c r="T341" s="309"/>
      <c r="U341" s="309"/>
      <c r="V341" s="309"/>
      <c r="W341" s="309"/>
      <c r="X341" s="309"/>
      <c r="Y341" s="309"/>
      <c r="Z341" s="309"/>
      <c r="AA341" s="309"/>
      <c r="AB341" s="309"/>
      <c r="AC341" s="309"/>
      <c r="AD341" s="309"/>
      <c r="AE341" s="309"/>
      <c r="AF341" s="309"/>
      <c r="AG341" s="309"/>
    </row>
    <row r="342" spans="1:33" ht="15.75" customHeight="1" x14ac:dyDescent="0.25">
      <c r="A342" s="309"/>
      <c r="B342" s="309"/>
      <c r="C342" s="309"/>
      <c r="D342" s="309"/>
      <c r="E342" s="309"/>
      <c r="F342" s="309"/>
      <c r="G342" s="309"/>
      <c r="H342" s="309"/>
      <c r="I342" s="309"/>
      <c r="J342" s="309"/>
      <c r="K342" s="309"/>
      <c r="L342" s="309"/>
      <c r="M342" s="309"/>
      <c r="N342" s="309"/>
      <c r="O342" s="309"/>
      <c r="P342" s="309"/>
      <c r="Q342" s="309"/>
      <c r="R342" s="309"/>
      <c r="S342" s="309"/>
      <c r="T342" s="309"/>
      <c r="U342" s="309"/>
      <c r="V342" s="309"/>
      <c r="W342" s="309"/>
      <c r="X342" s="309"/>
      <c r="Y342" s="309"/>
      <c r="Z342" s="309"/>
      <c r="AA342" s="309"/>
      <c r="AB342" s="309"/>
      <c r="AC342" s="309"/>
      <c r="AD342" s="309"/>
      <c r="AE342" s="309"/>
      <c r="AF342" s="309"/>
      <c r="AG342" s="309"/>
    </row>
    <row r="343" spans="1:33" ht="15.75" customHeight="1" x14ac:dyDescent="0.25">
      <c r="A343" s="309"/>
      <c r="B343" s="309"/>
      <c r="C343" s="309"/>
      <c r="D343" s="309"/>
      <c r="E343" s="309"/>
      <c r="F343" s="309"/>
      <c r="G343" s="309"/>
      <c r="H343" s="309"/>
      <c r="I343" s="309"/>
      <c r="J343" s="309"/>
      <c r="K343" s="309"/>
      <c r="L343" s="309"/>
      <c r="M343" s="309"/>
      <c r="N343" s="309"/>
      <c r="O343" s="309"/>
      <c r="P343" s="309"/>
      <c r="Q343" s="309"/>
      <c r="R343" s="309"/>
      <c r="S343" s="309"/>
      <c r="T343" s="309"/>
      <c r="U343" s="309"/>
      <c r="V343" s="309"/>
      <c r="W343" s="309"/>
      <c r="X343" s="309"/>
      <c r="Y343" s="309"/>
      <c r="Z343" s="309"/>
      <c r="AA343" s="309"/>
      <c r="AB343" s="309"/>
      <c r="AC343" s="309"/>
      <c r="AD343" s="309"/>
      <c r="AE343" s="309"/>
      <c r="AF343" s="309"/>
      <c r="AG343" s="309"/>
    </row>
    <row r="344" spans="1:33" ht="15.75" customHeight="1" x14ac:dyDescent="0.25">
      <c r="A344" s="309"/>
      <c r="B344" s="309"/>
      <c r="C344" s="309"/>
      <c r="D344" s="309"/>
      <c r="E344" s="309"/>
      <c r="F344" s="309"/>
      <c r="G344" s="309"/>
      <c r="H344" s="309"/>
      <c r="I344" s="309"/>
      <c r="J344" s="309"/>
      <c r="K344" s="309"/>
      <c r="L344" s="309"/>
      <c r="M344" s="309"/>
      <c r="N344" s="309"/>
      <c r="O344" s="309"/>
      <c r="P344" s="309"/>
      <c r="Q344" s="309"/>
      <c r="R344" s="309"/>
      <c r="S344" s="309"/>
      <c r="T344" s="309"/>
      <c r="U344" s="309"/>
      <c r="V344" s="309"/>
      <c r="W344" s="309"/>
      <c r="X344" s="309"/>
      <c r="Y344" s="309"/>
      <c r="Z344" s="309"/>
      <c r="AA344" s="309"/>
      <c r="AB344" s="309"/>
      <c r="AC344" s="309"/>
      <c r="AD344" s="309"/>
      <c r="AE344" s="309"/>
      <c r="AF344" s="309"/>
      <c r="AG344" s="309"/>
    </row>
    <row r="345" spans="1:33" ht="15.75" customHeight="1" x14ac:dyDescent="0.25">
      <c r="A345" s="309"/>
      <c r="B345" s="309"/>
      <c r="C345" s="309"/>
      <c r="D345" s="309"/>
      <c r="E345" s="309"/>
      <c r="F345" s="309"/>
      <c r="G345" s="309"/>
      <c r="H345" s="309"/>
      <c r="I345" s="309"/>
      <c r="J345" s="309"/>
      <c r="K345" s="309"/>
      <c r="L345" s="309"/>
      <c r="M345" s="309"/>
      <c r="N345" s="309"/>
      <c r="O345" s="309"/>
      <c r="P345" s="309"/>
      <c r="Q345" s="309"/>
      <c r="R345" s="309"/>
      <c r="S345" s="309"/>
      <c r="T345" s="309"/>
      <c r="U345" s="309"/>
      <c r="V345" s="309"/>
      <c r="W345" s="309"/>
      <c r="X345" s="309"/>
      <c r="Y345" s="309"/>
      <c r="Z345" s="309"/>
      <c r="AA345" s="309"/>
      <c r="AB345" s="309"/>
      <c r="AC345" s="309"/>
      <c r="AD345" s="309"/>
      <c r="AE345" s="309"/>
      <c r="AF345" s="309"/>
      <c r="AG345" s="309"/>
    </row>
    <row r="346" spans="1:33" ht="15.75" customHeight="1" x14ac:dyDescent="0.25">
      <c r="A346" s="309"/>
      <c r="B346" s="309"/>
      <c r="C346" s="309"/>
      <c r="D346" s="309"/>
      <c r="E346" s="309"/>
      <c r="F346" s="309"/>
      <c r="G346" s="309"/>
      <c r="H346" s="309"/>
      <c r="I346" s="309"/>
      <c r="J346" s="309"/>
      <c r="K346" s="309"/>
      <c r="L346" s="309"/>
      <c r="M346" s="309"/>
      <c r="N346" s="309"/>
      <c r="O346" s="309"/>
      <c r="P346" s="309"/>
      <c r="Q346" s="309"/>
      <c r="R346" s="309"/>
      <c r="S346" s="309"/>
      <c r="T346" s="309"/>
      <c r="U346" s="309"/>
      <c r="V346" s="309"/>
      <c r="W346" s="309"/>
      <c r="X346" s="309"/>
      <c r="Y346" s="309"/>
      <c r="Z346" s="309"/>
      <c r="AA346" s="309"/>
      <c r="AB346" s="309"/>
      <c r="AC346" s="309"/>
      <c r="AD346" s="309"/>
      <c r="AE346" s="309"/>
      <c r="AF346" s="309"/>
      <c r="AG346" s="309"/>
    </row>
    <row r="347" spans="1:33" ht="15.75" customHeight="1" x14ac:dyDescent="0.25">
      <c r="A347" s="309"/>
      <c r="B347" s="309"/>
      <c r="C347" s="309"/>
      <c r="D347" s="309"/>
      <c r="E347" s="309"/>
      <c r="F347" s="309"/>
      <c r="G347" s="309"/>
      <c r="H347" s="309"/>
      <c r="I347" s="309"/>
      <c r="J347" s="309"/>
      <c r="K347" s="309"/>
      <c r="L347" s="309"/>
      <c r="M347" s="309"/>
      <c r="N347" s="309"/>
      <c r="O347" s="309"/>
      <c r="P347" s="309"/>
      <c r="Q347" s="309"/>
      <c r="R347" s="309"/>
      <c r="S347" s="309"/>
      <c r="T347" s="309"/>
      <c r="U347" s="309"/>
      <c r="V347" s="309"/>
      <c r="W347" s="309"/>
      <c r="X347" s="309"/>
      <c r="Y347" s="309"/>
      <c r="Z347" s="309"/>
      <c r="AA347" s="309"/>
      <c r="AB347" s="309"/>
      <c r="AC347" s="309"/>
      <c r="AD347" s="309"/>
      <c r="AE347" s="309"/>
      <c r="AF347" s="309"/>
      <c r="AG347" s="309"/>
    </row>
    <row r="348" spans="1:33" ht="15.75" customHeight="1" x14ac:dyDescent="0.25">
      <c r="A348" s="309"/>
      <c r="B348" s="309"/>
      <c r="C348" s="309"/>
      <c r="D348" s="309"/>
      <c r="E348" s="309"/>
      <c r="F348" s="309"/>
      <c r="G348" s="309"/>
      <c r="H348" s="309"/>
      <c r="I348" s="309"/>
      <c r="J348" s="309"/>
      <c r="K348" s="309"/>
      <c r="L348" s="309"/>
      <c r="M348" s="309"/>
      <c r="N348" s="309"/>
      <c r="O348" s="309"/>
      <c r="P348" s="309"/>
      <c r="Q348" s="309"/>
      <c r="R348" s="309"/>
      <c r="S348" s="309"/>
      <c r="T348" s="309"/>
      <c r="U348" s="309"/>
      <c r="V348" s="309"/>
      <c r="W348" s="309"/>
      <c r="X348" s="309"/>
      <c r="Y348" s="309"/>
      <c r="Z348" s="309"/>
      <c r="AA348" s="309"/>
      <c r="AB348" s="309"/>
      <c r="AC348" s="309"/>
      <c r="AD348" s="309"/>
      <c r="AE348" s="309"/>
      <c r="AF348" s="309"/>
      <c r="AG348" s="309"/>
    </row>
    <row r="349" spans="1:33" ht="15.75" customHeight="1" x14ac:dyDescent="0.25">
      <c r="A349" s="309"/>
      <c r="B349" s="309"/>
      <c r="C349" s="309"/>
      <c r="D349" s="309"/>
      <c r="E349" s="309"/>
      <c r="F349" s="309"/>
      <c r="G349" s="309"/>
      <c r="H349" s="309"/>
      <c r="I349" s="309"/>
      <c r="J349" s="309"/>
      <c r="K349" s="309"/>
      <c r="L349" s="309"/>
      <c r="M349" s="309"/>
      <c r="N349" s="309"/>
      <c r="O349" s="309"/>
      <c r="P349" s="309"/>
      <c r="Q349" s="309"/>
      <c r="R349" s="309"/>
      <c r="S349" s="309"/>
      <c r="T349" s="309"/>
      <c r="U349" s="309"/>
      <c r="V349" s="309"/>
      <c r="W349" s="309"/>
      <c r="X349" s="309"/>
      <c r="Y349" s="309"/>
      <c r="Z349" s="309"/>
      <c r="AA349" s="309"/>
      <c r="AB349" s="309"/>
      <c r="AC349" s="309"/>
      <c r="AD349" s="309"/>
      <c r="AE349" s="309"/>
      <c r="AF349" s="309"/>
      <c r="AG349" s="309"/>
    </row>
    <row r="350" spans="1:33" ht="15.75" customHeight="1" x14ac:dyDescent="0.25">
      <c r="A350" s="309"/>
      <c r="B350" s="309"/>
      <c r="C350" s="309"/>
      <c r="D350" s="309"/>
      <c r="E350" s="309"/>
      <c r="F350" s="309"/>
      <c r="G350" s="309"/>
      <c r="H350" s="309"/>
      <c r="I350" s="309"/>
      <c r="J350" s="309"/>
      <c r="K350" s="309"/>
      <c r="L350" s="309"/>
      <c r="M350" s="309"/>
      <c r="N350" s="309"/>
      <c r="O350" s="309"/>
      <c r="P350" s="309"/>
      <c r="Q350" s="309"/>
      <c r="R350" s="309"/>
      <c r="S350" s="309"/>
      <c r="T350" s="309"/>
      <c r="U350" s="309"/>
      <c r="V350" s="309"/>
      <c r="W350" s="309"/>
      <c r="X350" s="309"/>
      <c r="Y350" s="309"/>
      <c r="Z350" s="309"/>
      <c r="AA350" s="309"/>
      <c r="AB350" s="309"/>
      <c r="AC350" s="309"/>
      <c r="AD350" s="309"/>
      <c r="AE350" s="309"/>
      <c r="AF350" s="309"/>
      <c r="AG350" s="309"/>
    </row>
    <row r="351" spans="1:33" ht="15.75" customHeight="1" x14ac:dyDescent="0.25">
      <c r="A351" s="309"/>
      <c r="B351" s="309"/>
      <c r="C351" s="309"/>
      <c r="D351" s="309"/>
      <c r="E351" s="309"/>
      <c r="F351" s="309"/>
      <c r="G351" s="309"/>
      <c r="H351" s="309"/>
      <c r="I351" s="309"/>
      <c r="J351" s="309"/>
      <c r="K351" s="309"/>
      <c r="L351" s="309"/>
      <c r="M351" s="309"/>
      <c r="N351" s="309"/>
      <c r="O351" s="309"/>
      <c r="P351" s="309"/>
      <c r="Q351" s="309"/>
      <c r="R351" s="309"/>
      <c r="S351" s="309"/>
      <c r="T351" s="309"/>
      <c r="U351" s="309"/>
      <c r="V351" s="309"/>
      <c r="W351" s="309"/>
      <c r="X351" s="309"/>
      <c r="Y351" s="309"/>
      <c r="Z351" s="309"/>
      <c r="AA351" s="309"/>
      <c r="AB351" s="309"/>
      <c r="AC351" s="309"/>
      <c r="AD351" s="309"/>
      <c r="AE351" s="309"/>
      <c r="AF351" s="309"/>
      <c r="AG351" s="309"/>
    </row>
    <row r="352" spans="1:33" ht="15.75" customHeight="1" x14ac:dyDescent="0.25">
      <c r="A352" s="309"/>
      <c r="B352" s="309"/>
      <c r="C352" s="309"/>
      <c r="D352" s="309"/>
      <c r="E352" s="309"/>
      <c r="F352" s="309"/>
      <c r="G352" s="309"/>
      <c r="H352" s="309"/>
      <c r="I352" s="309"/>
      <c r="J352" s="309"/>
      <c r="K352" s="309"/>
      <c r="L352" s="309"/>
      <c r="M352" s="309"/>
      <c r="N352" s="309"/>
      <c r="O352" s="309"/>
      <c r="P352" s="309"/>
      <c r="Q352" s="309"/>
      <c r="R352" s="309"/>
      <c r="S352" s="309"/>
      <c r="T352" s="309"/>
      <c r="U352" s="309"/>
      <c r="V352" s="309"/>
      <c r="W352" s="309"/>
      <c r="X352" s="309"/>
      <c r="Y352" s="309"/>
      <c r="Z352" s="309"/>
      <c r="AA352" s="309"/>
      <c r="AB352" s="309"/>
      <c r="AC352" s="309"/>
      <c r="AD352" s="309"/>
      <c r="AE352" s="309"/>
      <c r="AF352" s="309"/>
      <c r="AG352" s="309"/>
    </row>
    <row r="353" spans="1:33" ht="15.75" customHeight="1" x14ac:dyDescent="0.25">
      <c r="A353" s="309"/>
      <c r="B353" s="309"/>
      <c r="C353" s="309"/>
      <c r="D353" s="309"/>
      <c r="E353" s="309"/>
      <c r="F353" s="309"/>
      <c r="G353" s="309"/>
      <c r="H353" s="309"/>
      <c r="I353" s="309"/>
      <c r="J353" s="309"/>
      <c r="K353" s="309"/>
      <c r="L353" s="309"/>
      <c r="M353" s="309"/>
      <c r="N353" s="309"/>
      <c r="O353" s="309"/>
      <c r="P353" s="309"/>
      <c r="Q353" s="309"/>
      <c r="R353" s="309"/>
      <c r="S353" s="309"/>
      <c r="T353" s="309"/>
      <c r="U353" s="309"/>
      <c r="V353" s="309"/>
      <c r="W353" s="309"/>
      <c r="X353" s="309"/>
      <c r="Y353" s="309"/>
      <c r="Z353" s="309"/>
      <c r="AA353" s="309"/>
      <c r="AB353" s="309"/>
      <c r="AC353" s="309"/>
      <c r="AD353" s="309"/>
      <c r="AE353" s="309"/>
      <c r="AF353" s="309"/>
      <c r="AG353" s="309"/>
    </row>
    <row r="354" spans="1:33" ht="15.75" customHeight="1" x14ac:dyDescent="0.25">
      <c r="A354" s="309"/>
      <c r="B354" s="309"/>
      <c r="C354" s="309"/>
      <c r="D354" s="309"/>
      <c r="E354" s="309"/>
      <c r="F354" s="309"/>
      <c r="G354" s="309"/>
      <c r="H354" s="309"/>
      <c r="I354" s="309"/>
      <c r="J354" s="309"/>
      <c r="K354" s="309"/>
      <c r="L354" s="309"/>
      <c r="M354" s="309"/>
      <c r="N354" s="309"/>
      <c r="O354" s="309"/>
      <c r="P354" s="309"/>
      <c r="Q354" s="309"/>
      <c r="R354" s="309"/>
      <c r="S354" s="309"/>
      <c r="T354" s="309"/>
      <c r="U354" s="309"/>
      <c r="V354" s="309"/>
      <c r="W354" s="309"/>
      <c r="X354" s="309"/>
      <c r="Y354" s="309"/>
      <c r="Z354" s="309"/>
      <c r="AA354" s="309"/>
      <c r="AB354" s="309"/>
      <c r="AC354" s="309"/>
      <c r="AD354" s="309"/>
      <c r="AE354" s="309"/>
      <c r="AF354" s="309"/>
      <c r="AG354" s="309"/>
    </row>
    <row r="355" spans="1:33" ht="15.75" customHeight="1" x14ac:dyDescent="0.25">
      <c r="A355" s="309"/>
      <c r="B355" s="309"/>
      <c r="C355" s="309"/>
      <c r="D355" s="309"/>
      <c r="E355" s="309"/>
      <c r="F355" s="309"/>
      <c r="G355" s="309"/>
      <c r="H355" s="309"/>
      <c r="I355" s="309"/>
      <c r="J355" s="309"/>
      <c r="K355" s="309"/>
      <c r="L355" s="309"/>
      <c r="M355" s="309"/>
      <c r="N355" s="309"/>
      <c r="O355" s="309"/>
      <c r="P355" s="309"/>
      <c r="Q355" s="309"/>
      <c r="R355" s="309"/>
      <c r="S355" s="309"/>
      <c r="T355" s="309"/>
      <c r="U355" s="309"/>
      <c r="V355" s="309"/>
      <c r="W355" s="309"/>
      <c r="X355" s="309"/>
      <c r="Y355" s="309"/>
      <c r="Z355" s="309"/>
      <c r="AA355" s="309"/>
      <c r="AB355" s="309"/>
      <c r="AC355" s="309"/>
      <c r="AD355" s="309"/>
      <c r="AE355" s="309"/>
      <c r="AF355" s="309"/>
      <c r="AG355" s="309"/>
    </row>
    <row r="356" spans="1:33" ht="15.75" customHeight="1" x14ac:dyDescent="0.25">
      <c r="A356" s="309"/>
      <c r="B356" s="309"/>
      <c r="C356" s="309"/>
      <c r="D356" s="309"/>
      <c r="E356" s="309"/>
      <c r="F356" s="309"/>
      <c r="G356" s="309"/>
      <c r="H356" s="309"/>
      <c r="I356" s="309"/>
      <c r="J356" s="309"/>
      <c r="K356" s="309"/>
      <c r="L356" s="309"/>
      <c r="M356" s="309"/>
      <c r="N356" s="309"/>
      <c r="O356" s="309"/>
      <c r="P356" s="309"/>
      <c r="Q356" s="309"/>
      <c r="R356" s="309"/>
      <c r="S356" s="309"/>
      <c r="T356" s="309"/>
      <c r="U356" s="309"/>
      <c r="V356" s="309"/>
      <c r="W356" s="309"/>
      <c r="X356" s="309"/>
      <c r="Y356" s="309"/>
      <c r="Z356" s="309"/>
      <c r="AA356" s="309"/>
      <c r="AB356" s="309"/>
      <c r="AC356" s="309"/>
      <c r="AD356" s="309"/>
      <c r="AE356" s="309"/>
      <c r="AF356" s="309"/>
      <c r="AG356" s="309"/>
    </row>
    <row r="357" spans="1:33" ht="15.75" customHeight="1" x14ac:dyDescent="0.25">
      <c r="A357" s="309"/>
      <c r="B357" s="309"/>
      <c r="C357" s="309"/>
      <c r="D357" s="309"/>
      <c r="E357" s="309"/>
      <c r="F357" s="309"/>
      <c r="G357" s="309"/>
      <c r="H357" s="309"/>
      <c r="I357" s="309"/>
      <c r="J357" s="309"/>
      <c r="K357" s="309"/>
      <c r="L357" s="309"/>
      <c r="M357" s="309"/>
      <c r="N357" s="309"/>
      <c r="O357" s="309"/>
      <c r="P357" s="309"/>
      <c r="Q357" s="309"/>
      <c r="R357" s="309"/>
      <c r="S357" s="309"/>
      <c r="T357" s="309"/>
      <c r="U357" s="309"/>
      <c r="V357" s="309"/>
      <c r="W357" s="309"/>
      <c r="X357" s="309"/>
      <c r="Y357" s="309"/>
      <c r="Z357" s="309"/>
      <c r="AA357" s="309"/>
      <c r="AB357" s="309"/>
      <c r="AC357" s="309"/>
      <c r="AD357" s="309"/>
      <c r="AE357" s="309"/>
      <c r="AF357" s="309"/>
      <c r="AG357" s="309"/>
    </row>
    <row r="358" spans="1:33" ht="15.75" customHeight="1" x14ac:dyDescent="0.25">
      <c r="A358" s="309"/>
      <c r="B358" s="309"/>
      <c r="C358" s="309"/>
      <c r="D358" s="309"/>
      <c r="E358" s="309"/>
      <c r="F358" s="309"/>
      <c r="G358" s="309"/>
      <c r="H358" s="309"/>
      <c r="I358" s="309"/>
      <c r="J358" s="309"/>
      <c r="K358" s="309"/>
      <c r="L358" s="309"/>
      <c r="M358" s="309"/>
      <c r="N358" s="309"/>
      <c r="O358" s="309"/>
      <c r="P358" s="309"/>
      <c r="Q358" s="309"/>
      <c r="R358" s="309"/>
      <c r="S358" s="309"/>
      <c r="T358" s="309"/>
      <c r="U358" s="309"/>
      <c r="V358" s="309"/>
      <c r="W358" s="309"/>
      <c r="X358" s="309"/>
      <c r="Y358" s="309"/>
      <c r="Z358" s="309"/>
      <c r="AA358" s="309"/>
      <c r="AB358" s="309"/>
      <c r="AC358" s="309"/>
      <c r="AD358" s="309"/>
      <c r="AE358" s="309"/>
      <c r="AF358" s="309"/>
      <c r="AG358" s="309"/>
    </row>
    <row r="359" spans="1:33" ht="15.75" customHeight="1" x14ac:dyDescent="0.25">
      <c r="A359" s="309"/>
      <c r="B359" s="309"/>
      <c r="C359" s="309"/>
      <c r="D359" s="309"/>
      <c r="E359" s="309"/>
      <c r="F359" s="309"/>
      <c r="G359" s="309"/>
      <c r="H359" s="309"/>
      <c r="I359" s="309"/>
      <c r="J359" s="309"/>
      <c r="K359" s="309"/>
      <c r="L359" s="309"/>
      <c r="M359" s="309"/>
      <c r="N359" s="309"/>
      <c r="O359" s="309"/>
      <c r="P359" s="309"/>
      <c r="Q359" s="309"/>
      <c r="R359" s="309"/>
      <c r="S359" s="309"/>
      <c r="T359" s="309"/>
      <c r="U359" s="309"/>
      <c r="V359" s="309"/>
      <c r="W359" s="309"/>
      <c r="X359" s="309"/>
      <c r="Y359" s="309"/>
      <c r="Z359" s="309"/>
      <c r="AA359" s="309"/>
      <c r="AB359" s="309"/>
      <c r="AC359" s="309"/>
      <c r="AD359" s="309"/>
      <c r="AE359" s="309"/>
      <c r="AF359" s="309"/>
      <c r="AG359" s="309"/>
    </row>
    <row r="360" spans="1:33" ht="15.75" customHeight="1" x14ac:dyDescent="0.25">
      <c r="A360" s="309"/>
      <c r="B360" s="309"/>
      <c r="C360" s="309"/>
      <c r="D360" s="309"/>
      <c r="E360" s="309"/>
      <c r="F360" s="309"/>
      <c r="G360" s="309"/>
      <c r="H360" s="309"/>
      <c r="I360" s="309"/>
      <c r="J360" s="309"/>
      <c r="K360" s="309"/>
      <c r="L360" s="309"/>
      <c r="M360" s="309"/>
      <c r="N360" s="309"/>
      <c r="O360" s="309"/>
      <c r="P360" s="309"/>
      <c r="Q360" s="309"/>
      <c r="R360" s="309"/>
      <c r="S360" s="309"/>
      <c r="T360" s="309"/>
      <c r="U360" s="309"/>
      <c r="V360" s="309"/>
      <c r="W360" s="309"/>
      <c r="X360" s="309"/>
      <c r="Y360" s="309"/>
      <c r="Z360" s="309"/>
      <c r="AA360" s="309"/>
      <c r="AB360" s="309"/>
      <c r="AC360" s="309"/>
      <c r="AD360" s="309"/>
      <c r="AE360" s="309"/>
      <c r="AF360" s="309"/>
      <c r="AG360" s="309"/>
    </row>
    <row r="361" spans="1:33" ht="15.75" customHeight="1" x14ac:dyDescent="0.25">
      <c r="A361" s="309"/>
      <c r="B361" s="309"/>
      <c r="C361" s="309"/>
      <c r="D361" s="309"/>
      <c r="E361" s="309"/>
      <c r="F361" s="309"/>
      <c r="G361" s="309"/>
      <c r="H361" s="309"/>
      <c r="I361" s="309"/>
      <c r="J361" s="309"/>
      <c r="K361" s="309"/>
      <c r="L361" s="309"/>
      <c r="M361" s="309"/>
      <c r="N361" s="309"/>
      <c r="O361" s="309"/>
      <c r="P361" s="309"/>
      <c r="Q361" s="309"/>
      <c r="R361" s="309"/>
      <c r="S361" s="309"/>
      <c r="T361" s="309"/>
      <c r="U361" s="309"/>
      <c r="V361" s="309"/>
      <c r="W361" s="309"/>
      <c r="X361" s="309"/>
      <c r="Y361" s="309"/>
      <c r="Z361" s="309"/>
      <c r="AA361" s="309"/>
      <c r="AB361" s="309"/>
      <c r="AC361" s="309"/>
      <c r="AD361" s="309"/>
      <c r="AE361" s="309"/>
      <c r="AF361" s="309"/>
      <c r="AG361" s="309"/>
    </row>
    <row r="362" spans="1:33" ht="15.75" customHeight="1" x14ac:dyDescent="0.25">
      <c r="A362" s="309"/>
      <c r="B362" s="309"/>
      <c r="C362" s="309"/>
      <c r="D362" s="309"/>
      <c r="E362" s="309"/>
      <c r="F362" s="309"/>
      <c r="G362" s="309"/>
      <c r="H362" s="309"/>
      <c r="I362" s="309"/>
      <c r="J362" s="309"/>
      <c r="K362" s="309"/>
      <c r="L362" s="309"/>
      <c r="M362" s="309"/>
      <c r="N362" s="309"/>
      <c r="O362" s="309"/>
      <c r="P362" s="309"/>
      <c r="Q362" s="309"/>
      <c r="R362" s="309"/>
      <c r="S362" s="309"/>
      <c r="T362" s="309"/>
      <c r="U362" s="309"/>
      <c r="V362" s="309"/>
      <c r="W362" s="309"/>
      <c r="X362" s="309"/>
      <c r="Y362" s="309"/>
      <c r="Z362" s="309"/>
      <c r="AA362" s="309"/>
      <c r="AB362" s="309"/>
      <c r="AC362" s="309"/>
      <c r="AD362" s="309"/>
      <c r="AE362" s="309"/>
      <c r="AF362" s="309"/>
      <c r="AG362" s="309"/>
    </row>
    <row r="363" spans="1:33" ht="15.75" customHeight="1" x14ac:dyDescent="0.25">
      <c r="A363" s="309"/>
      <c r="B363" s="309"/>
      <c r="C363" s="309"/>
      <c r="D363" s="309"/>
      <c r="E363" s="309"/>
      <c r="F363" s="309"/>
      <c r="G363" s="309"/>
      <c r="H363" s="309"/>
      <c r="I363" s="309"/>
      <c r="J363" s="309"/>
      <c r="K363" s="309"/>
      <c r="L363" s="309"/>
      <c r="M363" s="309"/>
      <c r="N363" s="309"/>
      <c r="O363" s="309"/>
      <c r="P363" s="309"/>
      <c r="Q363" s="309"/>
      <c r="R363" s="309"/>
      <c r="S363" s="309"/>
      <c r="T363" s="309"/>
      <c r="U363" s="309"/>
      <c r="V363" s="309"/>
      <c r="W363" s="309"/>
      <c r="X363" s="309"/>
      <c r="Y363" s="309"/>
      <c r="Z363" s="309"/>
      <c r="AA363" s="309"/>
      <c r="AB363" s="309"/>
      <c r="AC363" s="309"/>
      <c r="AD363" s="309"/>
      <c r="AE363" s="309"/>
      <c r="AF363" s="309"/>
      <c r="AG363" s="309"/>
    </row>
    <row r="364" spans="1:33" ht="15.75" customHeight="1" x14ac:dyDescent="0.25">
      <c r="A364" s="309"/>
      <c r="B364" s="309"/>
      <c r="C364" s="309"/>
      <c r="D364" s="309"/>
      <c r="E364" s="309"/>
      <c r="F364" s="309"/>
      <c r="G364" s="309"/>
      <c r="H364" s="309"/>
      <c r="I364" s="309"/>
      <c r="J364" s="309"/>
      <c r="K364" s="309"/>
      <c r="L364" s="309"/>
      <c r="M364" s="309"/>
      <c r="N364" s="309"/>
      <c r="O364" s="309"/>
      <c r="P364" s="309"/>
      <c r="Q364" s="309"/>
      <c r="R364" s="309"/>
      <c r="S364" s="309"/>
      <c r="T364" s="309"/>
      <c r="U364" s="309"/>
      <c r="V364" s="309"/>
      <c r="W364" s="309"/>
      <c r="X364" s="309"/>
      <c r="Y364" s="309"/>
      <c r="Z364" s="309"/>
      <c r="AA364" s="309"/>
      <c r="AB364" s="309"/>
      <c r="AC364" s="309"/>
      <c r="AD364" s="309"/>
      <c r="AE364" s="309"/>
      <c r="AF364" s="309"/>
      <c r="AG364" s="309"/>
    </row>
    <row r="365" spans="1:33" ht="15.75" customHeight="1" x14ac:dyDescent="0.25">
      <c r="A365" s="309"/>
      <c r="B365" s="309"/>
      <c r="C365" s="309"/>
      <c r="D365" s="309"/>
      <c r="E365" s="309"/>
      <c r="F365" s="309"/>
      <c r="G365" s="309"/>
      <c r="H365" s="309"/>
      <c r="I365" s="309"/>
      <c r="J365" s="309"/>
      <c r="K365" s="309"/>
      <c r="L365" s="309"/>
      <c r="M365" s="309"/>
      <c r="N365" s="309"/>
      <c r="O365" s="309"/>
      <c r="P365" s="309"/>
      <c r="Q365" s="309"/>
      <c r="R365" s="309"/>
      <c r="S365" s="309"/>
      <c r="T365" s="309"/>
      <c r="U365" s="309"/>
      <c r="V365" s="309"/>
      <c r="W365" s="309"/>
      <c r="X365" s="309"/>
      <c r="Y365" s="309"/>
      <c r="Z365" s="309"/>
      <c r="AA365" s="309"/>
      <c r="AB365" s="309"/>
      <c r="AC365" s="309"/>
      <c r="AD365" s="309"/>
      <c r="AE365" s="309"/>
      <c r="AF365" s="309"/>
      <c r="AG365" s="309"/>
    </row>
    <row r="366" spans="1:33" ht="15.75" customHeight="1" x14ac:dyDescent="0.25">
      <c r="A366" s="309"/>
      <c r="B366" s="309"/>
      <c r="C366" s="309"/>
      <c r="D366" s="309"/>
      <c r="E366" s="309"/>
      <c r="F366" s="309"/>
      <c r="G366" s="309"/>
      <c r="H366" s="309"/>
      <c r="I366" s="309"/>
      <c r="J366" s="309"/>
      <c r="K366" s="309"/>
      <c r="L366" s="309"/>
      <c r="M366" s="309"/>
      <c r="N366" s="309"/>
      <c r="O366" s="309"/>
      <c r="P366" s="309"/>
      <c r="Q366" s="309"/>
      <c r="R366" s="309"/>
      <c r="S366" s="309"/>
      <c r="T366" s="309"/>
      <c r="U366" s="309"/>
      <c r="V366" s="309"/>
      <c r="W366" s="309"/>
      <c r="X366" s="309"/>
      <c r="Y366" s="309"/>
      <c r="Z366" s="309"/>
      <c r="AA366" s="309"/>
      <c r="AB366" s="309"/>
      <c r="AC366" s="309"/>
      <c r="AD366" s="309"/>
      <c r="AE366" s="309"/>
      <c r="AF366" s="309"/>
      <c r="AG366" s="309"/>
    </row>
    <row r="367" spans="1:33" ht="15.75" customHeight="1" x14ac:dyDescent="0.25">
      <c r="A367" s="309"/>
      <c r="B367" s="309"/>
      <c r="C367" s="309"/>
      <c r="D367" s="309"/>
      <c r="E367" s="309"/>
      <c r="F367" s="309"/>
      <c r="G367" s="309"/>
      <c r="H367" s="309"/>
      <c r="I367" s="309"/>
      <c r="J367" s="309"/>
      <c r="K367" s="309"/>
      <c r="L367" s="309"/>
      <c r="M367" s="309"/>
      <c r="N367" s="309"/>
      <c r="O367" s="309"/>
      <c r="P367" s="309"/>
      <c r="Q367" s="309"/>
      <c r="R367" s="309"/>
      <c r="S367" s="309"/>
      <c r="T367" s="309"/>
      <c r="U367" s="309"/>
      <c r="V367" s="309"/>
      <c r="W367" s="309"/>
      <c r="X367" s="309"/>
      <c r="Y367" s="309"/>
      <c r="Z367" s="309"/>
      <c r="AA367" s="309"/>
      <c r="AB367" s="309"/>
      <c r="AC367" s="309"/>
      <c r="AD367" s="309"/>
      <c r="AE367" s="309"/>
      <c r="AF367" s="309"/>
      <c r="AG367" s="309"/>
    </row>
    <row r="368" spans="1:33" ht="15.75" customHeight="1" x14ac:dyDescent="0.25">
      <c r="A368" s="309"/>
      <c r="B368" s="309"/>
      <c r="C368" s="309"/>
      <c r="D368" s="309"/>
      <c r="E368" s="309"/>
      <c r="F368" s="309"/>
      <c r="G368" s="309"/>
      <c r="H368" s="309"/>
      <c r="I368" s="309"/>
      <c r="J368" s="309"/>
      <c r="K368" s="309"/>
      <c r="L368" s="309"/>
      <c r="M368" s="309"/>
      <c r="N368" s="309"/>
      <c r="O368" s="309"/>
      <c r="P368" s="309"/>
      <c r="Q368" s="309"/>
      <c r="R368" s="309"/>
      <c r="S368" s="309"/>
      <c r="T368" s="309"/>
      <c r="U368" s="309"/>
      <c r="V368" s="309"/>
      <c r="W368" s="309"/>
      <c r="X368" s="309"/>
      <c r="Y368" s="309"/>
      <c r="Z368" s="309"/>
      <c r="AA368" s="309"/>
      <c r="AB368" s="309"/>
      <c r="AC368" s="309"/>
      <c r="AD368" s="309"/>
      <c r="AE368" s="309"/>
      <c r="AF368" s="309"/>
      <c r="AG368" s="309"/>
    </row>
    <row r="369" spans="1:33" ht="15.75" customHeight="1" x14ac:dyDescent="0.25">
      <c r="A369" s="309"/>
      <c r="B369" s="309"/>
      <c r="C369" s="309"/>
      <c r="D369" s="309"/>
      <c r="E369" s="309"/>
      <c r="F369" s="309"/>
      <c r="G369" s="309"/>
      <c r="H369" s="309"/>
      <c r="I369" s="309"/>
      <c r="J369" s="309"/>
      <c r="K369" s="309"/>
      <c r="L369" s="309"/>
      <c r="M369" s="309"/>
      <c r="N369" s="309"/>
      <c r="O369" s="309"/>
      <c r="P369" s="309"/>
      <c r="Q369" s="309"/>
      <c r="R369" s="309"/>
      <c r="S369" s="309"/>
      <c r="T369" s="309"/>
      <c r="U369" s="309"/>
      <c r="V369" s="309"/>
      <c r="W369" s="309"/>
      <c r="X369" s="309"/>
      <c r="Y369" s="309"/>
      <c r="Z369" s="309"/>
      <c r="AA369" s="309"/>
      <c r="AB369" s="309"/>
      <c r="AC369" s="309"/>
      <c r="AD369" s="309"/>
      <c r="AE369" s="309"/>
      <c r="AF369" s="309"/>
      <c r="AG369" s="309"/>
    </row>
    <row r="370" spans="1:33" ht="15.75" customHeight="1" x14ac:dyDescent="0.25">
      <c r="A370" s="309"/>
      <c r="B370" s="309"/>
      <c r="C370" s="309"/>
      <c r="D370" s="309"/>
      <c r="E370" s="309"/>
      <c r="F370" s="309"/>
      <c r="G370" s="309"/>
      <c r="H370" s="309"/>
      <c r="I370" s="309"/>
      <c r="J370" s="309"/>
      <c r="K370" s="309"/>
      <c r="L370" s="309"/>
      <c r="M370" s="309"/>
      <c r="N370" s="309"/>
      <c r="O370" s="309"/>
      <c r="P370" s="309"/>
      <c r="Q370" s="309"/>
      <c r="R370" s="309"/>
      <c r="S370" s="309"/>
      <c r="T370" s="309"/>
      <c r="U370" s="309"/>
      <c r="V370" s="309"/>
      <c r="W370" s="309"/>
      <c r="X370" s="309"/>
      <c r="Y370" s="309"/>
      <c r="Z370" s="309"/>
      <c r="AA370" s="309"/>
      <c r="AB370" s="309"/>
      <c r="AC370" s="309"/>
      <c r="AD370" s="309"/>
      <c r="AE370" s="309"/>
      <c r="AF370" s="309"/>
      <c r="AG370" s="309"/>
    </row>
    <row r="371" spans="1:33" ht="15.75" customHeight="1" x14ac:dyDescent="0.25">
      <c r="A371" s="309"/>
      <c r="B371" s="309"/>
      <c r="C371" s="309"/>
      <c r="D371" s="309"/>
      <c r="E371" s="309"/>
      <c r="F371" s="309"/>
      <c r="G371" s="309"/>
      <c r="H371" s="309"/>
      <c r="I371" s="309"/>
      <c r="J371" s="309"/>
      <c r="K371" s="309"/>
      <c r="L371" s="309"/>
      <c r="M371" s="309"/>
      <c r="N371" s="309"/>
      <c r="O371" s="309"/>
      <c r="P371" s="309"/>
      <c r="Q371" s="309"/>
      <c r="R371" s="309"/>
      <c r="S371" s="309"/>
      <c r="T371" s="309"/>
      <c r="U371" s="309"/>
      <c r="V371" s="309"/>
      <c r="W371" s="309"/>
      <c r="X371" s="309"/>
      <c r="Y371" s="309"/>
      <c r="Z371" s="309"/>
      <c r="AA371" s="309"/>
      <c r="AB371" s="309"/>
      <c r="AC371" s="309"/>
      <c r="AD371" s="309"/>
      <c r="AE371" s="309"/>
      <c r="AF371" s="309"/>
      <c r="AG371" s="309"/>
    </row>
    <row r="372" spans="1:33" ht="15.75" customHeight="1" x14ac:dyDescent="0.25">
      <c r="A372" s="309"/>
      <c r="B372" s="309"/>
      <c r="C372" s="309"/>
      <c r="D372" s="309"/>
      <c r="E372" s="309"/>
      <c r="F372" s="309"/>
      <c r="G372" s="309"/>
      <c r="H372" s="309"/>
      <c r="I372" s="309"/>
      <c r="J372" s="309"/>
      <c r="K372" s="309"/>
      <c r="L372" s="309"/>
      <c r="M372" s="309"/>
      <c r="N372" s="309"/>
      <c r="O372" s="309"/>
      <c r="P372" s="309"/>
      <c r="Q372" s="309"/>
      <c r="R372" s="309"/>
      <c r="S372" s="309"/>
      <c r="T372" s="309"/>
      <c r="U372" s="309"/>
      <c r="V372" s="309"/>
      <c r="W372" s="309"/>
      <c r="X372" s="309"/>
      <c r="Y372" s="309"/>
      <c r="Z372" s="309"/>
      <c r="AA372" s="309"/>
      <c r="AB372" s="309"/>
      <c r="AC372" s="309"/>
      <c r="AD372" s="309"/>
      <c r="AE372" s="309"/>
      <c r="AF372" s="309"/>
      <c r="AG372" s="309"/>
    </row>
    <row r="373" spans="1:33" ht="15.75" customHeight="1" x14ac:dyDescent="0.25">
      <c r="A373" s="309"/>
      <c r="B373" s="309"/>
      <c r="C373" s="309"/>
      <c r="D373" s="309"/>
      <c r="E373" s="309"/>
      <c r="F373" s="309"/>
      <c r="G373" s="309"/>
      <c r="H373" s="309"/>
      <c r="I373" s="309"/>
      <c r="J373" s="309"/>
      <c r="K373" s="309"/>
      <c r="L373" s="309"/>
      <c r="M373" s="309"/>
      <c r="N373" s="309"/>
      <c r="O373" s="309"/>
      <c r="P373" s="309"/>
      <c r="Q373" s="309"/>
      <c r="R373" s="309"/>
      <c r="S373" s="309"/>
      <c r="T373" s="309"/>
      <c r="U373" s="309"/>
      <c r="V373" s="309"/>
      <c r="W373" s="309"/>
      <c r="X373" s="309"/>
      <c r="Y373" s="309"/>
      <c r="Z373" s="309"/>
      <c r="AA373" s="309"/>
      <c r="AB373" s="309"/>
      <c r="AC373" s="309"/>
      <c r="AD373" s="309"/>
      <c r="AE373" s="309"/>
      <c r="AF373" s="309"/>
      <c r="AG373" s="309"/>
    </row>
    <row r="374" spans="1:33" ht="15.75" customHeight="1" x14ac:dyDescent="0.25">
      <c r="A374" s="309"/>
      <c r="B374" s="309"/>
      <c r="C374" s="309"/>
      <c r="D374" s="309"/>
      <c r="E374" s="309"/>
      <c r="F374" s="309"/>
      <c r="G374" s="309"/>
      <c r="H374" s="309"/>
      <c r="I374" s="309"/>
      <c r="J374" s="309"/>
      <c r="K374" s="309"/>
      <c r="L374" s="309"/>
      <c r="M374" s="309"/>
      <c r="N374" s="309"/>
      <c r="O374" s="309"/>
      <c r="P374" s="309"/>
      <c r="Q374" s="309"/>
      <c r="R374" s="309"/>
      <c r="S374" s="309"/>
      <c r="T374" s="309"/>
      <c r="U374" s="309"/>
      <c r="V374" s="309"/>
      <c r="W374" s="309"/>
      <c r="X374" s="309"/>
      <c r="Y374" s="309"/>
      <c r="Z374" s="309"/>
      <c r="AA374" s="309"/>
      <c r="AB374" s="309"/>
      <c r="AC374" s="309"/>
      <c r="AD374" s="309"/>
      <c r="AE374" s="309"/>
      <c r="AF374" s="309"/>
      <c r="AG374" s="309"/>
    </row>
    <row r="375" spans="1:33" ht="15.75" customHeight="1" x14ac:dyDescent="0.25">
      <c r="A375" s="309"/>
      <c r="B375" s="309"/>
      <c r="C375" s="309"/>
      <c r="D375" s="309"/>
      <c r="E375" s="309"/>
      <c r="F375" s="309"/>
      <c r="G375" s="309"/>
      <c r="H375" s="309"/>
      <c r="I375" s="309"/>
      <c r="J375" s="309"/>
      <c r="K375" s="309"/>
      <c r="L375" s="309"/>
      <c r="M375" s="309"/>
      <c r="N375" s="309"/>
      <c r="O375" s="309"/>
      <c r="P375" s="309"/>
      <c r="Q375" s="309"/>
      <c r="R375" s="309"/>
      <c r="S375" s="309"/>
      <c r="T375" s="309"/>
      <c r="U375" s="309"/>
      <c r="V375" s="309"/>
      <c r="W375" s="309"/>
      <c r="X375" s="309"/>
      <c r="Y375" s="309"/>
      <c r="Z375" s="309"/>
      <c r="AA375" s="309"/>
      <c r="AB375" s="309"/>
      <c r="AC375" s="309"/>
      <c r="AD375" s="309"/>
      <c r="AE375" s="309"/>
      <c r="AF375" s="309"/>
      <c r="AG375" s="309"/>
    </row>
    <row r="376" spans="1:33" ht="15.75" customHeight="1" x14ac:dyDescent="0.25">
      <c r="A376" s="309"/>
      <c r="B376" s="309"/>
      <c r="C376" s="309"/>
      <c r="D376" s="309"/>
      <c r="E376" s="309"/>
      <c r="F376" s="309"/>
      <c r="G376" s="309"/>
      <c r="H376" s="309"/>
      <c r="I376" s="309"/>
      <c r="J376" s="309"/>
      <c r="K376" s="309"/>
      <c r="L376" s="309"/>
      <c r="M376" s="309"/>
      <c r="N376" s="309"/>
      <c r="O376" s="309"/>
      <c r="P376" s="309"/>
      <c r="Q376" s="309"/>
      <c r="R376" s="309"/>
      <c r="S376" s="309"/>
      <c r="T376" s="309"/>
      <c r="U376" s="309"/>
      <c r="V376" s="309"/>
      <c r="W376" s="309"/>
      <c r="X376" s="309"/>
      <c r="Y376" s="309"/>
      <c r="Z376" s="309"/>
      <c r="AA376" s="309"/>
      <c r="AB376" s="309"/>
      <c r="AC376" s="309"/>
      <c r="AD376" s="309"/>
      <c r="AE376" s="309"/>
      <c r="AF376" s="309"/>
      <c r="AG376" s="309"/>
    </row>
    <row r="377" spans="1:33" ht="15.75" customHeight="1" x14ac:dyDescent="0.25">
      <c r="A377" s="309"/>
      <c r="B377" s="309"/>
      <c r="C377" s="309"/>
      <c r="D377" s="309"/>
      <c r="E377" s="309"/>
      <c r="F377" s="309"/>
      <c r="G377" s="309"/>
      <c r="H377" s="309"/>
      <c r="I377" s="309"/>
      <c r="J377" s="309"/>
      <c r="K377" s="309"/>
      <c r="L377" s="309"/>
      <c r="M377" s="309"/>
      <c r="N377" s="309"/>
      <c r="O377" s="309"/>
      <c r="P377" s="309"/>
      <c r="Q377" s="309"/>
      <c r="R377" s="309"/>
      <c r="S377" s="309"/>
      <c r="T377" s="309"/>
      <c r="U377" s="309"/>
      <c r="V377" s="309"/>
      <c r="W377" s="309"/>
      <c r="X377" s="309"/>
      <c r="Y377" s="309"/>
      <c r="Z377" s="309"/>
      <c r="AA377" s="309"/>
      <c r="AB377" s="309"/>
      <c r="AC377" s="309"/>
      <c r="AD377" s="309"/>
      <c r="AE377" s="309"/>
      <c r="AF377" s="309"/>
      <c r="AG377" s="309"/>
    </row>
    <row r="378" spans="1:33" ht="15.75" customHeight="1" x14ac:dyDescent="0.25">
      <c r="A378" s="309"/>
      <c r="B378" s="309"/>
      <c r="C378" s="309"/>
      <c r="D378" s="309"/>
      <c r="E378" s="309"/>
      <c r="F378" s="309"/>
      <c r="G378" s="309"/>
      <c r="H378" s="309"/>
      <c r="I378" s="309"/>
      <c r="J378" s="309"/>
      <c r="K378" s="309"/>
      <c r="L378" s="309"/>
      <c r="M378" s="309"/>
      <c r="N378" s="309"/>
      <c r="O378" s="309"/>
      <c r="P378" s="309"/>
      <c r="Q378" s="309"/>
      <c r="R378" s="309"/>
      <c r="S378" s="309"/>
      <c r="T378" s="309"/>
      <c r="U378" s="309"/>
      <c r="V378" s="309"/>
      <c r="W378" s="309"/>
      <c r="X378" s="309"/>
      <c r="Y378" s="309"/>
      <c r="Z378" s="309"/>
      <c r="AA378" s="309"/>
      <c r="AB378" s="309"/>
      <c r="AC378" s="309"/>
      <c r="AD378" s="309"/>
      <c r="AE378" s="309"/>
      <c r="AF378" s="309"/>
      <c r="AG378" s="309"/>
    </row>
    <row r="379" spans="1:33" ht="15.75" customHeight="1" x14ac:dyDescent="0.25">
      <c r="A379" s="309"/>
      <c r="B379" s="309"/>
      <c r="C379" s="309"/>
      <c r="D379" s="309"/>
      <c r="E379" s="309"/>
      <c r="F379" s="309"/>
      <c r="G379" s="309"/>
      <c r="H379" s="309"/>
      <c r="I379" s="309"/>
      <c r="J379" s="309"/>
      <c r="K379" s="309"/>
      <c r="L379" s="309"/>
      <c r="M379" s="309"/>
      <c r="N379" s="309"/>
      <c r="O379" s="309"/>
      <c r="P379" s="309"/>
      <c r="Q379" s="309"/>
      <c r="R379" s="309"/>
      <c r="S379" s="309"/>
      <c r="T379" s="309"/>
      <c r="U379" s="309"/>
      <c r="V379" s="309"/>
      <c r="W379" s="309"/>
      <c r="X379" s="309"/>
      <c r="Y379" s="309"/>
      <c r="Z379" s="309"/>
      <c r="AA379" s="309"/>
      <c r="AB379" s="309"/>
      <c r="AC379" s="309"/>
      <c r="AD379" s="309"/>
      <c r="AE379" s="309"/>
      <c r="AF379" s="309"/>
      <c r="AG379" s="309"/>
    </row>
    <row r="380" spans="1:33" ht="15.75" customHeight="1" x14ac:dyDescent="0.25">
      <c r="A380" s="309"/>
      <c r="B380" s="309"/>
      <c r="C380" s="309"/>
      <c r="D380" s="309"/>
      <c r="E380" s="309"/>
      <c r="F380" s="309"/>
      <c r="G380" s="309"/>
      <c r="H380" s="309"/>
      <c r="I380" s="309"/>
      <c r="J380" s="309"/>
      <c r="K380" s="309"/>
      <c r="L380" s="309"/>
      <c r="M380" s="309"/>
      <c r="N380" s="309"/>
      <c r="O380" s="309"/>
      <c r="P380" s="309"/>
      <c r="Q380" s="309"/>
      <c r="R380" s="309"/>
      <c r="S380" s="309"/>
      <c r="T380" s="309"/>
      <c r="U380" s="309"/>
      <c r="V380" s="309"/>
      <c r="W380" s="309"/>
      <c r="X380" s="309"/>
      <c r="Y380" s="309"/>
      <c r="Z380" s="309"/>
      <c r="AA380" s="309"/>
      <c r="AB380" s="309"/>
      <c r="AC380" s="309"/>
      <c r="AD380" s="309"/>
      <c r="AE380" s="309"/>
      <c r="AF380" s="309"/>
      <c r="AG380" s="309"/>
    </row>
    <row r="381" spans="1:33" ht="15.75" customHeight="1" x14ac:dyDescent="0.25">
      <c r="A381" s="309"/>
      <c r="B381" s="309"/>
      <c r="C381" s="309"/>
      <c r="D381" s="309"/>
      <c r="E381" s="309"/>
      <c r="F381" s="309"/>
      <c r="G381" s="309"/>
      <c r="H381" s="309"/>
      <c r="I381" s="309"/>
      <c r="J381" s="309"/>
      <c r="K381" s="309"/>
      <c r="L381" s="309"/>
      <c r="M381" s="309"/>
      <c r="N381" s="309"/>
      <c r="O381" s="309"/>
      <c r="P381" s="309"/>
      <c r="Q381" s="309"/>
      <c r="R381" s="309"/>
      <c r="S381" s="309"/>
      <c r="T381" s="309"/>
      <c r="U381" s="309"/>
      <c r="V381" s="309"/>
      <c r="W381" s="309"/>
      <c r="X381" s="309"/>
      <c r="Y381" s="309"/>
      <c r="Z381" s="309"/>
      <c r="AA381" s="309"/>
      <c r="AB381" s="309"/>
      <c r="AC381" s="309"/>
      <c r="AD381" s="309"/>
      <c r="AE381" s="309"/>
      <c r="AF381" s="309"/>
      <c r="AG381" s="309"/>
    </row>
    <row r="382" spans="1:33" ht="15.75" customHeight="1" x14ac:dyDescent="0.25">
      <c r="A382" s="309"/>
      <c r="B382" s="309"/>
      <c r="C382" s="309"/>
      <c r="D382" s="309"/>
      <c r="E382" s="309"/>
      <c r="F382" s="309"/>
      <c r="G382" s="309"/>
      <c r="H382" s="309"/>
      <c r="I382" s="309"/>
      <c r="J382" s="309"/>
      <c r="K382" s="309"/>
      <c r="L382" s="309"/>
      <c r="M382" s="309"/>
      <c r="N382" s="309"/>
      <c r="O382" s="309"/>
      <c r="P382" s="309"/>
      <c r="Q382" s="309"/>
      <c r="R382" s="309"/>
      <c r="S382" s="309"/>
      <c r="T382" s="309"/>
      <c r="U382" s="309"/>
      <c r="V382" s="309"/>
      <c r="W382" s="309"/>
      <c r="X382" s="309"/>
      <c r="Y382" s="309"/>
      <c r="Z382" s="309"/>
      <c r="AA382" s="309"/>
      <c r="AB382" s="309"/>
      <c r="AC382" s="309"/>
      <c r="AD382" s="309"/>
      <c r="AE382" s="309"/>
      <c r="AF382" s="309"/>
      <c r="AG382" s="309"/>
    </row>
    <row r="383" spans="1:33" ht="15.75" customHeight="1" x14ac:dyDescent="0.25">
      <c r="A383" s="309"/>
      <c r="B383" s="309"/>
      <c r="C383" s="309"/>
      <c r="D383" s="309"/>
      <c r="E383" s="309"/>
      <c r="F383" s="309"/>
      <c r="G383" s="309"/>
      <c r="H383" s="309"/>
      <c r="I383" s="309"/>
      <c r="J383" s="309"/>
      <c r="K383" s="309"/>
      <c r="L383" s="309"/>
      <c r="M383" s="309"/>
      <c r="N383" s="309"/>
      <c r="O383" s="309"/>
      <c r="P383" s="309"/>
      <c r="Q383" s="309"/>
      <c r="R383" s="309"/>
      <c r="S383" s="309"/>
      <c r="T383" s="309"/>
      <c r="U383" s="309"/>
      <c r="V383" s="309"/>
      <c r="W383" s="309"/>
      <c r="X383" s="309"/>
      <c r="Y383" s="309"/>
      <c r="Z383" s="309"/>
      <c r="AA383" s="309"/>
      <c r="AB383" s="309"/>
      <c r="AC383" s="309"/>
      <c r="AD383" s="309"/>
      <c r="AE383" s="309"/>
      <c r="AF383" s="309"/>
      <c r="AG383" s="309"/>
    </row>
    <row r="384" spans="1:33" ht="15.75" customHeight="1" x14ac:dyDescent="0.25">
      <c r="A384" s="309"/>
      <c r="B384" s="309"/>
      <c r="C384" s="309"/>
      <c r="D384" s="309"/>
      <c r="E384" s="309"/>
      <c r="F384" s="309"/>
      <c r="G384" s="309"/>
      <c r="H384" s="309"/>
      <c r="I384" s="309"/>
      <c r="J384" s="309"/>
      <c r="K384" s="309"/>
      <c r="L384" s="309"/>
      <c r="M384" s="309"/>
      <c r="N384" s="309"/>
      <c r="O384" s="309"/>
      <c r="P384" s="309"/>
      <c r="Q384" s="309"/>
      <c r="R384" s="309"/>
      <c r="S384" s="309"/>
      <c r="T384" s="309"/>
      <c r="U384" s="309"/>
      <c r="V384" s="309"/>
      <c r="W384" s="309"/>
      <c r="X384" s="309"/>
      <c r="Y384" s="309"/>
      <c r="Z384" s="309"/>
      <c r="AA384" s="309"/>
      <c r="AB384" s="309"/>
      <c r="AC384" s="309"/>
      <c r="AD384" s="309"/>
      <c r="AE384" s="309"/>
      <c r="AF384" s="309"/>
      <c r="AG384" s="309"/>
    </row>
    <row r="385" spans="1:33" ht="15.75" customHeight="1" x14ac:dyDescent="0.25">
      <c r="A385" s="309"/>
      <c r="B385" s="309"/>
      <c r="C385" s="309"/>
      <c r="D385" s="309"/>
      <c r="E385" s="309"/>
      <c r="F385" s="309"/>
      <c r="G385" s="309"/>
      <c r="H385" s="309"/>
      <c r="I385" s="309"/>
      <c r="J385" s="309"/>
      <c r="K385" s="309"/>
      <c r="L385" s="309"/>
      <c r="M385" s="309"/>
      <c r="N385" s="309"/>
      <c r="O385" s="309"/>
      <c r="P385" s="309"/>
      <c r="Q385" s="309"/>
      <c r="R385" s="309"/>
      <c r="S385" s="309"/>
      <c r="T385" s="309"/>
      <c r="U385" s="309"/>
      <c r="V385" s="309"/>
      <c r="W385" s="309"/>
      <c r="X385" s="309"/>
      <c r="Y385" s="309"/>
      <c r="Z385" s="309"/>
      <c r="AA385" s="309"/>
      <c r="AB385" s="309"/>
      <c r="AC385" s="309"/>
      <c r="AD385" s="309"/>
      <c r="AE385" s="309"/>
      <c r="AF385" s="309"/>
      <c r="AG385" s="309"/>
    </row>
    <row r="386" spans="1:33" ht="15.75" customHeight="1" x14ac:dyDescent="0.25">
      <c r="A386" s="309"/>
      <c r="B386" s="309"/>
      <c r="C386" s="309"/>
      <c r="D386" s="309"/>
      <c r="E386" s="309"/>
      <c r="F386" s="309"/>
      <c r="G386" s="309"/>
      <c r="H386" s="309"/>
      <c r="I386" s="309"/>
      <c r="J386" s="309"/>
      <c r="K386" s="309"/>
      <c r="L386" s="309"/>
      <c r="M386" s="309"/>
      <c r="N386" s="309"/>
      <c r="O386" s="309"/>
      <c r="P386" s="309"/>
      <c r="Q386" s="309"/>
      <c r="R386" s="309"/>
      <c r="S386" s="309"/>
      <c r="T386" s="309"/>
      <c r="U386" s="309"/>
      <c r="V386" s="309"/>
      <c r="W386" s="309"/>
      <c r="X386" s="309"/>
      <c r="Y386" s="309"/>
      <c r="Z386" s="309"/>
      <c r="AA386" s="309"/>
      <c r="AB386" s="309"/>
      <c r="AC386" s="309"/>
      <c r="AD386" s="309"/>
      <c r="AE386" s="309"/>
      <c r="AF386" s="309"/>
      <c r="AG386" s="309"/>
    </row>
    <row r="387" spans="1:33" ht="15.75" customHeight="1" x14ac:dyDescent="0.25">
      <c r="A387" s="309"/>
      <c r="B387" s="309"/>
      <c r="C387" s="309"/>
      <c r="D387" s="309"/>
      <c r="E387" s="309"/>
      <c r="F387" s="309"/>
      <c r="G387" s="309"/>
      <c r="H387" s="309"/>
      <c r="I387" s="309"/>
      <c r="J387" s="309"/>
      <c r="K387" s="309"/>
      <c r="L387" s="309"/>
      <c r="M387" s="309"/>
      <c r="N387" s="309"/>
      <c r="O387" s="309"/>
      <c r="P387" s="309"/>
      <c r="Q387" s="309"/>
      <c r="R387" s="309"/>
      <c r="S387" s="309"/>
      <c r="T387" s="309"/>
      <c r="U387" s="309"/>
      <c r="V387" s="309"/>
      <c r="W387" s="309"/>
      <c r="X387" s="309"/>
      <c r="Y387" s="309"/>
      <c r="Z387" s="309"/>
      <c r="AA387" s="309"/>
      <c r="AB387" s="309"/>
      <c r="AC387" s="309"/>
      <c r="AD387" s="309"/>
      <c r="AE387" s="309"/>
      <c r="AF387" s="309"/>
      <c r="AG387" s="309"/>
    </row>
    <row r="388" spans="1:33" ht="15.75" customHeight="1" x14ac:dyDescent="0.25">
      <c r="A388" s="309"/>
      <c r="B388" s="309"/>
      <c r="C388" s="309"/>
      <c r="D388" s="309"/>
      <c r="E388" s="309"/>
      <c r="F388" s="309"/>
      <c r="G388" s="309"/>
      <c r="H388" s="309"/>
      <c r="I388" s="309"/>
      <c r="J388" s="309"/>
      <c r="K388" s="309"/>
      <c r="L388" s="309"/>
      <c r="M388" s="309"/>
      <c r="N388" s="309"/>
      <c r="O388" s="309"/>
      <c r="P388" s="309"/>
      <c r="Q388" s="309"/>
      <c r="R388" s="309"/>
      <c r="S388" s="309"/>
      <c r="T388" s="309"/>
      <c r="U388" s="309"/>
      <c r="V388" s="309"/>
      <c r="W388" s="309"/>
      <c r="X388" s="309"/>
      <c r="Y388" s="309"/>
      <c r="Z388" s="309"/>
      <c r="AA388" s="309"/>
      <c r="AB388" s="309"/>
      <c r="AC388" s="309"/>
      <c r="AD388" s="309"/>
      <c r="AE388" s="309"/>
      <c r="AF388" s="309"/>
      <c r="AG388" s="309"/>
    </row>
    <row r="389" spans="1:33" ht="15.75" customHeight="1" x14ac:dyDescent="0.25">
      <c r="A389" s="309"/>
      <c r="B389" s="309"/>
      <c r="C389" s="309"/>
      <c r="D389" s="309"/>
      <c r="E389" s="309"/>
      <c r="F389" s="309"/>
      <c r="G389" s="309"/>
      <c r="H389" s="309"/>
      <c r="I389" s="309"/>
      <c r="J389" s="309"/>
      <c r="K389" s="309"/>
      <c r="L389" s="309"/>
      <c r="M389" s="309"/>
      <c r="N389" s="309"/>
      <c r="O389" s="309"/>
      <c r="P389" s="309"/>
      <c r="Q389" s="309"/>
      <c r="R389" s="309"/>
      <c r="S389" s="309"/>
      <c r="T389" s="309"/>
      <c r="U389" s="309"/>
      <c r="V389" s="309"/>
      <c r="W389" s="309"/>
      <c r="X389" s="309"/>
      <c r="Y389" s="309"/>
      <c r="Z389" s="309"/>
      <c r="AA389" s="309"/>
      <c r="AB389" s="309"/>
      <c r="AC389" s="309"/>
      <c r="AD389" s="309"/>
      <c r="AE389" s="309"/>
      <c r="AF389" s="309"/>
      <c r="AG389" s="309"/>
    </row>
    <row r="390" spans="1:33" ht="15.75" customHeight="1" x14ac:dyDescent="0.25">
      <c r="A390" s="309"/>
      <c r="B390" s="309"/>
      <c r="C390" s="309"/>
      <c r="D390" s="309"/>
      <c r="E390" s="309"/>
      <c r="F390" s="309"/>
      <c r="G390" s="309"/>
      <c r="H390" s="309"/>
      <c r="I390" s="309"/>
      <c r="J390" s="309"/>
      <c r="K390" s="309"/>
      <c r="L390" s="309"/>
      <c r="M390" s="309"/>
      <c r="N390" s="309"/>
      <c r="O390" s="309"/>
      <c r="P390" s="309"/>
      <c r="Q390" s="309"/>
      <c r="R390" s="309"/>
      <c r="S390" s="309"/>
      <c r="T390" s="309"/>
      <c r="U390" s="309"/>
      <c r="V390" s="309"/>
      <c r="W390" s="309"/>
      <c r="X390" s="309"/>
      <c r="Y390" s="309"/>
      <c r="Z390" s="309"/>
      <c r="AA390" s="309"/>
      <c r="AB390" s="309"/>
      <c r="AC390" s="309"/>
      <c r="AD390" s="309"/>
      <c r="AE390" s="309"/>
      <c r="AF390" s="309"/>
      <c r="AG390" s="309"/>
    </row>
    <row r="391" spans="1:33" ht="15.75" customHeight="1" x14ac:dyDescent="0.25">
      <c r="A391" s="309"/>
      <c r="B391" s="309"/>
      <c r="C391" s="309"/>
      <c r="D391" s="309"/>
      <c r="E391" s="309"/>
      <c r="F391" s="309"/>
      <c r="G391" s="309"/>
      <c r="H391" s="309"/>
      <c r="I391" s="309"/>
      <c r="J391" s="309"/>
      <c r="K391" s="309"/>
      <c r="L391" s="309"/>
      <c r="M391" s="309"/>
      <c r="N391" s="309"/>
      <c r="O391" s="309"/>
      <c r="P391" s="309"/>
      <c r="Q391" s="309"/>
      <c r="R391" s="309"/>
      <c r="S391" s="309"/>
      <c r="T391" s="309"/>
      <c r="U391" s="309"/>
      <c r="V391" s="309"/>
      <c r="W391" s="309"/>
      <c r="X391" s="309"/>
      <c r="Y391" s="309"/>
      <c r="Z391" s="309"/>
      <c r="AA391" s="309"/>
      <c r="AB391" s="309"/>
      <c r="AC391" s="309"/>
      <c r="AD391" s="309"/>
      <c r="AE391" s="309"/>
      <c r="AF391" s="309"/>
      <c r="AG391" s="309"/>
    </row>
    <row r="392" spans="1:33" ht="15.75" customHeight="1" x14ac:dyDescent="0.25">
      <c r="A392" s="309"/>
      <c r="B392" s="309"/>
      <c r="C392" s="309"/>
      <c r="D392" s="309"/>
      <c r="E392" s="309"/>
      <c r="F392" s="309"/>
      <c r="G392" s="309"/>
      <c r="H392" s="309"/>
      <c r="I392" s="309"/>
      <c r="J392" s="309"/>
      <c r="K392" s="309"/>
      <c r="L392" s="309"/>
      <c r="M392" s="309"/>
      <c r="N392" s="309"/>
      <c r="O392" s="309"/>
      <c r="P392" s="309"/>
      <c r="Q392" s="309"/>
      <c r="R392" s="309"/>
      <c r="S392" s="309"/>
      <c r="T392" s="309"/>
      <c r="U392" s="309"/>
      <c r="V392" s="309"/>
      <c r="W392" s="309"/>
      <c r="X392" s="309"/>
      <c r="Y392" s="309"/>
      <c r="Z392" s="309"/>
      <c r="AA392" s="309"/>
      <c r="AB392" s="309"/>
      <c r="AC392" s="309"/>
      <c r="AD392" s="309"/>
      <c r="AE392" s="309"/>
      <c r="AF392" s="309"/>
      <c r="AG392" s="309"/>
    </row>
    <row r="393" spans="1:33" ht="15.75" customHeight="1" x14ac:dyDescent="0.25">
      <c r="A393" s="309"/>
      <c r="B393" s="309"/>
      <c r="C393" s="309"/>
      <c r="D393" s="309"/>
      <c r="E393" s="309"/>
      <c r="F393" s="309"/>
      <c r="G393" s="309"/>
      <c r="H393" s="309"/>
      <c r="I393" s="309"/>
      <c r="J393" s="309"/>
      <c r="K393" s="309"/>
      <c r="L393" s="309"/>
      <c r="M393" s="309"/>
      <c r="N393" s="309"/>
      <c r="O393" s="309"/>
      <c r="P393" s="309"/>
      <c r="Q393" s="309"/>
      <c r="R393" s="309"/>
      <c r="S393" s="309"/>
      <c r="T393" s="309"/>
      <c r="U393" s="309"/>
      <c r="V393" s="309"/>
      <c r="W393" s="309"/>
      <c r="X393" s="309"/>
      <c r="Y393" s="309"/>
      <c r="Z393" s="309"/>
      <c r="AA393" s="309"/>
      <c r="AB393" s="309"/>
      <c r="AC393" s="309"/>
      <c r="AD393" s="309"/>
      <c r="AE393" s="309"/>
      <c r="AF393" s="309"/>
      <c r="AG393" s="309"/>
    </row>
    <row r="394" spans="1:33" ht="15.75" customHeight="1" x14ac:dyDescent="0.25">
      <c r="A394" s="309"/>
      <c r="B394" s="309"/>
      <c r="C394" s="309"/>
      <c r="D394" s="309"/>
      <c r="E394" s="309"/>
      <c r="F394" s="309"/>
      <c r="G394" s="309"/>
      <c r="H394" s="309"/>
      <c r="I394" s="309"/>
      <c r="J394" s="309"/>
      <c r="K394" s="309"/>
      <c r="L394" s="309"/>
      <c r="M394" s="309"/>
      <c r="N394" s="309"/>
      <c r="O394" s="309"/>
      <c r="P394" s="309"/>
      <c r="Q394" s="309"/>
      <c r="R394" s="309"/>
      <c r="S394" s="309"/>
      <c r="T394" s="309"/>
      <c r="U394" s="309"/>
      <c r="V394" s="309"/>
      <c r="W394" s="309"/>
      <c r="X394" s="309"/>
      <c r="Y394" s="309"/>
      <c r="Z394" s="309"/>
      <c r="AA394" s="309"/>
      <c r="AB394" s="309"/>
      <c r="AC394" s="309"/>
      <c r="AD394" s="309"/>
      <c r="AE394" s="309"/>
      <c r="AF394" s="309"/>
      <c r="AG394" s="309"/>
    </row>
    <row r="395" spans="1:33" ht="15.75" customHeight="1" x14ac:dyDescent="0.25">
      <c r="A395" s="309"/>
      <c r="B395" s="309"/>
      <c r="C395" s="309"/>
      <c r="D395" s="309"/>
      <c r="E395" s="309"/>
      <c r="F395" s="309"/>
      <c r="G395" s="309"/>
      <c r="H395" s="309"/>
      <c r="I395" s="309"/>
      <c r="J395" s="309"/>
      <c r="K395" s="309"/>
      <c r="L395" s="309"/>
      <c r="M395" s="309"/>
      <c r="N395" s="309"/>
      <c r="O395" s="309"/>
      <c r="P395" s="309"/>
      <c r="Q395" s="309"/>
      <c r="R395" s="309"/>
      <c r="S395" s="309"/>
      <c r="T395" s="309"/>
      <c r="U395" s="309"/>
      <c r="V395" s="309"/>
      <c r="W395" s="309"/>
      <c r="X395" s="309"/>
      <c r="Y395" s="309"/>
      <c r="Z395" s="309"/>
      <c r="AA395" s="309"/>
      <c r="AB395" s="309"/>
      <c r="AC395" s="309"/>
      <c r="AD395" s="309"/>
      <c r="AE395" s="309"/>
      <c r="AF395" s="309"/>
      <c r="AG395" s="309"/>
    </row>
    <row r="396" spans="1:33" ht="15.75" customHeight="1" x14ac:dyDescent="0.25">
      <c r="A396" s="309"/>
      <c r="B396" s="309"/>
      <c r="C396" s="309"/>
      <c r="D396" s="309"/>
      <c r="E396" s="309"/>
      <c r="F396" s="309"/>
      <c r="G396" s="309"/>
      <c r="H396" s="309"/>
      <c r="I396" s="309"/>
      <c r="J396" s="309"/>
      <c r="K396" s="309"/>
      <c r="L396" s="309"/>
      <c r="M396" s="309"/>
      <c r="N396" s="309"/>
      <c r="O396" s="309"/>
      <c r="P396" s="309"/>
      <c r="Q396" s="309"/>
      <c r="R396" s="309"/>
      <c r="S396" s="309"/>
      <c r="T396" s="309"/>
      <c r="U396" s="309"/>
      <c r="V396" s="309"/>
      <c r="W396" s="309"/>
      <c r="X396" s="309"/>
      <c r="Y396" s="309"/>
      <c r="Z396" s="309"/>
      <c r="AA396" s="309"/>
      <c r="AB396" s="309"/>
      <c r="AC396" s="309"/>
      <c r="AD396" s="309"/>
      <c r="AE396" s="309"/>
      <c r="AF396" s="309"/>
      <c r="AG396" s="309"/>
    </row>
    <row r="397" spans="1:33" ht="15.75" customHeight="1" x14ac:dyDescent="0.25">
      <c r="A397" s="309"/>
      <c r="B397" s="309"/>
      <c r="C397" s="309"/>
      <c r="D397" s="309"/>
      <c r="E397" s="309"/>
      <c r="F397" s="309"/>
      <c r="G397" s="309"/>
      <c r="H397" s="309"/>
      <c r="I397" s="309"/>
      <c r="J397" s="309"/>
      <c r="K397" s="309"/>
      <c r="L397" s="309"/>
      <c r="M397" s="309"/>
      <c r="N397" s="309"/>
      <c r="O397" s="309"/>
      <c r="P397" s="309"/>
      <c r="Q397" s="309"/>
      <c r="R397" s="309"/>
      <c r="S397" s="309"/>
      <c r="T397" s="309"/>
      <c r="U397" s="309"/>
      <c r="V397" s="309"/>
      <c r="W397" s="309"/>
      <c r="X397" s="309"/>
      <c r="Y397" s="309"/>
      <c r="Z397" s="309"/>
      <c r="AA397" s="309"/>
      <c r="AB397" s="309"/>
      <c r="AC397" s="309"/>
      <c r="AD397" s="309"/>
      <c r="AE397" s="309"/>
      <c r="AF397" s="309"/>
      <c r="AG397" s="309"/>
    </row>
    <row r="398" spans="1:33" ht="15.75" customHeight="1" x14ac:dyDescent="0.25">
      <c r="A398" s="309"/>
      <c r="B398" s="309"/>
      <c r="C398" s="309"/>
      <c r="D398" s="309"/>
      <c r="E398" s="309"/>
      <c r="F398" s="309"/>
      <c r="G398" s="309"/>
      <c r="H398" s="309"/>
      <c r="I398" s="309"/>
      <c r="J398" s="309"/>
      <c r="K398" s="309"/>
      <c r="L398" s="309"/>
      <c r="M398" s="309"/>
      <c r="N398" s="309"/>
      <c r="O398" s="309"/>
      <c r="P398" s="309"/>
      <c r="Q398" s="309"/>
      <c r="R398" s="309"/>
      <c r="S398" s="309"/>
      <c r="T398" s="309"/>
      <c r="U398" s="309"/>
      <c r="V398" s="309"/>
      <c r="W398" s="309"/>
      <c r="X398" s="309"/>
      <c r="Y398" s="309"/>
      <c r="Z398" s="309"/>
      <c r="AA398" s="309"/>
      <c r="AB398" s="309"/>
      <c r="AC398" s="309"/>
      <c r="AD398" s="309"/>
      <c r="AE398" s="309"/>
      <c r="AF398" s="309"/>
      <c r="AG398" s="309"/>
    </row>
    <row r="399" spans="1:33" ht="15.75" customHeight="1" x14ac:dyDescent="0.25">
      <c r="A399" s="309"/>
      <c r="B399" s="309"/>
      <c r="C399" s="309"/>
      <c r="D399" s="309"/>
      <c r="E399" s="309"/>
      <c r="F399" s="309"/>
      <c r="G399" s="309"/>
      <c r="H399" s="309"/>
      <c r="I399" s="309"/>
      <c r="J399" s="309"/>
      <c r="K399" s="309"/>
      <c r="L399" s="309"/>
      <c r="M399" s="309"/>
      <c r="N399" s="309"/>
      <c r="O399" s="309"/>
      <c r="P399" s="309"/>
      <c r="Q399" s="309"/>
      <c r="R399" s="309"/>
      <c r="S399" s="309"/>
      <c r="T399" s="309"/>
      <c r="U399" s="309"/>
      <c r="V399" s="309"/>
      <c r="W399" s="309"/>
      <c r="X399" s="309"/>
      <c r="Y399" s="309"/>
      <c r="Z399" s="309"/>
      <c r="AA399" s="309"/>
      <c r="AB399" s="309"/>
      <c r="AC399" s="309"/>
      <c r="AD399" s="309"/>
      <c r="AE399" s="309"/>
      <c r="AF399" s="309"/>
      <c r="AG399" s="309"/>
    </row>
    <row r="400" spans="1:33" ht="15.75" customHeight="1" x14ac:dyDescent="0.25">
      <c r="A400" s="309"/>
      <c r="B400" s="309"/>
      <c r="C400" s="309"/>
      <c r="D400" s="309"/>
      <c r="E400" s="309"/>
      <c r="F400" s="309"/>
      <c r="G400" s="309"/>
      <c r="H400" s="309"/>
      <c r="I400" s="309"/>
      <c r="J400" s="309"/>
      <c r="K400" s="309"/>
      <c r="L400" s="309"/>
      <c r="M400" s="309"/>
      <c r="N400" s="309"/>
      <c r="O400" s="309"/>
      <c r="P400" s="309"/>
      <c r="Q400" s="309"/>
      <c r="R400" s="309"/>
      <c r="S400" s="309"/>
      <c r="T400" s="309"/>
      <c r="U400" s="309"/>
      <c r="V400" s="309"/>
      <c r="W400" s="309"/>
      <c r="X400" s="309"/>
      <c r="Y400" s="309"/>
      <c r="Z400" s="309"/>
      <c r="AA400" s="309"/>
      <c r="AB400" s="309"/>
      <c r="AC400" s="309"/>
      <c r="AD400" s="309"/>
      <c r="AE400" s="309"/>
      <c r="AF400" s="309"/>
      <c r="AG400" s="309"/>
    </row>
    <row r="401" spans="1:33" ht="15.75" customHeight="1" x14ac:dyDescent="0.25">
      <c r="A401" s="309"/>
      <c r="B401" s="309"/>
      <c r="C401" s="309"/>
      <c r="D401" s="309"/>
      <c r="E401" s="309"/>
      <c r="F401" s="309"/>
      <c r="G401" s="309"/>
      <c r="H401" s="309"/>
      <c r="I401" s="309"/>
      <c r="J401" s="309"/>
      <c r="K401" s="309"/>
      <c r="L401" s="309"/>
      <c r="M401" s="309"/>
      <c r="N401" s="309"/>
      <c r="O401" s="309"/>
      <c r="P401" s="309"/>
      <c r="Q401" s="309"/>
      <c r="R401" s="309"/>
      <c r="S401" s="309"/>
      <c r="T401" s="309"/>
      <c r="U401" s="309"/>
      <c r="V401" s="309"/>
      <c r="W401" s="309"/>
      <c r="X401" s="309"/>
      <c r="Y401" s="309"/>
      <c r="Z401" s="309"/>
      <c r="AA401" s="309"/>
      <c r="AB401" s="309"/>
      <c r="AC401" s="309"/>
      <c r="AD401" s="309"/>
      <c r="AE401" s="309"/>
      <c r="AF401" s="309"/>
      <c r="AG401" s="309"/>
    </row>
    <row r="402" spans="1:33" ht="15.75" customHeight="1" x14ac:dyDescent="0.25">
      <c r="A402" s="309"/>
      <c r="B402" s="309"/>
      <c r="C402" s="309"/>
      <c r="D402" s="309"/>
      <c r="E402" s="309"/>
      <c r="F402" s="309"/>
      <c r="G402" s="309"/>
      <c r="H402" s="309"/>
      <c r="I402" s="309"/>
      <c r="J402" s="309"/>
      <c r="K402" s="309"/>
      <c r="L402" s="309"/>
      <c r="M402" s="309"/>
      <c r="N402" s="309"/>
      <c r="O402" s="309"/>
      <c r="P402" s="309"/>
      <c r="Q402" s="309"/>
      <c r="R402" s="309"/>
      <c r="S402" s="309"/>
      <c r="T402" s="309"/>
      <c r="U402" s="309"/>
      <c r="V402" s="309"/>
      <c r="W402" s="309"/>
      <c r="X402" s="309"/>
      <c r="Y402" s="309"/>
      <c r="Z402" s="309"/>
      <c r="AA402" s="309"/>
      <c r="AB402" s="309"/>
      <c r="AC402" s="309"/>
      <c r="AD402" s="309"/>
      <c r="AE402" s="309"/>
      <c r="AF402" s="309"/>
      <c r="AG402" s="309"/>
    </row>
    <row r="403" spans="1:33" ht="15.75" customHeight="1" x14ac:dyDescent="0.25">
      <c r="A403" s="309"/>
      <c r="B403" s="309"/>
      <c r="C403" s="309"/>
      <c r="D403" s="309"/>
      <c r="E403" s="309"/>
      <c r="F403" s="309"/>
      <c r="G403" s="309"/>
      <c r="H403" s="309"/>
      <c r="I403" s="309"/>
      <c r="J403" s="309"/>
      <c r="K403" s="309"/>
      <c r="L403" s="309"/>
      <c r="M403" s="309"/>
      <c r="N403" s="309"/>
      <c r="O403" s="309"/>
      <c r="P403" s="309"/>
      <c r="Q403" s="309"/>
      <c r="R403" s="309"/>
      <c r="S403" s="309"/>
      <c r="T403" s="309"/>
      <c r="U403" s="309"/>
      <c r="V403" s="309"/>
      <c r="W403" s="309"/>
      <c r="X403" s="309"/>
      <c r="Y403" s="309"/>
      <c r="Z403" s="309"/>
      <c r="AA403" s="309"/>
      <c r="AB403" s="309"/>
      <c r="AC403" s="309"/>
      <c r="AD403" s="309"/>
      <c r="AE403" s="309"/>
      <c r="AF403" s="309"/>
      <c r="AG403" s="309"/>
    </row>
    <row r="404" spans="1:33" ht="15.75" customHeight="1" x14ac:dyDescent="0.25">
      <c r="A404" s="309"/>
      <c r="B404" s="309"/>
      <c r="C404" s="309"/>
      <c r="D404" s="309"/>
      <c r="E404" s="309"/>
      <c r="F404" s="309"/>
      <c r="G404" s="309"/>
      <c r="H404" s="309"/>
      <c r="I404" s="309"/>
      <c r="J404" s="309"/>
      <c r="K404" s="309"/>
      <c r="L404" s="309"/>
      <c r="M404" s="309"/>
      <c r="N404" s="309"/>
      <c r="O404" s="309"/>
      <c r="P404" s="309"/>
      <c r="Q404" s="309"/>
      <c r="R404" s="309"/>
      <c r="S404" s="309"/>
      <c r="T404" s="309"/>
      <c r="U404" s="309"/>
      <c r="V404" s="309"/>
      <c r="W404" s="309"/>
      <c r="X404" s="309"/>
      <c r="Y404" s="309"/>
      <c r="Z404" s="309"/>
      <c r="AA404" s="309"/>
      <c r="AB404" s="309"/>
      <c r="AC404" s="309"/>
      <c r="AD404" s="309"/>
      <c r="AE404" s="309"/>
      <c r="AF404" s="309"/>
      <c r="AG404" s="309"/>
    </row>
    <row r="405" spans="1:33" ht="15.75" customHeight="1" x14ac:dyDescent="0.25">
      <c r="A405" s="309"/>
      <c r="B405" s="309"/>
      <c r="C405" s="309"/>
      <c r="D405" s="309"/>
      <c r="E405" s="309"/>
      <c r="F405" s="309"/>
      <c r="G405" s="309"/>
      <c r="H405" s="309"/>
      <c r="I405" s="309"/>
      <c r="J405" s="309"/>
      <c r="K405" s="309"/>
      <c r="L405" s="309"/>
      <c r="M405" s="309"/>
      <c r="N405" s="309"/>
      <c r="O405" s="309"/>
      <c r="P405" s="309"/>
      <c r="Q405" s="309"/>
      <c r="R405" s="309"/>
      <c r="S405" s="309"/>
      <c r="T405" s="309"/>
      <c r="U405" s="309"/>
      <c r="V405" s="309"/>
      <c r="W405" s="309"/>
      <c r="X405" s="309"/>
      <c r="Y405" s="309"/>
      <c r="Z405" s="309"/>
      <c r="AA405" s="309"/>
      <c r="AB405" s="309"/>
      <c r="AC405" s="309"/>
      <c r="AD405" s="309"/>
      <c r="AE405" s="309"/>
      <c r="AF405" s="309"/>
      <c r="AG405" s="309"/>
    </row>
    <row r="406" spans="1:33" ht="15.75" customHeight="1" x14ac:dyDescent="0.25">
      <c r="A406" s="309"/>
      <c r="B406" s="309"/>
      <c r="C406" s="309"/>
      <c r="D406" s="309"/>
      <c r="E406" s="309"/>
      <c r="F406" s="309"/>
      <c r="G406" s="309"/>
      <c r="H406" s="309"/>
      <c r="I406" s="309"/>
      <c r="J406" s="309"/>
      <c r="K406" s="309"/>
      <c r="L406" s="309"/>
      <c r="M406" s="309"/>
      <c r="N406" s="309"/>
      <c r="O406" s="309"/>
      <c r="P406" s="309"/>
      <c r="Q406" s="309"/>
      <c r="R406" s="309"/>
      <c r="S406" s="309"/>
      <c r="T406" s="309"/>
      <c r="U406" s="309"/>
      <c r="V406" s="309"/>
      <c r="W406" s="309"/>
      <c r="X406" s="309"/>
      <c r="Y406" s="309"/>
      <c r="Z406" s="309"/>
      <c r="AA406" s="309"/>
      <c r="AB406" s="309"/>
      <c r="AC406" s="309"/>
      <c r="AD406" s="309"/>
      <c r="AE406" s="309"/>
      <c r="AF406" s="309"/>
      <c r="AG406" s="309"/>
    </row>
    <row r="407" spans="1:33" ht="15.75" customHeight="1" x14ac:dyDescent="0.25">
      <c r="A407" s="309"/>
      <c r="B407" s="309"/>
      <c r="C407" s="309"/>
      <c r="D407" s="309"/>
      <c r="E407" s="309"/>
      <c r="F407" s="309"/>
      <c r="G407" s="309"/>
      <c r="H407" s="309"/>
      <c r="I407" s="309"/>
      <c r="J407" s="309"/>
      <c r="K407" s="309"/>
      <c r="L407" s="309"/>
      <c r="M407" s="309"/>
      <c r="N407" s="309"/>
      <c r="O407" s="309"/>
      <c r="P407" s="309"/>
      <c r="Q407" s="309"/>
      <c r="R407" s="309"/>
      <c r="S407" s="309"/>
      <c r="T407" s="309"/>
      <c r="U407" s="309"/>
      <c r="V407" s="309"/>
      <c r="W407" s="309"/>
      <c r="X407" s="309"/>
      <c r="Y407" s="309"/>
      <c r="Z407" s="309"/>
      <c r="AA407" s="309"/>
      <c r="AB407" s="309"/>
      <c r="AC407" s="309"/>
      <c r="AD407" s="309"/>
      <c r="AE407" s="309"/>
      <c r="AF407" s="309"/>
      <c r="AG407" s="309"/>
    </row>
    <row r="408" spans="1:33" ht="15.75" customHeight="1" x14ac:dyDescent="0.25">
      <c r="A408" s="309"/>
      <c r="B408" s="309"/>
      <c r="C408" s="309"/>
      <c r="D408" s="309"/>
      <c r="E408" s="309"/>
      <c r="F408" s="309"/>
      <c r="G408" s="309"/>
      <c r="H408" s="309"/>
      <c r="I408" s="309"/>
      <c r="J408" s="309"/>
      <c r="K408" s="309"/>
      <c r="L408" s="309"/>
      <c r="M408" s="309"/>
      <c r="N408" s="309"/>
      <c r="O408" s="309"/>
      <c r="P408" s="309"/>
      <c r="Q408" s="309"/>
      <c r="R408" s="309"/>
      <c r="S408" s="309"/>
      <c r="T408" s="309"/>
      <c r="U408" s="309"/>
      <c r="V408" s="309"/>
      <c r="W408" s="309"/>
      <c r="X408" s="309"/>
      <c r="Y408" s="309"/>
      <c r="Z408" s="309"/>
      <c r="AA408" s="309"/>
      <c r="AB408" s="309"/>
      <c r="AC408" s="309"/>
      <c r="AD408" s="309"/>
      <c r="AE408" s="309"/>
      <c r="AF408" s="309"/>
      <c r="AG408" s="309"/>
    </row>
    <row r="409" spans="1:33" ht="15.75" customHeight="1" x14ac:dyDescent="0.25">
      <c r="A409" s="309"/>
      <c r="B409" s="309"/>
      <c r="C409" s="309"/>
      <c r="D409" s="309"/>
      <c r="E409" s="309"/>
      <c r="F409" s="309"/>
      <c r="G409" s="309"/>
      <c r="H409" s="309"/>
      <c r="I409" s="309"/>
      <c r="J409" s="309"/>
      <c r="K409" s="309"/>
      <c r="L409" s="309"/>
      <c r="M409" s="309"/>
      <c r="N409" s="309"/>
      <c r="O409" s="309"/>
      <c r="P409" s="309"/>
      <c r="Q409" s="309"/>
      <c r="R409" s="309"/>
      <c r="S409" s="309"/>
      <c r="T409" s="309"/>
      <c r="U409" s="309"/>
      <c r="V409" s="309"/>
      <c r="W409" s="309"/>
      <c r="X409" s="309"/>
      <c r="Y409" s="309"/>
      <c r="Z409" s="309"/>
      <c r="AA409" s="309"/>
      <c r="AB409" s="309"/>
      <c r="AC409" s="309"/>
      <c r="AD409" s="309"/>
      <c r="AE409" s="309"/>
      <c r="AF409" s="309"/>
      <c r="AG409" s="309"/>
    </row>
    <row r="410" spans="1:33" ht="15.75" customHeight="1" x14ac:dyDescent="0.25">
      <c r="A410" s="309"/>
      <c r="B410" s="309"/>
      <c r="C410" s="309"/>
      <c r="D410" s="309"/>
      <c r="E410" s="309"/>
      <c r="F410" s="309"/>
      <c r="G410" s="309"/>
      <c r="H410" s="309"/>
      <c r="I410" s="309"/>
      <c r="J410" s="309"/>
      <c r="K410" s="309"/>
      <c r="L410" s="309"/>
      <c r="M410" s="309"/>
      <c r="N410" s="309"/>
      <c r="O410" s="309"/>
      <c r="P410" s="309"/>
      <c r="Q410" s="309"/>
      <c r="R410" s="309"/>
      <c r="S410" s="309"/>
      <c r="T410" s="309"/>
      <c r="U410" s="309"/>
      <c r="V410" s="309"/>
      <c r="W410" s="309"/>
      <c r="X410" s="309"/>
      <c r="Y410" s="309"/>
      <c r="Z410" s="309"/>
      <c r="AA410" s="309"/>
      <c r="AB410" s="309"/>
      <c r="AC410" s="309"/>
      <c r="AD410" s="309"/>
      <c r="AE410" s="309"/>
      <c r="AF410" s="309"/>
      <c r="AG410" s="309"/>
    </row>
    <row r="411" spans="1:33" ht="15.75" customHeight="1" x14ac:dyDescent="0.25">
      <c r="A411" s="309"/>
      <c r="B411" s="309"/>
      <c r="C411" s="309"/>
      <c r="D411" s="309"/>
      <c r="E411" s="309"/>
      <c r="F411" s="309"/>
      <c r="G411" s="309"/>
      <c r="H411" s="309"/>
      <c r="I411" s="309"/>
      <c r="J411" s="309"/>
      <c r="K411" s="309"/>
      <c r="L411" s="309"/>
      <c r="M411" s="309"/>
      <c r="N411" s="309"/>
      <c r="O411" s="309"/>
      <c r="P411" s="309"/>
      <c r="Q411" s="309"/>
      <c r="R411" s="309"/>
      <c r="S411" s="309"/>
      <c r="T411" s="309"/>
      <c r="U411" s="309"/>
      <c r="V411" s="309"/>
      <c r="W411" s="309"/>
      <c r="X411" s="309"/>
      <c r="Y411" s="309"/>
      <c r="Z411" s="309"/>
      <c r="AA411" s="309"/>
      <c r="AB411" s="309"/>
      <c r="AC411" s="309"/>
      <c r="AD411" s="309"/>
      <c r="AE411" s="309"/>
      <c r="AF411" s="309"/>
      <c r="AG411" s="309"/>
    </row>
    <row r="412" spans="1:33" ht="15.75" customHeight="1" x14ac:dyDescent="0.25">
      <c r="A412" s="309"/>
      <c r="B412" s="309"/>
      <c r="C412" s="309"/>
      <c r="D412" s="309"/>
      <c r="E412" s="309"/>
      <c r="F412" s="309"/>
      <c r="G412" s="309"/>
      <c r="H412" s="309"/>
      <c r="I412" s="309"/>
      <c r="J412" s="309"/>
      <c r="K412" s="309"/>
      <c r="L412" s="309"/>
      <c r="M412" s="309"/>
      <c r="N412" s="309"/>
      <c r="O412" s="309"/>
      <c r="P412" s="309"/>
      <c r="Q412" s="309"/>
      <c r="R412" s="309"/>
      <c r="S412" s="309"/>
      <c r="T412" s="309"/>
      <c r="U412" s="309"/>
      <c r="V412" s="309"/>
      <c r="W412" s="309"/>
      <c r="X412" s="309"/>
      <c r="Y412" s="309"/>
      <c r="Z412" s="309"/>
      <c r="AA412" s="309"/>
      <c r="AB412" s="309"/>
      <c r="AC412" s="309"/>
      <c r="AD412" s="309"/>
      <c r="AE412" s="309"/>
      <c r="AF412" s="309"/>
      <c r="AG412" s="309"/>
    </row>
    <row r="413" spans="1:33" ht="15.75" customHeight="1" x14ac:dyDescent="0.25">
      <c r="A413" s="309"/>
      <c r="B413" s="309"/>
      <c r="C413" s="309"/>
      <c r="D413" s="309"/>
      <c r="E413" s="309"/>
      <c r="F413" s="309"/>
      <c r="G413" s="309"/>
      <c r="H413" s="309"/>
      <c r="I413" s="309"/>
      <c r="J413" s="309"/>
      <c r="K413" s="309"/>
      <c r="L413" s="309"/>
      <c r="M413" s="309"/>
      <c r="N413" s="309"/>
      <c r="O413" s="309"/>
      <c r="P413" s="309"/>
      <c r="Q413" s="309"/>
      <c r="R413" s="309"/>
      <c r="S413" s="309"/>
      <c r="T413" s="309"/>
      <c r="U413" s="309"/>
      <c r="V413" s="309"/>
      <c r="W413" s="309"/>
      <c r="X413" s="309"/>
      <c r="Y413" s="309"/>
      <c r="Z413" s="309"/>
      <c r="AA413" s="309"/>
      <c r="AB413" s="309"/>
      <c r="AC413" s="309"/>
      <c r="AD413" s="309"/>
      <c r="AE413" s="309"/>
      <c r="AF413" s="309"/>
      <c r="AG413" s="309"/>
    </row>
    <row r="414" spans="1:33" ht="15.75" customHeight="1" x14ac:dyDescent="0.25">
      <c r="A414" s="309"/>
      <c r="B414" s="309"/>
      <c r="C414" s="309"/>
      <c r="D414" s="309"/>
      <c r="E414" s="309"/>
      <c r="F414" s="309"/>
      <c r="G414" s="309"/>
      <c r="H414" s="309"/>
      <c r="I414" s="309"/>
      <c r="J414" s="309"/>
      <c r="K414" s="309"/>
      <c r="L414" s="309"/>
      <c r="M414" s="309"/>
      <c r="N414" s="309"/>
      <c r="O414" s="309"/>
      <c r="P414" s="309"/>
      <c r="Q414" s="309"/>
      <c r="R414" s="309"/>
      <c r="S414" s="309"/>
      <c r="T414" s="309"/>
      <c r="U414" s="309"/>
      <c r="V414" s="309"/>
      <c r="W414" s="309"/>
      <c r="X414" s="309"/>
      <c r="Y414" s="309"/>
      <c r="Z414" s="309"/>
      <c r="AA414" s="309"/>
      <c r="AB414" s="309"/>
      <c r="AC414" s="309"/>
      <c r="AD414" s="309"/>
      <c r="AE414" s="309"/>
      <c r="AF414" s="309"/>
      <c r="AG414" s="309"/>
    </row>
    <row r="415" spans="1:33" ht="15.75" customHeight="1" x14ac:dyDescent="0.25">
      <c r="A415" s="309"/>
      <c r="B415" s="309"/>
      <c r="C415" s="309"/>
      <c r="D415" s="309"/>
      <c r="E415" s="309"/>
      <c r="F415" s="309"/>
      <c r="G415" s="309"/>
      <c r="H415" s="309"/>
      <c r="I415" s="309"/>
      <c r="J415" s="309"/>
      <c r="K415" s="309"/>
      <c r="L415" s="309"/>
      <c r="M415" s="309"/>
      <c r="N415" s="309"/>
      <c r="O415" s="309"/>
      <c r="P415" s="309"/>
      <c r="Q415" s="309"/>
      <c r="R415" s="309"/>
      <c r="S415" s="309"/>
      <c r="T415" s="309"/>
      <c r="U415" s="309"/>
      <c r="V415" s="309"/>
      <c r="W415" s="309"/>
      <c r="X415" s="309"/>
      <c r="Y415" s="309"/>
      <c r="Z415" s="309"/>
      <c r="AA415" s="309"/>
      <c r="AB415" s="309"/>
      <c r="AC415" s="309"/>
      <c r="AD415" s="309"/>
      <c r="AE415" s="309"/>
      <c r="AF415" s="309"/>
      <c r="AG415" s="309"/>
    </row>
    <row r="416" spans="1:33" ht="15.75" customHeight="1" x14ac:dyDescent="0.25">
      <c r="A416" s="309"/>
      <c r="B416" s="309"/>
      <c r="C416" s="309"/>
      <c r="D416" s="309"/>
      <c r="E416" s="309"/>
      <c r="F416" s="309"/>
      <c r="G416" s="309"/>
      <c r="H416" s="309"/>
      <c r="I416" s="309"/>
      <c r="J416" s="309"/>
      <c r="K416" s="309"/>
      <c r="L416" s="309"/>
      <c r="M416" s="309"/>
      <c r="N416" s="309"/>
      <c r="O416" s="309"/>
      <c r="P416" s="309"/>
      <c r="Q416" s="309"/>
      <c r="R416" s="309"/>
      <c r="S416" s="309"/>
      <c r="T416" s="309"/>
      <c r="U416" s="309"/>
      <c r="V416" s="309"/>
      <c r="W416" s="309"/>
      <c r="X416" s="309"/>
      <c r="Y416" s="309"/>
      <c r="Z416" s="309"/>
      <c r="AA416" s="309"/>
      <c r="AB416" s="309"/>
      <c r="AC416" s="309"/>
      <c r="AD416" s="309"/>
      <c r="AE416" s="309"/>
      <c r="AF416" s="309"/>
      <c r="AG416" s="309"/>
    </row>
    <row r="417" spans="1:33" ht="15.75" customHeight="1" x14ac:dyDescent="0.25">
      <c r="A417" s="309"/>
      <c r="B417" s="309"/>
      <c r="C417" s="309"/>
      <c r="D417" s="309"/>
      <c r="E417" s="309"/>
      <c r="F417" s="309"/>
      <c r="G417" s="309"/>
      <c r="H417" s="309"/>
      <c r="I417" s="309"/>
      <c r="J417" s="309"/>
      <c r="K417" s="309"/>
      <c r="L417" s="309"/>
      <c r="M417" s="309"/>
      <c r="N417" s="309"/>
      <c r="O417" s="309"/>
      <c r="P417" s="309"/>
      <c r="Q417" s="309"/>
      <c r="R417" s="309"/>
      <c r="S417" s="309"/>
      <c r="T417" s="309"/>
      <c r="U417" s="309"/>
      <c r="V417" s="309"/>
      <c r="W417" s="309"/>
      <c r="X417" s="309"/>
      <c r="Y417" s="309"/>
      <c r="Z417" s="309"/>
      <c r="AA417" s="309"/>
      <c r="AB417" s="309"/>
      <c r="AC417" s="309"/>
      <c r="AD417" s="309"/>
      <c r="AE417" s="309"/>
      <c r="AF417" s="309"/>
      <c r="AG417" s="309"/>
    </row>
    <row r="418" spans="1:33" ht="15.75" customHeight="1" x14ac:dyDescent="0.25">
      <c r="A418" s="309"/>
      <c r="B418" s="309"/>
      <c r="C418" s="309"/>
      <c r="D418" s="309"/>
      <c r="E418" s="309"/>
      <c r="F418" s="309"/>
      <c r="G418" s="309"/>
      <c r="H418" s="309"/>
      <c r="I418" s="309"/>
      <c r="J418" s="309"/>
      <c r="K418" s="309"/>
      <c r="L418" s="309"/>
      <c r="M418" s="309"/>
      <c r="N418" s="309"/>
      <c r="O418" s="309"/>
      <c r="P418" s="309"/>
      <c r="Q418" s="309"/>
      <c r="R418" s="309"/>
      <c r="S418" s="309"/>
      <c r="T418" s="309"/>
      <c r="U418" s="309"/>
      <c r="V418" s="309"/>
      <c r="W418" s="309"/>
      <c r="X418" s="309"/>
      <c r="Y418" s="309"/>
      <c r="Z418" s="309"/>
      <c r="AA418" s="309"/>
      <c r="AB418" s="309"/>
      <c r="AC418" s="309"/>
      <c r="AD418" s="309"/>
      <c r="AE418" s="309"/>
      <c r="AF418" s="309"/>
      <c r="AG418" s="309"/>
    </row>
    <row r="419" spans="1:33" ht="15.75" customHeight="1" x14ac:dyDescent="0.25">
      <c r="A419" s="309"/>
      <c r="B419" s="309"/>
      <c r="C419" s="309"/>
      <c r="D419" s="309"/>
      <c r="E419" s="309"/>
      <c r="F419" s="309"/>
      <c r="G419" s="309"/>
      <c r="H419" s="309"/>
      <c r="I419" s="309"/>
      <c r="J419" s="309"/>
      <c r="K419" s="309"/>
      <c r="L419" s="309"/>
      <c r="M419" s="309"/>
      <c r="N419" s="309"/>
      <c r="O419" s="309"/>
      <c r="P419" s="309"/>
      <c r="Q419" s="309"/>
      <c r="R419" s="309"/>
      <c r="S419" s="309"/>
      <c r="T419" s="309"/>
      <c r="U419" s="309"/>
      <c r="V419" s="309"/>
      <c r="W419" s="309"/>
      <c r="X419" s="309"/>
      <c r="Y419" s="309"/>
      <c r="Z419" s="309"/>
      <c r="AA419" s="309"/>
      <c r="AB419" s="309"/>
      <c r="AC419" s="309"/>
      <c r="AD419" s="309"/>
      <c r="AE419" s="309"/>
      <c r="AF419" s="309"/>
      <c r="AG419" s="309"/>
    </row>
    <row r="420" spans="1:33" ht="15.75" customHeight="1" x14ac:dyDescent="0.25">
      <c r="A420" s="309"/>
      <c r="B420" s="309"/>
      <c r="C420" s="309"/>
      <c r="D420" s="309"/>
      <c r="E420" s="309"/>
      <c r="F420" s="309"/>
      <c r="G420" s="309"/>
      <c r="H420" s="309"/>
      <c r="I420" s="309"/>
      <c r="J420" s="309"/>
      <c r="K420" s="309"/>
      <c r="L420" s="309"/>
      <c r="M420" s="309"/>
      <c r="N420" s="309"/>
      <c r="O420" s="309"/>
      <c r="P420" s="309"/>
      <c r="Q420" s="309"/>
      <c r="R420" s="309"/>
      <c r="S420" s="309"/>
      <c r="T420" s="309"/>
      <c r="U420" s="309"/>
      <c r="V420" s="309"/>
      <c r="W420" s="309"/>
      <c r="X420" s="309"/>
      <c r="Y420" s="309"/>
      <c r="Z420" s="309"/>
      <c r="AA420" s="309"/>
      <c r="AB420" s="309"/>
      <c r="AC420" s="309"/>
      <c r="AD420" s="309"/>
      <c r="AE420" s="309"/>
      <c r="AF420" s="309"/>
      <c r="AG420" s="309"/>
    </row>
    <row r="421" spans="1:33" ht="15.75" customHeight="1" x14ac:dyDescent="0.25">
      <c r="A421" s="309"/>
      <c r="B421" s="309"/>
      <c r="C421" s="309"/>
      <c r="D421" s="309"/>
      <c r="E421" s="309"/>
      <c r="F421" s="309"/>
      <c r="G421" s="309"/>
      <c r="H421" s="309"/>
      <c r="I421" s="309"/>
      <c r="J421" s="309"/>
      <c r="K421" s="309"/>
      <c r="L421" s="309"/>
      <c r="M421" s="309"/>
      <c r="N421" s="309"/>
      <c r="O421" s="309"/>
      <c r="P421" s="309"/>
      <c r="Q421" s="309"/>
      <c r="R421" s="309"/>
      <c r="S421" s="309"/>
      <c r="T421" s="309"/>
      <c r="U421" s="309"/>
      <c r="V421" s="309"/>
      <c r="W421" s="309"/>
      <c r="X421" s="309"/>
      <c r="Y421" s="309"/>
      <c r="Z421" s="309"/>
      <c r="AA421" s="309"/>
      <c r="AB421" s="309"/>
      <c r="AC421" s="309"/>
      <c r="AD421" s="309"/>
      <c r="AE421" s="309"/>
      <c r="AF421" s="309"/>
      <c r="AG421" s="309"/>
    </row>
    <row r="422" spans="1:33" ht="15.75" customHeight="1" x14ac:dyDescent="0.25">
      <c r="A422" s="309"/>
      <c r="B422" s="309"/>
      <c r="C422" s="309"/>
      <c r="D422" s="309"/>
      <c r="E422" s="309"/>
      <c r="F422" s="309"/>
      <c r="G422" s="309"/>
      <c r="H422" s="309"/>
      <c r="I422" s="309"/>
      <c r="J422" s="309"/>
      <c r="K422" s="309"/>
      <c r="L422" s="309"/>
      <c r="M422" s="309"/>
      <c r="N422" s="309"/>
      <c r="O422" s="309"/>
      <c r="P422" s="309"/>
      <c r="Q422" s="309"/>
      <c r="R422" s="309"/>
      <c r="S422" s="309"/>
      <c r="T422" s="309"/>
      <c r="U422" s="309"/>
      <c r="V422" s="309"/>
      <c r="W422" s="309"/>
      <c r="X422" s="309"/>
      <c r="Y422" s="309"/>
      <c r="Z422" s="309"/>
      <c r="AA422" s="309"/>
      <c r="AB422" s="309"/>
      <c r="AC422" s="309"/>
      <c r="AD422" s="309"/>
      <c r="AE422" s="309"/>
      <c r="AF422" s="309"/>
      <c r="AG422" s="309"/>
    </row>
    <row r="423" spans="1:33" ht="15.75" customHeight="1" x14ac:dyDescent="0.25">
      <c r="A423" s="309"/>
      <c r="B423" s="309"/>
      <c r="C423" s="309"/>
      <c r="D423" s="309"/>
      <c r="E423" s="309"/>
      <c r="F423" s="309"/>
      <c r="G423" s="309"/>
      <c r="H423" s="309"/>
      <c r="I423" s="309"/>
      <c r="J423" s="309"/>
      <c r="K423" s="309"/>
      <c r="L423" s="309"/>
      <c r="M423" s="309"/>
      <c r="N423" s="309"/>
      <c r="O423" s="309"/>
      <c r="P423" s="309"/>
      <c r="Q423" s="309"/>
      <c r="R423" s="309"/>
      <c r="S423" s="309"/>
      <c r="T423" s="309"/>
      <c r="U423" s="309"/>
      <c r="V423" s="309"/>
      <c r="W423" s="309"/>
      <c r="X423" s="309"/>
      <c r="Y423" s="309"/>
      <c r="Z423" s="309"/>
      <c r="AA423" s="309"/>
      <c r="AB423" s="309"/>
      <c r="AC423" s="309"/>
      <c r="AD423" s="309"/>
      <c r="AE423" s="309"/>
      <c r="AF423" s="309"/>
      <c r="AG423" s="309"/>
    </row>
    <row r="424" spans="1:33" ht="15.75" customHeight="1" x14ac:dyDescent="0.25">
      <c r="A424" s="309"/>
      <c r="B424" s="309"/>
      <c r="C424" s="309"/>
      <c r="D424" s="309"/>
      <c r="E424" s="309"/>
      <c r="F424" s="309"/>
      <c r="G424" s="309"/>
      <c r="H424" s="309"/>
      <c r="I424" s="309"/>
      <c r="J424" s="309"/>
      <c r="K424" s="309"/>
      <c r="L424" s="309"/>
      <c r="M424" s="309"/>
      <c r="N424" s="309"/>
      <c r="O424" s="309"/>
      <c r="P424" s="309"/>
      <c r="Q424" s="309"/>
      <c r="R424" s="309"/>
      <c r="S424" s="309"/>
      <c r="T424" s="309"/>
      <c r="U424" s="309"/>
      <c r="V424" s="309"/>
      <c r="W424" s="309"/>
      <c r="X424" s="309"/>
      <c r="Y424" s="309"/>
      <c r="Z424" s="309"/>
      <c r="AA424" s="309"/>
      <c r="AB424" s="309"/>
      <c r="AC424" s="309"/>
      <c r="AD424" s="309"/>
      <c r="AE424" s="309"/>
      <c r="AF424" s="309"/>
      <c r="AG424" s="309"/>
    </row>
    <row r="425" spans="1:33" ht="15.75" customHeight="1" x14ac:dyDescent="0.25">
      <c r="A425" s="309"/>
      <c r="B425" s="309"/>
      <c r="C425" s="309"/>
      <c r="D425" s="309"/>
      <c r="E425" s="309"/>
      <c r="F425" s="309"/>
      <c r="G425" s="309"/>
      <c r="H425" s="309"/>
      <c r="I425" s="309"/>
      <c r="J425" s="309"/>
      <c r="K425" s="309"/>
      <c r="L425" s="309"/>
      <c r="M425" s="309"/>
      <c r="N425" s="309"/>
      <c r="O425" s="309"/>
      <c r="P425" s="309"/>
      <c r="Q425" s="309"/>
      <c r="R425" s="309"/>
      <c r="S425" s="309"/>
      <c r="T425" s="309"/>
      <c r="U425" s="309"/>
      <c r="V425" s="309"/>
      <c r="W425" s="309"/>
      <c r="X425" s="309"/>
      <c r="Y425" s="309"/>
      <c r="Z425" s="309"/>
      <c r="AA425" s="309"/>
      <c r="AB425" s="309"/>
      <c r="AC425" s="309"/>
      <c r="AD425" s="309"/>
      <c r="AE425" s="309"/>
      <c r="AF425" s="309"/>
      <c r="AG425" s="309"/>
    </row>
    <row r="426" spans="1:33" ht="15.75" customHeight="1" x14ac:dyDescent="0.25">
      <c r="A426" s="309"/>
      <c r="B426" s="309"/>
      <c r="C426" s="309"/>
      <c r="D426" s="309"/>
      <c r="E426" s="309"/>
      <c r="F426" s="309"/>
      <c r="G426" s="309"/>
      <c r="H426" s="309"/>
      <c r="I426" s="309"/>
      <c r="J426" s="309"/>
      <c r="K426" s="309"/>
      <c r="L426" s="309"/>
      <c r="M426" s="309"/>
      <c r="N426" s="309"/>
      <c r="O426" s="309"/>
      <c r="P426" s="309"/>
      <c r="Q426" s="309"/>
      <c r="R426" s="309"/>
      <c r="S426" s="309"/>
      <c r="T426" s="309"/>
      <c r="U426" s="309"/>
      <c r="V426" s="309"/>
      <c r="W426" s="309"/>
      <c r="X426" s="309"/>
      <c r="Y426" s="309"/>
      <c r="Z426" s="309"/>
      <c r="AA426" s="309"/>
      <c r="AB426" s="309"/>
      <c r="AC426" s="309"/>
      <c r="AD426" s="309"/>
      <c r="AE426" s="309"/>
      <c r="AF426" s="309"/>
      <c r="AG426" s="309"/>
    </row>
    <row r="427" spans="1:33" ht="15.75" customHeight="1" x14ac:dyDescent="0.25">
      <c r="A427" s="309"/>
      <c r="B427" s="309"/>
      <c r="C427" s="309"/>
      <c r="D427" s="309"/>
      <c r="E427" s="309"/>
      <c r="F427" s="309"/>
      <c r="G427" s="309"/>
      <c r="H427" s="309"/>
      <c r="I427" s="309"/>
      <c r="J427" s="309"/>
      <c r="K427" s="309"/>
      <c r="L427" s="309"/>
      <c r="M427" s="309"/>
      <c r="N427" s="309"/>
      <c r="O427" s="309"/>
      <c r="P427" s="309"/>
      <c r="Q427" s="309"/>
      <c r="R427" s="309"/>
      <c r="S427" s="309"/>
      <c r="T427" s="309"/>
      <c r="U427" s="309"/>
      <c r="V427" s="309"/>
      <c r="W427" s="309"/>
      <c r="X427" s="309"/>
      <c r="Y427" s="309"/>
      <c r="Z427" s="309"/>
      <c r="AA427" s="309"/>
      <c r="AB427" s="309"/>
      <c r="AC427" s="309"/>
      <c r="AD427" s="309"/>
      <c r="AE427" s="309"/>
      <c r="AF427" s="309"/>
      <c r="AG427" s="309"/>
    </row>
    <row r="428" spans="1:33" ht="15.75" customHeight="1" x14ac:dyDescent="0.25">
      <c r="A428" s="309"/>
      <c r="B428" s="309"/>
      <c r="C428" s="309"/>
      <c r="D428" s="309"/>
      <c r="E428" s="309"/>
      <c r="F428" s="309"/>
      <c r="G428" s="309"/>
      <c r="H428" s="309"/>
      <c r="I428" s="309"/>
      <c r="J428" s="309"/>
      <c r="K428" s="309"/>
      <c r="L428" s="309"/>
      <c r="M428" s="309"/>
      <c r="N428" s="309"/>
      <c r="O428" s="309"/>
      <c r="P428" s="309"/>
      <c r="Q428" s="309"/>
      <c r="R428" s="309"/>
      <c r="S428" s="309"/>
      <c r="T428" s="309"/>
      <c r="U428" s="309"/>
      <c r="V428" s="309"/>
      <c r="W428" s="309"/>
      <c r="X428" s="309"/>
      <c r="Y428" s="309"/>
      <c r="Z428" s="309"/>
      <c r="AA428" s="309"/>
      <c r="AB428" s="309"/>
      <c r="AC428" s="309"/>
      <c r="AD428" s="309"/>
      <c r="AE428" s="309"/>
      <c r="AF428" s="309"/>
      <c r="AG428" s="309"/>
    </row>
    <row r="429" spans="1:33" ht="15.75" customHeight="1" x14ac:dyDescent="0.25">
      <c r="A429" s="309"/>
      <c r="B429" s="309"/>
      <c r="C429" s="309"/>
      <c r="D429" s="309"/>
      <c r="E429" s="309"/>
      <c r="F429" s="309"/>
      <c r="G429" s="309"/>
      <c r="H429" s="309"/>
      <c r="I429" s="309"/>
      <c r="J429" s="309"/>
      <c r="K429" s="309"/>
      <c r="L429" s="309"/>
      <c r="M429" s="309"/>
      <c r="N429" s="309"/>
      <c r="O429" s="309"/>
      <c r="P429" s="309"/>
      <c r="Q429" s="309"/>
      <c r="R429" s="309"/>
      <c r="S429" s="309"/>
      <c r="T429" s="309"/>
      <c r="U429" s="309"/>
      <c r="V429" s="309"/>
      <c r="W429" s="309"/>
      <c r="X429" s="309"/>
      <c r="Y429" s="309"/>
      <c r="Z429" s="309"/>
      <c r="AA429" s="309"/>
      <c r="AB429" s="309"/>
      <c r="AC429" s="309"/>
      <c r="AD429" s="309"/>
      <c r="AE429" s="309"/>
      <c r="AF429" s="309"/>
      <c r="AG429" s="309"/>
    </row>
    <row r="430" spans="1:33" ht="15.75" customHeight="1" x14ac:dyDescent="0.25">
      <c r="A430" s="309"/>
      <c r="B430" s="309"/>
      <c r="C430" s="309"/>
      <c r="D430" s="309"/>
      <c r="E430" s="309"/>
      <c r="F430" s="309"/>
      <c r="G430" s="309"/>
      <c r="H430" s="309"/>
      <c r="I430" s="309"/>
      <c r="J430" s="309"/>
      <c r="K430" s="309"/>
      <c r="L430" s="309"/>
      <c r="M430" s="309"/>
      <c r="N430" s="309"/>
      <c r="O430" s="309"/>
      <c r="P430" s="309"/>
      <c r="Q430" s="309"/>
      <c r="R430" s="309"/>
      <c r="S430" s="309"/>
      <c r="T430" s="309"/>
      <c r="U430" s="309"/>
      <c r="V430" s="309"/>
      <c r="W430" s="309"/>
      <c r="X430" s="309"/>
      <c r="Y430" s="309"/>
      <c r="Z430" s="309"/>
      <c r="AA430" s="309"/>
      <c r="AB430" s="309"/>
      <c r="AC430" s="309"/>
      <c r="AD430" s="309"/>
      <c r="AE430" s="309"/>
      <c r="AF430" s="309"/>
      <c r="AG430" s="309"/>
    </row>
    <row r="431" spans="1:33" ht="15.75" customHeight="1" x14ac:dyDescent="0.25">
      <c r="A431" s="309"/>
      <c r="B431" s="309"/>
      <c r="C431" s="309"/>
      <c r="D431" s="309"/>
      <c r="E431" s="309"/>
      <c r="F431" s="309"/>
      <c r="G431" s="309"/>
      <c r="H431" s="309"/>
      <c r="I431" s="309"/>
      <c r="J431" s="309"/>
      <c r="K431" s="309"/>
      <c r="L431" s="309"/>
      <c r="M431" s="309"/>
      <c r="N431" s="309"/>
      <c r="O431" s="309"/>
      <c r="P431" s="309"/>
      <c r="Q431" s="309"/>
      <c r="R431" s="309"/>
      <c r="S431" s="309"/>
      <c r="T431" s="309"/>
      <c r="U431" s="309"/>
      <c r="V431" s="309"/>
      <c r="W431" s="309"/>
      <c r="X431" s="309"/>
      <c r="Y431" s="309"/>
      <c r="Z431" s="309"/>
      <c r="AA431" s="309"/>
      <c r="AB431" s="309"/>
      <c r="AC431" s="309"/>
      <c r="AD431" s="309"/>
      <c r="AE431" s="309"/>
      <c r="AF431" s="309"/>
      <c r="AG431" s="309"/>
    </row>
    <row r="432" spans="1:33" ht="15.75" customHeight="1" x14ac:dyDescent="0.25">
      <c r="A432" s="309"/>
      <c r="B432" s="309"/>
      <c r="C432" s="309"/>
      <c r="D432" s="309"/>
      <c r="E432" s="309"/>
      <c r="F432" s="309"/>
      <c r="G432" s="309"/>
      <c r="H432" s="309"/>
      <c r="I432" s="309"/>
      <c r="J432" s="309"/>
      <c r="K432" s="309"/>
      <c r="L432" s="309"/>
      <c r="M432" s="309"/>
      <c r="N432" s="309"/>
      <c r="O432" s="309"/>
      <c r="P432" s="309"/>
      <c r="Q432" s="309"/>
      <c r="R432" s="309"/>
      <c r="S432" s="309"/>
      <c r="T432" s="309"/>
      <c r="U432" s="309"/>
      <c r="V432" s="309"/>
      <c r="W432" s="309"/>
      <c r="X432" s="309"/>
      <c r="Y432" s="309"/>
      <c r="Z432" s="309"/>
      <c r="AA432" s="309"/>
      <c r="AB432" s="309"/>
      <c r="AC432" s="309"/>
      <c r="AD432" s="309"/>
      <c r="AE432" s="309"/>
      <c r="AF432" s="309"/>
      <c r="AG432" s="309"/>
    </row>
    <row r="433" spans="1:33" ht="15.75" customHeight="1" x14ac:dyDescent="0.25">
      <c r="A433" s="309"/>
      <c r="B433" s="309"/>
      <c r="C433" s="309"/>
      <c r="D433" s="309"/>
      <c r="E433" s="309"/>
      <c r="F433" s="309"/>
      <c r="G433" s="309"/>
      <c r="H433" s="309"/>
      <c r="I433" s="309"/>
      <c r="J433" s="309"/>
      <c r="K433" s="309"/>
      <c r="L433" s="309"/>
      <c r="M433" s="309"/>
      <c r="N433" s="309"/>
      <c r="O433" s="309"/>
      <c r="P433" s="309"/>
      <c r="Q433" s="309"/>
      <c r="R433" s="309"/>
      <c r="S433" s="309"/>
      <c r="T433" s="309"/>
      <c r="U433" s="309"/>
      <c r="V433" s="309"/>
      <c r="W433" s="309"/>
      <c r="X433" s="309"/>
      <c r="Y433" s="309"/>
      <c r="Z433" s="309"/>
      <c r="AA433" s="309"/>
      <c r="AB433" s="309"/>
      <c r="AC433" s="309"/>
      <c r="AD433" s="309"/>
      <c r="AE433" s="309"/>
      <c r="AF433" s="309"/>
      <c r="AG433" s="309"/>
    </row>
    <row r="434" spans="1:33" ht="15.75" customHeight="1" x14ac:dyDescent="0.25">
      <c r="A434" s="309"/>
      <c r="B434" s="309"/>
      <c r="C434" s="309"/>
      <c r="D434" s="309"/>
      <c r="E434" s="309"/>
      <c r="F434" s="309"/>
      <c r="G434" s="309"/>
      <c r="H434" s="309"/>
      <c r="I434" s="309"/>
      <c r="J434" s="309"/>
      <c r="K434" s="309"/>
      <c r="L434" s="309"/>
      <c r="M434" s="309"/>
      <c r="N434" s="309"/>
      <c r="O434" s="309"/>
      <c r="P434" s="309"/>
      <c r="Q434" s="309"/>
      <c r="R434" s="309"/>
      <c r="S434" s="309"/>
      <c r="T434" s="309"/>
      <c r="U434" s="309"/>
      <c r="V434" s="309"/>
      <c r="W434" s="309"/>
      <c r="X434" s="309"/>
      <c r="Y434" s="309"/>
      <c r="Z434" s="309"/>
      <c r="AA434" s="309"/>
      <c r="AB434" s="309"/>
      <c r="AC434" s="309"/>
      <c r="AD434" s="309"/>
      <c r="AE434" s="309"/>
      <c r="AF434" s="309"/>
      <c r="AG434" s="309"/>
    </row>
    <row r="435" spans="1:33" ht="15.75" customHeight="1" x14ac:dyDescent="0.25">
      <c r="A435" s="309"/>
      <c r="B435" s="309"/>
      <c r="C435" s="309"/>
      <c r="D435" s="309"/>
      <c r="E435" s="309"/>
      <c r="F435" s="309"/>
      <c r="G435" s="309"/>
      <c r="H435" s="309"/>
      <c r="I435" s="309"/>
      <c r="J435" s="309"/>
      <c r="K435" s="309"/>
      <c r="L435" s="309"/>
      <c r="M435" s="309"/>
      <c r="N435" s="309"/>
      <c r="O435" s="309"/>
      <c r="P435" s="309"/>
      <c r="Q435" s="309"/>
      <c r="R435" s="309"/>
      <c r="S435" s="309"/>
      <c r="T435" s="309"/>
      <c r="U435" s="309"/>
      <c r="V435" s="309"/>
      <c r="W435" s="309"/>
      <c r="X435" s="309"/>
      <c r="Y435" s="309"/>
      <c r="Z435" s="309"/>
      <c r="AA435" s="309"/>
      <c r="AB435" s="309"/>
      <c r="AC435" s="309"/>
      <c r="AD435" s="309"/>
      <c r="AE435" s="309"/>
      <c r="AF435" s="309"/>
      <c r="AG435" s="309"/>
    </row>
    <row r="436" spans="1:33" ht="15.75" customHeight="1" x14ac:dyDescent="0.25">
      <c r="A436" s="309"/>
      <c r="B436" s="309"/>
      <c r="C436" s="309"/>
      <c r="D436" s="309"/>
      <c r="E436" s="309"/>
      <c r="F436" s="309"/>
      <c r="G436" s="309"/>
      <c r="H436" s="309"/>
      <c r="I436" s="309"/>
      <c r="J436" s="309"/>
      <c r="K436" s="309"/>
      <c r="L436" s="309"/>
      <c r="M436" s="309"/>
      <c r="N436" s="309"/>
      <c r="O436" s="309"/>
      <c r="P436" s="309"/>
      <c r="Q436" s="309"/>
      <c r="R436" s="309"/>
      <c r="S436" s="309"/>
      <c r="T436" s="309"/>
      <c r="U436" s="309"/>
      <c r="V436" s="309"/>
      <c r="W436" s="309"/>
      <c r="X436" s="309"/>
      <c r="Y436" s="309"/>
      <c r="Z436" s="309"/>
      <c r="AA436" s="309"/>
      <c r="AB436" s="309"/>
      <c r="AC436" s="309"/>
      <c r="AD436" s="309"/>
      <c r="AE436" s="309"/>
      <c r="AF436" s="309"/>
      <c r="AG436" s="309"/>
    </row>
    <row r="437" spans="1:33" ht="15.75" customHeight="1" x14ac:dyDescent="0.25">
      <c r="A437" s="309"/>
      <c r="B437" s="309"/>
      <c r="C437" s="309"/>
      <c r="D437" s="309"/>
      <c r="E437" s="309"/>
      <c r="F437" s="309"/>
      <c r="G437" s="309"/>
      <c r="H437" s="309"/>
      <c r="I437" s="309"/>
      <c r="J437" s="309"/>
      <c r="K437" s="309"/>
      <c r="L437" s="309"/>
      <c r="M437" s="309"/>
      <c r="N437" s="309"/>
      <c r="O437" s="309"/>
      <c r="P437" s="309"/>
      <c r="Q437" s="309"/>
      <c r="R437" s="309"/>
      <c r="S437" s="309"/>
      <c r="T437" s="309"/>
      <c r="U437" s="309"/>
      <c r="V437" s="309"/>
      <c r="W437" s="309"/>
      <c r="X437" s="309"/>
      <c r="Y437" s="309"/>
      <c r="Z437" s="309"/>
      <c r="AA437" s="309"/>
      <c r="AB437" s="309"/>
      <c r="AC437" s="309"/>
      <c r="AD437" s="309"/>
      <c r="AE437" s="309"/>
      <c r="AF437" s="309"/>
      <c r="AG437" s="309"/>
    </row>
    <row r="438" spans="1:33" ht="15.75" customHeight="1" x14ac:dyDescent="0.25">
      <c r="A438" s="309"/>
      <c r="B438" s="309"/>
      <c r="C438" s="309"/>
      <c r="D438" s="309"/>
      <c r="E438" s="309"/>
      <c r="F438" s="309"/>
      <c r="G438" s="309"/>
      <c r="H438" s="309"/>
      <c r="I438" s="309"/>
      <c r="J438" s="309"/>
      <c r="K438" s="309"/>
      <c r="L438" s="309"/>
      <c r="M438" s="309"/>
      <c r="N438" s="309"/>
      <c r="O438" s="309"/>
      <c r="P438" s="309"/>
      <c r="Q438" s="309"/>
      <c r="R438" s="309"/>
      <c r="S438" s="309"/>
      <c r="T438" s="309"/>
      <c r="U438" s="309"/>
      <c r="V438" s="309"/>
      <c r="W438" s="309"/>
      <c r="X438" s="309"/>
      <c r="Y438" s="309"/>
      <c r="Z438" s="309"/>
      <c r="AA438" s="309"/>
      <c r="AB438" s="309"/>
      <c r="AC438" s="309"/>
      <c r="AD438" s="309"/>
      <c r="AE438" s="309"/>
      <c r="AF438" s="309"/>
      <c r="AG438" s="309"/>
    </row>
    <row r="439" spans="1:33" ht="15.75" customHeight="1" x14ac:dyDescent="0.25">
      <c r="A439" s="309"/>
      <c r="B439" s="309"/>
      <c r="C439" s="309"/>
      <c r="D439" s="309"/>
      <c r="E439" s="309"/>
      <c r="F439" s="309"/>
      <c r="G439" s="309"/>
      <c r="H439" s="309"/>
      <c r="I439" s="309"/>
      <c r="J439" s="309"/>
      <c r="K439" s="309"/>
      <c r="L439" s="309"/>
      <c r="M439" s="309"/>
      <c r="N439" s="309"/>
      <c r="O439" s="309"/>
      <c r="P439" s="309"/>
      <c r="Q439" s="309"/>
      <c r="R439" s="309"/>
      <c r="S439" s="309"/>
      <c r="T439" s="309"/>
      <c r="U439" s="309"/>
      <c r="V439" s="309"/>
      <c r="W439" s="309"/>
      <c r="X439" s="309"/>
      <c r="Y439" s="309"/>
      <c r="Z439" s="309"/>
      <c r="AA439" s="309"/>
      <c r="AB439" s="309"/>
      <c r="AC439" s="309"/>
      <c r="AD439" s="309"/>
      <c r="AE439" s="309"/>
      <c r="AF439" s="309"/>
      <c r="AG439" s="309"/>
    </row>
    <row r="440" spans="1:33" ht="15.75" customHeight="1" x14ac:dyDescent="0.25">
      <c r="A440" s="309"/>
      <c r="B440" s="309"/>
      <c r="C440" s="309"/>
      <c r="D440" s="309"/>
      <c r="E440" s="309"/>
      <c r="F440" s="309"/>
      <c r="G440" s="309"/>
      <c r="H440" s="309"/>
      <c r="I440" s="309"/>
      <c r="J440" s="309"/>
      <c r="K440" s="309"/>
      <c r="L440" s="309"/>
      <c r="M440" s="309"/>
      <c r="N440" s="309"/>
      <c r="O440" s="309"/>
      <c r="P440" s="309"/>
      <c r="Q440" s="309"/>
      <c r="R440" s="309"/>
      <c r="S440" s="309"/>
      <c r="T440" s="309"/>
      <c r="U440" s="309"/>
      <c r="V440" s="309"/>
      <c r="W440" s="309"/>
      <c r="X440" s="309"/>
      <c r="Y440" s="309"/>
      <c r="Z440" s="309"/>
      <c r="AA440" s="309"/>
      <c r="AB440" s="309"/>
      <c r="AC440" s="309"/>
      <c r="AD440" s="309"/>
      <c r="AE440" s="309"/>
      <c r="AF440" s="309"/>
      <c r="AG440" s="309"/>
    </row>
    <row r="441" spans="1:33" ht="15.75" customHeight="1" x14ac:dyDescent="0.25">
      <c r="A441" s="309"/>
      <c r="B441" s="309"/>
      <c r="C441" s="309"/>
      <c r="D441" s="309"/>
      <c r="E441" s="309"/>
      <c r="F441" s="309"/>
      <c r="G441" s="309"/>
      <c r="H441" s="309"/>
      <c r="I441" s="309"/>
      <c r="J441" s="309"/>
      <c r="K441" s="309"/>
      <c r="L441" s="309"/>
      <c r="M441" s="309"/>
      <c r="N441" s="309"/>
      <c r="O441" s="309"/>
      <c r="P441" s="309"/>
      <c r="Q441" s="309"/>
      <c r="R441" s="309"/>
      <c r="S441" s="309"/>
      <c r="T441" s="309"/>
      <c r="U441" s="309"/>
      <c r="V441" s="309"/>
      <c r="W441" s="309"/>
      <c r="X441" s="309"/>
      <c r="Y441" s="309"/>
      <c r="Z441" s="309"/>
      <c r="AA441" s="309"/>
      <c r="AB441" s="309"/>
      <c r="AC441" s="309"/>
      <c r="AD441" s="309"/>
      <c r="AE441" s="309"/>
      <c r="AF441" s="309"/>
      <c r="AG441" s="309"/>
    </row>
    <row r="442" spans="1:33" ht="15.75" customHeight="1" x14ac:dyDescent="0.25">
      <c r="A442" s="309"/>
      <c r="B442" s="309"/>
      <c r="C442" s="309"/>
      <c r="D442" s="309"/>
      <c r="E442" s="309"/>
      <c r="F442" s="309"/>
      <c r="G442" s="309"/>
      <c r="H442" s="309"/>
      <c r="I442" s="309"/>
      <c r="J442" s="309"/>
      <c r="K442" s="309"/>
      <c r="L442" s="309"/>
      <c r="M442" s="309"/>
      <c r="N442" s="309"/>
      <c r="O442" s="309"/>
      <c r="P442" s="309"/>
      <c r="Q442" s="309"/>
      <c r="R442" s="309"/>
      <c r="S442" s="309"/>
      <c r="T442" s="309"/>
      <c r="U442" s="309"/>
      <c r="V442" s="309"/>
      <c r="W442" s="309"/>
      <c r="X442" s="309"/>
      <c r="Y442" s="309"/>
      <c r="Z442" s="309"/>
      <c r="AA442" s="309"/>
      <c r="AB442" s="309"/>
      <c r="AC442" s="309"/>
      <c r="AD442" s="309"/>
      <c r="AE442" s="309"/>
      <c r="AF442" s="309"/>
      <c r="AG442" s="309"/>
    </row>
    <row r="443" spans="1:33" ht="15.75" customHeight="1" x14ac:dyDescent="0.25">
      <c r="A443" s="309"/>
      <c r="B443" s="309"/>
      <c r="C443" s="309"/>
      <c r="D443" s="309"/>
      <c r="E443" s="309"/>
      <c r="F443" s="309"/>
      <c r="G443" s="309"/>
      <c r="H443" s="309"/>
      <c r="I443" s="309"/>
      <c r="J443" s="309"/>
      <c r="K443" s="309"/>
      <c r="L443" s="309"/>
      <c r="M443" s="309"/>
      <c r="N443" s="309"/>
      <c r="O443" s="309"/>
      <c r="P443" s="309"/>
      <c r="Q443" s="309"/>
      <c r="R443" s="309"/>
      <c r="S443" s="309"/>
      <c r="T443" s="309"/>
      <c r="U443" s="309"/>
      <c r="V443" s="309"/>
      <c r="W443" s="309"/>
      <c r="X443" s="309"/>
      <c r="Y443" s="309"/>
      <c r="Z443" s="309"/>
      <c r="AA443" s="309"/>
      <c r="AB443" s="309"/>
      <c r="AC443" s="309"/>
      <c r="AD443" s="309"/>
      <c r="AE443" s="309"/>
      <c r="AF443" s="309"/>
      <c r="AG443" s="309"/>
    </row>
    <row r="444" spans="1:33" ht="15.75" customHeight="1" x14ac:dyDescent="0.25">
      <c r="A444" s="309"/>
      <c r="B444" s="309"/>
      <c r="C444" s="309"/>
      <c r="D444" s="309"/>
      <c r="E444" s="309"/>
      <c r="F444" s="309"/>
      <c r="G444" s="309"/>
      <c r="H444" s="309"/>
      <c r="I444" s="309"/>
      <c r="J444" s="309"/>
      <c r="K444" s="309"/>
      <c r="L444" s="309"/>
      <c r="M444" s="309"/>
      <c r="N444" s="309"/>
      <c r="O444" s="309"/>
      <c r="P444" s="309"/>
      <c r="Q444" s="309"/>
      <c r="R444" s="309"/>
      <c r="S444" s="309"/>
      <c r="T444" s="309"/>
      <c r="U444" s="309"/>
      <c r="V444" s="309"/>
      <c r="W444" s="309"/>
      <c r="X444" s="309"/>
      <c r="Y444" s="309"/>
      <c r="Z444" s="309"/>
      <c r="AA444" s="309"/>
      <c r="AB444" s="309"/>
      <c r="AC444" s="309"/>
      <c r="AD444" s="309"/>
      <c r="AE444" s="309"/>
      <c r="AF444" s="309"/>
      <c r="AG444" s="309"/>
    </row>
    <row r="445" spans="1:33" ht="15.75" customHeight="1" x14ac:dyDescent="0.25">
      <c r="A445" s="309"/>
      <c r="B445" s="309"/>
      <c r="C445" s="309"/>
      <c r="D445" s="309"/>
      <c r="E445" s="309"/>
      <c r="F445" s="309"/>
      <c r="G445" s="309"/>
      <c r="H445" s="309"/>
      <c r="I445" s="309"/>
      <c r="J445" s="309"/>
      <c r="K445" s="309"/>
      <c r="L445" s="309"/>
      <c r="M445" s="309"/>
      <c r="N445" s="309"/>
      <c r="O445" s="309"/>
      <c r="P445" s="309"/>
      <c r="Q445" s="309"/>
      <c r="R445" s="309"/>
      <c r="S445" s="309"/>
      <c r="T445" s="309"/>
      <c r="U445" s="309"/>
      <c r="V445" s="309"/>
      <c r="W445" s="309"/>
      <c r="X445" s="309"/>
      <c r="Y445" s="309"/>
      <c r="Z445" s="309"/>
      <c r="AA445" s="309"/>
      <c r="AB445" s="309"/>
      <c r="AC445" s="309"/>
      <c r="AD445" s="309"/>
      <c r="AE445" s="309"/>
      <c r="AF445" s="309"/>
      <c r="AG445" s="309"/>
    </row>
    <row r="446" spans="1:33" ht="15.75" customHeight="1" x14ac:dyDescent="0.25">
      <c r="A446" s="309"/>
      <c r="B446" s="309"/>
      <c r="C446" s="309"/>
      <c r="D446" s="309"/>
      <c r="E446" s="309"/>
      <c r="F446" s="309"/>
      <c r="G446" s="309"/>
      <c r="H446" s="309"/>
      <c r="I446" s="309"/>
      <c r="J446" s="309"/>
      <c r="K446" s="309"/>
      <c r="L446" s="309"/>
      <c r="M446" s="309"/>
      <c r="N446" s="309"/>
      <c r="O446" s="309"/>
      <c r="P446" s="309"/>
      <c r="Q446" s="309"/>
      <c r="R446" s="309"/>
      <c r="S446" s="309"/>
      <c r="T446" s="309"/>
      <c r="U446" s="309"/>
      <c r="V446" s="309"/>
      <c r="W446" s="309"/>
      <c r="X446" s="309"/>
      <c r="Y446" s="309"/>
      <c r="Z446" s="309"/>
      <c r="AA446" s="309"/>
      <c r="AB446" s="309"/>
      <c r="AC446" s="309"/>
      <c r="AD446" s="309"/>
      <c r="AE446" s="309"/>
      <c r="AF446" s="309"/>
      <c r="AG446" s="309"/>
    </row>
    <row r="447" spans="1:33" ht="15.75" customHeight="1" x14ac:dyDescent="0.25">
      <c r="A447" s="309"/>
      <c r="B447" s="309"/>
      <c r="C447" s="309"/>
      <c r="D447" s="309"/>
      <c r="E447" s="309"/>
      <c r="F447" s="309"/>
      <c r="G447" s="309"/>
      <c r="H447" s="309"/>
      <c r="I447" s="309"/>
      <c r="J447" s="309"/>
      <c r="K447" s="309"/>
      <c r="L447" s="309"/>
      <c r="M447" s="309"/>
      <c r="N447" s="309"/>
      <c r="O447" s="309"/>
      <c r="P447" s="309"/>
      <c r="Q447" s="309"/>
      <c r="R447" s="309"/>
      <c r="S447" s="309"/>
      <c r="T447" s="309"/>
      <c r="U447" s="309"/>
      <c r="V447" s="309"/>
      <c r="W447" s="309"/>
      <c r="X447" s="309"/>
      <c r="Y447" s="309"/>
      <c r="Z447" s="309"/>
      <c r="AA447" s="309"/>
      <c r="AB447" s="309"/>
      <c r="AC447" s="309"/>
      <c r="AD447" s="309"/>
      <c r="AE447" s="309"/>
      <c r="AF447" s="309"/>
      <c r="AG447" s="309"/>
    </row>
    <row r="448" spans="1:33" ht="15.75" customHeight="1" x14ac:dyDescent="0.25">
      <c r="A448" s="309"/>
      <c r="B448" s="309"/>
      <c r="C448" s="309"/>
      <c r="D448" s="309"/>
      <c r="E448" s="309"/>
      <c r="F448" s="309"/>
      <c r="G448" s="309"/>
      <c r="H448" s="309"/>
      <c r="I448" s="309"/>
      <c r="J448" s="309"/>
      <c r="K448" s="309"/>
      <c r="L448" s="309"/>
      <c r="M448" s="309"/>
      <c r="N448" s="309"/>
      <c r="O448" s="309"/>
      <c r="P448" s="309"/>
      <c r="Q448" s="309"/>
      <c r="R448" s="309"/>
      <c r="S448" s="309"/>
      <c r="T448" s="309"/>
      <c r="U448" s="309"/>
      <c r="V448" s="309"/>
      <c r="W448" s="309"/>
      <c r="X448" s="309"/>
      <c r="Y448" s="309"/>
      <c r="Z448" s="309"/>
      <c r="AA448" s="309"/>
      <c r="AB448" s="309"/>
      <c r="AC448" s="309"/>
      <c r="AD448" s="309"/>
      <c r="AE448" s="309"/>
      <c r="AF448" s="309"/>
      <c r="AG448" s="309"/>
    </row>
    <row r="449" spans="1:33" ht="15.75" customHeight="1" x14ac:dyDescent="0.25">
      <c r="A449" s="309"/>
      <c r="B449" s="309"/>
      <c r="C449" s="309"/>
      <c r="D449" s="309"/>
      <c r="E449" s="309"/>
      <c r="F449" s="309"/>
      <c r="G449" s="309"/>
      <c r="H449" s="309"/>
      <c r="I449" s="309"/>
      <c r="J449" s="309"/>
      <c r="K449" s="309"/>
      <c r="L449" s="309"/>
      <c r="M449" s="309"/>
      <c r="N449" s="309"/>
      <c r="O449" s="309"/>
      <c r="P449" s="309"/>
      <c r="Q449" s="309"/>
      <c r="R449" s="309"/>
      <c r="S449" s="309"/>
      <c r="T449" s="309"/>
      <c r="U449" s="309"/>
      <c r="V449" s="309"/>
      <c r="W449" s="309"/>
      <c r="X449" s="309"/>
      <c r="Y449" s="309"/>
      <c r="Z449" s="309"/>
      <c r="AA449" s="309"/>
      <c r="AB449" s="309"/>
      <c r="AC449" s="309"/>
      <c r="AD449" s="309"/>
      <c r="AE449" s="309"/>
      <c r="AF449" s="309"/>
      <c r="AG449" s="309"/>
    </row>
    <row r="450" spans="1:33" ht="15.75" customHeight="1" x14ac:dyDescent="0.25">
      <c r="A450" s="309"/>
      <c r="B450" s="309"/>
      <c r="C450" s="309"/>
      <c r="D450" s="309"/>
      <c r="E450" s="309"/>
      <c r="F450" s="309"/>
      <c r="G450" s="309"/>
      <c r="H450" s="309"/>
      <c r="I450" s="309"/>
      <c r="J450" s="309"/>
      <c r="K450" s="309"/>
      <c r="L450" s="309"/>
      <c r="M450" s="309"/>
      <c r="N450" s="309"/>
      <c r="O450" s="309"/>
      <c r="P450" s="309"/>
      <c r="Q450" s="309"/>
      <c r="R450" s="309"/>
      <c r="S450" s="309"/>
      <c r="T450" s="309"/>
      <c r="U450" s="309"/>
      <c r="V450" s="309"/>
      <c r="W450" s="309"/>
      <c r="X450" s="309"/>
      <c r="Y450" s="309"/>
      <c r="Z450" s="309"/>
      <c r="AA450" s="309"/>
      <c r="AB450" s="309"/>
      <c r="AC450" s="309"/>
      <c r="AD450" s="309"/>
      <c r="AE450" s="309"/>
      <c r="AF450" s="309"/>
      <c r="AG450" s="309"/>
    </row>
    <row r="451" spans="1:33" ht="15.75" customHeight="1" x14ac:dyDescent="0.25">
      <c r="A451" s="309"/>
      <c r="B451" s="309"/>
      <c r="C451" s="309"/>
      <c r="D451" s="309"/>
      <c r="E451" s="309"/>
      <c r="F451" s="309"/>
      <c r="G451" s="309"/>
      <c r="H451" s="309"/>
      <c r="I451" s="309"/>
      <c r="J451" s="309"/>
      <c r="K451" s="309"/>
      <c r="L451" s="309"/>
      <c r="M451" s="309"/>
      <c r="N451" s="309"/>
      <c r="O451" s="309"/>
      <c r="P451" s="309"/>
      <c r="Q451" s="309"/>
      <c r="R451" s="309"/>
      <c r="S451" s="309"/>
      <c r="T451" s="309"/>
      <c r="U451" s="309"/>
      <c r="V451" s="309"/>
      <c r="W451" s="309"/>
      <c r="X451" s="309"/>
      <c r="Y451" s="309"/>
      <c r="Z451" s="309"/>
      <c r="AA451" s="309"/>
      <c r="AB451" s="309"/>
      <c r="AC451" s="309"/>
      <c r="AD451" s="309"/>
      <c r="AE451" s="309"/>
      <c r="AF451" s="309"/>
      <c r="AG451" s="309"/>
    </row>
    <row r="452" spans="1:33" ht="15.75" customHeight="1" x14ac:dyDescent="0.25">
      <c r="A452" s="309"/>
      <c r="B452" s="309"/>
      <c r="C452" s="309"/>
      <c r="D452" s="309"/>
      <c r="E452" s="309"/>
      <c r="F452" s="309"/>
      <c r="G452" s="309"/>
      <c r="H452" s="309"/>
      <c r="I452" s="309"/>
      <c r="J452" s="309"/>
      <c r="K452" s="309"/>
      <c r="L452" s="309"/>
      <c r="M452" s="309"/>
      <c r="N452" s="309"/>
      <c r="O452" s="309"/>
      <c r="P452" s="309"/>
      <c r="Q452" s="309"/>
      <c r="R452" s="309"/>
      <c r="S452" s="309"/>
      <c r="T452" s="309"/>
      <c r="U452" s="309"/>
      <c r="V452" s="309"/>
      <c r="W452" s="309"/>
      <c r="X452" s="309"/>
      <c r="Y452" s="309"/>
      <c r="Z452" s="309"/>
      <c r="AA452" s="309"/>
      <c r="AB452" s="309"/>
      <c r="AC452" s="309"/>
      <c r="AD452" s="309"/>
      <c r="AE452" s="309"/>
      <c r="AF452" s="309"/>
      <c r="AG452" s="309"/>
    </row>
    <row r="453" spans="1:33" ht="15.75" customHeight="1" x14ac:dyDescent="0.25">
      <c r="A453" s="309"/>
      <c r="B453" s="309"/>
      <c r="C453" s="309"/>
      <c r="D453" s="309"/>
      <c r="E453" s="309"/>
      <c r="F453" s="309"/>
      <c r="G453" s="309"/>
      <c r="H453" s="309"/>
      <c r="I453" s="309"/>
      <c r="J453" s="309"/>
      <c r="K453" s="309"/>
      <c r="L453" s="309"/>
      <c r="M453" s="309"/>
      <c r="N453" s="309"/>
      <c r="O453" s="309"/>
      <c r="P453" s="309"/>
      <c r="Q453" s="309"/>
      <c r="R453" s="309"/>
      <c r="S453" s="309"/>
      <c r="T453" s="309"/>
      <c r="U453" s="309"/>
      <c r="V453" s="309"/>
      <c r="W453" s="309"/>
      <c r="X453" s="309"/>
      <c r="Y453" s="309"/>
      <c r="Z453" s="309"/>
      <c r="AA453" s="309"/>
      <c r="AB453" s="309"/>
      <c r="AC453" s="309"/>
      <c r="AD453" s="309"/>
      <c r="AE453" s="309"/>
      <c r="AF453" s="309"/>
      <c r="AG453" s="309"/>
    </row>
    <row r="454" spans="1:33" ht="15.75" customHeight="1" x14ac:dyDescent="0.25">
      <c r="A454" s="309"/>
      <c r="B454" s="309"/>
      <c r="C454" s="309"/>
      <c r="D454" s="309"/>
      <c r="E454" s="309"/>
      <c r="F454" s="309"/>
      <c r="G454" s="309"/>
      <c r="H454" s="309"/>
      <c r="I454" s="309"/>
      <c r="J454" s="309"/>
      <c r="K454" s="309"/>
      <c r="L454" s="309"/>
      <c r="M454" s="309"/>
      <c r="N454" s="309"/>
      <c r="O454" s="309"/>
      <c r="P454" s="309"/>
      <c r="Q454" s="309"/>
      <c r="R454" s="309"/>
      <c r="S454" s="309"/>
      <c r="T454" s="309"/>
      <c r="U454" s="309"/>
      <c r="V454" s="309"/>
      <c r="W454" s="309"/>
      <c r="X454" s="309"/>
      <c r="Y454" s="309"/>
      <c r="Z454" s="309"/>
      <c r="AA454" s="309"/>
      <c r="AB454" s="309"/>
      <c r="AC454" s="309"/>
      <c r="AD454" s="309"/>
      <c r="AE454" s="309"/>
      <c r="AF454" s="309"/>
      <c r="AG454" s="309"/>
    </row>
    <row r="455" spans="1:33" ht="15.75" customHeight="1" x14ac:dyDescent="0.25">
      <c r="A455" s="309"/>
      <c r="B455" s="309"/>
      <c r="C455" s="309"/>
      <c r="D455" s="309"/>
      <c r="E455" s="309"/>
      <c r="F455" s="309"/>
      <c r="G455" s="309"/>
      <c r="H455" s="309"/>
      <c r="I455" s="309"/>
      <c r="J455" s="309"/>
      <c r="K455" s="309"/>
      <c r="L455" s="309"/>
      <c r="M455" s="309"/>
      <c r="N455" s="309"/>
      <c r="O455" s="309"/>
      <c r="P455" s="309"/>
      <c r="Q455" s="309"/>
      <c r="R455" s="309"/>
      <c r="S455" s="309"/>
      <c r="T455" s="309"/>
      <c r="U455" s="309"/>
      <c r="V455" s="309"/>
      <c r="W455" s="309"/>
      <c r="X455" s="309"/>
      <c r="Y455" s="309"/>
      <c r="Z455" s="309"/>
      <c r="AA455" s="309"/>
      <c r="AB455" s="309"/>
      <c r="AC455" s="309"/>
      <c r="AD455" s="309"/>
      <c r="AE455" s="309"/>
      <c r="AF455" s="309"/>
      <c r="AG455" s="309"/>
    </row>
    <row r="456" spans="1:33" ht="15.75" customHeight="1" x14ac:dyDescent="0.25">
      <c r="A456" s="309"/>
      <c r="B456" s="309"/>
      <c r="C456" s="309"/>
      <c r="D456" s="309"/>
      <c r="E456" s="309"/>
      <c r="F456" s="309"/>
      <c r="G456" s="309"/>
      <c r="H456" s="309"/>
      <c r="I456" s="309"/>
      <c r="J456" s="309"/>
      <c r="K456" s="309"/>
      <c r="L456" s="309"/>
      <c r="M456" s="309"/>
      <c r="N456" s="309"/>
      <c r="O456" s="309"/>
      <c r="P456" s="309"/>
      <c r="Q456" s="309"/>
      <c r="R456" s="309"/>
      <c r="S456" s="309"/>
      <c r="T456" s="309"/>
      <c r="U456" s="309"/>
      <c r="V456" s="309"/>
      <c r="W456" s="309"/>
      <c r="X456" s="309"/>
      <c r="Y456" s="309"/>
      <c r="Z456" s="309"/>
      <c r="AA456" s="309"/>
      <c r="AB456" s="309"/>
      <c r="AC456" s="309"/>
      <c r="AD456" s="309"/>
      <c r="AE456" s="309"/>
      <c r="AF456" s="309"/>
      <c r="AG456" s="309"/>
    </row>
    <row r="457" spans="1:33" ht="15.75" customHeight="1" x14ac:dyDescent="0.25">
      <c r="A457" s="309"/>
      <c r="B457" s="309"/>
      <c r="C457" s="309"/>
      <c r="D457" s="309"/>
      <c r="E457" s="309"/>
      <c r="F457" s="309"/>
      <c r="G457" s="309"/>
      <c r="H457" s="309"/>
      <c r="I457" s="309"/>
      <c r="J457" s="309"/>
      <c r="K457" s="309"/>
      <c r="L457" s="309"/>
      <c r="M457" s="309"/>
      <c r="N457" s="309"/>
      <c r="O457" s="309"/>
      <c r="P457" s="309"/>
      <c r="Q457" s="309"/>
      <c r="R457" s="309"/>
      <c r="S457" s="309"/>
      <c r="T457" s="309"/>
      <c r="U457" s="309"/>
      <c r="V457" s="309"/>
      <c r="W457" s="309"/>
      <c r="X457" s="309"/>
      <c r="Y457" s="309"/>
      <c r="Z457" s="309"/>
      <c r="AA457" s="309"/>
      <c r="AB457" s="309"/>
      <c r="AC457" s="309"/>
      <c r="AD457" s="309"/>
      <c r="AE457" s="309"/>
      <c r="AF457" s="309"/>
      <c r="AG457" s="309"/>
    </row>
    <row r="458" spans="1:33" ht="15.75" customHeight="1" x14ac:dyDescent="0.25">
      <c r="A458" s="309"/>
      <c r="B458" s="309"/>
      <c r="C458" s="309"/>
      <c r="D458" s="309"/>
      <c r="E458" s="309"/>
      <c r="F458" s="309"/>
      <c r="G458" s="309"/>
      <c r="H458" s="309"/>
      <c r="I458" s="309"/>
      <c r="J458" s="309"/>
      <c r="K458" s="309"/>
      <c r="L458" s="309"/>
      <c r="M458" s="309"/>
      <c r="N458" s="309"/>
      <c r="O458" s="309"/>
      <c r="P458" s="309"/>
      <c r="Q458" s="309"/>
      <c r="R458" s="309"/>
      <c r="S458" s="309"/>
      <c r="T458" s="309"/>
      <c r="U458" s="309"/>
      <c r="V458" s="309"/>
      <c r="W458" s="309"/>
      <c r="X458" s="309"/>
      <c r="Y458" s="309"/>
      <c r="Z458" s="309"/>
      <c r="AA458" s="309"/>
      <c r="AB458" s="309"/>
      <c r="AC458" s="309"/>
      <c r="AD458" s="309"/>
      <c r="AE458" s="309"/>
      <c r="AF458" s="309"/>
      <c r="AG458" s="309"/>
    </row>
    <row r="459" spans="1:33" ht="15.75" customHeight="1" x14ac:dyDescent="0.25">
      <c r="A459" s="309"/>
      <c r="B459" s="309"/>
      <c r="C459" s="309"/>
      <c r="D459" s="309"/>
      <c r="E459" s="309"/>
      <c r="F459" s="309"/>
      <c r="G459" s="309"/>
      <c r="H459" s="309"/>
      <c r="I459" s="309"/>
      <c r="J459" s="309"/>
      <c r="K459" s="309"/>
      <c r="L459" s="309"/>
      <c r="M459" s="309"/>
      <c r="N459" s="309"/>
      <c r="O459" s="309"/>
      <c r="P459" s="309"/>
      <c r="Q459" s="309"/>
      <c r="R459" s="309"/>
      <c r="S459" s="309"/>
      <c r="T459" s="309"/>
      <c r="U459" s="309"/>
      <c r="V459" s="309"/>
      <c r="W459" s="309"/>
      <c r="X459" s="309"/>
      <c r="Y459" s="309"/>
      <c r="Z459" s="309"/>
      <c r="AA459" s="309"/>
      <c r="AB459" s="309"/>
      <c r="AC459" s="309"/>
      <c r="AD459" s="309"/>
      <c r="AE459" s="309"/>
      <c r="AF459" s="309"/>
      <c r="AG459" s="309"/>
    </row>
    <row r="460" spans="1:33" ht="15.75" customHeight="1" x14ac:dyDescent="0.25">
      <c r="A460" s="309"/>
      <c r="B460" s="309"/>
      <c r="C460" s="309"/>
      <c r="D460" s="309"/>
      <c r="E460" s="309"/>
      <c r="F460" s="309"/>
      <c r="G460" s="309"/>
      <c r="H460" s="309"/>
      <c r="I460" s="309"/>
      <c r="J460" s="309"/>
      <c r="K460" s="309"/>
      <c r="L460" s="309"/>
      <c r="M460" s="309"/>
      <c r="N460" s="309"/>
      <c r="O460" s="309"/>
      <c r="P460" s="309"/>
      <c r="Q460" s="309"/>
      <c r="R460" s="309"/>
      <c r="S460" s="309"/>
      <c r="T460" s="309"/>
      <c r="U460" s="309"/>
      <c r="V460" s="309"/>
      <c r="W460" s="309"/>
      <c r="X460" s="309"/>
      <c r="Y460" s="309"/>
      <c r="Z460" s="309"/>
      <c r="AA460" s="309"/>
      <c r="AB460" s="309"/>
      <c r="AC460" s="309"/>
      <c r="AD460" s="309"/>
      <c r="AE460" s="309"/>
      <c r="AF460" s="309"/>
      <c r="AG460" s="309"/>
    </row>
    <row r="461" spans="1:33" ht="15.75" customHeight="1" x14ac:dyDescent="0.25">
      <c r="A461" s="309"/>
      <c r="B461" s="309"/>
      <c r="C461" s="309"/>
      <c r="D461" s="309"/>
      <c r="E461" s="309"/>
      <c r="F461" s="309"/>
      <c r="G461" s="309"/>
      <c r="H461" s="309"/>
      <c r="I461" s="309"/>
      <c r="J461" s="309"/>
      <c r="K461" s="309"/>
      <c r="L461" s="309"/>
      <c r="M461" s="309"/>
      <c r="N461" s="309"/>
      <c r="O461" s="309"/>
      <c r="P461" s="309"/>
      <c r="Q461" s="309"/>
      <c r="R461" s="309"/>
      <c r="S461" s="309"/>
      <c r="T461" s="309"/>
      <c r="U461" s="309"/>
      <c r="V461" s="309"/>
      <c r="W461" s="309"/>
      <c r="X461" s="309"/>
      <c r="Y461" s="309"/>
      <c r="Z461" s="309"/>
      <c r="AA461" s="309"/>
      <c r="AB461" s="309"/>
      <c r="AC461" s="309"/>
      <c r="AD461" s="309"/>
      <c r="AE461" s="309"/>
      <c r="AF461" s="309"/>
      <c r="AG461" s="309"/>
    </row>
    <row r="462" spans="1:33" ht="15.75" customHeight="1" x14ac:dyDescent="0.25">
      <c r="A462" s="309"/>
      <c r="B462" s="309"/>
      <c r="C462" s="309"/>
      <c r="D462" s="309"/>
      <c r="E462" s="309"/>
      <c r="F462" s="309"/>
      <c r="G462" s="309"/>
      <c r="H462" s="309"/>
      <c r="I462" s="309"/>
      <c r="J462" s="309"/>
      <c r="K462" s="309"/>
      <c r="L462" s="309"/>
      <c r="M462" s="309"/>
      <c r="N462" s="309"/>
      <c r="O462" s="309"/>
      <c r="P462" s="309"/>
      <c r="Q462" s="309"/>
      <c r="R462" s="309"/>
      <c r="S462" s="309"/>
      <c r="T462" s="309"/>
      <c r="U462" s="309"/>
      <c r="V462" s="309"/>
      <c r="W462" s="309"/>
      <c r="X462" s="309"/>
      <c r="Y462" s="309"/>
      <c r="Z462" s="309"/>
      <c r="AA462" s="309"/>
      <c r="AB462" s="309"/>
      <c r="AC462" s="309"/>
      <c r="AD462" s="309"/>
      <c r="AE462" s="309"/>
      <c r="AF462" s="309"/>
      <c r="AG462" s="309"/>
    </row>
    <row r="463" spans="1:33" ht="15.75" customHeight="1" x14ac:dyDescent="0.25">
      <c r="A463" s="309"/>
      <c r="B463" s="309"/>
      <c r="C463" s="309"/>
      <c r="D463" s="309"/>
      <c r="E463" s="309"/>
      <c r="F463" s="309"/>
      <c r="G463" s="309"/>
      <c r="H463" s="309"/>
      <c r="I463" s="309"/>
      <c r="J463" s="309"/>
      <c r="K463" s="309"/>
      <c r="L463" s="309"/>
      <c r="M463" s="309"/>
      <c r="N463" s="309"/>
      <c r="O463" s="309"/>
      <c r="P463" s="309"/>
      <c r="Q463" s="309"/>
      <c r="R463" s="309"/>
      <c r="S463" s="309"/>
      <c r="T463" s="309"/>
      <c r="U463" s="309"/>
      <c r="V463" s="309"/>
      <c r="W463" s="309"/>
      <c r="X463" s="309"/>
      <c r="Y463" s="309"/>
      <c r="Z463" s="309"/>
      <c r="AA463" s="309"/>
      <c r="AB463" s="309"/>
      <c r="AC463" s="309"/>
      <c r="AD463" s="309"/>
      <c r="AE463" s="309"/>
      <c r="AF463" s="309"/>
      <c r="AG463" s="309"/>
    </row>
    <row r="464" spans="1:33" ht="15.75" customHeight="1" x14ac:dyDescent="0.25">
      <c r="A464" s="309"/>
      <c r="B464" s="309"/>
      <c r="C464" s="309"/>
      <c r="D464" s="309"/>
      <c r="E464" s="309"/>
      <c r="F464" s="309"/>
      <c r="G464" s="309"/>
      <c r="H464" s="309"/>
      <c r="I464" s="309"/>
      <c r="J464" s="309"/>
      <c r="K464" s="309"/>
      <c r="L464" s="309"/>
      <c r="M464" s="309"/>
      <c r="N464" s="309"/>
      <c r="O464" s="309"/>
      <c r="P464" s="309"/>
      <c r="Q464" s="309"/>
      <c r="R464" s="309"/>
      <c r="S464" s="309"/>
      <c r="T464" s="309"/>
      <c r="U464" s="309"/>
      <c r="V464" s="309"/>
      <c r="W464" s="309"/>
      <c r="X464" s="309"/>
      <c r="Y464" s="309"/>
      <c r="Z464" s="309"/>
      <c r="AA464" s="309"/>
      <c r="AB464" s="309"/>
      <c r="AC464" s="309"/>
      <c r="AD464" s="309"/>
      <c r="AE464" s="309"/>
      <c r="AF464" s="309"/>
      <c r="AG464" s="309"/>
    </row>
    <row r="465" spans="1:33" ht="15.75" customHeight="1" x14ac:dyDescent="0.25">
      <c r="A465" s="309"/>
      <c r="B465" s="309"/>
      <c r="C465" s="309"/>
      <c r="D465" s="309"/>
      <c r="E465" s="309"/>
      <c r="F465" s="309"/>
      <c r="G465" s="309"/>
      <c r="H465" s="309"/>
      <c r="I465" s="309"/>
      <c r="J465" s="309"/>
      <c r="K465" s="309"/>
      <c r="L465" s="309"/>
      <c r="M465" s="309"/>
      <c r="N465" s="309"/>
      <c r="O465" s="309"/>
      <c r="P465" s="309"/>
      <c r="Q465" s="309"/>
      <c r="R465" s="309"/>
      <c r="S465" s="309"/>
      <c r="T465" s="309"/>
      <c r="U465" s="309"/>
      <c r="V465" s="309"/>
      <c r="W465" s="309"/>
      <c r="X465" s="309"/>
      <c r="Y465" s="309"/>
      <c r="Z465" s="309"/>
      <c r="AA465" s="309"/>
      <c r="AB465" s="309"/>
      <c r="AC465" s="309"/>
      <c r="AD465" s="309"/>
      <c r="AE465" s="309"/>
      <c r="AF465" s="309"/>
      <c r="AG465" s="309"/>
    </row>
    <row r="466" spans="1:33" ht="15.75" customHeight="1" x14ac:dyDescent="0.25">
      <c r="A466" s="309"/>
      <c r="B466" s="309"/>
      <c r="C466" s="309"/>
      <c r="D466" s="309"/>
      <c r="E466" s="309"/>
      <c r="F466" s="309"/>
      <c r="G466" s="309"/>
      <c r="H466" s="309"/>
      <c r="I466" s="309"/>
      <c r="J466" s="309"/>
      <c r="K466" s="309"/>
      <c r="L466" s="309"/>
      <c r="M466" s="309"/>
      <c r="N466" s="309"/>
      <c r="O466" s="309"/>
      <c r="P466" s="309"/>
      <c r="Q466" s="309"/>
      <c r="R466" s="309"/>
      <c r="S466" s="309"/>
      <c r="T466" s="309"/>
      <c r="U466" s="309"/>
      <c r="V466" s="309"/>
      <c r="W466" s="309"/>
      <c r="X466" s="309"/>
      <c r="Y466" s="309"/>
      <c r="Z466" s="309"/>
      <c r="AA466" s="309"/>
      <c r="AB466" s="309"/>
      <c r="AC466" s="309"/>
      <c r="AD466" s="309"/>
      <c r="AE466" s="309"/>
      <c r="AF466" s="309"/>
      <c r="AG466" s="309"/>
    </row>
    <row r="467" spans="1:33" ht="15.75" customHeight="1" x14ac:dyDescent="0.25">
      <c r="A467" s="309"/>
      <c r="B467" s="309"/>
      <c r="C467" s="309"/>
      <c r="D467" s="309"/>
      <c r="E467" s="309"/>
      <c r="F467" s="309"/>
      <c r="G467" s="309"/>
      <c r="H467" s="309"/>
      <c r="I467" s="309"/>
      <c r="J467" s="309"/>
      <c r="K467" s="309"/>
      <c r="L467" s="309"/>
      <c r="M467" s="309"/>
      <c r="N467" s="309"/>
      <c r="O467" s="309"/>
      <c r="P467" s="309"/>
      <c r="Q467" s="309"/>
      <c r="R467" s="309"/>
      <c r="S467" s="309"/>
      <c r="T467" s="309"/>
      <c r="U467" s="309"/>
      <c r="V467" s="309"/>
      <c r="W467" s="309"/>
      <c r="X467" s="309"/>
      <c r="Y467" s="309"/>
      <c r="Z467" s="309"/>
      <c r="AA467" s="309"/>
      <c r="AB467" s="309"/>
      <c r="AC467" s="309"/>
      <c r="AD467" s="309"/>
      <c r="AE467" s="309"/>
      <c r="AF467" s="309"/>
      <c r="AG467" s="309"/>
    </row>
    <row r="468" spans="1:33" ht="15.75" customHeight="1" x14ac:dyDescent="0.25">
      <c r="A468" s="309"/>
      <c r="B468" s="309"/>
      <c r="C468" s="309"/>
      <c r="D468" s="309"/>
      <c r="E468" s="309"/>
      <c r="F468" s="309"/>
      <c r="G468" s="309"/>
      <c r="H468" s="309"/>
      <c r="I468" s="309"/>
      <c r="J468" s="309"/>
      <c r="K468" s="309"/>
      <c r="L468" s="309"/>
      <c r="M468" s="309"/>
      <c r="N468" s="309"/>
      <c r="O468" s="309"/>
      <c r="P468" s="309"/>
      <c r="Q468" s="309"/>
      <c r="R468" s="309"/>
      <c r="S468" s="309"/>
      <c r="T468" s="309"/>
      <c r="U468" s="309"/>
      <c r="V468" s="309"/>
      <c r="W468" s="309"/>
      <c r="X468" s="309"/>
      <c r="Y468" s="309"/>
      <c r="Z468" s="309"/>
      <c r="AA468" s="309"/>
      <c r="AB468" s="309"/>
      <c r="AC468" s="309"/>
      <c r="AD468" s="309"/>
      <c r="AE468" s="309"/>
      <c r="AF468" s="309"/>
      <c r="AG468" s="309"/>
    </row>
    <row r="469" spans="1:33" ht="15.75" customHeight="1" x14ac:dyDescent="0.25">
      <c r="A469" s="309"/>
      <c r="B469" s="309"/>
      <c r="C469" s="309"/>
      <c r="D469" s="309"/>
      <c r="E469" s="309"/>
      <c r="F469" s="309"/>
      <c r="G469" s="309"/>
      <c r="H469" s="309"/>
      <c r="I469" s="309"/>
      <c r="J469" s="309"/>
      <c r="K469" s="309"/>
      <c r="L469" s="309"/>
      <c r="M469" s="309"/>
      <c r="N469" s="309"/>
      <c r="O469" s="309"/>
      <c r="P469" s="309"/>
      <c r="Q469" s="309"/>
      <c r="R469" s="309"/>
      <c r="S469" s="309"/>
      <c r="T469" s="309"/>
      <c r="U469" s="309"/>
      <c r="V469" s="309"/>
      <c r="W469" s="309"/>
      <c r="X469" s="309"/>
      <c r="Y469" s="309"/>
      <c r="Z469" s="309"/>
      <c r="AA469" s="309"/>
      <c r="AB469" s="309"/>
      <c r="AC469" s="309"/>
      <c r="AD469" s="309"/>
      <c r="AE469" s="309"/>
      <c r="AF469" s="309"/>
      <c r="AG469" s="309"/>
    </row>
    <row r="470" spans="1:33" ht="15.75" customHeight="1" x14ac:dyDescent="0.25">
      <c r="A470" s="309"/>
      <c r="B470" s="309"/>
      <c r="C470" s="309"/>
      <c r="D470" s="309"/>
      <c r="E470" s="309"/>
      <c r="F470" s="309"/>
      <c r="G470" s="309"/>
      <c r="H470" s="309"/>
      <c r="I470" s="309"/>
      <c r="J470" s="309"/>
      <c r="K470" s="309"/>
      <c r="L470" s="309"/>
      <c r="M470" s="309"/>
      <c r="N470" s="309"/>
      <c r="O470" s="309"/>
      <c r="P470" s="309"/>
      <c r="Q470" s="309"/>
      <c r="R470" s="309"/>
      <c r="S470" s="309"/>
      <c r="T470" s="309"/>
      <c r="U470" s="309"/>
      <c r="V470" s="309"/>
      <c r="W470" s="309"/>
      <c r="X470" s="309"/>
      <c r="Y470" s="309"/>
      <c r="Z470" s="309"/>
      <c r="AA470" s="309"/>
      <c r="AB470" s="309"/>
      <c r="AC470" s="309"/>
      <c r="AD470" s="309"/>
      <c r="AE470" s="309"/>
      <c r="AF470" s="309"/>
      <c r="AG470" s="309"/>
    </row>
    <row r="471" spans="1:33" ht="15.75" customHeight="1" x14ac:dyDescent="0.25">
      <c r="A471" s="309"/>
      <c r="B471" s="309"/>
      <c r="C471" s="309"/>
      <c r="D471" s="309"/>
      <c r="E471" s="309"/>
      <c r="F471" s="309"/>
      <c r="G471" s="309"/>
      <c r="H471" s="309"/>
      <c r="I471" s="309"/>
      <c r="J471" s="309"/>
      <c r="K471" s="309"/>
      <c r="L471" s="309"/>
      <c r="M471" s="309"/>
      <c r="N471" s="309"/>
      <c r="O471" s="309"/>
      <c r="P471" s="309"/>
      <c r="Q471" s="309"/>
      <c r="R471" s="309"/>
      <c r="S471" s="309"/>
      <c r="T471" s="309"/>
      <c r="U471" s="309"/>
      <c r="V471" s="309"/>
      <c r="W471" s="309"/>
      <c r="X471" s="309"/>
      <c r="Y471" s="309"/>
      <c r="Z471" s="309"/>
      <c r="AA471" s="309"/>
      <c r="AB471" s="309"/>
      <c r="AC471" s="309"/>
      <c r="AD471" s="309"/>
      <c r="AE471" s="309"/>
      <c r="AF471" s="309"/>
      <c r="AG471" s="309"/>
    </row>
    <row r="472" spans="1:33" ht="15.75" customHeight="1" x14ac:dyDescent="0.25">
      <c r="A472" s="309"/>
      <c r="B472" s="309"/>
      <c r="C472" s="309"/>
      <c r="D472" s="309"/>
      <c r="E472" s="309"/>
      <c r="F472" s="309"/>
      <c r="G472" s="309"/>
      <c r="H472" s="309"/>
      <c r="I472" s="309"/>
      <c r="J472" s="309"/>
      <c r="K472" s="309"/>
      <c r="L472" s="309"/>
      <c r="M472" s="309"/>
      <c r="N472" s="309"/>
      <c r="O472" s="309"/>
      <c r="P472" s="309"/>
      <c r="Q472" s="309"/>
      <c r="R472" s="309"/>
      <c r="S472" s="309"/>
      <c r="T472" s="309"/>
      <c r="U472" s="309"/>
      <c r="V472" s="309"/>
      <c r="W472" s="309"/>
      <c r="X472" s="309"/>
      <c r="Y472" s="309"/>
      <c r="Z472" s="309"/>
      <c r="AA472" s="309"/>
      <c r="AB472" s="309"/>
      <c r="AC472" s="309"/>
      <c r="AD472" s="309"/>
      <c r="AE472" s="309"/>
      <c r="AF472" s="309"/>
      <c r="AG472" s="309"/>
    </row>
    <row r="473" spans="1:33" ht="15.75" customHeight="1" x14ac:dyDescent="0.25">
      <c r="A473" s="309"/>
      <c r="B473" s="309"/>
      <c r="C473" s="309"/>
      <c r="D473" s="309"/>
      <c r="E473" s="309"/>
      <c r="F473" s="309"/>
      <c r="G473" s="309"/>
      <c r="H473" s="309"/>
      <c r="I473" s="309"/>
      <c r="J473" s="309"/>
      <c r="K473" s="309"/>
      <c r="L473" s="309"/>
      <c r="M473" s="309"/>
      <c r="N473" s="309"/>
      <c r="O473" s="309"/>
      <c r="P473" s="309"/>
      <c r="Q473" s="309"/>
      <c r="R473" s="309"/>
      <c r="S473" s="309"/>
      <c r="T473" s="309"/>
      <c r="U473" s="309"/>
      <c r="V473" s="309"/>
      <c r="W473" s="309"/>
      <c r="X473" s="309"/>
      <c r="Y473" s="309"/>
      <c r="Z473" s="309"/>
      <c r="AA473" s="309"/>
      <c r="AB473" s="309"/>
      <c r="AC473" s="309"/>
      <c r="AD473" s="309"/>
      <c r="AE473" s="309"/>
      <c r="AF473" s="309"/>
      <c r="AG473" s="309"/>
    </row>
    <row r="474" spans="1:33" ht="15.75" customHeight="1" x14ac:dyDescent="0.25">
      <c r="A474" s="309"/>
      <c r="B474" s="309"/>
      <c r="C474" s="309"/>
      <c r="D474" s="309"/>
      <c r="E474" s="309"/>
      <c r="F474" s="309"/>
      <c r="G474" s="309"/>
      <c r="H474" s="309"/>
      <c r="I474" s="309"/>
      <c r="J474" s="309"/>
      <c r="K474" s="309"/>
      <c r="L474" s="309"/>
      <c r="M474" s="309"/>
      <c r="N474" s="309"/>
      <c r="O474" s="309"/>
      <c r="P474" s="309"/>
      <c r="Q474" s="309"/>
      <c r="R474" s="309"/>
      <c r="S474" s="309"/>
      <c r="T474" s="309"/>
      <c r="U474" s="309"/>
      <c r="V474" s="309"/>
      <c r="W474" s="309"/>
      <c r="X474" s="309"/>
      <c r="Y474" s="309"/>
      <c r="Z474" s="309"/>
      <c r="AA474" s="309"/>
      <c r="AB474" s="309"/>
      <c r="AC474" s="309"/>
      <c r="AD474" s="309"/>
      <c r="AE474" s="309"/>
      <c r="AF474" s="309"/>
      <c r="AG474" s="309"/>
    </row>
    <row r="475" spans="1:33" ht="15.75" customHeight="1" x14ac:dyDescent="0.25">
      <c r="A475" s="309"/>
      <c r="B475" s="309"/>
      <c r="C475" s="309"/>
      <c r="D475" s="309"/>
      <c r="E475" s="309"/>
      <c r="F475" s="309"/>
      <c r="G475" s="309"/>
      <c r="H475" s="309"/>
      <c r="I475" s="309"/>
      <c r="J475" s="309"/>
      <c r="K475" s="309"/>
      <c r="L475" s="309"/>
      <c r="M475" s="309"/>
      <c r="N475" s="309"/>
      <c r="O475" s="309"/>
      <c r="P475" s="309"/>
      <c r="Q475" s="309"/>
      <c r="R475" s="309"/>
      <c r="S475" s="309"/>
      <c r="T475" s="309"/>
      <c r="U475" s="309"/>
      <c r="V475" s="309"/>
      <c r="W475" s="309"/>
      <c r="X475" s="309"/>
      <c r="Y475" s="309"/>
      <c r="Z475" s="309"/>
      <c r="AA475" s="309"/>
      <c r="AB475" s="309"/>
      <c r="AC475" s="309"/>
      <c r="AD475" s="309"/>
      <c r="AE475" s="309"/>
      <c r="AF475" s="309"/>
      <c r="AG475" s="309"/>
    </row>
    <row r="476" spans="1:33" ht="15.75" customHeight="1" x14ac:dyDescent="0.25">
      <c r="A476" s="309"/>
      <c r="B476" s="309"/>
      <c r="C476" s="309"/>
      <c r="D476" s="309"/>
      <c r="E476" s="309"/>
      <c r="F476" s="309"/>
      <c r="G476" s="309"/>
      <c r="H476" s="309"/>
      <c r="I476" s="309"/>
      <c r="J476" s="309"/>
      <c r="K476" s="309"/>
      <c r="L476" s="309"/>
      <c r="M476" s="309"/>
      <c r="N476" s="309"/>
      <c r="O476" s="309"/>
      <c r="P476" s="309"/>
      <c r="Q476" s="309"/>
      <c r="R476" s="309"/>
      <c r="S476" s="309"/>
      <c r="T476" s="309"/>
      <c r="U476" s="309"/>
      <c r="V476" s="309"/>
      <c r="W476" s="309"/>
      <c r="X476" s="309"/>
      <c r="Y476" s="309"/>
      <c r="Z476" s="309"/>
      <c r="AA476" s="309"/>
      <c r="AB476" s="309"/>
      <c r="AC476" s="309"/>
      <c r="AD476" s="309"/>
      <c r="AE476" s="309"/>
      <c r="AF476" s="309"/>
      <c r="AG476" s="309"/>
    </row>
    <row r="477" spans="1:33" ht="15.75" customHeight="1" x14ac:dyDescent="0.25">
      <c r="A477" s="309"/>
      <c r="B477" s="309"/>
      <c r="C477" s="309"/>
      <c r="D477" s="309"/>
      <c r="E477" s="309"/>
      <c r="F477" s="309"/>
      <c r="G477" s="309"/>
      <c r="H477" s="309"/>
      <c r="I477" s="309"/>
      <c r="J477" s="309"/>
      <c r="K477" s="309"/>
      <c r="L477" s="309"/>
      <c r="M477" s="309"/>
      <c r="N477" s="309"/>
      <c r="O477" s="309"/>
      <c r="P477" s="309"/>
      <c r="Q477" s="309"/>
      <c r="R477" s="309"/>
      <c r="S477" s="309"/>
      <c r="T477" s="309"/>
      <c r="U477" s="309"/>
      <c r="V477" s="309"/>
      <c r="W477" s="309"/>
      <c r="X477" s="309"/>
      <c r="Y477" s="309"/>
      <c r="Z477" s="309"/>
      <c r="AA477" s="309"/>
      <c r="AB477" s="309"/>
      <c r="AC477" s="309"/>
      <c r="AD477" s="309"/>
      <c r="AE477" s="309"/>
      <c r="AF477" s="309"/>
      <c r="AG477" s="309"/>
    </row>
    <row r="478" spans="1:33" ht="15.75" customHeight="1" x14ac:dyDescent="0.25">
      <c r="A478" s="309"/>
      <c r="B478" s="309"/>
      <c r="C478" s="309"/>
      <c r="D478" s="309"/>
      <c r="E478" s="309"/>
      <c r="F478" s="309"/>
      <c r="G478" s="309"/>
      <c r="H478" s="309"/>
      <c r="I478" s="309"/>
      <c r="J478" s="309"/>
      <c r="K478" s="309"/>
      <c r="L478" s="309"/>
      <c r="M478" s="309"/>
      <c r="N478" s="309"/>
      <c r="O478" s="309"/>
      <c r="P478" s="309"/>
      <c r="Q478" s="309"/>
      <c r="R478" s="309"/>
      <c r="S478" s="309"/>
      <c r="T478" s="309"/>
      <c r="U478" s="309"/>
      <c r="V478" s="309"/>
      <c r="W478" s="309"/>
      <c r="X478" s="309"/>
      <c r="Y478" s="309"/>
      <c r="Z478" s="309"/>
      <c r="AA478" s="309"/>
      <c r="AB478" s="309"/>
      <c r="AC478" s="309"/>
      <c r="AD478" s="309"/>
      <c r="AE478" s="309"/>
      <c r="AF478" s="309"/>
      <c r="AG478" s="309"/>
    </row>
    <row r="479" spans="1:33" ht="15.75" customHeight="1" x14ac:dyDescent="0.25">
      <c r="A479" s="309"/>
      <c r="B479" s="309"/>
      <c r="C479" s="309"/>
      <c r="D479" s="309"/>
      <c r="E479" s="309"/>
      <c r="F479" s="309"/>
      <c r="G479" s="309"/>
      <c r="H479" s="309"/>
      <c r="I479" s="309"/>
      <c r="J479" s="309"/>
      <c r="K479" s="309"/>
      <c r="L479" s="309"/>
      <c r="M479" s="309"/>
      <c r="N479" s="309"/>
      <c r="O479" s="309"/>
      <c r="P479" s="309"/>
      <c r="Q479" s="309"/>
      <c r="R479" s="309"/>
      <c r="S479" s="309"/>
      <c r="T479" s="309"/>
      <c r="U479" s="309"/>
      <c r="V479" s="309"/>
      <c r="W479" s="309"/>
      <c r="X479" s="309"/>
      <c r="Y479" s="309"/>
      <c r="Z479" s="309"/>
      <c r="AA479" s="309"/>
      <c r="AB479" s="309"/>
      <c r="AC479" s="309"/>
      <c r="AD479" s="309"/>
      <c r="AE479" s="309"/>
      <c r="AF479" s="309"/>
      <c r="AG479" s="309"/>
    </row>
    <row r="480" spans="1:33" ht="15.75" customHeight="1" x14ac:dyDescent="0.25">
      <c r="A480" s="309"/>
      <c r="B480" s="309"/>
      <c r="C480" s="309"/>
      <c r="D480" s="309"/>
      <c r="E480" s="309"/>
      <c r="F480" s="309"/>
      <c r="G480" s="309"/>
      <c r="H480" s="309"/>
      <c r="I480" s="309"/>
      <c r="J480" s="309"/>
      <c r="K480" s="309"/>
      <c r="L480" s="309"/>
      <c r="M480" s="309"/>
      <c r="N480" s="309"/>
      <c r="O480" s="309"/>
      <c r="P480" s="309"/>
      <c r="Q480" s="309"/>
      <c r="R480" s="309"/>
      <c r="S480" s="309"/>
      <c r="T480" s="309"/>
      <c r="U480" s="309"/>
      <c r="V480" s="309"/>
      <c r="W480" s="309"/>
      <c r="X480" s="309"/>
      <c r="Y480" s="309"/>
      <c r="Z480" s="309"/>
      <c r="AA480" s="309"/>
      <c r="AB480" s="309"/>
      <c r="AC480" s="309"/>
      <c r="AD480" s="309"/>
      <c r="AE480" s="309"/>
      <c r="AF480" s="309"/>
      <c r="AG480" s="309"/>
    </row>
    <row r="481" spans="1:33" ht="15.75" customHeight="1" x14ac:dyDescent="0.25">
      <c r="A481" s="309"/>
      <c r="B481" s="309"/>
      <c r="C481" s="309"/>
      <c r="D481" s="309"/>
      <c r="E481" s="309"/>
      <c r="F481" s="309"/>
      <c r="G481" s="309"/>
      <c r="H481" s="309"/>
      <c r="I481" s="309"/>
      <c r="J481" s="309"/>
      <c r="K481" s="309"/>
      <c r="L481" s="309"/>
      <c r="M481" s="309"/>
      <c r="N481" s="309"/>
      <c r="O481" s="309"/>
      <c r="P481" s="309"/>
      <c r="Q481" s="309"/>
      <c r="R481" s="309"/>
      <c r="S481" s="309"/>
      <c r="T481" s="309"/>
      <c r="U481" s="309"/>
      <c r="V481" s="309"/>
      <c r="W481" s="309"/>
      <c r="X481" s="309"/>
      <c r="Y481" s="309"/>
      <c r="Z481" s="309"/>
      <c r="AA481" s="309"/>
      <c r="AB481" s="309"/>
      <c r="AC481" s="309"/>
      <c r="AD481" s="309"/>
      <c r="AE481" s="309"/>
      <c r="AF481" s="309"/>
      <c r="AG481" s="309"/>
    </row>
    <row r="482" spans="1:33" ht="15.75" customHeight="1" x14ac:dyDescent="0.25">
      <c r="A482" s="309"/>
      <c r="B482" s="309"/>
      <c r="C482" s="309"/>
      <c r="D482" s="309"/>
      <c r="E482" s="309"/>
      <c r="F482" s="309"/>
      <c r="G482" s="309"/>
      <c r="H482" s="309"/>
      <c r="I482" s="309"/>
      <c r="J482" s="309"/>
      <c r="K482" s="309"/>
      <c r="L482" s="309"/>
      <c r="M482" s="309"/>
      <c r="N482" s="309"/>
      <c r="O482" s="309"/>
      <c r="P482" s="309"/>
      <c r="Q482" s="309"/>
      <c r="R482" s="309"/>
      <c r="S482" s="309"/>
      <c r="T482" s="309"/>
      <c r="U482" s="309"/>
      <c r="V482" s="309"/>
      <c r="W482" s="309"/>
      <c r="X482" s="309"/>
      <c r="Y482" s="309"/>
      <c r="Z482" s="309"/>
      <c r="AA482" s="309"/>
      <c r="AB482" s="309"/>
      <c r="AC482" s="309"/>
      <c r="AD482" s="309"/>
      <c r="AE482" s="309"/>
      <c r="AF482" s="309"/>
      <c r="AG482" s="309"/>
    </row>
    <row r="483" spans="1:33" ht="15.75" customHeight="1" x14ac:dyDescent="0.25">
      <c r="A483" s="309"/>
      <c r="B483" s="309"/>
      <c r="C483" s="309"/>
      <c r="D483" s="309"/>
      <c r="E483" s="309"/>
      <c r="F483" s="309"/>
      <c r="G483" s="309"/>
      <c r="H483" s="309"/>
      <c r="I483" s="309"/>
      <c r="J483" s="309"/>
      <c r="K483" s="309"/>
      <c r="L483" s="309"/>
      <c r="M483" s="309"/>
      <c r="N483" s="309"/>
      <c r="O483" s="309"/>
      <c r="P483" s="309"/>
      <c r="Q483" s="309"/>
      <c r="R483" s="309"/>
      <c r="S483" s="309"/>
      <c r="T483" s="309"/>
      <c r="U483" s="309"/>
      <c r="V483" s="309"/>
      <c r="W483" s="309"/>
      <c r="X483" s="309"/>
      <c r="Y483" s="309"/>
      <c r="Z483" s="309"/>
      <c r="AA483" s="309"/>
      <c r="AB483" s="309"/>
      <c r="AC483" s="309"/>
      <c r="AD483" s="309"/>
      <c r="AE483" s="309"/>
      <c r="AF483" s="309"/>
      <c r="AG483" s="309"/>
    </row>
    <row r="484" spans="1:33" ht="15.75" customHeight="1" x14ac:dyDescent="0.25">
      <c r="A484" s="309"/>
      <c r="B484" s="309"/>
      <c r="C484" s="309"/>
      <c r="D484" s="309"/>
      <c r="E484" s="309"/>
      <c r="F484" s="309"/>
      <c r="G484" s="309"/>
      <c r="H484" s="309"/>
      <c r="I484" s="309"/>
      <c r="J484" s="309"/>
      <c r="K484" s="309"/>
      <c r="L484" s="309"/>
      <c r="M484" s="309"/>
      <c r="N484" s="309"/>
      <c r="O484" s="309"/>
      <c r="P484" s="309"/>
      <c r="Q484" s="309"/>
      <c r="R484" s="309"/>
      <c r="S484" s="309"/>
      <c r="T484" s="309"/>
      <c r="U484" s="309"/>
      <c r="V484" s="309"/>
      <c r="W484" s="309"/>
      <c r="X484" s="309"/>
      <c r="Y484" s="309"/>
      <c r="Z484" s="309"/>
      <c r="AA484" s="309"/>
      <c r="AB484" s="309"/>
      <c r="AC484" s="309"/>
      <c r="AD484" s="309"/>
      <c r="AE484" s="309"/>
      <c r="AF484" s="309"/>
      <c r="AG484" s="309"/>
    </row>
    <row r="485" spans="1:33" ht="15.75" customHeight="1" x14ac:dyDescent="0.25">
      <c r="A485" s="309"/>
      <c r="B485" s="309"/>
      <c r="C485" s="309"/>
      <c r="D485" s="309"/>
      <c r="E485" s="309"/>
      <c r="F485" s="309"/>
      <c r="G485" s="309"/>
      <c r="H485" s="309"/>
      <c r="I485" s="309"/>
      <c r="J485" s="309"/>
      <c r="K485" s="309"/>
      <c r="L485" s="309"/>
      <c r="M485" s="309"/>
      <c r="N485" s="309"/>
      <c r="O485" s="309"/>
      <c r="P485" s="309"/>
      <c r="Q485" s="309"/>
      <c r="R485" s="309"/>
      <c r="S485" s="309"/>
      <c r="T485" s="309"/>
      <c r="U485" s="309"/>
      <c r="V485" s="309"/>
      <c r="W485" s="309"/>
      <c r="X485" s="309"/>
      <c r="Y485" s="309"/>
      <c r="Z485" s="309"/>
      <c r="AA485" s="309"/>
      <c r="AB485" s="309"/>
      <c r="AC485" s="309"/>
      <c r="AD485" s="309"/>
      <c r="AE485" s="309"/>
      <c r="AF485" s="309"/>
      <c r="AG485" s="309"/>
    </row>
    <row r="486" spans="1:33" ht="15.75" customHeight="1" x14ac:dyDescent="0.25">
      <c r="A486" s="309"/>
      <c r="B486" s="309"/>
      <c r="C486" s="309"/>
      <c r="D486" s="309"/>
      <c r="E486" s="309"/>
      <c r="F486" s="309"/>
      <c r="G486" s="309"/>
      <c r="H486" s="309"/>
      <c r="I486" s="309"/>
      <c r="J486" s="309"/>
      <c r="K486" s="309"/>
      <c r="L486" s="309"/>
      <c r="M486" s="309"/>
      <c r="N486" s="309"/>
      <c r="O486" s="309"/>
      <c r="P486" s="309"/>
      <c r="Q486" s="309"/>
      <c r="R486" s="309"/>
      <c r="S486" s="309"/>
      <c r="T486" s="309"/>
      <c r="U486" s="309"/>
      <c r="V486" s="309"/>
      <c r="W486" s="309"/>
      <c r="X486" s="309"/>
      <c r="Y486" s="309"/>
      <c r="Z486" s="309"/>
      <c r="AA486" s="309"/>
      <c r="AB486" s="309"/>
      <c r="AC486" s="309"/>
      <c r="AD486" s="309"/>
      <c r="AE486" s="309"/>
      <c r="AF486" s="309"/>
      <c r="AG486" s="309"/>
    </row>
    <row r="487" spans="1:33" ht="15.75" customHeight="1" x14ac:dyDescent="0.25">
      <c r="A487" s="309"/>
      <c r="B487" s="309"/>
      <c r="C487" s="309"/>
      <c r="D487" s="309"/>
      <c r="E487" s="309"/>
      <c r="F487" s="309"/>
      <c r="G487" s="309"/>
      <c r="H487" s="309"/>
      <c r="I487" s="309"/>
      <c r="J487" s="309"/>
      <c r="K487" s="309"/>
      <c r="L487" s="309"/>
      <c r="M487" s="309"/>
      <c r="N487" s="309"/>
      <c r="O487" s="309"/>
      <c r="P487" s="309"/>
      <c r="Q487" s="309"/>
      <c r="R487" s="309"/>
      <c r="S487" s="309"/>
      <c r="T487" s="309"/>
      <c r="U487" s="309"/>
      <c r="V487" s="309"/>
      <c r="W487" s="309"/>
      <c r="X487" s="309"/>
      <c r="Y487" s="309"/>
      <c r="Z487" s="309"/>
      <c r="AA487" s="309"/>
      <c r="AB487" s="309"/>
      <c r="AC487" s="309"/>
      <c r="AD487" s="309"/>
      <c r="AE487" s="309"/>
      <c r="AF487" s="309"/>
      <c r="AG487" s="309"/>
    </row>
    <row r="488" spans="1:33" ht="15.75" customHeight="1" x14ac:dyDescent="0.25">
      <c r="A488" s="309"/>
      <c r="B488" s="309"/>
      <c r="C488" s="309"/>
      <c r="D488" s="309"/>
      <c r="E488" s="309"/>
      <c r="F488" s="309"/>
      <c r="G488" s="309"/>
      <c r="H488" s="309"/>
      <c r="I488" s="309"/>
      <c r="J488" s="309"/>
      <c r="K488" s="309"/>
      <c r="L488" s="309"/>
      <c r="M488" s="309"/>
      <c r="N488" s="309"/>
      <c r="O488" s="309"/>
      <c r="P488" s="309"/>
      <c r="Q488" s="309"/>
      <c r="R488" s="309"/>
      <c r="S488" s="309"/>
      <c r="T488" s="309"/>
      <c r="U488" s="309"/>
      <c r="V488" s="309"/>
      <c r="W488" s="309"/>
      <c r="X488" s="309"/>
      <c r="Y488" s="309"/>
      <c r="Z488" s="309"/>
      <c r="AA488" s="309"/>
      <c r="AB488" s="309"/>
      <c r="AC488" s="309"/>
      <c r="AD488" s="309"/>
      <c r="AE488" s="309"/>
      <c r="AF488" s="309"/>
      <c r="AG488" s="309"/>
    </row>
    <row r="489" spans="1:33" ht="15.75" customHeight="1" x14ac:dyDescent="0.25">
      <c r="A489" s="309"/>
      <c r="B489" s="309"/>
      <c r="C489" s="309"/>
      <c r="D489" s="309"/>
      <c r="E489" s="309"/>
      <c r="F489" s="309"/>
      <c r="G489" s="309"/>
      <c r="H489" s="309"/>
      <c r="I489" s="309"/>
      <c r="J489" s="309"/>
      <c r="K489" s="309"/>
      <c r="L489" s="309"/>
      <c r="M489" s="309"/>
      <c r="N489" s="309"/>
      <c r="O489" s="309"/>
      <c r="P489" s="309"/>
      <c r="Q489" s="309"/>
      <c r="R489" s="309"/>
      <c r="S489" s="309"/>
      <c r="T489" s="309"/>
      <c r="U489" s="309"/>
      <c r="V489" s="309"/>
      <c r="W489" s="309"/>
      <c r="X489" s="309"/>
      <c r="Y489" s="309"/>
      <c r="Z489" s="309"/>
      <c r="AA489" s="309"/>
      <c r="AB489" s="309"/>
      <c r="AC489" s="309"/>
      <c r="AD489" s="309"/>
      <c r="AE489" s="309"/>
      <c r="AF489" s="309"/>
      <c r="AG489" s="309"/>
    </row>
    <row r="490" spans="1:33" ht="15.75" customHeight="1" x14ac:dyDescent="0.25">
      <c r="A490" s="309"/>
      <c r="B490" s="309"/>
      <c r="C490" s="309"/>
      <c r="D490" s="309"/>
      <c r="E490" s="309"/>
      <c r="F490" s="309"/>
      <c r="G490" s="309"/>
      <c r="H490" s="309"/>
      <c r="I490" s="309"/>
      <c r="J490" s="309"/>
      <c r="K490" s="309"/>
      <c r="L490" s="309"/>
      <c r="M490" s="309"/>
      <c r="N490" s="309"/>
      <c r="O490" s="309"/>
      <c r="P490" s="309"/>
      <c r="Q490" s="309"/>
      <c r="R490" s="309"/>
      <c r="S490" s="309"/>
      <c r="T490" s="309"/>
      <c r="U490" s="309"/>
      <c r="V490" s="309"/>
      <c r="W490" s="309"/>
      <c r="X490" s="309"/>
      <c r="Y490" s="309"/>
      <c r="Z490" s="309"/>
      <c r="AA490" s="309"/>
      <c r="AB490" s="309"/>
      <c r="AC490" s="309"/>
      <c r="AD490" s="309"/>
      <c r="AE490" s="309"/>
      <c r="AF490" s="309"/>
      <c r="AG490" s="309"/>
    </row>
    <row r="491" spans="1:33" ht="15.75" customHeight="1" x14ac:dyDescent="0.25">
      <c r="A491" s="309"/>
      <c r="B491" s="309"/>
      <c r="C491" s="309"/>
      <c r="D491" s="309"/>
      <c r="E491" s="309"/>
      <c r="F491" s="309"/>
      <c r="G491" s="309"/>
      <c r="H491" s="309"/>
      <c r="I491" s="309"/>
      <c r="J491" s="309"/>
      <c r="K491" s="309"/>
      <c r="L491" s="309"/>
      <c r="M491" s="309"/>
      <c r="N491" s="309"/>
      <c r="O491" s="309"/>
      <c r="P491" s="309"/>
      <c r="Q491" s="309"/>
      <c r="R491" s="309"/>
      <c r="S491" s="309"/>
      <c r="T491" s="309"/>
      <c r="U491" s="309"/>
      <c r="V491" s="309"/>
      <c r="W491" s="309"/>
      <c r="X491" s="309"/>
      <c r="Y491" s="309"/>
      <c r="Z491" s="309"/>
      <c r="AA491" s="309"/>
      <c r="AB491" s="309"/>
      <c r="AC491" s="309"/>
      <c r="AD491" s="309"/>
      <c r="AE491" s="309"/>
      <c r="AF491" s="309"/>
      <c r="AG491" s="309"/>
    </row>
    <row r="492" spans="1:33" ht="15.75" customHeight="1" x14ac:dyDescent="0.25">
      <c r="A492" s="309"/>
      <c r="B492" s="309"/>
      <c r="C492" s="309"/>
      <c r="D492" s="309"/>
      <c r="E492" s="309"/>
      <c r="F492" s="309"/>
      <c r="G492" s="309"/>
      <c r="H492" s="309"/>
      <c r="I492" s="309"/>
      <c r="J492" s="309"/>
      <c r="K492" s="309"/>
      <c r="L492" s="309"/>
      <c r="M492" s="309"/>
      <c r="N492" s="309"/>
      <c r="O492" s="309"/>
      <c r="P492" s="309"/>
      <c r="Q492" s="309"/>
      <c r="R492" s="309"/>
      <c r="S492" s="309"/>
      <c r="T492" s="309"/>
      <c r="U492" s="309"/>
      <c r="V492" s="309"/>
      <c r="W492" s="309"/>
      <c r="X492" s="309"/>
      <c r="Y492" s="309"/>
      <c r="Z492" s="309"/>
      <c r="AA492" s="309"/>
      <c r="AB492" s="309"/>
      <c r="AC492" s="309"/>
      <c r="AD492" s="309"/>
      <c r="AE492" s="309"/>
      <c r="AF492" s="309"/>
      <c r="AG492" s="309"/>
    </row>
    <row r="493" spans="1:33" ht="15.75" customHeight="1" x14ac:dyDescent="0.25">
      <c r="A493" s="309"/>
      <c r="B493" s="309"/>
      <c r="C493" s="309"/>
      <c r="D493" s="309"/>
      <c r="E493" s="309"/>
      <c r="F493" s="309"/>
      <c r="G493" s="309"/>
      <c r="H493" s="309"/>
      <c r="I493" s="309"/>
      <c r="J493" s="309"/>
      <c r="K493" s="309"/>
      <c r="L493" s="309"/>
      <c r="M493" s="309"/>
      <c r="N493" s="309"/>
      <c r="O493" s="309"/>
      <c r="P493" s="309"/>
      <c r="Q493" s="309"/>
      <c r="R493" s="309"/>
      <c r="S493" s="309"/>
      <c r="T493" s="309"/>
      <c r="U493" s="309"/>
      <c r="V493" s="309"/>
      <c r="W493" s="309"/>
      <c r="X493" s="309"/>
      <c r="Y493" s="309"/>
      <c r="Z493" s="309"/>
      <c r="AA493" s="309"/>
      <c r="AB493" s="309"/>
      <c r="AC493" s="309"/>
      <c r="AD493" s="309"/>
      <c r="AE493" s="309"/>
      <c r="AF493" s="309"/>
      <c r="AG493" s="309"/>
    </row>
    <row r="494" spans="1:33" ht="15.75" customHeight="1" x14ac:dyDescent="0.25">
      <c r="A494" s="309"/>
      <c r="B494" s="309"/>
      <c r="C494" s="309"/>
      <c r="D494" s="309"/>
      <c r="E494" s="309"/>
      <c r="F494" s="309"/>
      <c r="G494" s="309"/>
      <c r="H494" s="309"/>
      <c r="I494" s="309"/>
      <c r="J494" s="309"/>
      <c r="K494" s="309"/>
      <c r="L494" s="309"/>
      <c r="M494" s="309"/>
      <c r="N494" s="309"/>
      <c r="O494" s="309"/>
      <c r="P494" s="309"/>
      <c r="Q494" s="309"/>
      <c r="R494" s="309"/>
      <c r="S494" s="309"/>
      <c r="T494" s="309"/>
      <c r="U494" s="309"/>
      <c r="V494" s="309"/>
      <c r="W494" s="309"/>
      <c r="X494" s="309"/>
      <c r="Y494" s="309"/>
      <c r="Z494" s="309"/>
      <c r="AA494" s="309"/>
      <c r="AB494" s="309"/>
      <c r="AC494" s="309"/>
      <c r="AD494" s="309"/>
      <c r="AE494" s="309"/>
      <c r="AF494" s="309"/>
      <c r="AG494" s="309"/>
    </row>
    <row r="495" spans="1:33" ht="15.75" customHeight="1" x14ac:dyDescent="0.25">
      <c r="A495" s="309"/>
      <c r="B495" s="309"/>
      <c r="C495" s="309"/>
      <c r="D495" s="309"/>
      <c r="E495" s="309"/>
      <c r="F495" s="309"/>
      <c r="G495" s="309"/>
      <c r="H495" s="309"/>
      <c r="I495" s="309"/>
      <c r="J495" s="309"/>
      <c r="K495" s="309"/>
      <c r="L495" s="309"/>
      <c r="M495" s="309"/>
      <c r="N495" s="309"/>
      <c r="O495" s="309"/>
      <c r="P495" s="309"/>
      <c r="Q495" s="309"/>
      <c r="R495" s="309"/>
      <c r="S495" s="309"/>
      <c r="T495" s="309"/>
      <c r="U495" s="309"/>
      <c r="V495" s="309"/>
      <c r="W495" s="309"/>
      <c r="X495" s="309"/>
      <c r="Y495" s="309"/>
      <c r="Z495" s="309"/>
      <c r="AA495" s="309"/>
      <c r="AB495" s="309"/>
      <c r="AC495" s="309"/>
      <c r="AD495" s="309"/>
      <c r="AE495" s="309"/>
      <c r="AF495" s="309"/>
      <c r="AG495" s="309"/>
    </row>
    <row r="496" spans="1:33" ht="15.75" customHeight="1" x14ac:dyDescent="0.25">
      <c r="A496" s="309"/>
      <c r="B496" s="309"/>
      <c r="C496" s="309"/>
      <c r="D496" s="309"/>
      <c r="E496" s="309"/>
      <c r="F496" s="309"/>
      <c r="G496" s="309"/>
      <c r="H496" s="309"/>
      <c r="I496" s="309"/>
      <c r="J496" s="309"/>
      <c r="K496" s="309"/>
      <c r="L496" s="309"/>
      <c r="M496" s="309"/>
      <c r="N496" s="309"/>
      <c r="O496" s="309"/>
      <c r="P496" s="309"/>
      <c r="Q496" s="309"/>
      <c r="R496" s="309"/>
      <c r="S496" s="309"/>
      <c r="T496" s="309"/>
      <c r="U496" s="309"/>
      <c r="V496" s="309"/>
      <c r="W496" s="309"/>
      <c r="X496" s="309"/>
      <c r="Y496" s="309"/>
      <c r="Z496" s="309"/>
      <c r="AA496" s="309"/>
      <c r="AB496" s="309"/>
      <c r="AC496" s="309"/>
      <c r="AD496" s="309"/>
      <c r="AE496" s="309"/>
      <c r="AF496" s="309"/>
      <c r="AG496" s="309"/>
    </row>
    <row r="497" spans="1:33" ht="15.75" customHeight="1" x14ac:dyDescent="0.25">
      <c r="A497" s="309"/>
      <c r="B497" s="309"/>
      <c r="C497" s="309"/>
      <c r="D497" s="309"/>
      <c r="E497" s="309"/>
      <c r="F497" s="309"/>
      <c r="G497" s="309"/>
      <c r="H497" s="309"/>
      <c r="I497" s="309"/>
      <c r="J497" s="309"/>
      <c r="K497" s="309"/>
      <c r="L497" s="309"/>
      <c r="M497" s="309"/>
      <c r="N497" s="309"/>
      <c r="O497" s="309"/>
      <c r="P497" s="309"/>
      <c r="Q497" s="309"/>
      <c r="R497" s="309"/>
      <c r="S497" s="309"/>
      <c r="T497" s="309"/>
      <c r="U497" s="309"/>
      <c r="V497" s="309"/>
      <c r="W497" s="309"/>
      <c r="X497" s="309"/>
      <c r="Y497" s="309"/>
      <c r="Z497" s="309"/>
      <c r="AA497" s="309"/>
      <c r="AB497" s="309"/>
      <c r="AC497" s="309"/>
      <c r="AD497" s="309"/>
      <c r="AE497" s="309"/>
      <c r="AF497" s="309"/>
      <c r="AG497" s="309"/>
    </row>
    <row r="498" spans="1:33" ht="15.75" customHeight="1" x14ac:dyDescent="0.25">
      <c r="A498" s="309"/>
      <c r="B498" s="309"/>
      <c r="C498" s="309"/>
      <c r="D498" s="309"/>
      <c r="E498" s="309"/>
      <c r="F498" s="309"/>
      <c r="G498" s="309"/>
      <c r="H498" s="309"/>
      <c r="I498" s="309"/>
      <c r="J498" s="309"/>
      <c r="K498" s="309"/>
      <c r="L498" s="309"/>
      <c r="M498" s="309"/>
      <c r="N498" s="309"/>
      <c r="O498" s="309"/>
      <c r="P498" s="309"/>
      <c r="Q498" s="309"/>
      <c r="R498" s="309"/>
      <c r="S498" s="309"/>
      <c r="T498" s="309"/>
      <c r="U498" s="309"/>
      <c r="V498" s="309"/>
      <c r="W498" s="309"/>
      <c r="X498" s="309"/>
      <c r="Y498" s="309"/>
      <c r="Z498" s="309"/>
      <c r="AA498" s="309"/>
      <c r="AB498" s="309"/>
      <c r="AC498" s="309"/>
      <c r="AD498" s="309"/>
      <c r="AE498" s="309"/>
      <c r="AF498" s="309"/>
      <c r="AG498" s="309"/>
    </row>
    <row r="499" spans="1:33" ht="15.75" customHeight="1" x14ac:dyDescent="0.25">
      <c r="A499" s="309"/>
      <c r="B499" s="309"/>
      <c r="C499" s="309"/>
      <c r="D499" s="309"/>
      <c r="E499" s="309"/>
      <c r="F499" s="309"/>
      <c r="G499" s="309"/>
      <c r="H499" s="309"/>
      <c r="I499" s="309"/>
      <c r="J499" s="309"/>
      <c r="K499" s="309"/>
      <c r="L499" s="309"/>
      <c r="M499" s="309"/>
      <c r="N499" s="309"/>
      <c r="O499" s="309"/>
      <c r="P499" s="309"/>
      <c r="Q499" s="309"/>
      <c r="R499" s="309"/>
      <c r="S499" s="309"/>
      <c r="T499" s="309"/>
      <c r="U499" s="309"/>
      <c r="V499" s="309"/>
      <c r="W499" s="309"/>
      <c r="X499" s="309"/>
      <c r="Y499" s="309"/>
      <c r="Z499" s="309"/>
      <c r="AA499" s="309"/>
      <c r="AB499" s="309"/>
      <c r="AC499" s="309"/>
      <c r="AD499" s="309"/>
      <c r="AE499" s="309"/>
      <c r="AF499" s="309"/>
      <c r="AG499" s="309"/>
    </row>
    <row r="500" spans="1:33" ht="15.75" customHeight="1" x14ac:dyDescent="0.25">
      <c r="A500" s="309"/>
      <c r="B500" s="309"/>
      <c r="C500" s="309"/>
      <c r="D500" s="309"/>
      <c r="E500" s="309"/>
      <c r="F500" s="309"/>
      <c r="G500" s="309"/>
      <c r="H500" s="309"/>
      <c r="I500" s="309"/>
      <c r="J500" s="309"/>
      <c r="K500" s="309"/>
      <c r="L500" s="309"/>
      <c r="M500" s="309"/>
      <c r="N500" s="309"/>
      <c r="O500" s="309"/>
      <c r="P500" s="309"/>
      <c r="Q500" s="309"/>
      <c r="R500" s="309"/>
      <c r="S500" s="309"/>
      <c r="T500" s="309"/>
      <c r="U500" s="309"/>
      <c r="V500" s="309"/>
      <c r="W500" s="309"/>
      <c r="X500" s="309"/>
      <c r="Y500" s="309"/>
      <c r="Z500" s="309"/>
      <c r="AA500" s="309"/>
      <c r="AB500" s="309"/>
      <c r="AC500" s="309"/>
      <c r="AD500" s="309"/>
      <c r="AE500" s="309"/>
      <c r="AF500" s="309"/>
      <c r="AG500" s="309"/>
    </row>
    <row r="501" spans="1:33" ht="15.75" customHeight="1" x14ac:dyDescent="0.25">
      <c r="A501" s="309"/>
      <c r="B501" s="309"/>
      <c r="C501" s="309"/>
      <c r="D501" s="309"/>
      <c r="E501" s="309"/>
      <c r="F501" s="309"/>
      <c r="G501" s="309"/>
      <c r="H501" s="309"/>
      <c r="I501" s="309"/>
      <c r="J501" s="309"/>
      <c r="K501" s="309"/>
      <c r="L501" s="309"/>
      <c r="M501" s="309"/>
      <c r="N501" s="309"/>
      <c r="O501" s="309"/>
      <c r="P501" s="309"/>
      <c r="Q501" s="309"/>
      <c r="R501" s="309"/>
      <c r="S501" s="309"/>
      <c r="T501" s="309"/>
      <c r="U501" s="309"/>
      <c r="V501" s="309"/>
      <c r="W501" s="309"/>
      <c r="X501" s="309"/>
      <c r="Y501" s="309"/>
      <c r="Z501" s="309"/>
      <c r="AA501" s="309"/>
      <c r="AB501" s="309"/>
      <c r="AC501" s="309"/>
      <c r="AD501" s="309"/>
      <c r="AE501" s="309"/>
      <c r="AF501" s="309"/>
      <c r="AG501" s="309"/>
    </row>
    <row r="502" spans="1:33" ht="15.75" customHeight="1" x14ac:dyDescent="0.25">
      <c r="A502" s="309"/>
      <c r="B502" s="309"/>
      <c r="C502" s="309"/>
      <c r="D502" s="309"/>
      <c r="E502" s="309"/>
      <c r="F502" s="309"/>
      <c r="G502" s="309"/>
      <c r="H502" s="309"/>
      <c r="I502" s="309"/>
      <c r="J502" s="309"/>
      <c r="K502" s="309"/>
      <c r="L502" s="309"/>
      <c r="M502" s="309"/>
      <c r="N502" s="309"/>
      <c r="O502" s="309"/>
      <c r="P502" s="309"/>
      <c r="Q502" s="309"/>
      <c r="R502" s="309"/>
      <c r="S502" s="309"/>
      <c r="T502" s="309"/>
      <c r="U502" s="309"/>
      <c r="V502" s="309"/>
      <c r="W502" s="309"/>
      <c r="X502" s="309"/>
      <c r="Y502" s="309"/>
      <c r="Z502" s="309"/>
      <c r="AA502" s="309"/>
      <c r="AB502" s="309"/>
      <c r="AC502" s="309"/>
      <c r="AD502" s="309"/>
      <c r="AE502" s="309"/>
      <c r="AF502" s="309"/>
      <c r="AG502" s="309"/>
    </row>
    <row r="503" spans="1:33" ht="15.75" customHeight="1" x14ac:dyDescent="0.25">
      <c r="A503" s="309"/>
      <c r="B503" s="309"/>
      <c r="C503" s="309"/>
      <c r="D503" s="309"/>
      <c r="E503" s="309"/>
      <c r="F503" s="309"/>
      <c r="G503" s="309"/>
      <c r="H503" s="309"/>
      <c r="I503" s="309"/>
      <c r="J503" s="309"/>
      <c r="K503" s="309"/>
      <c r="L503" s="309"/>
      <c r="M503" s="309"/>
      <c r="N503" s="309"/>
      <c r="O503" s="309"/>
      <c r="P503" s="309"/>
      <c r="Q503" s="309"/>
      <c r="R503" s="309"/>
      <c r="S503" s="309"/>
      <c r="T503" s="309"/>
      <c r="U503" s="309"/>
      <c r="V503" s="309"/>
      <c r="W503" s="309"/>
      <c r="X503" s="309"/>
      <c r="Y503" s="309"/>
      <c r="Z503" s="309"/>
      <c r="AA503" s="309"/>
      <c r="AB503" s="309"/>
      <c r="AC503" s="309"/>
      <c r="AD503" s="309"/>
      <c r="AE503" s="309"/>
      <c r="AF503" s="309"/>
      <c r="AG503" s="309"/>
    </row>
    <row r="504" spans="1:33" ht="15.75" customHeight="1" x14ac:dyDescent="0.25">
      <c r="A504" s="309"/>
      <c r="B504" s="309"/>
      <c r="C504" s="309"/>
      <c r="D504" s="309"/>
      <c r="E504" s="309"/>
      <c r="F504" s="309"/>
      <c r="G504" s="309"/>
      <c r="H504" s="309"/>
      <c r="I504" s="309"/>
      <c r="J504" s="309"/>
      <c r="K504" s="309"/>
      <c r="L504" s="309"/>
      <c r="M504" s="309"/>
      <c r="N504" s="309"/>
      <c r="O504" s="309"/>
      <c r="P504" s="309"/>
      <c r="Q504" s="309"/>
      <c r="R504" s="309"/>
      <c r="S504" s="309"/>
      <c r="T504" s="309"/>
      <c r="U504" s="309"/>
      <c r="V504" s="309"/>
      <c r="W504" s="309"/>
      <c r="X504" s="309"/>
      <c r="Y504" s="309"/>
      <c r="Z504" s="309"/>
      <c r="AA504" s="309"/>
      <c r="AB504" s="309"/>
      <c r="AC504" s="309"/>
      <c r="AD504" s="309"/>
      <c r="AE504" s="309"/>
      <c r="AF504" s="309"/>
      <c r="AG504" s="309"/>
    </row>
    <row r="505" spans="1:33" ht="15.75" customHeight="1" x14ac:dyDescent="0.25">
      <c r="A505" s="309"/>
      <c r="B505" s="309"/>
      <c r="C505" s="309"/>
      <c r="D505" s="309"/>
      <c r="E505" s="309"/>
      <c r="F505" s="309"/>
      <c r="G505" s="309"/>
      <c r="H505" s="309"/>
      <c r="I505" s="309"/>
      <c r="J505" s="309"/>
      <c r="K505" s="309"/>
      <c r="L505" s="309"/>
      <c r="M505" s="309"/>
      <c r="N505" s="309"/>
      <c r="O505" s="309"/>
      <c r="P505" s="309"/>
      <c r="Q505" s="309"/>
      <c r="R505" s="309"/>
      <c r="S505" s="309"/>
      <c r="T505" s="309"/>
      <c r="U505" s="309"/>
      <c r="V505" s="309"/>
      <c r="W505" s="309"/>
      <c r="X505" s="309"/>
      <c r="Y505" s="309"/>
      <c r="Z505" s="309"/>
      <c r="AA505" s="309"/>
      <c r="AB505" s="309"/>
      <c r="AC505" s="309"/>
      <c r="AD505" s="309"/>
      <c r="AE505" s="309"/>
      <c r="AF505" s="309"/>
      <c r="AG505" s="309"/>
    </row>
    <row r="506" spans="1:33" ht="15.75" customHeight="1" x14ac:dyDescent="0.25">
      <c r="A506" s="309"/>
      <c r="B506" s="309"/>
      <c r="C506" s="309"/>
      <c r="D506" s="309"/>
      <c r="E506" s="309"/>
      <c r="F506" s="309"/>
      <c r="G506" s="309"/>
      <c r="H506" s="309"/>
      <c r="I506" s="309"/>
      <c r="J506" s="309"/>
      <c r="K506" s="309"/>
      <c r="L506" s="309"/>
      <c r="M506" s="309"/>
      <c r="N506" s="309"/>
      <c r="O506" s="309"/>
      <c r="P506" s="309"/>
      <c r="Q506" s="309"/>
      <c r="R506" s="309"/>
      <c r="S506" s="309"/>
      <c r="T506" s="309"/>
      <c r="U506" s="309"/>
      <c r="V506" s="309"/>
      <c r="W506" s="309"/>
      <c r="X506" s="309"/>
      <c r="Y506" s="309"/>
      <c r="Z506" s="309"/>
      <c r="AA506" s="309"/>
      <c r="AB506" s="309"/>
      <c r="AC506" s="309"/>
      <c r="AD506" s="309"/>
      <c r="AE506" s="309"/>
      <c r="AF506" s="309"/>
      <c r="AG506" s="309"/>
    </row>
    <row r="507" spans="1:33" ht="15.75" customHeight="1" x14ac:dyDescent="0.25">
      <c r="A507" s="309"/>
      <c r="B507" s="309"/>
      <c r="C507" s="309"/>
      <c r="D507" s="309"/>
      <c r="E507" s="309"/>
      <c r="F507" s="309"/>
      <c r="G507" s="309"/>
      <c r="H507" s="309"/>
      <c r="I507" s="309"/>
      <c r="J507" s="309"/>
      <c r="K507" s="309"/>
      <c r="L507" s="309"/>
      <c r="M507" s="309"/>
      <c r="N507" s="309"/>
      <c r="O507" s="309"/>
      <c r="P507" s="309"/>
      <c r="Q507" s="309"/>
      <c r="R507" s="309"/>
      <c r="S507" s="309"/>
      <c r="T507" s="309"/>
      <c r="U507" s="309"/>
      <c r="V507" s="309"/>
      <c r="W507" s="309"/>
      <c r="X507" s="309"/>
      <c r="Y507" s="309"/>
      <c r="Z507" s="309"/>
      <c r="AA507" s="309"/>
      <c r="AB507" s="309"/>
      <c r="AC507" s="309"/>
      <c r="AD507" s="309"/>
      <c r="AE507" s="309"/>
      <c r="AF507" s="309"/>
      <c r="AG507" s="309"/>
    </row>
    <row r="508" spans="1:33" ht="15.75" customHeight="1" x14ac:dyDescent="0.25">
      <c r="A508" s="309"/>
      <c r="B508" s="309"/>
      <c r="C508" s="309"/>
      <c r="D508" s="309"/>
      <c r="E508" s="309"/>
      <c r="F508" s="309"/>
      <c r="G508" s="309"/>
      <c r="H508" s="309"/>
      <c r="I508" s="309"/>
      <c r="J508" s="309"/>
      <c r="K508" s="309"/>
      <c r="L508" s="309"/>
      <c r="M508" s="309"/>
      <c r="N508" s="309"/>
      <c r="O508" s="309"/>
      <c r="P508" s="309"/>
      <c r="Q508" s="309"/>
      <c r="R508" s="309"/>
      <c r="S508" s="309"/>
      <c r="T508" s="309"/>
      <c r="U508" s="309"/>
      <c r="V508" s="309"/>
      <c r="W508" s="309"/>
      <c r="X508" s="309"/>
      <c r="Y508" s="309"/>
      <c r="Z508" s="309"/>
      <c r="AA508" s="309"/>
      <c r="AB508" s="309"/>
      <c r="AC508" s="309"/>
      <c r="AD508" s="309"/>
      <c r="AE508" s="309"/>
      <c r="AF508" s="309"/>
      <c r="AG508" s="309"/>
    </row>
    <row r="509" spans="1:33" ht="15.75" customHeight="1" x14ac:dyDescent="0.25">
      <c r="A509" s="309"/>
      <c r="B509" s="309"/>
      <c r="C509" s="309"/>
      <c r="D509" s="309"/>
      <c r="E509" s="309"/>
      <c r="F509" s="309"/>
      <c r="G509" s="309"/>
      <c r="H509" s="309"/>
      <c r="I509" s="309"/>
      <c r="J509" s="309"/>
      <c r="K509" s="309"/>
      <c r="L509" s="309"/>
      <c r="M509" s="309"/>
      <c r="N509" s="309"/>
      <c r="O509" s="309"/>
      <c r="P509" s="309"/>
      <c r="Q509" s="309"/>
      <c r="R509" s="309"/>
      <c r="S509" s="309"/>
      <c r="T509" s="309"/>
      <c r="U509" s="309"/>
      <c r="V509" s="309"/>
      <c r="W509" s="309"/>
      <c r="X509" s="309"/>
      <c r="Y509" s="309"/>
      <c r="Z509" s="309"/>
      <c r="AA509" s="309"/>
      <c r="AB509" s="309"/>
      <c r="AC509" s="309"/>
      <c r="AD509" s="309"/>
      <c r="AE509" s="309"/>
      <c r="AF509" s="309"/>
      <c r="AG509" s="309"/>
    </row>
    <row r="510" spans="1:33" ht="15.75" customHeight="1" x14ac:dyDescent="0.25">
      <c r="A510" s="309"/>
      <c r="B510" s="309"/>
      <c r="C510" s="309"/>
      <c r="D510" s="309"/>
      <c r="E510" s="309"/>
      <c r="F510" s="309"/>
      <c r="G510" s="309"/>
      <c r="H510" s="309"/>
      <c r="I510" s="309"/>
      <c r="J510" s="309"/>
      <c r="K510" s="309"/>
      <c r="L510" s="309"/>
      <c r="M510" s="309"/>
      <c r="N510" s="309"/>
      <c r="O510" s="309"/>
      <c r="P510" s="309"/>
      <c r="Q510" s="309"/>
      <c r="R510" s="309"/>
      <c r="S510" s="309"/>
      <c r="T510" s="309"/>
      <c r="U510" s="309"/>
      <c r="V510" s="309"/>
      <c r="W510" s="309"/>
      <c r="X510" s="309"/>
      <c r="Y510" s="309"/>
      <c r="Z510" s="309"/>
      <c r="AA510" s="309"/>
      <c r="AB510" s="309"/>
      <c r="AC510" s="309"/>
      <c r="AD510" s="309"/>
      <c r="AE510" s="309"/>
      <c r="AF510" s="309"/>
      <c r="AG510" s="309"/>
    </row>
    <row r="511" spans="1:33" ht="15.75" customHeight="1" x14ac:dyDescent="0.25">
      <c r="A511" s="309"/>
      <c r="B511" s="309"/>
      <c r="C511" s="309"/>
      <c r="D511" s="309"/>
      <c r="E511" s="309"/>
      <c r="F511" s="309"/>
      <c r="G511" s="309"/>
      <c r="H511" s="309"/>
      <c r="I511" s="309"/>
      <c r="J511" s="309"/>
      <c r="K511" s="309"/>
      <c r="L511" s="309"/>
      <c r="M511" s="309"/>
      <c r="N511" s="309"/>
      <c r="O511" s="309"/>
      <c r="P511" s="309"/>
      <c r="Q511" s="309"/>
      <c r="R511" s="309"/>
      <c r="S511" s="309"/>
      <c r="T511" s="309"/>
      <c r="U511" s="309"/>
      <c r="V511" s="309"/>
      <c r="W511" s="309"/>
      <c r="X511" s="309"/>
      <c r="Y511" s="309"/>
      <c r="Z511" s="309"/>
      <c r="AA511" s="309"/>
      <c r="AB511" s="309"/>
      <c r="AC511" s="309"/>
      <c r="AD511" s="309"/>
      <c r="AE511" s="309"/>
      <c r="AF511" s="309"/>
      <c r="AG511" s="309"/>
    </row>
    <row r="512" spans="1:33" ht="15.75" customHeight="1" x14ac:dyDescent="0.25">
      <c r="A512" s="309"/>
      <c r="B512" s="309"/>
      <c r="C512" s="309"/>
      <c r="D512" s="309"/>
      <c r="E512" s="309"/>
      <c r="F512" s="309"/>
      <c r="G512" s="309"/>
      <c r="H512" s="309"/>
      <c r="I512" s="309"/>
      <c r="J512" s="309"/>
      <c r="K512" s="309"/>
      <c r="L512" s="309"/>
      <c r="M512" s="309"/>
      <c r="N512" s="309"/>
      <c r="O512" s="309"/>
      <c r="P512" s="309"/>
      <c r="Q512" s="309"/>
      <c r="R512" s="309"/>
      <c r="S512" s="309"/>
      <c r="T512" s="309"/>
      <c r="U512" s="309"/>
      <c r="V512" s="309"/>
      <c r="W512" s="309"/>
      <c r="X512" s="309"/>
      <c r="Y512" s="309"/>
      <c r="Z512" s="309"/>
      <c r="AA512" s="309"/>
      <c r="AB512" s="309"/>
      <c r="AC512" s="309"/>
      <c r="AD512" s="309"/>
      <c r="AE512" s="309"/>
      <c r="AF512" s="309"/>
      <c r="AG512" s="309"/>
    </row>
    <row r="513" spans="1:33" ht="15.75" customHeight="1" x14ac:dyDescent="0.25">
      <c r="A513" s="309"/>
      <c r="B513" s="309"/>
      <c r="C513" s="309"/>
      <c r="D513" s="309"/>
      <c r="E513" s="309"/>
      <c r="F513" s="309"/>
      <c r="G513" s="309"/>
      <c r="H513" s="309"/>
      <c r="I513" s="309"/>
      <c r="J513" s="309"/>
      <c r="K513" s="309"/>
      <c r="L513" s="309"/>
      <c r="M513" s="309"/>
      <c r="N513" s="309"/>
      <c r="O513" s="309"/>
      <c r="P513" s="309"/>
      <c r="Q513" s="309"/>
      <c r="R513" s="309"/>
      <c r="S513" s="309"/>
      <c r="T513" s="309"/>
      <c r="U513" s="309"/>
      <c r="V513" s="309"/>
      <c r="W513" s="309"/>
      <c r="X513" s="309"/>
      <c r="Y513" s="309"/>
      <c r="Z513" s="309"/>
      <c r="AA513" s="309"/>
      <c r="AB513" s="309"/>
      <c r="AC513" s="309"/>
      <c r="AD513" s="309"/>
      <c r="AE513" s="309"/>
      <c r="AF513" s="309"/>
      <c r="AG513" s="309"/>
    </row>
    <row r="514" spans="1:33" ht="15.75" customHeight="1" x14ac:dyDescent="0.25">
      <c r="A514" s="309"/>
      <c r="B514" s="309"/>
      <c r="C514" s="309"/>
      <c r="D514" s="309"/>
      <c r="E514" s="309"/>
      <c r="F514" s="309"/>
      <c r="G514" s="309"/>
      <c r="H514" s="309"/>
      <c r="I514" s="309"/>
      <c r="J514" s="309"/>
      <c r="K514" s="309"/>
      <c r="L514" s="309"/>
      <c r="M514" s="309"/>
      <c r="N514" s="309"/>
      <c r="O514" s="309"/>
      <c r="P514" s="309"/>
      <c r="Q514" s="309"/>
      <c r="R514" s="309"/>
      <c r="S514" s="309"/>
      <c r="T514" s="309"/>
      <c r="U514" s="309"/>
      <c r="V514" s="309"/>
      <c r="W514" s="309"/>
      <c r="X514" s="309"/>
      <c r="Y514" s="309"/>
      <c r="Z514" s="309"/>
      <c r="AA514" s="309"/>
      <c r="AB514" s="309"/>
      <c r="AC514" s="309"/>
      <c r="AD514" s="309"/>
      <c r="AE514" s="309"/>
      <c r="AF514" s="309"/>
      <c r="AG514" s="309"/>
    </row>
    <row r="515" spans="1:33" ht="15.75" customHeight="1" x14ac:dyDescent="0.25">
      <c r="A515" s="309"/>
      <c r="B515" s="309"/>
      <c r="C515" s="309"/>
      <c r="D515" s="309"/>
      <c r="E515" s="309"/>
      <c r="F515" s="309"/>
      <c r="G515" s="309"/>
      <c r="H515" s="309"/>
      <c r="I515" s="309"/>
      <c r="J515" s="309"/>
      <c r="K515" s="309"/>
      <c r="L515" s="309"/>
      <c r="M515" s="309"/>
      <c r="N515" s="309"/>
      <c r="O515" s="309"/>
      <c r="P515" s="309"/>
      <c r="Q515" s="309"/>
      <c r="R515" s="309"/>
      <c r="S515" s="309"/>
      <c r="T515" s="309"/>
      <c r="U515" s="309"/>
      <c r="V515" s="309"/>
      <c r="W515" s="309"/>
      <c r="X515" s="309"/>
      <c r="Y515" s="309"/>
      <c r="Z515" s="309"/>
      <c r="AA515" s="309"/>
      <c r="AB515" s="309"/>
      <c r="AC515" s="309"/>
      <c r="AD515" s="309"/>
      <c r="AE515" s="309"/>
      <c r="AF515" s="309"/>
      <c r="AG515" s="309"/>
    </row>
    <row r="516" spans="1:33" ht="15.75" customHeight="1" x14ac:dyDescent="0.25">
      <c r="A516" s="309"/>
      <c r="B516" s="309"/>
      <c r="C516" s="309"/>
      <c r="D516" s="309"/>
      <c r="E516" s="309"/>
      <c r="F516" s="309"/>
      <c r="G516" s="309"/>
      <c r="H516" s="309"/>
      <c r="I516" s="309"/>
      <c r="J516" s="309"/>
      <c r="K516" s="309"/>
      <c r="L516" s="309"/>
      <c r="M516" s="309"/>
      <c r="N516" s="309"/>
      <c r="O516" s="309"/>
      <c r="P516" s="309"/>
      <c r="Q516" s="309"/>
      <c r="R516" s="309"/>
      <c r="S516" s="309"/>
      <c r="T516" s="309"/>
      <c r="U516" s="309"/>
      <c r="V516" s="309"/>
      <c r="W516" s="309"/>
      <c r="X516" s="309"/>
      <c r="Y516" s="309"/>
      <c r="Z516" s="309"/>
      <c r="AA516" s="309"/>
      <c r="AB516" s="309"/>
      <c r="AC516" s="309"/>
      <c r="AD516" s="309"/>
      <c r="AE516" s="309"/>
      <c r="AF516" s="309"/>
      <c r="AG516" s="309"/>
    </row>
    <row r="517" spans="1:33" ht="15.75" customHeight="1" x14ac:dyDescent="0.25">
      <c r="A517" s="309"/>
      <c r="B517" s="309"/>
      <c r="C517" s="309"/>
      <c r="D517" s="309"/>
      <c r="E517" s="309"/>
      <c r="F517" s="309"/>
      <c r="G517" s="309"/>
      <c r="H517" s="309"/>
      <c r="I517" s="309"/>
      <c r="J517" s="309"/>
      <c r="K517" s="309"/>
      <c r="L517" s="309"/>
      <c r="M517" s="309"/>
      <c r="N517" s="309"/>
      <c r="O517" s="309"/>
      <c r="P517" s="309"/>
      <c r="Q517" s="309"/>
      <c r="R517" s="309"/>
      <c r="S517" s="309"/>
      <c r="T517" s="309"/>
      <c r="U517" s="309"/>
      <c r="V517" s="309"/>
      <c r="W517" s="309"/>
      <c r="X517" s="309"/>
      <c r="Y517" s="309"/>
      <c r="Z517" s="309"/>
      <c r="AA517" s="309"/>
      <c r="AB517" s="309"/>
      <c r="AC517" s="309"/>
      <c r="AD517" s="309"/>
      <c r="AE517" s="309"/>
      <c r="AF517" s="309"/>
      <c r="AG517" s="309"/>
    </row>
    <row r="518" spans="1:33" ht="15.75" customHeight="1" x14ac:dyDescent="0.25">
      <c r="A518" s="309"/>
      <c r="B518" s="309"/>
      <c r="C518" s="309"/>
      <c r="D518" s="309"/>
      <c r="E518" s="309"/>
      <c r="F518" s="309"/>
      <c r="G518" s="309"/>
      <c r="H518" s="309"/>
      <c r="I518" s="309"/>
      <c r="J518" s="309"/>
      <c r="K518" s="309"/>
      <c r="L518" s="309"/>
      <c r="M518" s="309"/>
      <c r="N518" s="309"/>
      <c r="O518" s="309"/>
      <c r="P518" s="309"/>
      <c r="Q518" s="309"/>
      <c r="R518" s="309"/>
      <c r="S518" s="309"/>
      <c r="T518" s="309"/>
      <c r="U518" s="309"/>
      <c r="V518" s="309"/>
      <c r="W518" s="309"/>
      <c r="X518" s="309"/>
      <c r="Y518" s="309"/>
      <c r="Z518" s="309"/>
      <c r="AA518" s="309"/>
      <c r="AB518" s="309"/>
      <c r="AC518" s="309"/>
      <c r="AD518" s="309"/>
      <c r="AE518" s="309"/>
      <c r="AF518" s="309"/>
      <c r="AG518" s="309"/>
    </row>
    <row r="519" spans="1:33" ht="15.75" customHeight="1" x14ac:dyDescent="0.25">
      <c r="A519" s="309"/>
      <c r="B519" s="309"/>
      <c r="C519" s="309"/>
      <c r="D519" s="309"/>
      <c r="E519" s="309"/>
      <c r="F519" s="309"/>
      <c r="G519" s="309"/>
      <c r="H519" s="309"/>
      <c r="I519" s="309"/>
      <c r="J519" s="309"/>
      <c r="K519" s="309"/>
      <c r="L519" s="309"/>
      <c r="M519" s="309"/>
      <c r="N519" s="309"/>
      <c r="O519" s="309"/>
      <c r="P519" s="309"/>
      <c r="Q519" s="309"/>
      <c r="R519" s="309"/>
      <c r="S519" s="309"/>
      <c r="T519" s="309"/>
      <c r="U519" s="309"/>
      <c r="V519" s="309"/>
      <c r="W519" s="309"/>
      <c r="X519" s="309"/>
      <c r="Y519" s="309"/>
      <c r="Z519" s="309"/>
      <c r="AA519" s="309"/>
      <c r="AB519" s="309"/>
      <c r="AC519" s="309"/>
      <c r="AD519" s="309"/>
      <c r="AE519" s="309"/>
      <c r="AF519" s="309"/>
      <c r="AG519" s="309"/>
    </row>
    <row r="520" spans="1:33" ht="15.75" customHeight="1" x14ac:dyDescent="0.25">
      <c r="A520" s="309"/>
      <c r="B520" s="309"/>
      <c r="C520" s="309"/>
      <c r="D520" s="309"/>
      <c r="E520" s="309"/>
      <c r="F520" s="309"/>
      <c r="G520" s="309"/>
      <c r="H520" s="309"/>
      <c r="I520" s="309"/>
      <c r="J520" s="309"/>
      <c r="K520" s="309"/>
      <c r="L520" s="309"/>
      <c r="M520" s="309"/>
      <c r="N520" s="309"/>
      <c r="O520" s="309"/>
      <c r="P520" s="309"/>
      <c r="Q520" s="309"/>
      <c r="R520" s="309"/>
      <c r="S520" s="309"/>
      <c r="T520" s="309"/>
      <c r="U520" s="309"/>
      <c r="V520" s="309"/>
      <c r="W520" s="309"/>
      <c r="X520" s="309"/>
      <c r="Y520" s="309"/>
      <c r="Z520" s="309"/>
      <c r="AA520" s="309"/>
      <c r="AB520" s="309"/>
      <c r="AC520" s="309"/>
      <c r="AD520" s="309"/>
      <c r="AE520" s="309"/>
      <c r="AF520" s="309"/>
      <c r="AG520" s="309"/>
    </row>
    <row r="521" spans="1:33" ht="15.75" customHeight="1" x14ac:dyDescent="0.25">
      <c r="A521" s="309"/>
      <c r="B521" s="309"/>
      <c r="C521" s="309"/>
      <c r="D521" s="309"/>
      <c r="E521" s="309"/>
      <c r="F521" s="309"/>
      <c r="G521" s="309"/>
      <c r="H521" s="309"/>
      <c r="I521" s="309"/>
      <c r="J521" s="309"/>
      <c r="K521" s="309"/>
      <c r="L521" s="309"/>
      <c r="M521" s="309"/>
      <c r="N521" s="309"/>
      <c r="O521" s="309"/>
      <c r="P521" s="309"/>
      <c r="Q521" s="309"/>
      <c r="R521" s="309"/>
      <c r="S521" s="309"/>
      <c r="T521" s="309"/>
      <c r="U521" s="309"/>
      <c r="V521" s="309"/>
      <c r="W521" s="309"/>
      <c r="X521" s="309"/>
      <c r="Y521" s="309"/>
      <c r="Z521" s="309"/>
      <c r="AA521" s="309"/>
      <c r="AB521" s="309"/>
      <c r="AC521" s="309"/>
      <c r="AD521" s="309"/>
      <c r="AE521" s="309"/>
      <c r="AF521" s="309"/>
      <c r="AG521" s="309"/>
    </row>
    <row r="522" spans="1:33" ht="15.75" customHeight="1" x14ac:dyDescent="0.25">
      <c r="A522" s="309"/>
      <c r="B522" s="309"/>
      <c r="C522" s="309"/>
      <c r="D522" s="309"/>
      <c r="E522" s="309"/>
      <c r="F522" s="309"/>
      <c r="G522" s="309"/>
      <c r="H522" s="309"/>
      <c r="I522" s="309"/>
      <c r="J522" s="309"/>
      <c r="K522" s="309"/>
      <c r="L522" s="309"/>
      <c r="M522" s="309"/>
      <c r="N522" s="309"/>
      <c r="O522" s="309"/>
      <c r="P522" s="309"/>
      <c r="Q522" s="309"/>
      <c r="R522" s="309"/>
      <c r="S522" s="309"/>
      <c r="T522" s="309"/>
      <c r="U522" s="309"/>
      <c r="V522" s="309"/>
      <c r="W522" s="309"/>
      <c r="X522" s="309"/>
      <c r="Y522" s="309"/>
      <c r="Z522" s="309"/>
      <c r="AA522" s="309"/>
      <c r="AB522" s="309"/>
      <c r="AC522" s="309"/>
      <c r="AD522" s="309"/>
      <c r="AE522" s="309"/>
      <c r="AF522" s="309"/>
      <c r="AG522" s="309"/>
    </row>
    <row r="523" spans="1:33" ht="15.75" customHeight="1" x14ac:dyDescent="0.25">
      <c r="A523" s="309"/>
      <c r="B523" s="309"/>
      <c r="C523" s="309"/>
      <c r="D523" s="309"/>
      <c r="E523" s="309"/>
      <c r="F523" s="309"/>
      <c r="G523" s="309"/>
      <c r="H523" s="309"/>
      <c r="I523" s="309"/>
      <c r="J523" s="309"/>
      <c r="K523" s="309"/>
      <c r="L523" s="309"/>
      <c r="M523" s="309"/>
      <c r="N523" s="309"/>
      <c r="O523" s="309"/>
      <c r="P523" s="309"/>
      <c r="Q523" s="309"/>
      <c r="R523" s="309"/>
      <c r="S523" s="309"/>
      <c r="T523" s="309"/>
      <c r="U523" s="309"/>
      <c r="V523" s="309"/>
      <c r="W523" s="309"/>
      <c r="X523" s="309"/>
      <c r="Y523" s="309"/>
      <c r="Z523" s="309"/>
      <c r="AA523" s="309"/>
      <c r="AB523" s="309"/>
      <c r="AC523" s="309"/>
      <c r="AD523" s="309"/>
      <c r="AE523" s="309"/>
      <c r="AF523" s="309"/>
      <c r="AG523" s="309"/>
    </row>
    <row r="524" spans="1:33" ht="15.75" customHeight="1" x14ac:dyDescent="0.25">
      <c r="A524" s="309"/>
      <c r="B524" s="309"/>
      <c r="C524" s="309"/>
      <c r="D524" s="309"/>
      <c r="E524" s="309"/>
      <c r="F524" s="309"/>
      <c r="G524" s="309"/>
      <c r="H524" s="309"/>
      <c r="I524" s="309"/>
      <c r="J524" s="309"/>
      <c r="K524" s="309"/>
      <c r="L524" s="309"/>
      <c r="M524" s="309"/>
      <c r="N524" s="309"/>
      <c r="O524" s="309"/>
      <c r="P524" s="309"/>
      <c r="Q524" s="309"/>
      <c r="R524" s="309"/>
      <c r="S524" s="309"/>
      <c r="T524" s="309"/>
      <c r="U524" s="309"/>
      <c r="V524" s="309"/>
      <c r="W524" s="309"/>
      <c r="X524" s="309"/>
      <c r="Y524" s="309"/>
      <c r="Z524" s="309"/>
      <c r="AA524" s="309"/>
      <c r="AB524" s="309"/>
      <c r="AC524" s="309"/>
      <c r="AD524" s="309"/>
      <c r="AE524" s="309"/>
      <c r="AF524" s="309"/>
      <c r="AG524" s="309"/>
    </row>
    <row r="525" spans="1:33" ht="15.75" customHeight="1" x14ac:dyDescent="0.25">
      <c r="A525" s="309"/>
      <c r="B525" s="309"/>
      <c r="C525" s="309"/>
      <c r="D525" s="309"/>
      <c r="E525" s="309"/>
      <c r="F525" s="309"/>
      <c r="G525" s="309"/>
      <c r="H525" s="309"/>
      <c r="I525" s="309"/>
      <c r="J525" s="309"/>
      <c r="K525" s="309"/>
      <c r="L525" s="309"/>
      <c r="M525" s="309"/>
      <c r="N525" s="309"/>
      <c r="O525" s="309"/>
      <c r="P525" s="309"/>
      <c r="Q525" s="309"/>
      <c r="R525" s="309"/>
      <c r="S525" s="309"/>
      <c r="T525" s="309"/>
      <c r="U525" s="309"/>
      <c r="V525" s="309"/>
      <c r="W525" s="309"/>
      <c r="X525" s="309"/>
      <c r="Y525" s="309"/>
      <c r="Z525" s="309"/>
      <c r="AA525" s="309"/>
      <c r="AB525" s="309"/>
      <c r="AC525" s="309"/>
      <c r="AD525" s="309"/>
      <c r="AE525" s="309"/>
      <c r="AF525" s="309"/>
      <c r="AG525" s="309"/>
    </row>
    <row r="526" spans="1:33" ht="15.75" customHeight="1" x14ac:dyDescent="0.25">
      <c r="A526" s="309"/>
      <c r="B526" s="309"/>
      <c r="C526" s="309"/>
      <c r="D526" s="309"/>
      <c r="E526" s="309"/>
      <c r="F526" s="309"/>
      <c r="G526" s="309"/>
      <c r="H526" s="309"/>
      <c r="I526" s="309"/>
      <c r="J526" s="309"/>
      <c r="K526" s="309"/>
      <c r="L526" s="309"/>
      <c r="M526" s="309"/>
      <c r="N526" s="309"/>
      <c r="O526" s="309"/>
      <c r="P526" s="309"/>
      <c r="Q526" s="309"/>
      <c r="R526" s="309"/>
      <c r="S526" s="309"/>
      <c r="T526" s="309"/>
      <c r="U526" s="309"/>
      <c r="V526" s="309"/>
      <c r="W526" s="309"/>
      <c r="X526" s="309"/>
      <c r="Y526" s="309"/>
      <c r="Z526" s="309"/>
      <c r="AA526" s="309"/>
      <c r="AB526" s="309"/>
      <c r="AC526" s="309"/>
      <c r="AD526" s="309"/>
      <c r="AE526" s="309"/>
      <c r="AF526" s="309"/>
      <c r="AG526" s="309"/>
    </row>
    <row r="527" spans="1:33" ht="15.75" customHeight="1" x14ac:dyDescent="0.25">
      <c r="A527" s="309"/>
      <c r="B527" s="309"/>
      <c r="C527" s="309"/>
      <c r="D527" s="309"/>
      <c r="E527" s="309"/>
      <c r="F527" s="309"/>
      <c r="G527" s="309"/>
      <c r="H527" s="309"/>
      <c r="I527" s="309"/>
      <c r="J527" s="309"/>
      <c r="K527" s="309"/>
      <c r="L527" s="309"/>
      <c r="M527" s="309"/>
      <c r="N527" s="309"/>
      <c r="O527" s="309"/>
      <c r="P527" s="309"/>
      <c r="Q527" s="309"/>
      <c r="R527" s="309"/>
      <c r="S527" s="309"/>
      <c r="T527" s="309"/>
      <c r="U527" s="309"/>
      <c r="V527" s="309"/>
      <c r="W527" s="309"/>
      <c r="X527" s="309"/>
      <c r="Y527" s="309"/>
      <c r="Z527" s="309"/>
      <c r="AA527" s="309"/>
      <c r="AB527" s="309"/>
      <c r="AC527" s="309"/>
      <c r="AD527" s="309"/>
      <c r="AE527" s="309"/>
      <c r="AF527" s="309"/>
      <c r="AG527" s="309"/>
    </row>
    <row r="528" spans="1:33" ht="15.75" customHeight="1" x14ac:dyDescent="0.25">
      <c r="A528" s="309"/>
      <c r="B528" s="309"/>
      <c r="C528" s="309"/>
      <c r="D528" s="309"/>
      <c r="E528" s="309"/>
      <c r="F528" s="309"/>
      <c r="G528" s="309"/>
      <c r="H528" s="309"/>
      <c r="I528" s="309"/>
      <c r="J528" s="309"/>
      <c r="K528" s="309"/>
      <c r="L528" s="309"/>
      <c r="M528" s="309"/>
      <c r="N528" s="309"/>
      <c r="O528" s="309"/>
      <c r="P528" s="309"/>
      <c r="Q528" s="309"/>
      <c r="R528" s="309"/>
      <c r="S528" s="309"/>
      <c r="T528" s="309"/>
      <c r="U528" s="309"/>
      <c r="V528" s="309"/>
      <c r="W528" s="309"/>
      <c r="X528" s="309"/>
      <c r="Y528" s="309"/>
      <c r="Z528" s="309"/>
      <c r="AA528" s="309"/>
      <c r="AB528" s="309"/>
      <c r="AC528" s="309"/>
      <c r="AD528" s="309"/>
      <c r="AE528" s="309"/>
      <c r="AF528" s="309"/>
      <c r="AG528" s="309"/>
    </row>
    <row r="529" spans="1:33" ht="15.75" customHeight="1" x14ac:dyDescent="0.25">
      <c r="A529" s="309"/>
      <c r="B529" s="309"/>
      <c r="C529" s="309"/>
      <c r="D529" s="309"/>
      <c r="E529" s="309"/>
      <c r="F529" s="309"/>
      <c r="G529" s="309"/>
      <c r="H529" s="309"/>
      <c r="I529" s="309"/>
      <c r="J529" s="309"/>
      <c r="K529" s="309"/>
      <c r="L529" s="309"/>
      <c r="M529" s="309"/>
      <c r="N529" s="309"/>
      <c r="O529" s="309"/>
      <c r="P529" s="309"/>
      <c r="Q529" s="309"/>
      <c r="R529" s="309"/>
      <c r="S529" s="309"/>
      <c r="T529" s="309"/>
      <c r="U529" s="309"/>
      <c r="V529" s="309"/>
      <c r="W529" s="309"/>
      <c r="X529" s="309"/>
      <c r="Y529" s="309"/>
      <c r="Z529" s="309"/>
      <c r="AA529" s="309"/>
      <c r="AB529" s="309"/>
      <c r="AC529" s="309"/>
      <c r="AD529" s="309"/>
      <c r="AE529" s="309"/>
      <c r="AF529" s="309"/>
      <c r="AG529" s="309"/>
    </row>
    <row r="530" spans="1:33" ht="15.75" customHeight="1" x14ac:dyDescent="0.25">
      <c r="A530" s="309"/>
      <c r="B530" s="309"/>
      <c r="C530" s="309"/>
      <c r="D530" s="309"/>
      <c r="E530" s="309"/>
      <c r="F530" s="309"/>
      <c r="G530" s="309"/>
      <c r="H530" s="309"/>
      <c r="I530" s="309"/>
      <c r="J530" s="309"/>
      <c r="K530" s="309"/>
      <c r="L530" s="309"/>
      <c r="M530" s="309"/>
      <c r="N530" s="309"/>
      <c r="O530" s="309"/>
      <c r="P530" s="309"/>
      <c r="Q530" s="309"/>
      <c r="R530" s="309"/>
      <c r="S530" s="309"/>
      <c r="T530" s="309"/>
      <c r="U530" s="309"/>
      <c r="V530" s="309"/>
      <c r="W530" s="309"/>
      <c r="X530" s="309"/>
      <c r="Y530" s="309"/>
      <c r="Z530" s="309"/>
      <c r="AA530" s="309"/>
      <c r="AB530" s="309"/>
      <c r="AC530" s="309"/>
      <c r="AD530" s="309"/>
      <c r="AE530" s="309"/>
      <c r="AF530" s="309"/>
      <c r="AG530" s="309"/>
    </row>
    <row r="531" spans="1:33" ht="15.75" customHeight="1" x14ac:dyDescent="0.25">
      <c r="A531" s="309"/>
      <c r="B531" s="309"/>
      <c r="C531" s="309"/>
      <c r="D531" s="309"/>
      <c r="E531" s="309"/>
      <c r="F531" s="309"/>
      <c r="G531" s="309"/>
      <c r="H531" s="309"/>
      <c r="I531" s="309"/>
      <c r="J531" s="309"/>
      <c r="K531" s="309"/>
      <c r="L531" s="309"/>
      <c r="M531" s="309"/>
      <c r="N531" s="309"/>
      <c r="O531" s="309"/>
      <c r="P531" s="309"/>
      <c r="Q531" s="309"/>
      <c r="R531" s="309"/>
      <c r="S531" s="309"/>
      <c r="T531" s="309"/>
      <c r="U531" s="309"/>
      <c r="V531" s="309"/>
      <c r="W531" s="309"/>
      <c r="X531" s="309"/>
      <c r="Y531" s="309"/>
      <c r="Z531" s="309"/>
      <c r="AA531" s="309"/>
      <c r="AB531" s="309"/>
      <c r="AC531" s="309"/>
      <c r="AD531" s="309"/>
      <c r="AE531" s="309"/>
      <c r="AF531" s="309"/>
      <c r="AG531" s="309"/>
    </row>
    <row r="532" spans="1:33" ht="15.75" customHeight="1" x14ac:dyDescent="0.25">
      <c r="A532" s="309"/>
      <c r="B532" s="309"/>
      <c r="C532" s="309"/>
      <c r="D532" s="309"/>
      <c r="E532" s="309"/>
      <c r="F532" s="309"/>
      <c r="G532" s="309"/>
      <c r="H532" s="309"/>
      <c r="I532" s="309"/>
      <c r="J532" s="309"/>
      <c r="K532" s="309"/>
      <c r="L532" s="309"/>
      <c r="M532" s="309"/>
      <c r="N532" s="309"/>
      <c r="O532" s="309"/>
      <c r="P532" s="309"/>
      <c r="Q532" s="309"/>
      <c r="R532" s="309"/>
      <c r="S532" s="309"/>
      <c r="T532" s="309"/>
      <c r="U532" s="309"/>
      <c r="V532" s="309"/>
      <c r="W532" s="309"/>
      <c r="X532" s="309"/>
      <c r="Y532" s="309"/>
      <c r="Z532" s="309"/>
      <c r="AA532" s="309"/>
      <c r="AB532" s="309"/>
      <c r="AC532" s="309"/>
      <c r="AD532" s="309"/>
      <c r="AE532" s="309"/>
      <c r="AF532" s="309"/>
      <c r="AG532" s="309"/>
    </row>
    <row r="533" spans="1:33" ht="15.75" customHeight="1" x14ac:dyDescent="0.25">
      <c r="A533" s="309"/>
      <c r="B533" s="309"/>
      <c r="C533" s="309"/>
      <c r="D533" s="309"/>
      <c r="E533" s="309"/>
      <c r="F533" s="309"/>
      <c r="G533" s="309"/>
      <c r="H533" s="309"/>
      <c r="I533" s="309"/>
      <c r="J533" s="309"/>
      <c r="K533" s="309"/>
      <c r="L533" s="309"/>
      <c r="M533" s="309"/>
      <c r="N533" s="309"/>
      <c r="O533" s="309"/>
      <c r="P533" s="309"/>
      <c r="Q533" s="309"/>
      <c r="R533" s="309"/>
      <c r="S533" s="309"/>
      <c r="T533" s="309"/>
      <c r="U533" s="309"/>
      <c r="V533" s="309"/>
      <c r="W533" s="309"/>
      <c r="X533" s="309"/>
      <c r="Y533" s="309"/>
      <c r="Z533" s="309"/>
      <c r="AA533" s="309"/>
      <c r="AB533" s="309"/>
      <c r="AC533" s="309"/>
      <c r="AD533" s="309"/>
      <c r="AE533" s="309"/>
      <c r="AF533" s="309"/>
      <c r="AG533" s="309"/>
    </row>
    <row r="534" spans="1:33" ht="15.75" customHeight="1" x14ac:dyDescent="0.25">
      <c r="A534" s="309"/>
      <c r="B534" s="309"/>
      <c r="C534" s="309"/>
      <c r="D534" s="309"/>
      <c r="E534" s="309"/>
      <c r="F534" s="309"/>
      <c r="G534" s="309"/>
      <c r="H534" s="309"/>
      <c r="I534" s="309"/>
      <c r="J534" s="309"/>
      <c r="K534" s="309"/>
      <c r="L534" s="309"/>
      <c r="M534" s="309"/>
      <c r="N534" s="309"/>
      <c r="O534" s="309"/>
      <c r="P534" s="309"/>
      <c r="Q534" s="309"/>
      <c r="R534" s="309"/>
      <c r="S534" s="309"/>
      <c r="T534" s="309"/>
      <c r="U534" s="309"/>
      <c r="V534" s="309"/>
      <c r="W534" s="309"/>
      <c r="X534" s="309"/>
      <c r="Y534" s="309"/>
      <c r="Z534" s="309"/>
      <c r="AA534" s="309"/>
      <c r="AB534" s="309"/>
      <c r="AC534" s="309"/>
      <c r="AD534" s="309"/>
      <c r="AE534" s="309"/>
      <c r="AF534" s="309"/>
      <c r="AG534" s="309"/>
    </row>
    <row r="535" spans="1:33" ht="15.75" customHeight="1" x14ac:dyDescent="0.25">
      <c r="A535" s="309"/>
      <c r="B535" s="309"/>
      <c r="C535" s="309"/>
      <c r="D535" s="309"/>
      <c r="E535" s="309"/>
      <c r="F535" s="309"/>
      <c r="G535" s="309"/>
      <c r="H535" s="309"/>
      <c r="I535" s="309"/>
      <c r="J535" s="309"/>
      <c r="K535" s="309"/>
      <c r="L535" s="309"/>
      <c r="M535" s="309"/>
      <c r="N535" s="309"/>
      <c r="O535" s="309"/>
      <c r="P535" s="309"/>
      <c r="Q535" s="309"/>
      <c r="R535" s="309"/>
      <c r="S535" s="309"/>
      <c r="T535" s="309"/>
      <c r="U535" s="309"/>
      <c r="V535" s="309"/>
      <c r="W535" s="309"/>
      <c r="X535" s="309"/>
      <c r="Y535" s="309"/>
      <c r="Z535" s="309"/>
      <c r="AA535" s="309"/>
      <c r="AB535" s="309"/>
      <c r="AC535" s="309"/>
      <c r="AD535" s="309"/>
      <c r="AE535" s="309"/>
      <c r="AF535" s="309"/>
      <c r="AG535" s="309"/>
    </row>
    <row r="536" spans="1:33" ht="15.75" customHeight="1" x14ac:dyDescent="0.25">
      <c r="A536" s="309"/>
      <c r="B536" s="309"/>
      <c r="C536" s="309"/>
      <c r="D536" s="309"/>
      <c r="E536" s="309"/>
      <c r="F536" s="309"/>
      <c r="G536" s="309"/>
      <c r="H536" s="309"/>
      <c r="I536" s="309"/>
      <c r="J536" s="309"/>
      <c r="K536" s="309"/>
      <c r="L536" s="309"/>
      <c r="M536" s="309"/>
      <c r="N536" s="309"/>
      <c r="O536" s="309"/>
      <c r="P536" s="309"/>
      <c r="Q536" s="309"/>
      <c r="R536" s="309"/>
      <c r="S536" s="309"/>
      <c r="T536" s="309"/>
      <c r="U536" s="309"/>
      <c r="V536" s="309"/>
      <c r="W536" s="309"/>
      <c r="X536" s="309"/>
      <c r="Y536" s="309"/>
      <c r="Z536" s="309"/>
      <c r="AA536" s="309"/>
      <c r="AB536" s="309"/>
      <c r="AC536" s="309"/>
      <c r="AD536" s="309"/>
      <c r="AE536" s="309"/>
      <c r="AF536" s="309"/>
      <c r="AG536" s="309"/>
    </row>
    <row r="537" spans="1:33" ht="15.75" customHeight="1" x14ac:dyDescent="0.25">
      <c r="A537" s="309"/>
      <c r="B537" s="309"/>
      <c r="C537" s="309"/>
      <c r="D537" s="309"/>
      <c r="E537" s="309"/>
      <c r="F537" s="309"/>
      <c r="G537" s="309"/>
      <c r="H537" s="309"/>
      <c r="I537" s="309"/>
      <c r="J537" s="309"/>
      <c r="K537" s="309"/>
      <c r="L537" s="309"/>
      <c r="M537" s="309"/>
      <c r="N537" s="309"/>
      <c r="O537" s="309"/>
      <c r="P537" s="309"/>
      <c r="Q537" s="309"/>
      <c r="R537" s="309"/>
      <c r="S537" s="309"/>
      <c r="T537" s="309"/>
      <c r="U537" s="309"/>
      <c r="V537" s="309"/>
      <c r="W537" s="309"/>
      <c r="X537" s="309"/>
      <c r="Y537" s="309"/>
      <c r="Z537" s="309"/>
      <c r="AA537" s="309"/>
      <c r="AB537" s="309"/>
      <c r="AC537" s="309"/>
      <c r="AD537" s="309"/>
      <c r="AE537" s="309"/>
      <c r="AF537" s="309"/>
      <c r="AG537" s="309"/>
    </row>
    <row r="538" spans="1:33" ht="15.75" customHeight="1" x14ac:dyDescent="0.25">
      <c r="A538" s="309"/>
      <c r="B538" s="309"/>
      <c r="C538" s="309"/>
      <c r="D538" s="309"/>
      <c r="E538" s="309"/>
      <c r="F538" s="309"/>
      <c r="G538" s="309"/>
      <c r="H538" s="309"/>
      <c r="I538" s="309"/>
      <c r="J538" s="309"/>
      <c r="K538" s="309"/>
      <c r="L538" s="309"/>
      <c r="M538" s="309"/>
      <c r="N538" s="309"/>
      <c r="O538" s="309"/>
      <c r="P538" s="309"/>
      <c r="Q538" s="309"/>
      <c r="R538" s="309"/>
      <c r="S538" s="309"/>
      <c r="T538" s="309"/>
      <c r="U538" s="309"/>
      <c r="V538" s="309"/>
      <c r="W538" s="309"/>
      <c r="X538" s="309"/>
      <c r="Y538" s="309"/>
      <c r="Z538" s="309"/>
      <c r="AA538" s="309"/>
      <c r="AB538" s="309"/>
      <c r="AC538" s="309"/>
      <c r="AD538" s="309"/>
      <c r="AE538" s="309"/>
      <c r="AF538" s="309"/>
      <c r="AG538" s="309"/>
    </row>
    <row r="539" spans="1:33" ht="15.75" customHeight="1" x14ac:dyDescent="0.25">
      <c r="A539" s="309"/>
      <c r="B539" s="309"/>
      <c r="C539" s="309"/>
      <c r="D539" s="309"/>
      <c r="E539" s="309"/>
      <c r="F539" s="309"/>
      <c r="G539" s="309"/>
      <c r="H539" s="309"/>
      <c r="I539" s="309"/>
      <c r="J539" s="309"/>
      <c r="K539" s="309"/>
      <c r="L539" s="309"/>
      <c r="M539" s="309"/>
      <c r="N539" s="309"/>
      <c r="O539" s="309"/>
      <c r="P539" s="309"/>
      <c r="Q539" s="309"/>
      <c r="R539" s="309"/>
      <c r="S539" s="309"/>
      <c r="T539" s="309"/>
      <c r="U539" s="309"/>
      <c r="V539" s="309"/>
      <c r="W539" s="309"/>
      <c r="X539" s="309"/>
      <c r="Y539" s="309"/>
      <c r="Z539" s="309"/>
      <c r="AA539" s="309"/>
      <c r="AB539" s="309"/>
      <c r="AC539" s="309"/>
      <c r="AD539" s="309"/>
      <c r="AE539" s="309"/>
      <c r="AF539" s="309"/>
      <c r="AG539" s="309"/>
    </row>
    <row r="540" spans="1:33" ht="15.75" customHeight="1" x14ac:dyDescent="0.25">
      <c r="A540" s="309"/>
      <c r="B540" s="309"/>
      <c r="C540" s="309"/>
      <c r="D540" s="309"/>
      <c r="E540" s="309"/>
      <c r="F540" s="309"/>
      <c r="G540" s="309"/>
      <c r="H540" s="309"/>
      <c r="I540" s="309"/>
      <c r="J540" s="309"/>
      <c r="K540" s="309"/>
      <c r="L540" s="309"/>
      <c r="M540" s="309"/>
      <c r="N540" s="309"/>
      <c r="O540" s="309"/>
      <c r="P540" s="309"/>
      <c r="Q540" s="309"/>
      <c r="R540" s="309"/>
      <c r="S540" s="309"/>
      <c r="T540" s="309"/>
      <c r="U540" s="309"/>
      <c r="V540" s="309"/>
      <c r="W540" s="309"/>
      <c r="X540" s="309"/>
      <c r="Y540" s="309"/>
      <c r="Z540" s="309"/>
      <c r="AA540" s="309"/>
      <c r="AB540" s="309"/>
      <c r="AC540" s="309"/>
      <c r="AD540" s="309"/>
      <c r="AE540" s="309"/>
      <c r="AF540" s="309"/>
      <c r="AG540" s="309"/>
    </row>
    <row r="541" spans="1:33" ht="15.75" customHeight="1" x14ac:dyDescent="0.25">
      <c r="A541" s="309"/>
      <c r="B541" s="309"/>
      <c r="C541" s="309"/>
      <c r="D541" s="309"/>
      <c r="E541" s="309"/>
      <c r="F541" s="309"/>
      <c r="G541" s="309"/>
      <c r="H541" s="309"/>
      <c r="I541" s="309"/>
      <c r="J541" s="309"/>
      <c r="K541" s="309"/>
      <c r="L541" s="309"/>
      <c r="M541" s="309"/>
      <c r="N541" s="309"/>
      <c r="O541" s="309"/>
      <c r="P541" s="309"/>
      <c r="Q541" s="309"/>
      <c r="R541" s="309"/>
      <c r="S541" s="309"/>
      <c r="T541" s="309"/>
      <c r="U541" s="309"/>
      <c r="V541" s="309"/>
      <c r="W541" s="309"/>
      <c r="X541" s="309"/>
      <c r="Y541" s="309"/>
      <c r="Z541" s="309"/>
      <c r="AA541" s="309"/>
      <c r="AB541" s="309"/>
      <c r="AC541" s="309"/>
      <c r="AD541" s="309"/>
      <c r="AE541" s="309"/>
      <c r="AF541" s="309"/>
      <c r="AG541" s="309"/>
    </row>
    <row r="542" spans="1:33" ht="15.75" customHeight="1" x14ac:dyDescent="0.25">
      <c r="A542" s="309"/>
      <c r="B542" s="309"/>
      <c r="C542" s="309"/>
      <c r="D542" s="309"/>
      <c r="E542" s="309"/>
      <c r="F542" s="309"/>
      <c r="G542" s="309"/>
      <c r="H542" s="309"/>
      <c r="I542" s="309"/>
      <c r="J542" s="309"/>
      <c r="K542" s="309"/>
      <c r="L542" s="309"/>
      <c r="M542" s="309"/>
      <c r="N542" s="309"/>
      <c r="O542" s="309"/>
      <c r="P542" s="309"/>
      <c r="Q542" s="309"/>
      <c r="R542" s="309"/>
      <c r="S542" s="309"/>
      <c r="T542" s="309"/>
      <c r="U542" s="309"/>
      <c r="V542" s="309"/>
      <c r="W542" s="309"/>
      <c r="X542" s="309"/>
      <c r="Y542" s="309"/>
      <c r="Z542" s="309"/>
      <c r="AA542" s="309"/>
      <c r="AB542" s="309"/>
      <c r="AC542" s="309"/>
      <c r="AD542" s="309"/>
      <c r="AE542" s="309"/>
      <c r="AF542" s="309"/>
      <c r="AG542" s="309"/>
    </row>
    <row r="543" spans="1:33" ht="15.75" customHeight="1" x14ac:dyDescent="0.25">
      <c r="A543" s="309"/>
      <c r="B543" s="309"/>
      <c r="C543" s="309"/>
      <c r="D543" s="309"/>
      <c r="E543" s="309"/>
      <c r="F543" s="309"/>
      <c r="G543" s="309"/>
      <c r="H543" s="309"/>
      <c r="I543" s="309"/>
      <c r="J543" s="309"/>
      <c r="K543" s="309"/>
      <c r="L543" s="309"/>
      <c r="M543" s="309"/>
      <c r="N543" s="309"/>
      <c r="O543" s="309"/>
      <c r="P543" s="309"/>
      <c r="Q543" s="309"/>
      <c r="R543" s="309"/>
      <c r="S543" s="309"/>
      <c r="T543" s="309"/>
      <c r="U543" s="309"/>
      <c r="V543" s="309"/>
      <c r="W543" s="309"/>
      <c r="X543" s="309"/>
      <c r="Y543" s="309"/>
      <c r="Z543" s="309"/>
      <c r="AA543" s="309"/>
      <c r="AB543" s="309"/>
      <c r="AC543" s="309"/>
      <c r="AD543" s="309"/>
      <c r="AE543" s="309"/>
      <c r="AF543" s="309"/>
      <c r="AG543" s="309"/>
    </row>
    <row r="544" spans="1:33" ht="15.75" customHeight="1" x14ac:dyDescent="0.25">
      <c r="A544" s="309"/>
      <c r="B544" s="309"/>
      <c r="C544" s="309"/>
      <c r="D544" s="309"/>
      <c r="E544" s="309"/>
      <c r="F544" s="309"/>
      <c r="G544" s="309"/>
      <c r="H544" s="309"/>
      <c r="I544" s="309"/>
      <c r="J544" s="309"/>
      <c r="K544" s="309"/>
      <c r="L544" s="309"/>
      <c r="M544" s="309"/>
      <c r="N544" s="309"/>
      <c r="O544" s="309"/>
      <c r="P544" s="309"/>
      <c r="Q544" s="309"/>
      <c r="R544" s="309"/>
      <c r="S544" s="309"/>
      <c r="T544" s="309"/>
      <c r="U544" s="309"/>
      <c r="V544" s="309"/>
      <c r="W544" s="309"/>
      <c r="X544" s="309"/>
      <c r="Y544" s="309"/>
      <c r="Z544" s="309"/>
      <c r="AA544" s="309"/>
      <c r="AB544" s="309"/>
      <c r="AC544" s="309"/>
      <c r="AD544" s="309"/>
      <c r="AE544" s="309"/>
      <c r="AF544" s="309"/>
      <c r="AG544" s="309"/>
    </row>
    <row r="545" spans="1:33" ht="15.75" customHeight="1" x14ac:dyDescent="0.25">
      <c r="A545" s="309"/>
      <c r="B545" s="309"/>
      <c r="C545" s="309"/>
      <c r="D545" s="309"/>
      <c r="E545" s="309"/>
      <c r="F545" s="309"/>
      <c r="G545" s="309"/>
      <c r="H545" s="309"/>
      <c r="I545" s="309"/>
      <c r="J545" s="309"/>
      <c r="K545" s="309"/>
      <c r="L545" s="309"/>
      <c r="M545" s="309"/>
      <c r="N545" s="309"/>
      <c r="O545" s="309"/>
      <c r="P545" s="309"/>
      <c r="Q545" s="309"/>
      <c r="R545" s="309"/>
      <c r="S545" s="309"/>
      <c r="T545" s="309"/>
      <c r="U545" s="309"/>
      <c r="V545" s="309"/>
      <c r="W545" s="309"/>
      <c r="X545" s="309"/>
      <c r="Y545" s="309"/>
      <c r="Z545" s="309"/>
      <c r="AA545" s="309"/>
      <c r="AB545" s="309"/>
      <c r="AC545" s="309"/>
      <c r="AD545" s="309"/>
      <c r="AE545" s="309"/>
      <c r="AF545" s="309"/>
      <c r="AG545" s="309"/>
    </row>
    <row r="546" spans="1:33" ht="15.75" customHeight="1" x14ac:dyDescent="0.25">
      <c r="A546" s="309"/>
      <c r="B546" s="309"/>
      <c r="C546" s="309"/>
      <c r="D546" s="309"/>
      <c r="E546" s="309"/>
      <c r="F546" s="309"/>
      <c r="G546" s="309"/>
      <c r="H546" s="309"/>
      <c r="I546" s="309"/>
      <c r="J546" s="309"/>
      <c r="K546" s="309"/>
      <c r="L546" s="309"/>
      <c r="M546" s="309"/>
      <c r="N546" s="309"/>
      <c r="O546" s="309"/>
      <c r="P546" s="309"/>
      <c r="Q546" s="309"/>
      <c r="R546" s="309"/>
      <c r="S546" s="309"/>
      <c r="T546" s="309"/>
      <c r="U546" s="309"/>
      <c r="V546" s="309"/>
      <c r="W546" s="309"/>
      <c r="X546" s="309"/>
      <c r="Y546" s="309"/>
      <c r="Z546" s="309"/>
      <c r="AA546" s="309"/>
      <c r="AB546" s="309"/>
      <c r="AC546" s="309"/>
      <c r="AD546" s="309"/>
      <c r="AE546" s="309"/>
      <c r="AF546" s="309"/>
      <c r="AG546" s="309"/>
    </row>
    <row r="547" spans="1:33" ht="15.75" customHeight="1" x14ac:dyDescent="0.25">
      <c r="A547" s="309"/>
      <c r="B547" s="309"/>
      <c r="C547" s="309"/>
      <c r="D547" s="309"/>
      <c r="E547" s="309"/>
      <c r="F547" s="309"/>
      <c r="G547" s="309"/>
      <c r="H547" s="309"/>
      <c r="I547" s="309"/>
      <c r="J547" s="309"/>
      <c r="K547" s="309"/>
      <c r="L547" s="309"/>
      <c r="M547" s="309"/>
      <c r="N547" s="309"/>
      <c r="O547" s="309"/>
      <c r="P547" s="309"/>
      <c r="Q547" s="309"/>
      <c r="R547" s="309"/>
      <c r="S547" s="309"/>
      <c r="T547" s="309"/>
      <c r="U547" s="309"/>
      <c r="V547" s="309"/>
      <c r="W547" s="309"/>
      <c r="X547" s="309"/>
      <c r="Y547" s="309"/>
      <c r="Z547" s="309"/>
      <c r="AA547" s="309"/>
      <c r="AB547" s="309"/>
      <c r="AC547" s="309"/>
      <c r="AD547" s="309"/>
      <c r="AE547" s="309"/>
      <c r="AF547" s="309"/>
      <c r="AG547" s="309"/>
    </row>
    <row r="548" spans="1:33" ht="15.75" customHeight="1" x14ac:dyDescent="0.25">
      <c r="A548" s="309"/>
      <c r="B548" s="309"/>
      <c r="C548" s="309"/>
      <c r="D548" s="309"/>
      <c r="E548" s="309"/>
      <c r="F548" s="309"/>
      <c r="G548" s="309"/>
      <c r="H548" s="309"/>
      <c r="I548" s="309"/>
      <c r="J548" s="309"/>
      <c r="K548" s="309"/>
      <c r="L548" s="309"/>
      <c r="M548" s="309"/>
      <c r="N548" s="309"/>
      <c r="O548" s="309"/>
      <c r="P548" s="309"/>
      <c r="Q548" s="309"/>
      <c r="R548" s="309"/>
      <c r="S548" s="309"/>
      <c r="T548" s="309"/>
      <c r="U548" s="309"/>
      <c r="V548" s="309"/>
      <c r="W548" s="309"/>
      <c r="X548" s="309"/>
      <c r="Y548" s="309"/>
      <c r="Z548" s="309"/>
      <c r="AA548" s="309"/>
      <c r="AB548" s="309"/>
      <c r="AC548" s="309"/>
      <c r="AD548" s="309"/>
      <c r="AE548" s="309"/>
      <c r="AF548" s="309"/>
      <c r="AG548" s="309"/>
    </row>
    <row r="549" spans="1:33" ht="15.75" customHeight="1" x14ac:dyDescent="0.25">
      <c r="A549" s="309"/>
      <c r="B549" s="309"/>
      <c r="C549" s="309"/>
      <c r="D549" s="309"/>
      <c r="E549" s="309"/>
      <c r="F549" s="309"/>
      <c r="G549" s="309"/>
      <c r="H549" s="309"/>
      <c r="I549" s="309"/>
      <c r="J549" s="309"/>
      <c r="K549" s="309"/>
      <c r="L549" s="309"/>
      <c r="M549" s="309"/>
      <c r="N549" s="309"/>
      <c r="O549" s="309"/>
      <c r="P549" s="309"/>
      <c r="Q549" s="309"/>
      <c r="R549" s="309"/>
      <c r="S549" s="309"/>
      <c r="T549" s="309"/>
      <c r="U549" s="309"/>
      <c r="V549" s="309"/>
      <c r="W549" s="309"/>
      <c r="X549" s="309"/>
      <c r="Y549" s="309"/>
      <c r="Z549" s="309"/>
      <c r="AA549" s="309"/>
      <c r="AB549" s="309"/>
      <c r="AC549" s="309"/>
      <c r="AD549" s="309"/>
      <c r="AE549" s="309"/>
      <c r="AF549" s="309"/>
      <c r="AG549" s="309"/>
    </row>
    <row r="550" spans="1:33" ht="15.75" customHeight="1" x14ac:dyDescent="0.25">
      <c r="A550" s="309"/>
      <c r="B550" s="309"/>
      <c r="C550" s="309"/>
      <c r="D550" s="309"/>
      <c r="E550" s="309"/>
      <c r="F550" s="309"/>
      <c r="G550" s="309"/>
      <c r="H550" s="309"/>
      <c r="I550" s="309"/>
      <c r="J550" s="309"/>
      <c r="K550" s="309"/>
      <c r="L550" s="309"/>
      <c r="M550" s="309"/>
      <c r="N550" s="309"/>
      <c r="O550" s="309"/>
      <c r="P550" s="309"/>
      <c r="Q550" s="309"/>
      <c r="R550" s="309"/>
      <c r="S550" s="309"/>
      <c r="T550" s="309"/>
      <c r="U550" s="309"/>
      <c r="V550" s="309"/>
      <c r="W550" s="309"/>
      <c r="X550" s="309"/>
      <c r="Y550" s="309"/>
      <c r="Z550" s="309"/>
      <c r="AA550" s="309"/>
      <c r="AB550" s="309"/>
      <c r="AC550" s="309"/>
      <c r="AD550" s="309"/>
      <c r="AE550" s="309"/>
      <c r="AF550" s="309"/>
      <c r="AG550" s="309"/>
    </row>
    <row r="551" spans="1:33" ht="15.75" customHeight="1" x14ac:dyDescent="0.25">
      <c r="A551" s="309"/>
      <c r="B551" s="309"/>
      <c r="C551" s="309"/>
      <c r="D551" s="309"/>
      <c r="E551" s="309"/>
      <c r="F551" s="309"/>
      <c r="G551" s="309"/>
      <c r="H551" s="309"/>
      <c r="I551" s="309"/>
      <c r="J551" s="309"/>
      <c r="K551" s="309"/>
      <c r="L551" s="309"/>
      <c r="M551" s="309"/>
      <c r="N551" s="309"/>
      <c r="O551" s="309"/>
      <c r="P551" s="309"/>
      <c r="Q551" s="309"/>
      <c r="R551" s="309"/>
      <c r="S551" s="309"/>
      <c r="T551" s="309"/>
      <c r="U551" s="309"/>
      <c r="V551" s="309"/>
      <c r="W551" s="309"/>
      <c r="X551" s="309"/>
      <c r="Y551" s="309"/>
      <c r="Z551" s="309"/>
      <c r="AA551" s="309"/>
      <c r="AB551" s="309"/>
      <c r="AC551" s="309"/>
      <c r="AD551" s="309"/>
      <c r="AE551" s="309"/>
      <c r="AF551" s="309"/>
      <c r="AG551" s="309"/>
    </row>
    <row r="552" spans="1:33" ht="15.75" customHeight="1" x14ac:dyDescent="0.25">
      <c r="A552" s="309"/>
      <c r="B552" s="309"/>
      <c r="C552" s="309"/>
      <c r="D552" s="309"/>
      <c r="E552" s="309"/>
      <c r="F552" s="309"/>
      <c r="G552" s="309"/>
      <c r="H552" s="309"/>
      <c r="I552" s="309"/>
      <c r="J552" s="309"/>
      <c r="K552" s="309"/>
      <c r="L552" s="309"/>
      <c r="M552" s="309"/>
      <c r="N552" s="309"/>
      <c r="O552" s="309"/>
      <c r="P552" s="309"/>
      <c r="Q552" s="309"/>
      <c r="R552" s="309"/>
      <c r="S552" s="309"/>
      <c r="T552" s="309"/>
      <c r="U552" s="309"/>
      <c r="V552" s="309"/>
      <c r="W552" s="309"/>
      <c r="X552" s="309"/>
      <c r="Y552" s="309"/>
      <c r="Z552" s="309"/>
      <c r="AA552" s="309"/>
      <c r="AB552" s="309"/>
      <c r="AC552" s="309"/>
      <c r="AD552" s="309"/>
      <c r="AE552" s="309"/>
      <c r="AF552" s="309"/>
      <c r="AG552" s="309"/>
    </row>
    <row r="553" spans="1:33" ht="15.75" customHeight="1" x14ac:dyDescent="0.25">
      <c r="A553" s="309"/>
      <c r="B553" s="309"/>
      <c r="C553" s="309"/>
      <c r="D553" s="309"/>
      <c r="E553" s="309"/>
      <c r="F553" s="309"/>
      <c r="G553" s="309"/>
      <c r="H553" s="309"/>
      <c r="I553" s="309"/>
      <c r="J553" s="309"/>
      <c r="K553" s="309"/>
      <c r="L553" s="309"/>
      <c r="M553" s="309"/>
      <c r="N553" s="309"/>
      <c r="O553" s="309"/>
      <c r="P553" s="309"/>
      <c r="Q553" s="309"/>
      <c r="R553" s="309"/>
      <c r="S553" s="309"/>
      <c r="T553" s="309"/>
      <c r="U553" s="309"/>
      <c r="V553" s="309"/>
      <c r="W553" s="309"/>
      <c r="X553" s="309"/>
      <c r="Y553" s="309"/>
      <c r="Z553" s="309"/>
      <c r="AA553" s="309"/>
      <c r="AB553" s="309"/>
      <c r="AC553" s="309"/>
      <c r="AD553" s="309"/>
      <c r="AE553" s="309"/>
      <c r="AF553" s="309"/>
      <c r="AG553" s="309"/>
    </row>
    <row r="554" spans="1:33" ht="15.75" customHeight="1" x14ac:dyDescent="0.25">
      <c r="A554" s="309"/>
      <c r="B554" s="309"/>
      <c r="C554" s="309"/>
      <c r="D554" s="309"/>
      <c r="E554" s="309"/>
      <c r="F554" s="309"/>
      <c r="G554" s="309"/>
      <c r="H554" s="309"/>
      <c r="I554" s="309"/>
      <c r="J554" s="309"/>
      <c r="K554" s="309"/>
      <c r="L554" s="309"/>
      <c r="M554" s="309"/>
      <c r="N554" s="309"/>
      <c r="O554" s="309"/>
      <c r="P554" s="309"/>
      <c r="Q554" s="309"/>
      <c r="R554" s="309"/>
      <c r="S554" s="309"/>
      <c r="T554" s="309"/>
      <c r="U554" s="309"/>
      <c r="V554" s="309"/>
      <c r="W554" s="309"/>
      <c r="X554" s="309"/>
      <c r="Y554" s="309"/>
      <c r="Z554" s="309"/>
      <c r="AA554" s="309"/>
      <c r="AB554" s="309"/>
      <c r="AC554" s="309"/>
      <c r="AD554" s="309"/>
      <c r="AE554" s="309"/>
      <c r="AF554" s="309"/>
      <c r="AG554" s="309"/>
    </row>
    <row r="555" spans="1:33" ht="15.75" customHeight="1" x14ac:dyDescent="0.25">
      <c r="A555" s="309"/>
      <c r="B555" s="309"/>
      <c r="C555" s="309"/>
      <c r="D555" s="309"/>
      <c r="E555" s="309"/>
      <c r="F555" s="309"/>
      <c r="G555" s="309"/>
      <c r="H555" s="309"/>
      <c r="I555" s="309"/>
      <c r="J555" s="309"/>
      <c r="K555" s="309"/>
      <c r="L555" s="309"/>
      <c r="M555" s="309"/>
      <c r="N555" s="309"/>
      <c r="O555" s="309"/>
      <c r="P555" s="309"/>
      <c r="Q555" s="309"/>
      <c r="R555" s="309"/>
      <c r="S555" s="309"/>
      <c r="T555" s="309"/>
      <c r="U555" s="309"/>
      <c r="V555" s="309"/>
      <c r="W555" s="309"/>
      <c r="X555" s="309"/>
      <c r="Y555" s="309"/>
      <c r="Z555" s="309"/>
      <c r="AA555" s="309"/>
      <c r="AB555" s="309"/>
      <c r="AC555" s="309"/>
      <c r="AD555" s="309"/>
      <c r="AE555" s="309"/>
      <c r="AF555" s="309"/>
      <c r="AG555" s="309"/>
    </row>
    <row r="556" spans="1:33" ht="15.75" customHeight="1" x14ac:dyDescent="0.25">
      <c r="A556" s="309"/>
      <c r="B556" s="309"/>
      <c r="C556" s="309"/>
      <c r="D556" s="309"/>
      <c r="E556" s="309"/>
      <c r="F556" s="309"/>
      <c r="G556" s="309"/>
      <c r="H556" s="309"/>
      <c r="I556" s="309"/>
      <c r="J556" s="309"/>
      <c r="K556" s="309"/>
      <c r="L556" s="309"/>
      <c r="M556" s="309"/>
      <c r="N556" s="309"/>
      <c r="O556" s="309"/>
      <c r="P556" s="309"/>
      <c r="Q556" s="309"/>
      <c r="R556" s="309"/>
      <c r="S556" s="309"/>
      <c r="T556" s="309"/>
      <c r="U556" s="309"/>
      <c r="V556" s="309"/>
      <c r="W556" s="309"/>
      <c r="X556" s="309"/>
      <c r="Y556" s="309"/>
      <c r="Z556" s="309"/>
      <c r="AA556" s="309"/>
      <c r="AB556" s="309"/>
      <c r="AC556" s="309"/>
      <c r="AD556" s="309"/>
      <c r="AE556" s="309"/>
      <c r="AF556" s="309"/>
      <c r="AG556" s="309"/>
    </row>
    <row r="557" spans="1:33" ht="15.75" customHeight="1" x14ac:dyDescent="0.25">
      <c r="A557" s="309"/>
      <c r="B557" s="309"/>
      <c r="C557" s="309"/>
      <c r="D557" s="309"/>
      <c r="E557" s="309"/>
      <c r="F557" s="309"/>
      <c r="G557" s="309"/>
      <c r="H557" s="309"/>
      <c r="I557" s="309"/>
      <c r="J557" s="309"/>
      <c r="K557" s="309"/>
      <c r="L557" s="309"/>
      <c r="M557" s="309"/>
      <c r="N557" s="309"/>
      <c r="O557" s="309"/>
      <c r="P557" s="309"/>
      <c r="Q557" s="309"/>
      <c r="R557" s="309"/>
      <c r="S557" s="309"/>
      <c r="T557" s="309"/>
      <c r="U557" s="309"/>
      <c r="V557" s="309"/>
      <c r="W557" s="309"/>
      <c r="X557" s="309"/>
      <c r="Y557" s="309"/>
      <c r="Z557" s="309"/>
      <c r="AA557" s="309"/>
      <c r="AB557" s="309"/>
      <c r="AC557" s="309"/>
      <c r="AD557" s="309"/>
      <c r="AE557" s="309"/>
      <c r="AF557" s="309"/>
      <c r="AG557" s="309"/>
    </row>
    <row r="558" spans="1:33" ht="15.75" customHeight="1" x14ac:dyDescent="0.25">
      <c r="A558" s="309"/>
      <c r="B558" s="309"/>
      <c r="C558" s="309"/>
      <c r="D558" s="309"/>
      <c r="E558" s="309"/>
      <c r="F558" s="309"/>
      <c r="G558" s="309"/>
      <c r="H558" s="309"/>
      <c r="I558" s="309"/>
      <c r="J558" s="309"/>
      <c r="K558" s="309"/>
      <c r="L558" s="309"/>
      <c r="M558" s="309"/>
      <c r="N558" s="309"/>
      <c r="O558" s="309"/>
      <c r="P558" s="309"/>
      <c r="Q558" s="309"/>
      <c r="R558" s="309"/>
      <c r="S558" s="309"/>
      <c r="T558" s="309"/>
      <c r="U558" s="309"/>
      <c r="V558" s="309"/>
      <c r="W558" s="309"/>
      <c r="X558" s="309"/>
      <c r="Y558" s="309"/>
      <c r="Z558" s="309"/>
      <c r="AA558" s="309"/>
      <c r="AB558" s="309"/>
      <c r="AC558" s="309"/>
      <c r="AD558" s="309"/>
      <c r="AE558" s="309"/>
      <c r="AF558" s="309"/>
      <c r="AG558" s="309"/>
    </row>
    <row r="559" spans="1:33" ht="15.75" customHeight="1" x14ac:dyDescent="0.25">
      <c r="A559" s="309"/>
      <c r="B559" s="309"/>
      <c r="C559" s="309"/>
      <c r="D559" s="309"/>
      <c r="E559" s="309"/>
      <c r="F559" s="309"/>
      <c r="G559" s="309"/>
      <c r="H559" s="309"/>
      <c r="I559" s="309"/>
      <c r="J559" s="309"/>
      <c r="K559" s="309"/>
      <c r="L559" s="309"/>
      <c r="M559" s="309"/>
      <c r="N559" s="309"/>
      <c r="O559" s="309"/>
      <c r="P559" s="309"/>
      <c r="Q559" s="309"/>
      <c r="R559" s="309"/>
      <c r="S559" s="309"/>
      <c r="T559" s="309"/>
      <c r="U559" s="309"/>
      <c r="V559" s="309"/>
      <c r="W559" s="309"/>
      <c r="X559" s="309"/>
      <c r="Y559" s="309"/>
      <c r="Z559" s="309"/>
      <c r="AA559" s="309"/>
      <c r="AB559" s="309"/>
      <c r="AC559" s="309"/>
      <c r="AD559" s="309"/>
      <c r="AE559" s="309"/>
      <c r="AF559" s="309"/>
      <c r="AG559" s="309"/>
    </row>
    <row r="560" spans="1:33" ht="15.75" customHeight="1" x14ac:dyDescent="0.25">
      <c r="A560" s="309"/>
      <c r="B560" s="309"/>
      <c r="C560" s="309"/>
      <c r="D560" s="309"/>
      <c r="E560" s="309"/>
      <c r="F560" s="309"/>
      <c r="G560" s="309"/>
      <c r="H560" s="309"/>
      <c r="I560" s="309"/>
      <c r="J560" s="309"/>
      <c r="K560" s="309"/>
      <c r="L560" s="309"/>
      <c r="M560" s="309"/>
      <c r="N560" s="309"/>
      <c r="O560" s="309"/>
      <c r="P560" s="309"/>
      <c r="Q560" s="309"/>
      <c r="R560" s="309"/>
      <c r="S560" s="309"/>
      <c r="T560" s="309"/>
      <c r="U560" s="309"/>
      <c r="V560" s="309"/>
      <c r="W560" s="309"/>
      <c r="X560" s="309"/>
      <c r="Y560" s="309"/>
      <c r="Z560" s="309"/>
      <c r="AA560" s="309"/>
      <c r="AB560" s="309"/>
      <c r="AC560" s="309"/>
      <c r="AD560" s="309"/>
      <c r="AE560" s="309"/>
      <c r="AF560" s="309"/>
      <c r="AG560" s="309"/>
    </row>
    <row r="561" spans="1:33" ht="15.75" customHeight="1" x14ac:dyDescent="0.25">
      <c r="A561" s="309"/>
      <c r="B561" s="309"/>
      <c r="C561" s="309"/>
      <c r="D561" s="309"/>
      <c r="E561" s="309"/>
      <c r="F561" s="309"/>
      <c r="G561" s="309"/>
      <c r="H561" s="309"/>
      <c r="I561" s="309"/>
      <c r="J561" s="309"/>
      <c r="K561" s="309"/>
      <c r="L561" s="309"/>
      <c r="M561" s="309"/>
      <c r="N561" s="309"/>
      <c r="O561" s="309"/>
      <c r="P561" s="309"/>
      <c r="Q561" s="309"/>
      <c r="R561" s="309"/>
      <c r="S561" s="309"/>
      <c r="T561" s="309"/>
      <c r="U561" s="309"/>
      <c r="V561" s="309"/>
      <c r="W561" s="309"/>
      <c r="X561" s="309"/>
      <c r="Y561" s="309"/>
      <c r="Z561" s="309"/>
      <c r="AA561" s="309"/>
      <c r="AB561" s="309"/>
      <c r="AC561" s="309"/>
      <c r="AD561" s="309"/>
      <c r="AE561" s="309"/>
      <c r="AF561" s="309"/>
      <c r="AG561" s="309"/>
    </row>
    <row r="562" spans="1:33" ht="15.75" customHeight="1" x14ac:dyDescent="0.25">
      <c r="A562" s="309"/>
      <c r="B562" s="309"/>
      <c r="C562" s="309"/>
      <c r="D562" s="309"/>
      <c r="E562" s="309"/>
      <c r="F562" s="309"/>
      <c r="G562" s="309"/>
      <c r="H562" s="309"/>
      <c r="I562" s="309"/>
      <c r="J562" s="309"/>
      <c r="K562" s="309"/>
      <c r="L562" s="309"/>
      <c r="M562" s="309"/>
      <c r="N562" s="309"/>
      <c r="O562" s="309"/>
      <c r="P562" s="309"/>
      <c r="Q562" s="309"/>
      <c r="R562" s="309"/>
      <c r="S562" s="309"/>
      <c r="T562" s="309"/>
      <c r="U562" s="309"/>
      <c r="V562" s="309"/>
      <c r="W562" s="309"/>
      <c r="X562" s="309"/>
      <c r="Y562" s="309"/>
      <c r="Z562" s="309"/>
      <c r="AA562" s="309"/>
      <c r="AB562" s="309"/>
      <c r="AC562" s="309"/>
      <c r="AD562" s="309"/>
      <c r="AE562" s="309"/>
      <c r="AF562" s="309"/>
      <c r="AG562" s="309"/>
    </row>
    <row r="563" spans="1:33" ht="15.75" customHeight="1" x14ac:dyDescent="0.25">
      <c r="A563" s="309"/>
      <c r="B563" s="309"/>
      <c r="C563" s="309"/>
      <c r="D563" s="309"/>
      <c r="E563" s="309"/>
      <c r="F563" s="309"/>
      <c r="G563" s="309"/>
      <c r="H563" s="309"/>
      <c r="I563" s="309"/>
      <c r="J563" s="309"/>
      <c r="K563" s="309"/>
      <c r="L563" s="309"/>
      <c r="M563" s="309"/>
      <c r="N563" s="309"/>
      <c r="O563" s="309"/>
      <c r="P563" s="309"/>
      <c r="Q563" s="309"/>
      <c r="R563" s="309"/>
      <c r="S563" s="309"/>
      <c r="T563" s="309"/>
      <c r="U563" s="309"/>
      <c r="V563" s="309"/>
      <c r="W563" s="309"/>
      <c r="X563" s="309"/>
      <c r="Y563" s="309"/>
      <c r="Z563" s="309"/>
      <c r="AA563" s="309"/>
      <c r="AB563" s="309"/>
      <c r="AC563" s="309"/>
      <c r="AD563" s="309"/>
      <c r="AE563" s="309"/>
      <c r="AF563" s="309"/>
      <c r="AG563" s="309"/>
    </row>
    <row r="564" spans="1:33" ht="15.75" customHeight="1" x14ac:dyDescent="0.25">
      <c r="A564" s="309"/>
      <c r="B564" s="309"/>
      <c r="C564" s="309"/>
      <c r="D564" s="309"/>
      <c r="E564" s="309"/>
      <c r="F564" s="309"/>
      <c r="G564" s="309"/>
      <c r="H564" s="309"/>
      <c r="I564" s="309"/>
      <c r="J564" s="309"/>
      <c r="K564" s="309"/>
      <c r="L564" s="309"/>
      <c r="M564" s="309"/>
      <c r="N564" s="309"/>
      <c r="O564" s="309"/>
      <c r="P564" s="309"/>
      <c r="Q564" s="309"/>
      <c r="R564" s="309"/>
      <c r="S564" s="309"/>
      <c r="T564" s="309"/>
      <c r="U564" s="309"/>
      <c r="V564" s="309"/>
      <c r="W564" s="309"/>
      <c r="X564" s="309"/>
      <c r="Y564" s="309"/>
      <c r="Z564" s="309"/>
      <c r="AA564" s="309"/>
      <c r="AB564" s="309"/>
      <c r="AC564" s="309"/>
      <c r="AD564" s="309"/>
      <c r="AE564" s="309"/>
      <c r="AF564" s="309"/>
      <c r="AG564" s="309"/>
    </row>
    <row r="565" spans="1:33" ht="15.75" customHeight="1" x14ac:dyDescent="0.25">
      <c r="A565" s="309"/>
      <c r="B565" s="309"/>
      <c r="C565" s="309"/>
      <c r="D565" s="309"/>
      <c r="E565" s="309"/>
      <c r="F565" s="309"/>
      <c r="G565" s="309"/>
      <c r="H565" s="309"/>
      <c r="I565" s="309"/>
      <c r="J565" s="309"/>
      <c r="K565" s="309"/>
      <c r="L565" s="309"/>
      <c r="M565" s="309"/>
      <c r="N565" s="309"/>
      <c r="O565" s="309"/>
      <c r="P565" s="309"/>
      <c r="Q565" s="309"/>
      <c r="R565" s="309"/>
      <c r="S565" s="309"/>
      <c r="T565" s="309"/>
      <c r="U565" s="309"/>
      <c r="V565" s="309"/>
      <c r="W565" s="309"/>
      <c r="X565" s="309"/>
      <c r="Y565" s="309"/>
      <c r="Z565" s="309"/>
      <c r="AA565" s="309"/>
      <c r="AB565" s="309"/>
      <c r="AC565" s="309"/>
      <c r="AD565" s="309"/>
      <c r="AE565" s="309"/>
      <c r="AF565" s="309"/>
      <c r="AG565" s="309"/>
    </row>
    <row r="566" spans="1:33" ht="15.75" customHeight="1" x14ac:dyDescent="0.25">
      <c r="A566" s="309"/>
      <c r="B566" s="309"/>
      <c r="C566" s="309"/>
      <c r="D566" s="309"/>
      <c r="E566" s="309"/>
      <c r="F566" s="309"/>
      <c r="G566" s="309"/>
      <c r="H566" s="309"/>
      <c r="I566" s="309"/>
      <c r="J566" s="309"/>
      <c r="K566" s="309"/>
      <c r="L566" s="309"/>
      <c r="M566" s="309"/>
      <c r="N566" s="309"/>
      <c r="O566" s="309"/>
      <c r="P566" s="309"/>
      <c r="Q566" s="309"/>
      <c r="R566" s="309"/>
      <c r="S566" s="309"/>
      <c r="T566" s="309"/>
      <c r="U566" s="309"/>
      <c r="V566" s="309"/>
      <c r="W566" s="309"/>
      <c r="X566" s="309"/>
      <c r="Y566" s="309"/>
      <c r="Z566" s="309"/>
      <c r="AA566" s="309"/>
      <c r="AB566" s="309"/>
      <c r="AC566" s="309"/>
      <c r="AD566" s="309"/>
      <c r="AE566" s="309"/>
      <c r="AF566" s="309"/>
      <c r="AG566" s="309"/>
    </row>
    <row r="567" spans="1:33" ht="15.75" customHeight="1" x14ac:dyDescent="0.25">
      <c r="A567" s="309"/>
      <c r="B567" s="309"/>
      <c r="C567" s="309"/>
      <c r="D567" s="309"/>
      <c r="E567" s="309"/>
      <c r="F567" s="309"/>
      <c r="G567" s="309"/>
      <c r="H567" s="309"/>
      <c r="I567" s="309"/>
      <c r="J567" s="309"/>
      <c r="K567" s="309"/>
      <c r="L567" s="309"/>
      <c r="M567" s="309"/>
      <c r="N567" s="309"/>
      <c r="O567" s="309"/>
      <c r="P567" s="309"/>
      <c r="Q567" s="309"/>
      <c r="R567" s="309"/>
      <c r="S567" s="309"/>
      <c r="T567" s="309"/>
      <c r="U567" s="309"/>
      <c r="V567" s="309"/>
      <c r="W567" s="309"/>
      <c r="X567" s="309"/>
      <c r="Y567" s="309"/>
      <c r="Z567" s="309"/>
      <c r="AA567" s="309"/>
      <c r="AB567" s="309"/>
      <c r="AC567" s="309"/>
      <c r="AD567" s="309"/>
      <c r="AE567" s="309"/>
      <c r="AF567" s="309"/>
      <c r="AG567" s="309"/>
    </row>
    <row r="568" spans="1:33" ht="15.75" customHeight="1" x14ac:dyDescent="0.25">
      <c r="A568" s="309"/>
      <c r="B568" s="309"/>
      <c r="C568" s="309"/>
      <c r="D568" s="309"/>
      <c r="E568" s="309"/>
      <c r="F568" s="309"/>
      <c r="G568" s="309"/>
      <c r="H568" s="309"/>
      <c r="I568" s="309"/>
      <c r="J568" s="309"/>
      <c r="K568" s="309"/>
      <c r="L568" s="309"/>
      <c r="M568" s="309"/>
      <c r="N568" s="309"/>
      <c r="O568" s="309"/>
      <c r="P568" s="309"/>
      <c r="Q568" s="309"/>
      <c r="R568" s="309"/>
      <c r="S568" s="309"/>
      <c r="T568" s="309"/>
      <c r="U568" s="309"/>
      <c r="V568" s="309"/>
      <c r="W568" s="309"/>
      <c r="X568" s="309"/>
      <c r="Y568" s="309"/>
      <c r="Z568" s="309"/>
      <c r="AA568" s="309"/>
      <c r="AB568" s="309"/>
      <c r="AC568" s="309"/>
      <c r="AD568" s="309"/>
      <c r="AE568" s="309"/>
      <c r="AF568" s="309"/>
      <c r="AG568" s="309"/>
    </row>
    <row r="569" spans="1:33" ht="15.75" customHeight="1" x14ac:dyDescent="0.25">
      <c r="A569" s="309"/>
      <c r="B569" s="309"/>
      <c r="C569" s="309"/>
      <c r="D569" s="309"/>
      <c r="E569" s="309"/>
      <c r="F569" s="309"/>
      <c r="G569" s="309"/>
      <c r="H569" s="309"/>
      <c r="I569" s="309"/>
      <c r="J569" s="309"/>
      <c r="K569" s="309"/>
      <c r="L569" s="309"/>
      <c r="M569" s="309"/>
      <c r="N569" s="309"/>
      <c r="O569" s="309"/>
      <c r="P569" s="309"/>
      <c r="Q569" s="309"/>
      <c r="R569" s="309"/>
      <c r="S569" s="309"/>
      <c r="T569" s="309"/>
      <c r="U569" s="309"/>
      <c r="V569" s="309"/>
      <c r="W569" s="309"/>
      <c r="X569" s="309"/>
      <c r="Y569" s="309"/>
      <c r="Z569" s="309"/>
      <c r="AA569" s="309"/>
      <c r="AB569" s="309"/>
      <c r="AC569" s="309"/>
      <c r="AD569" s="309"/>
      <c r="AE569" s="309"/>
      <c r="AF569" s="309"/>
      <c r="AG569" s="309"/>
    </row>
    <row r="570" spans="1:33" ht="15.75" customHeight="1" x14ac:dyDescent="0.25">
      <c r="A570" s="309"/>
      <c r="B570" s="309"/>
      <c r="C570" s="309"/>
      <c r="D570" s="309"/>
      <c r="E570" s="309"/>
      <c r="F570" s="309"/>
      <c r="G570" s="309"/>
      <c r="H570" s="309"/>
      <c r="I570" s="309"/>
      <c r="J570" s="309"/>
      <c r="K570" s="309"/>
      <c r="L570" s="309"/>
      <c r="M570" s="309"/>
      <c r="N570" s="309"/>
      <c r="O570" s="309"/>
      <c r="P570" s="309"/>
      <c r="Q570" s="309"/>
      <c r="R570" s="309"/>
      <c r="S570" s="309"/>
      <c r="T570" s="309"/>
      <c r="U570" s="309"/>
      <c r="V570" s="309"/>
      <c r="W570" s="309"/>
      <c r="X570" s="309"/>
      <c r="Y570" s="309"/>
      <c r="Z570" s="309"/>
      <c r="AA570" s="309"/>
      <c r="AB570" s="309"/>
      <c r="AC570" s="309"/>
      <c r="AD570" s="309"/>
      <c r="AE570" s="309"/>
      <c r="AF570" s="309"/>
      <c r="AG570" s="309"/>
    </row>
    <row r="571" spans="1:33" ht="15.75" customHeight="1" x14ac:dyDescent="0.25">
      <c r="A571" s="309"/>
      <c r="B571" s="309"/>
      <c r="C571" s="309"/>
      <c r="D571" s="309"/>
      <c r="E571" s="309"/>
      <c r="F571" s="309"/>
      <c r="G571" s="309"/>
      <c r="H571" s="309"/>
      <c r="I571" s="309"/>
      <c r="J571" s="309"/>
      <c r="K571" s="309"/>
      <c r="L571" s="309"/>
      <c r="M571" s="309"/>
      <c r="N571" s="309"/>
      <c r="O571" s="309"/>
      <c r="P571" s="309"/>
      <c r="Q571" s="309"/>
      <c r="R571" s="309"/>
      <c r="S571" s="309"/>
      <c r="T571" s="309"/>
      <c r="U571" s="309"/>
      <c r="V571" s="309"/>
      <c r="W571" s="309"/>
      <c r="X571" s="309"/>
      <c r="Y571" s="309"/>
      <c r="Z571" s="309"/>
      <c r="AA571" s="309"/>
      <c r="AB571" s="309"/>
      <c r="AC571" s="309"/>
      <c r="AD571" s="309"/>
      <c r="AE571" s="309"/>
      <c r="AF571" s="309"/>
      <c r="AG571" s="309"/>
    </row>
    <row r="572" spans="1:33" ht="15.75" customHeight="1" x14ac:dyDescent="0.25">
      <c r="A572" s="309"/>
      <c r="B572" s="309"/>
      <c r="C572" s="309"/>
      <c r="D572" s="309"/>
      <c r="E572" s="309"/>
      <c r="F572" s="309"/>
      <c r="G572" s="309"/>
      <c r="H572" s="309"/>
      <c r="I572" s="309"/>
      <c r="J572" s="309"/>
      <c r="K572" s="309"/>
      <c r="L572" s="309"/>
      <c r="M572" s="309"/>
      <c r="N572" s="309"/>
      <c r="O572" s="309"/>
      <c r="P572" s="309"/>
      <c r="Q572" s="309"/>
      <c r="R572" s="309"/>
      <c r="S572" s="309"/>
      <c r="T572" s="309"/>
      <c r="U572" s="309"/>
      <c r="V572" s="309"/>
      <c r="W572" s="309"/>
      <c r="X572" s="309"/>
      <c r="Y572" s="309"/>
      <c r="Z572" s="309"/>
      <c r="AA572" s="309"/>
      <c r="AB572" s="309"/>
      <c r="AC572" s="309"/>
      <c r="AD572" s="309"/>
      <c r="AE572" s="309"/>
      <c r="AF572" s="309"/>
      <c r="AG572" s="309"/>
    </row>
    <row r="573" spans="1:33" ht="15.75" customHeight="1" x14ac:dyDescent="0.25">
      <c r="A573" s="309"/>
      <c r="B573" s="309"/>
      <c r="C573" s="309"/>
      <c r="D573" s="309"/>
      <c r="E573" s="309"/>
      <c r="F573" s="309"/>
      <c r="G573" s="309"/>
      <c r="H573" s="309"/>
      <c r="I573" s="309"/>
      <c r="J573" s="309"/>
      <c r="K573" s="309"/>
      <c r="L573" s="309"/>
      <c r="M573" s="309"/>
      <c r="N573" s="309"/>
      <c r="O573" s="309"/>
      <c r="P573" s="309"/>
      <c r="Q573" s="309"/>
      <c r="R573" s="309"/>
      <c r="S573" s="309"/>
      <c r="T573" s="309"/>
      <c r="U573" s="309"/>
      <c r="V573" s="309"/>
      <c r="W573" s="309"/>
      <c r="X573" s="309"/>
      <c r="Y573" s="309"/>
      <c r="Z573" s="309"/>
      <c r="AA573" s="309"/>
      <c r="AB573" s="309"/>
      <c r="AC573" s="309"/>
      <c r="AD573" s="309"/>
      <c r="AE573" s="309"/>
      <c r="AF573" s="309"/>
      <c r="AG573" s="309"/>
    </row>
    <row r="574" spans="1:33" ht="15.75" customHeight="1" x14ac:dyDescent="0.25">
      <c r="A574" s="309"/>
      <c r="B574" s="309"/>
      <c r="C574" s="309"/>
      <c r="D574" s="309"/>
      <c r="E574" s="309"/>
      <c r="F574" s="309"/>
      <c r="G574" s="309"/>
      <c r="H574" s="309"/>
      <c r="I574" s="309"/>
      <c r="J574" s="309"/>
      <c r="K574" s="309"/>
      <c r="L574" s="309"/>
      <c r="M574" s="309"/>
      <c r="N574" s="309"/>
      <c r="O574" s="309"/>
      <c r="P574" s="309"/>
      <c r="Q574" s="309"/>
      <c r="R574" s="309"/>
      <c r="S574" s="309"/>
      <c r="T574" s="309"/>
      <c r="U574" s="309"/>
      <c r="V574" s="309"/>
      <c r="W574" s="309"/>
      <c r="X574" s="309"/>
      <c r="Y574" s="309"/>
      <c r="Z574" s="309"/>
      <c r="AA574" s="309"/>
      <c r="AB574" s="309"/>
      <c r="AC574" s="309"/>
      <c r="AD574" s="309"/>
      <c r="AE574" s="309"/>
      <c r="AF574" s="309"/>
      <c r="AG574" s="309"/>
    </row>
    <row r="575" spans="1:33" ht="15.75" customHeight="1" x14ac:dyDescent="0.25">
      <c r="A575" s="309"/>
      <c r="B575" s="309"/>
      <c r="C575" s="309"/>
      <c r="D575" s="309"/>
      <c r="E575" s="309"/>
      <c r="F575" s="309"/>
      <c r="G575" s="309"/>
      <c r="H575" s="309"/>
      <c r="I575" s="309"/>
      <c r="J575" s="309"/>
      <c r="K575" s="309"/>
      <c r="L575" s="309"/>
      <c r="M575" s="309"/>
      <c r="N575" s="309"/>
      <c r="O575" s="309"/>
      <c r="P575" s="309"/>
      <c r="Q575" s="309"/>
      <c r="R575" s="309"/>
      <c r="S575" s="309"/>
      <c r="T575" s="309"/>
      <c r="U575" s="309"/>
      <c r="V575" s="309"/>
      <c r="W575" s="309"/>
      <c r="X575" s="309"/>
      <c r="Y575" s="309"/>
      <c r="Z575" s="309"/>
      <c r="AA575" s="309"/>
      <c r="AB575" s="309"/>
      <c r="AC575" s="309"/>
      <c r="AD575" s="309"/>
      <c r="AE575" s="309"/>
      <c r="AF575" s="309"/>
      <c r="AG575" s="309"/>
    </row>
    <row r="576" spans="1:33" ht="15.75" customHeight="1" x14ac:dyDescent="0.25">
      <c r="A576" s="309"/>
      <c r="B576" s="309"/>
      <c r="C576" s="309"/>
      <c r="D576" s="309"/>
      <c r="E576" s="309"/>
      <c r="F576" s="309"/>
      <c r="G576" s="309"/>
      <c r="H576" s="309"/>
      <c r="I576" s="309"/>
      <c r="J576" s="309"/>
      <c r="K576" s="309"/>
      <c r="L576" s="309"/>
      <c r="M576" s="309"/>
      <c r="N576" s="309"/>
      <c r="O576" s="309"/>
      <c r="P576" s="309"/>
      <c r="Q576" s="309"/>
      <c r="R576" s="309"/>
      <c r="S576" s="309"/>
      <c r="T576" s="309"/>
      <c r="U576" s="309"/>
      <c r="V576" s="309"/>
      <c r="W576" s="309"/>
      <c r="X576" s="309"/>
      <c r="Y576" s="309"/>
      <c r="Z576" s="309"/>
      <c r="AA576" s="309"/>
      <c r="AB576" s="309"/>
      <c r="AC576" s="309"/>
      <c r="AD576" s="309"/>
      <c r="AE576" s="309"/>
      <c r="AF576" s="309"/>
      <c r="AG576" s="309"/>
    </row>
    <row r="577" spans="1:33" ht="15.75" customHeight="1" x14ac:dyDescent="0.25">
      <c r="A577" s="309"/>
      <c r="B577" s="309"/>
      <c r="C577" s="309"/>
      <c r="D577" s="309"/>
      <c r="E577" s="309"/>
      <c r="F577" s="309"/>
      <c r="G577" s="309"/>
      <c r="H577" s="309"/>
      <c r="I577" s="309"/>
      <c r="J577" s="309"/>
      <c r="K577" s="309"/>
      <c r="L577" s="309"/>
      <c r="M577" s="309"/>
      <c r="N577" s="309"/>
      <c r="O577" s="309"/>
      <c r="P577" s="309"/>
      <c r="Q577" s="309"/>
      <c r="R577" s="309"/>
      <c r="S577" s="309"/>
      <c r="T577" s="309"/>
      <c r="U577" s="309"/>
      <c r="V577" s="309"/>
      <c r="W577" s="309"/>
      <c r="X577" s="309"/>
      <c r="Y577" s="309"/>
      <c r="Z577" s="309"/>
      <c r="AA577" s="309"/>
      <c r="AB577" s="309"/>
      <c r="AC577" s="309"/>
      <c r="AD577" s="309"/>
      <c r="AE577" s="309"/>
      <c r="AF577" s="309"/>
      <c r="AG577" s="309"/>
    </row>
    <row r="578" spans="1:33" ht="15.75" customHeight="1" x14ac:dyDescent="0.25">
      <c r="A578" s="309"/>
      <c r="B578" s="309"/>
      <c r="C578" s="309"/>
      <c r="D578" s="309"/>
      <c r="E578" s="309"/>
      <c r="F578" s="309"/>
      <c r="G578" s="309"/>
      <c r="H578" s="309"/>
      <c r="I578" s="309"/>
      <c r="J578" s="309"/>
      <c r="K578" s="309"/>
      <c r="L578" s="309"/>
      <c r="M578" s="309"/>
      <c r="N578" s="309"/>
      <c r="O578" s="309"/>
      <c r="P578" s="309"/>
      <c r="Q578" s="309"/>
      <c r="R578" s="309"/>
      <c r="S578" s="309"/>
      <c r="T578" s="309"/>
      <c r="U578" s="309"/>
      <c r="V578" s="309"/>
      <c r="W578" s="309"/>
      <c r="X578" s="309"/>
      <c r="Y578" s="309"/>
      <c r="Z578" s="309"/>
      <c r="AA578" s="309"/>
      <c r="AB578" s="309"/>
      <c r="AC578" s="309"/>
      <c r="AD578" s="309"/>
      <c r="AE578" s="309"/>
      <c r="AF578" s="309"/>
      <c r="AG578" s="309"/>
    </row>
    <row r="579" spans="1:33" ht="15.75" customHeight="1" x14ac:dyDescent="0.25">
      <c r="A579" s="309"/>
      <c r="B579" s="309"/>
      <c r="C579" s="309"/>
      <c r="D579" s="309"/>
      <c r="E579" s="309"/>
      <c r="F579" s="309"/>
      <c r="G579" s="309"/>
      <c r="H579" s="309"/>
      <c r="I579" s="309"/>
      <c r="J579" s="309"/>
      <c r="K579" s="309"/>
      <c r="L579" s="309"/>
      <c r="M579" s="309"/>
      <c r="N579" s="309"/>
      <c r="O579" s="309"/>
      <c r="P579" s="309"/>
      <c r="Q579" s="309"/>
      <c r="R579" s="309"/>
      <c r="S579" s="309"/>
      <c r="T579" s="309"/>
      <c r="U579" s="309"/>
      <c r="V579" s="309"/>
      <c r="W579" s="309"/>
      <c r="X579" s="309"/>
      <c r="Y579" s="309"/>
      <c r="Z579" s="309"/>
      <c r="AA579" s="309"/>
      <c r="AB579" s="309"/>
      <c r="AC579" s="309"/>
      <c r="AD579" s="309"/>
      <c r="AE579" s="309"/>
      <c r="AF579" s="309"/>
      <c r="AG579" s="309"/>
    </row>
    <row r="580" spans="1:33" ht="15.75" customHeight="1" x14ac:dyDescent="0.25">
      <c r="A580" s="309"/>
      <c r="B580" s="309"/>
      <c r="C580" s="309"/>
      <c r="D580" s="309"/>
      <c r="E580" s="309"/>
      <c r="F580" s="309"/>
      <c r="G580" s="309"/>
      <c r="H580" s="309"/>
      <c r="I580" s="309"/>
      <c r="J580" s="309"/>
      <c r="K580" s="309"/>
      <c r="L580" s="309"/>
      <c r="M580" s="309"/>
      <c r="N580" s="309"/>
      <c r="O580" s="309"/>
      <c r="P580" s="309"/>
      <c r="Q580" s="309"/>
      <c r="R580" s="309"/>
      <c r="S580" s="309"/>
      <c r="T580" s="309"/>
      <c r="U580" s="309"/>
      <c r="V580" s="309"/>
      <c r="W580" s="309"/>
      <c r="X580" s="309"/>
      <c r="Y580" s="309"/>
      <c r="Z580" s="309"/>
      <c r="AA580" s="309"/>
      <c r="AB580" s="309"/>
      <c r="AC580" s="309"/>
      <c r="AD580" s="309"/>
      <c r="AE580" s="309"/>
      <c r="AF580" s="309"/>
      <c r="AG580" s="309"/>
    </row>
    <row r="581" spans="1:33" ht="15.75" customHeight="1" x14ac:dyDescent="0.25">
      <c r="A581" s="309"/>
      <c r="B581" s="309"/>
      <c r="C581" s="309"/>
      <c r="D581" s="309"/>
      <c r="E581" s="309"/>
      <c r="F581" s="309"/>
      <c r="G581" s="309"/>
      <c r="H581" s="309"/>
      <c r="I581" s="309"/>
      <c r="J581" s="309"/>
      <c r="K581" s="309"/>
      <c r="L581" s="309"/>
      <c r="M581" s="309"/>
      <c r="N581" s="309"/>
      <c r="O581" s="309"/>
      <c r="P581" s="309"/>
      <c r="Q581" s="309"/>
      <c r="R581" s="309"/>
      <c r="S581" s="309"/>
      <c r="T581" s="309"/>
      <c r="U581" s="309"/>
      <c r="V581" s="309"/>
      <c r="W581" s="309"/>
      <c r="X581" s="309"/>
      <c r="Y581" s="309"/>
      <c r="Z581" s="309"/>
      <c r="AA581" s="309"/>
      <c r="AB581" s="309"/>
      <c r="AC581" s="309"/>
      <c r="AD581" s="309"/>
      <c r="AE581" s="309"/>
      <c r="AF581" s="309"/>
      <c r="AG581" s="309"/>
    </row>
    <row r="582" spans="1:33" ht="15.75" customHeight="1" x14ac:dyDescent="0.25">
      <c r="A582" s="309"/>
      <c r="B582" s="309"/>
      <c r="C582" s="309"/>
      <c r="D582" s="309"/>
      <c r="E582" s="309"/>
      <c r="F582" s="309"/>
      <c r="G582" s="309"/>
      <c r="H582" s="309"/>
      <c r="I582" s="309"/>
      <c r="J582" s="309"/>
      <c r="K582" s="309"/>
      <c r="L582" s="309"/>
      <c r="M582" s="309"/>
      <c r="N582" s="309"/>
      <c r="O582" s="309"/>
      <c r="P582" s="309"/>
      <c r="Q582" s="309"/>
      <c r="R582" s="309"/>
      <c r="S582" s="309"/>
      <c r="T582" s="309"/>
      <c r="U582" s="309"/>
      <c r="V582" s="309"/>
      <c r="W582" s="309"/>
      <c r="X582" s="309"/>
      <c r="Y582" s="309"/>
      <c r="Z582" s="309"/>
      <c r="AA582" s="309"/>
      <c r="AB582" s="309"/>
      <c r="AC582" s="309"/>
      <c r="AD582" s="309"/>
      <c r="AE582" s="309"/>
      <c r="AF582" s="309"/>
      <c r="AG582" s="309"/>
    </row>
    <row r="583" spans="1:33" ht="15.75" customHeight="1" x14ac:dyDescent="0.25">
      <c r="A583" s="309"/>
      <c r="B583" s="309"/>
      <c r="C583" s="309"/>
      <c r="D583" s="309"/>
      <c r="E583" s="309"/>
      <c r="F583" s="309"/>
      <c r="G583" s="309"/>
      <c r="H583" s="309"/>
      <c r="I583" s="309"/>
      <c r="J583" s="309"/>
      <c r="K583" s="309"/>
      <c r="L583" s="309"/>
      <c r="M583" s="309"/>
      <c r="N583" s="309"/>
      <c r="O583" s="309"/>
      <c r="P583" s="309"/>
      <c r="Q583" s="309"/>
      <c r="R583" s="309"/>
      <c r="S583" s="309"/>
      <c r="T583" s="309"/>
      <c r="U583" s="309"/>
      <c r="V583" s="309"/>
      <c r="W583" s="309"/>
      <c r="X583" s="309"/>
      <c r="Y583" s="309"/>
      <c r="Z583" s="309"/>
      <c r="AA583" s="309"/>
      <c r="AB583" s="309"/>
      <c r="AC583" s="309"/>
      <c r="AD583" s="309"/>
      <c r="AE583" s="309"/>
      <c r="AF583" s="309"/>
      <c r="AG583" s="309"/>
    </row>
    <row r="584" spans="1:33" ht="15.75" customHeight="1" x14ac:dyDescent="0.25">
      <c r="A584" s="309"/>
      <c r="B584" s="309"/>
      <c r="C584" s="309"/>
      <c r="D584" s="309"/>
      <c r="E584" s="309"/>
      <c r="F584" s="309"/>
      <c r="G584" s="309"/>
      <c r="H584" s="309"/>
      <c r="I584" s="309"/>
      <c r="J584" s="309"/>
      <c r="K584" s="309"/>
      <c r="L584" s="309"/>
      <c r="M584" s="309"/>
      <c r="N584" s="309"/>
      <c r="O584" s="309"/>
      <c r="P584" s="309"/>
      <c r="Q584" s="309"/>
      <c r="R584" s="309"/>
      <c r="S584" s="309"/>
      <c r="T584" s="309"/>
      <c r="U584" s="309"/>
      <c r="V584" s="309"/>
      <c r="W584" s="309"/>
      <c r="X584" s="309"/>
      <c r="Y584" s="309"/>
      <c r="Z584" s="309"/>
      <c r="AA584" s="309"/>
      <c r="AB584" s="309"/>
      <c r="AC584" s="309"/>
      <c r="AD584" s="309"/>
      <c r="AE584" s="309"/>
      <c r="AF584" s="309"/>
      <c r="AG584" s="309"/>
    </row>
    <row r="585" spans="1:33" ht="15.75" customHeight="1" x14ac:dyDescent="0.25">
      <c r="A585" s="309"/>
      <c r="B585" s="309"/>
      <c r="C585" s="309"/>
      <c r="D585" s="309"/>
      <c r="E585" s="309"/>
      <c r="F585" s="309"/>
      <c r="G585" s="309"/>
      <c r="H585" s="309"/>
      <c r="I585" s="309"/>
      <c r="J585" s="309"/>
      <c r="K585" s="309"/>
      <c r="L585" s="309"/>
      <c r="M585" s="309"/>
      <c r="N585" s="309"/>
      <c r="O585" s="309"/>
      <c r="P585" s="309"/>
      <c r="Q585" s="309"/>
      <c r="R585" s="309"/>
      <c r="S585" s="309"/>
      <c r="T585" s="309"/>
      <c r="U585" s="309"/>
      <c r="V585" s="309"/>
      <c r="W585" s="309"/>
      <c r="X585" s="309"/>
      <c r="Y585" s="309"/>
      <c r="Z585" s="309"/>
      <c r="AA585" s="309"/>
      <c r="AB585" s="309"/>
      <c r="AC585" s="309"/>
      <c r="AD585" s="309"/>
      <c r="AE585" s="309"/>
      <c r="AF585" s="309"/>
      <c r="AG585" s="309"/>
    </row>
    <row r="586" spans="1:33" ht="15.75" customHeight="1" x14ac:dyDescent="0.25">
      <c r="A586" s="309"/>
      <c r="B586" s="309"/>
      <c r="C586" s="309"/>
      <c r="D586" s="309"/>
      <c r="E586" s="309"/>
      <c r="F586" s="309"/>
      <c r="G586" s="309"/>
      <c r="H586" s="309"/>
      <c r="I586" s="309"/>
      <c r="J586" s="309"/>
      <c r="K586" s="309"/>
      <c r="L586" s="309"/>
      <c r="M586" s="309"/>
      <c r="N586" s="309"/>
      <c r="O586" s="309"/>
      <c r="P586" s="309"/>
      <c r="Q586" s="309"/>
      <c r="R586" s="309"/>
      <c r="S586" s="309"/>
      <c r="T586" s="309"/>
      <c r="U586" s="309"/>
      <c r="V586" s="309"/>
      <c r="W586" s="309"/>
      <c r="X586" s="309"/>
      <c r="Y586" s="309"/>
      <c r="Z586" s="309"/>
      <c r="AA586" s="309"/>
      <c r="AB586" s="309"/>
      <c r="AC586" s="309"/>
      <c r="AD586" s="309"/>
      <c r="AE586" s="309"/>
      <c r="AF586" s="309"/>
      <c r="AG586" s="309"/>
    </row>
    <row r="587" spans="1:33" ht="15.75" customHeight="1" x14ac:dyDescent="0.25">
      <c r="A587" s="309"/>
      <c r="B587" s="309"/>
      <c r="C587" s="309"/>
      <c r="D587" s="309"/>
      <c r="E587" s="309"/>
      <c r="F587" s="309"/>
      <c r="G587" s="309"/>
      <c r="H587" s="309"/>
      <c r="I587" s="309"/>
      <c r="J587" s="309"/>
      <c r="K587" s="309"/>
      <c r="L587" s="309"/>
      <c r="M587" s="309"/>
      <c r="N587" s="309"/>
      <c r="O587" s="309"/>
      <c r="P587" s="309"/>
      <c r="Q587" s="309"/>
      <c r="R587" s="309"/>
      <c r="S587" s="309"/>
      <c r="T587" s="309"/>
      <c r="U587" s="309"/>
      <c r="V587" s="309"/>
      <c r="W587" s="309"/>
      <c r="X587" s="309"/>
      <c r="Y587" s="309"/>
      <c r="Z587" s="309"/>
      <c r="AA587" s="309"/>
      <c r="AB587" s="309"/>
      <c r="AC587" s="309"/>
      <c r="AD587" s="309"/>
      <c r="AE587" s="309"/>
      <c r="AF587" s="309"/>
      <c r="AG587" s="309"/>
    </row>
    <row r="588" spans="1:33" ht="15.75" customHeight="1" x14ac:dyDescent="0.25">
      <c r="A588" s="309"/>
      <c r="B588" s="309"/>
      <c r="C588" s="309"/>
      <c r="D588" s="309"/>
      <c r="E588" s="309"/>
      <c r="F588" s="309"/>
      <c r="G588" s="309"/>
      <c r="H588" s="309"/>
      <c r="I588" s="309"/>
      <c r="J588" s="309"/>
      <c r="K588" s="309"/>
      <c r="L588" s="309"/>
      <c r="M588" s="309"/>
      <c r="N588" s="309"/>
      <c r="O588" s="309"/>
      <c r="P588" s="309"/>
      <c r="Q588" s="309"/>
      <c r="R588" s="309"/>
      <c r="S588" s="309"/>
      <c r="T588" s="309"/>
      <c r="U588" s="309"/>
      <c r="V588" s="309"/>
      <c r="W588" s="309"/>
      <c r="X588" s="309"/>
      <c r="Y588" s="309"/>
      <c r="Z588" s="309"/>
      <c r="AA588" s="309"/>
      <c r="AB588" s="309"/>
      <c r="AC588" s="309"/>
      <c r="AD588" s="309"/>
      <c r="AE588" s="309"/>
      <c r="AF588" s="309"/>
      <c r="AG588" s="309"/>
    </row>
    <row r="589" spans="1:33" ht="15.75" customHeight="1" x14ac:dyDescent="0.25">
      <c r="A589" s="309"/>
      <c r="B589" s="309"/>
      <c r="C589" s="309"/>
      <c r="D589" s="309"/>
      <c r="E589" s="309"/>
      <c r="F589" s="309"/>
      <c r="G589" s="309"/>
      <c r="H589" s="309"/>
      <c r="I589" s="309"/>
      <c r="J589" s="309"/>
      <c r="K589" s="309"/>
      <c r="L589" s="309"/>
      <c r="M589" s="309"/>
      <c r="N589" s="309"/>
      <c r="O589" s="309"/>
      <c r="P589" s="309"/>
      <c r="Q589" s="309"/>
      <c r="R589" s="309"/>
      <c r="S589" s="309"/>
      <c r="T589" s="309"/>
      <c r="U589" s="309"/>
      <c r="V589" s="309"/>
      <c r="W589" s="309"/>
      <c r="X589" s="309"/>
      <c r="Y589" s="309"/>
      <c r="Z589" s="309"/>
      <c r="AA589" s="309"/>
      <c r="AB589" s="309"/>
      <c r="AC589" s="309"/>
      <c r="AD589" s="309"/>
      <c r="AE589" s="309"/>
      <c r="AF589" s="309"/>
      <c r="AG589" s="309"/>
    </row>
    <row r="590" spans="1:33" ht="15.75" customHeight="1" x14ac:dyDescent="0.25">
      <c r="A590" s="309"/>
      <c r="B590" s="309"/>
      <c r="C590" s="309"/>
      <c r="D590" s="309"/>
      <c r="E590" s="309"/>
      <c r="F590" s="309"/>
      <c r="G590" s="309"/>
      <c r="H590" s="309"/>
      <c r="I590" s="309"/>
      <c r="J590" s="309"/>
      <c r="K590" s="309"/>
      <c r="L590" s="309"/>
      <c r="M590" s="309"/>
      <c r="N590" s="309"/>
      <c r="O590" s="309"/>
      <c r="P590" s="309"/>
      <c r="Q590" s="309"/>
      <c r="R590" s="309"/>
      <c r="S590" s="309"/>
      <c r="T590" s="309"/>
      <c r="U590" s="309"/>
      <c r="V590" s="309"/>
      <c r="W590" s="309"/>
      <c r="X590" s="309"/>
      <c r="Y590" s="309"/>
      <c r="Z590" s="309"/>
      <c r="AA590" s="309"/>
      <c r="AB590" s="309"/>
      <c r="AC590" s="309"/>
      <c r="AD590" s="309"/>
      <c r="AE590" s="309"/>
      <c r="AF590" s="309"/>
      <c r="AG590" s="309"/>
    </row>
    <row r="591" spans="1:33" ht="15.75" customHeight="1" x14ac:dyDescent="0.25">
      <c r="A591" s="309"/>
      <c r="B591" s="309"/>
      <c r="C591" s="309"/>
      <c r="D591" s="309"/>
      <c r="E591" s="309"/>
      <c r="F591" s="309"/>
      <c r="G591" s="309"/>
      <c r="H591" s="309"/>
      <c r="I591" s="309"/>
      <c r="J591" s="309"/>
      <c r="K591" s="309"/>
      <c r="L591" s="309"/>
      <c r="M591" s="309"/>
      <c r="N591" s="309"/>
      <c r="O591" s="309"/>
      <c r="P591" s="309"/>
      <c r="Q591" s="309"/>
      <c r="R591" s="309"/>
      <c r="S591" s="309"/>
      <c r="T591" s="309"/>
      <c r="U591" s="309"/>
      <c r="V591" s="309"/>
      <c r="W591" s="309"/>
      <c r="X591" s="309"/>
      <c r="Y591" s="309"/>
      <c r="Z591" s="309"/>
      <c r="AA591" s="309"/>
      <c r="AB591" s="309"/>
      <c r="AC591" s="309"/>
      <c r="AD591" s="309"/>
      <c r="AE591" s="309"/>
      <c r="AF591" s="309"/>
      <c r="AG591" s="309"/>
    </row>
    <row r="592" spans="1:33" ht="15.75" customHeight="1" x14ac:dyDescent="0.25">
      <c r="A592" s="309"/>
      <c r="B592" s="309"/>
      <c r="C592" s="309"/>
      <c r="D592" s="309"/>
      <c r="E592" s="309"/>
      <c r="F592" s="309"/>
      <c r="G592" s="309"/>
      <c r="H592" s="309"/>
      <c r="I592" s="309"/>
      <c r="J592" s="309"/>
      <c r="K592" s="309"/>
      <c r="L592" s="309"/>
      <c r="M592" s="309"/>
      <c r="N592" s="309"/>
      <c r="O592" s="309"/>
      <c r="P592" s="309"/>
      <c r="Q592" s="309"/>
      <c r="R592" s="309"/>
      <c r="S592" s="309"/>
      <c r="T592" s="309"/>
      <c r="U592" s="309"/>
      <c r="V592" s="309"/>
      <c r="W592" s="309"/>
      <c r="X592" s="309"/>
      <c r="Y592" s="309"/>
      <c r="Z592" s="309"/>
      <c r="AA592" s="309"/>
      <c r="AB592" s="309"/>
      <c r="AC592" s="309"/>
      <c r="AD592" s="309"/>
      <c r="AE592" s="309"/>
      <c r="AF592" s="309"/>
      <c r="AG592" s="309"/>
    </row>
    <row r="593" spans="1:33" ht="15.75" customHeight="1" x14ac:dyDescent="0.25">
      <c r="A593" s="309"/>
      <c r="B593" s="309"/>
      <c r="C593" s="309"/>
      <c r="D593" s="309"/>
      <c r="E593" s="309"/>
      <c r="F593" s="309"/>
      <c r="G593" s="309"/>
      <c r="H593" s="309"/>
      <c r="I593" s="309"/>
      <c r="J593" s="309"/>
      <c r="K593" s="309"/>
      <c r="L593" s="309"/>
      <c r="M593" s="309"/>
      <c r="N593" s="309"/>
      <c r="O593" s="309"/>
      <c r="P593" s="309"/>
      <c r="Q593" s="309"/>
      <c r="R593" s="309"/>
      <c r="S593" s="309"/>
      <c r="T593" s="309"/>
      <c r="U593" s="309"/>
      <c r="V593" s="309"/>
      <c r="W593" s="309"/>
      <c r="X593" s="309"/>
      <c r="Y593" s="309"/>
      <c r="Z593" s="309"/>
      <c r="AA593" s="309"/>
      <c r="AB593" s="309"/>
      <c r="AC593" s="309"/>
      <c r="AD593" s="309"/>
      <c r="AE593" s="309"/>
      <c r="AF593" s="309"/>
      <c r="AG593" s="309"/>
    </row>
    <row r="594" spans="1:33" ht="15.75" customHeight="1" x14ac:dyDescent="0.25">
      <c r="A594" s="309"/>
      <c r="B594" s="309"/>
      <c r="C594" s="309"/>
      <c r="D594" s="309"/>
      <c r="E594" s="309"/>
      <c r="F594" s="309"/>
      <c r="G594" s="309"/>
      <c r="H594" s="309"/>
      <c r="I594" s="309"/>
      <c r="J594" s="309"/>
      <c r="K594" s="309"/>
      <c r="L594" s="309"/>
      <c r="M594" s="309"/>
      <c r="N594" s="309"/>
      <c r="O594" s="309"/>
      <c r="P594" s="309"/>
      <c r="Q594" s="309"/>
      <c r="R594" s="309"/>
      <c r="S594" s="309"/>
      <c r="T594" s="309"/>
      <c r="U594" s="309"/>
      <c r="V594" s="309"/>
      <c r="W594" s="309"/>
      <c r="X594" s="309"/>
      <c r="Y594" s="309"/>
      <c r="Z594" s="309"/>
      <c r="AA594" s="309"/>
      <c r="AB594" s="309"/>
      <c r="AC594" s="309"/>
      <c r="AD594" s="309"/>
      <c r="AE594" s="309"/>
      <c r="AF594" s="309"/>
      <c r="AG594" s="309"/>
    </row>
    <row r="595" spans="1:33" ht="15.75" customHeight="1" x14ac:dyDescent="0.25">
      <c r="A595" s="309"/>
      <c r="B595" s="309"/>
      <c r="C595" s="309"/>
      <c r="D595" s="309"/>
      <c r="E595" s="309"/>
      <c r="F595" s="309"/>
      <c r="G595" s="309"/>
      <c r="H595" s="309"/>
      <c r="I595" s="309"/>
      <c r="J595" s="309"/>
      <c r="K595" s="309"/>
      <c r="L595" s="309"/>
      <c r="M595" s="309"/>
      <c r="N595" s="309"/>
      <c r="O595" s="309"/>
      <c r="P595" s="309"/>
      <c r="Q595" s="309"/>
      <c r="R595" s="309"/>
      <c r="S595" s="309"/>
      <c r="T595" s="309"/>
      <c r="U595" s="309"/>
      <c r="V595" s="309"/>
      <c r="W595" s="309"/>
      <c r="X595" s="309"/>
      <c r="Y595" s="309"/>
      <c r="Z595" s="309"/>
      <c r="AA595" s="309"/>
      <c r="AB595" s="309"/>
      <c r="AC595" s="309"/>
      <c r="AD595" s="309"/>
      <c r="AE595" s="309"/>
      <c r="AF595" s="309"/>
      <c r="AG595" s="309"/>
    </row>
    <row r="596" spans="1:33" ht="15.75" customHeight="1" x14ac:dyDescent="0.25">
      <c r="A596" s="309"/>
      <c r="B596" s="309"/>
      <c r="C596" s="309"/>
      <c r="D596" s="309"/>
      <c r="E596" s="309"/>
      <c r="F596" s="309"/>
      <c r="G596" s="309"/>
      <c r="H596" s="309"/>
      <c r="I596" s="309"/>
      <c r="J596" s="309"/>
      <c r="K596" s="309"/>
      <c r="L596" s="309"/>
      <c r="M596" s="309"/>
      <c r="N596" s="309"/>
      <c r="O596" s="309"/>
      <c r="P596" s="309"/>
      <c r="Q596" s="309"/>
      <c r="R596" s="309"/>
      <c r="S596" s="309"/>
      <c r="T596" s="309"/>
      <c r="U596" s="309"/>
      <c r="V596" s="309"/>
      <c r="W596" s="309"/>
      <c r="X596" s="309"/>
      <c r="Y596" s="309"/>
      <c r="Z596" s="309"/>
      <c r="AA596" s="309"/>
      <c r="AB596" s="309"/>
      <c r="AC596" s="309"/>
      <c r="AD596" s="309"/>
      <c r="AE596" s="309"/>
      <c r="AF596" s="309"/>
      <c r="AG596" s="309"/>
    </row>
    <row r="597" spans="1:33" ht="15.75" customHeight="1" x14ac:dyDescent="0.25">
      <c r="A597" s="309"/>
      <c r="B597" s="309"/>
      <c r="C597" s="309"/>
      <c r="D597" s="309"/>
      <c r="E597" s="309"/>
      <c r="F597" s="309"/>
      <c r="G597" s="309"/>
      <c r="H597" s="309"/>
      <c r="I597" s="309"/>
      <c r="J597" s="309"/>
      <c r="K597" s="309"/>
      <c r="L597" s="309"/>
      <c r="M597" s="309"/>
      <c r="N597" s="309"/>
      <c r="O597" s="309"/>
      <c r="P597" s="309"/>
      <c r="Q597" s="309"/>
      <c r="R597" s="309"/>
      <c r="S597" s="309"/>
      <c r="T597" s="309"/>
      <c r="U597" s="309"/>
      <c r="V597" s="309"/>
      <c r="W597" s="309"/>
      <c r="X597" s="309"/>
      <c r="Y597" s="309"/>
      <c r="Z597" s="309"/>
      <c r="AA597" s="309"/>
      <c r="AB597" s="309"/>
      <c r="AC597" s="309"/>
      <c r="AD597" s="309"/>
      <c r="AE597" s="309"/>
      <c r="AF597" s="309"/>
      <c r="AG597" s="309"/>
    </row>
    <row r="598" spans="1:33" ht="15.75" customHeight="1" x14ac:dyDescent="0.25">
      <c r="A598" s="309"/>
      <c r="B598" s="309"/>
      <c r="C598" s="309"/>
      <c r="D598" s="309"/>
      <c r="E598" s="309"/>
      <c r="F598" s="309"/>
      <c r="G598" s="309"/>
      <c r="H598" s="309"/>
      <c r="I598" s="309"/>
      <c r="J598" s="309"/>
      <c r="K598" s="309"/>
      <c r="L598" s="309"/>
      <c r="M598" s="309"/>
      <c r="N598" s="309"/>
      <c r="O598" s="309"/>
      <c r="P598" s="309"/>
      <c r="Q598" s="309"/>
      <c r="R598" s="309"/>
      <c r="S598" s="309"/>
      <c r="T598" s="309"/>
      <c r="U598" s="309"/>
      <c r="V598" s="309"/>
      <c r="W598" s="309"/>
      <c r="X598" s="309"/>
      <c r="Y598" s="309"/>
      <c r="Z598" s="309"/>
      <c r="AA598" s="309"/>
      <c r="AB598" s="309"/>
      <c r="AC598" s="309"/>
      <c r="AD598" s="309"/>
      <c r="AE598" s="309"/>
      <c r="AF598" s="309"/>
      <c r="AG598" s="309"/>
    </row>
    <row r="599" spans="1:33" ht="15.75" customHeight="1" x14ac:dyDescent="0.25">
      <c r="A599" s="309"/>
      <c r="B599" s="309"/>
      <c r="C599" s="309"/>
      <c r="D599" s="309"/>
      <c r="E599" s="309"/>
      <c r="F599" s="309"/>
      <c r="G599" s="309"/>
      <c r="H599" s="309"/>
      <c r="I599" s="309"/>
      <c r="J599" s="309"/>
      <c r="K599" s="309"/>
      <c r="L599" s="309"/>
      <c r="M599" s="309"/>
      <c r="N599" s="309"/>
      <c r="O599" s="309"/>
      <c r="P599" s="309"/>
      <c r="Q599" s="309"/>
      <c r="R599" s="309"/>
      <c r="S599" s="309"/>
      <c r="T599" s="309"/>
      <c r="U599" s="309"/>
      <c r="V599" s="309"/>
      <c r="W599" s="309"/>
      <c r="X599" s="309"/>
      <c r="Y599" s="309"/>
      <c r="Z599" s="309"/>
      <c r="AA599" s="309"/>
      <c r="AB599" s="309"/>
      <c r="AC599" s="309"/>
      <c r="AD599" s="309"/>
      <c r="AE599" s="309"/>
      <c r="AF599" s="309"/>
      <c r="AG599" s="309"/>
    </row>
    <row r="600" spans="1:33" ht="15.75" customHeight="1" x14ac:dyDescent="0.25">
      <c r="A600" s="309"/>
      <c r="B600" s="309"/>
      <c r="C600" s="309"/>
      <c r="D600" s="309"/>
      <c r="E600" s="309"/>
      <c r="F600" s="309"/>
      <c r="G600" s="309"/>
      <c r="H600" s="309"/>
      <c r="I600" s="309"/>
      <c r="J600" s="309"/>
      <c r="K600" s="309"/>
      <c r="L600" s="309"/>
      <c r="M600" s="309"/>
      <c r="N600" s="309"/>
      <c r="O600" s="309"/>
      <c r="P600" s="309"/>
      <c r="Q600" s="309"/>
      <c r="R600" s="309"/>
      <c r="S600" s="309"/>
      <c r="T600" s="309"/>
      <c r="U600" s="309"/>
      <c r="V600" s="309"/>
      <c r="W600" s="309"/>
      <c r="X600" s="309"/>
      <c r="Y600" s="309"/>
      <c r="Z600" s="309"/>
      <c r="AA600" s="309"/>
      <c r="AB600" s="309"/>
      <c r="AC600" s="309"/>
      <c r="AD600" s="309"/>
      <c r="AE600" s="309"/>
      <c r="AF600" s="309"/>
      <c r="AG600" s="309"/>
    </row>
    <row r="601" spans="1:33" ht="15.75" customHeight="1" x14ac:dyDescent="0.25">
      <c r="A601" s="309"/>
      <c r="B601" s="309"/>
      <c r="C601" s="309"/>
      <c r="D601" s="309"/>
      <c r="E601" s="309"/>
      <c r="F601" s="309"/>
      <c r="G601" s="309"/>
      <c r="H601" s="309"/>
      <c r="I601" s="309"/>
      <c r="J601" s="309"/>
      <c r="K601" s="309"/>
      <c r="L601" s="309"/>
      <c r="M601" s="309"/>
      <c r="N601" s="309"/>
      <c r="O601" s="309"/>
      <c r="P601" s="309"/>
      <c r="Q601" s="309"/>
      <c r="R601" s="309"/>
      <c r="S601" s="309"/>
      <c r="T601" s="309"/>
      <c r="U601" s="309"/>
      <c r="V601" s="309"/>
      <c r="W601" s="309"/>
      <c r="X601" s="309"/>
      <c r="Y601" s="309"/>
      <c r="Z601" s="309"/>
      <c r="AA601" s="309"/>
      <c r="AB601" s="309"/>
      <c r="AC601" s="309"/>
      <c r="AD601" s="309"/>
      <c r="AE601" s="309"/>
      <c r="AF601" s="309"/>
      <c r="AG601" s="309"/>
    </row>
    <row r="602" spans="1:33" ht="15.75" customHeight="1" x14ac:dyDescent="0.25">
      <c r="A602" s="309"/>
      <c r="B602" s="309"/>
      <c r="C602" s="309"/>
      <c r="D602" s="309"/>
      <c r="E602" s="309"/>
      <c r="F602" s="309"/>
      <c r="G602" s="309"/>
      <c r="H602" s="309"/>
      <c r="I602" s="309"/>
      <c r="J602" s="309"/>
      <c r="K602" s="309"/>
      <c r="L602" s="309"/>
      <c r="M602" s="309"/>
      <c r="N602" s="309"/>
      <c r="O602" s="309"/>
      <c r="P602" s="309"/>
      <c r="Q602" s="309"/>
      <c r="R602" s="309"/>
      <c r="S602" s="309"/>
      <c r="T602" s="309"/>
      <c r="U602" s="309"/>
      <c r="V602" s="309"/>
      <c r="W602" s="309"/>
      <c r="X602" s="309"/>
      <c r="Y602" s="309"/>
      <c r="Z602" s="309"/>
      <c r="AA602" s="309"/>
      <c r="AB602" s="309"/>
      <c r="AC602" s="309"/>
      <c r="AD602" s="309"/>
      <c r="AE602" s="309"/>
      <c r="AF602" s="309"/>
      <c r="AG602" s="309"/>
    </row>
    <row r="603" spans="1:33" ht="15.75" customHeight="1" x14ac:dyDescent="0.25">
      <c r="A603" s="309"/>
      <c r="B603" s="309"/>
      <c r="C603" s="309"/>
      <c r="D603" s="309"/>
      <c r="E603" s="309"/>
      <c r="F603" s="309"/>
      <c r="G603" s="309"/>
      <c r="H603" s="309"/>
      <c r="I603" s="309"/>
      <c r="J603" s="309"/>
      <c r="K603" s="309"/>
      <c r="L603" s="309"/>
      <c r="M603" s="309"/>
      <c r="N603" s="309"/>
      <c r="O603" s="309"/>
      <c r="P603" s="309"/>
      <c r="Q603" s="309"/>
      <c r="R603" s="309"/>
      <c r="S603" s="309"/>
      <c r="T603" s="309"/>
      <c r="U603" s="309"/>
      <c r="V603" s="309"/>
      <c r="W603" s="309"/>
      <c r="X603" s="309"/>
      <c r="Y603" s="309"/>
      <c r="Z603" s="309"/>
      <c r="AA603" s="309"/>
      <c r="AB603" s="309"/>
      <c r="AC603" s="309"/>
      <c r="AD603" s="309"/>
      <c r="AE603" s="309"/>
      <c r="AF603" s="309"/>
      <c r="AG603" s="309"/>
    </row>
    <row r="604" spans="1:33" ht="15.75" customHeight="1" x14ac:dyDescent="0.25">
      <c r="A604" s="309"/>
      <c r="B604" s="309"/>
      <c r="C604" s="309"/>
      <c r="D604" s="309"/>
      <c r="E604" s="309"/>
      <c r="F604" s="309"/>
      <c r="G604" s="309"/>
      <c r="H604" s="309"/>
      <c r="I604" s="309"/>
      <c r="J604" s="309"/>
      <c r="K604" s="309"/>
      <c r="L604" s="309"/>
      <c r="M604" s="309"/>
      <c r="N604" s="309"/>
      <c r="O604" s="309"/>
      <c r="P604" s="309"/>
      <c r="Q604" s="309"/>
      <c r="R604" s="309"/>
      <c r="S604" s="309"/>
      <c r="T604" s="309"/>
      <c r="U604" s="309"/>
      <c r="V604" s="309"/>
      <c r="W604" s="309"/>
      <c r="X604" s="309"/>
      <c r="Y604" s="309"/>
      <c r="Z604" s="309"/>
      <c r="AA604" s="309"/>
      <c r="AB604" s="309"/>
      <c r="AC604" s="309"/>
      <c r="AD604" s="309"/>
      <c r="AE604" s="309"/>
      <c r="AF604" s="309"/>
      <c r="AG604" s="309"/>
    </row>
    <row r="605" spans="1:33" ht="15.75" customHeight="1" x14ac:dyDescent="0.25">
      <c r="A605" s="309"/>
      <c r="B605" s="309"/>
      <c r="C605" s="309"/>
      <c r="D605" s="309"/>
      <c r="E605" s="309"/>
      <c r="F605" s="309"/>
      <c r="G605" s="309"/>
      <c r="H605" s="309"/>
      <c r="I605" s="309"/>
      <c r="J605" s="309"/>
      <c r="K605" s="309"/>
      <c r="L605" s="309"/>
      <c r="M605" s="309"/>
      <c r="N605" s="309"/>
      <c r="O605" s="309"/>
      <c r="P605" s="309"/>
      <c r="Q605" s="309"/>
      <c r="R605" s="309"/>
      <c r="S605" s="309"/>
      <c r="T605" s="309"/>
      <c r="U605" s="309"/>
      <c r="V605" s="309"/>
      <c r="W605" s="309"/>
      <c r="X605" s="309"/>
      <c r="Y605" s="309"/>
      <c r="Z605" s="309"/>
      <c r="AA605" s="309"/>
      <c r="AB605" s="309"/>
      <c r="AC605" s="309"/>
      <c r="AD605" s="309"/>
      <c r="AE605" s="309"/>
      <c r="AF605" s="309"/>
      <c r="AG605" s="309"/>
    </row>
    <row r="606" spans="1:33" ht="15.75" customHeight="1" x14ac:dyDescent="0.25">
      <c r="A606" s="309"/>
      <c r="B606" s="309"/>
      <c r="C606" s="309"/>
      <c r="D606" s="309"/>
      <c r="E606" s="309"/>
      <c r="F606" s="309"/>
      <c r="G606" s="309"/>
      <c r="H606" s="309"/>
      <c r="I606" s="309"/>
      <c r="J606" s="309"/>
      <c r="K606" s="309"/>
      <c r="L606" s="309"/>
      <c r="M606" s="309"/>
      <c r="N606" s="309"/>
      <c r="O606" s="309"/>
      <c r="P606" s="309"/>
      <c r="Q606" s="309"/>
      <c r="R606" s="309"/>
      <c r="S606" s="309"/>
      <c r="T606" s="309"/>
      <c r="U606" s="309"/>
      <c r="V606" s="309"/>
      <c r="W606" s="309"/>
      <c r="X606" s="309"/>
      <c r="Y606" s="309"/>
      <c r="Z606" s="309"/>
      <c r="AA606" s="309"/>
      <c r="AB606" s="309"/>
      <c r="AC606" s="309"/>
      <c r="AD606" s="309"/>
      <c r="AE606" s="309"/>
      <c r="AF606" s="309"/>
      <c r="AG606" s="309"/>
    </row>
    <row r="607" spans="1:33" ht="15.75" customHeight="1" x14ac:dyDescent="0.25">
      <c r="A607" s="309"/>
      <c r="B607" s="309"/>
      <c r="C607" s="309"/>
      <c r="D607" s="309"/>
      <c r="E607" s="309"/>
      <c r="F607" s="309"/>
      <c r="G607" s="309"/>
      <c r="H607" s="309"/>
      <c r="I607" s="309"/>
      <c r="J607" s="309"/>
      <c r="K607" s="309"/>
      <c r="L607" s="309"/>
      <c r="M607" s="309"/>
      <c r="N607" s="309"/>
      <c r="O607" s="309"/>
      <c r="P607" s="309"/>
      <c r="Q607" s="309"/>
      <c r="R607" s="309"/>
      <c r="S607" s="309"/>
      <c r="T607" s="309"/>
      <c r="U607" s="309"/>
      <c r="V607" s="309"/>
      <c r="W607" s="309"/>
      <c r="X607" s="309"/>
      <c r="Y607" s="309"/>
      <c r="Z607" s="309"/>
      <c r="AA607" s="309"/>
      <c r="AB607" s="309"/>
      <c r="AC607" s="309"/>
      <c r="AD607" s="309"/>
      <c r="AE607" s="309"/>
      <c r="AF607" s="309"/>
      <c r="AG607" s="309"/>
    </row>
    <row r="608" spans="1:33" ht="15.75" customHeight="1" x14ac:dyDescent="0.25">
      <c r="A608" s="309"/>
      <c r="B608" s="309"/>
      <c r="C608" s="309"/>
      <c r="D608" s="309"/>
      <c r="E608" s="309"/>
      <c r="F608" s="309"/>
      <c r="G608" s="309"/>
      <c r="H608" s="309"/>
      <c r="I608" s="309"/>
      <c r="J608" s="309"/>
      <c r="K608" s="309"/>
      <c r="L608" s="309"/>
      <c r="M608" s="309"/>
      <c r="N608" s="309"/>
      <c r="O608" s="309"/>
      <c r="P608" s="309"/>
      <c r="Q608" s="309"/>
      <c r="R608" s="309"/>
      <c r="S608" s="309"/>
      <c r="T608" s="309"/>
      <c r="U608" s="309"/>
      <c r="V608" s="309"/>
      <c r="W608" s="309"/>
      <c r="X608" s="309"/>
      <c r="Y608" s="309"/>
      <c r="Z608" s="309"/>
      <c r="AA608" s="309"/>
      <c r="AB608" s="309"/>
      <c r="AC608" s="309"/>
      <c r="AD608" s="309"/>
      <c r="AE608" s="309"/>
      <c r="AF608" s="309"/>
      <c r="AG608" s="309"/>
    </row>
    <row r="609" spans="1:33" ht="15.75" customHeight="1" x14ac:dyDescent="0.25">
      <c r="A609" s="309"/>
      <c r="B609" s="309"/>
      <c r="C609" s="309"/>
      <c r="D609" s="309"/>
      <c r="E609" s="309"/>
      <c r="F609" s="309"/>
      <c r="G609" s="309"/>
      <c r="H609" s="309"/>
      <c r="I609" s="309"/>
      <c r="J609" s="309"/>
      <c r="K609" s="309"/>
      <c r="L609" s="309"/>
      <c r="M609" s="309"/>
      <c r="N609" s="309"/>
      <c r="O609" s="309"/>
      <c r="P609" s="309"/>
      <c r="Q609" s="309"/>
      <c r="R609" s="309"/>
      <c r="S609" s="309"/>
      <c r="T609" s="309"/>
      <c r="U609" s="309"/>
      <c r="V609" s="309"/>
      <c r="W609" s="309"/>
      <c r="X609" s="309"/>
      <c r="Y609" s="309"/>
      <c r="Z609" s="309"/>
      <c r="AA609" s="309"/>
      <c r="AB609" s="309"/>
      <c r="AC609" s="309"/>
      <c r="AD609" s="309"/>
      <c r="AE609" s="309"/>
      <c r="AF609" s="309"/>
      <c r="AG609" s="309"/>
    </row>
    <row r="610" spans="1:33" ht="15.75" customHeight="1" x14ac:dyDescent="0.25">
      <c r="A610" s="309"/>
      <c r="B610" s="309"/>
      <c r="C610" s="309"/>
      <c r="D610" s="309"/>
      <c r="E610" s="309"/>
      <c r="F610" s="309"/>
      <c r="G610" s="309"/>
      <c r="H610" s="309"/>
      <c r="I610" s="309"/>
      <c r="J610" s="309"/>
      <c r="K610" s="309"/>
      <c r="L610" s="309"/>
      <c r="M610" s="309"/>
      <c r="N610" s="309"/>
      <c r="O610" s="309"/>
      <c r="P610" s="309"/>
      <c r="Q610" s="309"/>
      <c r="R610" s="309"/>
      <c r="S610" s="309"/>
      <c r="T610" s="309"/>
      <c r="U610" s="309"/>
      <c r="V610" s="309"/>
      <c r="W610" s="309"/>
      <c r="X610" s="309"/>
      <c r="Y610" s="309"/>
      <c r="Z610" s="309"/>
      <c r="AA610" s="309"/>
      <c r="AB610" s="309"/>
      <c r="AC610" s="309"/>
      <c r="AD610" s="309"/>
      <c r="AE610" s="309"/>
      <c r="AF610" s="309"/>
      <c r="AG610" s="309"/>
    </row>
    <row r="611" spans="1:33" ht="15.75" customHeight="1" x14ac:dyDescent="0.25">
      <c r="A611" s="309"/>
      <c r="B611" s="309"/>
      <c r="C611" s="309"/>
      <c r="D611" s="309"/>
      <c r="E611" s="309"/>
      <c r="F611" s="309"/>
      <c r="G611" s="309"/>
      <c r="H611" s="309"/>
      <c r="I611" s="309"/>
      <c r="J611" s="309"/>
      <c r="K611" s="309"/>
      <c r="L611" s="309"/>
      <c r="M611" s="309"/>
      <c r="N611" s="309"/>
      <c r="O611" s="309"/>
      <c r="P611" s="309"/>
      <c r="Q611" s="309"/>
      <c r="R611" s="309"/>
      <c r="S611" s="309"/>
      <c r="T611" s="309"/>
      <c r="U611" s="309"/>
      <c r="V611" s="309"/>
      <c r="W611" s="309"/>
      <c r="X611" s="309"/>
      <c r="Y611" s="309"/>
      <c r="Z611" s="309"/>
      <c r="AA611" s="309"/>
      <c r="AB611" s="309"/>
      <c r="AC611" s="309"/>
      <c r="AD611" s="309"/>
      <c r="AE611" s="309"/>
      <c r="AF611" s="309"/>
      <c r="AG611" s="309"/>
    </row>
    <row r="612" spans="1:33" ht="15.75" customHeight="1" x14ac:dyDescent="0.25">
      <c r="A612" s="309"/>
      <c r="B612" s="309"/>
      <c r="C612" s="309"/>
      <c r="D612" s="309"/>
      <c r="E612" s="309"/>
      <c r="F612" s="309"/>
      <c r="G612" s="309"/>
      <c r="H612" s="309"/>
      <c r="I612" s="309"/>
      <c r="J612" s="309"/>
      <c r="K612" s="309"/>
      <c r="L612" s="309"/>
      <c r="M612" s="309"/>
      <c r="N612" s="309"/>
      <c r="O612" s="309"/>
      <c r="P612" s="309"/>
      <c r="Q612" s="309"/>
      <c r="R612" s="309"/>
      <c r="S612" s="309"/>
      <c r="T612" s="309"/>
      <c r="U612" s="309"/>
      <c r="V612" s="309"/>
      <c r="W612" s="309"/>
      <c r="X612" s="309"/>
      <c r="Y612" s="309"/>
      <c r="Z612" s="309"/>
      <c r="AA612" s="309"/>
      <c r="AB612" s="309"/>
      <c r="AC612" s="309"/>
      <c r="AD612" s="309"/>
      <c r="AE612" s="309"/>
      <c r="AF612" s="309"/>
      <c r="AG612" s="309"/>
    </row>
    <row r="613" spans="1:33" ht="15.75" customHeight="1" x14ac:dyDescent="0.25">
      <c r="A613" s="309"/>
      <c r="B613" s="309"/>
      <c r="C613" s="309"/>
      <c r="D613" s="309"/>
      <c r="E613" s="309"/>
      <c r="F613" s="309"/>
      <c r="G613" s="309"/>
      <c r="H613" s="309"/>
      <c r="I613" s="309"/>
      <c r="J613" s="309"/>
      <c r="K613" s="309"/>
      <c r="L613" s="309"/>
      <c r="M613" s="309"/>
      <c r="N613" s="309"/>
      <c r="O613" s="309"/>
      <c r="P613" s="309"/>
      <c r="Q613" s="309"/>
      <c r="R613" s="309"/>
      <c r="S613" s="309"/>
      <c r="T613" s="309"/>
      <c r="U613" s="309"/>
      <c r="V613" s="309"/>
      <c r="W613" s="309"/>
      <c r="X613" s="309"/>
      <c r="Y613" s="309"/>
      <c r="Z613" s="309"/>
      <c r="AA613" s="309"/>
      <c r="AB613" s="309"/>
      <c r="AC613" s="309"/>
      <c r="AD613" s="309"/>
      <c r="AE613" s="309"/>
      <c r="AF613" s="309"/>
      <c r="AG613" s="309"/>
    </row>
    <row r="614" spans="1:33" ht="15.75" customHeight="1" x14ac:dyDescent="0.25">
      <c r="A614" s="309"/>
      <c r="B614" s="309"/>
      <c r="C614" s="309"/>
      <c r="D614" s="309"/>
      <c r="E614" s="309"/>
      <c r="F614" s="309"/>
      <c r="G614" s="309"/>
      <c r="H614" s="309"/>
      <c r="I614" s="309"/>
      <c r="J614" s="309"/>
      <c r="K614" s="309"/>
      <c r="L614" s="309"/>
      <c r="M614" s="309"/>
      <c r="N614" s="309"/>
      <c r="O614" s="309"/>
      <c r="P614" s="309"/>
      <c r="Q614" s="309"/>
      <c r="R614" s="309"/>
      <c r="S614" s="309"/>
      <c r="T614" s="309"/>
      <c r="U614" s="309"/>
      <c r="V614" s="309"/>
      <c r="W614" s="309"/>
      <c r="X614" s="309"/>
      <c r="Y614" s="309"/>
      <c r="Z614" s="309"/>
      <c r="AA614" s="309"/>
      <c r="AB614" s="309"/>
      <c r="AC614" s="309"/>
      <c r="AD614" s="309"/>
      <c r="AE614" s="309"/>
      <c r="AF614" s="309"/>
      <c r="AG614" s="309"/>
    </row>
    <row r="615" spans="1:33" ht="15.75" customHeight="1" x14ac:dyDescent="0.25">
      <c r="A615" s="309"/>
      <c r="B615" s="309"/>
      <c r="C615" s="309"/>
      <c r="D615" s="309"/>
      <c r="E615" s="309"/>
      <c r="F615" s="309"/>
      <c r="G615" s="309"/>
      <c r="H615" s="309"/>
      <c r="I615" s="309"/>
      <c r="J615" s="309"/>
      <c r="K615" s="309"/>
      <c r="L615" s="309"/>
      <c r="M615" s="309"/>
      <c r="N615" s="309"/>
      <c r="O615" s="309"/>
      <c r="P615" s="309"/>
      <c r="Q615" s="309"/>
      <c r="R615" s="309"/>
      <c r="S615" s="309"/>
      <c r="T615" s="309"/>
      <c r="U615" s="309"/>
      <c r="V615" s="309"/>
      <c r="W615" s="309"/>
      <c r="X615" s="309"/>
      <c r="Y615" s="309"/>
      <c r="Z615" s="309"/>
      <c r="AA615" s="309"/>
      <c r="AB615" s="309"/>
      <c r="AC615" s="309"/>
      <c r="AD615" s="309"/>
      <c r="AE615" s="309"/>
      <c r="AF615" s="309"/>
      <c r="AG615" s="309"/>
    </row>
    <row r="616" spans="1:33" ht="15.75" customHeight="1" x14ac:dyDescent="0.25">
      <c r="A616" s="309"/>
      <c r="B616" s="309"/>
      <c r="C616" s="309"/>
      <c r="D616" s="309"/>
      <c r="E616" s="309"/>
      <c r="F616" s="309"/>
      <c r="G616" s="309"/>
      <c r="H616" s="309"/>
      <c r="I616" s="309"/>
      <c r="J616" s="309"/>
      <c r="K616" s="309"/>
      <c r="L616" s="309"/>
      <c r="M616" s="309"/>
      <c r="N616" s="309"/>
      <c r="O616" s="309"/>
      <c r="P616" s="309"/>
      <c r="Q616" s="309"/>
      <c r="R616" s="309"/>
      <c r="S616" s="309"/>
      <c r="T616" s="309"/>
      <c r="U616" s="309"/>
      <c r="V616" s="309"/>
      <c r="W616" s="309"/>
      <c r="X616" s="309"/>
      <c r="Y616" s="309"/>
      <c r="Z616" s="309"/>
      <c r="AA616" s="309"/>
      <c r="AB616" s="309"/>
      <c r="AC616" s="309"/>
      <c r="AD616" s="309"/>
      <c r="AE616" s="309"/>
      <c r="AF616" s="309"/>
      <c r="AG616" s="309"/>
    </row>
    <row r="617" spans="1:33" ht="15.75" customHeight="1" x14ac:dyDescent="0.25">
      <c r="A617" s="309"/>
      <c r="B617" s="309"/>
      <c r="C617" s="309"/>
      <c r="D617" s="309"/>
      <c r="E617" s="309"/>
      <c r="F617" s="309"/>
      <c r="G617" s="309"/>
      <c r="H617" s="309"/>
      <c r="I617" s="309"/>
      <c r="J617" s="309"/>
      <c r="K617" s="309"/>
      <c r="L617" s="309"/>
      <c r="M617" s="309"/>
      <c r="N617" s="309"/>
      <c r="O617" s="309"/>
      <c r="P617" s="309"/>
      <c r="Q617" s="309"/>
      <c r="R617" s="309"/>
      <c r="S617" s="309"/>
      <c r="T617" s="309"/>
      <c r="U617" s="309"/>
      <c r="V617" s="309"/>
      <c r="W617" s="309"/>
      <c r="X617" s="309"/>
      <c r="Y617" s="309"/>
      <c r="Z617" s="309"/>
      <c r="AA617" s="309"/>
      <c r="AB617" s="309"/>
      <c r="AC617" s="309"/>
      <c r="AD617" s="309"/>
      <c r="AE617" s="309"/>
      <c r="AF617" s="309"/>
      <c r="AG617" s="309"/>
    </row>
    <row r="618" spans="1:33" ht="15.75" customHeight="1" x14ac:dyDescent="0.25">
      <c r="A618" s="309"/>
      <c r="B618" s="309"/>
      <c r="C618" s="309"/>
      <c r="D618" s="309"/>
      <c r="E618" s="309"/>
      <c r="F618" s="309"/>
      <c r="G618" s="309"/>
      <c r="H618" s="309"/>
      <c r="I618" s="309"/>
      <c r="J618" s="309"/>
      <c r="K618" s="309"/>
      <c r="L618" s="309"/>
      <c r="M618" s="309"/>
      <c r="N618" s="309"/>
      <c r="O618" s="309"/>
      <c r="P618" s="309"/>
      <c r="Q618" s="309"/>
      <c r="R618" s="309"/>
      <c r="S618" s="309"/>
      <c r="T618" s="309"/>
      <c r="U618" s="309"/>
      <c r="V618" s="309"/>
      <c r="W618" s="309"/>
      <c r="X618" s="309"/>
      <c r="Y618" s="309"/>
      <c r="Z618" s="309"/>
      <c r="AA618" s="309"/>
      <c r="AB618" s="309"/>
      <c r="AC618" s="309"/>
      <c r="AD618" s="309"/>
      <c r="AE618" s="309"/>
      <c r="AF618" s="309"/>
      <c r="AG618" s="309"/>
    </row>
    <row r="619" spans="1:33" ht="15.75" customHeight="1" x14ac:dyDescent="0.25">
      <c r="A619" s="309"/>
      <c r="B619" s="309"/>
      <c r="C619" s="309"/>
      <c r="D619" s="309"/>
      <c r="E619" s="309"/>
      <c r="F619" s="309"/>
      <c r="G619" s="309"/>
      <c r="H619" s="309"/>
      <c r="I619" s="309"/>
      <c r="J619" s="309"/>
      <c r="K619" s="309"/>
      <c r="L619" s="309"/>
      <c r="M619" s="309"/>
      <c r="N619" s="309"/>
      <c r="O619" s="309"/>
      <c r="P619" s="309"/>
      <c r="Q619" s="309"/>
      <c r="R619" s="309"/>
      <c r="S619" s="309"/>
      <c r="T619" s="309"/>
      <c r="U619" s="309"/>
      <c r="V619" s="309"/>
      <c r="W619" s="309"/>
      <c r="X619" s="309"/>
      <c r="Y619" s="309"/>
      <c r="Z619" s="309"/>
      <c r="AA619" s="309"/>
      <c r="AB619" s="309"/>
      <c r="AC619" s="309"/>
      <c r="AD619" s="309"/>
      <c r="AE619" s="309"/>
      <c r="AF619" s="309"/>
      <c r="AG619" s="309"/>
    </row>
    <row r="620" spans="1:33" ht="15.75" customHeight="1" x14ac:dyDescent="0.25">
      <c r="A620" s="309"/>
      <c r="B620" s="309"/>
      <c r="C620" s="309"/>
      <c r="D620" s="309"/>
      <c r="E620" s="309"/>
      <c r="F620" s="309"/>
      <c r="G620" s="309"/>
      <c r="H620" s="309"/>
      <c r="I620" s="309"/>
      <c r="J620" s="309"/>
      <c r="K620" s="309"/>
      <c r="L620" s="309"/>
      <c r="M620" s="309"/>
      <c r="N620" s="309"/>
      <c r="O620" s="309"/>
      <c r="P620" s="309"/>
      <c r="Q620" s="309"/>
      <c r="R620" s="309"/>
      <c r="S620" s="309"/>
      <c r="T620" s="309"/>
      <c r="U620" s="309"/>
      <c r="V620" s="309"/>
      <c r="W620" s="309"/>
      <c r="X620" s="309"/>
      <c r="Y620" s="309"/>
      <c r="Z620" s="309"/>
      <c r="AA620" s="309"/>
      <c r="AB620" s="309"/>
      <c r="AC620" s="309"/>
      <c r="AD620" s="309"/>
      <c r="AE620" s="309"/>
      <c r="AF620" s="309"/>
      <c r="AG620" s="309"/>
    </row>
    <row r="621" spans="1:33" ht="15.75" customHeight="1" x14ac:dyDescent="0.25">
      <c r="A621" s="309"/>
      <c r="B621" s="309"/>
      <c r="C621" s="309"/>
      <c r="D621" s="309"/>
      <c r="E621" s="309"/>
      <c r="F621" s="309"/>
      <c r="G621" s="309"/>
      <c r="H621" s="309"/>
      <c r="I621" s="309"/>
      <c r="J621" s="309"/>
      <c r="K621" s="309"/>
      <c r="L621" s="309"/>
      <c r="M621" s="309"/>
      <c r="N621" s="309"/>
      <c r="O621" s="309"/>
      <c r="P621" s="309"/>
      <c r="Q621" s="309"/>
      <c r="R621" s="309"/>
      <c r="S621" s="309"/>
      <c r="T621" s="309"/>
      <c r="U621" s="309"/>
      <c r="V621" s="309"/>
      <c r="W621" s="309"/>
      <c r="X621" s="309"/>
      <c r="Y621" s="309"/>
      <c r="Z621" s="309"/>
      <c r="AA621" s="309"/>
      <c r="AB621" s="309"/>
      <c r="AC621" s="309"/>
      <c r="AD621" s="309"/>
      <c r="AE621" s="309"/>
      <c r="AF621" s="309"/>
      <c r="AG621" s="309"/>
    </row>
    <row r="622" spans="1:33" ht="15.75" customHeight="1" x14ac:dyDescent="0.25">
      <c r="A622" s="309"/>
      <c r="B622" s="309"/>
      <c r="C622" s="309"/>
      <c r="D622" s="309"/>
      <c r="E622" s="309"/>
      <c r="F622" s="309"/>
      <c r="G622" s="309"/>
      <c r="H622" s="309"/>
      <c r="I622" s="309"/>
      <c r="J622" s="309"/>
      <c r="K622" s="309"/>
      <c r="L622" s="309"/>
      <c r="M622" s="309"/>
      <c r="N622" s="309"/>
      <c r="O622" s="309"/>
      <c r="P622" s="309"/>
      <c r="Q622" s="309"/>
      <c r="R622" s="309"/>
      <c r="S622" s="309"/>
      <c r="T622" s="309"/>
      <c r="U622" s="309"/>
      <c r="V622" s="309"/>
      <c r="W622" s="309"/>
      <c r="X622" s="309"/>
      <c r="Y622" s="309"/>
      <c r="Z622" s="309"/>
      <c r="AA622" s="309"/>
      <c r="AB622" s="309"/>
      <c r="AC622" s="309"/>
      <c r="AD622" s="309"/>
      <c r="AE622" s="309"/>
      <c r="AF622" s="309"/>
      <c r="AG622" s="309"/>
    </row>
    <row r="623" spans="1:33" ht="15.75" customHeight="1" x14ac:dyDescent="0.25">
      <c r="A623" s="309"/>
      <c r="B623" s="309"/>
      <c r="C623" s="309"/>
      <c r="D623" s="309"/>
      <c r="E623" s="309"/>
      <c r="F623" s="309"/>
      <c r="G623" s="309"/>
      <c r="H623" s="309"/>
      <c r="I623" s="309"/>
      <c r="J623" s="309"/>
      <c r="K623" s="309"/>
      <c r="L623" s="309"/>
      <c r="M623" s="309"/>
      <c r="N623" s="309"/>
      <c r="O623" s="309"/>
      <c r="P623" s="309"/>
      <c r="Q623" s="309"/>
      <c r="R623" s="309"/>
      <c r="S623" s="309"/>
      <c r="T623" s="309"/>
      <c r="U623" s="309"/>
      <c r="V623" s="309"/>
      <c r="W623" s="309"/>
      <c r="X623" s="309"/>
      <c r="Y623" s="309"/>
      <c r="Z623" s="309"/>
      <c r="AA623" s="309"/>
      <c r="AB623" s="309"/>
      <c r="AC623" s="309"/>
      <c r="AD623" s="309"/>
      <c r="AE623" s="309"/>
      <c r="AF623" s="309"/>
      <c r="AG623" s="309"/>
    </row>
    <row r="624" spans="1:33" ht="15.75" customHeight="1" x14ac:dyDescent="0.25">
      <c r="A624" s="309"/>
      <c r="B624" s="309"/>
      <c r="C624" s="309"/>
      <c r="D624" s="309"/>
      <c r="E624" s="309"/>
      <c r="F624" s="309"/>
      <c r="G624" s="309"/>
      <c r="H624" s="309"/>
      <c r="I624" s="309"/>
      <c r="J624" s="309"/>
      <c r="K624" s="309"/>
      <c r="L624" s="309"/>
      <c r="M624" s="309"/>
      <c r="N624" s="309"/>
      <c r="O624" s="309"/>
      <c r="P624" s="309"/>
      <c r="Q624" s="309"/>
      <c r="R624" s="309"/>
      <c r="S624" s="309"/>
      <c r="T624" s="309"/>
      <c r="U624" s="309"/>
      <c r="V624" s="309"/>
      <c r="W624" s="309"/>
      <c r="X624" s="309"/>
      <c r="Y624" s="309"/>
      <c r="Z624" s="309"/>
      <c r="AA624" s="309"/>
      <c r="AB624" s="309"/>
      <c r="AC624" s="309"/>
      <c r="AD624" s="309"/>
      <c r="AE624" s="309"/>
      <c r="AF624" s="309"/>
      <c r="AG624" s="309"/>
    </row>
    <row r="625" spans="1:33" ht="15.75" customHeight="1" x14ac:dyDescent="0.25">
      <c r="A625" s="309"/>
      <c r="B625" s="309"/>
      <c r="C625" s="309"/>
      <c r="D625" s="309"/>
      <c r="E625" s="309"/>
      <c r="F625" s="309"/>
      <c r="G625" s="309"/>
      <c r="H625" s="309"/>
      <c r="I625" s="309"/>
      <c r="J625" s="309"/>
      <c r="K625" s="309"/>
      <c r="L625" s="309"/>
      <c r="M625" s="309"/>
      <c r="N625" s="309"/>
      <c r="O625" s="309"/>
      <c r="P625" s="309"/>
      <c r="Q625" s="309"/>
      <c r="R625" s="309"/>
      <c r="S625" s="309"/>
      <c r="T625" s="309"/>
      <c r="U625" s="309"/>
      <c r="V625" s="309"/>
      <c r="W625" s="309"/>
      <c r="X625" s="309"/>
      <c r="Y625" s="309"/>
      <c r="Z625" s="309"/>
      <c r="AA625" s="309"/>
      <c r="AB625" s="309"/>
      <c r="AC625" s="309"/>
      <c r="AD625" s="309"/>
      <c r="AE625" s="309"/>
      <c r="AF625" s="309"/>
      <c r="AG625" s="309"/>
    </row>
    <row r="626" spans="1:33" ht="15.75" customHeight="1" x14ac:dyDescent="0.25">
      <c r="A626" s="309"/>
      <c r="B626" s="309"/>
      <c r="C626" s="309"/>
      <c r="D626" s="309"/>
      <c r="E626" s="309"/>
      <c r="F626" s="309"/>
      <c r="G626" s="309"/>
      <c r="H626" s="309"/>
      <c r="I626" s="309"/>
      <c r="J626" s="309"/>
      <c r="K626" s="309"/>
      <c r="L626" s="309"/>
      <c r="M626" s="309"/>
      <c r="N626" s="309"/>
      <c r="O626" s="309"/>
      <c r="P626" s="309"/>
      <c r="Q626" s="309"/>
      <c r="R626" s="309"/>
      <c r="S626" s="309"/>
      <c r="T626" s="309"/>
      <c r="U626" s="309"/>
      <c r="V626" s="309"/>
      <c r="W626" s="309"/>
      <c r="X626" s="309"/>
      <c r="Y626" s="309"/>
      <c r="Z626" s="309"/>
      <c r="AA626" s="309"/>
      <c r="AB626" s="309"/>
      <c r="AC626" s="309"/>
      <c r="AD626" s="309"/>
      <c r="AE626" s="309"/>
      <c r="AF626" s="309"/>
      <c r="AG626" s="309"/>
    </row>
    <row r="627" spans="1:33" ht="15.75" customHeight="1" x14ac:dyDescent="0.25">
      <c r="A627" s="309"/>
      <c r="B627" s="309"/>
      <c r="C627" s="309"/>
      <c r="D627" s="309"/>
      <c r="E627" s="309"/>
      <c r="F627" s="309"/>
      <c r="G627" s="309"/>
      <c r="H627" s="309"/>
      <c r="I627" s="309"/>
      <c r="J627" s="309"/>
      <c r="K627" s="309"/>
      <c r="L627" s="309"/>
      <c r="M627" s="309"/>
      <c r="N627" s="309"/>
      <c r="O627" s="309"/>
      <c r="P627" s="309"/>
      <c r="Q627" s="309"/>
      <c r="R627" s="309"/>
      <c r="S627" s="309"/>
      <c r="T627" s="309"/>
      <c r="U627" s="309"/>
      <c r="V627" s="309"/>
      <c r="W627" s="309"/>
      <c r="X627" s="309"/>
      <c r="Y627" s="309"/>
      <c r="Z627" s="309"/>
      <c r="AA627" s="309"/>
      <c r="AB627" s="309"/>
      <c r="AC627" s="309"/>
      <c r="AD627" s="309"/>
      <c r="AE627" s="309"/>
      <c r="AF627" s="309"/>
      <c r="AG627" s="309"/>
    </row>
    <row r="628" spans="1:33" ht="15.75" customHeight="1" x14ac:dyDescent="0.25">
      <c r="A628" s="309"/>
      <c r="B628" s="309"/>
      <c r="C628" s="309"/>
      <c r="D628" s="309"/>
      <c r="E628" s="309"/>
      <c r="F628" s="309"/>
      <c r="G628" s="309"/>
      <c r="H628" s="309"/>
      <c r="I628" s="309"/>
      <c r="J628" s="309"/>
      <c r="K628" s="309"/>
      <c r="L628" s="309"/>
      <c r="M628" s="309"/>
      <c r="N628" s="309"/>
      <c r="O628" s="309"/>
      <c r="P628" s="309"/>
      <c r="Q628" s="309"/>
      <c r="R628" s="309"/>
      <c r="S628" s="309"/>
      <c r="T628" s="309"/>
      <c r="U628" s="309"/>
      <c r="V628" s="309"/>
      <c r="W628" s="309"/>
      <c r="X628" s="309"/>
      <c r="Y628" s="309"/>
      <c r="Z628" s="309"/>
      <c r="AA628" s="309"/>
      <c r="AB628" s="309"/>
      <c r="AC628" s="309"/>
      <c r="AD628" s="309"/>
      <c r="AE628" s="309"/>
      <c r="AF628" s="309"/>
      <c r="AG628" s="309"/>
    </row>
    <row r="629" spans="1:33" ht="15.75" customHeight="1" x14ac:dyDescent="0.25">
      <c r="A629" s="309"/>
      <c r="B629" s="309"/>
      <c r="C629" s="309"/>
      <c r="D629" s="309"/>
      <c r="E629" s="309"/>
      <c r="F629" s="309"/>
      <c r="G629" s="309"/>
      <c r="H629" s="309"/>
      <c r="I629" s="309"/>
      <c r="J629" s="309"/>
      <c r="K629" s="309"/>
      <c r="L629" s="309"/>
      <c r="M629" s="309"/>
      <c r="N629" s="309"/>
      <c r="O629" s="309"/>
      <c r="P629" s="309"/>
      <c r="Q629" s="309"/>
      <c r="R629" s="309"/>
      <c r="S629" s="309"/>
      <c r="T629" s="309"/>
      <c r="U629" s="309"/>
      <c r="V629" s="309"/>
      <c r="W629" s="309"/>
      <c r="X629" s="309"/>
      <c r="Y629" s="309"/>
      <c r="Z629" s="309"/>
      <c r="AA629" s="309"/>
      <c r="AB629" s="309"/>
      <c r="AC629" s="309"/>
      <c r="AD629" s="309"/>
      <c r="AE629" s="309"/>
      <c r="AF629" s="309"/>
      <c r="AG629" s="309"/>
    </row>
    <row r="630" spans="1:33" ht="15.75" customHeight="1" x14ac:dyDescent="0.25">
      <c r="A630" s="309"/>
      <c r="B630" s="309"/>
      <c r="C630" s="309"/>
      <c r="D630" s="309"/>
      <c r="E630" s="309"/>
      <c r="F630" s="309"/>
      <c r="G630" s="309"/>
      <c r="H630" s="309"/>
      <c r="I630" s="309"/>
      <c r="J630" s="309"/>
      <c r="K630" s="309"/>
      <c r="L630" s="309"/>
      <c r="M630" s="309"/>
      <c r="N630" s="309"/>
      <c r="O630" s="309"/>
      <c r="P630" s="309"/>
      <c r="Q630" s="309"/>
      <c r="R630" s="309"/>
      <c r="S630" s="309"/>
      <c r="T630" s="309"/>
      <c r="U630" s="309"/>
      <c r="V630" s="309"/>
      <c r="W630" s="309"/>
      <c r="X630" s="309"/>
      <c r="Y630" s="309"/>
      <c r="Z630" s="309"/>
      <c r="AA630" s="309"/>
      <c r="AB630" s="309"/>
      <c r="AC630" s="309"/>
      <c r="AD630" s="309"/>
      <c r="AE630" s="309"/>
      <c r="AF630" s="309"/>
      <c r="AG630" s="309"/>
    </row>
    <row r="631" spans="1:33" ht="15.75" customHeight="1" x14ac:dyDescent="0.25">
      <c r="A631" s="309"/>
      <c r="B631" s="309"/>
      <c r="C631" s="309"/>
      <c r="D631" s="309"/>
      <c r="E631" s="309"/>
      <c r="F631" s="309"/>
      <c r="G631" s="309"/>
      <c r="H631" s="309"/>
      <c r="I631" s="309"/>
      <c r="J631" s="309"/>
      <c r="K631" s="309"/>
      <c r="L631" s="309"/>
      <c r="M631" s="309"/>
      <c r="N631" s="309"/>
      <c r="O631" s="309"/>
      <c r="P631" s="309"/>
      <c r="Q631" s="309"/>
      <c r="R631" s="309"/>
      <c r="S631" s="309"/>
      <c r="T631" s="309"/>
      <c r="U631" s="309"/>
      <c r="V631" s="309"/>
      <c r="W631" s="309"/>
      <c r="X631" s="309"/>
      <c r="Y631" s="309"/>
      <c r="Z631" s="309"/>
      <c r="AA631" s="309"/>
      <c r="AB631" s="309"/>
      <c r="AC631" s="309"/>
      <c r="AD631" s="309"/>
      <c r="AE631" s="309"/>
      <c r="AF631" s="309"/>
      <c r="AG631" s="309"/>
    </row>
    <row r="632" spans="1:33" ht="15.75" customHeight="1" x14ac:dyDescent="0.25">
      <c r="A632" s="309"/>
      <c r="B632" s="309"/>
      <c r="C632" s="309"/>
      <c r="D632" s="309"/>
      <c r="E632" s="309"/>
      <c r="F632" s="309"/>
      <c r="G632" s="309"/>
      <c r="H632" s="309"/>
      <c r="I632" s="309"/>
      <c r="J632" s="309"/>
      <c r="K632" s="309"/>
      <c r="L632" s="309"/>
      <c r="M632" s="309"/>
      <c r="N632" s="309"/>
      <c r="O632" s="309"/>
      <c r="P632" s="309"/>
      <c r="Q632" s="309"/>
      <c r="R632" s="309"/>
      <c r="S632" s="309"/>
      <c r="T632" s="309"/>
      <c r="U632" s="309"/>
      <c r="V632" s="309"/>
      <c r="W632" s="309"/>
      <c r="X632" s="309"/>
      <c r="Y632" s="309"/>
      <c r="Z632" s="309"/>
      <c r="AA632" s="309"/>
      <c r="AB632" s="309"/>
      <c r="AC632" s="309"/>
      <c r="AD632" s="309"/>
      <c r="AE632" s="309"/>
      <c r="AF632" s="309"/>
      <c r="AG632" s="309"/>
    </row>
    <row r="633" spans="1:33" ht="15.75" customHeight="1" x14ac:dyDescent="0.25">
      <c r="A633" s="309"/>
      <c r="B633" s="309"/>
      <c r="C633" s="309"/>
      <c r="D633" s="309"/>
      <c r="E633" s="309"/>
      <c r="F633" s="309"/>
      <c r="G633" s="309"/>
      <c r="H633" s="309"/>
      <c r="I633" s="309"/>
      <c r="J633" s="309"/>
      <c r="K633" s="309"/>
      <c r="L633" s="309"/>
      <c r="M633" s="309"/>
      <c r="N633" s="309"/>
      <c r="O633" s="309"/>
      <c r="P633" s="309"/>
      <c r="Q633" s="309"/>
      <c r="R633" s="309"/>
      <c r="S633" s="309"/>
      <c r="T633" s="309"/>
      <c r="U633" s="309"/>
      <c r="V633" s="309"/>
      <c r="W633" s="309"/>
      <c r="X633" s="309"/>
      <c r="Y633" s="309"/>
      <c r="Z633" s="309"/>
      <c r="AA633" s="309"/>
      <c r="AB633" s="309"/>
      <c r="AC633" s="309"/>
      <c r="AD633" s="309"/>
      <c r="AE633" s="309"/>
      <c r="AF633" s="309"/>
      <c r="AG633" s="309"/>
    </row>
    <row r="634" spans="1:33" ht="15.75" customHeight="1" x14ac:dyDescent="0.25">
      <c r="A634" s="309"/>
      <c r="B634" s="309"/>
      <c r="C634" s="309"/>
      <c r="D634" s="309"/>
      <c r="E634" s="309"/>
      <c r="F634" s="309"/>
      <c r="G634" s="309"/>
      <c r="H634" s="309"/>
      <c r="I634" s="309"/>
      <c r="J634" s="309"/>
      <c r="K634" s="309"/>
      <c r="L634" s="309"/>
      <c r="M634" s="309"/>
      <c r="N634" s="309"/>
      <c r="O634" s="309"/>
      <c r="P634" s="309"/>
      <c r="Q634" s="309"/>
      <c r="R634" s="309"/>
      <c r="S634" s="309"/>
      <c r="T634" s="309"/>
      <c r="U634" s="309"/>
      <c r="V634" s="309"/>
      <c r="W634" s="309"/>
      <c r="X634" s="309"/>
      <c r="Y634" s="309"/>
      <c r="Z634" s="309"/>
      <c r="AA634" s="309"/>
      <c r="AB634" s="309"/>
      <c r="AC634" s="309"/>
      <c r="AD634" s="309"/>
      <c r="AE634" s="309"/>
      <c r="AF634" s="309"/>
      <c r="AG634" s="309"/>
    </row>
    <row r="635" spans="1:33" ht="15.75" customHeight="1" x14ac:dyDescent="0.25">
      <c r="A635" s="309"/>
      <c r="B635" s="309"/>
      <c r="C635" s="309"/>
      <c r="D635" s="309"/>
      <c r="E635" s="309"/>
      <c r="F635" s="309"/>
      <c r="G635" s="309"/>
      <c r="H635" s="309"/>
      <c r="I635" s="309"/>
      <c r="J635" s="309"/>
      <c r="K635" s="309"/>
      <c r="L635" s="309"/>
      <c r="M635" s="309"/>
      <c r="N635" s="309"/>
      <c r="O635" s="309"/>
      <c r="P635" s="309"/>
      <c r="Q635" s="309"/>
      <c r="R635" s="309"/>
      <c r="S635" s="309"/>
      <c r="T635" s="309"/>
      <c r="U635" s="309"/>
      <c r="V635" s="309"/>
      <c r="W635" s="309"/>
      <c r="X635" s="309"/>
      <c r="Y635" s="309"/>
      <c r="Z635" s="309"/>
      <c r="AA635" s="309"/>
      <c r="AB635" s="309"/>
      <c r="AC635" s="309"/>
      <c r="AD635" s="309"/>
      <c r="AE635" s="309"/>
      <c r="AF635" s="309"/>
      <c r="AG635" s="309"/>
    </row>
    <row r="636" spans="1:33" ht="15.75" customHeight="1" x14ac:dyDescent="0.25">
      <c r="A636" s="309"/>
      <c r="B636" s="309"/>
      <c r="C636" s="309"/>
      <c r="D636" s="309"/>
      <c r="E636" s="309"/>
      <c r="F636" s="309"/>
      <c r="G636" s="309"/>
      <c r="H636" s="309"/>
      <c r="I636" s="309"/>
      <c r="J636" s="309"/>
      <c r="K636" s="309"/>
      <c r="L636" s="309"/>
      <c r="M636" s="309"/>
      <c r="N636" s="309"/>
      <c r="O636" s="309"/>
      <c r="P636" s="309"/>
      <c r="Q636" s="309"/>
      <c r="R636" s="309"/>
      <c r="S636" s="309"/>
      <c r="T636" s="309"/>
      <c r="U636" s="309"/>
      <c r="V636" s="309"/>
      <c r="W636" s="309"/>
      <c r="X636" s="309"/>
      <c r="Y636" s="309"/>
      <c r="Z636" s="309"/>
      <c r="AA636" s="309"/>
      <c r="AB636" s="309"/>
      <c r="AC636" s="309"/>
      <c r="AD636" s="309"/>
      <c r="AE636" s="309"/>
      <c r="AF636" s="309"/>
      <c r="AG636" s="309"/>
    </row>
    <row r="637" spans="1:33" ht="15.75" customHeight="1" x14ac:dyDescent="0.25">
      <c r="A637" s="309"/>
      <c r="B637" s="309"/>
      <c r="C637" s="309"/>
      <c r="D637" s="309"/>
      <c r="E637" s="309"/>
      <c r="F637" s="309"/>
      <c r="G637" s="309"/>
      <c r="H637" s="309"/>
      <c r="I637" s="309"/>
      <c r="J637" s="309"/>
      <c r="K637" s="309"/>
      <c r="L637" s="309"/>
      <c r="M637" s="309"/>
      <c r="N637" s="309"/>
      <c r="O637" s="309"/>
      <c r="P637" s="309"/>
      <c r="Q637" s="309"/>
      <c r="R637" s="309"/>
      <c r="S637" s="309"/>
      <c r="T637" s="309"/>
      <c r="U637" s="309"/>
      <c r="V637" s="309"/>
      <c r="W637" s="309"/>
      <c r="X637" s="309"/>
      <c r="Y637" s="309"/>
      <c r="Z637" s="309"/>
      <c r="AA637" s="309"/>
      <c r="AB637" s="309"/>
      <c r="AC637" s="309"/>
      <c r="AD637" s="309"/>
      <c r="AE637" s="309"/>
      <c r="AF637" s="309"/>
      <c r="AG637" s="309"/>
    </row>
    <row r="638" spans="1:33" ht="15.75" customHeight="1" x14ac:dyDescent="0.25">
      <c r="A638" s="309"/>
      <c r="B638" s="309"/>
      <c r="C638" s="309"/>
      <c r="D638" s="309"/>
      <c r="E638" s="309"/>
      <c r="F638" s="309"/>
      <c r="G638" s="309"/>
      <c r="H638" s="309"/>
      <c r="I638" s="309"/>
      <c r="J638" s="309"/>
      <c r="K638" s="309"/>
      <c r="L638" s="309"/>
      <c r="M638" s="309"/>
      <c r="N638" s="309"/>
      <c r="O638" s="309"/>
      <c r="P638" s="309"/>
      <c r="Q638" s="309"/>
      <c r="R638" s="309"/>
      <c r="S638" s="309"/>
      <c r="T638" s="309"/>
      <c r="U638" s="309"/>
      <c r="V638" s="309"/>
      <c r="W638" s="309"/>
      <c r="X638" s="309"/>
      <c r="Y638" s="309"/>
      <c r="Z638" s="309"/>
      <c r="AA638" s="309"/>
      <c r="AB638" s="309"/>
      <c r="AC638" s="309"/>
      <c r="AD638" s="309"/>
      <c r="AE638" s="309"/>
      <c r="AF638" s="309"/>
      <c r="AG638" s="309"/>
    </row>
    <row r="639" spans="1:33" ht="15.75" customHeight="1" x14ac:dyDescent="0.25">
      <c r="A639" s="309"/>
      <c r="B639" s="309"/>
      <c r="C639" s="309"/>
      <c r="D639" s="309"/>
      <c r="E639" s="309"/>
      <c r="F639" s="309"/>
      <c r="G639" s="309"/>
      <c r="H639" s="309"/>
      <c r="I639" s="309"/>
      <c r="J639" s="309"/>
      <c r="K639" s="309"/>
      <c r="L639" s="309"/>
      <c r="M639" s="309"/>
      <c r="N639" s="309"/>
      <c r="O639" s="309"/>
      <c r="P639" s="309"/>
      <c r="Q639" s="309"/>
      <c r="R639" s="309"/>
      <c r="S639" s="309"/>
      <c r="T639" s="309"/>
      <c r="U639" s="309"/>
      <c r="V639" s="309"/>
      <c r="W639" s="309"/>
      <c r="X639" s="309"/>
      <c r="Y639" s="309"/>
      <c r="Z639" s="309"/>
      <c r="AA639" s="309"/>
      <c r="AB639" s="309"/>
      <c r="AC639" s="309"/>
      <c r="AD639" s="309"/>
      <c r="AE639" s="309"/>
      <c r="AF639" s="309"/>
      <c r="AG639" s="309"/>
    </row>
    <row r="640" spans="1:33" ht="15.75" customHeight="1" x14ac:dyDescent="0.25">
      <c r="A640" s="309"/>
      <c r="B640" s="309"/>
      <c r="C640" s="309"/>
      <c r="D640" s="309"/>
      <c r="E640" s="309"/>
      <c r="F640" s="309"/>
      <c r="G640" s="309"/>
      <c r="H640" s="309"/>
      <c r="I640" s="309"/>
      <c r="J640" s="309"/>
      <c r="K640" s="309"/>
      <c r="L640" s="309"/>
      <c r="M640" s="309"/>
      <c r="N640" s="309"/>
      <c r="O640" s="309"/>
      <c r="P640" s="309"/>
      <c r="Q640" s="309"/>
      <c r="R640" s="309"/>
      <c r="S640" s="309"/>
      <c r="T640" s="309"/>
      <c r="U640" s="309"/>
      <c r="V640" s="309"/>
      <c r="W640" s="309"/>
      <c r="X640" s="309"/>
      <c r="Y640" s="309"/>
      <c r="Z640" s="309"/>
      <c r="AA640" s="309"/>
      <c r="AB640" s="309"/>
      <c r="AC640" s="309"/>
      <c r="AD640" s="309"/>
      <c r="AE640" s="309"/>
      <c r="AF640" s="309"/>
      <c r="AG640" s="309"/>
    </row>
    <row r="641" spans="1:33" ht="15.75" customHeight="1" x14ac:dyDescent="0.25">
      <c r="A641" s="309"/>
      <c r="B641" s="309"/>
      <c r="C641" s="309"/>
      <c r="D641" s="309"/>
      <c r="E641" s="309"/>
      <c r="F641" s="309"/>
      <c r="G641" s="309"/>
      <c r="H641" s="309"/>
      <c r="I641" s="309"/>
      <c r="J641" s="309"/>
      <c r="K641" s="309"/>
      <c r="L641" s="309"/>
      <c r="M641" s="309"/>
      <c r="N641" s="309"/>
      <c r="O641" s="309"/>
      <c r="P641" s="309"/>
      <c r="Q641" s="309"/>
      <c r="R641" s="309"/>
      <c r="S641" s="309"/>
      <c r="T641" s="309"/>
      <c r="U641" s="309"/>
      <c r="V641" s="309"/>
      <c r="W641" s="309"/>
      <c r="X641" s="309"/>
      <c r="Y641" s="309"/>
      <c r="Z641" s="309"/>
      <c r="AA641" s="309"/>
      <c r="AB641" s="309"/>
      <c r="AC641" s="309"/>
      <c r="AD641" s="309"/>
      <c r="AE641" s="309"/>
      <c r="AF641" s="309"/>
      <c r="AG641" s="309"/>
    </row>
    <row r="642" spans="1:33" ht="15.75" customHeight="1" x14ac:dyDescent="0.25">
      <c r="A642" s="309"/>
      <c r="B642" s="309"/>
      <c r="C642" s="309"/>
      <c r="D642" s="309"/>
      <c r="E642" s="309"/>
      <c r="F642" s="309"/>
      <c r="G642" s="309"/>
      <c r="H642" s="309"/>
      <c r="I642" s="309"/>
      <c r="J642" s="309"/>
      <c r="K642" s="309"/>
      <c r="L642" s="309"/>
      <c r="M642" s="309"/>
      <c r="N642" s="309"/>
      <c r="O642" s="309"/>
      <c r="P642" s="309"/>
      <c r="Q642" s="309"/>
      <c r="R642" s="309"/>
      <c r="S642" s="309"/>
      <c r="T642" s="309"/>
      <c r="U642" s="309"/>
      <c r="V642" s="309"/>
      <c r="W642" s="309"/>
      <c r="X642" s="309"/>
      <c r="Y642" s="309"/>
      <c r="Z642" s="309"/>
      <c r="AA642" s="309"/>
      <c r="AB642" s="309"/>
      <c r="AC642" s="309"/>
      <c r="AD642" s="309"/>
      <c r="AE642" s="309"/>
      <c r="AF642" s="309"/>
      <c r="AG642" s="309"/>
    </row>
    <row r="643" spans="1:33" ht="15.75" customHeight="1" x14ac:dyDescent="0.25">
      <c r="A643" s="309"/>
      <c r="B643" s="309"/>
      <c r="C643" s="309"/>
      <c r="D643" s="309"/>
      <c r="E643" s="309"/>
      <c r="F643" s="309"/>
      <c r="G643" s="309"/>
      <c r="H643" s="309"/>
      <c r="I643" s="309"/>
      <c r="J643" s="309"/>
      <c r="K643" s="309"/>
      <c r="L643" s="309"/>
      <c r="M643" s="309"/>
      <c r="N643" s="309"/>
      <c r="O643" s="309"/>
      <c r="P643" s="309"/>
      <c r="Q643" s="309"/>
      <c r="R643" s="309"/>
      <c r="S643" s="309"/>
      <c r="T643" s="309"/>
      <c r="U643" s="309"/>
      <c r="V643" s="309"/>
      <c r="W643" s="309"/>
      <c r="X643" s="309"/>
      <c r="Y643" s="309"/>
      <c r="Z643" s="309"/>
      <c r="AA643" s="309"/>
      <c r="AB643" s="309"/>
      <c r="AC643" s="309"/>
      <c r="AD643" s="309"/>
      <c r="AE643" s="309"/>
      <c r="AF643" s="309"/>
      <c r="AG643" s="309"/>
    </row>
    <row r="644" spans="1:33" ht="15.75" customHeight="1" x14ac:dyDescent="0.25">
      <c r="A644" s="309"/>
      <c r="B644" s="309"/>
      <c r="C644" s="309"/>
      <c r="D644" s="309"/>
      <c r="E644" s="309"/>
      <c r="F644" s="309"/>
      <c r="G644" s="309"/>
      <c r="H644" s="309"/>
      <c r="I644" s="309"/>
      <c r="J644" s="309"/>
      <c r="K644" s="309"/>
      <c r="L644" s="309"/>
      <c r="M644" s="309"/>
      <c r="N644" s="309"/>
      <c r="O644" s="309"/>
      <c r="P644" s="309"/>
      <c r="Q644" s="309"/>
      <c r="R644" s="309"/>
      <c r="S644" s="309"/>
      <c r="T644" s="309"/>
      <c r="U644" s="309"/>
      <c r="V644" s="309"/>
      <c r="W644" s="309"/>
      <c r="X644" s="309"/>
      <c r="Y644" s="309"/>
      <c r="Z644" s="309"/>
      <c r="AA644" s="309"/>
      <c r="AB644" s="309"/>
      <c r="AC644" s="309"/>
      <c r="AD644" s="309"/>
      <c r="AE644" s="309"/>
      <c r="AF644" s="309"/>
      <c r="AG644" s="309"/>
    </row>
    <row r="645" spans="1:33" ht="15.75" customHeight="1" x14ac:dyDescent="0.25">
      <c r="A645" s="309"/>
      <c r="B645" s="309"/>
      <c r="C645" s="309"/>
      <c r="D645" s="309"/>
      <c r="E645" s="309"/>
      <c r="F645" s="309"/>
      <c r="G645" s="309"/>
      <c r="H645" s="309"/>
      <c r="I645" s="309"/>
      <c r="J645" s="309"/>
      <c r="K645" s="309"/>
      <c r="L645" s="309"/>
      <c r="M645" s="309"/>
      <c r="N645" s="309"/>
      <c r="O645" s="309"/>
      <c r="P645" s="309"/>
      <c r="Q645" s="309"/>
      <c r="R645" s="309"/>
      <c r="S645" s="309"/>
      <c r="T645" s="309"/>
      <c r="U645" s="309"/>
      <c r="V645" s="309"/>
      <c r="W645" s="309"/>
      <c r="X645" s="309"/>
      <c r="Y645" s="309"/>
      <c r="Z645" s="309"/>
      <c r="AA645" s="309"/>
      <c r="AB645" s="309"/>
      <c r="AC645" s="309"/>
      <c r="AD645" s="309"/>
      <c r="AE645" s="309"/>
      <c r="AF645" s="309"/>
      <c r="AG645" s="309"/>
    </row>
    <row r="646" spans="1:33" ht="15.75" customHeight="1" x14ac:dyDescent="0.25">
      <c r="A646" s="309"/>
      <c r="B646" s="309"/>
      <c r="C646" s="309"/>
      <c r="D646" s="309"/>
      <c r="E646" s="309"/>
      <c r="F646" s="309"/>
      <c r="G646" s="309"/>
      <c r="H646" s="309"/>
      <c r="I646" s="309"/>
      <c r="J646" s="309"/>
      <c r="K646" s="309"/>
      <c r="L646" s="309"/>
      <c r="M646" s="309"/>
      <c r="N646" s="309"/>
      <c r="O646" s="309"/>
      <c r="P646" s="309"/>
      <c r="Q646" s="309"/>
      <c r="R646" s="309"/>
      <c r="S646" s="309"/>
      <c r="T646" s="309"/>
      <c r="U646" s="309"/>
      <c r="V646" s="309"/>
      <c r="W646" s="309"/>
      <c r="X646" s="309"/>
      <c r="Y646" s="309"/>
      <c r="Z646" s="309"/>
      <c r="AA646" s="309"/>
      <c r="AB646" s="309"/>
      <c r="AC646" s="309"/>
      <c r="AD646" s="309"/>
      <c r="AE646" s="309"/>
      <c r="AF646" s="309"/>
      <c r="AG646" s="309"/>
    </row>
    <row r="647" spans="1:33" ht="15.75" customHeight="1" x14ac:dyDescent="0.25">
      <c r="A647" s="309"/>
      <c r="B647" s="309"/>
      <c r="C647" s="309"/>
      <c r="D647" s="309"/>
      <c r="E647" s="309"/>
      <c r="F647" s="309"/>
      <c r="G647" s="309"/>
      <c r="H647" s="309"/>
      <c r="I647" s="309"/>
      <c r="J647" s="309"/>
      <c r="K647" s="309"/>
      <c r="L647" s="309"/>
      <c r="M647" s="309"/>
      <c r="N647" s="309"/>
      <c r="O647" s="309"/>
      <c r="P647" s="309"/>
      <c r="Q647" s="309"/>
      <c r="R647" s="309"/>
      <c r="S647" s="309"/>
      <c r="T647" s="309"/>
      <c r="U647" s="309"/>
      <c r="V647" s="309"/>
      <c r="W647" s="309"/>
      <c r="X647" s="309"/>
      <c r="Y647" s="309"/>
      <c r="Z647" s="309"/>
      <c r="AA647" s="309"/>
      <c r="AB647" s="309"/>
      <c r="AC647" s="309"/>
      <c r="AD647" s="309"/>
      <c r="AE647" s="309"/>
      <c r="AF647" s="309"/>
      <c r="AG647" s="309"/>
    </row>
    <row r="648" spans="1:33" ht="15.75" customHeight="1" x14ac:dyDescent="0.25">
      <c r="A648" s="309"/>
      <c r="B648" s="309"/>
      <c r="C648" s="309"/>
      <c r="D648" s="309"/>
      <c r="E648" s="309"/>
      <c r="F648" s="309"/>
      <c r="G648" s="309"/>
      <c r="H648" s="309"/>
      <c r="I648" s="309"/>
      <c r="J648" s="309"/>
      <c r="K648" s="309"/>
      <c r="L648" s="309"/>
      <c r="M648" s="309"/>
      <c r="N648" s="309"/>
      <c r="O648" s="309"/>
      <c r="P648" s="309"/>
      <c r="Q648" s="309"/>
      <c r="R648" s="309"/>
      <c r="S648" s="309"/>
      <c r="T648" s="309"/>
      <c r="U648" s="309"/>
      <c r="V648" s="309"/>
      <c r="W648" s="309"/>
      <c r="X648" s="309"/>
      <c r="Y648" s="309"/>
      <c r="Z648" s="309"/>
      <c r="AA648" s="309"/>
      <c r="AB648" s="309"/>
      <c r="AC648" s="309"/>
      <c r="AD648" s="309"/>
      <c r="AE648" s="309"/>
      <c r="AF648" s="309"/>
      <c r="AG648" s="309"/>
    </row>
    <row r="649" spans="1:33" ht="15.75" customHeight="1" x14ac:dyDescent="0.25">
      <c r="A649" s="309"/>
      <c r="B649" s="309"/>
      <c r="C649" s="309"/>
      <c r="D649" s="309"/>
      <c r="E649" s="309"/>
      <c r="F649" s="309"/>
      <c r="G649" s="309"/>
      <c r="H649" s="309"/>
      <c r="I649" s="309"/>
      <c r="J649" s="309"/>
      <c r="K649" s="309"/>
      <c r="L649" s="309"/>
      <c r="M649" s="309"/>
      <c r="N649" s="309"/>
      <c r="O649" s="309"/>
      <c r="P649" s="309"/>
      <c r="Q649" s="309"/>
      <c r="R649" s="309"/>
      <c r="S649" s="309"/>
      <c r="T649" s="309"/>
      <c r="U649" s="309"/>
      <c r="V649" s="309"/>
      <c r="W649" s="309"/>
      <c r="X649" s="309"/>
      <c r="Y649" s="309"/>
      <c r="Z649" s="309"/>
      <c r="AA649" s="309"/>
      <c r="AB649" s="309"/>
      <c r="AC649" s="309"/>
      <c r="AD649" s="309"/>
      <c r="AE649" s="309"/>
      <c r="AF649" s="309"/>
      <c r="AG649" s="309"/>
    </row>
    <row r="650" spans="1:33" ht="15.75" customHeight="1" x14ac:dyDescent="0.25">
      <c r="A650" s="309"/>
      <c r="B650" s="309"/>
      <c r="C650" s="309"/>
      <c r="D650" s="309"/>
      <c r="E650" s="309"/>
      <c r="F650" s="309"/>
      <c r="G650" s="309"/>
      <c r="H650" s="309"/>
      <c r="I650" s="309"/>
      <c r="J650" s="309"/>
      <c r="K650" s="309"/>
      <c r="L650" s="309"/>
      <c r="M650" s="309"/>
      <c r="N650" s="309"/>
      <c r="O650" s="309"/>
      <c r="P650" s="309"/>
      <c r="Q650" s="309"/>
      <c r="R650" s="309"/>
      <c r="S650" s="309"/>
      <c r="T650" s="309"/>
      <c r="U650" s="309"/>
      <c r="V650" s="309"/>
      <c r="W650" s="309"/>
      <c r="X650" s="309"/>
      <c r="Y650" s="309"/>
      <c r="Z650" s="309"/>
      <c r="AA650" s="309"/>
      <c r="AB650" s="309"/>
      <c r="AC650" s="309"/>
      <c r="AD650" s="309"/>
      <c r="AE650" s="309"/>
      <c r="AF650" s="309"/>
      <c r="AG650" s="309"/>
    </row>
    <row r="651" spans="1:33" ht="15.75" customHeight="1" x14ac:dyDescent="0.25">
      <c r="A651" s="309"/>
      <c r="B651" s="309"/>
      <c r="C651" s="309"/>
      <c r="D651" s="309"/>
      <c r="E651" s="309"/>
      <c r="F651" s="309"/>
      <c r="G651" s="309"/>
      <c r="H651" s="309"/>
      <c r="I651" s="309"/>
      <c r="J651" s="309"/>
      <c r="K651" s="309"/>
      <c r="L651" s="309"/>
      <c r="M651" s="309"/>
      <c r="N651" s="309"/>
      <c r="O651" s="309"/>
      <c r="P651" s="309"/>
      <c r="Q651" s="309"/>
      <c r="R651" s="309"/>
      <c r="S651" s="309"/>
      <c r="T651" s="309"/>
      <c r="U651" s="309"/>
      <c r="V651" s="309"/>
      <c r="W651" s="309"/>
      <c r="X651" s="309"/>
      <c r="Y651" s="309"/>
      <c r="Z651" s="309"/>
      <c r="AA651" s="309"/>
      <c r="AB651" s="309"/>
      <c r="AC651" s="309"/>
      <c r="AD651" s="309"/>
      <c r="AE651" s="309"/>
      <c r="AF651" s="309"/>
      <c r="AG651" s="309"/>
    </row>
    <row r="652" spans="1:33" ht="15.75" customHeight="1" x14ac:dyDescent="0.25">
      <c r="A652" s="309"/>
      <c r="B652" s="309"/>
      <c r="C652" s="309"/>
      <c r="D652" s="309"/>
      <c r="E652" s="309"/>
      <c r="F652" s="309"/>
      <c r="G652" s="309"/>
      <c r="H652" s="309"/>
      <c r="I652" s="309"/>
      <c r="J652" s="309"/>
      <c r="K652" s="309"/>
      <c r="L652" s="309"/>
      <c r="M652" s="309"/>
      <c r="N652" s="309"/>
      <c r="O652" s="309"/>
      <c r="P652" s="309"/>
      <c r="Q652" s="309"/>
      <c r="R652" s="309"/>
      <c r="S652" s="309"/>
      <c r="T652" s="309"/>
      <c r="U652" s="309"/>
      <c r="V652" s="309"/>
      <c r="W652" s="309"/>
      <c r="X652" s="309"/>
      <c r="Y652" s="309"/>
      <c r="Z652" s="309"/>
      <c r="AA652" s="309"/>
      <c r="AB652" s="309"/>
      <c r="AC652" s="309"/>
      <c r="AD652" s="309"/>
      <c r="AE652" s="309"/>
      <c r="AF652" s="309"/>
      <c r="AG652" s="309"/>
    </row>
    <row r="653" spans="1:33" ht="15.75" customHeight="1" x14ac:dyDescent="0.25">
      <c r="A653" s="309"/>
      <c r="B653" s="309"/>
      <c r="C653" s="309"/>
      <c r="D653" s="309"/>
      <c r="E653" s="309"/>
      <c r="F653" s="309"/>
      <c r="G653" s="309"/>
      <c r="H653" s="309"/>
      <c r="I653" s="309"/>
      <c r="J653" s="309"/>
      <c r="K653" s="309"/>
      <c r="L653" s="309"/>
      <c r="M653" s="309"/>
      <c r="N653" s="309"/>
      <c r="O653" s="309"/>
      <c r="P653" s="309"/>
      <c r="Q653" s="309"/>
      <c r="R653" s="309"/>
      <c r="S653" s="309"/>
      <c r="T653" s="309"/>
      <c r="U653" s="309"/>
      <c r="V653" s="309"/>
      <c r="W653" s="309"/>
      <c r="X653" s="309"/>
      <c r="Y653" s="309"/>
      <c r="Z653" s="309"/>
      <c r="AA653" s="309"/>
      <c r="AB653" s="309"/>
      <c r="AC653" s="309"/>
      <c r="AD653" s="309"/>
      <c r="AE653" s="309"/>
      <c r="AF653" s="309"/>
      <c r="AG653" s="309"/>
    </row>
    <row r="654" spans="1:33" ht="15.75" customHeight="1" x14ac:dyDescent="0.25">
      <c r="A654" s="309"/>
      <c r="B654" s="309"/>
      <c r="C654" s="309"/>
      <c r="D654" s="309"/>
      <c r="E654" s="309"/>
      <c r="F654" s="309"/>
      <c r="G654" s="309"/>
      <c r="H654" s="309"/>
      <c r="I654" s="309"/>
      <c r="J654" s="309"/>
      <c r="K654" s="309"/>
      <c r="L654" s="309"/>
      <c r="M654" s="309"/>
      <c r="N654" s="309"/>
      <c r="O654" s="309"/>
      <c r="P654" s="309"/>
      <c r="Q654" s="309"/>
      <c r="R654" s="309"/>
      <c r="S654" s="309"/>
      <c r="T654" s="309"/>
      <c r="U654" s="309"/>
      <c r="V654" s="309"/>
      <c r="W654" s="309"/>
      <c r="X654" s="309"/>
      <c r="Y654" s="309"/>
      <c r="Z654" s="309"/>
      <c r="AA654" s="309"/>
      <c r="AB654" s="309"/>
      <c r="AC654" s="309"/>
      <c r="AD654" s="309"/>
      <c r="AE654" s="309"/>
      <c r="AF654" s="309"/>
      <c r="AG654" s="309"/>
    </row>
    <row r="655" spans="1:33" ht="15.75" customHeight="1" x14ac:dyDescent="0.25">
      <c r="A655" s="309"/>
      <c r="B655" s="309"/>
      <c r="C655" s="309"/>
      <c r="D655" s="309"/>
      <c r="E655" s="309"/>
      <c r="F655" s="309"/>
      <c r="G655" s="309"/>
      <c r="H655" s="309"/>
      <c r="I655" s="309"/>
      <c r="J655" s="309"/>
      <c r="K655" s="309"/>
      <c r="L655" s="309"/>
      <c r="M655" s="309"/>
      <c r="N655" s="309"/>
      <c r="O655" s="309"/>
      <c r="P655" s="309"/>
      <c r="Q655" s="309"/>
      <c r="R655" s="309"/>
      <c r="S655" s="309"/>
      <c r="T655" s="309"/>
      <c r="U655" s="309"/>
      <c r="V655" s="309"/>
      <c r="W655" s="309"/>
      <c r="X655" s="309"/>
      <c r="Y655" s="309"/>
      <c r="Z655" s="309"/>
      <c r="AA655" s="309"/>
      <c r="AB655" s="309"/>
      <c r="AC655" s="309"/>
      <c r="AD655" s="309"/>
      <c r="AE655" s="309"/>
      <c r="AF655" s="309"/>
      <c r="AG655" s="309"/>
    </row>
    <row r="656" spans="1:33" ht="15.75" customHeight="1" x14ac:dyDescent="0.25">
      <c r="A656" s="309"/>
      <c r="B656" s="309"/>
      <c r="C656" s="309"/>
      <c r="D656" s="309"/>
      <c r="E656" s="309"/>
      <c r="F656" s="309"/>
      <c r="G656" s="309"/>
      <c r="H656" s="309"/>
      <c r="I656" s="309"/>
      <c r="J656" s="309"/>
      <c r="K656" s="309"/>
      <c r="L656" s="309"/>
      <c r="M656" s="309"/>
      <c r="N656" s="309"/>
      <c r="O656" s="309"/>
      <c r="P656" s="309"/>
      <c r="Q656" s="309"/>
      <c r="R656" s="309"/>
      <c r="S656" s="309"/>
      <c r="T656" s="309"/>
      <c r="U656" s="309"/>
      <c r="V656" s="309"/>
      <c r="W656" s="309"/>
      <c r="X656" s="309"/>
      <c r="Y656" s="309"/>
      <c r="Z656" s="309"/>
      <c r="AA656" s="309"/>
      <c r="AB656" s="309"/>
      <c r="AC656" s="309"/>
      <c r="AD656" s="309"/>
      <c r="AE656" s="309"/>
      <c r="AF656" s="309"/>
      <c r="AG656" s="309"/>
    </row>
    <row r="657" spans="1:33" ht="15.75" customHeight="1" x14ac:dyDescent="0.25">
      <c r="A657" s="309"/>
      <c r="B657" s="309"/>
      <c r="C657" s="309"/>
      <c r="D657" s="309"/>
      <c r="E657" s="309"/>
      <c r="F657" s="309"/>
      <c r="G657" s="309"/>
      <c r="H657" s="309"/>
      <c r="I657" s="309"/>
      <c r="J657" s="309"/>
      <c r="K657" s="309"/>
      <c r="L657" s="309"/>
      <c r="M657" s="309"/>
      <c r="N657" s="309"/>
      <c r="O657" s="309"/>
      <c r="P657" s="309"/>
      <c r="Q657" s="309"/>
      <c r="R657" s="309"/>
      <c r="S657" s="309"/>
      <c r="T657" s="309"/>
      <c r="U657" s="309"/>
      <c r="V657" s="309"/>
      <c r="W657" s="309"/>
      <c r="X657" s="309"/>
      <c r="Y657" s="309"/>
      <c r="Z657" s="309"/>
      <c r="AA657" s="309"/>
      <c r="AB657" s="309"/>
      <c r="AC657" s="309"/>
      <c r="AD657" s="309"/>
      <c r="AE657" s="309"/>
      <c r="AF657" s="309"/>
      <c r="AG657" s="309"/>
    </row>
    <row r="658" spans="1:33" ht="15.75" customHeight="1" x14ac:dyDescent="0.25">
      <c r="A658" s="309"/>
      <c r="B658" s="309"/>
      <c r="C658" s="309"/>
      <c r="D658" s="309"/>
      <c r="E658" s="309"/>
      <c r="F658" s="309"/>
      <c r="G658" s="309"/>
      <c r="H658" s="309"/>
      <c r="I658" s="309"/>
      <c r="J658" s="309"/>
      <c r="K658" s="309"/>
      <c r="L658" s="309"/>
      <c r="M658" s="309"/>
      <c r="N658" s="309"/>
      <c r="O658" s="309"/>
      <c r="P658" s="309"/>
      <c r="Q658" s="309"/>
      <c r="R658" s="309"/>
      <c r="S658" s="309"/>
      <c r="T658" s="309"/>
      <c r="U658" s="309"/>
      <c r="V658" s="309"/>
      <c r="W658" s="309"/>
      <c r="X658" s="309"/>
      <c r="Y658" s="309"/>
      <c r="Z658" s="309"/>
      <c r="AA658" s="309"/>
      <c r="AB658" s="309"/>
      <c r="AC658" s="309"/>
      <c r="AD658" s="309"/>
      <c r="AE658" s="309"/>
      <c r="AF658" s="309"/>
      <c r="AG658" s="309"/>
    </row>
    <row r="659" spans="1:33" ht="15.75" customHeight="1" x14ac:dyDescent="0.25">
      <c r="A659" s="309"/>
      <c r="B659" s="309"/>
      <c r="C659" s="309"/>
      <c r="D659" s="309"/>
      <c r="E659" s="309"/>
      <c r="F659" s="309"/>
      <c r="G659" s="309"/>
      <c r="H659" s="309"/>
      <c r="I659" s="309"/>
      <c r="J659" s="309"/>
      <c r="K659" s="309"/>
      <c r="L659" s="309"/>
      <c r="M659" s="309"/>
      <c r="N659" s="309"/>
      <c r="O659" s="309"/>
      <c r="P659" s="309"/>
      <c r="Q659" s="309"/>
      <c r="R659" s="309"/>
      <c r="S659" s="309"/>
      <c r="T659" s="309"/>
      <c r="U659" s="309"/>
      <c r="V659" s="309"/>
      <c r="W659" s="309"/>
      <c r="X659" s="309"/>
      <c r="Y659" s="309"/>
      <c r="Z659" s="309"/>
      <c r="AA659" s="309"/>
      <c r="AB659" s="309"/>
      <c r="AC659" s="309"/>
      <c r="AD659" s="309"/>
      <c r="AE659" s="309"/>
      <c r="AF659" s="309"/>
      <c r="AG659" s="309"/>
    </row>
    <row r="660" spans="1:33" ht="15.75" customHeight="1" x14ac:dyDescent="0.25">
      <c r="A660" s="309"/>
      <c r="B660" s="309"/>
      <c r="C660" s="309"/>
      <c r="D660" s="309"/>
      <c r="E660" s="309"/>
      <c r="F660" s="309"/>
      <c r="G660" s="309"/>
      <c r="H660" s="309"/>
      <c r="I660" s="309"/>
      <c r="J660" s="309"/>
      <c r="K660" s="309"/>
      <c r="L660" s="309"/>
      <c r="M660" s="309"/>
      <c r="N660" s="309"/>
      <c r="O660" s="309"/>
      <c r="P660" s="309"/>
      <c r="Q660" s="309"/>
      <c r="R660" s="309"/>
      <c r="S660" s="309"/>
      <c r="T660" s="309"/>
      <c r="U660" s="309"/>
      <c r="V660" s="309"/>
      <c r="W660" s="309"/>
      <c r="X660" s="309"/>
      <c r="Y660" s="309"/>
      <c r="Z660" s="309"/>
      <c r="AA660" s="309"/>
      <c r="AB660" s="309"/>
      <c r="AC660" s="309"/>
      <c r="AD660" s="309"/>
      <c r="AE660" s="309"/>
      <c r="AF660" s="309"/>
      <c r="AG660" s="309"/>
    </row>
    <row r="661" spans="1:33" ht="15.75" customHeight="1" x14ac:dyDescent="0.25">
      <c r="A661" s="309"/>
      <c r="B661" s="309"/>
      <c r="C661" s="309"/>
      <c r="D661" s="309"/>
      <c r="E661" s="309"/>
      <c r="F661" s="309"/>
      <c r="G661" s="309"/>
      <c r="H661" s="309"/>
      <c r="I661" s="309"/>
      <c r="J661" s="309"/>
      <c r="K661" s="309"/>
      <c r="L661" s="309"/>
      <c r="M661" s="309"/>
      <c r="N661" s="309"/>
      <c r="O661" s="309"/>
      <c r="P661" s="309"/>
      <c r="Q661" s="309"/>
      <c r="R661" s="309"/>
      <c r="S661" s="309"/>
      <c r="T661" s="309"/>
      <c r="U661" s="309"/>
      <c r="V661" s="309"/>
      <c r="W661" s="309"/>
      <c r="X661" s="309"/>
      <c r="Y661" s="309"/>
      <c r="Z661" s="309"/>
      <c r="AA661" s="309"/>
      <c r="AB661" s="309"/>
      <c r="AC661" s="309"/>
      <c r="AD661" s="309"/>
      <c r="AE661" s="309"/>
      <c r="AF661" s="309"/>
      <c r="AG661" s="309"/>
    </row>
    <row r="662" spans="1:33" ht="15.75" customHeight="1" x14ac:dyDescent="0.25">
      <c r="A662" s="309"/>
      <c r="B662" s="309"/>
      <c r="C662" s="309"/>
      <c r="D662" s="309"/>
      <c r="E662" s="309"/>
      <c r="F662" s="309"/>
      <c r="G662" s="309"/>
      <c r="H662" s="309"/>
      <c r="I662" s="309"/>
      <c r="J662" s="309"/>
      <c r="K662" s="309"/>
      <c r="L662" s="309"/>
      <c r="M662" s="309"/>
      <c r="N662" s="309"/>
      <c r="O662" s="309"/>
      <c r="P662" s="309"/>
      <c r="Q662" s="309"/>
      <c r="R662" s="309"/>
      <c r="S662" s="309"/>
      <c r="T662" s="309"/>
      <c r="U662" s="309"/>
      <c r="V662" s="309"/>
      <c r="W662" s="309"/>
      <c r="X662" s="309"/>
      <c r="Y662" s="309"/>
      <c r="Z662" s="309"/>
      <c r="AA662" s="309"/>
      <c r="AB662" s="309"/>
      <c r="AC662" s="309"/>
      <c r="AD662" s="309"/>
      <c r="AE662" s="309"/>
      <c r="AF662" s="309"/>
      <c r="AG662" s="309"/>
    </row>
    <row r="663" spans="1:33" ht="15.75" customHeight="1" x14ac:dyDescent="0.25">
      <c r="A663" s="309"/>
      <c r="B663" s="309"/>
      <c r="C663" s="309"/>
      <c r="D663" s="309"/>
      <c r="E663" s="309"/>
      <c r="F663" s="309"/>
      <c r="G663" s="309"/>
      <c r="H663" s="309"/>
      <c r="I663" s="309"/>
      <c r="J663" s="309"/>
      <c r="K663" s="309"/>
      <c r="L663" s="309"/>
      <c r="M663" s="309"/>
      <c r="N663" s="309"/>
      <c r="O663" s="309"/>
      <c r="P663" s="309"/>
      <c r="Q663" s="309"/>
      <c r="R663" s="309"/>
      <c r="S663" s="309"/>
      <c r="T663" s="309"/>
      <c r="U663" s="309"/>
      <c r="V663" s="309"/>
      <c r="W663" s="309"/>
      <c r="X663" s="309"/>
      <c r="Y663" s="309"/>
      <c r="Z663" s="309"/>
      <c r="AA663" s="309"/>
      <c r="AB663" s="309"/>
      <c r="AC663" s="309"/>
      <c r="AD663" s="309"/>
      <c r="AE663" s="309"/>
      <c r="AF663" s="309"/>
      <c r="AG663" s="309"/>
    </row>
    <row r="664" spans="1:33" ht="15.75" customHeight="1" x14ac:dyDescent="0.25">
      <c r="A664" s="309"/>
      <c r="B664" s="309"/>
      <c r="C664" s="309"/>
      <c r="D664" s="309"/>
      <c r="E664" s="309"/>
      <c r="F664" s="309"/>
      <c r="G664" s="309"/>
      <c r="H664" s="309"/>
      <c r="I664" s="309"/>
      <c r="J664" s="309"/>
      <c r="K664" s="309"/>
      <c r="L664" s="309"/>
      <c r="M664" s="309"/>
      <c r="N664" s="309"/>
      <c r="O664" s="309"/>
      <c r="P664" s="309"/>
      <c r="Q664" s="309"/>
      <c r="R664" s="309"/>
      <c r="S664" s="309"/>
      <c r="T664" s="309"/>
      <c r="U664" s="309"/>
      <c r="V664" s="309"/>
      <c r="W664" s="309"/>
      <c r="X664" s="309"/>
      <c r="Y664" s="309"/>
      <c r="Z664" s="309"/>
      <c r="AA664" s="309"/>
      <c r="AB664" s="309"/>
      <c r="AC664" s="309"/>
      <c r="AD664" s="309"/>
      <c r="AE664" s="309"/>
      <c r="AF664" s="309"/>
      <c r="AG664" s="309"/>
    </row>
    <row r="665" spans="1:33" ht="15.75" customHeight="1" x14ac:dyDescent="0.25">
      <c r="A665" s="309"/>
      <c r="B665" s="309"/>
      <c r="C665" s="309"/>
      <c r="D665" s="309"/>
      <c r="E665" s="309"/>
      <c r="F665" s="309"/>
      <c r="G665" s="309"/>
      <c r="H665" s="309"/>
      <c r="I665" s="309"/>
      <c r="J665" s="309"/>
      <c r="K665" s="309"/>
      <c r="L665" s="309"/>
      <c r="M665" s="309"/>
      <c r="N665" s="309"/>
      <c r="O665" s="309"/>
      <c r="P665" s="309"/>
      <c r="Q665" s="309"/>
      <c r="R665" s="309"/>
      <c r="S665" s="309"/>
      <c r="T665" s="309"/>
      <c r="U665" s="309"/>
      <c r="V665" s="309"/>
      <c r="W665" s="309"/>
      <c r="X665" s="309"/>
      <c r="Y665" s="309"/>
      <c r="Z665" s="309"/>
      <c r="AA665" s="309"/>
      <c r="AB665" s="309"/>
      <c r="AC665" s="309"/>
      <c r="AD665" s="309"/>
      <c r="AE665" s="309"/>
      <c r="AF665" s="309"/>
      <c r="AG665" s="309"/>
    </row>
    <row r="666" spans="1:33" ht="15.75" customHeight="1" x14ac:dyDescent="0.25">
      <c r="A666" s="309"/>
      <c r="B666" s="309"/>
      <c r="C666" s="309"/>
      <c r="D666" s="309"/>
      <c r="E666" s="309"/>
      <c r="F666" s="309"/>
      <c r="G666" s="309"/>
      <c r="H666" s="309"/>
      <c r="I666" s="309"/>
      <c r="J666" s="309"/>
      <c r="K666" s="309"/>
      <c r="L666" s="309"/>
      <c r="M666" s="309"/>
      <c r="N666" s="309"/>
      <c r="O666" s="309"/>
      <c r="P666" s="309"/>
      <c r="Q666" s="309"/>
      <c r="R666" s="309"/>
      <c r="S666" s="309"/>
      <c r="T666" s="309"/>
      <c r="U666" s="309"/>
      <c r="V666" s="309"/>
      <c r="W666" s="309"/>
      <c r="X666" s="309"/>
      <c r="Y666" s="309"/>
      <c r="Z666" s="309"/>
      <c r="AA666" s="309"/>
      <c r="AB666" s="309"/>
      <c r="AC666" s="309"/>
      <c r="AD666" s="309"/>
      <c r="AE666" s="309"/>
      <c r="AF666" s="309"/>
      <c r="AG666" s="309"/>
    </row>
    <row r="667" spans="1:33" ht="15.75" customHeight="1" x14ac:dyDescent="0.25">
      <c r="A667" s="309"/>
      <c r="B667" s="309"/>
      <c r="C667" s="309"/>
      <c r="D667" s="309"/>
      <c r="E667" s="309"/>
      <c r="F667" s="309"/>
      <c r="G667" s="309"/>
      <c r="H667" s="309"/>
      <c r="I667" s="309"/>
      <c r="J667" s="309"/>
      <c r="K667" s="309"/>
      <c r="L667" s="309"/>
      <c r="M667" s="309"/>
      <c r="N667" s="309"/>
      <c r="O667" s="309"/>
      <c r="P667" s="309"/>
      <c r="Q667" s="309"/>
      <c r="R667" s="309"/>
      <c r="S667" s="309"/>
      <c r="T667" s="309"/>
      <c r="U667" s="309"/>
      <c r="V667" s="309"/>
      <c r="W667" s="309"/>
      <c r="X667" s="309"/>
      <c r="Y667" s="309"/>
      <c r="Z667" s="309"/>
      <c r="AA667" s="309"/>
      <c r="AB667" s="309"/>
      <c r="AC667" s="309"/>
      <c r="AD667" s="309"/>
      <c r="AE667" s="309"/>
      <c r="AF667" s="309"/>
      <c r="AG667" s="309"/>
    </row>
    <row r="668" spans="1:33" ht="15.75" customHeight="1" x14ac:dyDescent="0.25">
      <c r="A668" s="309"/>
      <c r="B668" s="309"/>
      <c r="C668" s="309"/>
      <c r="D668" s="309"/>
      <c r="E668" s="309"/>
      <c r="F668" s="309"/>
      <c r="G668" s="309"/>
      <c r="H668" s="309"/>
      <c r="I668" s="309"/>
      <c r="J668" s="309"/>
      <c r="K668" s="309"/>
      <c r="L668" s="309"/>
      <c r="M668" s="309"/>
      <c r="N668" s="309"/>
      <c r="O668" s="309"/>
      <c r="P668" s="309"/>
      <c r="Q668" s="309"/>
      <c r="R668" s="309"/>
      <c r="S668" s="309"/>
      <c r="T668" s="309"/>
      <c r="U668" s="309"/>
      <c r="V668" s="309"/>
      <c r="W668" s="309"/>
      <c r="X668" s="309"/>
      <c r="Y668" s="309"/>
      <c r="Z668" s="309"/>
      <c r="AA668" s="309"/>
      <c r="AB668" s="309"/>
      <c r="AC668" s="309"/>
      <c r="AD668" s="309"/>
      <c r="AE668" s="309"/>
      <c r="AF668" s="309"/>
      <c r="AG668" s="309"/>
    </row>
    <row r="669" spans="1:33" ht="15.75" customHeight="1" x14ac:dyDescent="0.25">
      <c r="A669" s="309"/>
      <c r="B669" s="309"/>
      <c r="C669" s="309"/>
      <c r="D669" s="309"/>
      <c r="E669" s="309"/>
      <c r="F669" s="309"/>
      <c r="G669" s="309"/>
      <c r="H669" s="309"/>
      <c r="I669" s="309"/>
      <c r="J669" s="309"/>
      <c r="K669" s="309"/>
      <c r="L669" s="309"/>
      <c r="M669" s="309"/>
      <c r="N669" s="309"/>
      <c r="O669" s="309"/>
      <c r="P669" s="309"/>
      <c r="Q669" s="309"/>
      <c r="R669" s="309"/>
      <c r="S669" s="309"/>
      <c r="T669" s="309"/>
      <c r="U669" s="309"/>
      <c r="V669" s="309"/>
      <c r="W669" s="309"/>
      <c r="X669" s="309"/>
      <c r="Y669" s="309"/>
      <c r="Z669" s="309"/>
      <c r="AA669" s="309"/>
      <c r="AB669" s="309"/>
      <c r="AC669" s="309"/>
      <c r="AD669" s="309"/>
      <c r="AE669" s="309"/>
      <c r="AF669" s="309"/>
      <c r="AG669" s="309"/>
    </row>
    <row r="670" spans="1:33" ht="15.75" customHeight="1" x14ac:dyDescent="0.25">
      <c r="A670" s="309"/>
      <c r="B670" s="309"/>
      <c r="C670" s="309"/>
      <c r="D670" s="309"/>
      <c r="E670" s="309"/>
      <c r="F670" s="309"/>
      <c r="G670" s="309"/>
      <c r="H670" s="309"/>
      <c r="I670" s="309"/>
      <c r="J670" s="309"/>
      <c r="K670" s="309"/>
      <c r="L670" s="309"/>
      <c r="M670" s="309"/>
      <c r="N670" s="309"/>
      <c r="O670" s="309"/>
      <c r="P670" s="309"/>
      <c r="Q670" s="309"/>
      <c r="R670" s="309"/>
      <c r="S670" s="309"/>
      <c r="T670" s="309"/>
      <c r="U670" s="309"/>
      <c r="V670" s="309"/>
      <c r="W670" s="309"/>
      <c r="X670" s="309"/>
      <c r="Y670" s="309"/>
      <c r="Z670" s="309"/>
      <c r="AA670" s="309"/>
      <c r="AB670" s="309"/>
      <c r="AC670" s="309"/>
      <c r="AD670" s="309"/>
      <c r="AE670" s="309"/>
      <c r="AF670" s="309"/>
      <c r="AG670" s="309"/>
    </row>
    <row r="671" spans="1:33" ht="15.75" customHeight="1" x14ac:dyDescent="0.25">
      <c r="A671" s="309"/>
      <c r="B671" s="309"/>
      <c r="C671" s="309"/>
      <c r="D671" s="309"/>
      <c r="E671" s="309"/>
      <c r="F671" s="309"/>
      <c r="G671" s="309"/>
      <c r="H671" s="309"/>
      <c r="I671" s="309"/>
      <c r="J671" s="309"/>
      <c r="K671" s="309"/>
      <c r="L671" s="309"/>
      <c r="M671" s="309"/>
      <c r="N671" s="309"/>
      <c r="O671" s="309"/>
      <c r="P671" s="309"/>
      <c r="Q671" s="309"/>
      <c r="R671" s="309"/>
      <c r="S671" s="309"/>
      <c r="T671" s="309"/>
      <c r="U671" s="309"/>
      <c r="V671" s="309"/>
      <c r="W671" s="309"/>
      <c r="X671" s="309"/>
      <c r="Y671" s="309"/>
      <c r="Z671" s="309"/>
      <c r="AA671" s="309"/>
      <c r="AB671" s="309"/>
      <c r="AC671" s="309"/>
      <c r="AD671" s="309"/>
      <c r="AE671" s="309"/>
      <c r="AF671" s="309"/>
      <c r="AG671" s="309"/>
    </row>
    <row r="672" spans="1:33" ht="15.75" customHeight="1" x14ac:dyDescent="0.25">
      <c r="A672" s="309"/>
      <c r="B672" s="309"/>
      <c r="C672" s="309"/>
      <c r="D672" s="309"/>
      <c r="E672" s="309"/>
      <c r="F672" s="309"/>
      <c r="G672" s="309"/>
      <c r="H672" s="309"/>
      <c r="I672" s="309"/>
      <c r="J672" s="309"/>
      <c r="K672" s="309"/>
      <c r="L672" s="309"/>
      <c r="M672" s="309"/>
      <c r="N672" s="309"/>
      <c r="O672" s="309"/>
      <c r="P672" s="309"/>
      <c r="Q672" s="309"/>
      <c r="R672" s="309"/>
      <c r="S672" s="309"/>
      <c r="T672" s="309"/>
      <c r="U672" s="309"/>
      <c r="V672" s="309"/>
      <c r="W672" s="309"/>
      <c r="X672" s="309"/>
      <c r="Y672" s="309"/>
      <c r="Z672" s="309"/>
      <c r="AA672" s="309"/>
      <c r="AB672" s="309"/>
      <c r="AC672" s="309"/>
      <c r="AD672" s="309"/>
      <c r="AE672" s="309"/>
      <c r="AF672" s="309"/>
      <c r="AG672" s="309"/>
    </row>
    <row r="673" spans="1:33" ht="15.75" customHeight="1" x14ac:dyDescent="0.25">
      <c r="A673" s="309"/>
      <c r="B673" s="309"/>
      <c r="C673" s="309"/>
      <c r="D673" s="309"/>
      <c r="E673" s="309"/>
      <c r="F673" s="309"/>
      <c r="G673" s="309"/>
      <c r="H673" s="309"/>
      <c r="I673" s="309"/>
      <c r="J673" s="309"/>
      <c r="K673" s="309"/>
      <c r="L673" s="309"/>
      <c r="M673" s="309"/>
      <c r="N673" s="309"/>
      <c r="O673" s="309"/>
      <c r="P673" s="309"/>
      <c r="Q673" s="309"/>
      <c r="R673" s="309"/>
      <c r="S673" s="309"/>
      <c r="T673" s="309"/>
      <c r="U673" s="309"/>
      <c r="V673" s="309"/>
      <c r="W673" s="309"/>
      <c r="X673" s="309"/>
      <c r="Y673" s="309"/>
      <c r="Z673" s="309"/>
      <c r="AA673" s="309"/>
      <c r="AB673" s="309"/>
      <c r="AC673" s="309"/>
      <c r="AD673" s="309"/>
      <c r="AE673" s="309"/>
      <c r="AF673" s="309"/>
      <c r="AG673" s="309"/>
    </row>
    <row r="674" spans="1:33" ht="15.75" customHeight="1" x14ac:dyDescent="0.25">
      <c r="A674" s="309"/>
      <c r="B674" s="309"/>
      <c r="C674" s="309"/>
      <c r="D674" s="309"/>
      <c r="E674" s="309"/>
      <c r="F674" s="309"/>
      <c r="G674" s="309"/>
      <c r="H674" s="309"/>
      <c r="I674" s="309"/>
      <c r="J674" s="309"/>
      <c r="K674" s="309"/>
      <c r="L674" s="309"/>
      <c r="M674" s="309"/>
      <c r="N674" s="309"/>
      <c r="O674" s="309"/>
      <c r="P674" s="309"/>
      <c r="Q674" s="309"/>
      <c r="R674" s="309"/>
      <c r="S674" s="309"/>
      <c r="T674" s="309"/>
      <c r="U674" s="309"/>
      <c r="V674" s="309"/>
      <c r="W674" s="309"/>
      <c r="X674" s="309"/>
      <c r="Y674" s="309"/>
      <c r="Z674" s="309"/>
      <c r="AA674" s="309"/>
      <c r="AB674" s="309"/>
      <c r="AC674" s="309"/>
      <c r="AD674" s="309"/>
      <c r="AE674" s="309"/>
      <c r="AF674" s="309"/>
      <c r="AG674" s="309"/>
    </row>
    <row r="675" spans="1:33" ht="15.75" customHeight="1" x14ac:dyDescent="0.25">
      <c r="A675" s="309"/>
      <c r="B675" s="309"/>
      <c r="C675" s="309"/>
      <c r="D675" s="309"/>
      <c r="E675" s="309"/>
      <c r="F675" s="309"/>
      <c r="G675" s="309"/>
      <c r="H675" s="309"/>
      <c r="I675" s="309"/>
      <c r="J675" s="309"/>
      <c r="K675" s="309"/>
      <c r="L675" s="309"/>
      <c r="M675" s="309"/>
      <c r="N675" s="309"/>
      <c r="O675" s="309"/>
      <c r="P675" s="309"/>
      <c r="Q675" s="309"/>
      <c r="R675" s="309"/>
      <c r="S675" s="309"/>
      <c r="T675" s="309"/>
      <c r="U675" s="309"/>
      <c r="V675" s="309"/>
      <c r="W675" s="309"/>
      <c r="X675" s="309"/>
      <c r="Y675" s="309"/>
      <c r="Z675" s="309"/>
      <c r="AA675" s="309"/>
      <c r="AB675" s="309"/>
      <c r="AC675" s="309"/>
      <c r="AD675" s="309"/>
      <c r="AE675" s="309"/>
      <c r="AF675" s="309"/>
      <c r="AG675" s="309"/>
    </row>
    <row r="676" spans="1:33" ht="15.75" customHeight="1" x14ac:dyDescent="0.25">
      <c r="A676" s="309"/>
      <c r="B676" s="309"/>
      <c r="C676" s="309"/>
      <c r="D676" s="309"/>
      <c r="E676" s="309"/>
      <c r="F676" s="309"/>
      <c r="G676" s="309"/>
      <c r="H676" s="309"/>
      <c r="I676" s="309"/>
      <c r="J676" s="309"/>
      <c r="K676" s="309"/>
      <c r="L676" s="309"/>
      <c r="M676" s="309"/>
      <c r="N676" s="309"/>
      <c r="O676" s="309"/>
      <c r="P676" s="309"/>
      <c r="Q676" s="309"/>
      <c r="R676" s="309"/>
      <c r="S676" s="309"/>
      <c r="T676" s="309"/>
      <c r="U676" s="309"/>
      <c r="V676" s="309"/>
      <c r="W676" s="309"/>
      <c r="X676" s="309"/>
      <c r="Y676" s="309"/>
      <c r="Z676" s="309"/>
      <c r="AA676" s="309"/>
      <c r="AB676" s="309"/>
      <c r="AC676" s="309"/>
      <c r="AD676" s="309"/>
      <c r="AE676" s="309"/>
      <c r="AF676" s="309"/>
      <c r="AG676" s="309"/>
    </row>
    <row r="677" spans="1:33" ht="15.75" customHeight="1" x14ac:dyDescent="0.25">
      <c r="A677" s="309"/>
      <c r="B677" s="309"/>
      <c r="C677" s="309"/>
      <c r="D677" s="309"/>
      <c r="E677" s="309"/>
      <c r="F677" s="309"/>
      <c r="G677" s="309"/>
      <c r="H677" s="309"/>
      <c r="I677" s="309"/>
      <c r="J677" s="309"/>
      <c r="K677" s="309"/>
      <c r="L677" s="309"/>
      <c r="M677" s="309"/>
      <c r="N677" s="309"/>
      <c r="O677" s="309"/>
      <c r="P677" s="309"/>
      <c r="Q677" s="309"/>
      <c r="R677" s="309"/>
      <c r="S677" s="309"/>
      <c r="T677" s="309"/>
      <c r="U677" s="309"/>
      <c r="V677" s="309"/>
      <c r="W677" s="309"/>
      <c r="X677" s="309"/>
      <c r="Y677" s="309"/>
      <c r="Z677" s="309"/>
      <c r="AA677" s="309"/>
      <c r="AB677" s="309"/>
      <c r="AC677" s="309"/>
      <c r="AD677" s="309"/>
      <c r="AE677" s="309"/>
      <c r="AF677" s="309"/>
      <c r="AG677" s="309"/>
    </row>
    <row r="678" spans="1:33" ht="15.75" customHeight="1" x14ac:dyDescent="0.25">
      <c r="A678" s="309"/>
      <c r="B678" s="309"/>
      <c r="C678" s="309"/>
      <c r="D678" s="309"/>
      <c r="E678" s="309"/>
      <c r="F678" s="309"/>
      <c r="G678" s="309"/>
      <c r="H678" s="309"/>
      <c r="I678" s="309"/>
      <c r="J678" s="309"/>
      <c r="K678" s="309"/>
      <c r="L678" s="309"/>
      <c r="M678" s="309"/>
      <c r="N678" s="309"/>
      <c r="O678" s="309"/>
      <c r="P678" s="309"/>
      <c r="Q678" s="309"/>
      <c r="R678" s="309"/>
      <c r="S678" s="309"/>
      <c r="T678" s="309"/>
      <c r="U678" s="309"/>
      <c r="V678" s="309"/>
      <c r="W678" s="309"/>
      <c r="X678" s="309"/>
      <c r="Y678" s="309"/>
      <c r="Z678" s="309"/>
      <c r="AA678" s="309"/>
      <c r="AB678" s="309"/>
      <c r="AC678" s="309"/>
      <c r="AD678" s="309"/>
      <c r="AE678" s="309"/>
      <c r="AF678" s="309"/>
      <c r="AG678" s="309"/>
    </row>
    <row r="679" spans="1:33" ht="15.75" customHeight="1" x14ac:dyDescent="0.25">
      <c r="A679" s="309"/>
      <c r="B679" s="309"/>
      <c r="C679" s="309"/>
      <c r="D679" s="309"/>
      <c r="E679" s="309"/>
      <c r="F679" s="309"/>
      <c r="G679" s="309"/>
      <c r="H679" s="309"/>
      <c r="I679" s="309"/>
      <c r="J679" s="309"/>
      <c r="K679" s="309"/>
      <c r="L679" s="309"/>
      <c r="M679" s="309"/>
      <c r="N679" s="309"/>
      <c r="O679" s="309"/>
      <c r="P679" s="309"/>
      <c r="Q679" s="309"/>
      <c r="R679" s="309"/>
      <c r="S679" s="309"/>
      <c r="T679" s="309"/>
      <c r="U679" s="309"/>
      <c r="V679" s="309"/>
      <c r="W679" s="309"/>
      <c r="X679" s="309"/>
      <c r="Y679" s="309"/>
      <c r="Z679" s="309"/>
      <c r="AA679" s="309"/>
      <c r="AB679" s="309"/>
      <c r="AC679" s="309"/>
      <c r="AD679" s="309"/>
      <c r="AE679" s="309"/>
      <c r="AF679" s="309"/>
      <c r="AG679" s="309"/>
    </row>
    <row r="680" spans="1:33" ht="15.75" customHeight="1" x14ac:dyDescent="0.25">
      <c r="A680" s="309"/>
      <c r="B680" s="309"/>
      <c r="C680" s="309"/>
      <c r="D680" s="309"/>
      <c r="E680" s="309"/>
      <c r="F680" s="309"/>
      <c r="G680" s="309"/>
      <c r="H680" s="309"/>
      <c r="I680" s="309"/>
      <c r="J680" s="309"/>
      <c r="K680" s="309"/>
      <c r="L680" s="309"/>
      <c r="M680" s="309"/>
      <c r="N680" s="309"/>
      <c r="O680" s="309"/>
      <c r="P680" s="309"/>
      <c r="Q680" s="309"/>
      <c r="R680" s="309"/>
      <c r="S680" s="309"/>
      <c r="T680" s="309"/>
      <c r="U680" s="309"/>
      <c r="V680" s="309"/>
      <c r="W680" s="309"/>
      <c r="X680" s="309"/>
      <c r="Y680" s="309"/>
      <c r="Z680" s="309"/>
      <c r="AA680" s="309"/>
      <c r="AB680" s="309"/>
      <c r="AC680" s="309"/>
      <c r="AD680" s="309"/>
      <c r="AE680" s="309"/>
      <c r="AF680" s="309"/>
      <c r="AG680" s="309"/>
    </row>
    <row r="681" spans="1:33" ht="15.75" customHeight="1" x14ac:dyDescent="0.25">
      <c r="A681" s="309"/>
      <c r="B681" s="309"/>
      <c r="C681" s="309"/>
      <c r="D681" s="309"/>
      <c r="E681" s="309"/>
      <c r="F681" s="309"/>
      <c r="G681" s="309"/>
      <c r="H681" s="309"/>
      <c r="I681" s="309"/>
      <c r="J681" s="309"/>
      <c r="K681" s="309"/>
      <c r="L681" s="309"/>
      <c r="M681" s="309"/>
      <c r="N681" s="309"/>
      <c r="O681" s="309"/>
      <c r="P681" s="309"/>
      <c r="Q681" s="309"/>
      <c r="R681" s="309"/>
      <c r="S681" s="309"/>
      <c r="T681" s="309"/>
      <c r="U681" s="309"/>
      <c r="V681" s="309"/>
      <c r="W681" s="309"/>
      <c r="X681" s="309"/>
      <c r="Y681" s="309"/>
      <c r="Z681" s="309"/>
      <c r="AA681" s="309"/>
      <c r="AB681" s="309"/>
      <c r="AC681" s="309"/>
      <c r="AD681" s="309"/>
      <c r="AE681" s="309"/>
      <c r="AF681" s="309"/>
      <c r="AG681" s="309"/>
    </row>
    <row r="682" spans="1:33" ht="15.75" customHeight="1" x14ac:dyDescent="0.25">
      <c r="A682" s="309"/>
      <c r="B682" s="309"/>
      <c r="C682" s="309"/>
      <c r="D682" s="309"/>
      <c r="E682" s="309"/>
      <c r="F682" s="309"/>
      <c r="G682" s="309"/>
      <c r="H682" s="309"/>
      <c r="I682" s="309"/>
      <c r="J682" s="309"/>
      <c r="K682" s="309"/>
      <c r="L682" s="309"/>
      <c r="M682" s="309"/>
      <c r="N682" s="309"/>
      <c r="O682" s="309"/>
      <c r="P682" s="309"/>
      <c r="Q682" s="309"/>
      <c r="R682" s="309"/>
      <c r="S682" s="309"/>
      <c r="T682" s="309"/>
      <c r="U682" s="309"/>
      <c r="V682" s="309"/>
      <c r="W682" s="309"/>
      <c r="X682" s="309"/>
      <c r="Y682" s="309"/>
      <c r="Z682" s="309"/>
      <c r="AA682" s="309"/>
      <c r="AB682" s="309"/>
      <c r="AC682" s="309"/>
      <c r="AD682" s="309"/>
      <c r="AE682" s="309"/>
      <c r="AF682" s="309"/>
      <c r="AG682" s="309"/>
    </row>
    <row r="683" spans="1:33" ht="15.75" customHeight="1" x14ac:dyDescent="0.25">
      <c r="A683" s="309"/>
      <c r="B683" s="309"/>
      <c r="C683" s="309"/>
      <c r="D683" s="309"/>
      <c r="E683" s="309"/>
      <c r="F683" s="309"/>
      <c r="G683" s="309"/>
      <c r="H683" s="309"/>
      <c r="I683" s="309"/>
      <c r="J683" s="309"/>
      <c r="K683" s="309"/>
      <c r="L683" s="309"/>
      <c r="M683" s="309"/>
      <c r="N683" s="309"/>
      <c r="O683" s="309"/>
      <c r="P683" s="309"/>
      <c r="Q683" s="309"/>
      <c r="R683" s="309"/>
      <c r="S683" s="309"/>
      <c r="T683" s="309"/>
      <c r="U683" s="309"/>
      <c r="V683" s="309"/>
      <c r="W683" s="309"/>
      <c r="X683" s="309"/>
      <c r="Y683" s="309"/>
      <c r="Z683" s="309"/>
      <c r="AA683" s="309"/>
      <c r="AB683" s="309"/>
      <c r="AC683" s="309"/>
      <c r="AD683" s="309"/>
      <c r="AE683" s="309"/>
      <c r="AF683" s="309"/>
      <c r="AG683" s="309"/>
    </row>
    <row r="684" spans="1:33" ht="15.75" customHeight="1" x14ac:dyDescent="0.25">
      <c r="A684" s="309"/>
      <c r="B684" s="309"/>
      <c r="C684" s="309"/>
      <c r="D684" s="309"/>
      <c r="E684" s="309"/>
      <c r="F684" s="309"/>
      <c r="G684" s="309"/>
      <c r="H684" s="309"/>
      <c r="I684" s="309"/>
      <c r="J684" s="309"/>
      <c r="K684" s="309"/>
      <c r="L684" s="309"/>
      <c r="M684" s="309"/>
      <c r="N684" s="309"/>
      <c r="O684" s="309"/>
      <c r="P684" s="309"/>
      <c r="Q684" s="309"/>
      <c r="R684" s="309"/>
      <c r="S684" s="309"/>
      <c r="T684" s="309"/>
      <c r="U684" s="309"/>
      <c r="V684" s="309"/>
      <c r="W684" s="309"/>
      <c r="X684" s="309"/>
      <c r="Y684" s="309"/>
      <c r="Z684" s="309"/>
      <c r="AA684" s="309"/>
      <c r="AB684" s="309"/>
      <c r="AC684" s="309"/>
      <c r="AD684" s="309"/>
      <c r="AE684" s="309"/>
      <c r="AF684" s="309"/>
      <c r="AG684" s="309"/>
    </row>
    <row r="685" spans="1:33" ht="15.75" customHeight="1" x14ac:dyDescent="0.25">
      <c r="A685" s="309"/>
      <c r="B685" s="309"/>
      <c r="C685" s="309"/>
      <c r="D685" s="309"/>
      <c r="E685" s="309"/>
      <c r="F685" s="309"/>
      <c r="G685" s="309"/>
      <c r="H685" s="309"/>
      <c r="I685" s="309"/>
      <c r="J685" s="309"/>
      <c r="K685" s="309"/>
      <c r="L685" s="309"/>
      <c r="M685" s="309"/>
      <c r="N685" s="309"/>
      <c r="O685" s="309"/>
      <c r="P685" s="309"/>
      <c r="Q685" s="309"/>
      <c r="R685" s="309"/>
      <c r="S685" s="309"/>
      <c r="T685" s="309"/>
      <c r="U685" s="309"/>
      <c r="V685" s="309"/>
      <c r="W685" s="309"/>
      <c r="X685" s="309"/>
      <c r="Y685" s="309"/>
      <c r="Z685" s="309"/>
      <c r="AA685" s="309"/>
      <c r="AB685" s="309"/>
      <c r="AC685" s="309"/>
      <c r="AD685" s="309"/>
      <c r="AE685" s="309"/>
      <c r="AF685" s="309"/>
      <c r="AG685" s="309"/>
    </row>
    <row r="686" spans="1:33" ht="15.75" customHeight="1" x14ac:dyDescent="0.25">
      <c r="A686" s="309"/>
      <c r="B686" s="309"/>
      <c r="C686" s="309"/>
      <c r="D686" s="309"/>
      <c r="E686" s="309"/>
      <c r="F686" s="309"/>
      <c r="G686" s="309"/>
      <c r="H686" s="309"/>
      <c r="I686" s="309"/>
      <c r="J686" s="309"/>
      <c r="K686" s="309"/>
      <c r="L686" s="309"/>
      <c r="M686" s="309"/>
      <c r="N686" s="309"/>
      <c r="O686" s="309"/>
      <c r="P686" s="309"/>
      <c r="Q686" s="309"/>
      <c r="R686" s="309"/>
      <c r="S686" s="309"/>
      <c r="T686" s="309"/>
      <c r="U686" s="309"/>
      <c r="V686" s="309"/>
      <c r="W686" s="309"/>
      <c r="X686" s="309"/>
      <c r="Y686" s="309"/>
      <c r="Z686" s="309"/>
      <c r="AA686" s="309"/>
      <c r="AB686" s="309"/>
      <c r="AC686" s="309"/>
      <c r="AD686" s="309"/>
      <c r="AE686" s="309"/>
      <c r="AF686" s="309"/>
      <c r="AG686" s="309"/>
    </row>
    <row r="687" spans="1:33" ht="15.75" customHeight="1" x14ac:dyDescent="0.25">
      <c r="A687" s="309"/>
      <c r="B687" s="309"/>
      <c r="C687" s="309"/>
      <c r="D687" s="309"/>
      <c r="E687" s="309"/>
      <c r="F687" s="309"/>
      <c r="G687" s="309"/>
      <c r="H687" s="309"/>
      <c r="I687" s="309"/>
      <c r="J687" s="309"/>
      <c r="K687" s="309"/>
      <c r="L687" s="309"/>
      <c r="M687" s="309"/>
      <c r="N687" s="309"/>
      <c r="O687" s="309"/>
      <c r="P687" s="309"/>
      <c r="Q687" s="309"/>
      <c r="R687" s="309"/>
      <c r="S687" s="309"/>
      <c r="T687" s="309"/>
      <c r="U687" s="309"/>
      <c r="V687" s="309"/>
      <c r="W687" s="309"/>
      <c r="X687" s="309"/>
      <c r="Y687" s="309"/>
      <c r="Z687" s="309"/>
      <c r="AA687" s="309"/>
      <c r="AB687" s="309"/>
      <c r="AC687" s="309"/>
      <c r="AD687" s="309"/>
      <c r="AE687" s="309"/>
      <c r="AF687" s="309"/>
      <c r="AG687" s="309"/>
    </row>
    <row r="688" spans="1:33" ht="15.75" customHeight="1" x14ac:dyDescent="0.25">
      <c r="A688" s="309"/>
      <c r="B688" s="309"/>
      <c r="C688" s="309"/>
      <c r="D688" s="309"/>
      <c r="E688" s="309"/>
      <c r="F688" s="309"/>
      <c r="G688" s="309"/>
      <c r="H688" s="309"/>
      <c r="I688" s="309"/>
      <c r="J688" s="309"/>
      <c r="K688" s="309"/>
      <c r="L688" s="309"/>
      <c r="M688" s="309"/>
      <c r="N688" s="309"/>
      <c r="O688" s="309"/>
      <c r="P688" s="309"/>
      <c r="Q688" s="309"/>
      <c r="R688" s="309"/>
      <c r="S688" s="309"/>
      <c r="T688" s="309"/>
      <c r="U688" s="309"/>
      <c r="V688" s="309"/>
      <c r="W688" s="309"/>
      <c r="X688" s="309"/>
      <c r="Y688" s="309"/>
      <c r="Z688" s="309"/>
      <c r="AA688" s="309"/>
      <c r="AB688" s="309"/>
      <c r="AC688" s="309"/>
      <c r="AD688" s="309"/>
      <c r="AE688" s="309"/>
      <c r="AF688" s="309"/>
      <c r="AG688" s="309"/>
    </row>
    <row r="689" spans="1:33" ht="15.75" customHeight="1" x14ac:dyDescent="0.25">
      <c r="A689" s="309"/>
      <c r="B689" s="309"/>
      <c r="C689" s="309"/>
      <c r="D689" s="309"/>
      <c r="E689" s="309"/>
      <c r="F689" s="309"/>
      <c r="G689" s="309"/>
      <c r="H689" s="309"/>
      <c r="I689" s="309"/>
      <c r="J689" s="309"/>
      <c r="K689" s="309"/>
      <c r="L689" s="309"/>
      <c r="M689" s="309"/>
      <c r="N689" s="309"/>
      <c r="O689" s="309"/>
      <c r="P689" s="309"/>
      <c r="Q689" s="309"/>
      <c r="R689" s="309"/>
      <c r="S689" s="309"/>
      <c r="T689" s="309"/>
      <c r="U689" s="309"/>
      <c r="V689" s="309"/>
      <c r="W689" s="309"/>
      <c r="X689" s="309"/>
      <c r="Y689" s="309"/>
      <c r="Z689" s="309"/>
      <c r="AA689" s="309"/>
      <c r="AB689" s="309"/>
      <c r="AC689" s="309"/>
      <c r="AD689" s="309"/>
      <c r="AE689" s="309"/>
      <c r="AF689" s="309"/>
      <c r="AG689" s="309"/>
    </row>
    <row r="690" spans="1:33" ht="15.75" customHeight="1" x14ac:dyDescent="0.25">
      <c r="A690" s="309"/>
      <c r="B690" s="309"/>
      <c r="C690" s="309"/>
      <c r="D690" s="309"/>
      <c r="E690" s="309"/>
      <c r="F690" s="309"/>
      <c r="G690" s="309"/>
      <c r="H690" s="309"/>
      <c r="I690" s="309"/>
      <c r="J690" s="309"/>
      <c r="K690" s="309"/>
      <c r="L690" s="309"/>
      <c r="M690" s="309"/>
      <c r="N690" s="309"/>
      <c r="O690" s="309"/>
      <c r="P690" s="309"/>
      <c r="Q690" s="309"/>
      <c r="R690" s="309"/>
      <c r="S690" s="309"/>
      <c r="T690" s="309"/>
      <c r="U690" s="309"/>
      <c r="V690" s="309"/>
      <c r="W690" s="309"/>
      <c r="X690" s="309"/>
      <c r="Y690" s="309"/>
      <c r="Z690" s="309"/>
      <c r="AA690" s="309"/>
      <c r="AB690" s="309"/>
      <c r="AC690" s="309"/>
      <c r="AD690" s="309"/>
      <c r="AE690" s="309"/>
      <c r="AF690" s="309"/>
      <c r="AG690" s="309"/>
    </row>
    <row r="691" spans="1:33" ht="15.75" customHeight="1" x14ac:dyDescent="0.25">
      <c r="A691" s="309"/>
      <c r="B691" s="309"/>
      <c r="C691" s="309"/>
      <c r="D691" s="309"/>
      <c r="E691" s="309"/>
      <c r="F691" s="309"/>
      <c r="G691" s="309"/>
      <c r="H691" s="309"/>
      <c r="I691" s="309"/>
      <c r="J691" s="309"/>
      <c r="K691" s="309"/>
      <c r="L691" s="309"/>
      <c r="M691" s="309"/>
      <c r="N691" s="309"/>
      <c r="O691" s="309"/>
      <c r="P691" s="309"/>
      <c r="Q691" s="309"/>
      <c r="R691" s="309"/>
      <c r="S691" s="309"/>
      <c r="T691" s="309"/>
      <c r="U691" s="309"/>
      <c r="V691" s="309"/>
      <c r="W691" s="309"/>
      <c r="X691" s="309"/>
      <c r="Y691" s="309"/>
      <c r="Z691" s="309"/>
      <c r="AA691" s="309"/>
      <c r="AB691" s="309"/>
      <c r="AC691" s="309"/>
      <c r="AD691" s="309"/>
      <c r="AE691" s="309"/>
      <c r="AF691" s="309"/>
      <c r="AG691" s="309"/>
    </row>
    <row r="692" spans="1:33" ht="15.75" customHeight="1" x14ac:dyDescent="0.25">
      <c r="A692" s="309"/>
      <c r="B692" s="309"/>
      <c r="C692" s="309"/>
      <c r="D692" s="309"/>
      <c r="E692" s="309"/>
      <c r="F692" s="309"/>
      <c r="G692" s="309"/>
      <c r="H692" s="309"/>
      <c r="I692" s="309"/>
      <c r="J692" s="309"/>
      <c r="K692" s="309"/>
      <c r="L692" s="309"/>
      <c r="M692" s="309"/>
      <c r="N692" s="309"/>
      <c r="O692" s="309"/>
      <c r="P692" s="309"/>
      <c r="Q692" s="309"/>
      <c r="R692" s="309"/>
      <c r="S692" s="309"/>
      <c r="T692" s="309"/>
      <c r="U692" s="309"/>
      <c r="V692" s="309"/>
      <c r="W692" s="309"/>
      <c r="X692" s="309"/>
      <c r="Y692" s="309"/>
      <c r="Z692" s="309"/>
      <c r="AA692" s="309"/>
      <c r="AB692" s="309"/>
      <c r="AC692" s="309"/>
      <c r="AD692" s="309"/>
      <c r="AE692" s="309"/>
      <c r="AF692" s="309"/>
      <c r="AG692" s="309"/>
    </row>
    <row r="693" spans="1:33" ht="15.75" customHeight="1" x14ac:dyDescent="0.25">
      <c r="A693" s="309"/>
      <c r="B693" s="309"/>
      <c r="C693" s="309"/>
      <c r="D693" s="309"/>
      <c r="E693" s="309"/>
      <c r="F693" s="309"/>
      <c r="G693" s="309"/>
      <c r="H693" s="309"/>
      <c r="I693" s="309"/>
      <c r="J693" s="309"/>
      <c r="K693" s="309"/>
      <c r="L693" s="309"/>
      <c r="M693" s="309"/>
      <c r="N693" s="309"/>
      <c r="O693" s="309"/>
      <c r="P693" s="309"/>
      <c r="Q693" s="309"/>
      <c r="R693" s="309"/>
      <c r="S693" s="309"/>
      <c r="T693" s="309"/>
      <c r="U693" s="309"/>
      <c r="V693" s="309"/>
      <c r="W693" s="309"/>
      <c r="X693" s="309"/>
      <c r="Y693" s="309"/>
      <c r="Z693" s="309"/>
      <c r="AA693" s="309"/>
      <c r="AB693" s="309"/>
      <c r="AC693" s="309"/>
      <c r="AD693" s="309"/>
      <c r="AE693" s="309"/>
      <c r="AF693" s="309"/>
      <c r="AG693" s="309"/>
    </row>
    <row r="694" spans="1:33" ht="15.75" customHeight="1" x14ac:dyDescent="0.25">
      <c r="A694" s="309"/>
      <c r="B694" s="309"/>
      <c r="C694" s="309"/>
      <c r="D694" s="309"/>
      <c r="E694" s="309"/>
      <c r="F694" s="309"/>
      <c r="G694" s="309"/>
      <c r="H694" s="309"/>
      <c r="I694" s="309"/>
      <c r="J694" s="309"/>
      <c r="K694" s="309"/>
      <c r="L694" s="309"/>
      <c r="M694" s="309"/>
      <c r="N694" s="309"/>
      <c r="O694" s="309"/>
      <c r="P694" s="309"/>
      <c r="Q694" s="309"/>
      <c r="R694" s="309"/>
      <c r="S694" s="309"/>
      <c r="T694" s="309"/>
      <c r="U694" s="309"/>
      <c r="V694" s="309"/>
      <c r="W694" s="309"/>
      <c r="X694" s="309"/>
      <c r="Y694" s="309"/>
      <c r="Z694" s="309"/>
      <c r="AA694" s="309"/>
      <c r="AB694" s="309"/>
      <c r="AC694" s="309"/>
      <c r="AD694" s="309"/>
      <c r="AE694" s="309"/>
      <c r="AF694" s="309"/>
      <c r="AG694" s="309"/>
    </row>
    <row r="695" spans="1:33" ht="15.75" customHeight="1" x14ac:dyDescent="0.25">
      <c r="A695" s="309"/>
      <c r="B695" s="309"/>
      <c r="C695" s="309"/>
      <c r="D695" s="309"/>
      <c r="E695" s="309"/>
      <c r="F695" s="309"/>
      <c r="G695" s="309"/>
      <c r="H695" s="309"/>
      <c r="I695" s="309"/>
      <c r="J695" s="309"/>
      <c r="K695" s="309"/>
      <c r="L695" s="309"/>
      <c r="M695" s="309"/>
      <c r="N695" s="309"/>
      <c r="O695" s="309"/>
      <c r="P695" s="309"/>
      <c r="Q695" s="309"/>
      <c r="R695" s="309"/>
      <c r="S695" s="309"/>
      <c r="T695" s="309"/>
      <c r="U695" s="309"/>
      <c r="V695" s="309"/>
      <c r="W695" s="309"/>
      <c r="X695" s="309"/>
      <c r="Y695" s="309"/>
      <c r="Z695" s="309"/>
      <c r="AA695" s="309"/>
      <c r="AB695" s="309"/>
      <c r="AC695" s="309"/>
      <c r="AD695" s="309"/>
      <c r="AE695" s="309"/>
      <c r="AF695" s="309"/>
      <c r="AG695" s="309"/>
    </row>
    <row r="696" spans="1:33" ht="15.75" customHeight="1" x14ac:dyDescent="0.25">
      <c r="A696" s="309"/>
      <c r="B696" s="309"/>
      <c r="C696" s="309"/>
      <c r="D696" s="309"/>
      <c r="E696" s="309"/>
      <c r="F696" s="309"/>
      <c r="G696" s="309"/>
      <c r="H696" s="309"/>
      <c r="I696" s="309"/>
      <c r="J696" s="309"/>
      <c r="K696" s="309"/>
      <c r="L696" s="309"/>
      <c r="M696" s="309"/>
      <c r="N696" s="309"/>
      <c r="O696" s="309"/>
      <c r="P696" s="309"/>
      <c r="Q696" s="309"/>
      <c r="R696" s="309"/>
      <c r="S696" s="309"/>
      <c r="T696" s="309"/>
      <c r="U696" s="309"/>
      <c r="V696" s="309"/>
      <c r="W696" s="309"/>
      <c r="X696" s="309"/>
      <c r="Y696" s="309"/>
      <c r="Z696" s="309"/>
      <c r="AA696" s="309"/>
      <c r="AB696" s="309"/>
      <c r="AC696" s="309"/>
      <c r="AD696" s="309"/>
      <c r="AE696" s="309"/>
      <c r="AF696" s="309"/>
      <c r="AG696" s="309"/>
    </row>
    <row r="697" spans="1:33" ht="15.75" customHeight="1" x14ac:dyDescent="0.25">
      <c r="A697" s="309"/>
      <c r="B697" s="309"/>
      <c r="C697" s="309"/>
      <c r="D697" s="309"/>
      <c r="E697" s="309"/>
      <c r="F697" s="309"/>
      <c r="G697" s="309"/>
      <c r="H697" s="309"/>
      <c r="I697" s="309"/>
      <c r="J697" s="309"/>
      <c r="K697" s="309"/>
      <c r="L697" s="309"/>
      <c r="M697" s="309"/>
      <c r="N697" s="309"/>
      <c r="O697" s="309"/>
      <c r="P697" s="309"/>
      <c r="Q697" s="309"/>
      <c r="R697" s="309"/>
      <c r="S697" s="309"/>
      <c r="T697" s="309"/>
      <c r="U697" s="309"/>
      <c r="V697" s="309"/>
      <c r="W697" s="309"/>
      <c r="X697" s="309"/>
      <c r="Y697" s="309"/>
      <c r="Z697" s="309"/>
      <c r="AA697" s="309"/>
      <c r="AB697" s="309"/>
      <c r="AC697" s="309"/>
      <c r="AD697" s="309"/>
      <c r="AE697" s="309"/>
      <c r="AF697" s="309"/>
      <c r="AG697" s="309"/>
    </row>
    <row r="698" spans="1:33" ht="15.75" customHeight="1" x14ac:dyDescent="0.25">
      <c r="A698" s="309"/>
      <c r="B698" s="309"/>
      <c r="C698" s="309"/>
      <c r="D698" s="309"/>
      <c r="E698" s="309"/>
      <c r="F698" s="309"/>
      <c r="G698" s="309"/>
      <c r="H698" s="309"/>
      <c r="I698" s="309"/>
      <c r="J698" s="309"/>
      <c r="K698" s="309"/>
      <c r="L698" s="309"/>
      <c r="M698" s="309"/>
      <c r="N698" s="309"/>
      <c r="O698" s="309"/>
      <c r="P698" s="309"/>
      <c r="Q698" s="309"/>
      <c r="R698" s="309"/>
      <c r="S698" s="309"/>
      <c r="T698" s="309"/>
      <c r="U698" s="309"/>
      <c r="V698" s="309"/>
      <c r="W698" s="309"/>
      <c r="X698" s="309"/>
      <c r="Y698" s="309"/>
      <c r="Z698" s="309"/>
      <c r="AA698" s="309"/>
      <c r="AB698" s="309"/>
      <c r="AC698" s="309"/>
      <c r="AD698" s="309"/>
      <c r="AE698" s="309"/>
      <c r="AF698" s="309"/>
      <c r="AG698" s="309"/>
    </row>
    <row r="699" spans="1:33" ht="15.75" customHeight="1" x14ac:dyDescent="0.25">
      <c r="A699" s="309"/>
      <c r="B699" s="309"/>
      <c r="C699" s="309"/>
      <c r="D699" s="309"/>
      <c r="E699" s="309"/>
      <c r="F699" s="309"/>
      <c r="G699" s="309"/>
      <c r="H699" s="309"/>
      <c r="I699" s="309"/>
      <c r="J699" s="309"/>
      <c r="K699" s="309"/>
      <c r="L699" s="309"/>
      <c r="M699" s="309"/>
      <c r="N699" s="309"/>
      <c r="O699" s="309"/>
      <c r="P699" s="309"/>
      <c r="Q699" s="309"/>
      <c r="R699" s="309"/>
      <c r="S699" s="309"/>
      <c r="T699" s="309"/>
      <c r="U699" s="309"/>
      <c r="V699" s="309"/>
      <c r="W699" s="309"/>
      <c r="X699" s="309"/>
      <c r="Y699" s="309"/>
      <c r="Z699" s="309"/>
      <c r="AA699" s="309"/>
      <c r="AB699" s="309"/>
      <c r="AC699" s="309"/>
      <c r="AD699" s="309"/>
      <c r="AE699" s="309"/>
      <c r="AF699" s="309"/>
      <c r="AG699" s="309"/>
    </row>
    <row r="700" spans="1:33" ht="15.75" customHeight="1" x14ac:dyDescent="0.25">
      <c r="A700" s="309"/>
      <c r="B700" s="309"/>
      <c r="C700" s="309"/>
      <c r="D700" s="309"/>
      <c r="E700" s="309"/>
      <c r="F700" s="309"/>
      <c r="G700" s="309"/>
      <c r="H700" s="309"/>
      <c r="I700" s="309"/>
      <c r="J700" s="309"/>
      <c r="K700" s="309"/>
      <c r="L700" s="309"/>
      <c r="M700" s="309"/>
      <c r="N700" s="309"/>
      <c r="O700" s="309"/>
      <c r="P700" s="309"/>
      <c r="Q700" s="309"/>
      <c r="R700" s="309"/>
      <c r="S700" s="309"/>
      <c r="T700" s="309"/>
      <c r="U700" s="309"/>
      <c r="V700" s="309"/>
      <c r="W700" s="309"/>
      <c r="X700" s="309"/>
      <c r="Y700" s="309"/>
      <c r="Z700" s="309"/>
      <c r="AA700" s="309"/>
      <c r="AB700" s="309"/>
      <c r="AC700" s="309"/>
      <c r="AD700" s="309"/>
      <c r="AE700" s="309"/>
      <c r="AF700" s="309"/>
      <c r="AG700" s="309"/>
    </row>
    <row r="701" spans="1:33" ht="15.75" customHeight="1" x14ac:dyDescent="0.25">
      <c r="A701" s="309"/>
      <c r="B701" s="309"/>
      <c r="C701" s="309"/>
      <c r="D701" s="309"/>
      <c r="E701" s="309"/>
      <c r="F701" s="309"/>
      <c r="G701" s="309"/>
      <c r="H701" s="309"/>
      <c r="I701" s="309"/>
      <c r="J701" s="309"/>
      <c r="K701" s="309"/>
      <c r="L701" s="309"/>
      <c r="M701" s="309"/>
      <c r="N701" s="309"/>
      <c r="O701" s="309"/>
      <c r="P701" s="309"/>
      <c r="Q701" s="309"/>
      <c r="R701" s="309"/>
      <c r="S701" s="309"/>
      <c r="T701" s="309"/>
      <c r="U701" s="309"/>
      <c r="V701" s="309"/>
      <c r="W701" s="309"/>
      <c r="X701" s="309"/>
      <c r="Y701" s="309"/>
      <c r="Z701" s="309"/>
      <c r="AA701" s="309"/>
      <c r="AB701" s="309"/>
      <c r="AC701" s="309"/>
      <c r="AD701" s="309"/>
      <c r="AE701" s="309"/>
      <c r="AF701" s="309"/>
      <c r="AG701" s="309"/>
    </row>
    <row r="702" spans="1:33" ht="15.75" customHeight="1" x14ac:dyDescent="0.25">
      <c r="A702" s="309"/>
      <c r="B702" s="309"/>
      <c r="C702" s="309"/>
      <c r="D702" s="309"/>
      <c r="E702" s="309"/>
      <c r="F702" s="309"/>
      <c r="G702" s="309"/>
      <c r="H702" s="309"/>
      <c r="I702" s="309"/>
      <c r="J702" s="309"/>
      <c r="K702" s="309"/>
      <c r="L702" s="309"/>
      <c r="M702" s="309"/>
      <c r="N702" s="309"/>
      <c r="O702" s="309"/>
      <c r="P702" s="309"/>
      <c r="Q702" s="309"/>
      <c r="R702" s="309"/>
      <c r="S702" s="309"/>
      <c r="T702" s="309"/>
      <c r="U702" s="309"/>
      <c r="V702" s="309"/>
      <c r="W702" s="309"/>
      <c r="X702" s="309"/>
      <c r="Y702" s="309"/>
      <c r="Z702" s="309"/>
      <c r="AA702" s="309"/>
      <c r="AB702" s="309"/>
      <c r="AC702" s="309"/>
      <c r="AD702" s="309"/>
      <c r="AE702" s="309"/>
      <c r="AF702" s="309"/>
      <c r="AG702" s="309"/>
    </row>
    <row r="703" spans="1:33" ht="15.75" customHeight="1" x14ac:dyDescent="0.25">
      <c r="A703" s="309"/>
      <c r="B703" s="309"/>
      <c r="C703" s="309"/>
      <c r="D703" s="309"/>
      <c r="E703" s="309"/>
      <c r="F703" s="309"/>
      <c r="G703" s="309"/>
      <c r="H703" s="309"/>
      <c r="I703" s="309"/>
      <c r="J703" s="309"/>
      <c r="K703" s="309"/>
      <c r="L703" s="309"/>
      <c r="M703" s="309"/>
      <c r="N703" s="309"/>
      <c r="O703" s="309"/>
      <c r="P703" s="309"/>
      <c r="Q703" s="309"/>
      <c r="R703" s="309"/>
      <c r="S703" s="309"/>
      <c r="T703" s="309"/>
      <c r="U703" s="309"/>
      <c r="V703" s="309"/>
      <c r="W703" s="309"/>
      <c r="X703" s="309"/>
      <c r="Y703" s="309"/>
      <c r="Z703" s="309"/>
      <c r="AA703" s="309"/>
      <c r="AB703" s="309"/>
      <c r="AC703" s="309"/>
      <c r="AD703" s="309"/>
      <c r="AE703" s="309"/>
      <c r="AF703" s="309"/>
      <c r="AG703" s="309"/>
    </row>
    <row r="704" spans="1:33" ht="15.75" customHeight="1" x14ac:dyDescent="0.25">
      <c r="A704" s="309"/>
      <c r="B704" s="309"/>
      <c r="C704" s="309"/>
      <c r="D704" s="309"/>
      <c r="E704" s="309"/>
      <c r="F704" s="309"/>
      <c r="G704" s="309"/>
      <c r="H704" s="309"/>
      <c r="I704" s="309"/>
      <c r="J704" s="309"/>
      <c r="K704" s="309"/>
      <c r="L704" s="309"/>
      <c r="M704" s="309"/>
      <c r="N704" s="309"/>
      <c r="O704" s="309"/>
      <c r="P704" s="309"/>
      <c r="Q704" s="309"/>
      <c r="R704" s="309"/>
      <c r="S704" s="309"/>
      <c r="T704" s="309"/>
      <c r="U704" s="309"/>
      <c r="V704" s="309"/>
      <c r="W704" s="309"/>
      <c r="X704" s="309"/>
      <c r="Y704" s="309"/>
      <c r="Z704" s="309"/>
      <c r="AA704" s="309"/>
      <c r="AB704" s="309"/>
      <c r="AC704" s="309"/>
      <c r="AD704" s="309"/>
      <c r="AE704" s="309"/>
      <c r="AF704" s="309"/>
      <c r="AG704" s="309"/>
    </row>
    <row r="705" spans="1:33" ht="15.75" customHeight="1" x14ac:dyDescent="0.25">
      <c r="A705" s="309"/>
      <c r="B705" s="309"/>
      <c r="C705" s="309"/>
      <c r="D705" s="309"/>
      <c r="E705" s="309"/>
      <c r="F705" s="309"/>
      <c r="G705" s="309"/>
      <c r="H705" s="309"/>
      <c r="I705" s="309"/>
      <c r="J705" s="309"/>
      <c r="K705" s="309"/>
      <c r="L705" s="309"/>
      <c r="M705" s="309"/>
      <c r="N705" s="309"/>
      <c r="O705" s="309"/>
      <c r="P705" s="309"/>
      <c r="Q705" s="309"/>
      <c r="R705" s="309"/>
      <c r="S705" s="309"/>
      <c r="T705" s="309"/>
      <c r="U705" s="309"/>
      <c r="V705" s="309"/>
      <c r="W705" s="309"/>
      <c r="X705" s="309"/>
      <c r="Y705" s="309"/>
      <c r="Z705" s="309"/>
      <c r="AA705" s="309"/>
      <c r="AB705" s="309"/>
      <c r="AC705" s="309"/>
      <c r="AD705" s="309"/>
      <c r="AE705" s="309"/>
      <c r="AF705" s="309"/>
      <c r="AG705" s="309"/>
    </row>
    <row r="706" spans="1:33" ht="15.75" customHeight="1" x14ac:dyDescent="0.25">
      <c r="A706" s="309"/>
      <c r="B706" s="309"/>
      <c r="C706" s="309"/>
      <c r="D706" s="309"/>
      <c r="E706" s="309"/>
      <c r="F706" s="309"/>
      <c r="G706" s="309"/>
      <c r="H706" s="309"/>
      <c r="I706" s="309"/>
      <c r="J706" s="309"/>
      <c r="K706" s="309"/>
      <c r="L706" s="309"/>
      <c r="M706" s="309"/>
      <c r="N706" s="309"/>
      <c r="O706" s="309"/>
      <c r="P706" s="309"/>
      <c r="Q706" s="309"/>
      <c r="R706" s="309"/>
      <c r="S706" s="309"/>
      <c r="T706" s="309"/>
      <c r="U706" s="309"/>
      <c r="V706" s="309"/>
      <c r="W706" s="309"/>
      <c r="X706" s="309"/>
      <c r="Y706" s="309"/>
      <c r="Z706" s="309"/>
      <c r="AA706" s="309"/>
      <c r="AB706" s="309"/>
      <c r="AC706" s="309"/>
      <c r="AD706" s="309"/>
      <c r="AE706" s="309"/>
      <c r="AF706" s="309"/>
      <c r="AG706" s="309"/>
    </row>
    <row r="707" spans="1:33" ht="15.75" customHeight="1" x14ac:dyDescent="0.25">
      <c r="A707" s="309"/>
      <c r="B707" s="309"/>
      <c r="C707" s="309"/>
      <c r="D707" s="309"/>
      <c r="E707" s="309"/>
      <c r="F707" s="309"/>
      <c r="G707" s="309"/>
      <c r="H707" s="309"/>
      <c r="I707" s="309"/>
      <c r="J707" s="309"/>
      <c r="K707" s="309"/>
      <c r="L707" s="309"/>
      <c r="M707" s="309"/>
      <c r="N707" s="309"/>
      <c r="O707" s="309"/>
      <c r="P707" s="309"/>
      <c r="Q707" s="309"/>
      <c r="R707" s="309"/>
      <c r="S707" s="309"/>
      <c r="T707" s="309"/>
      <c r="U707" s="309"/>
      <c r="V707" s="309"/>
      <c r="W707" s="309"/>
      <c r="X707" s="309"/>
      <c r="Y707" s="309"/>
      <c r="Z707" s="309"/>
      <c r="AA707" s="309"/>
      <c r="AB707" s="309"/>
      <c r="AC707" s="309"/>
      <c r="AD707" s="309"/>
      <c r="AE707" s="309"/>
      <c r="AF707" s="309"/>
      <c r="AG707" s="309"/>
    </row>
    <row r="708" spans="1:33" ht="15.75" customHeight="1" x14ac:dyDescent="0.25">
      <c r="A708" s="309"/>
      <c r="B708" s="309"/>
      <c r="C708" s="309"/>
      <c r="D708" s="309"/>
      <c r="E708" s="309"/>
      <c r="F708" s="309"/>
      <c r="G708" s="309"/>
      <c r="H708" s="309"/>
      <c r="I708" s="309"/>
      <c r="J708" s="309"/>
      <c r="K708" s="309"/>
      <c r="L708" s="309"/>
      <c r="M708" s="309"/>
      <c r="N708" s="309"/>
      <c r="O708" s="309"/>
      <c r="P708" s="309"/>
      <c r="Q708" s="309"/>
      <c r="R708" s="309"/>
      <c r="S708" s="309"/>
      <c r="T708" s="309"/>
      <c r="U708" s="309"/>
      <c r="V708" s="309"/>
      <c r="W708" s="309"/>
      <c r="X708" s="309"/>
      <c r="Y708" s="309"/>
      <c r="Z708" s="309"/>
      <c r="AA708" s="309"/>
      <c r="AB708" s="309"/>
      <c r="AC708" s="309"/>
      <c r="AD708" s="309"/>
      <c r="AE708" s="309"/>
      <c r="AF708" s="309"/>
      <c r="AG708" s="309"/>
    </row>
    <row r="709" spans="1:33" ht="15.75" customHeight="1" x14ac:dyDescent="0.25">
      <c r="A709" s="309"/>
      <c r="B709" s="309"/>
      <c r="C709" s="309"/>
      <c r="D709" s="309"/>
      <c r="E709" s="309"/>
      <c r="F709" s="309"/>
      <c r="G709" s="309"/>
      <c r="H709" s="309"/>
      <c r="I709" s="309"/>
      <c r="J709" s="309"/>
      <c r="K709" s="309"/>
      <c r="L709" s="309"/>
      <c r="M709" s="309"/>
      <c r="N709" s="309"/>
      <c r="O709" s="309"/>
      <c r="P709" s="309"/>
      <c r="Q709" s="309"/>
      <c r="R709" s="309"/>
      <c r="S709" s="309"/>
      <c r="T709" s="309"/>
      <c r="U709" s="309"/>
      <c r="V709" s="309"/>
      <c r="W709" s="309"/>
      <c r="X709" s="309"/>
      <c r="Y709" s="309"/>
      <c r="Z709" s="309"/>
      <c r="AA709" s="309"/>
      <c r="AB709" s="309"/>
      <c r="AC709" s="309"/>
      <c r="AD709" s="309"/>
      <c r="AE709" s="309"/>
      <c r="AF709" s="309"/>
      <c r="AG709" s="309"/>
    </row>
    <row r="710" spans="1:33" ht="15.75" customHeight="1" x14ac:dyDescent="0.25">
      <c r="A710" s="309"/>
      <c r="B710" s="309"/>
      <c r="C710" s="309"/>
      <c r="D710" s="309"/>
      <c r="E710" s="309"/>
      <c r="F710" s="309"/>
      <c r="G710" s="309"/>
      <c r="H710" s="309"/>
      <c r="I710" s="309"/>
      <c r="J710" s="309"/>
      <c r="K710" s="309"/>
      <c r="L710" s="309"/>
      <c r="M710" s="309"/>
      <c r="N710" s="309"/>
      <c r="O710" s="309"/>
      <c r="P710" s="309"/>
      <c r="Q710" s="309"/>
      <c r="R710" s="309"/>
      <c r="S710" s="309"/>
      <c r="T710" s="309"/>
      <c r="U710" s="309"/>
      <c r="V710" s="309"/>
      <c r="W710" s="309"/>
      <c r="X710" s="309"/>
      <c r="Y710" s="309"/>
      <c r="Z710" s="309"/>
      <c r="AA710" s="309"/>
      <c r="AB710" s="309"/>
      <c r="AC710" s="309"/>
      <c r="AD710" s="309"/>
      <c r="AE710" s="309"/>
      <c r="AF710" s="309"/>
      <c r="AG710" s="309"/>
    </row>
    <row r="711" spans="1:33" ht="15.75" customHeight="1" x14ac:dyDescent="0.25">
      <c r="A711" s="309"/>
      <c r="B711" s="309"/>
      <c r="C711" s="309"/>
      <c r="D711" s="309"/>
      <c r="E711" s="309"/>
      <c r="F711" s="309"/>
      <c r="G711" s="309"/>
      <c r="H711" s="309"/>
      <c r="I711" s="309"/>
      <c r="J711" s="309"/>
      <c r="K711" s="309"/>
      <c r="L711" s="309"/>
      <c r="M711" s="309"/>
      <c r="N711" s="309"/>
      <c r="O711" s="309"/>
      <c r="P711" s="309"/>
      <c r="Q711" s="309"/>
      <c r="R711" s="309"/>
      <c r="S711" s="309"/>
      <c r="T711" s="309"/>
      <c r="U711" s="309"/>
      <c r="V711" s="309"/>
      <c r="W711" s="309"/>
      <c r="X711" s="309"/>
      <c r="Y711" s="309"/>
      <c r="Z711" s="309"/>
      <c r="AA711" s="309"/>
      <c r="AB711" s="309"/>
      <c r="AC711" s="309"/>
      <c r="AD711" s="309"/>
      <c r="AE711" s="309"/>
      <c r="AF711" s="309"/>
      <c r="AG711" s="309"/>
    </row>
    <row r="712" spans="1:33" ht="15.75" customHeight="1" x14ac:dyDescent="0.25">
      <c r="A712" s="309"/>
      <c r="B712" s="309"/>
      <c r="C712" s="309"/>
      <c r="D712" s="309"/>
      <c r="E712" s="309"/>
      <c r="F712" s="309"/>
      <c r="G712" s="309"/>
      <c r="H712" s="309"/>
      <c r="I712" s="309"/>
      <c r="J712" s="309"/>
      <c r="K712" s="309"/>
      <c r="L712" s="309"/>
      <c r="M712" s="309"/>
      <c r="N712" s="309"/>
      <c r="O712" s="309"/>
      <c r="P712" s="309"/>
      <c r="Q712" s="309"/>
      <c r="R712" s="309"/>
      <c r="S712" s="309"/>
      <c r="T712" s="309"/>
      <c r="U712" s="309"/>
      <c r="V712" s="309"/>
      <c r="W712" s="309"/>
      <c r="X712" s="309"/>
      <c r="Y712" s="309"/>
      <c r="Z712" s="309"/>
      <c r="AA712" s="309"/>
      <c r="AB712" s="309"/>
      <c r="AC712" s="309"/>
      <c r="AD712" s="309"/>
      <c r="AE712" s="309"/>
      <c r="AF712" s="309"/>
      <c r="AG712" s="309"/>
    </row>
    <row r="713" spans="1:33" ht="15.75" customHeight="1" x14ac:dyDescent="0.25">
      <c r="A713" s="309"/>
      <c r="B713" s="309"/>
      <c r="C713" s="309"/>
      <c r="D713" s="309"/>
      <c r="E713" s="309"/>
      <c r="F713" s="309"/>
      <c r="G713" s="309"/>
      <c r="H713" s="309"/>
      <c r="I713" s="309"/>
      <c r="J713" s="309"/>
      <c r="K713" s="309"/>
      <c r="L713" s="309"/>
      <c r="M713" s="309"/>
      <c r="N713" s="309"/>
      <c r="O713" s="309"/>
      <c r="P713" s="309"/>
      <c r="Q713" s="309"/>
      <c r="R713" s="309"/>
      <c r="S713" s="309"/>
      <c r="T713" s="309"/>
      <c r="U713" s="309"/>
      <c r="V713" s="309"/>
      <c r="W713" s="309"/>
      <c r="X713" s="309"/>
      <c r="Y713" s="309"/>
      <c r="Z713" s="309"/>
      <c r="AA713" s="309"/>
      <c r="AB713" s="309"/>
      <c r="AC713" s="309"/>
      <c r="AD713" s="309"/>
      <c r="AE713" s="309"/>
      <c r="AF713" s="309"/>
      <c r="AG713" s="309"/>
    </row>
    <row r="714" spans="1:33" ht="15.75" customHeight="1" x14ac:dyDescent="0.25">
      <c r="A714" s="309"/>
      <c r="B714" s="309"/>
      <c r="C714" s="309"/>
      <c r="D714" s="309"/>
      <c r="E714" s="309"/>
      <c r="F714" s="309"/>
      <c r="G714" s="309"/>
      <c r="H714" s="309"/>
      <c r="I714" s="309"/>
      <c r="J714" s="309"/>
      <c r="K714" s="309"/>
      <c r="L714" s="309"/>
      <c r="M714" s="309"/>
      <c r="N714" s="309"/>
      <c r="O714" s="309"/>
      <c r="P714" s="309"/>
      <c r="Q714" s="309"/>
      <c r="R714" s="309"/>
      <c r="S714" s="309"/>
      <c r="T714" s="309"/>
      <c r="U714" s="309"/>
      <c r="V714" s="309"/>
      <c r="W714" s="309"/>
      <c r="X714" s="309"/>
      <c r="Y714" s="309"/>
      <c r="Z714" s="309"/>
      <c r="AA714" s="309"/>
      <c r="AB714" s="309"/>
      <c r="AC714" s="309"/>
      <c r="AD714" s="309"/>
      <c r="AE714" s="309"/>
      <c r="AF714" s="309"/>
      <c r="AG714" s="309"/>
    </row>
    <row r="715" spans="1:33" ht="15.75" customHeight="1" x14ac:dyDescent="0.25">
      <c r="A715" s="309"/>
      <c r="B715" s="309"/>
      <c r="C715" s="309"/>
      <c r="D715" s="309"/>
      <c r="E715" s="309"/>
      <c r="F715" s="309"/>
      <c r="G715" s="309"/>
      <c r="H715" s="309"/>
      <c r="I715" s="309"/>
      <c r="J715" s="309"/>
      <c r="K715" s="309"/>
      <c r="L715" s="309"/>
      <c r="M715" s="309"/>
      <c r="N715" s="309"/>
      <c r="O715" s="309"/>
      <c r="P715" s="309"/>
      <c r="Q715" s="309"/>
      <c r="R715" s="309"/>
      <c r="S715" s="309"/>
      <c r="T715" s="309"/>
      <c r="U715" s="309"/>
      <c r="V715" s="309"/>
      <c r="W715" s="309"/>
      <c r="X715" s="309"/>
      <c r="Y715" s="309"/>
      <c r="Z715" s="309"/>
      <c r="AA715" s="309"/>
      <c r="AB715" s="309"/>
      <c r="AC715" s="309"/>
      <c r="AD715" s="309"/>
      <c r="AE715" s="309"/>
      <c r="AF715" s="309"/>
      <c r="AG715" s="309"/>
    </row>
    <row r="716" spans="1:33" ht="15.75" customHeight="1" x14ac:dyDescent="0.25">
      <c r="A716" s="309"/>
      <c r="B716" s="309"/>
      <c r="C716" s="309"/>
      <c r="D716" s="309"/>
      <c r="E716" s="309"/>
      <c r="F716" s="309"/>
      <c r="G716" s="309"/>
      <c r="H716" s="309"/>
      <c r="I716" s="309"/>
      <c r="J716" s="309"/>
      <c r="K716" s="309"/>
      <c r="L716" s="309"/>
      <c r="M716" s="309"/>
      <c r="N716" s="309"/>
      <c r="O716" s="309"/>
      <c r="P716" s="309"/>
      <c r="Q716" s="309"/>
      <c r="R716" s="309"/>
      <c r="S716" s="309"/>
      <c r="T716" s="309"/>
      <c r="U716" s="309"/>
      <c r="V716" s="309"/>
      <c r="W716" s="309"/>
      <c r="X716" s="309"/>
      <c r="Y716" s="309"/>
      <c r="Z716" s="309"/>
      <c r="AA716" s="309"/>
      <c r="AB716" s="309"/>
      <c r="AC716" s="309"/>
      <c r="AD716" s="309"/>
      <c r="AE716" s="309"/>
      <c r="AF716" s="309"/>
      <c r="AG716" s="309"/>
    </row>
    <row r="717" spans="1:33" ht="15.75" customHeight="1" x14ac:dyDescent="0.25">
      <c r="A717" s="309"/>
      <c r="B717" s="309"/>
      <c r="C717" s="309"/>
      <c r="D717" s="309"/>
      <c r="E717" s="309"/>
      <c r="F717" s="309"/>
      <c r="G717" s="309"/>
      <c r="H717" s="309"/>
      <c r="I717" s="309"/>
      <c r="J717" s="309"/>
      <c r="K717" s="309"/>
      <c r="L717" s="309"/>
      <c r="M717" s="309"/>
      <c r="N717" s="309"/>
      <c r="O717" s="309"/>
      <c r="P717" s="309"/>
      <c r="Q717" s="309"/>
      <c r="R717" s="309"/>
      <c r="S717" s="309"/>
      <c r="T717" s="309"/>
      <c r="U717" s="309"/>
      <c r="V717" s="309"/>
      <c r="W717" s="309"/>
      <c r="X717" s="309"/>
      <c r="Y717" s="309"/>
      <c r="Z717" s="309"/>
      <c r="AA717" s="309"/>
      <c r="AB717" s="309"/>
      <c r="AC717" s="309"/>
      <c r="AD717" s="309"/>
      <c r="AE717" s="309"/>
      <c r="AF717" s="309"/>
      <c r="AG717" s="309"/>
    </row>
    <row r="718" spans="1:33" ht="15.75" customHeight="1" x14ac:dyDescent="0.25">
      <c r="A718" s="309"/>
      <c r="B718" s="309"/>
      <c r="C718" s="309"/>
      <c r="D718" s="309"/>
      <c r="E718" s="309"/>
      <c r="F718" s="309"/>
      <c r="G718" s="309"/>
      <c r="H718" s="309"/>
      <c r="I718" s="309"/>
      <c r="J718" s="309"/>
      <c r="K718" s="309"/>
      <c r="L718" s="309"/>
      <c r="M718" s="309"/>
      <c r="N718" s="309"/>
      <c r="O718" s="309"/>
      <c r="P718" s="309"/>
      <c r="Q718" s="309"/>
      <c r="R718" s="309"/>
      <c r="S718" s="309"/>
      <c r="T718" s="309"/>
      <c r="U718" s="309"/>
      <c r="V718" s="309"/>
      <c r="W718" s="309"/>
      <c r="X718" s="309"/>
      <c r="Y718" s="309"/>
      <c r="Z718" s="309"/>
      <c r="AA718" s="309"/>
      <c r="AB718" s="309"/>
      <c r="AC718" s="309"/>
      <c r="AD718" s="309"/>
      <c r="AE718" s="309"/>
      <c r="AF718" s="309"/>
      <c r="AG718" s="309"/>
    </row>
    <row r="719" spans="1:33" ht="15.75" customHeight="1" x14ac:dyDescent="0.25">
      <c r="A719" s="309"/>
      <c r="B719" s="309"/>
      <c r="C719" s="309"/>
      <c r="D719" s="309"/>
      <c r="E719" s="309"/>
      <c r="F719" s="309"/>
      <c r="G719" s="309"/>
      <c r="H719" s="309"/>
      <c r="I719" s="309"/>
      <c r="J719" s="309"/>
      <c r="K719" s="309"/>
      <c r="L719" s="309"/>
      <c r="M719" s="309"/>
      <c r="N719" s="309"/>
      <c r="O719" s="309"/>
      <c r="P719" s="309"/>
      <c r="Q719" s="309"/>
      <c r="R719" s="309"/>
      <c r="S719" s="309"/>
      <c r="T719" s="309"/>
      <c r="U719" s="309"/>
      <c r="V719" s="309"/>
      <c r="W719" s="309"/>
      <c r="X719" s="309"/>
      <c r="Y719" s="309"/>
      <c r="Z719" s="309"/>
      <c r="AA719" s="309"/>
      <c r="AB719" s="309"/>
      <c r="AC719" s="309"/>
      <c r="AD719" s="309"/>
      <c r="AE719" s="309"/>
      <c r="AF719" s="309"/>
      <c r="AG719" s="309"/>
    </row>
    <row r="720" spans="1:33" ht="15.75" customHeight="1" x14ac:dyDescent="0.25">
      <c r="A720" s="309"/>
      <c r="B720" s="309"/>
      <c r="C720" s="309"/>
      <c r="D720" s="309"/>
      <c r="E720" s="309"/>
      <c r="F720" s="309"/>
      <c r="G720" s="309"/>
      <c r="H720" s="309"/>
      <c r="I720" s="309"/>
      <c r="J720" s="309"/>
      <c r="K720" s="309"/>
      <c r="L720" s="309"/>
      <c r="M720" s="309"/>
      <c r="N720" s="309"/>
      <c r="O720" s="309"/>
      <c r="P720" s="309"/>
      <c r="Q720" s="309"/>
      <c r="R720" s="309"/>
      <c r="S720" s="309"/>
      <c r="T720" s="309"/>
      <c r="U720" s="309"/>
      <c r="V720" s="309"/>
      <c r="W720" s="309"/>
      <c r="X720" s="309"/>
      <c r="Y720" s="309"/>
      <c r="Z720" s="309"/>
      <c r="AA720" s="309"/>
      <c r="AB720" s="309"/>
      <c r="AC720" s="309"/>
      <c r="AD720" s="309"/>
      <c r="AE720" s="309"/>
      <c r="AF720" s="309"/>
      <c r="AG720" s="309"/>
    </row>
    <row r="721" spans="1:33" ht="15.75" customHeight="1" x14ac:dyDescent="0.25">
      <c r="A721" s="309"/>
      <c r="B721" s="309"/>
      <c r="C721" s="309"/>
      <c r="D721" s="309"/>
      <c r="E721" s="309"/>
      <c r="F721" s="309"/>
      <c r="G721" s="309"/>
      <c r="H721" s="309"/>
      <c r="I721" s="309"/>
      <c r="J721" s="309"/>
      <c r="K721" s="309"/>
      <c r="L721" s="309"/>
      <c r="M721" s="309"/>
      <c r="N721" s="309"/>
      <c r="O721" s="309"/>
      <c r="P721" s="309"/>
      <c r="Q721" s="309"/>
      <c r="R721" s="309"/>
      <c r="S721" s="309"/>
      <c r="T721" s="309"/>
      <c r="U721" s="309"/>
      <c r="V721" s="309"/>
      <c r="W721" s="309"/>
      <c r="X721" s="309"/>
      <c r="Y721" s="309"/>
      <c r="Z721" s="309"/>
      <c r="AA721" s="309"/>
      <c r="AB721" s="309"/>
      <c r="AC721" s="309"/>
      <c r="AD721" s="309"/>
      <c r="AE721" s="309"/>
      <c r="AF721" s="309"/>
      <c r="AG721" s="309"/>
    </row>
    <row r="722" spans="1:33" ht="15.75" customHeight="1" x14ac:dyDescent="0.25">
      <c r="A722" s="309"/>
      <c r="B722" s="309"/>
      <c r="C722" s="309"/>
      <c r="D722" s="309"/>
      <c r="E722" s="309"/>
      <c r="F722" s="309"/>
      <c r="G722" s="309"/>
      <c r="H722" s="309"/>
      <c r="I722" s="309"/>
      <c r="J722" s="309"/>
      <c r="K722" s="309"/>
      <c r="L722" s="309"/>
      <c r="M722" s="309"/>
      <c r="N722" s="309"/>
      <c r="O722" s="309"/>
      <c r="P722" s="309"/>
      <c r="Q722" s="309"/>
      <c r="R722" s="309"/>
      <c r="S722" s="309"/>
      <c r="T722" s="309"/>
      <c r="U722" s="309"/>
      <c r="V722" s="309"/>
      <c r="W722" s="309"/>
      <c r="X722" s="309"/>
      <c r="Y722" s="309"/>
      <c r="Z722" s="309"/>
      <c r="AA722" s="309"/>
      <c r="AB722" s="309"/>
      <c r="AC722" s="309"/>
      <c r="AD722" s="309"/>
      <c r="AE722" s="309"/>
      <c r="AF722" s="309"/>
      <c r="AG722" s="309"/>
    </row>
    <row r="723" spans="1:33" ht="15.75" customHeight="1" x14ac:dyDescent="0.25">
      <c r="A723" s="309"/>
      <c r="B723" s="309"/>
      <c r="C723" s="309"/>
      <c r="D723" s="309"/>
      <c r="E723" s="309"/>
      <c r="F723" s="309"/>
      <c r="G723" s="309"/>
      <c r="H723" s="309"/>
      <c r="I723" s="309"/>
      <c r="J723" s="309"/>
      <c r="K723" s="309"/>
      <c r="L723" s="309"/>
      <c r="M723" s="309"/>
      <c r="N723" s="309"/>
      <c r="O723" s="309"/>
      <c r="P723" s="309"/>
      <c r="Q723" s="309"/>
      <c r="R723" s="309"/>
      <c r="S723" s="309"/>
      <c r="T723" s="309"/>
      <c r="U723" s="309"/>
      <c r="V723" s="309"/>
      <c r="W723" s="309"/>
      <c r="X723" s="309"/>
      <c r="Y723" s="309"/>
      <c r="Z723" s="309"/>
      <c r="AA723" s="309"/>
      <c r="AB723" s="309"/>
      <c r="AC723" s="309"/>
      <c r="AD723" s="309"/>
      <c r="AE723" s="309"/>
      <c r="AF723" s="309"/>
      <c r="AG723" s="309"/>
    </row>
    <row r="724" spans="1:33" ht="15.75" customHeight="1" x14ac:dyDescent="0.25">
      <c r="A724" s="309"/>
      <c r="B724" s="309"/>
      <c r="C724" s="309"/>
      <c r="D724" s="309"/>
      <c r="E724" s="309"/>
      <c r="F724" s="309"/>
      <c r="G724" s="309"/>
      <c r="H724" s="309"/>
      <c r="I724" s="309"/>
      <c r="J724" s="309"/>
      <c r="K724" s="309"/>
      <c r="L724" s="309"/>
      <c r="M724" s="309"/>
      <c r="N724" s="309"/>
      <c r="O724" s="309"/>
      <c r="P724" s="309"/>
      <c r="Q724" s="309"/>
      <c r="R724" s="309"/>
      <c r="S724" s="309"/>
      <c r="T724" s="309"/>
      <c r="U724" s="309"/>
      <c r="V724" s="309"/>
      <c r="W724" s="309"/>
      <c r="X724" s="309"/>
      <c r="Y724" s="309"/>
      <c r="Z724" s="309"/>
      <c r="AA724" s="309"/>
      <c r="AB724" s="309"/>
      <c r="AC724" s="309"/>
      <c r="AD724" s="309"/>
      <c r="AE724" s="309"/>
      <c r="AF724" s="309"/>
      <c r="AG724" s="309"/>
    </row>
    <row r="725" spans="1:33" ht="15.75" customHeight="1" x14ac:dyDescent="0.25">
      <c r="A725" s="309"/>
      <c r="B725" s="309"/>
      <c r="C725" s="309"/>
      <c r="D725" s="309"/>
      <c r="E725" s="309"/>
      <c r="F725" s="309"/>
      <c r="G725" s="309"/>
      <c r="H725" s="309"/>
      <c r="I725" s="309"/>
      <c r="J725" s="309"/>
      <c r="K725" s="309"/>
      <c r="L725" s="309"/>
      <c r="M725" s="309"/>
      <c r="N725" s="309"/>
      <c r="O725" s="309"/>
      <c r="P725" s="309"/>
      <c r="Q725" s="309"/>
      <c r="R725" s="309"/>
      <c r="S725" s="309"/>
      <c r="T725" s="309"/>
      <c r="U725" s="309"/>
      <c r="V725" s="309"/>
      <c r="W725" s="309"/>
      <c r="X725" s="309"/>
      <c r="Y725" s="309"/>
      <c r="Z725" s="309"/>
      <c r="AA725" s="309"/>
      <c r="AB725" s="309"/>
      <c r="AC725" s="309"/>
      <c r="AD725" s="309"/>
      <c r="AE725" s="309"/>
      <c r="AF725" s="309"/>
      <c r="AG725" s="309"/>
    </row>
    <row r="726" spans="1:33" ht="15.75" customHeight="1" x14ac:dyDescent="0.25">
      <c r="A726" s="309"/>
      <c r="B726" s="309"/>
      <c r="C726" s="309"/>
      <c r="D726" s="309"/>
      <c r="E726" s="309"/>
      <c r="F726" s="309"/>
      <c r="G726" s="309"/>
      <c r="H726" s="309"/>
      <c r="I726" s="309"/>
      <c r="J726" s="309"/>
      <c r="K726" s="309"/>
      <c r="L726" s="309"/>
      <c r="M726" s="309"/>
      <c r="N726" s="309"/>
      <c r="O726" s="309"/>
      <c r="P726" s="309"/>
      <c r="Q726" s="309"/>
      <c r="R726" s="309"/>
      <c r="S726" s="309"/>
      <c r="T726" s="309"/>
      <c r="U726" s="309"/>
      <c r="V726" s="309"/>
      <c r="W726" s="309"/>
      <c r="X726" s="309"/>
      <c r="Y726" s="309"/>
      <c r="Z726" s="309"/>
      <c r="AA726" s="309"/>
      <c r="AB726" s="309"/>
      <c r="AC726" s="309"/>
      <c r="AD726" s="309"/>
      <c r="AE726" s="309"/>
      <c r="AF726" s="309"/>
      <c r="AG726" s="309"/>
    </row>
    <row r="727" spans="1:33" ht="15.75" customHeight="1" x14ac:dyDescent="0.25">
      <c r="A727" s="309"/>
      <c r="B727" s="309"/>
      <c r="C727" s="309"/>
      <c r="D727" s="309"/>
      <c r="E727" s="309"/>
      <c r="F727" s="309"/>
      <c r="G727" s="309"/>
      <c r="H727" s="309"/>
      <c r="I727" s="309"/>
      <c r="J727" s="309"/>
      <c r="K727" s="309"/>
      <c r="L727" s="309"/>
      <c r="M727" s="309"/>
      <c r="N727" s="309"/>
      <c r="O727" s="309"/>
      <c r="P727" s="309"/>
      <c r="Q727" s="309"/>
      <c r="R727" s="309"/>
      <c r="S727" s="309"/>
      <c r="T727" s="309"/>
      <c r="U727" s="309"/>
      <c r="V727" s="309"/>
      <c r="W727" s="309"/>
      <c r="X727" s="309"/>
      <c r="Y727" s="309"/>
      <c r="Z727" s="309"/>
      <c r="AA727" s="309"/>
      <c r="AB727" s="309"/>
      <c r="AC727" s="309"/>
      <c r="AD727" s="309"/>
      <c r="AE727" s="309"/>
      <c r="AF727" s="309"/>
      <c r="AG727" s="309"/>
    </row>
    <row r="728" spans="1:33" ht="15.75" customHeight="1" x14ac:dyDescent="0.25">
      <c r="A728" s="309"/>
      <c r="B728" s="309"/>
      <c r="C728" s="309"/>
      <c r="D728" s="309"/>
      <c r="E728" s="309"/>
      <c r="F728" s="309"/>
      <c r="G728" s="309"/>
      <c r="H728" s="309"/>
      <c r="I728" s="309"/>
      <c r="J728" s="309"/>
      <c r="K728" s="309"/>
      <c r="L728" s="309"/>
      <c r="M728" s="309"/>
      <c r="N728" s="309"/>
      <c r="O728" s="309"/>
      <c r="P728" s="309"/>
      <c r="Q728" s="309"/>
      <c r="R728" s="309"/>
      <c r="S728" s="309"/>
      <c r="T728" s="309"/>
      <c r="U728" s="309"/>
      <c r="V728" s="309"/>
      <c r="W728" s="309"/>
      <c r="X728" s="309"/>
      <c r="Y728" s="309"/>
      <c r="Z728" s="309"/>
      <c r="AA728" s="309"/>
      <c r="AB728" s="309"/>
      <c r="AC728" s="309"/>
      <c r="AD728" s="309"/>
      <c r="AE728" s="309"/>
      <c r="AF728" s="309"/>
      <c r="AG728" s="309"/>
    </row>
    <row r="729" spans="1:33" ht="15.75" customHeight="1" x14ac:dyDescent="0.25">
      <c r="A729" s="309"/>
      <c r="B729" s="309"/>
      <c r="C729" s="309"/>
      <c r="D729" s="309"/>
      <c r="E729" s="309"/>
      <c r="F729" s="309"/>
      <c r="G729" s="309"/>
      <c r="H729" s="309"/>
      <c r="I729" s="309"/>
      <c r="J729" s="309"/>
      <c r="K729" s="309"/>
      <c r="L729" s="309"/>
      <c r="M729" s="309"/>
      <c r="N729" s="309"/>
      <c r="O729" s="309"/>
      <c r="P729" s="309"/>
      <c r="Q729" s="309"/>
      <c r="R729" s="309"/>
      <c r="S729" s="309"/>
      <c r="T729" s="309"/>
      <c r="U729" s="309"/>
      <c r="V729" s="309"/>
      <c r="W729" s="309"/>
      <c r="X729" s="309"/>
      <c r="Y729" s="309"/>
      <c r="Z729" s="309"/>
      <c r="AA729" s="309"/>
      <c r="AB729" s="309"/>
      <c r="AC729" s="309"/>
      <c r="AD729" s="309"/>
      <c r="AE729" s="309"/>
      <c r="AF729" s="309"/>
      <c r="AG729" s="309"/>
    </row>
    <row r="730" spans="1:33" ht="15.75" customHeight="1" x14ac:dyDescent="0.25">
      <c r="A730" s="309"/>
      <c r="B730" s="309"/>
      <c r="C730" s="309"/>
      <c r="D730" s="309"/>
      <c r="E730" s="309"/>
      <c r="F730" s="309"/>
      <c r="G730" s="309"/>
      <c r="H730" s="309"/>
      <c r="I730" s="309"/>
      <c r="J730" s="309"/>
      <c r="K730" s="309"/>
      <c r="L730" s="309"/>
      <c r="M730" s="309"/>
      <c r="N730" s="309"/>
      <c r="O730" s="309"/>
      <c r="P730" s="309"/>
      <c r="Q730" s="309"/>
      <c r="R730" s="309"/>
      <c r="S730" s="309"/>
      <c r="T730" s="309"/>
      <c r="U730" s="309"/>
      <c r="V730" s="309"/>
      <c r="W730" s="309"/>
      <c r="X730" s="309"/>
      <c r="Y730" s="309"/>
      <c r="Z730" s="309"/>
      <c r="AA730" s="309"/>
      <c r="AB730" s="309"/>
      <c r="AC730" s="309"/>
      <c r="AD730" s="309"/>
      <c r="AE730" s="309"/>
      <c r="AF730" s="309"/>
      <c r="AG730" s="309"/>
    </row>
    <row r="731" spans="1:33" ht="15.75" customHeight="1" x14ac:dyDescent="0.25">
      <c r="A731" s="309"/>
      <c r="B731" s="309"/>
      <c r="C731" s="309"/>
      <c r="D731" s="309"/>
      <c r="E731" s="309"/>
      <c r="F731" s="309"/>
      <c r="G731" s="309"/>
      <c r="H731" s="309"/>
      <c r="I731" s="309"/>
      <c r="J731" s="309"/>
      <c r="K731" s="309"/>
      <c r="L731" s="309"/>
      <c r="M731" s="309"/>
      <c r="N731" s="309"/>
      <c r="O731" s="309"/>
      <c r="P731" s="309"/>
      <c r="Q731" s="309"/>
      <c r="R731" s="309"/>
      <c r="S731" s="309"/>
      <c r="T731" s="309"/>
      <c r="U731" s="309"/>
      <c r="V731" s="309"/>
      <c r="W731" s="309"/>
      <c r="X731" s="309"/>
      <c r="Y731" s="309"/>
      <c r="Z731" s="309"/>
      <c r="AA731" s="309"/>
      <c r="AB731" s="309"/>
      <c r="AC731" s="309"/>
      <c r="AD731" s="309"/>
      <c r="AE731" s="309"/>
      <c r="AF731" s="309"/>
      <c r="AG731" s="309"/>
    </row>
    <row r="732" spans="1:33" ht="15.75" customHeight="1" x14ac:dyDescent="0.25">
      <c r="A732" s="309"/>
      <c r="B732" s="309"/>
      <c r="C732" s="309"/>
      <c r="D732" s="309"/>
      <c r="E732" s="309"/>
      <c r="F732" s="309"/>
      <c r="G732" s="309"/>
      <c r="H732" s="309"/>
      <c r="I732" s="309"/>
      <c r="J732" s="309"/>
      <c r="K732" s="309"/>
      <c r="L732" s="309"/>
      <c r="M732" s="309"/>
      <c r="N732" s="309"/>
      <c r="O732" s="309"/>
      <c r="P732" s="309"/>
      <c r="Q732" s="309"/>
      <c r="R732" s="309"/>
      <c r="S732" s="309"/>
      <c r="T732" s="309"/>
      <c r="U732" s="309"/>
      <c r="V732" s="309"/>
      <c r="W732" s="309"/>
      <c r="X732" s="309"/>
      <c r="Y732" s="309"/>
      <c r="Z732" s="309"/>
      <c r="AA732" s="309"/>
      <c r="AB732" s="309"/>
      <c r="AC732" s="309"/>
      <c r="AD732" s="309"/>
      <c r="AE732" s="309"/>
      <c r="AF732" s="309"/>
      <c r="AG732" s="309"/>
    </row>
    <row r="733" spans="1:33" ht="15.75" customHeight="1" x14ac:dyDescent="0.25">
      <c r="A733" s="309"/>
      <c r="B733" s="309"/>
      <c r="C733" s="309"/>
      <c r="D733" s="309"/>
      <c r="E733" s="309"/>
      <c r="F733" s="309"/>
      <c r="G733" s="309"/>
      <c r="H733" s="309"/>
      <c r="I733" s="309"/>
      <c r="J733" s="309"/>
      <c r="K733" s="309"/>
      <c r="L733" s="309"/>
      <c r="M733" s="309"/>
      <c r="N733" s="309"/>
      <c r="O733" s="309"/>
      <c r="P733" s="309"/>
      <c r="Q733" s="309"/>
      <c r="R733" s="309"/>
      <c r="S733" s="309"/>
      <c r="T733" s="309"/>
      <c r="U733" s="309"/>
      <c r="V733" s="309"/>
      <c r="W733" s="309"/>
      <c r="X733" s="309"/>
      <c r="Y733" s="309"/>
      <c r="Z733" s="309"/>
      <c r="AA733" s="309"/>
      <c r="AB733" s="309"/>
      <c r="AC733" s="309"/>
      <c r="AD733" s="309"/>
      <c r="AE733" s="309"/>
      <c r="AF733" s="309"/>
      <c r="AG733" s="309"/>
    </row>
    <row r="734" spans="1:33" ht="15.75" customHeight="1" x14ac:dyDescent="0.25">
      <c r="A734" s="309"/>
      <c r="B734" s="309"/>
      <c r="C734" s="309"/>
      <c r="D734" s="309"/>
      <c r="E734" s="309"/>
      <c r="F734" s="309"/>
      <c r="G734" s="309"/>
      <c r="H734" s="309"/>
      <c r="I734" s="309"/>
      <c r="J734" s="309"/>
      <c r="K734" s="309"/>
      <c r="L734" s="309"/>
      <c r="M734" s="309"/>
      <c r="N734" s="309"/>
      <c r="O734" s="309"/>
      <c r="P734" s="309"/>
      <c r="Q734" s="309"/>
      <c r="R734" s="309"/>
      <c r="S734" s="309"/>
      <c r="T734" s="309"/>
      <c r="U734" s="309"/>
      <c r="V734" s="309"/>
      <c r="W734" s="309"/>
      <c r="X734" s="309"/>
      <c r="Y734" s="309"/>
      <c r="Z734" s="309"/>
      <c r="AA734" s="309"/>
      <c r="AB734" s="309"/>
      <c r="AC734" s="309"/>
      <c r="AD734" s="309"/>
      <c r="AE734" s="309"/>
      <c r="AF734" s="309"/>
      <c r="AG734" s="309"/>
    </row>
    <row r="735" spans="1:33" ht="15.75" customHeight="1" x14ac:dyDescent="0.25">
      <c r="A735" s="309"/>
      <c r="B735" s="309"/>
      <c r="C735" s="309"/>
      <c r="D735" s="309"/>
      <c r="E735" s="309"/>
      <c r="F735" s="309"/>
      <c r="G735" s="309"/>
      <c r="H735" s="309"/>
      <c r="I735" s="309"/>
      <c r="J735" s="309"/>
      <c r="K735" s="309"/>
      <c r="L735" s="309"/>
      <c r="M735" s="309"/>
      <c r="N735" s="309"/>
      <c r="O735" s="309"/>
      <c r="P735" s="309"/>
      <c r="Q735" s="309"/>
      <c r="R735" s="309"/>
      <c r="S735" s="309"/>
      <c r="T735" s="309"/>
      <c r="U735" s="309"/>
      <c r="V735" s="309"/>
      <c r="W735" s="309"/>
      <c r="X735" s="309"/>
      <c r="Y735" s="309"/>
      <c r="Z735" s="309"/>
      <c r="AA735" s="309"/>
      <c r="AB735" s="309"/>
      <c r="AC735" s="309"/>
      <c r="AD735" s="309"/>
      <c r="AE735" s="309"/>
      <c r="AF735" s="309"/>
      <c r="AG735" s="309"/>
    </row>
    <row r="736" spans="1:33" ht="15.75" customHeight="1" x14ac:dyDescent="0.25">
      <c r="A736" s="309"/>
      <c r="B736" s="309"/>
      <c r="C736" s="309"/>
      <c r="D736" s="309"/>
      <c r="E736" s="309"/>
      <c r="F736" s="309"/>
      <c r="G736" s="309"/>
      <c r="H736" s="309"/>
      <c r="I736" s="309"/>
      <c r="J736" s="309"/>
      <c r="K736" s="309"/>
      <c r="L736" s="309"/>
      <c r="M736" s="309"/>
      <c r="N736" s="309"/>
      <c r="O736" s="309"/>
      <c r="P736" s="309"/>
      <c r="Q736" s="309"/>
      <c r="R736" s="309"/>
      <c r="S736" s="309"/>
      <c r="T736" s="309"/>
      <c r="U736" s="309"/>
      <c r="V736" s="309"/>
      <c r="W736" s="309"/>
      <c r="X736" s="309"/>
      <c r="Y736" s="309"/>
      <c r="Z736" s="309"/>
      <c r="AA736" s="309"/>
      <c r="AB736" s="309"/>
      <c r="AC736" s="309"/>
      <c r="AD736" s="309"/>
      <c r="AE736" s="309"/>
      <c r="AF736" s="309"/>
      <c r="AG736" s="309"/>
    </row>
    <row r="737" spans="1:33" ht="15.75" customHeight="1" x14ac:dyDescent="0.25">
      <c r="A737" s="309"/>
      <c r="B737" s="309"/>
      <c r="C737" s="309"/>
      <c r="D737" s="309"/>
      <c r="E737" s="309"/>
      <c r="F737" s="309"/>
      <c r="G737" s="309"/>
      <c r="H737" s="309"/>
      <c r="I737" s="309"/>
      <c r="J737" s="309"/>
      <c r="K737" s="309"/>
      <c r="L737" s="309"/>
      <c r="M737" s="309"/>
      <c r="N737" s="309"/>
      <c r="O737" s="309"/>
      <c r="P737" s="309"/>
      <c r="Q737" s="309"/>
      <c r="R737" s="309"/>
      <c r="S737" s="309"/>
      <c r="T737" s="309"/>
      <c r="U737" s="309"/>
      <c r="V737" s="309"/>
      <c r="W737" s="309"/>
      <c r="X737" s="309"/>
      <c r="Y737" s="309"/>
      <c r="Z737" s="309"/>
      <c r="AA737" s="309"/>
      <c r="AB737" s="309"/>
      <c r="AC737" s="309"/>
      <c r="AD737" s="309"/>
      <c r="AE737" s="309"/>
      <c r="AF737" s="309"/>
      <c r="AG737" s="309"/>
    </row>
    <row r="738" spans="1:33" ht="15.75" customHeight="1" x14ac:dyDescent="0.25">
      <c r="A738" s="309"/>
      <c r="B738" s="309"/>
      <c r="C738" s="309"/>
      <c r="D738" s="309"/>
      <c r="E738" s="309"/>
      <c r="F738" s="309"/>
      <c r="G738" s="309"/>
      <c r="H738" s="309"/>
      <c r="I738" s="309"/>
      <c r="J738" s="309"/>
      <c r="K738" s="309"/>
      <c r="L738" s="309"/>
      <c r="M738" s="309"/>
      <c r="N738" s="309"/>
      <c r="O738" s="309"/>
      <c r="P738" s="309"/>
      <c r="Q738" s="309"/>
      <c r="R738" s="309"/>
      <c r="S738" s="309"/>
      <c r="T738" s="309"/>
      <c r="U738" s="309"/>
      <c r="V738" s="309"/>
      <c r="W738" s="309"/>
      <c r="X738" s="309"/>
      <c r="Y738" s="309"/>
      <c r="Z738" s="309"/>
      <c r="AA738" s="309"/>
      <c r="AB738" s="309"/>
      <c r="AC738" s="309"/>
      <c r="AD738" s="309"/>
      <c r="AE738" s="309"/>
      <c r="AF738" s="309"/>
      <c r="AG738" s="309"/>
    </row>
    <row r="739" spans="1:33" ht="15.75" customHeight="1" x14ac:dyDescent="0.25">
      <c r="A739" s="309"/>
      <c r="B739" s="309"/>
      <c r="C739" s="309"/>
      <c r="D739" s="309"/>
      <c r="E739" s="309"/>
      <c r="F739" s="309"/>
      <c r="G739" s="309"/>
      <c r="H739" s="309"/>
      <c r="I739" s="309"/>
      <c r="J739" s="309"/>
      <c r="K739" s="309"/>
      <c r="L739" s="309"/>
      <c r="M739" s="309"/>
      <c r="N739" s="309"/>
      <c r="O739" s="309"/>
      <c r="P739" s="309"/>
      <c r="Q739" s="309"/>
      <c r="R739" s="309"/>
      <c r="S739" s="309"/>
      <c r="T739" s="309"/>
      <c r="U739" s="309"/>
      <c r="V739" s="309"/>
      <c r="W739" s="309"/>
      <c r="X739" s="309"/>
      <c r="Y739" s="309"/>
      <c r="Z739" s="309"/>
      <c r="AA739" s="309"/>
      <c r="AB739" s="309"/>
      <c r="AC739" s="309"/>
      <c r="AD739" s="309"/>
      <c r="AE739" s="309"/>
      <c r="AF739" s="309"/>
      <c r="AG739" s="309"/>
    </row>
    <row r="740" spans="1:33" ht="15.75" customHeight="1" x14ac:dyDescent="0.25">
      <c r="A740" s="309"/>
      <c r="B740" s="309"/>
      <c r="C740" s="309"/>
      <c r="D740" s="309"/>
      <c r="E740" s="309"/>
      <c r="F740" s="309"/>
      <c r="G740" s="309"/>
      <c r="H740" s="309"/>
      <c r="I740" s="309"/>
      <c r="J740" s="309"/>
      <c r="K740" s="309"/>
      <c r="L740" s="309"/>
      <c r="M740" s="309"/>
      <c r="N740" s="309"/>
      <c r="O740" s="309"/>
      <c r="P740" s="309"/>
      <c r="Q740" s="309"/>
      <c r="R740" s="309"/>
      <c r="S740" s="309"/>
      <c r="T740" s="309"/>
      <c r="U740" s="309"/>
      <c r="V740" s="309"/>
      <c r="W740" s="309"/>
      <c r="X740" s="309"/>
      <c r="Y740" s="309"/>
      <c r="Z740" s="309"/>
      <c r="AA740" s="309"/>
      <c r="AB740" s="309"/>
      <c r="AC740" s="309"/>
      <c r="AD740" s="309"/>
      <c r="AE740" s="309"/>
      <c r="AF740" s="309"/>
      <c r="AG740" s="309"/>
    </row>
    <row r="741" spans="1:33" ht="15.75" customHeight="1" x14ac:dyDescent="0.25">
      <c r="A741" s="309"/>
      <c r="B741" s="309"/>
      <c r="C741" s="309"/>
      <c r="D741" s="309"/>
      <c r="E741" s="309"/>
      <c r="F741" s="309"/>
      <c r="G741" s="309"/>
      <c r="H741" s="309"/>
      <c r="I741" s="309"/>
      <c r="J741" s="309"/>
      <c r="K741" s="309"/>
      <c r="L741" s="309"/>
      <c r="M741" s="309"/>
      <c r="N741" s="309"/>
      <c r="O741" s="309"/>
      <c r="P741" s="309"/>
      <c r="Q741" s="309"/>
      <c r="R741" s="309"/>
      <c r="S741" s="309"/>
      <c r="T741" s="309"/>
      <c r="U741" s="309"/>
      <c r="V741" s="309"/>
      <c r="W741" s="309"/>
      <c r="X741" s="309"/>
      <c r="Y741" s="309"/>
      <c r="Z741" s="309"/>
      <c r="AA741" s="309"/>
      <c r="AB741" s="309"/>
      <c r="AC741" s="309"/>
      <c r="AD741" s="309"/>
      <c r="AE741" s="309"/>
      <c r="AF741" s="309"/>
      <c r="AG741" s="309"/>
    </row>
    <row r="742" spans="1:33" ht="15.75" customHeight="1" x14ac:dyDescent="0.25">
      <c r="A742" s="309"/>
      <c r="B742" s="309"/>
      <c r="C742" s="309"/>
      <c r="D742" s="309"/>
      <c r="E742" s="309"/>
      <c r="F742" s="309"/>
      <c r="G742" s="309"/>
      <c r="H742" s="309"/>
      <c r="I742" s="309"/>
      <c r="J742" s="309"/>
      <c r="K742" s="309"/>
      <c r="L742" s="309"/>
      <c r="M742" s="309"/>
      <c r="N742" s="309"/>
      <c r="O742" s="309"/>
      <c r="P742" s="309"/>
      <c r="Q742" s="309"/>
      <c r="R742" s="309"/>
      <c r="S742" s="309"/>
      <c r="T742" s="309"/>
      <c r="U742" s="309"/>
      <c r="V742" s="309"/>
      <c r="W742" s="309"/>
      <c r="X742" s="309"/>
      <c r="Y742" s="309"/>
      <c r="Z742" s="309"/>
      <c r="AA742" s="309"/>
      <c r="AB742" s="309"/>
      <c r="AC742" s="309"/>
      <c r="AD742" s="309"/>
      <c r="AE742" s="309"/>
      <c r="AF742" s="309"/>
      <c r="AG742" s="309"/>
    </row>
    <row r="743" spans="1:33" ht="15.75" customHeight="1" x14ac:dyDescent="0.25">
      <c r="A743" s="309"/>
      <c r="B743" s="309"/>
      <c r="C743" s="309"/>
      <c r="D743" s="309"/>
      <c r="E743" s="309"/>
      <c r="F743" s="309"/>
      <c r="G743" s="309"/>
      <c r="H743" s="309"/>
      <c r="I743" s="309"/>
      <c r="J743" s="309"/>
      <c r="K743" s="309"/>
      <c r="L743" s="309"/>
      <c r="M743" s="309"/>
      <c r="N743" s="309"/>
      <c r="O743" s="309"/>
      <c r="P743" s="309"/>
      <c r="Q743" s="309"/>
      <c r="R743" s="309"/>
      <c r="S743" s="309"/>
      <c r="T743" s="309"/>
      <c r="U743" s="309"/>
      <c r="V743" s="309"/>
      <c r="W743" s="309"/>
      <c r="X743" s="309"/>
      <c r="Y743" s="309"/>
      <c r="Z743" s="309"/>
      <c r="AA743" s="309"/>
      <c r="AB743" s="309"/>
      <c r="AC743" s="309"/>
      <c r="AD743" s="309"/>
      <c r="AE743" s="309"/>
      <c r="AF743" s="309"/>
      <c r="AG743" s="309"/>
    </row>
    <row r="744" spans="1:33" ht="15.75" customHeight="1" x14ac:dyDescent="0.25">
      <c r="A744" s="309"/>
      <c r="B744" s="309"/>
      <c r="C744" s="309"/>
      <c r="D744" s="309"/>
      <c r="E744" s="309"/>
      <c r="F744" s="309"/>
      <c r="G744" s="309"/>
      <c r="H744" s="309"/>
      <c r="I744" s="309"/>
      <c r="J744" s="309"/>
      <c r="K744" s="309"/>
      <c r="L744" s="309"/>
      <c r="M744" s="309"/>
      <c r="N744" s="309"/>
      <c r="O744" s="309"/>
      <c r="P744" s="309"/>
      <c r="Q744" s="309"/>
      <c r="R744" s="309"/>
      <c r="S744" s="309"/>
      <c r="T744" s="309"/>
      <c r="U744" s="309"/>
      <c r="V744" s="309"/>
      <c r="W744" s="309"/>
      <c r="X744" s="309"/>
      <c r="Y744" s="309"/>
      <c r="Z744" s="309"/>
      <c r="AA744" s="309"/>
      <c r="AB744" s="309"/>
      <c r="AC744" s="309"/>
      <c r="AD744" s="309"/>
      <c r="AE744" s="309"/>
      <c r="AF744" s="309"/>
      <c r="AG744" s="309"/>
    </row>
    <row r="745" spans="1:33" ht="15.75" customHeight="1" x14ac:dyDescent="0.25">
      <c r="A745" s="309"/>
      <c r="B745" s="309"/>
      <c r="C745" s="309"/>
      <c r="D745" s="309"/>
      <c r="E745" s="309"/>
      <c r="F745" s="309"/>
      <c r="G745" s="309"/>
      <c r="H745" s="309"/>
      <c r="I745" s="309"/>
      <c r="J745" s="309"/>
      <c r="K745" s="309"/>
      <c r="L745" s="309"/>
      <c r="M745" s="309"/>
      <c r="N745" s="309"/>
      <c r="O745" s="309"/>
      <c r="P745" s="309"/>
      <c r="Q745" s="309"/>
      <c r="R745" s="309"/>
      <c r="S745" s="309"/>
      <c r="T745" s="309"/>
      <c r="U745" s="309"/>
      <c r="V745" s="309"/>
      <c r="W745" s="309"/>
      <c r="X745" s="309"/>
      <c r="Y745" s="309"/>
      <c r="Z745" s="309"/>
      <c r="AA745" s="309"/>
      <c r="AB745" s="309"/>
      <c r="AC745" s="309"/>
      <c r="AD745" s="309"/>
      <c r="AE745" s="309"/>
      <c r="AF745" s="309"/>
      <c r="AG745" s="309"/>
    </row>
    <row r="746" spans="1:33" ht="15.75" customHeight="1" x14ac:dyDescent="0.25">
      <c r="A746" s="309"/>
      <c r="B746" s="309"/>
      <c r="C746" s="309"/>
      <c r="D746" s="309"/>
      <c r="E746" s="309"/>
      <c r="F746" s="309"/>
      <c r="G746" s="309"/>
      <c r="H746" s="309"/>
      <c r="I746" s="309"/>
      <c r="J746" s="309"/>
      <c r="K746" s="309"/>
      <c r="L746" s="309"/>
      <c r="M746" s="309"/>
      <c r="N746" s="309"/>
      <c r="O746" s="309"/>
      <c r="P746" s="309"/>
      <c r="Q746" s="309"/>
      <c r="R746" s="309"/>
      <c r="S746" s="309"/>
      <c r="T746" s="309"/>
      <c r="U746" s="309"/>
      <c r="V746" s="309"/>
      <c r="W746" s="309"/>
      <c r="X746" s="309"/>
      <c r="Y746" s="309"/>
      <c r="Z746" s="309"/>
      <c r="AA746" s="309"/>
      <c r="AB746" s="309"/>
      <c r="AC746" s="309"/>
      <c r="AD746" s="309"/>
      <c r="AE746" s="309"/>
      <c r="AF746" s="309"/>
      <c r="AG746" s="309"/>
    </row>
    <row r="747" spans="1:33" ht="15.75" customHeight="1" x14ac:dyDescent="0.25">
      <c r="A747" s="309"/>
      <c r="B747" s="309"/>
      <c r="C747" s="309"/>
      <c r="D747" s="309"/>
      <c r="E747" s="309"/>
      <c r="F747" s="309"/>
      <c r="G747" s="309"/>
      <c r="H747" s="309"/>
      <c r="I747" s="309"/>
      <c r="J747" s="309"/>
      <c r="K747" s="309"/>
      <c r="L747" s="309"/>
      <c r="M747" s="309"/>
      <c r="N747" s="309"/>
      <c r="O747" s="309"/>
      <c r="P747" s="309"/>
      <c r="Q747" s="309"/>
      <c r="R747" s="309"/>
      <c r="S747" s="309"/>
      <c r="T747" s="309"/>
      <c r="U747" s="309"/>
      <c r="V747" s="309"/>
      <c r="W747" s="309"/>
      <c r="X747" s="309"/>
      <c r="Y747" s="309"/>
      <c r="Z747" s="309"/>
      <c r="AA747" s="309"/>
      <c r="AB747" s="309"/>
      <c r="AC747" s="309"/>
      <c r="AD747" s="309"/>
      <c r="AE747" s="309"/>
      <c r="AF747" s="309"/>
      <c r="AG747" s="309"/>
    </row>
    <row r="748" spans="1:33" ht="15.75" customHeight="1" x14ac:dyDescent="0.25">
      <c r="A748" s="309"/>
      <c r="B748" s="309"/>
      <c r="C748" s="309"/>
      <c r="D748" s="309"/>
      <c r="E748" s="309"/>
      <c r="F748" s="309"/>
      <c r="G748" s="309"/>
      <c r="H748" s="309"/>
      <c r="I748" s="309"/>
      <c r="J748" s="309"/>
      <c r="K748" s="309"/>
      <c r="L748" s="309"/>
      <c r="M748" s="309"/>
      <c r="N748" s="309"/>
      <c r="O748" s="309"/>
      <c r="P748" s="309"/>
      <c r="Q748" s="309"/>
      <c r="R748" s="309"/>
      <c r="S748" s="309"/>
      <c r="T748" s="309"/>
      <c r="U748" s="309"/>
      <c r="V748" s="309"/>
      <c r="W748" s="309"/>
      <c r="X748" s="309"/>
      <c r="Y748" s="309"/>
      <c r="Z748" s="309"/>
      <c r="AA748" s="309"/>
      <c r="AB748" s="309"/>
      <c r="AC748" s="309"/>
      <c r="AD748" s="309"/>
      <c r="AE748" s="309"/>
      <c r="AF748" s="309"/>
      <c r="AG748" s="309"/>
    </row>
    <row r="749" spans="1:33" ht="15.75" customHeight="1" x14ac:dyDescent="0.25">
      <c r="A749" s="309"/>
      <c r="B749" s="309"/>
      <c r="C749" s="309"/>
      <c r="D749" s="309"/>
      <c r="E749" s="309"/>
      <c r="F749" s="309"/>
      <c r="G749" s="309"/>
      <c r="H749" s="309"/>
      <c r="I749" s="309"/>
      <c r="J749" s="309"/>
      <c r="K749" s="309"/>
      <c r="L749" s="309"/>
      <c r="M749" s="309"/>
      <c r="N749" s="309"/>
      <c r="O749" s="309"/>
      <c r="P749" s="309"/>
      <c r="Q749" s="309"/>
      <c r="R749" s="309"/>
      <c r="S749" s="309"/>
      <c r="T749" s="309"/>
      <c r="U749" s="309"/>
      <c r="V749" s="309"/>
      <c r="W749" s="309"/>
      <c r="X749" s="309"/>
      <c r="Y749" s="309"/>
      <c r="Z749" s="309"/>
      <c r="AA749" s="309"/>
      <c r="AB749" s="309"/>
      <c r="AC749" s="309"/>
      <c r="AD749" s="309"/>
      <c r="AE749" s="309"/>
      <c r="AF749" s="309"/>
      <c r="AG749" s="309"/>
    </row>
    <row r="750" spans="1:33" ht="15.75" customHeight="1" x14ac:dyDescent="0.25">
      <c r="A750" s="309"/>
      <c r="B750" s="309"/>
      <c r="C750" s="309"/>
      <c r="D750" s="309"/>
      <c r="E750" s="309"/>
      <c r="F750" s="309"/>
      <c r="G750" s="309"/>
      <c r="H750" s="309"/>
      <c r="I750" s="309"/>
      <c r="J750" s="309"/>
      <c r="K750" s="309"/>
      <c r="L750" s="309"/>
      <c r="M750" s="309"/>
      <c r="N750" s="309"/>
      <c r="O750" s="309"/>
      <c r="P750" s="309"/>
      <c r="Q750" s="309"/>
      <c r="R750" s="309"/>
      <c r="S750" s="309"/>
      <c r="T750" s="309"/>
      <c r="U750" s="309"/>
      <c r="V750" s="309"/>
      <c r="W750" s="309"/>
      <c r="X750" s="309"/>
      <c r="Y750" s="309"/>
      <c r="Z750" s="309"/>
      <c r="AA750" s="309"/>
      <c r="AB750" s="309"/>
      <c r="AC750" s="309"/>
      <c r="AD750" s="309"/>
      <c r="AE750" s="309"/>
      <c r="AF750" s="309"/>
      <c r="AG750" s="309"/>
    </row>
    <row r="751" spans="1:33" ht="15.75" customHeight="1" x14ac:dyDescent="0.25">
      <c r="A751" s="309"/>
      <c r="B751" s="309"/>
      <c r="C751" s="309"/>
      <c r="D751" s="309"/>
      <c r="E751" s="309"/>
      <c r="F751" s="309"/>
      <c r="G751" s="309"/>
      <c r="H751" s="309"/>
      <c r="I751" s="309"/>
      <c r="J751" s="309"/>
      <c r="K751" s="309"/>
      <c r="L751" s="309"/>
      <c r="M751" s="309"/>
      <c r="N751" s="309"/>
      <c r="O751" s="309"/>
      <c r="P751" s="309"/>
      <c r="Q751" s="309"/>
      <c r="R751" s="309"/>
      <c r="S751" s="309"/>
      <c r="T751" s="309"/>
      <c r="U751" s="309"/>
      <c r="V751" s="309"/>
      <c r="W751" s="309"/>
      <c r="X751" s="309"/>
      <c r="Y751" s="309"/>
      <c r="Z751" s="309"/>
      <c r="AA751" s="309"/>
      <c r="AB751" s="309"/>
      <c r="AC751" s="309"/>
      <c r="AD751" s="309"/>
      <c r="AE751" s="309"/>
      <c r="AF751" s="309"/>
      <c r="AG751" s="309"/>
    </row>
    <row r="752" spans="1:33" ht="15.75" customHeight="1" x14ac:dyDescent="0.25">
      <c r="A752" s="309"/>
      <c r="B752" s="309"/>
      <c r="C752" s="309"/>
      <c r="D752" s="309"/>
      <c r="E752" s="309"/>
      <c r="F752" s="309"/>
      <c r="G752" s="309"/>
      <c r="H752" s="309"/>
      <c r="I752" s="309"/>
      <c r="J752" s="309"/>
      <c r="K752" s="309"/>
      <c r="L752" s="309"/>
      <c r="M752" s="309"/>
      <c r="N752" s="309"/>
      <c r="O752" s="309"/>
      <c r="P752" s="309"/>
      <c r="Q752" s="309"/>
      <c r="R752" s="309"/>
      <c r="S752" s="309"/>
      <c r="T752" s="309"/>
      <c r="U752" s="309"/>
      <c r="V752" s="309"/>
      <c r="W752" s="309"/>
      <c r="X752" s="309"/>
      <c r="Y752" s="309"/>
      <c r="Z752" s="309"/>
      <c r="AA752" s="309"/>
      <c r="AB752" s="309"/>
      <c r="AC752" s="309"/>
      <c r="AD752" s="309"/>
      <c r="AE752" s="309"/>
      <c r="AF752" s="309"/>
      <c r="AG752" s="309"/>
    </row>
    <row r="753" spans="1:33" ht="15.75" customHeight="1" x14ac:dyDescent="0.25">
      <c r="A753" s="309"/>
      <c r="B753" s="309"/>
      <c r="C753" s="309"/>
      <c r="D753" s="309"/>
      <c r="E753" s="309"/>
      <c r="F753" s="309"/>
      <c r="G753" s="309"/>
      <c r="H753" s="309"/>
      <c r="I753" s="309"/>
      <c r="J753" s="309"/>
      <c r="K753" s="309"/>
      <c r="L753" s="309"/>
      <c r="M753" s="309"/>
      <c r="N753" s="309"/>
      <c r="O753" s="309"/>
      <c r="P753" s="309"/>
      <c r="Q753" s="309"/>
      <c r="R753" s="309"/>
      <c r="S753" s="309"/>
      <c r="T753" s="309"/>
      <c r="U753" s="309"/>
      <c r="V753" s="309"/>
      <c r="W753" s="309"/>
      <c r="X753" s="309"/>
      <c r="Y753" s="309"/>
      <c r="Z753" s="309"/>
      <c r="AA753" s="309"/>
      <c r="AB753" s="309"/>
      <c r="AC753" s="309"/>
      <c r="AD753" s="309"/>
      <c r="AE753" s="309"/>
      <c r="AF753" s="309"/>
      <c r="AG753" s="309"/>
    </row>
    <row r="754" spans="1:33" ht="15.75" customHeight="1" x14ac:dyDescent="0.25">
      <c r="A754" s="309"/>
      <c r="B754" s="309"/>
      <c r="C754" s="309"/>
      <c r="D754" s="309"/>
      <c r="E754" s="309"/>
      <c r="F754" s="309"/>
      <c r="G754" s="309"/>
      <c r="H754" s="309"/>
      <c r="I754" s="309"/>
      <c r="J754" s="309"/>
      <c r="K754" s="309"/>
      <c r="L754" s="309"/>
      <c r="M754" s="309"/>
      <c r="N754" s="309"/>
      <c r="O754" s="309"/>
      <c r="P754" s="309"/>
      <c r="Q754" s="309"/>
      <c r="R754" s="309"/>
      <c r="S754" s="309"/>
      <c r="T754" s="309"/>
      <c r="U754" s="309"/>
      <c r="V754" s="309"/>
      <c r="W754" s="309"/>
      <c r="X754" s="309"/>
      <c r="Y754" s="309"/>
      <c r="Z754" s="309"/>
      <c r="AA754" s="309"/>
      <c r="AB754" s="309"/>
      <c r="AC754" s="309"/>
      <c r="AD754" s="309"/>
      <c r="AE754" s="309"/>
      <c r="AF754" s="309"/>
      <c r="AG754" s="309"/>
    </row>
    <row r="755" spans="1:33" ht="15.75" customHeight="1" x14ac:dyDescent="0.25">
      <c r="A755" s="309"/>
      <c r="B755" s="309"/>
      <c r="C755" s="309"/>
      <c r="D755" s="309"/>
      <c r="E755" s="309"/>
      <c r="F755" s="309"/>
      <c r="G755" s="309"/>
      <c r="H755" s="309"/>
      <c r="I755" s="309"/>
      <c r="J755" s="309"/>
      <c r="K755" s="309"/>
      <c r="L755" s="309"/>
      <c r="M755" s="309"/>
      <c r="N755" s="309"/>
      <c r="O755" s="309"/>
      <c r="P755" s="309"/>
      <c r="Q755" s="309"/>
      <c r="R755" s="309"/>
      <c r="S755" s="309"/>
      <c r="T755" s="309"/>
      <c r="U755" s="309"/>
      <c r="V755" s="309"/>
      <c r="W755" s="309"/>
      <c r="X755" s="309"/>
      <c r="Y755" s="309"/>
      <c r="Z755" s="309"/>
      <c r="AA755" s="309"/>
      <c r="AB755" s="309"/>
      <c r="AC755" s="309"/>
      <c r="AD755" s="309"/>
      <c r="AE755" s="309"/>
      <c r="AF755" s="309"/>
      <c r="AG755" s="309"/>
    </row>
    <row r="756" spans="1:33" ht="15.75" customHeight="1" x14ac:dyDescent="0.25">
      <c r="A756" s="309"/>
      <c r="B756" s="309"/>
      <c r="C756" s="309"/>
      <c r="D756" s="309"/>
      <c r="E756" s="309"/>
      <c r="F756" s="309"/>
      <c r="G756" s="309"/>
      <c r="H756" s="309"/>
      <c r="I756" s="309"/>
      <c r="J756" s="309"/>
      <c r="K756" s="309"/>
      <c r="L756" s="309"/>
      <c r="M756" s="309"/>
      <c r="N756" s="309"/>
      <c r="O756" s="309"/>
      <c r="P756" s="309"/>
      <c r="Q756" s="309"/>
      <c r="R756" s="309"/>
      <c r="S756" s="309"/>
      <c r="T756" s="309"/>
      <c r="U756" s="309"/>
      <c r="V756" s="309"/>
      <c r="W756" s="309"/>
      <c r="X756" s="309"/>
      <c r="Y756" s="309"/>
      <c r="Z756" s="309"/>
      <c r="AA756" s="309"/>
      <c r="AB756" s="309"/>
      <c r="AC756" s="309"/>
      <c r="AD756" s="309"/>
      <c r="AE756" s="309"/>
      <c r="AF756" s="309"/>
      <c r="AG756" s="309"/>
    </row>
    <row r="757" spans="1:33" ht="15.75" customHeight="1" x14ac:dyDescent="0.25">
      <c r="A757" s="309"/>
      <c r="B757" s="309"/>
      <c r="C757" s="309"/>
      <c r="D757" s="309"/>
      <c r="E757" s="309"/>
      <c r="F757" s="309"/>
      <c r="G757" s="309"/>
      <c r="H757" s="309"/>
      <c r="I757" s="309"/>
      <c r="J757" s="309"/>
      <c r="K757" s="309"/>
      <c r="L757" s="309"/>
      <c r="M757" s="309"/>
      <c r="N757" s="309"/>
      <c r="O757" s="309"/>
      <c r="P757" s="309"/>
      <c r="Q757" s="309"/>
      <c r="R757" s="309"/>
      <c r="S757" s="309"/>
      <c r="T757" s="309"/>
      <c r="U757" s="309"/>
      <c r="V757" s="309"/>
      <c r="W757" s="309"/>
      <c r="X757" s="309"/>
      <c r="Y757" s="309"/>
      <c r="Z757" s="309"/>
      <c r="AA757" s="309"/>
      <c r="AB757" s="309"/>
      <c r="AC757" s="309"/>
      <c r="AD757" s="309"/>
      <c r="AE757" s="309"/>
      <c r="AF757" s="309"/>
      <c r="AG757" s="309"/>
    </row>
    <row r="758" spans="1:33" ht="15.75" customHeight="1" x14ac:dyDescent="0.25">
      <c r="A758" s="309"/>
      <c r="B758" s="309"/>
      <c r="C758" s="309"/>
      <c r="D758" s="309"/>
      <c r="E758" s="309"/>
      <c r="F758" s="309"/>
      <c r="G758" s="309"/>
      <c r="H758" s="309"/>
      <c r="I758" s="309"/>
      <c r="J758" s="309"/>
      <c r="K758" s="309"/>
      <c r="L758" s="309"/>
      <c r="M758" s="309"/>
      <c r="N758" s="309"/>
      <c r="O758" s="309"/>
      <c r="P758" s="309"/>
      <c r="Q758" s="309"/>
      <c r="R758" s="309"/>
      <c r="S758" s="309"/>
      <c r="T758" s="309"/>
      <c r="U758" s="309"/>
      <c r="V758" s="309"/>
      <c r="W758" s="309"/>
      <c r="X758" s="309"/>
      <c r="Y758" s="309"/>
      <c r="Z758" s="309"/>
      <c r="AA758" s="309"/>
      <c r="AB758" s="309"/>
      <c r="AC758" s="309"/>
      <c r="AD758" s="309"/>
      <c r="AE758" s="309"/>
      <c r="AF758" s="309"/>
      <c r="AG758" s="309"/>
    </row>
    <row r="759" spans="1:33" ht="15.75" customHeight="1" x14ac:dyDescent="0.25">
      <c r="A759" s="309"/>
      <c r="B759" s="309"/>
      <c r="C759" s="309"/>
      <c r="D759" s="309"/>
      <c r="E759" s="309"/>
      <c r="F759" s="309"/>
      <c r="G759" s="309"/>
      <c r="H759" s="309"/>
      <c r="I759" s="309"/>
      <c r="J759" s="309"/>
      <c r="K759" s="309"/>
      <c r="L759" s="309"/>
      <c r="M759" s="309"/>
      <c r="N759" s="309"/>
      <c r="O759" s="309"/>
      <c r="P759" s="309"/>
      <c r="Q759" s="309"/>
      <c r="R759" s="309"/>
      <c r="S759" s="309"/>
      <c r="T759" s="309"/>
      <c r="U759" s="309"/>
      <c r="V759" s="309"/>
      <c r="W759" s="309"/>
      <c r="X759" s="309"/>
      <c r="Y759" s="309"/>
      <c r="Z759" s="309"/>
      <c r="AA759" s="309"/>
      <c r="AB759" s="309"/>
      <c r="AC759" s="309"/>
      <c r="AD759" s="309"/>
      <c r="AE759" s="309"/>
      <c r="AF759" s="309"/>
      <c r="AG759" s="309"/>
    </row>
    <row r="760" spans="1:33" ht="15.75" customHeight="1" x14ac:dyDescent="0.25">
      <c r="A760" s="309"/>
      <c r="B760" s="309"/>
      <c r="C760" s="309"/>
      <c r="D760" s="309"/>
      <c r="E760" s="309"/>
      <c r="F760" s="309"/>
      <c r="G760" s="309"/>
      <c r="H760" s="309"/>
      <c r="I760" s="309"/>
      <c r="J760" s="309"/>
      <c r="K760" s="309"/>
      <c r="L760" s="309"/>
      <c r="M760" s="309"/>
      <c r="N760" s="309"/>
      <c r="O760" s="309"/>
      <c r="P760" s="309"/>
      <c r="Q760" s="309"/>
      <c r="R760" s="309"/>
      <c r="S760" s="309"/>
      <c r="T760" s="309"/>
      <c r="U760" s="309"/>
      <c r="V760" s="309"/>
      <c r="W760" s="309"/>
      <c r="X760" s="309"/>
      <c r="Y760" s="309"/>
      <c r="Z760" s="309"/>
      <c r="AA760" s="309"/>
      <c r="AB760" s="309"/>
      <c r="AC760" s="309"/>
      <c r="AD760" s="309"/>
      <c r="AE760" s="309"/>
      <c r="AF760" s="309"/>
      <c r="AG760" s="309"/>
    </row>
    <row r="761" spans="1:33" ht="15.75" customHeight="1" x14ac:dyDescent="0.25">
      <c r="A761" s="309"/>
      <c r="B761" s="309"/>
      <c r="C761" s="309"/>
      <c r="D761" s="309"/>
      <c r="E761" s="309"/>
      <c r="F761" s="309"/>
      <c r="G761" s="309"/>
      <c r="H761" s="309"/>
      <c r="I761" s="309"/>
      <c r="J761" s="309"/>
      <c r="K761" s="309"/>
      <c r="L761" s="309"/>
      <c r="M761" s="309"/>
      <c r="N761" s="309"/>
      <c r="O761" s="309"/>
      <c r="P761" s="309"/>
      <c r="Q761" s="309"/>
      <c r="R761" s="309"/>
      <c r="S761" s="309"/>
      <c r="T761" s="309"/>
      <c r="U761" s="309"/>
      <c r="V761" s="309"/>
      <c r="W761" s="309"/>
      <c r="X761" s="309"/>
      <c r="Y761" s="309"/>
      <c r="Z761" s="309"/>
      <c r="AA761" s="309"/>
      <c r="AB761" s="309"/>
      <c r="AC761" s="309"/>
      <c r="AD761" s="309"/>
      <c r="AE761" s="309"/>
      <c r="AF761" s="309"/>
      <c r="AG761" s="309"/>
    </row>
    <row r="762" spans="1:33" ht="15.75" customHeight="1" x14ac:dyDescent="0.25">
      <c r="A762" s="309"/>
      <c r="B762" s="309"/>
      <c r="C762" s="309"/>
      <c r="D762" s="309"/>
      <c r="E762" s="309"/>
      <c r="F762" s="309"/>
      <c r="G762" s="309"/>
      <c r="H762" s="309"/>
      <c r="I762" s="309"/>
      <c r="J762" s="309"/>
      <c r="K762" s="309"/>
      <c r="L762" s="309"/>
      <c r="M762" s="309"/>
      <c r="N762" s="309"/>
      <c r="O762" s="309"/>
      <c r="P762" s="309"/>
      <c r="Q762" s="309"/>
      <c r="R762" s="309"/>
      <c r="S762" s="309"/>
      <c r="T762" s="309"/>
      <c r="U762" s="309"/>
      <c r="V762" s="309"/>
      <c r="W762" s="309"/>
      <c r="X762" s="309"/>
      <c r="Y762" s="309"/>
      <c r="Z762" s="309"/>
      <c r="AA762" s="309"/>
      <c r="AB762" s="309"/>
      <c r="AC762" s="309"/>
      <c r="AD762" s="309"/>
      <c r="AE762" s="309"/>
      <c r="AF762" s="309"/>
      <c r="AG762" s="309"/>
    </row>
    <row r="763" spans="1:33" ht="15.75" customHeight="1" x14ac:dyDescent="0.25">
      <c r="A763" s="309"/>
      <c r="B763" s="309"/>
      <c r="C763" s="309"/>
      <c r="D763" s="309"/>
      <c r="E763" s="309"/>
      <c r="F763" s="309"/>
      <c r="G763" s="309"/>
      <c r="H763" s="309"/>
      <c r="I763" s="309"/>
      <c r="J763" s="309"/>
      <c r="K763" s="309"/>
      <c r="L763" s="309"/>
      <c r="M763" s="309"/>
      <c r="N763" s="309"/>
      <c r="O763" s="309"/>
      <c r="P763" s="309"/>
      <c r="Q763" s="309"/>
      <c r="R763" s="309"/>
      <c r="S763" s="309"/>
      <c r="T763" s="309"/>
      <c r="U763" s="309"/>
      <c r="V763" s="309"/>
      <c r="W763" s="309"/>
      <c r="X763" s="309"/>
      <c r="Y763" s="309"/>
      <c r="Z763" s="309"/>
      <c r="AA763" s="309"/>
      <c r="AB763" s="309"/>
      <c r="AC763" s="309"/>
      <c r="AD763" s="309"/>
      <c r="AE763" s="309"/>
      <c r="AF763" s="309"/>
      <c r="AG763" s="309"/>
    </row>
    <row r="764" spans="1:33" ht="15.75" customHeight="1" x14ac:dyDescent="0.25">
      <c r="A764" s="309"/>
      <c r="B764" s="309"/>
      <c r="C764" s="309"/>
      <c r="D764" s="309"/>
      <c r="E764" s="309"/>
      <c r="F764" s="309"/>
      <c r="G764" s="309"/>
      <c r="H764" s="309"/>
      <c r="I764" s="309"/>
      <c r="J764" s="309"/>
      <c r="K764" s="309"/>
      <c r="L764" s="309"/>
      <c r="M764" s="309"/>
      <c r="N764" s="309"/>
      <c r="O764" s="309"/>
      <c r="P764" s="309"/>
      <c r="Q764" s="309"/>
      <c r="R764" s="309"/>
      <c r="S764" s="309"/>
      <c r="T764" s="309"/>
      <c r="U764" s="309"/>
      <c r="V764" s="309"/>
      <c r="W764" s="309"/>
      <c r="X764" s="309"/>
      <c r="Y764" s="309"/>
      <c r="Z764" s="309"/>
      <c r="AA764" s="309"/>
      <c r="AB764" s="309"/>
      <c r="AC764" s="309"/>
      <c r="AD764" s="309"/>
      <c r="AE764" s="309"/>
      <c r="AF764" s="309"/>
      <c r="AG764" s="309"/>
    </row>
    <row r="765" spans="1:33" ht="15.75" customHeight="1" x14ac:dyDescent="0.25">
      <c r="A765" s="309"/>
      <c r="B765" s="309"/>
      <c r="C765" s="309"/>
      <c r="D765" s="309"/>
      <c r="E765" s="309"/>
      <c r="F765" s="309"/>
      <c r="G765" s="309"/>
      <c r="H765" s="309"/>
      <c r="I765" s="309"/>
      <c r="J765" s="309"/>
      <c r="K765" s="309"/>
      <c r="L765" s="309"/>
      <c r="M765" s="309"/>
      <c r="N765" s="309"/>
      <c r="O765" s="309"/>
      <c r="P765" s="309"/>
      <c r="Q765" s="309"/>
      <c r="R765" s="309"/>
      <c r="S765" s="309"/>
      <c r="T765" s="309"/>
      <c r="U765" s="309"/>
      <c r="V765" s="309"/>
      <c r="W765" s="309"/>
      <c r="X765" s="309"/>
      <c r="Y765" s="309"/>
      <c r="Z765" s="309"/>
      <c r="AA765" s="309"/>
      <c r="AB765" s="309"/>
      <c r="AC765" s="309"/>
      <c r="AD765" s="309"/>
      <c r="AE765" s="309"/>
      <c r="AF765" s="309"/>
      <c r="AG765" s="309"/>
    </row>
    <row r="766" spans="1:33" ht="15.75" customHeight="1" x14ac:dyDescent="0.25">
      <c r="A766" s="309"/>
      <c r="B766" s="309"/>
      <c r="C766" s="309"/>
      <c r="D766" s="309"/>
      <c r="E766" s="309"/>
      <c r="F766" s="309"/>
      <c r="G766" s="309"/>
      <c r="H766" s="309"/>
      <c r="I766" s="309"/>
      <c r="J766" s="309"/>
      <c r="K766" s="309"/>
      <c r="L766" s="309"/>
      <c r="M766" s="309"/>
      <c r="N766" s="309"/>
      <c r="O766" s="309"/>
      <c r="P766" s="309"/>
      <c r="Q766" s="309"/>
      <c r="R766" s="309"/>
      <c r="S766" s="309"/>
      <c r="T766" s="309"/>
      <c r="U766" s="309"/>
      <c r="V766" s="309"/>
      <c r="W766" s="309"/>
      <c r="X766" s="309"/>
      <c r="Y766" s="309"/>
      <c r="Z766" s="309"/>
      <c r="AA766" s="309"/>
      <c r="AB766" s="309"/>
      <c r="AC766" s="309"/>
      <c r="AD766" s="309"/>
      <c r="AE766" s="309"/>
      <c r="AF766" s="309"/>
      <c r="AG766" s="309"/>
    </row>
    <row r="767" spans="1:33" ht="15.75" customHeight="1" x14ac:dyDescent="0.25">
      <c r="A767" s="309"/>
      <c r="B767" s="309"/>
      <c r="C767" s="309"/>
      <c r="D767" s="309"/>
      <c r="E767" s="309"/>
      <c r="F767" s="309"/>
      <c r="G767" s="309"/>
      <c r="H767" s="309"/>
      <c r="I767" s="309"/>
      <c r="J767" s="309"/>
      <c r="K767" s="309"/>
      <c r="L767" s="309"/>
      <c r="M767" s="309"/>
      <c r="N767" s="309"/>
      <c r="O767" s="309"/>
      <c r="P767" s="309"/>
      <c r="Q767" s="309"/>
      <c r="R767" s="309"/>
      <c r="S767" s="309"/>
      <c r="T767" s="309"/>
      <c r="U767" s="309"/>
      <c r="V767" s="309"/>
      <c r="W767" s="309"/>
      <c r="X767" s="309"/>
      <c r="Y767" s="309"/>
      <c r="Z767" s="309"/>
      <c r="AA767" s="309"/>
      <c r="AB767" s="309"/>
      <c r="AC767" s="309"/>
      <c r="AD767" s="309"/>
      <c r="AE767" s="309"/>
      <c r="AF767" s="309"/>
      <c r="AG767" s="309"/>
    </row>
    <row r="768" spans="1:33" ht="15.75" customHeight="1" x14ac:dyDescent="0.25">
      <c r="A768" s="309"/>
      <c r="B768" s="309"/>
      <c r="C768" s="309"/>
      <c r="D768" s="309"/>
      <c r="E768" s="309"/>
      <c r="F768" s="309"/>
      <c r="G768" s="309"/>
      <c r="H768" s="309"/>
      <c r="I768" s="309"/>
      <c r="J768" s="309"/>
      <c r="K768" s="309"/>
      <c r="L768" s="309"/>
      <c r="M768" s="309"/>
      <c r="N768" s="309"/>
      <c r="O768" s="309"/>
      <c r="P768" s="309"/>
      <c r="Q768" s="309"/>
      <c r="R768" s="309"/>
      <c r="S768" s="309"/>
      <c r="T768" s="309"/>
      <c r="U768" s="309"/>
      <c r="V768" s="309"/>
      <c r="W768" s="309"/>
      <c r="X768" s="309"/>
      <c r="Y768" s="309"/>
      <c r="Z768" s="309"/>
      <c r="AA768" s="309"/>
      <c r="AB768" s="309"/>
      <c r="AC768" s="309"/>
      <c r="AD768" s="309"/>
      <c r="AE768" s="309"/>
      <c r="AF768" s="309"/>
      <c r="AG768" s="309"/>
    </row>
    <row r="769" spans="1:33" ht="15.75" customHeight="1" x14ac:dyDescent="0.25">
      <c r="A769" s="309"/>
      <c r="B769" s="309"/>
      <c r="C769" s="309"/>
      <c r="D769" s="309"/>
      <c r="E769" s="309"/>
      <c r="F769" s="309"/>
      <c r="G769" s="309"/>
      <c r="H769" s="309"/>
      <c r="I769" s="309"/>
      <c r="J769" s="309"/>
      <c r="K769" s="309"/>
      <c r="L769" s="309"/>
      <c r="M769" s="309"/>
      <c r="N769" s="309"/>
      <c r="O769" s="309"/>
      <c r="P769" s="309"/>
      <c r="Q769" s="309"/>
      <c r="R769" s="309"/>
      <c r="S769" s="309"/>
      <c r="T769" s="309"/>
      <c r="U769" s="309"/>
      <c r="V769" s="309"/>
      <c r="W769" s="309"/>
      <c r="X769" s="309"/>
      <c r="Y769" s="309"/>
      <c r="Z769" s="309"/>
      <c r="AA769" s="309"/>
      <c r="AB769" s="309"/>
      <c r="AC769" s="309"/>
      <c r="AD769" s="309"/>
      <c r="AE769" s="309"/>
      <c r="AF769" s="309"/>
      <c r="AG769" s="309"/>
    </row>
    <row r="770" spans="1:33" ht="15.75" customHeight="1" x14ac:dyDescent="0.25">
      <c r="A770" s="309"/>
      <c r="B770" s="309"/>
      <c r="C770" s="309"/>
      <c r="D770" s="309"/>
      <c r="E770" s="309"/>
      <c r="F770" s="309"/>
      <c r="G770" s="309"/>
      <c r="H770" s="309"/>
      <c r="I770" s="309"/>
      <c r="J770" s="309"/>
      <c r="K770" s="309"/>
      <c r="L770" s="309"/>
      <c r="M770" s="309"/>
      <c r="N770" s="309"/>
      <c r="O770" s="309"/>
      <c r="P770" s="309"/>
      <c r="Q770" s="309"/>
      <c r="R770" s="309"/>
      <c r="S770" s="309"/>
      <c r="T770" s="309"/>
      <c r="U770" s="309"/>
      <c r="V770" s="309"/>
      <c r="W770" s="309"/>
      <c r="X770" s="309"/>
      <c r="Y770" s="309"/>
      <c r="Z770" s="309"/>
      <c r="AA770" s="309"/>
      <c r="AB770" s="309"/>
      <c r="AC770" s="309"/>
      <c r="AD770" s="309"/>
      <c r="AE770" s="309"/>
      <c r="AF770" s="309"/>
      <c r="AG770" s="309"/>
    </row>
    <row r="771" spans="1:33" ht="15.75" customHeight="1" x14ac:dyDescent="0.25">
      <c r="A771" s="309"/>
      <c r="B771" s="309"/>
      <c r="C771" s="309"/>
      <c r="D771" s="309"/>
      <c r="E771" s="309"/>
      <c r="F771" s="309"/>
      <c r="G771" s="309"/>
      <c r="H771" s="309"/>
      <c r="I771" s="309"/>
      <c r="J771" s="309"/>
      <c r="K771" s="309"/>
      <c r="L771" s="309"/>
      <c r="M771" s="309"/>
      <c r="N771" s="309"/>
      <c r="O771" s="309"/>
      <c r="P771" s="309"/>
      <c r="Q771" s="309"/>
      <c r="R771" s="309"/>
      <c r="S771" s="309"/>
      <c r="T771" s="309"/>
      <c r="U771" s="309"/>
      <c r="V771" s="309"/>
      <c r="W771" s="309"/>
      <c r="X771" s="309"/>
      <c r="Y771" s="309"/>
      <c r="Z771" s="309"/>
      <c r="AA771" s="309"/>
      <c r="AB771" s="309"/>
      <c r="AC771" s="309"/>
      <c r="AD771" s="309"/>
      <c r="AE771" s="309"/>
      <c r="AF771" s="309"/>
      <c r="AG771" s="309"/>
    </row>
    <row r="772" spans="1:33" ht="15.75" customHeight="1" x14ac:dyDescent="0.25">
      <c r="A772" s="309"/>
      <c r="B772" s="309"/>
      <c r="C772" s="309"/>
      <c r="D772" s="309"/>
      <c r="E772" s="309"/>
      <c r="F772" s="309"/>
      <c r="G772" s="309"/>
      <c r="H772" s="309"/>
      <c r="I772" s="309"/>
      <c r="J772" s="309"/>
      <c r="K772" s="309"/>
      <c r="L772" s="309"/>
      <c r="M772" s="309"/>
      <c r="N772" s="309"/>
      <c r="O772" s="309"/>
      <c r="P772" s="309"/>
      <c r="Q772" s="309"/>
      <c r="R772" s="309"/>
      <c r="S772" s="309"/>
      <c r="T772" s="309"/>
      <c r="U772" s="309"/>
      <c r="V772" s="309"/>
      <c r="W772" s="309"/>
      <c r="X772" s="309"/>
      <c r="Y772" s="309"/>
      <c r="Z772" s="309"/>
      <c r="AA772" s="309"/>
      <c r="AB772" s="309"/>
      <c r="AC772" s="309"/>
      <c r="AD772" s="309"/>
      <c r="AE772" s="309"/>
      <c r="AF772" s="309"/>
      <c r="AG772" s="309"/>
    </row>
    <row r="773" spans="1:33" ht="15.75" customHeight="1" x14ac:dyDescent="0.25">
      <c r="A773" s="309"/>
      <c r="B773" s="309"/>
      <c r="C773" s="309"/>
      <c r="D773" s="309"/>
      <c r="E773" s="309"/>
      <c r="F773" s="309"/>
      <c r="G773" s="309"/>
      <c r="H773" s="309"/>
      <c r="I773" s="309"/>
      <c r="J773" s="309"/>
      <c r="K773" s="309"/>
      <c r="L773" s="309"/>
      <c r="M773" s="309"/>
      <c r="N773" s="309"/>
      <c r="O773" s="309"/>
      <c r="P773" s="309"/>
      <c r="Q773" s="309"/>
      <c r="R773" s="309"/>
      <c r="S773" s="309"/>
      <c r="T773" s="309"/>
      <c r="U773" s="309"/>
      <c r="V773" s="309"/>
      <c r="W773" s="309"/>
      <c r="X773" s="309"/>
      <c r="Y773" s="309"/>
      <c r="Z773" s="309"/>
      <c r="AA773" s="309"/>
      <c r="AB773" s="309"/>
      <c r="AC773" s="309"/>
      <c r="AD773" s="309"/>
      <c r="AE773" s="309"/>
      <c r="AF773" s="309"/>
      <c r="AG773" s="309"/>
    </row>
    <row r="774" spans="1:33" ht="15.75" customHeight="1" x14ac:dyDescent="0.25">
      <c r="A774" s="309"/>
      <c r="B774" s="309"/>
      <c r="C774" s="309"/>
      <c r="D774" s="309"/>
      <c r="E774" s="309"/>
      <c r="F774" s="309"/>
      <c r="G774" s="309"/>
      <c r="H774" s="309"/>
      <c r="I774" s="309"/>
      <c r="J774" s="309"/>
      <c r="K774" s="309"/>
      <c r="L774" s="309"/>
      <c r="M774" s="309"/>
      <c r="N774" s="309"/>
      <c r="O774" s="309"/>
      <c r="P774" s="309"/>
      <c r="Q774" s="309"/>
      <c r="R774" s="309"/>
      <c r="S774" s="309"/>
      <c r="T774" s="309"/>
      <c r="U774" s="309"/>
      <c r="V774" s="309"/>
      <c r="W774" s="309"/>
      <c r="X774" s="309"/>
      <c r="Y774" s="309"/>
      <c r="Z774" s="309"/>
      <c r="AA774" s="309"/>
      <c r="AB774" s="309"/>
      <c r="AC774" s="309"/>
      <c r="AD774" s="309"/>
      <c r="AE774" s="309"/>
      <c r="AF774" s="309"/>
      <c r="AG774" s="309"/>
    </row>
    <row r="775" spans="1:33" ht="15.75" customHeight="1" x14ac:dyDescent="0.25">
      <c r="A775" s="309"/>
      <c r="B775" s="309"/>
      <c r="C775" s="309"/>
      <c r="D775" s="309"/>
      <c r="E775" s="309"/>
      <c r="F775" s="309"/>
      <c r="G775" s="309"/>
      <c r="H775" s="309"/>
      <c r="I775" s="309"/>
      <c r="J775" s="309"/>
      <c r="K775" s="309"/>
      <c r="L775" s="309"/>
      <c r="M775" s="309"/>
      <c r="N775" s="309"/>
      <c r="O775" s="309"/>
      <c r="P775" s="309"/>
      <c r="Q775" s="309"/>
      <c r="R775" s="309"/>
      <c r="S775" s="309"/>
      <c r="T775" s="309"/>
      <c r="U775" s="309"/>
      <c r="V775" s="309"/>
      <c r="W775" s="309"/>
      <c r="X775" s="309"/>
      <c r="Y775" s="309"/>
      <c r="Z775" s="309"/>
      <c r="AA775" s="309"/>
      <c r="AB775" s="309"/>
      <c r="AC775" s="309"/>
      <c r="AD775" s="309"/>
      <c r="AE775" s="309"/>
      <c r="AF775" s="309"/>
      <c r="AG775" s="309"/>
    </row>
    <row r="776" spans="1:33" ht="15.75" customHeight="1" x14ac:dyDescent="0.25">
      <c r="A776" s="309"/>
      <c r="B776" s="309"/>
      <c r="C776" s="309"/>
      <c r="D776" s="309"/>
      <c r="E776" s="309"/>
      <c r="F776" s="309"/>
      <c r="G776" s="309"/>
      <c r="H776" s="309"/>
      <c r="I776" s="309"/>
      <c r="J776" s="309"/>
      <c r="K776" s="309"/>
      <c r="L776" s="309"/>
      <c r="M776" s="309"/>
      <c r="N776" s="309"/>
      <c r="O776" s="309"/>
      <c r="P776" s="309"/>
      <c r="Q776" s="309"/>
      <c r="R776" s="309"/>
      <c r="S776" s="309"/>
      <c r="T776" s="309"/>
      <c r="U776" s="309"/>
      <c r="V776" s="309"/>
      <c r="W776" s="309"/>
      <c r="X776" s="309"/>
      <c r="Y776" s="309"/>
      <c r="Z776" s="309"/>
      <c r="AA776" s="309"/>
      <c r="AB776" s="309"/>
      <c r="AC776" s="309"/>
      <c r="AD776" s="309"/>
      <c r="AE776" s="309"/>
      <c r="AF776" s="309"/>
      <c r="AG776" s="309"/>
    </row>
    <row r="777" spans="1:33" ht="15.75" customHeight="1" x14ac:dyDescent="0.25">
      <c r="A777" s="309"/>
      <c r="B777" s="309"/>
      <c r="C777" s="309"/>
      <c r="D777" s="309"/>
      <c r="E777" s="309"/>
      <c r="F777" s="309"/>
      <c r="G777" s="309"/>
      <c r="H777" s="309"/>
      <c r="I777" s="309"/>
      <c r="J777" s="309"/>
      <c r="K777" s="309"/>
      <c r="L777" s="309"/>
      <c r="M777" s="309"/>
      <c r="N777" s="309"/>
      <c r="O777" s="309"/>
      <c r="P777" s="309"/>
      <c r="Q777" s="309"/>
      <c r="R777" s="309"/>
      <c r="S777" s="309"/>
      <c r="T777" s="309"/>
      <c r="U777" s="309"/>
      <c r="V777" s="309"/>
      <c r="W777" s="309"/>
      <c r="X777" s="309"/>
      <c r="Y777" s="309"/>
      <c r="Z777" s="309"/>
      <c r="AA777" s="309"/>
      <c r="AB777" s="309"/>
      <c r="AC777" s="309"/>
      <c r="AD777" s="309"/>
      <c r="AE777" s="309"/>
      <c r="AF777" s="309"/>
      <c r="AG777" s="309"/>
    </row>
    <row r="778" spans="1:33" ht="15.75" customHeight="1" x14ac:dyDescent="0.25">
      <c r="A778" s="309"/>
      <c r="B778" s="309"/>
      <c r="C778" s="309"/>
      <c r="D778" s="309"/>
      <c r="E778" s="309"/>
      <c r="F778" s="309"/>
      <c r="G778" s="309"/>
      <c r="H778" s="309"/>
      <c r="I778" s="309"/>
      <c r="J778" s="309"/>
      <c r="K778" s="309"/>
      <c r="L778" s="309"/>
      <c r="M778" s="309"/>
      <c r="N778" s="309"/>
      <c r="O778" s="309"/>
      <c r="P778" s="309"/>
      <c r="Q778" s="309"/>
      <c r="R778" s="309"/>
      <c r="S778" s="309"/>
      <c r="T778" s="309"/>
      <c r="U778" s="309"/>
      <c r="V778" s="309"/>
      <c r="W778" s="309"/>
      <c r="X778" s="309"/>
      <c r="Y778" s="309"/>
      <c r="Z778" s="309"/>
      <c r="AA778" s="309"/>
      <c r="AB778" s="309"/>
      <c r="AC778" s="309"/>
      <c r="AD778" s="309"/>
      <c r="AE778" s="309"/>
      <c r="AF778" s="309"/>
      <c r="AG778" s="309"/>
    </row>
    <row r="779" spans="1:33" ht="15.75" customHeight="1" x14ac:dyDescent="0.25">
      <c r="A779" s="309"/>
      <c r="B779" s="309"/>
      <c r="C779" s="309"/>
      <c r="D779" s="309"/>
      <c r="E779" s="309"/>
      <c r="F779" s="309"/>
      <c r="G779" s="309"/>
      <c r="H779" s="309"/>
      <c r="I779" s="309"/>
      <c r="J779" s="309"/>
      <c r="K779" s="309"/>
      <c r="L779" s="309"/>
      <c r="M779" s="309"/>
      <c r="N779" s="309"/>
      <c r="O779" s="309"/>
      <c r="P779" s="309"/>
      <c r="Q779" s="309"/>
      <c r="R779" s="309"/>
      <c r="S779" s="309"/>
      <c r="T779" s="309"/>
      <c r="U779" s="309"/>
      <c r="V779" s="309"/>
      <c r="W779" s="309"/>
      <c r="X779" s="309"/>
      <c r="Y779" s="309"/>
      <c r="Z779" s="309"/>
      <c r="AA779" s="309"/>
      <c r="AB779" s="309"/>
      <c r="AC779" s="309"/>
      <c r="AD779" s="309"/>
      <c r="AE779" s="309"/>
      <c r="AF779" s="309"/>
      <c r="AG779" s="309"/>
    </row>
    <row r="780" spans="1:33" ht="15.75" customHeight="1" x14ac:dyDescent="0.25">
      <c r="A780" s="309"/>
      <c r="B780" s="309"/>
      <c r="C780" s="309"/>
      <c r="D780" s="309"/>
      <c r="E780" s="309"/>
      <c r="F780" s="309"/>
      <c r="G780" s="309"/>
      <c r="H780" s="309"/>
      <c r="I780" s="309"/>
      <c r="J780" s="309"/>
      <c r="K780" s="309"/>
      <c r="L780" s="309"/>
      <c r="M780" s="309"/>
      <c r="N780" s="309"/>
      <c r="O780" s="309"/>
      <c r="P780" s="309"/>
      <c r="Q780" s="309"/>
      <c r="R780" s="309"/>
      <c r="S780" s="309"/>
      <c r="T780" s="309"/>
      <c r="U780" s="309"/>
      <c r="V780" s="309"/>
      <c r="W780" s="309"/>
      <c r="X780" s="309"/>
      <c r="Y780" s="309"/>
      <c r="Z780" s="309"/>
      <c r="AA780" s="309"/>
      <c r="AB780" s="309"/>
      <c r="AC780" s="309"/>
      <c r="AD780" s="309"/>
      <c r="AE780" s="309"/>
      <c r="AF780" s="309"/>
      <c r="AG780" s="309"/>
    </row>
    <row r="781" spans="1:33" ht="15.75" customHeight="1" x14ac:dyDescent="0.25">
      <c r="A781" s="309"/>
      <c r="B781" s="309"/>
      <c r="C781" s="309"/>
      <c r="D781" s="309"/>
      <c r="E781" s="309"/>
      <c r="F781" s="309"/>
      <c r="G781" s="309"/>
      <c r="H781" s="309"/>
      <c r="I781" s="309"/>
      <c r="J781" s="309"/>
      <c r="K781" s="309"/>
      <c r="L781" s="309"/>
      <c r="M781" s="309"/>
      <c r="N781" s="309"/>
      <c r="O781" s="309"/>
      <c r="P781" s="309"/>
      <c r="Q781" s="309"/>
      <c r="R781" s="309"/>
      <c r="S781" s="309"/>
      <c r="T781" s="309"/>
      <c r="U781" s="309"/>
      <c r="V781" s="309"/>
      <c r="W781" s="309"/>
      <c r="X781" s="309"/>
      <c r="Y781" s="309"/>
      <c r="Z781" s="309"/>
      <c r="AA781" s="309"/>
      <c r="AB781" s="309"/>
      <c r="AC781" s="309"/>
      <c r="AD781" s="309"/>
      <c r="AE781" s="309"/>
      <c r="AF781" s="309"/>
      <c r="AG781" s="309"/>
    </row>
    <row r="782" spans="1:33" ht="15.75" customHeight="1" x14ac:dyDescent="0.25">
      <c r="A782" s="309"/>
      <c r="B782" s="309"/>
      <c r="C782" s="309"/>
      <c r="D782" s="309"/>
      <c r="E782" s="309"/>
      <c r="F782" s="309"/>
      <c r="G782" s="309"/>
      <c r="H782" s="309"/>
      <c r="I782" s="309"/>
      <c r="J782" s="309"/>
      <c r="K782" s="309"/>
      <c r="L782" s="309"/>
      <c r="M782" s="309"/>
      <c r="N782" s="309"/>
      <c r="O782" s="309"/>
      <c r="P782" s="309"/>
      <c r="Q782" s="309"/>
      <c r="R782" s="309"/>
      <c r="S782" s="309"/>
      <c r="T782" s="309"/>
      <c r="U782" s="309"/>
      <c r="V782" s="309"/>
      <c r="W782" s="309"/>
      <c r="X782" s="309"/>
      <c r="Y782" s="309"/>
      <c r="Z782" s="309"/>
      <c r="AA782" s="309"/>
      <c r="AB782" s="309"/>
      <c r="AC782" s="309"/>
      <c r="AD782" s="309"/>
      <c r="AE782" s="309"/>
      <c r="AF782" s="309"/>
      <c r="AG782" s="309"/>
    </row>
    <row r="783" spans="1:33" ht="15.75" customHeight="1" x14ac:dyDescent="0.25">
      <c r="A783" s="309"/>
      <c r="B783" s="309"/>
      <c r="C783" s="309"/>
      <c r="D783" s="309"/>
      <c r="E783" s="309"/>
      <c r="F783" s="309"/>
      <c r="G783" s="309"/>
      <c r="H783" s="309"/>
      <c r="I783" s="309"/>
      <c r="J783" s="309"/>
      <c r="K783" s="309"/>
      <c r="L783" s="309"/>
      <c r="M783" s="309"/>
      <c r="N783" s="309"/>
      <c r="O783" s="309"/>
      <c r="P783" s="309"/>
      <c r="Q783" s="309"/>
      <c r="R783" s="309"/>
      <c r="S783" s="309"/>
      <c r="T783" s="309"/>
      <c r="U783" s="309"/>
      <c r="V783" s="309"/>
      <c r="W783" s="309"/>
      <c r="X783" s="309"/>
      <c r="Y783" s="309"/>
      <c r="Z783" s="309"/>
      <c r="AA783" s="309"/>
      <c r="AB783" s="309"/>
      <c r="AC783" s="309"/>
      <c r="AD783" s="309"/>
      <c r="AE783" s="309"/>
      <c r="AF783" s="309"/>
      <c r="AG783" s="309"/>
    </row>
    <row r="784" spans="1:33" ht="15.75" customHeight="1" x14ac:dyDescent="0.25">
      <c r="A784" s="309"/>
      <c r="B784" s="309"/>
      <c r="C784" s="309"/>
      <c r="D784" s="309"/>
      <c r="E784" s="309"/>
      <c r="F784" s="309"/>
      <c r="G784" s="309"/>
      <c r="H784" s="309"/>
      <c r="I784" s="309"/>
      <c r="J784" s="309"/>
      <c r="K784" s="309"/>
      <c r="L784" s="309"/>
      <c r="M784" s="309"/>
      <c r="N784" s="309"/>
      <c r="O784" s="309"/>
      <c r="P784" s="309"/>
      <c r="Q784" s="309"/>
      <c r="R784" s="309"/>
      <c r="S784" s="309"/>
      <c r="T784" s="309"/>
      <c r="U784" s="309"/>
      <c r="V784" s="309"/>
      <c r="W784" s="309"/>
      <c r="X784" s="309"/>
      <c r="Y784" s="309"/>
      <c r="Z784" s="309"/>
      <c r="AA784" s="309"/>
      <c r="AB784" s="309"/>
      <c r="AC784" s="309"/>
      <c r="AD784" s="309"/>
      <c r="AE784" s="309"/>
      <c r="AF784" s="309"/>
      <c r="AG784" s="309"/>
    </row>
    <row r="785" spans="1:33" ht="15.75" customHeight="1" x14ac:dyDescent="0.25">
      <c r="A785" s="309"/>
      <c r="B785" s="309"/>
      <c r="C785" s="309"/>
      <c r="D785" s="309"/>
      <c r="E785" s="309"/>
      <c r="F785" s="309"/>
      <c r="G785" s="309"/>
      <c r="H785" s="309"/>
      <c r="I785" s="309"/>
      <c r="J785" s="309"/>
      <c r="K785" s="309"/>
      <c r="L785" s="309"/>
      <c r="M785" s="309"/>
      <c r="N785" s="309"/>
      <c r="O785" s="309"/>
      <c r="P785" s="309"/>
      <c r="Q785" s="309"/>
      <c r="R785" s="309"/>
      <c r="S785" s="309"/>
      <c r="T785" s="309"/>
      <c r="U785" s="309"/>
      <c r="V785" s="309"/>
      <c r="W785" s="309"/>
      <c r="X785" s="309"/>
      <c r="Y785" s="309"/>
      <c r="Z785" s="309"/>
      <c r="AA785" s="309"/>
      <c r="AB785" s="309"/>
      <c r="AC785" s="309"/>
      <c r="AD785" s="309"/>
      <c r="AE785" s="309"/>
      <c r="AF785" s="309"/>
      <c r="AG785" s="309"/>
    </row>
    <row r="786" spans="1:33" ht="15.75" customHeight="1" x14ac:dyDescent="0.25">
      <c r="A786" s="309"/>
      <c r="B786" s="309"/>
      <c r="C786" s="309"/>
      <c r="D786" s="309"/>
      <c r="E786" s="309"/>
      <c r="F786" s="309"/>
      <c r="G786" s="309"/>
      <c r="H786" s="309"/>
      <c r="I786" s="309"/>
      <c r="J786" s="309"/>
      <c r="K786" s="309"/>
      <c r="L786" s="309"/>
      <c r="M786" s="309"/>
      <c r="N786" s="309"/>
      <c r="O786" s="309"/>
      <c r="P786" s="309"/>
      <c r="Q786" s="309"/>
      <c r="R786" s="309"/>
      <c r="S786" s="309"/>
      <c r="T786" s="309"/>
      <c r="U786" s="309"/>
      <c r="V786" s="309"/>
      <c r="W786" s="309"/>
      <c r="X786" s="309"/>
      <c r="Y786" s="309"/>
      <c r="Z786" s="309"/>
      <c r="AA786" s="309"/>
      <c r="AB786" s="309"/>
      <c r="AC786" s="309"/>
      <c r="AD786" s="309"/>
      <c r="AE786" s="309"/>
      <c r="AF786" s="309"/>
      <c r="AG786" s="309"/>
    </row>
    <row r="787" spans="1:33" ht="15.75" customHeight="1" x14ac:dyDescent="0.25">
      <c r="A787" s="309"/>
      <c r="B787" s="309"/>
      <c r="C787" s="309"/>
      <c r="D787" s="309"/>
      <c r="E787" s="309"/>
      <c r="F787" s="309"/>
      <c r="G787" s="309"/>
      <c r="H787" s="309"/>
      <c r="I787" s="309"/>
      <c r="J787" s="309"/>
      <c r="K787" s="309"/>
      <c r="L787" s="309"/>
      <c r="M787" s="309"/>
      <c r="N787" s="309"/>
      <c r="O787" s="309"/>
      <c r="P787" s="309"/>
      <c r="Q787" s="309"/>
      <c r="R787" s="309"/>
      <c r="S787" s="309"/>
      <c r="T787" s="309"/>
      <c r="U787" s="309"/>
      <c r="V787" s="309"/>
      <c r="W787" s="309"/>
      <c r="X787" s="309"/>
      <c r="Y787" s="309"/>
      <c r="Z787" s="309"/>
      <c r="AA787" s="309"/>
      <c r="AB787" s="309"/>
      <c r="AC787" s="309"/>
      <c r="AD787" s="309"/>
      <c r="AE787" s="309"/>
      <c r="AF787" s="309"/>
      <c r="AG787" s="309"/>
    </row>
    <row r="788" spans="1:33" ht="15.75" customHeight="1" x14ac:dyDescent="0.25">
      <c r="A788" s="309"/>
      <c r="B788" s="309"/>
      <c r="C788" s="309"/>
      <c r="D788" s="309"/>
      <c r="E788" s="309"/>
      <c r="F788" s="309"/>
      <c r="G788" s="309"/>
      <c r="H788" s="309"/>
      <c r="I788" s="309"/>
      <c r="J788" s="309"/>
      <c r="K788" s="309"/>
      <c r="L788" s="309"/>
      <c r="M788" s="309"/>
      <c r="N788" s="309"/>
      <c r="O788" s="309"/>
      <c r="P788" s="309"/>
      <c r="Q788" s="309"/>
      <c r="R788" s="309"/>
      <c r="S788" s="309"/>
      <c r="T788" s="309"/>
      <c r="U788" s="309"/>
      <c r="V788" s="309"/>
      <c r="W788" s="309"/>
      <c r="X788" s="309"/>
      <c r="Y788" s="309"/>
      <c r="Z788" s="309"/>
      <c r="AA788" s="309"/>
      <c r="AB788" s="309"/>
      <c r="AC788" s="309"/>
      <c r="AD788" s="309"/>
      <c r="AE788" s="309"/>
      <c r="AF788" s="309"/>
      <c r="AG788" s="309"/>
    </row>
    <row r="789" spans="1:33" ht="15.75" customHeight="1" x14ac:dyDescent="0.25">
      <c r="A789" s="309"/>
      <c r="B789" s="309"/>
      <c r="C789" s="309"/>
      <c r="D789" s="309"/>
      <c r="E789" s="309"/>
      <c r="F789" s="309"/>
      <c r="G789" s="309"/>
      <c r="H789" s="309"/>
      <c r="I789" s="309"/>
      <c r="J789" s="309"/>
      <c r="K789" s="309"/>
      <c r="L789" s="309"/>
      <c r="M789" s="309"/>
      <c r="N789" s="309"/>
      <c r="O789" s="309"/>
      <c r="P789" s="309"/>
      <c r="Q789" s="309"/>
      <c r="R789" s="309"/>
      <c r="S789" s="309"/>
      <c r="T789" s="309"/>
      <c r="U789" s="309"/>
      <c r="V789" s="309"/>
      <c r="W789" s="309"/>
      <c r="X789" s="309"/>
      <c r="Y789" s="309"/>
      <c r="Z789" s="309"/>
      <c r="AA789" s="309"/>
      <c r="AB789" s="309"/>
      <c r="AC789" s="309"/>
      <c r="AD789" s="309"/>
      <c r="AE789" s="309"/>
      <c r="AF789" s="309"/>
      <c r="AG789" s="309"/>
    </row>
    <row r="790" spans="1:33" ht="15.75" customHeight="1" x14ac:dyDescent="0.25">
      <c r="A790" s="309"/>
      <c r="B790" s="309"/>
      <c r="C790" s="309"/>
      <c r="D790" s="309"/>
      <c r="E790" s="309"/>
      <c r="F790" s="309"/>
      <c r="G790" s="309"/>
      <c r="H790" s="309"/>
      <c r="I790" s="309"/>
      <c r="J790" s="309"/>
      <c r="K790" s="309"/>
      <c r="L790" s="309"/>
      <c r="M790" s="309"/>
      <c r="N790" s="309"/>
      <c r="O790" s="309"/>
      <c r="P790" s="309"/>
      <c r="Q790" s="309"/>
      <c r="R790" s="309"/>
      <c r="S790" s="309"/>
      <c r="T790" s="309"/>
      <c r="U790" s="309"/>
      <c r="V790" s="309"/>
      <c r="W790" s="309"/>
      <c r="X790" s="309"/>
      <c r="Y790" s="309"/>
      <c r="Z790" s="309"/>
      <c r="AA790" s="309"/>
      <c r="AB790" s="309"/>
      <c r="AC790" s="309"/>
      <c r="AD790" s="309"/>
      <c r="AE790" s="309"/>
      <c r="AF790" s="309"/>
      <c r="AG790" s="309"/>
    </row>
    <row r="791" spans="1:33" ht="15.75" customHeight="1" x14ac:dyDescent="0.25">
      <c r="A791" s="309"/>
      <c r="B791" s="309"/>
      <c r="C791" s="309"/>
      <c r="D791" s="309"/>
      <c r="E791" s="309"/>
      <c r="F791" s="309"/>
      <c r="G791" s="309"/>
      <c r="H791" s="309"/>
      <c r="I791" s="309"/>
      <c r="J791" s="309"/>
      <c r="K791" s="309"/>
      <c r="L791" s="309"/>
      <c r="M791" s="309"/>
      <c r="N791" s="309"/>
      <c r="O791" s="309"/>
      <c r="P791" s="309"/>
      <c r="Q791" s="309"/>
      <c r="R791" s="309"/>
      <c r="S791" s="309"/>
      <c r="T791" s="309"/>
      <c r="U791" s="309"/>
      <c r="V791" s="309"/>
      <c r="W791" s="309"/>
      <c r="X791" s="309"/>
      <c r="Y791" s="309"/>
      <c r="Z791" s="309"/>
      <c r="AA791" s="309"/>
      <c r="AB791" s="309"/>
      <c r="AC791" s="309"/>
      <c r="AD791" s="309"/>
      <c r="AE791" s="309"/>
      <c r="AF791" s="309"/>
      <c r="AG791" s="309"/>
    </row>
    <row r="792" spans="1:33" ht="15.75" customHeight="1" x14ac:dyDescent="0.25">
      <c r="A792" s="309"/>
      <c r="B792" s="309"/>
      <c r="C792" s="309"/>
      <c r="D792" s="309"/>
      <c r="E792" s="309"/>
      <c r="F792" s="309"/>
      <c r="G792" s="309"/>
      <c r="H792" s="309"/>
      <c r="I792" s="309"/>
      <c r="J792" s="309"/>
      <c r="K792" s="309"/>
      <c r="L792" s="309"/>
      <c r="M792" s="309"/>
      <c r="N792" s="309"/>
      <c r="O792" s="309"/>
      <c r="P792" s="309"/>
      <c r="Q792" s="309"/>
      <c r="R792" s="309"/>
      <c r="S792" s="309"/>
      <c r="T792" s="309"/>
      <c r="U792" s="309"/>
      <c r="V792" s="309"/>
      <c r="W792" s="309"/>
      <c r="X792" s="309"/>
      <c r="Y792" s="309"/>
      <c r="Z792" s="309"/>
      <c r="AA792" s="309"/>
      <c r="AB792" s="309"/>
      <c r="AC792" s="309"/>
      <c r="AD792" s="309"/>
      <c r="AE792" s="309"/>
      <c r="AF792" s="309"/>
      <c r="AG792" s="309"/>
    </row>
    <row r="793" spans="1:33" ht="15.75" customHeight="1" x14ac:dyDescent="0.25">
      <c r="A793" s="309"/>
      <c r="B793" s="309"/>
      <c r="C793" s="309"/>
      <c r="D793" s="309"/>
      <c r="E793" s="309"/>
      <c r="F793" s="309"/>
      <c r="G793" s="309"/>
      <c r="H793" s="309"/>
      <c r="I793" s="309"/>
      <c r="J793" s="309"/>
      <c r="K793" s="309"/>
      <c r="L793" s="309"/>
      <c r="M793" s="309"/>
      <c r="N793" s="309"/>
      <c r="O793" s="309"/>
      <c r="P793" s="309"/>
      <c r="Q793" s="309"/>
      <c r="R793" s="309"/>
      <c r="S793" s="309"/>
      <c r="T793" s="309"/>
      <c r="U793" s="309"/>
      <c r="V793" s="309"/>
      <c r="W793" s="309"/>
      <c r="X793" s="309"/>
      <c r="Y793" s="309"/>
      <c r="Z793" s="309"/>
      <c r="AA793" s="309"/>
      <c r="AB793" s="309"/>
      <c r="AC793" s="309"/>
      <c r="AD793" s="309"/>
      <c r="AE793" s="309"/>
      <c r="AF793" s="309"/>
      <c r="AG793" s="309"/>
    </row>
    <row r="794" spans="1:33" ht="15.75" customHeight="1" x14ac:dyDescent="0.25">
      <c r="A794" s="309"/>
      <c r="B794" s="309"/>
      <c r="C794" s="309"/>
      <c r="D794" s="309"/>
      <c r="E794" s="309"/>
      <c r="F794" s="309"/>
      <c r="G794" s="309"/>
      <c r="H794" s="309"/>
      <c r="I794" s="309"/>
      <c r="J794" s="309"/>
      <c r="K794" s="309"/>
      <c r="L794" s="309"/>
      <c r="M794" s="309"/>
      <c r="N794" s="309"/>
      <c r="O794" s="309"/>
      <c r="P794" s="309"/>
      <c r="Q794" s="309"/>
      <c r="R794" s="309"/>
      <c r="S794" s="309"/>
      <c r="T794" s="309"/>
      <c r="U794" s="309"/>
      <c r="V794" s="309"/>
      <c r="W794" s="309"/>
      <c r="X794" s="309"/>
      <c r="Y794" s="309"/>
      <c r="Z794" s="309"/>
      <c r="AA794" s="309"/>
      <c r="AB794" s="309"/>
      <c r="AC794" s="309"/>
      <c r="AD794" s="309"/>
      <c r="AE794" s="309"/>
      <c r="AF794" s="309"/>
      <c r="AG794" s="309"/>
    </row>
    <row r="795" spans="1:33" ht="15.75" customHeight="1" x14ac:dyDescent="0.25">
      <c r="A795" s="309"/>
      <c r="B795" s="309"/>
      <c r="C795" s="309"/>
      <c r="D795" s="309"/>
      <c r="E795" s="309"/>
      <c r="F795" s="309"/>
      <c r="G795" s="309"/>
      <c r="H795" s="309"/>
      <c r="I795" s="309"/>
      <c r="J795" s="309"/>
      <c r="K795" s="309"/>
      <c r="L795" s="309"/>
      <c r="M795" s="309"/>
      <c r="N795" s="309"/>
      <c r="O795" s="309"/>
      <c r="P795" s="309"/>
      <c r="Q795" s="309"/>
      <c r="R795" s="309"/>
      <c r="S795" s="309"/>
      <c r="T795" s="309"/>
      <c r="U795" s="309"/>
      <c r="V795" s="309"/>
      <c r="W795" s="309"/>
      <c r="X795" s="309"/>
      <c r="Y795" s="309"/>
      <c r="Z795" s="309"/>
      <c r="AA795" s="309"/>
      <c r="AB795" s="309"/>
      <c r="AC795" s="309"/>
      <c r="AD795" s="309"/>
      <c r="AE795" s="309"/>
      <c r="AF795" s="309"/>
      <c r="AG795" s="309"/>
    </row>
    <row r="796" spans="1:33" ht="15.75" customHeight="1" x14ac:dyDescent="0.25">
      <c r="A796" s="309"/>
      <c r="B796" s="309"/>
      <c r="C796" s="309"/>
      <c r="D796" s="309"/>
      <c r="E796" s="309"/>
      <c r="F796" s="309"/>
      <c r="G796" s="309"/>
      <c r="H796" s="309"/>
      <c r="I796" s="309"/>
      <c r="J796" s="309"/>
      <c r="K796" s="309"/>
      <c r="L796" s="309"/>
      <c r="M796" s="309"/>
      <c r="N796" s="309"/>
      <c r="O796" s="309"/>
      <c r="P796" s="309"/>
      <c r="Q796" s="309"/>
      <c r="R796" s="309"/>
      <c r="S796" s="309"/>
      <c r="T796" s="309"/>
      <c r="U796" s="309"/>
      <c r="V796" s="309"/>
      <c r="W796" s="309"/>
      <c r="X796" s="309"/>
      <c r="Y796" s="309"/>
      <c r="Z796" s="309"/>
      <c r="AA796" s="309"/>
      <c r="AB796" s="309"/>
      <c r="AC796" s="309"/>
      <c r="AD796" s="309"/>
      <c r="AE796" s="309"/>
      <c r="AF796" s="309"/>
      <c r="AG796" s="309"/>
    </row>
    <row r="797" spans="1:33" ht="15.75" customHeight="1" x14ac:dyDescent="0.25">
      <c r="A797" s="309"/>
      <c r="B797" s="309"/>
      <c r="C797" s="309"/>
      <c r="D797" s="309"/>
      <c r="E797" s="309"/>
      <c r="F797" s="309"/>
      <c r="G797" s="309"/>
      <c r="H797" s="309"/>
      <c r="I797" s="309"/>
      <c r="J797" s="309"/>
      <c r="K797" s="309"/>
      <c r="L797" s="309"/>
      <c r="M797" s="309"/>
      <c r="N797" s="309"/>
      <c r="O797" s="309"/>
      <c r="P797" s="309"/>
      <c r="Q797" s="309"/>
      <c r="R797" s="309"/>
      <c r="S797" s="309"/>
      <c r="T797" s="309"/>
      <c r="U797" s="309"/>
      <c r="V797" s="309"/>
      <c r="W797" s="309"/>
      <c r="X797" s="309"/>
      <c r="Y797" s="309"/>
      <c r="Z797" s="309"/>
      <c r="AA797" s="309"/>
      <c r="AB797" s="309"/>
      <c r="AC797" s="309"/>
      <c r="AD797" s="309"/>
      <c r="AE797" s="309"/>
      <c r="AF797" s="309"/>
      <c r="AG797" s="309"/>
    </row>
    <row r="798" spans="1:33" ht="15.75" customHeight="1" x14ac:dyDescent="0.25">
      <c r="A798" s="309"/>
      <c r="B798" s="309"/>
      <c r="C798" s="309"/>
      <c r="D798" s="309"/>
      <c r="E798" s="309"/>
      <c r="F798" s="309"/>
      <c r="G798" s="309"/>
      <c r="H798" s="309"/>
      <c r="I798" s="309"/>
      <c r="J798" s="309"/>
      <c r="K798" s="309"/>
      <c r="L798" s="309"/>
      <c r="M798" s="309"/>
      <c r="N798" s="309"/>
      <c r="O798" s="309"/>
      <c r="P798" s="309"/>
      <c r="Q798" s="309"/>
      <c r="R798" s="309"/>
      <c r="S798" s="309"/>
      <c r="T798" s="309"/>
      <c r="U798" s="309"/>
      <c r="V798" s="309"/>
      <c r="W798" s="309"/>
      <c r="X798" s="309"/>
      <c r="Y798" s="309"/>
      <c r="Z798" s="309"/>
      <c r="AA798" s="309"/>
      <c r="AB798" s="309"/>
      <c r="AC798" s="309"/>
      <c r="AD798" s="309"/>
      <c r="AE798" s="309"/>
      <c r="AF798" s="309"/>
      <c r="AG798" s="309"/>
    </row>
    <row r="799" spans="1:33" ht="15.75" customHeight="1" x14ac:dyDescent="0.25">
      <c r="A799" s="309"/>
      <c r="B799" s="309"/>
      <c r="C799" s="309"/>
      <c r="D799" s="309"/>
      <c r="E799" s="309"/>
      <c r="F799" s="309"/>
      <c r="G799" s="309"/>
      <c r="H799" s="309"/>
      <c r="I799" s="309"/>
      <c r="J799" s="309"/>
      <c r="K799" s="309"/>
      <c r="L799" s="309"/>
      <c r="M799" s="309"/>
      <c r="N799" s="309"/>
      <c r="O799" s="309"/>
      <c r="P799" s="309"/>
      <c r="Q799" s="309"/>
      <c r="R799" s="309"/>
      <c r="S799" s="309"/>
      <c r="T799" s="309"/>
      <c r="U799" s="309"/>
      <c r="V799" s="309"/>
      <c r="W799" s="309"/>
      <c r="X799" s="309"/>
      <c r="Y799" s="309"/>
      <c r="Z799" s="309"/>
      <c r="AA799" s="309"/>
      <c r="AB799" s="309"/>
      <c r="AC799" s="309"/>
      <c r="AD799" s="309"/>
      <c r="AE799" s="309"/>
      <c r="AF799" s="309"/>
      <c r="AG799" s="309"/>
    </row>
    <row r="800" spans="1:33" ht="15.75" customHeight="1" x14ac:dyDescent="0.25">
      <c r="A800" s="309"/>
      <c r="B800" s="309"/>
      <c r="C800" s="309"/>
      <c r="D800" s="309"/>
      <c r="E800" s="309"/>
      <c r="F800" s="309"/>
      <c r="G800" s="309"/>
      <c r="H800" s="309"/>
      <c r="I800" s="309"/>
      <c r="J800" s="309"/>
      <c r="K800" s="309"/>
      <c r="L800" s="309"/>
      <c r="M800" s="309"/>
      <c r="N800" s="309"/>
      <c r="O800" s="309"/>
      <c r="P800" s="309"/>
      <c r="Q800" s="309"/>
      <c r="R800" s="309"/>
      <c r="S800" s="309"/>
      <c r="T800" s="309"/>
      <c r="U800" s="309"/>
      <c r="V800" s="309"/>
      <c r="W800" s="309"/>
      <c r="X800" s="309"/>
      <c r="Y800" s="309"/>
      <c r="Z800" s="309"/>
      <c r="AA800" s="309"/>
      <c r="AB800" s="309"/>
      <c r="AC800" s="309"/>
      <c r="AD800" s="309"/>
      <c r="AE800" s="309"/>
      <c r="AF800" s="309"/>
      <c r="AG800" s="309"/>
    </row>
    <row r="801" spans="1:33" ht="15.75" customHeight="1" x14ac:dyDescent="0.25">
      <c r="A801" s="309"/>
      <c r="B801" s="309"/>
      <c r="C801" s="309"/>
      <c r="D801" s="309"/>
      <c r="E801" s="309"/>
      <c r="F801" s="309"/>
      <c r="G801" s="309"/>
      <c r="H801" s="309"/>
      <c r="I801" s="309"/>
      <c r="J801" s="309"/>
      <c r="K801" s="309"/>
      <c r="L801" s="309"/>
      <c r="M801" s="309"/>
      <c r="N801" s="309"/>
      <c r="O801" s="309"/>
      <c r="P801" s="309"/>
      <c r="Q801" s="309"/>
      <c r="R801" s="309"/>
      <c r="S801" s="309"/>
      <c r="T801" s="309"/>
      <c r="U801" s="309"/>
      <c r="V801" s="309"/>
      <c r="W801" s="309"/>
      <c r="X801" s="309"/>
      <c r="Y801" s="309"/>
      <c r="Z801" s="309"/>
      <c r="AA801" s="309"/>
      <c r="AB801" s="309"/>
      <c r="AC801" s="309"/>
      <c r="AD801" s="309"/>
      <c r="AE801" s="309"/>
      <c r="AF801" s="309"/>
      <c r="AG801" s="309"/>
    </row>
    <row r="802" spans="1:33" ht="15.75" customHeight="1" x14ac:dyDescent="0.25">
      <c r="A802" s="309"/>
      <c r="B802" s="309"/>
      <c r="C802" s="309"/>
      <c r="D802" s="309"/>
      <c r="E802" s="309"/>
      <c r="F802" s="309"/>
      <c r="G802" s="309"/>
      <c r="H802" s="309"/>
      <c r="I802" s="309"/>
      <c r="J802" s="309"/>
      <c r="K802" s="309"/>
      <c r="L802" s="309"/>
      <c r="M802" s="309"/>
      <c r="N802" s="309"/>
      <c r="O802" s="309"/>
      <c r="P802" s="309"/>
      <c r="Q802" s="309"/>
      <c r="R802" s="309"/>
      <c r="S802" s="309"/>
      <c r="T802" s="309"/>
      <c r="U802" s="309"/>
      <c r="V802" s="309"/>
      <c r="W802" s="309"/>
      <c r="X802" s="309"/>
      <c r="Y802" s="309"/>
      <c r="Z802" s="309"/>
      <c r="AA802" s="309"/>
      <c r="AB802" s="309"/>
      <c r="AC802" s="309"/>
      <c r="AD802" s="309"/>
      <c r="AE802" s="309"/>
      <c r="AF802" s="309"/>
      <c r="AG802" s="309"/>
    </row>
    <row r="803" spans="1:33" ht="15.75" customHeight="1" x14ac:dyDescent="0.25">
      <c r="A803" s="309"/>
      <c r="B803" s="309"/>
      <c r="C803" s="309"/>
      <c r="D803" s="309"/>
      <c r="E803" s="309"/>
      <c r="F803" s="309"/>
      <c r="G803" s="309"/>
      <c r="H803" s="309"/>
      <c r="I803" s="309"/>
      <c r="J803" s="309"/>
      <c r="K803" s="309"/>
      <c r="L803" s="309"/>
      <c r="M803" s="309"/>
      <c r="N803" s="309"/>
      <c r="O803" s="309"/>
      <c r="P803" s="309"/>
      <c r="Q803" s="309"/>
      <c r="R803" s="309"/>
      <c r="S803" s="309"/>
      <c r="T803" s="309"/>
      <c r="U803" s="309"/>
      <c r="V803" s="309"/>
      <c r="W803" s="309"/>
      <c r="X803" s="309"/>
      <c r="Y803" s="309"/>
      <c r="Z803" s="309"/>
      <c r="AA803" s="309"/>
      <c r="AB803" s="309"/>
      <c r="AC803" s="309"/>
      <c r="AD803" s="309"/>
      <c r="AE803" s="309"/>
      <c r="AF803" s="309"/>
      <c r="AG803" s="309"/>
    </row>
    <row r="804" spans="1:33" ht="15.75" customHeight="1" x14ac:dyDescent="0.25">
      <c r="A804" s="309"/>
      <c r="B804" s="309"/>
      <c r="C804" s="309"/>
      <c r="D804" s="309"/>
      <c r="E804" s="309"/>
      <c r="F804" s="309"/>
      <c r="G804" s="309"/>
      <c r="H804" s="309"/>
      <c r="I804" s="309"/>
      <c r="J804" s="309"/>
      <c r="K804" s="309"/>
      <c r="L804" s="309"/>
      <c r="M804" s="309"/>
      <c r="N804" s="309"/>
      <c r="O804" s="309"/>
      <c r="P804" s="309"/>
      <c r="Q804" s="309"/>
      <c r="R804" s="309"/>
      <c r="S804" s="309"/>
      <c r="T804" s="309"/>
      <c r="U804" s="309"/>
      <c r="V804" s="309"/>
      <c r="W804" s="309"/>
      <c r="X804" s="309"/>
      <c r="Y804" s="309"/>
      <c r="Z804" s="309"/>
      <c r="AA804" s="309"/>
      <c r="AB804" s="309"/>
      <c r="AC804" s="309"/>
      <c r="AD804" s="309"/>
      <c r="AE804" s="309"/>
      <c r="AF804" s="309"/>
      <c r="AG804" s="309"/>
    </row>
    <row r="805" spans="1:33" ht="15.75" customHeight="1" x14ac:dyDescent="0.25">
      <c r="A805" s="309"/>
      <c r="B805" s="309"/>
      <c r="C805" s="309"/>
      <c r="D805" s="309"/>
      <c r="E805" s="309"/>
      <c r="F805" s="309"/>
      <c r="G805" s="309"/>
      <c r="H805" s="309"/>
      <c r="I805" s="309"/>
      <c r="J805" s="309"/>
      <c r="K805" s="309"/>
      <c r="L805" s="309"/>
      <c r="M805" s="309"/>
      <c r="N805" s="309"/>
      <c r="O805" s="309"/>
      <c r="P805" s="309"/>
      <c r="Q805" s="309"/>
      <c r="R805" s="309"/>
      <c r="S805" s="309"/>
      <c r="T805" s="309"/>
      <c r="U805" s="309"/>
      <c r="V805" s="309"/>
      <c r="W805" s="309"/>
      <c r="X805" s="309"/>
      <c r="Y805" s="309"/>
      <c r="Z805" s="309"/>
      <c r="AA805" s="309"/>
      <c r="AB805" s="309"/>
      <c r="AC805" s="309"/>
      <c r="AD805" s="309"/>
      <c r="AE805" s="309"/>
      <c r="AF805" s="309"/>
      <c r="AG805" s="309"/>
    </row>
    <row r="806" spans="1:33" ht="15.75" customHeight="1" x14ac:dyDescent="0.25">
      <c r="A806" s="309"/>
      <c r="B806" s="309"/>
      <c r="C806" s="309"/>
      <c r="D806" s="309"/>
      <c r="E806" s="309"/>
      <c r="F806" s="309"/>
      <c r="G806" s="309"/>
      <c r="H806" s="309"/>
      <c r="I806" s="309"/>
      <c r="J806" s="309"/>
      <c r="K806" s="309"/>
      <c r="L806" s="309"/>
      <c r="M806" s="309"/>
      <c r="N806" s="309"/>
      <c r="O806" s="309"/>
      <c r="P806" s="309"/>
      <c r="Q806" s="309"/>
      <c r="R806" s="309"/>
      <c r="S806" s="309"/>
      <c r="T806" s="309"/>
      <c r="U806" s="309"/>
      <c r="V806" s="309"/>
      <c r="W806" s="309"/>
      <c r="X806" s="309"/>
      <c r="Y806" s="309"/>
      <c r="Z806" s="309"/>
      <c r="AA806" s="309"/>
      <c r="AB806" s="309"/>
      <c r="AC806" s="309"/>
      <c r="AD806" s="309"/>
      <c r="AE806" s="309"/>
      <c r="AF806" s="309"/>
      <c r="AG806" s="309"/>
    </row>
    <row r="807" spans="1:33" ht="15.75" customHeight="1" x14ac:dyDescent="0.25">
      <c r="A807" s="309"/>
      <c r="B807" s="309"/>
      <c r="C807" s="309"/>
      <c r="D807" s="309"/>
      <c r="E807" s="309"/>
      <c r="F807" s="309"/>
      <c r="G807" s="309"/>
      <c r="H807" s="309"/>
      <c r="I807" s="309"/>
      <c r="J807" s="309"/>
      <c r="K807" s="309"/>
      <c r="L807" s="309"/>
      <c r="M807" s="309"/>
      <c r="N807" s="309"/>
      <c r="O807" s="309"/>
      <c r="P807" s="309"/>
      <c r="Q807" s="309"/>
      <c r="R807" s="309"/>
      <c r="S807" s="309"/>
      <c r="T807" s="309"/>
      <c r="U807" s="309"/>
      <c r="V807" s="309"/>
      <c r="W807" s="309"/>
      <c r="X807" s="309"/>
      <c r="Y807" s="309"/>
      <c r="Z807" s="309"/>
      <c r="AA807" s="309"/>
      <c r="AB807" s="309"/>
      <c r="AC807" s="309"/>
      <c r="AD807" s="309"/>
      <c r="AE807" s="309"/>
      <c r="AF807" s="309"/>
      <c r="AG807" s="309"/>
    </row>
    <row r="808" spans="1:33" ht="15.75" customHeight="1" x14ac:dyDescent="0.25">
      <c r="A808" s="309"/>
      <c r="B808" s="309"/>
      <c r="C808" s="309"/>
      <c r="D808" s="309"/>
      <c r="E808" s="309"/>
      <c r="F808" s="309"/>
      <c r="G808" s="309"/>
      <c r="H808" s="309"/>
      <c r="I808" s="309"/>
      <c r="J808" s="309"/>
      <c r="K808" s="309"/>
      <c r="L808" s="309"/>
      <c r="M808" s="309"/>
      <c r="N808" s="309"/>
      <c r="O808" s="309"/>
      <c r="P808" s="309"/>
      <c r="Q808" s="309"/>
      <c r="R808" s="309"/>
      <c r="S808" s="309"/>
      <c r="T808" s="309"/>
      <c r="U808" s="309"/>
      <c r="V808" s="309"/>
      <c r="W808" s="309"/>
      <c r="X808" s="309"/>
      <c r="Y808" s="309"/>
      <c r="Z808" s="309"/>
      <c r="AA808" s="309"/>
      <c r="AB808" s="309"/>
      <c r="AC808" s="309"/>
      <c r="AD808" s="309"/>
      <c r="AE808" s="309"/>
      <c r="AF808" s="309"/>
      <c r="AG808" s="309"/>
    </row>
    <row r="809" spans="1:33" ht="15.75" customHeight="1" x14ac:dyDescent="0.25">
      <c r="A809" s="309"/>
      <c r="B809" s="309"/>
      <c r="C809" s="309"/>
      <c r="D809" s="309"/>
      <c r="E809" s="309"/>
      <c r="F809" s="309"/>
      <c r="G809" s="309"/>
      <c r="H809" s="309"/>
      <c r="I809" s="309"/>
      <c r="J809" s="309"/>
      <c r="K809" s="309"/>
      <c r="L809" s="309"/>
      <c r="M809" s="309"/>
      <c r="N809" s="309"/>
      <c r="O809" s="309"/>
      <c r="P809" s="309"/>
      <c r="Q809" s="309"/>
      <c r="R809" s="309"/>
      <c r="S809" s="309"/>
      <c r="T809" s="309"/>
      <c r="U809" s="309"/>
      <c r="V809" s="309"/>
      <c r="W809" s="309"/>
      <c r="X809" s="309"/>
      <c r="Y809" s="309"/>
      <c r="Z809" s="309"/>
      <c r="AA809" s="309"/>
      <c r="AB809" s="309"/>
      <c r="AC809" s="309"/>
      <c r="AD809" s="309"/>
      <c r="AE809" s="309"/>
      <c r="AF809" s="309"/>
      <c r="AG809" s="309"/>
    </row>
    <row r="810" spans="1:33" ht="15.75" customHeight="1" x14ac:dyDescent="0.25">
      <c r="A810" s="309"/>
      <c r="B810" s="309"/>
      <c r="C810" s="309"/>
      <c r="D810" s="309"/>
      <c r="E810" s="309"/>
      <c r="F810" s="309"/>
      <c r="G810" s="309"/>
      <c r="H810" s="309"/>
      <c r="I810" s="309"/>
      <c r="J810" s="309"/>
      <c r="K810" s="309"/>
      <c r="L810" s="309"/>
      <c r="M810" s="309"/>
      <c r="N810" s="309"/>
      <c r="O810" s="309"/>
      <c r="P810" s="309"/>
      <c r="Q810" s="309"/>
      <c r="R810" s="309"/>
      <c r="S810" s="309"/>
      <c r="T810" s="309"/>
      <c r="U810" s="309"/>
      <c r="V810" s="309"/>
      <c r="W810" s="309"/>
      <c r="X810" s="309"/>
      <c r="Y810" s="309"/>
      <c r="Z810" s="309"/>
      <c r="AA810" s="309"/>
      <c r="AB810" s="309"/>
      <c r="AC810" s="309"/>
      <c r="AD810" s="309"/>
      <c r="AE810" s="309"/>
      <c r="AF810" s="309"/>
      <c r="AG810" s="309"/>
    </row>
    <row r="811" spans="1:33" ht="15.75" customHeight="1" x14ac:dyDescent="0.25">
      <c r="A811" s="309"/>
      <c r="B811" s="309"/>
      <c r="C811" s="309"/>
      <c r="D811" s="309"/>
      <c r="E811" s="309"/>
      <c r="F811" s="309"/>
      <c r="G811" s="309"/>
      <c r="H811" s="309"/>
      <c r="I811" s="309"/>
      <c r="J811" s="309"/>
      <c r="K811" s="309"/>
      <c r="L811" s="309"/>
      <c r="M811" s="309"/>
      <c r="N811" s="309"/>
      <c r="O811" s="309"/>
      <c r="P811" s="309"/>
      <c r="Q811" s="309"/>
      <c r="R811" s="309"/>
      <c r="S811" s="309"/>
      <c r="T811" s="309"/>
      <c r="U811" s="309"/>
      <c r="V811" s="309"/>
      <c r="W811" s="309"/>
      <c r="X811" s="309"/>
      <c r="Y811" s="309"/>
      <c r="Z811" s="309"/>
      <c r="AA811" s="309"/>
      <c r="AB811" s="309"/>
      <c r="AC811" s="309"/>
      <c r="AD811" s="309"/>
      <c r="AE811" s="309"/>
      <c r="AF811" s="309"/>
      <c r="AG811" s="309"/>
    </row>
    <row r="812" spans="1:33" ht="15.75" customHeight="1" x14ac:dyDescent="0.25">
      <c r="A812" s="309"/>
      <c r="B812" s="309"/>
      <c r="C812" s="309"/>
      <c r="D812" s="309"/>
      <c r="E812" s="309"/>
      <c r="F812" s="309"/>
      <c r="G812" s="309"/>
      <c r="H812" s="309"/>
      <c r="I812" s="309"/>
      <c r="J812" s="309"/>
      <c r="K812" s="309"/>
      <c r="L812" s="309"/>
      <c r="M812" s="309"/>
      <c r="N812" s="309"/>
      <c r="O812" s="309"/>
      <c r="P812" s="309"/>
      <c r="Q812" s="309"/>
      <c r="R812" s="309"/>
      <c r="S812" s="309"/>
      <c r="T812" s="309"/>
      <c r="U812" s="309"/>
      <c r="V812" s="309"/>
      <c r="W812" s="309"/>
      <c r="X812" s="309"/>
      <c r="Y812" s="309"/>
      <c r="Z812" s="309"/>
      <c r="AA812" s="309"/>
      <c r="AB812" s="309"/>
      <c r="AC812" s="309"/>
      <c r="AD812" s="309"/>
      <c r="AE812" s="309"/>
      <c r="AF812" s="309"/>
      <c r="AG812" s="309"/>
    </row>
    <row r="813" spans="1:33" ht="15.75" customHeight="1" x14ac:dyDescent="0.25">
      <c r="A813" s="309"/>
      <c r="B813" s="309"/>
      <c r="C813" s="309"/>
      <c r="D813" s="309"/>
      <c r="E813" s="309"/>
      <c r="F813" s="309"/>
      <c r="G813" s="309"/>
      <c r="H813" s="309"/>
      <c r="I813" s="309"/>
      <c r="J813" s="309"/>
      <c r="K813" s="309"/>
      <c r="L813" s="309"/>
      <c r="M813" s="309"/>
      <c r="N813" s="309"/>
      <c r="O813" s="309"/>
      <c r="P813" s="309"/>
      <c r="Q813" s="309"/>
      <c r="R813" s="309"/>
      <c r="S813" s="309"/>
      <c r="T813" s="309"/>
      <c r="U813" s="309"/>
      <c r="V813" s="309"/>
      <c r="W813" s="309"/>
      <c r="X813" s="309"/>
      <c r="Y813" s="309"/>
      <c r="Z813" s="309"/>
      <c r="AA813" s="309"/>
      <c r="AB813" s="309"/>
      <c r="AC813" s="309"/>
      <c r="AD813" s="309"/>
      <c r="AE813" s="309"/>
      <c r="AF813" s="309"/>
      <c r="AG813" s="309"/>
    </row>
    <row r="814" spans="1:33" ht="15.75" customHeight="1" x14ac:dyDescent="0.25">
      <c r="A814" s="309"/>
      <c r="B814" s="309"/>
      <c r="C814" s="309"/>
      <c r="D814" s="309"/>
      <c r="E814" s="309"/>
      <c r="F814" s="309"/>
      <c r="G814" s="309"/>
      <c r="H814" s="309"/>
      <c r="I814" s="309"/>
      <c r="J814" s="309"/>
      <c r="K814" s="309"/>
      <c r="L814" s="309"/>
      <c r="M814" s="309"/>
      <c r="N814" s="309"/>
      <c r="O814" s="309"/>
      <c r="P814" s="309"/>
      <c r="Q814" s="309"/>
      <c r="R814" s="309"/>
      <c r="S814" s="309"/>
      <c r="T814" s="309"/>
      <c r="U814" s="309"/>
      <c r="V814" s="309"/>
      <c r="W814" s="309"/>
      <c r="X814" s="309"/>
      <c r="Y814" s="309"/>
      <c r="Z814" s="309"/>
      <c r="AA814" s="309"/>
      <c r="AB814" s="309"/>
      <c r="AC814" s="309"/>
      <c r="AD814" s="309"/>
      <c r="AE814" s="309"/>
      <c r="AF814" s="309"/>
      <c r="AG814" s="309"/>
    </row>
    <row r="815" spans="1:33" ht="15.75" customHeight="1" x14ac:dyDescent="0.25">
      <c r="A815" s="309"/>
      <c r="B815" s="309"/>
      <c r="C815" s="309"/>
      <c r="D815" s="309"/>
      <c r="E815" s="309"/>
      <c r="F815" s="309"/>
      <c r="G815" s="309"/>
      <c r="H815" s="309"/>
      <c r="I815" s="309"/>
      <c r="J815" s="309"/>
      <c r="K815" s="309"/>
      <c r="L815" s="309"/>
      <c r="M815" s="309"/>
      <c r="N815" s="309"/>
      <c r="O815" s="309"/>
      <c r="P815" s="309"/>
      <c r="Q815" s="309"/>
      <c r="R815" s="309"/>
      <c r="S815" s="309"/>
      <c r="T815" s="309"/>
      <c r="U815" s="309"/>
      <c r="V815" s="309"/>
      <c r="W815" s="309"/>
      <c r="X815" s="309"/>
      <c r="Y815" s="309"/>
      <c r="Z815" s="309"/>
      <c r="AA815" s="309"/>
      <c r="AB815" s="309"/>
      <c r="AC815" s="309"/>
      <c r="AD815" s="309"/>
      <c r="AE815" s="309"/>
      <c r="AF815" s="309"/>
      <c r="AG815" s="309"/>
    </row>
    <row r="816" spans="1:33" ht="15.75" customHeight="1" x14ac:dyDescent="0.25">
      <c r="A816" s="309"/>
      <c r="B816" s="309"/>
      <c r="C816" s="309"/>
      <c r="D816" s="309"/>
      <c r="E816" s="309"/>
      <c r="F816" s="309"/>
      <c r="G816" s="309"/>
      <c r="H816" s="309"/>
      <c r="I816" s="309"/>
      <c r="J816" s="309"/>
      <c r="K816" s="309"/>
      <c r="L816" s="309"/>
      <c r="M816" s="309"/>
      <c r="N816" s="309"/>
      <c r="O816" s="309"/>
      <c r="P816" s="309"/>
      <c r="Q816" s="309"/>
      <c r="R816" s="309"/>
      <c r="S816" s="309"/>
      <c r="T816" s="309"/>
      <c r="U816" s="309"/>
      <c r="V816" s="309"/>
      <c r="W816" s="309"/>
      <c r="X816" s="309"/>
      <c r="Y816" s="309"/>
      <c r="Z816" s="309"/>
      <c r="AA816" s="309"/>
      <c r="AB816" s="309"/>
      <c r="AC816" s="309"/>
      <c r="AD816" s="309"/>
      <c r="AE816" s="309"/>
      <c r="AF816" s="309"/>
      <c r="AG816" s="309"/>
    </row>
    <row r="817" spans="1:33" ht="15.75" customHeight="1" x14ac:dyDescent="0.25">
      <c r="A817" s="309"/>
      <c r="B817" s="309"/>
      <c r="C817" s="309"/>
      <c r="D817" s="309"/>
      <c r="E817" s="309"/>
      <c r="F817" s="309"/>
      <c r="G817" s="309"/>
      <c r="H817" s="309"/>
      <c r="I817" s="309"/>
      <c r="J817" s="309"/>
      <c r="K817" s="309"/>
      <c r="L817" s="309"/>
      <c r="M817" s="309"/>
      <c r="N817" s="309"/>
      <c r="O817" s="309"/>
      <c r="P817" s="309"/>
      <c r="Q817" s="309"/>
      <c r="R817" s="309"/>
      <c r="S817" s="309"/>
      <c r="T817" s="309"/>
      <c r="U817" s="309"/>
      <c r="V817" s="309"/>
      <c r="W817" s="309"/>
      <c r="X817" s="309"/>
      <c r="Y817" s="309"/>
      <c r="Z817" s="309"/>
      <c r="AA817" s="309"/>
      <c r="AB817" s="309"/>
      <c r="AC817" s="309"/>
      <c r="AD817" s="309"/>
      <c r="AE817" s="309"/>
      <c r="AF817" s="309"/>
      <c r="AG817" s="309"/>
    </row>
    <row r="818" spans="1:33" ht="15.75" customHeight="1" x14ac:dyDescent="0.25">
      <c r="A818" s="309"/>
      <c r="B818" s="309"/>
      <c r="C818" s="309"/>
      <c r="D818" s="309"/>
      <c r="E818" s="309"/>
      <c r="F818" s="309"/>
      <c r="G818" s="309"/>
      <c r="H818" s="309"/>
      <c r="I818" s="309"/>
      <c r="J818" s="309"/>
      <c r="K818" s="309"/>
      <c r="L818" s="309"/>
      <c r="M818" s="309"/>
      <c r="N818" s="309"/>
      <c r="O818" s="309"/>
      <c r="P818" s="309"/>
      <c r="Q818" s="309"/>
      <c r="R818" s="309"/>
      <c r="S818" s="309"/>
      <c r="T818" s="309"/>
      <c r="U818" s="309"/>
      <c r="V818" s="309"/>
      <c r="W818" s="309"/>
      <c r="X818" s="309"/>
      <c r="Y818" s="309"/>
      <c r="Z818" s="309"/>
      <c r="AA818" s="309"/>
      <c r="AB818" s="309"/>
      <c r="AC818" s="309"/>
      <c r="AD818" s="309"/>
      <c r="AE818" s="309"/>
      <c r="AF818" s="309"/>
      <c r="AG818" s="309"/>
    </row>
    <row r="819" spans="1:33" ht="15.75" customHeight="1" x14ac:dyDescent="0.25">
      <c r="A819" s="309"/>
      <c r="B819" s="309"/>
      <c r="C819" s="309"/>
      <c r="D819" s="309"/>
      <c r="E819" s="309"/>
      <c r="F819" s="309"/>
      <c r="G819" s="309"/>
      <c r="H819" s="309"/>
      <c r="I819" s="309"/>
      <c r="J819" s="309"/>
      <c r="K819" s="309"/>
      <c r="L819" s="309"/>
      <c r="M819" s="309"/>
      <c r="N819" s="309"/>
      <c r="O819" s="309"/>
      <c r="P819" s="309"/>
      <c r="Q819" s="309"/>
      <c r="R819" s="309"/>
      <c r="S819" s="309"/>
      <c r="T819" s="309"/>
      <c r="U819" s="309"/>
      <c r="V819" s="309"/>
      <c r="W819" s="309"/>
      <c r="X819" s="309"/>
      <c r="Y819" s="309"/>
      <c r="Z819" s="309"/>
      <c r="AA819" s="309"/>
      <c r="AB819" s="309"/>
      <c r="AC819" s="309"/>
      <c r="AD819" s="309"/>
      <c r="AE819" s="309"/>
      <c r="AF819" s="309"/>
      <c r="AG819" s="309"/>
    </row>
    <row r="820" spans="1:33" ht="15.75" customHeight="1" x14ac:dyDescent="0.25">
      <c r="A820" s="309"/>
      <c r="B820" s="309"/>
      <c r="C820" s="309"/>
      <c r="D820" s="309"/>
      <c r="E820" s="309"/>
      <c r="F820" s="309"/>
      <c r="G820" s="309"/>
      <c r="H820" s="309"/>
      <c r="I820" s="309"/>
      <c r="J820" s="309"/>
      <c r="K820" s="309"/>
      <c r="L820" s="309"/>
      <c r="M820" s="309"/>
      <c r="N820" s="309"/>
      <c r="O820" s="309"/>
      <c r="P820" s="309"/>
      <c r="Q820" s="309"/>
      <c r="R820" s="309"/>
      <c r="S820" s="309"/>
      <c r="T820" s="309"/>
      <c r="U820" s="309"/>
      <c r="V820" s="309"/>
      <c r="W820" s="309"/>
      <c r="X820" s="309"/>
      <c r="Y820" s="309"/>
      <c r="Z820" s="309"/>
      <c r="AA820" s="309"/>
      <c r="AB820" s="309"/>
      <c r="AC820" s="309"/>
      <c r="AD820" s="309"/>
      <c r="AE820" s="309"/>
      <c r="AF820" s="309"/>
      <c r="AG820" s="309"/>
    </row>
    <row r="821" spans="1:33" ht="15.75" customHeight="1" x14ac:dyDescent="0.25">
      <c r="A821" s="309"/>
      <c r="B821" s="309"/>
      <c r="C821" s="309"/>
      <c r="D821" s="309"/>
      <c r="E821" s="309"/>
      <c r="F821" s="309"/>
      <c r="G821" s="309"/>
      <c r="H821" s="309"/>
      <c r="I821" s="309"/>
      <c r="J821" s="309"/>
      <c r="K821" s="309"/>
      <c r="L821" s="309"/>
      <c r="M821" s="309"/>
      <c r="N821" s="309"/>
      <c r="O821" s="309"/>
      <c r="P821" s="309"/>
      <c r="Q821" s="309"/>
      <c r="R821" s="309"/>
      <c r="S821" s="309"/>
      <c r="T821" s="309"/>
      <c r="U821" s="309"/>
      <c r="V821" s="309"/>
      <c r="W821" s="309"/>
      <c r="X821" s="309"/>
      <c r="Y821" s="309"/>
      <c r="Z821" s="309"/>
      <c r="AA821" s="309"/>
      <c r="AB821" s="309"/>
      <c r="AC821" s="309"/>
      <c r="AD821" s="309"/>
      <c r="AE821" s="309"/>
      <c r="AF821" s="309"/>
      <c r="AG821" s="309"/>
    </row>
    <row r="822" spans="1:33" ht="15.75" customHeight="1" x14ac:dyDescent="0.25">
      <c r="A822" s="309"/>
      <c r="B822" s="309"/>
      <c r="C822" s="309"/>
      <c r="D822" s="309"/>
      <c r="E822" s="309"/>
      <c r="F822" s="309"/>
      <c r="G822" s="309"/>
      <c r="H822" s="309"/>
      <c r="I822" s="309"/>
      <c r="J822" s="309"/>
      <c r="K822" s="309"/>
      <c r="L822" s="309"/>
      <c r="M822" s="309"/>
      <c r="N822" s="309"/>
      <c r="O822" s="309"/>
      <c r="P822" s="309"/>
      <c r="Q822" s="309"/>
      <c r="R822" s="309"/>
      <c r="S822" s="309"/>
      <c r="T822" s="309"/>
      <c r="U822" s="309"/>
      <c r="V822" s="309"/>
      <c r="W822" s="309"/>
      <c r="X822" s="309"/>
      <c r="Y822" s="309"/>
      <c r="Z822" s="309"/>
      <c r="AA822" s="309"/>
      <c r="AB822" s="309"/>
      <c r="AC822" s="309"/>
      <c r="AD822" s="309"/>
      <c r="AE822" s="309"/>
      <c r="AF822" s="309"/>
      <c r="AG822" s="309"/>
    </row>
    <row r="823" spans="1:33" ht="15.75" customHeight="1" x14ac:dyDescent="0.25">
      <c r="A823" s="309"/>
      <c r="B823" s="309"/>
      <c r="C823" s="309"/>
      <c r="D823" s="309"/>
      <c r="E823" s="309"/>
      <c r="F823" s="309"/>
      <c r="G823" s="309"/>
      <c r="H823" s="309"/>
      <c r="I823" s="309"/>
      <c r="J823" s="309"/>
      <c r="K823" s="309"/>
      <c r="L823" s="309"/>
      <c r="M823" s="309"/>
      <c r="N823" s="309"/>
      <c r="O823" s="309"/>
      <c r="P823" s="309"/>
      <c r="Q823" s="309"/>
      <c r="R823" s="309"/>
      <c r="S823" s="309"/>
      <c r="T823" s="309"/>
      <c r="U823" s="309"/>
      <c r="V823" s="309"/>
      <c r="W823" s="309"/>
      <c r="X823" s="309"/>
      <c r="Y823" s="309"/>
      <c r="Z823" s="309"/>
      <c r="AA823" s="309"/>
      <c r="AB823" s="309"/>
      <c r="AC823" s="309"/>
      <c r="AD823" s="309"/>
      <c r="AE823" s="309"/>
      <c r="AF823" s="309"/>
      <c r="AG823" s="309"/>
    </row>
    <row r="824" spans="1:33" ht="15.75" customHeight="1" x14ac:dyDescent="0.25">
      <c r="A824" s="309"/>
      <c r="B824" s="309"/>
      <c r="C824" s="309"/>
      <c r="D824" s="309"/>
      <c r="E824" s="309"/>
      <c r="F824" s="309"/>
      <c r="G824" s="309"/>
      <c r="H824" s="309"/>
      <c r="I824" s="309"/>
      <c r="J824" s="309"/>
      <c r="K824" s="309"/>
      <c r="L824" s="309"/>
      <c r="M824" s="309"/>
      <c r="N824" s="309"/>
      <c r="O824" s="309"/>
      <c r="P824" s="309"/>
      <c r="Q824" s="309"/>
      <c r="R824" s="309"/>
      <c r="S824" s="309"/>
      <c r="T824" s="309"/>
      <c r="U824" s="309"/>
      <c r="V824" s="309"/>
      <c r="W824" s="309"/>
      <c r="X824" s="309"/>
      <c r="Y824" s="309"/>
      <c r="Z824" s="309"/>
      <c r="AA824" s="309"/>
      <c r="AB824" s="309"/>
      <c r="AC824" s="309"/>
      <c r="AD824" s="309"/>
      <c r="AE824" s="309"/>
      <c r="AF824" s="309"/>
      <c r="AG824" s="309"/>
    </row>
    <row r="825" spans="1:33" ht="15.75" customHeight="1" x14ac:dyDescent="0.25">
      <c r="A825" s="309"/>
      <c r="B825" s="309"/>
      <c r="C825" s="309"/>
      <c r="D825" s="309"/>
      <c r="E825" s="309"/>
      <c r="F825" s="309"/>
      <c r="G825" s="309"/>
      <c r="H825" s="309"/>
      <c r="I825" s="309"/>
      <c r="J825" s="309"/>
      <c r="K825" s="309"/>
      <c r="L825" s="309"/>
      <c r="M825" s="309"/>
      <c r="N825" s="309"/>
      <c r="O825" s="309"/>
      <c r="P825" s="309"/>
      <c r="Q825" s="309"/>
      <c r="R825" s="309"/>
      <c r="S825" s="309"/>
      <c r="T825" s="309"/>
      <c r="U825" s="309"/>
      <c r="V825" s="309"/>
      <c r="W825" s="309"/>
      <c r="X825" s="309"/>
      <c r="Y825" s="309"/>
      <c r="Z825" s="309"/>
      <c r="AA825" s="309"/>
      <c r="AB825" s="309"/>
      <c r="AC825" s="309"/>
      <c r="AD825" s="309"/>
      <c r="AE825" s="309"/>
      <c r="AF825" s="309"/>
      <c r="AG825" s="309"/>
    </row>
    <row r="826" spans="1:33" ht="15.75" customHeight="1" x14ac:dyDescent="0.25">
      <c r="A826" s="309"/>
      <c r="B826" s="309"/>
      <c r="C826" s="309"/>
      <c r="D826" s="309"/>
      <c r="E826" s="309"/>
      <c r="F826" s="309"/>
      <c r="G826" s="309"/>
      <c r="H826" s="309"/>
      <c r="I826" s="309"/>
      <c r="J826" s="309"/>
      <c r="K826" s="309"/>
      <c r="L826" s="309"/>
      <c r="M826" s="309"/>
      <c r="N826" s="309"/>
      <c r="O826" s="309"/>
      <c r="P826" s="309"/>
      <c r="Q826" s="309"/>
      <c r="R826" s="309"/>
      <c r="S826" s="309"/>
      <c r="T826" s="309"/>
      <c r="U826" s="309"/>
      <c r="V826" s="309"/>
      <c r="W826" s="309"/>
      <c r="X826" s="309"/>
      <c r="Y826" s="309"/>
      <c r="Z826" s="309"/>
      <c r="AA826" s="309"/>
      <c r="AB826" s="309"/>
      <c r="AC826" s="309"/>
      <c r="AD826" s="309"/>
      <c r="AE826" s="309"/>
      <c r="AF826" s="309"/>
      <c r="AG826" s="309"/>
    </row>
    <row r="827" spans="1:33" ht="15.75" customHeight="1" x14ac:dyDescent="0.25">
      <c r="A827" s="309"/>
      <c r="B827" s="309"/>
      <c r="C827" s="309"/>
      <c r="D827" s="309"/>
      <c r="E827" s="309"/>
      <c r="F827" s="309"/>
      <c r="G827" s="309"/>
      <c r="H827" s="309"/>
      <c r="I827" s="309"/>
      <c r="J827" s="309"/>
      <c r="K827" s="309"/>
      <c r="L827" s="309"/>
      <c r="M827" s="309"/>
      <c r="N827" s="309"/>
      <c r="O827" s="309"/>
      <c r="P827" s="309"/>
      <c r="Q827" s="309"/>
      <c r="R827" s="309"/>
      <c r="S827" s="309"/>
      <c r="T827" s="309"/>
      <c r="U827" s="309"/>
      <c r="V827" s="309"/>
      <c r="W827" s="309"/>
      <c r="X827" s="309"/>
      <c r="Y827" s="309"/>
      <c r="Z827" s="309"/>
      <c r="AA827" s="309"/>
      <c r="AB827" s="309"/>
      <c r="AC827" s="309"/>
      <c r="AD827" s="309"/>
      <c r="AE827" s="309"/>
      <c r="AF827" s="309"/>
      <c r="AG827" s="309"/>
    </row>
    <row r="828" spans="1:33" ht="15.75" customHeight="1" x14ac:dyDescent="0.25">
      <c r="A828" s="309"/>
      <c r="B828" s="309"/>
      <c r="C828" s="309"/>
      <c r="D828" s="309"/>
      <c r="E828" s="309"/>
      <c r="F828" s="309"/>
      <c r="G828" s="309"/>
      <c r="H828" s="309"/>
      <c r="I828" s="309"/>
      <c r="J828" s="309"/>
      <c r="K828" s="309"/>
      <c r="L828" s="309"/>
      <c r="M828" s="309"/>
      <c r="N828" s="309"/>
      <c r="O828" s="309"/>
      <c r="P828" s="309"/>
      <c r="Q828" s="309"/>
      <c r="R828" s="309"/>
      <c r="S828" s="309"/>
      <c r="T828" s="309"/>
      <c r="U828" s="309"/>
      <c r="V828" s="309"/>
      <c r="W828" s="309"/>
      <c r="X828" s="309"/>
      <c r="Y828" s="309"/>
      <c r="Z828" s="309"/>
      <c r="AA828" s="309"/>
      <c r="AB828" s="309"/>
      <c r="AC828" s="309"/>
      <c r="AD828" s="309"/>
      <c r="AE828" s="309"/>
      <c r="AF828" s="309"/>
      <c r="AG828" s="309"/>
    </row>
    <row r="829" spans="1:33" ht="15.75" customHeight="1" x14ac:dyDescent="0.25">
      <c r="A829" s="309"/>
      <c r="B829" s="309"/>
      <c r="C829" s="309"/>
      <c r="D829" s="309"/>
      <c r="E829" s="309"/>
      <c r="F829" s="309"/>
      <c r="G829" s="309"/>
      <c r="H829" s="309"/>
      <c r="I829" s="309"/>
      <c r="J829" s="309"/>
      <c r="K829" s="309"/>
      <c r="L829" s="309"/>
      <c r="M829" s="309"/>
      <c r="N829" s="309"/>
      <c r="O829" s="309"/>
      <c r="P829" s="309"/>
      <c r="Q829" s="309"/>
      <c r="R829" s="309"/>
      <c r="S829" s="309"/>
      <c r="T829" s="309"/>
      <c r="U829" s="309"/>
      <c r="V829" s="309"/>
      <c r="W829" s="309"/>
      <c r="X829" s="309"/>
      <c r="Y829" s="309"/>
      <c r="Z829" s="309"/>
      <c r="AA829" s="309"/>
      <c r="AB829" s="309"/>
      <c r="AC829" s="309"/>
      <c r="AD829" s="309"/>
      <c r="AE829" s="309"/>
      <c r="AF829" s="309"/>
      <c r="AG829" s="309"/>
    </row>
    <row r="830" spans="1:33" ht="15.75" customHeight="1" x14ac:dyDescent="0.25">
      <c r="A830" s="309"/>
      <c r="B830" s="309"/>
      <c r="C830" s="309"/>
      <c r="D830" s="309"/>
      <c r="E830" s="309"/>
      <c r="F830" s="309"/>
      <c r="G830" s="309"/>
      <c r="H830" s="309"/>
      <c r="I830" s="309"/>
      <c r="J830" s="309"/>
      <c r="K830" s="309"/>
      <c r="L830" s="309"/>
      <c r="M830" s="309"/>
      <c r="N830" s="309"/>
      <c r="O830" s="309"/>
      <c r="P830" s="309"/>
      <c r="Q830" s="309"/>
      <c r="R830" s="309"/>
      <c r="S830" s="309"/>
      <c r="T830" s="309"/>
      <c r="U830" s="309"/>
      <c r="V830" s="309"/>
      <c r="W830" s="309"/>
      <c r="X830" s="309"/>
      <c r="Y830" s="309"/>
      <c r="Z830" s="309"/>
      <c r="AA830" s="309"/>
      <c r="AB830" s="309"/>
      <c r="AC830" s="309"/>
      <c r="AD830" s="309"/>
      <c r="AE830" s="309"/>
      <c r="AF830" s="309"/>
      <c r="AG830" s="309"/>
    </row>
    <row r="831" spans="1:33" ht="15.75" customHeight="1" x14ac:dyDescent="0.25">
      <c r="A831" s="309"/>
      <c r="B831" s="309"/>
      <c r="C831" s="309"/>
      <c r="D831" s="309"/>
      <c r="E831" s="309"/>
      <c r="F831" s="309"/>
      <c r="G831" s="309"/>
      <c r="H831" s="309"/>
      <c r="I831" s="309"/>
      <c r="J831" s="309"/>
      <c r="K831" s="309"/>
      <c r="L831" s="309"/>
      <c r="M831" s="309"/>
      <c r="N831" s="309"/>
      <c r="O831" s="309"/>
      <c r="P831" s="309"/>
      <c r="Q831" s="309"/>
      <c r="R831" s="309"/>
      <c r="S831" s="309"/>
      <c r="T831" s="309"/>
      <c r="U831" s="309"/>
      <c r="V831" s="309"/>
      <c r="W831" s="309"/>
      <c r="X831" s="309"/>
      <c r="Y831" s="309"/>
      <c r="Z831" s="309"/>
      <c r="AA831" s="309"/>
      <c r="AB831" s="309"/>
      <c r="AC831" s="309"/>
      <c r="AD831" s="309"/>
      <c r="AE831" s="309"/>
      <c r="AF831" s="309"/>
      <c r="AG831" s="309"/>
    </row>
    <row r="832" spans="1:33" ht="15.75" customHeight="1" x14ac:dyDescent="0.25">
      <c r="A832" s="309"/>
      <c r="B832" s="309"/>
      <c r="C832" s="309"/>
      <c r="D832" s="309"/>
      <c r="E832" s="309"/>
      <c r="F832" s="309"/>
      <c r="G832" s="309"/>
      <c r="H832" s="309"/>
      <c r="I832" s="309"/>
      <c r="J832" s="309"/>
      <c r="K832" s="309"/>
      <c r="L832" s="309"/>
      <c r="M832" s="309"/>
      <c r="N832" s="309"/>
      <c r="O832" s="309"/>
      <c r="P832" s="309"/>
      <c r="Q832" s="309"/>
      <c r="R832" s="309"/>
      <c r="S832" s="309"/>
      <c r="T832" s="309"/>
      <c r="U832" s="309"/>
      <c r="V832" s="309"/>
      <c r="W832" s="309"/>
      <c r="X832" s="309"/>
      <c r="Y832" s="309"/>
      <c r="Z832" s="309"/>
      <c r="AA832" s="309"/>
      <c r="AB832" s="309"/>
      <c r="AC832" s="309"/>
      <c r="AD832" s="309"/>
      <c r="AE832" s="309"/>
      <c r="AF832" s="309"/>
      <c r="AG832" s="309"/>
    </row>
    <row r="833" spans="1:33" ht="15.75" customHeight="1" x14ac:dyDescent="0.25">
      <c r="A833" s="309"/>
      <c r="B833" s="309"/>
      <c r="C833" s="309"/>
      <c r="D833" s="309"/>
      <c r="E833" s="309"/>
      <c r="F833" s="309"/>
      <c r="G833" s="309"/>
      <c r="H833" s="309"/>
      <c r="I833" s="309"/>
      <c r="J833" s="309"/>
      <c r="K833" s="309"/>
      <c r="L833" s="309"/>
      <c r="M833" s="309"/>
      <c r="N833" s="309"/>
      <c r="O833" s="309"/>
      <c r="P833" s="309"/>
      <c r="Q833" s="309"/>
      <c r="R833" s="309"/>
      <c r="S833" s="309"/>
      <c r="T833" s="309"/>
      <c r="U833" s="309"/>
      <c r="V833" s="309"/>
      <c r="W833" s="309"/>
      <c r="X833" s="309"/>
      <c r="Y833" s="309"/>
      <c r="Z833" s="309"/>
      <c r="AA833" s="309"/>
      <c r="AB833" s="309"/>
      <c r="AC833" s="309"/>
      <c r="AD833" s="309"/>
      <c r="AE833" s="309"/>
      <c r="AF833" s="309"/>
      <c r="AG833" s="309"/>
    </row>
    <row r="834" spans="1:33" ht="15.75" customHeight="1" x14ac:dyDescent="0.25">
      <c r="A834" s="309"/>
      <c r="B834" s="309"/>
      <c r="C834" s="309"/>
      <c r="D834" s="309"/>
      <c r="E834" s="309"/>
      <c r="F834" s="309"/>
      <c r="G834" s="309"/>
      <c r="H834" s="309"/>
      <c r="I834" s="309"/>
      <c r="J834" s="309"/>
      <c r="K834" s="309"/>
      <c r="L834" s="309"/>
      <c r="M834" s="309"/>
      <c r="N834" s="309"/>
      <c r="O834" s="309"/>
      <c r="P834" s="309"/>
      <c r="Q834" s="309"/>
      <c r="R834" s="309"/>
      <c r="S834" s="309"/>
      <c r="T834" s="309"/>
      <c r="U834" s="309"/>
      <c r="V834" s="309"/>
      <c r="W834" s="309"/>
      <c r="X834" s="309"/>
      <c r="Y834" s="309"/>
      <c r="Z834" s="309"/>
      <c r="AA834" s="309"/>
      <c r="AB834" s="309"/>
      <c r="AC834" s="309"/>
      <c r="AD834" s="309"/>
      <c r="AE834" s="309"/>
      <c r="AF834" s="309"/>
      <c r="AG834" s="309"/>
    </row>
    <row r="835" spans="1:33" ht="15.75" customHeight="1" x14ac:dyDescent="0.25">
      <c r="A835" s="309"/>
      <c r="B835" s="309"/>
      <c r="C835" s="309"/>
      <c r="D835" s="309"/>
      <c r="E835" s="309"/>
      <c r="F835" s="309"/>
      <c r="G835" s="309"/>
      <c r="H835" s="309"/>
      <c r="I835" s="309"/>
      <c r="J835" s="309"/>
      <c r="K835" s="309"/>
      <c r="L835" s="309"/>
      <c r="M835" s="309"/>
      <c r="N835" s="309"/>
      <c r="O835" s="309"/>
      <c r="P835" s="309"/>
      <c r="Q835" s="309"/>
      <c r="R835" s="309"/>
      <c r="S835" s="309"/>
      <c r="T835" s="309"/>
      <c r="U835" s="309"/>
      <c r="V835" s="309"/>
      <c r="W835" s="309"/>
      <c r="X835" s="309"/>
      <c r="Y835" s="309"/>
      <c r="Z835" s="309"/>
      <c r="AA835" s="309"/>
      <c r="AB835" s="309"/>
      <c r="AC835" s="309"/>
      <c r="AD835" s="309"/>
      <c r="AE835" s="309"/>
      <c r="AF835" s="309"/>
      <c r="AG835" s="309"/>
    </row>
    <row r="836" spans="1:33" ht="15.75" customHeight="1" x14ac:dyDescent="0.25">
      <c r="A836" s="309"/>
      <c r="B836" s="309"/>
      <c r="C836" s="309"/>
      <c r="D836" s="309"/>
      <c r="E836" s="309"/>
      <c r="F836" s="309"/>
      <c r="G836" s="309"/>
      <c r="H836" s="309"/>
      <c r="I836" s="309"/>
      <c r="J836" s="309"/>
      <c r="K836" s="309"/>
      <c r="L836" s="309"/>
      <c r="M836" s="309"/>
      <c r="N836" s="309"/>
      <c r="O836" s="309"/>
      <c r="P836" s="309"/>
      <c r="Q836" s="309"/>
      <c r="R836" s="309"/>
      <c r="S836" s="309"/>
      <c r="T836" s="309"/>
      <c r="U836" s="309"/>
      <c r="V836" s="309"/>
      <c r="W836" s="309"/>
      <c r="X836" s="309"/>
      <c r="Y836" s="309"/>
      <c r="Z836" s="309"/>
      <c r="AA836" s="309"/>
      <c r="AB836" s="309"/>
      <c r="AC836" s="309"/>
      <c r="AD836" s="309"/>
      <c r="AE836" s="309"/>
      <c r="AF836" s="309"/>
      <c r="AG836" s="309"/>
    </row>
    <row r="837" spans="1:33" ht="15.75" customHeight="1" x14ac:dyDescent="0.25">
      <c r="A837" s="309"/>
      <c r="B837" s="309"/>
      <c r="C837" s="309"/>
      <c r="D837" s="309"/>
      <c r="E837" s="309"/>
      <c r="F837" s="309"/>
      <c r="G837" s="309"/>
      <c r="H837" s="309"/>
      <c r="I837" s="309"/>
      <c r="J837" s="309"/>
      <c r="K837" s="309"/>
      <c r="L837" s="309"/>
      <c r="M837" s="309"/>
      <c r="N837" s="309"/>
      <c r="O837" s="309"/>
      <c r="P837" s="309"/>
      <c r="Q837" s="309"/>
      <c r="R837" s="309"/>
      <c r="S837" s="309"/>
      <c r="T837" s="309"/>
      <c r="U837" s="309"/>
      <c r="V837" s="309"/>
      <c r="W837" s="309"/>
      <c r="X837" s="309"/>
      <c r="Y837" s="309"/>
      <c r="Z837" s="309"/>
      <c r="AA837" s="309"/>
      <c r="AB837" s="309"/>
      <c r="AC837" s="309"/>
      <c r="AD837" s="309"/>
      <c r="AE837" s="309"/>
      <c r="AF837" s="309"/>
      <c r="AG837" s="309"/>
    </row>
    <row r="838" spans="1:33" ht="15.75" customHeight="1" x14ac:dyDescent="0.25">
      <c r="A838" s="309"/>
      <c r="B838" s="309"/>
      <c r="C838" s="309"/>
      <c r="D838" s="309"/>
      <c r="E838" s="309"/>
      <c r="F838" s="309"/>
      <c r="G838" s="309"/>
      <c r="H838" s="309"/>
      <c r="I838" s="309"/>
      <c r="J838" s="309"/>
      <c r="K838" s="309"/>
      <c r="L838" s="309"/>
      <c r="M838" s="309"/>
      <c r="N838" s="309"/>
      <c r="O838" s="309"/>
      <c r="P838" s="309"/>
      <c r="Q838" s="309"/>
      <c r="R838" s="309"/>
      <c r="S838" s="309"/>
      <c r="T838" s="309"/>
      <c r="U838" s="309"/>
      <c r="V838" s="309"/>
      <c r="W838" s="309"/>
      <c r="X838" s="309"/>
      <c r="Y838" s="309"/>
      <c r="Z838" s="309"/>
      <c r="AA838" s="309"/>
      <c r="AB838" s="309"/>
      <c r="AC838" s="309"/>
      <c r="AD838" s="309"/>
      <c r="AE838" s="309"/>
      <c r="AF838" s="309"/>
      <c r="AG838" s="309"/>
    </row>
    <row r="839" spans="1:33" ht="15.75" customHeight="1" x14ac:dyDescent="0.25">
      <c r="A839" s="309"/>
      <c r="B839" s="309"/>
      <c r="C839" s="309"/>
      <c r="D839" s="309"/>
      <c r="E839" s="309"/>
      <c r="F839" s="309"/>
      <c r="G839" s="309"/>
      <c r="H839" s="309"/>
      <c r="I839" s="309"/>
      <c r="J839" s="309"/>
      <c r="K839" s="309"/>
      <c r="L839" s="309"/>
      <c r="M839" s="309"/>
      <c r="N839" s="309"/>
      <c r="O839" s="309"/>
      <c r="P839" s="309"/>
      <c r="Q839" s="309"/>
      <c r="R839" s="309"/>
      <c r="S839" s="309"/>
      <c r="T839" s="309"/>
      <c r="U839" s="309"/>
      <c r="V839" s="309"/>
      <c r="W839" s="309"/>
      <c r="X839" s="309"/>
      <c r="Y839" s="309"/>
      <c r="Z839" s="309"/>
      <c r="AA839" s="309"/>
      <c r="AB839" s="309"/>
      <c r="AC839" s="309"/>
      <c r="AD839" s="309"/>
      <c r="AE839" s="309"/>
      <c r="AF839" s="309"/>
      <c r="AG839" s="309"/>
    </row>
    <row r="840" spans="1:33" ht="15.75" customHeight="1" x14ac:dyDescent="0.25">
      <c r="A840" s="309"/>
      <c r="B840" s="309"/>
      <c r="C840" s="309"/>
      <c r="D840" s="309"/>
      <c r="E840" s="309"/>
      <c r="F840" s="309"/>
      <c r="G840" s="309"/>
      <c r="H840" s="309"/>
      <c r="I840" s="309"/>
      <c r="J840" s="309"/>
      <c r="K840" s="309"/>
      <c r="L840" s="309"/>
      <c r="M840" s="309"/>
      <c r="N840" s="309"/>
      <c r="O840" s="309"/>
      <c r="P840" s="309"/>
      <c r="Q840" s="309"/>
      <c r="R840" s="309"/>
      <c r="S840" s="309"/>
      <c r="T840" s="309"/>
      <c r="U840" s="309"/>
      <c r="V840" s="309"/>
      <c r="W840" s="309"/>
      <c r="X840" s="309"/>
      <c r="Y840" s="309"/>
      <c r="Z840" s="309"/>
      <c r="AA840" s="309"/>
      <c r="AB840" s="309"/>
      <c r="AC840" s="309"/>
      <c r="AD840" s="309"/>
      <c r="AE840" s="309"/>
      <c r="AF840" s="309"/>
      <c r="AG840" s="309"/>
    </row>
    <row r="841" spans="1:33" ht="15.75" customHeight="1" x14ac:dyDescent="0.25">
      <c r="A841" s="309"/>
      <c r="B841" s="309"/>
      <c r="C841" s="309"/>
      <c r="D841" s="309"/>
      <c r="E841" s="309"/>
      <c r="F841" s="309"/>
      <c r="G841" s="309"/>
      <c r="H841" s="309"/>
      <c r="I841" s="309"/>
      <c r="J841" s="309"/>
      <c r="K841" s="309"/>
      <c r="L841" s="309"/>
      <c r="M841" s="309"/>
      <c r="N841" s="309"/>
      <c r="O841" s="309"/>
      <c r="P841" s="309"/>
      <c r="Q841" s="309"/>
      <c r="R841" s="309"/>
      <c r="S841" s="309"/>
      <c r="T841" s="309"/>
      <c r="U841" s="309"/>
      <c r="V841" s="309"/>
      <c r="W841" s="309"/>
      <c r="X841" s="309"/>
      <c r="Y841" s="309"/>
      <c r="Z841" s="309"/>
      <c r="AA841" s="309"/>
      <c r="AB841" s="309"/>
      <c r="AC841" s="309"/>
      <c r="AD841" s="309"/>
      <c r="AE841" s="309"/>
      <c r="AF841" s="309"/>
      <c r="AG841" s="309"/>
    </row>
    <row r="842" spans="1:33" ht="15.75" customHeight="1" x14ac:dyDescent="0.25">
      <c r="A842" s="309"/>
      <c r="B842" s="309"/>
      <c r="C842" s="309"/>
      <c r="D842" s="309"/>
      <c r="E842" s="309"/>
      <c r="F842" s="309"/>
      <c r="G842" s="309"/>
      <c r="H842" s="309"/>
      <c r="I842" s="309"/>
      <c r="J842" s="309"/>
      <c r="K842" s="309"/>
      <c r="L842" s="309"/>
      <c r="M842" s="309"/>
      <c r="N842" s="309"/>
      <c r="O842" s="309"/>
      <c r="P842" s="309"/>
      <c r="Q842" s="309"/>
      <c r="R842" s="309"/>
      <c r="S842" s="309"/>
      <c r="T842" s="309"/>
      <c r="U842" s="309"/>
      <c r="V842" s="309"/>
      <c r="W842" s="309"/>
      <c r="X842" s="309"/>
      <c r="Y842" s="309"/>
      <c r="Z842" s="309"/>
      <c r="AA842" s="309"/>
      <c r="AB842" s="309"/>
      <c r="AC842" s="309"/>
      <c r="AD842" s="309"/>
      <c r="AE842" s="309"/>
      <c r="AF842" s="309"/>
      <c r="AG842" s="309"/>
    </row>
    <row r="843" spans="1:33" ht="15.75" customHeight="1" x14ac:dyDescent="0.25">
      <c r="A843" s="309"/>
      <c r="B843" s="309"/>
      <c r="C843" s="309"/>
      <c r="D843" s="309"/>
      <c r="E843" s="309"/>
      <c r="F843" s="309"/>
      <c r="G843" s="309"/>
      <c r="H843" s="309"/>
      <c r="I843" s="309"/>
      <c r="J843" s="309"/>
      <c r="K843" s="309"/>
      <c r="L843" s="309"/>
      <c r="M843" s="309"/>
      <c r="N843" s="309"/>
      <c r="O843" s="309"/>
      <c r="P843" s="309"/>
      <c r="Q843" s="309"/>
      <c r="R843" s="309"/>
      <c r="S843" s="309"/>
      <c r="T843" s="309"/>
      <c r="U843" s="309"/>
      <c r="V843" s="309"/>
      <c r="W843" s="309"/>
      <c r="X843" s="309"/>
      <c r="Y843" s="309"/>
      <c r="Z843" s="309"/>
      <c r="AA843" s="309"/>
      <c r="AB843" s="309"/>
      <c r="AC843" s="309"/>
      <c r="AD843" s="309"/>
      <c r="AE843" s="309"/>
      <c r="AF843" s="309"/>
      <c r="AG843" s="309"/>
    </row>
    <row r="844" spans="1:33" ht="15.75" customHeight="1" x14ac:dyDescent="0.25">
      <c r="A844" s="309"/>
      <c r="B844" s="309"/>
      <c r="C844" s="309"/>
      <c r="D844" s="309"/>
      <c r="E844" s="309"/>
      <c r="F844" s="309"/>
      <c r="G844" s="309"/>
      <c r="H844" s="309"/>
      <c r="I844" s="309"/>
      <c r="J844" s="309"/>
      <c r="K844" s="309"/>
      <c r="L844" s="309"/>
      <c r="M844" s="309"/>
      <c r="N844" s="309"/>
      <c r="O844" s="309"/>
      <c r="P844" s="309"/>
      <c r="Q844" s="309"/>
      <c r="R844" s="309"/>
      <c r="S844" s="309"/>
      <c r="T844" s="309"/>
      <c r="U844" s="309"/>
      <c r="V844" s="309"/>
      <c r="W844" s="309"/>
      <c r="X844" s="309"/>
      <c r="Y844" s="309"/>
      <c r="Z844" s="309"/>
      <c r="AA844" s="309"/>
      <c r="AB844" s="309"/>
      <c r="AC844" s="309"/>
      <c r="AD844" s="309"/>
      <c r="AE844" s="309"/>
      <c r="AF844" s="309"/>
      <c r="AG844" s="309"/>
    </row>
    <row r="845" spans="1:33" ht="15.75" customHeight="1" x14ac:dyDescent="0.25">
      <c r="A845" s="309"/>
      <c r="B845" s="309"/>
      <c r="C845" s="309"/>
      <c r="D845" s="309"/>
      <c r="E845" s="309"/>
      <c r="F845" s="309"/>
      <c r="G845" s="309"/>
      <c r="H845" s="309"/>
      <c r="I845" s="309"/>
      <c r="J845" s="309"/>
      <c r="K845" s="309"/>
      <c r="L845" s="309"/>
      <c r="M845" s="309"/>
      <c r="N845" s="309"/>
      <c r="O845" s="309"/>
      <c r="P845" s="309"/>
      <c r="Q845" s="309"/>
      <c r="R845" s="309"/>
      <c r="S845" s="309"/>
      <c r="T845" s="309"/>
      <c r="U845" s="309"/>
      <c r="V845" s="309"/>
      <c r="W845" s="309"/>
      <c r="X845" s="309"/>
      <c r="Y845" s="309"/>
      <c r="Z845" s="309"/>
      <c r="AA845" s="309"/>
      <c r="AB845" s="309"/>
      <c r="AC845" s="309"/>
      <c r="AD845" s="309"/>
      <c r="AE845" s="309"/>
      <c r="AF845" s="309"/>
      <c r="AG845" s="309"/>
    </row>
    <row r="846" spans="1:33" ht="15.75" customHeight="1" x14ac:dyDescent="0.25">
      <c r="A846" s="309"/>
      <c r="B846" s="309"/>
      <c r="C846" s="309"/>
      <c r="D846" s="309"/>
      <c r="E846" s="309"/>
      <c r="F846" s="309"/>
      <c r="G846" s="309"/>
      <c r="H846" s="309"/>
      <c r="I846" s="309"/>
      <c r="J846" s="309"/>
      <c r="K846" s="309"/>
      <c r="L846" s="309"/>
      <c r="M846" s="309"/>
      <c r="N846" s="309"/>
      <c r="O846" s="309"/>
      <c r="P846" s="309"/>
      <c r="Q846" s="309"/>
      <c r="R846" s="309"/>
      <c r="S846" s="309"/>
      <c r="T846" s="309"/>
      <c r="U846" s="309"/>
      <c r="V846" s="309"/>
      <c r="W846" s="309"/>
      <c r="X846" s="309"/>
      <c r="Y846" s="309"/>
      <c r="Z846" s="309"/>
      <c r="AA846" s="309"/>
      <c r="AB846" s="309"/>
      <c r="AC846" s="309"/>
      <c r="AD846" s="309"/>
      <c r="AE846" s="309"/>
      <c r="AF846" s="309"/>
      <c r="AG846" s="309"/>
    </row>
    <row r="847" spans="1:33" ht="15.75" customHeight="1" x14ac:dyDescent="0.25">
      <c r="A847" s="309"/>
      <c r="B847" s="309"/>
      <c r="C847" s="309"/>
      <c r="D847" s="309"/>
      <c r="E847" s="309"/>
      <c r="F847" s="309"/>
      <c r="G847" s="309"/>
      <c r="H847" s="309"/>
      <c r="I847" s="309"/>
      <c r="J847" s="309"/>
      <c r="K847" s="309"/>
      <c r="L847" s="309"/>
      <c r="M847" s="309"/>
      <c r="N847" s="309"/>
      <c r="O847" s="309"/>
      <c r="P847" s="309"/>
      <c r="Q847" s="309"/>
      <c r="R847" s="309"/>
      <c r="S847" s="309"/>
      <c r="T847" s="309"/>
      <c r="U847" s="309"/>
      <c r="V847" s="309"/>
      <c r="W847" s="309"/>
      <c r="X847" s="309"/>
      <c r="Y847" s="309"/>
      <c r="Z847" s="309"/>
      <c r="AA847" s="309"/>
      <c r="AB847" s="309"/>
      <c r="AC847" s="309"/>
      <c r="AD847" s="309"/>
      <c r="AE847" s="309"/>
      <c r="AF847" s="309"/>
      <c r="AG847" s="309"/>
    </row>
    <row r="848" spans="1:33" ht="15.75" customHeight="1" x14ac:dyDescent="0.25">
      <c r="A848" s="309"/>
      <c r="B848" s="309"/>
      <c r="C848" s="309"/>
      <c r="D848" s="309"/>
      <c r="E848" s="309"/>
      <c r="F848" s="309"/>
      <c r="G848" s="309"/>
      <c r="H848" s="309"/>
      <c r="I848" s="309"/>
      <c r="J848" s="309"/>
      <c r="K848" s="309"/>
      <c r="L848" s="309"/>
      <c r="M848" s="309"/>
      <c r="N848" s="309"/>
      <c r="O848" s="309"/>
      <c r="P848" s="309"/>
      <c r="Q848" s="309"/>
      <c r="R848" s="309"/>
      <c r="S848" s="309"/>
      <c r="T848" s="309"/>
      <c r="U848" s="309"/>
      <c r="V848" s="309"/>
      <c r="W848" s="309"/>
      <c r="X848" s="309"/>
      <c r="Y848" s="309"/>
      <c r="Z848" s="309"/>
      <c r="AA848" s="309"/>
      <c r="AB848" s="309"/>
      <c r="AC848" s="309"/>
      <c r="AD848" s="309"/>
      <c r="AE848" s="309"/>
      <c r="AF848" s="309"/>
      <c r="AG848" s="309"/>
    </row>
    <row r="849" spans="1:33" ht="15.75" customHeight="1" x14ac:dyDescent="0.25">
      <c r="A849" s="309"/>
      <c r="B849" s="309"/>
      <c r="C849" s="309"/>
      <c r="D849" s="309"/>
      <c r="E849" s="309"/>
      <c r="F849" s="309"/>
      <c r="G849" s="309"/>
      <c r="H849" s="309"/>
      <c r="I849" s="309"/>
      <c r="J849" s="309"/>
      <c r="K849" s="309"/>
      <c r="L849" s="309"/>
      <c r="M849" s="309"/>
      <c r="N849" s="309"/>
      <c r="O849" s="309"/>
      <c r="P849" s="309"/>
      <c r="Q849" s="309"/>
      <c r="R849" s="309"/>
      <c r="S849" s="309"/>
      <c r="T849" s="309"/>
      <c r="U849" s="309"/>
      <c r="V849" s="309"/>
      <c r="W849" s="309"/>
      <c r="X849" s="309"/>
      <c r="Y849" s="309"/>
      <c r="Z849" s="309"/>
      <c r="AA849" s="309"/>
      <c r="AB849" s="309"/>
      <c r="AC849" s="309"/>
      <c r="AD849" s="309"/>
      <c r="AE849" s="309"/>
      <c r="AF849" s="309"/>
      <c r="AG849" s="309"/>
    </row>
    <row r="850" spans="1:33" ht="15.75" customHeight="1" x14ac:dyDescent="0.25">
      <c r="A850" s="309"/>
      <c r="B850" s="309"/>
      <c r="C850" s="309"/>
      <c r="D850" s="309"/>
      <c r="E850" s="309"/>
      <c r="F850" s="309"/>
      <c r="G850" s="309"/>
      <c r="H850" s="309"/>
      <c r="I850" s="309"/>
      <c r="J850" s="309"/>
      <c r="K850" s="309"/>
      <c r="L850" s="309"/>
      <c r="M850" s="309"/>
      <c r="N850" s="309"/>
      <c r="O850" s="309"/>
      <c r="P850" s="309"/>
      <c r="Q850" s="309"/>
      <c r="R850" s="309"/>
      <c r="S850" s="309"/>
      <c r="T850" s="309"/>
      <c r="U850" s="309"/>
      <c r="V850" s="309"/>
      <c r="W850" s="309"/>
      <c r="X850" s="309"/>
      <c r="Y850" s="309"/>
      <c r="Z850" s="309"/>
      <c r="AA850" s="309"/>
      <c r="AB850" s="309"/>
      <c r="AC850" s="309"/>
      <c r="AD850" s="309"/>
      <c r="AE850" s="309"/>
      <c r="AF850" s="309"/>
      <c r="AG850" s="309"/>
    </row>
    <row r="851" spans="1:33" ht="15.75" customHeight="1" x14ac:dyDescent="0.25">
      <c r="A851" s="309"/>
      <c r="B851" s="309"/>
      <c r="C851" s="309"/>
      <c r="D851" s="309"/>
      <c r="E851" s="309"/>
      <c r="F851" s="309"/>
      <c r="G851" s="309"/>
      <c r="H851" s="309"/>
      <c r="I851" s="309"/>
      <c r="J851" s="309"/>
      <c r="K851" s="309"/>
      <c r="L851" s="309"/>
      <c r="M851" s="309"/>
      <c r="N851" s="309"/>
      <c r="O851" s="309"/>
      <c r="P851" s="309"/>
      <c r="Q851" s="309"/>
      <c r="R851" s="309"/>
      <c r="S851" s="309"/>
      <c r="T851" s="309"/>
      <c r="U851" s="309"/>
      <c r="V851" s="309"/>
      <c r="W851" s="309"/>
      <c r="X851" s="309"/>
      <c r="Y851" s="309"/>
      <c r="Z851" s="309"/>
      <c r="AA851" s="309"/>
      <c r="AB851" s="309"/>
      <c r="AC851" s="309"/>
      <c r="AD851" s="309"/>
      <c r="AE851" s="309"/>
      <c r="AF851" s="309"/>
      <c r="AG851" s="309"/>
    </row>
    <row r="852" spans="1:33" ht="15.75" customHeight="1" x14ac:dyDescent="0.25">
      <c r="A852" s="309"/>
      <c r="B852" s="309"/>
      <c r="C852" s="309"/>
      <c r="D852" s="309"/>
      <c r="E852" s="309"/>
      <c r="F852" s="309"/>
      <c r="G852" s="309"/>
      <c r="H852" s="309"/>
      <c r="I852" s="309"/>
      <c r="J852" s="309"/>
      <c r="K852" s="309"/>
      <c r="L852" s="309"/>
      <c r="M852" s="309"/>
      <c r="N852" s="309"/>
      <c r="O852" s="309"/>
      <c r="P852" s="309"/>
      <c r="Q852" s="309"/>
      <c r="R852" s="309"/>
      <c r="S852" s="309"/>
      <c r="T852" s="309"/>
      <c r="U852" s="309"/>
      <c r="V852" s="309"/>
      <c r="W852" s="309"/>
      <c r="X852" s="309"/>
      <c r="Y852" s="309"/>
      <c r="Z852" s="309"/>
      <c r="AA852" s="309"/>
      <c r="AB852" s="309"/>
      <c r="AC852" s="309"/>
      <c r="AD852" s="309"/>
      <c r="AE852" s="309"/>
      <c r="AF852" s="309"/>
      <c r="AG852" s="309"/>
    </row>
    <row r="853" spans="1:33" ht="15.75" customHeight="1" x14ac:dyDescent="0.25">
      <c r="A853" s="309"/>
      <c r="B853" s="309"/>
      <c r="C853" s="309"/>
      <c r="D853" s="309"/>
      <c r="E853" s="309"/>
      <c r="F853" s="309"/>
      <c r="G853" s="309"/>
      <c r="H853" s="309"/>
      <c r="I853" s="309"/>
      <c r="J853" s="309"/>
      <c r="K853" s="309"/>
      <c r="L853" s="309"/>
      <c r="M853" s="309"/>
      <c r="N853" s="309"/>
      <c r="O853" s="309"/>
      <c r="P853" s="309"/>
      <c r="Q853" s="309"/>
      <c r="R853" s="309"/>
      <c r="S853" s="309"/>
      <c r="T853" s="309"/>
      <c r="U853" s="309"/>
      <c r="V853" s="309"/>
      <c r="W853" s="309"/>
      <c r="X853" s="309"/>
      <c r="Y853" s="309"/>
      <c r="Z853" s="309"/>
      <c r="AA853" s="309"/>
      <c r="AB853" s="309"/>
      <c r="AC853" s="309"/>
      <c r="AD853" s="309"/>
      <c r="AE853" s="309"/>
      <c r="AF853" s="309"/>
      <c r="AG853" s="309"/>
    </row>
    <row r="854" spans="1:33" ht="15.75" customHeight="1" x14ac:dyDescent="0.25">
      <c r="A854" s="309"/>
      <c r="B854" s="309"/>
      <c r="C854" s="309"/>
      <c r="D854" s="309"/>
      <c r="E854" s="309"/>
      <c r="F854" s="309"/>
      <c r="G854" s="309"/>
      <c r="H854" s="309"/>
      <c r="I854" s="309"/>
      <c r="J854" s="309"/>
      <c r="K854" s="309"/>
      <c r="L854" s="309"/>
      <c r="M854" s="309"/>
      <c r="N854" s="309"/>
      <c r="O854" s="309"/>
      <c r="P854" s="309"/>
      <c r="Q854" s="309"/>
      <c r="R854" s="309"/>
      <c r="S854" s="309"/>
      <c r="T854" s="309"/>
      <c r="U854" s="309"/>
      <c r="V854" s="309"/>
      <c r="W854" s="309"/>
      <c r="X854" s="309"/>
      <c r="Y854" s="309"/>
      <c r="Z854" s="309"/>
      <c r="AA854" s="309"/>
      <c r="AB854" s="309"/>
      <c r="AC854" s="309"/>
      <c r="AD854" s="309"/>
      <c r="AE854" s="309"/>
      <c r="AF854" s="309"/>
      <c r="AG854" s="309"/>
    </row>
    <row r="855" spans="1:33" ht="15.75" customHeight="1" x14ac:dyDescent="0.25">
      <c r="A855" s="309"/>
      <c r="B855" s="309"/>
      <c r="C855" s="309"/>
      <c r="D855" s="309"/>
      <c r="E855" s="309"/>
      <c r="F855" s="309"/>
      <c r="G855" s="309"/>
      <c r="H855" s="309"/>
      <c r="I855" s="309"/>
      <c r="J855" s="309"/>
      <c r="K855" s="309"/>
      <c r="L855" s="309"/>
      <c r="M855" s="309"/>
      <c r="N855" s="309"/>
      <c r="O855" s="309"/>
      <c r="P855" s="309"/>
      <c r="Q855" s="309"/>
      <c r="R855" s="309"/>
      <c r="S855" s="309"/>
      <c r="T855" s="309"/>
      <c r="U855" s="309"/>
      <c r="V855" s="309"/>
      <c r="W855" s="309"/>
      <c r="X855" s="309"/>
      <c r="Y855" s="309"/>
      <c r="Z855" s="309"/>
      <c r="AA855" s="309"/>
      <c r="AB855" s="309"/>
      <c r="AC855" s="309"/>
      <c r="AD855" s="309"/>
      <c r="AE855" s="309"/>
      <c r="AF855" s="309"/>
      <c r="AG855" s="309"/>
    </row>
    <row r="856" spans="1:33" ht="15.75" customHeight="1" x14ac:dyDescent="0.25">
      <c r="A856" s="309"/>
      <c r="B856" s="309"/>
      <c r="C856" s="309"/>
      <c r="D856" s="309"/>
      <c r="E856" s="309"/>
      <c r="F856" s="309"/>
      <c r="G856" s="309"/>
      <c r="H856" s="309"/>
      <c r="I856" s="309"/>
      <c r="J856" s="309"/>
      <c r="K856" s="309"/>
      <c r="L856" s="309"/>
      <c r="M856" s="309"/>
      <c r="N856" s="309"/>
      <c r="O856" s="309"/>
      <c r="P856" s="309"/>
      <c r="Q856" s="309"/>
      <c r="R856" s="309"/>
      <c r="S856" s="309"/>
      <c r="T856" s="309"/>
      <c r="U856" s="309"/>
      <c r="V856" s="309"/>
      <c r="W856" s="309"/>
      <c r="X856" s="309"/>
      <c r="Y856" s="309"/>
      <c r="Z856" s="309"/>
      <c r="AA856" s="309"/>
      <c r="AB856" s="309"/>
      <c r="AC856" s="309"/>
      <c r="AD856" s="309"/>
      <c r="AE856" s="309"/>
      <c r="AF856" s="309"/>
      <c r="AG856" s="309"/>
    </row>
    <row r="857" spans="1:33" ht="15.75" customHeight="1" x14ac:dyDescent="0.25">
      <c r="A857" s="309"/>
      <c r="B857" s="309"/>
      <c r="C857" s="309"/>
      <c r="D857" s="309"/>
      <c r="E857" s="309"/>
      <c r="F857" s="309"/>
      <c r="G857" s="309"/>
      <c r="H857" s="309"/>
      <c r="I857" s="309"/>
      <c r="J857" s="309"/>
      <c r="K857" s="309"/>
      <c r="L857" s="309"/>
      <c r="M857" s="309"/>
      <c r="N857" s="309"/>
      <c r="O857" s="309"/>
      <c r="P857" s="309"/>
      <c r="Q857" s="309"/>
      <c r="R857" s="309"/>
      <c r="S857" s="309"/>
      <c r="T857" s="309"/>
      <c r="U857" s="309"/>
      <c r="V857" s="309"/>
      <c r="W857" s="309"/>
      <c r="X857" s="309"/>
      <c r="Y857" s="309"/>
      <c r="Z857" s="309"/>
      <c r="AA857" s="309"/>
      <c r="AB857" s="309"/>
      <c r="AC857" s="309"/>
      <c r="AD857" s="309"/>
      <c r="AE857" s="309"/>
      <c r="AF857" s="309"/>
      <c r="AG857" s="309"/>
    </row>
    <row r="858" spans="1:33" ht="15.75" customHeight="1" x14ac:dyDescent="0.25">
      <c r="A858" s="309"/>
      <c r="B858" s="309"/>
      <c r="C858" s="309"/>
      <c r="D858" s="309"/>
      <c r="E858" s="309"/>
      <c r="F858" s="309"/>
      <c r="G858" s="309"/>
      <c r="H858" s="309"/>
      <c r="I858" s="309"/>
      <c r="J858" s="309"/>
      <c r="K858" s="309"/>
      <c r="L858" s="309"/>
      <c r="M858" s="309"/>
      <c r="N858" s="309"/>
      <c r="O858" s="309"/>
      <c r="P858" s="309"/>
      <c r="Q858" s="309"/>
      <c r="R858" s="309"/>
      <c r="S858" s="309"/>
      <c r="T858" s="309"/>
      <c r="U858" s="309"/>
      <c r="V858" s="309"/>
      <c r="W858" s="309"/>
      <c r="X858" s="309"/>
      <c r="Y858" s="309"/>
      <c r="Z858" s="309"/>
      <c r="AA858" s="309"/>
      <c r="AB858" s="309"/>
      <c r="AC858" s="309"/>
      <c r="AD858" s="309"/>
      <c r="AE858" s="309"/>
      <c r="AF858" s="309"/>
      <c r="AG858" s="309"/>
    </row>
    <row r="859" spans="1:33" ht="15.75" customHeight="1" x14ac:dyDescent="0.25">
      <c r="A859" s="309"/>
      <c r="B859" s="309"/>
      <c r="C859" s="309"/>
      <c r="D859" s="309"/>
      <c r="E859" s="309"/>
      <c r="F859" s="309"/>
      <c r="G859" s="309"/>
      <c r="H859" s="309"/>
      <c r="I859" s="309"/>
      <c r="J859" s="309"/>
      <c r="K859" s="309"/>
      <c r="L859" s="309"/>
      <c r="M859" s="309"/>
      <c r="N859" s="309"/>
      <c r="O859" s="309"/>
      <c r="P859" s="309"/>
      <c r="Q859" s="309"/>
      <c r="R859" s="309"/>
      <c r="S859" s="309"/>
      <c r="T859" s="309"/>
      <c r="U859" s="309"/>
      <c r="V859" s="309"/>
      <c r="W859" s="309"/>
      <c r="X859" s="309"/>
      <c r="Y859" s="309"/>
      <c r="Z859" s="309"/>
      <c r="AA859" s="309"/>
      <c r="AB859" s="309"/>
      <c r="AC859" s="309"/>
      <c r="AD859" s="309"/>
      <c r="AE859" s="309"/>
      <c r="AF859" s="309"/>
      <c r="AG859" s="309"/>
    </row>
    <row r="860" spans="1:33" ht="15.75" customHeight="1" x14ac:dyDescent="0.25">
      <c r="A860" s="309"/>
      <c r="B860" s="309"/>
      <c r="C860" s="309"/>
      <c r="D860" s="309"/>
      <c r="E860" s="309"/>
      <c r="F860" s="309"/>
      <c r="G860" s="309"/>
      <c r="H860" s="309"/>
      <c r="I860" s="309"/>
      <c r="J860" s="309"/>
      <c r="K860" s="309"/>
      <c r="L860" s="309"/>
      <c r="M860" s="309"/>
      <c r="N860" s="309"/>
      <c r="O860" s="309"/>
      <c r="P860" s="309"/>
      <c r="Q860" s="309"/>
      <c r="R860" s="309"/>
      <c r="S860" s="309"/>
      <c r="T860" s="309"/>
      <c r="U860" s="309"/>
      <c r="V860" s="309"/>
      <c r="W860" s="309"/>
      <c r="X860" s="309"/>
      <c r="Y860" s="309"/>
      <c r="Z860" s="309"/>
      <c r="AA860" s="309"/>
      <c r="AB860" s="309"/>
      <c r="AC860" s="309"/>
      <c r="AD860" s="309"/>
      <c r="AE860" s="309"/>
      <c r="AF860" s="309"/>
      <c r="AG860" s="309"/>
    </row>
    <row r="861" spans="1:33" ht="15.75" customHeight="1" x14ac:dyDescent="0.25">
      <c r="A861" s="309"/>
      <c r="B861" s="309"/>
      <c r="C861" s="309"/>
      <c r="D861" s="309"/>
      <c r="E861" s="309"/>
      <c r="F861" s="309"/>
      <c r="G861" s="309"/>
      <c r="H861" s="309"/>
      <c r="I861" s="309"/>
      <c r="J861" s="309"/>
      <c r="K861" s="309"/>
      <c r="L861" s="309"/>
      <c r="M861" s="309"/>
      <c r="N861" s="309"/>
      <c r="O861" s="309"/>
      <c r="P861" s="309"/>
      <c r="Q861" s="309"/>
      <c r="R861" s="309"/>
      <c r="S861" s="309"/>
      <c r="T861" s="309"/>
      <c r="U861" s="309"/>
      <c r="V861" s="309"/>
      <c r="W861" s="309"/>
      <c r="X861" s="309"/>
      <c r="Y861" s="309"/>
      <c r="Z861" s="309"/>
      <c r="AA861" s="309"/>
      <c r="AB861" s="309"/>
      <c r="AC861" s="309"/>
      <c r="AD861" s="309"/>
      <c r="AE861" s="309"/>
      <c r="AF861" s="309"/>
      <c r="AG861" s="309"/>
    </row>
    <row r="862" spans="1:33" ht="15.75" customHeight="1" x14ac:dyDescent="0.25">
      <c r="A862" s="309"/>
      <c r="B862" s="309"/>
      <c r="C862" s="309"/>
      <c r="D862" s="309"/>
      <c r="E862" s="309"/>
      <c r="F862" s="309"/>
      <c r="G862" s="309"/>
      <c r="H862" s="309"/>
      <c r="I862" s="309"/>
      <c r="J862" s="309"/>
      <c r="K862" s="309"/>
      <c r="L862" s="309"/>
      <c r="M862" s="309"/>
      <c r="N862" s="309"/>
      <c r="O862" s="309"/>
      <c r="P862" s="309"/>
      <c r="Q862" s="309"/>
      <c r="R862" s="309"/>
      <c r="S862" s="309"/>
      <c r="T862" s="309"/>
      <c r="U862" s="309"/>
      <c r="V862" s="309"/>
      <c r="W862" s="309"/>
      <c r="X862" s="309"/>
      <c r="Y862" s="309"/>
      <c r="Z862" s="309"/>
      <c r="AA862" s="309"/>
      <c r="AB862" s="309"/>
      <c r="AC862" s="309"/>
      <c r="AD862" s="309"/>
      <c r="AE862" s="309"/>
      <c r="AF862" s="309"/>
      <c r="AG862" s="309"/>
    </row>
    <row r="863" spans="1:33" ht="15.75" customHeight="1" x14ac:dyDescent="0.25">
      <c r="A863" s="309"/>
      <c r="B863" s="309"/>
      <c r="C863" s="309"/>
      <c r="D863" s="309"/>
      <c r="E863" s="309"/>
      <c r="F863" s="309"/>
      <c r="G863" s="309"/>
      <c r="H863" s="309"/>
      <c r="I863" s="309"/>
      <c r="J863" s="309"/>
      <c r="K863" s="309"/>
      <c r="L863" s="309"/>
      <c r="M863" s="309"/>
      <c r="N863" s="309"/>
      <c r="O863" s="309"/>
      <c r="P863" s="309"/>
      <c r="Q863" s="309"/>
      <c r="R863" s="309"/>
      <c r="S863" s="309"/>
      <c r="T863" s="309"/>
      <c r="U863" s="309"/>
      <c r="V863" s="309"/>
      <c r="W863" s="309"/>
      <c r="X863" s="309"/>
      <c r="Y863" s="309"/>
      <c r="Z863" s="309"/>
      <c r="AA863" s="309"/>
      <c r="AB863" s="309"/>
      <c r="AC863" s="309"/>
      <c r="AD863" s="309"/>
      <c r="AE863" s="309"/>
      <c r="AF863" s="309"/>
      <c r="AG863" s="309"/>
    </row>
    <row r="864" spans="1:33" ht="15.75" customHeight="1" x14ac:dyDescent="0.25">
      <c r="A864" s="309"/>
      <c r="B864" s="309"/>
      <c r="C864" s="309"/>
      <c r="D864" s="309"/>
      <c r="E864" s="309"/>
      <c r="F864" s="309"/>
      <c r="G864" s="309"/>
      <c r="H864" s="309"/>
      <c r="I864" s="309"/>
      <c r="J864" s="309"/>
      <c r="K864" s="309"/>
      <c r="L864" s="309"/>
      <c r="M864" s="309"/>
      <c r="N864" s="309"/>
      <c r="O864" s="309"/>
      <c r="P864" s="309"/>
      <c r="Q864" s="309"/>
      <c r="R864" s="309"/>
      <c r="S864" s="309"/>
      <c r="T864" s="309"/>
      <c r="U864" s="309"/>
      <c r="V864" s="309"/>
      <c r="W864" s="309"/>
      <c r="X864" s="309"/>
      <c r="Y864" s="309"/>
      <c r="Z864" s="309"/>
      <c r="AA864" s="309"/>
      <c r="AB864" s="309"/>
      <c r="AC864" s="309"/>
      <c r="AD864" s="309"/>
      <c r="AE864" s="309"/>
      <c r="AF864" s="309"/>
      <c r="AG864" s="309"/>
    </row>
    <row r="865" spans="1:33" ht="15.75" customHeight="1" x14ac:dyDescent="0.25">
      <c r="A865" s="309"/>
      <c r="B865" s="309"/>
      <c r="C865" s="309"/>
      <c r="D865" s="309"/>
      <c r="E865" s="309"/>
      <c r="F865" s="309"/>
      <c r="G865" s="309"/>
      <c r="H865" s="309"/>
      <c r="I865" s="309"/>
      <c r="J865" s="309"/>
      <c r="K865" s="309"/>
      <c r="L865" s="309"/>
      <c r="M865" s="309"/>
      <c r="N865" s="309"/>
      <c r="O865" s="309"/>
      <c r="P865" s="309"/>
      <c r="Q865" s="309"/>
      <c r="R865" s="309"/>
      <c r="S865" s="309"/>
      <c r="T865" s="309"/>
      <c r="U865" s="309"/>
      <c r="V865" s="309"/>
      <c r="W865" s="309"/>
      <c r="X865" s="309"/>
      <c r="Y865" s="309"/>
      <c r="Z865" s="309"/>
      <c r="AA865" s="309"/>
      <c r="AB865" s="309"/>
      <c r="AC865" s="309"/>
      <c r="AD865" s="309"/>
      <c r="AE865" s="309"/>
      <c r="AF865" s="309"/>
      <c r="AG865" s="309"/>
    </row>
    <row r="866" spans="1:33" ht="15.75" customHeight="1" x14ac:dyDescent="0.25">
      <c r="A866" s="309"/>
      <c r="B866" s="309"/>
      <c r="C866" s="309"/>
      <c r="D866" s="309"/>
      <c r="E866" s="309"/>
      <c r="F866" s="309"/>
      <c r="G866" s="309"/>
      <c r="H866" s="309"/>
      <c r="I866" s="309"/>
      <c r="J866" s="309"/>
      <c r="K866" s="309"/>
      <c r="L866" s="309"/>
      <c r="M866" s="309"/>
      <c r="N866" s="309"/>
      <c r="O866" s="309"/>
      <c r="P866" s="309"/>
      <c r="Q866" s="309"/>
      <c r="R866" s="309"/>
      <c r="S866" s="309"/>
      <c r="T866" s="309"/>
      <c r="U866" s="309"/>
      <c r="V866" s="309"/>
      <c r="W866" s="309"/>
      <c r="X866" s="309"/>
      <c r="Y866" s="309"/>
      <c r="Z866" s="309"/>
      <c r="AA866" s="309"/>
      <c r="AB866" s="309"/>
      <c r="AC866" s="309"/>
      <c r="AD866" s="309"/>
      <c r="AE866" s="309"/>
      <c r="AF866" s="309"/>
      <c r="AG866" s="309"/>
    </row>
    <row r="867" spans="1:33" ht="15.75" customHeight="1" x14ac:dyDescent="0.25">
      <c r="A867" s="309"/>
      <c r="B867" s="309"/>
      <c r="C867" s="309"/>
      <c r="D867" s="309"/>
      <c r="E867" s="309"/>
      <c r="F867" s="309"/>
      <c r="G867" s="309"/>
      <c r="H867" s="309"/>
      <c r="I867" s="309"/>
      <c r="J867" s="309"/>
      <c r="K867" s="309"/>
      <c r="L867" s="309"/>
      <c r="M867" s="309"/>
      <c r="N867" s="309"/>
      <c r="O867" s="309"/>
      <c r="P867" s="309"/>
      <c r="Q867" s="309"/>
      <c r="R867" s="309"/>
      <c r="S867" s="309"/>
      <c r="T867" s="309"/>
      <c r="U867" s="309"/>
      <c r="V867" s="309"/>
      <c r="W867" s="309"/>
      <c r="X867" s="309"/>
      <c r="Y867" s="309"/>
      <c r="Z867" s="309"/>
      <c r="AA867" s="309"/>
      <c r="AB867" s="309"/>
      <c r="AC867" s="309"/>
      <c r="AD867" s="309"/>
      <c r="AE867" s="309"/>
      <c r="AF867" s="309"/>
      <c r="AG867" s="309"/>
    </row>
    <row r="868" spans="1:33" ht="15.75" customHeight="1" x14ac:dyDescent="0.25">
      <c r="A868" s="309"/>
      <c r="B868" s="309"/>
      <c r="C868" s="309"/>
      <c r="D868" s="309"/>
      <c r="E868" s="309"/>
      <c r="F868" s="309"/>
      <c r="G868" s="309"/>
      <c r="H868" s="309"/>
      <c r="I868" s="309"/>
      <c r="J868" s="309"/>
      <c r="K868" s="309"/>
      <c r="L868" s="309"/>
      <c r="M868" s="309"/>
      <c r="N868" s="309"/>
      <c r="O868" s="309"/>
      <c r="P868" s="309"/>
      <c r="Q868" s="309"/>
      <c r="R868" s="309"/>
      <c r="S868" s="309"/>
      <c r="T868" s="309"/>
      <c r="U868" s="309"/>
      <c r="V868" s="309"/>
      <c r="W868" s="309"/>
      <c r="X868" s="309"/>
      <c r="Y868" s="309"/>
      <c r="Z868" s="309"/>
      <c r="AA868" s="309"/>
      <c r="AB868" s="309"/>
      <c r="AC868" s="309"/>
      <c r="AD868" s="309"/>
      <c r="AE868" s="309"/>
      <c r="AF868" s="309"/>
      <c r="AG868" s="309"/>
    </row>
    <row r="869" spans="1:33" ht="15.75" customHeight="1" x14ac:dyDescent="0.25">
      <c r="A869" s="309"/>
      <c r="B869" s="309"/>
      <c r="C869" s="309"/>
      <c r="D869" s="309"/>
      <c r="E869" s="309"/>
      <c r="F869" s="309"/>
      <c r="G869" s="309"/>
      <c r="H869" s="309"/>
      <c r="I869" s="309"/>
      <c r="J869" s="309"/>
      <c r="K869" s="309"/>
      <c r="L869" s="309"/>
      <c r="M869" s="309"/>
      <c r="N869" s="309"/>
      <c r="O869" s="309"/>
      <c r="P869" s="309"/>
      <c r="Q869" s="309"/>
      <c r="R869" s="309"/>
      <c r="S869" s="309"/>
      <c r="T869" s="309"/>
      <c r="U869" s="309"/>
      <c r="V869" s="309"/>
      <c r="W869" s="309"/>
      <c r="X869" s="309"/>
      <c r="Y869" s="309"/>
      <c r="Z869" s="309"/>
      <c r="AA869" s="309"/>
      <c r="AB869" s="309"/>
      <c r="AC869" s="309"/>
      <c r="AD869" s="309"/>
      <c r="AE869" s="309"/>
      <c r="AF869" s="309"/>
      <c r="AG869" s="309"/>
    </row>
    <row r="870" spans="1:33" ht="15.75" customHeight="1" x14ac:dyDescent="0.25">
      <c r="A870" s="309"/>
      <c r="B870" s="309"/>
      <c r="C870" s="309"/>
      <c r="D870" s="309"/>
      <c r="E870" s="309"/>
      <c r="F870" s="309"/>
      <c r="G870" s="309"/>
      <c r="H870" s="309"/>
      <c r="I870" s="309"/>
      <c r="J870" s="309"/>
      <c r="K870" s="309"/>
      <c r="L870" s="309"/>
      <c r="M870" s="309"/>
      <c r="N870" s="309"/>
      <c r="O870" s="309"/>
      <c r="P870" s="309"/>
      <c r="Q870" s="309"/>
      <c r="R870" s="309"/>
      <c r="S870" s="309"/>
      <c r="T870" s="309"/>
      <c r="U870" s="309"/>
      <c r="V870" s="309"/>
      <c r="W870" s="309"/>
      <c r="X870" s="309"/>
      <c r="Y870" s="309"/>
      <c r="Z870" s="309"/>
      <c r="AA870" s="309"/>
      <c r="AB870" s="309"/>
      <c r="AC870" s="309"/>
      <c r="AD870" s="309"/>
      <c r="AE870" s="309"/>
      <c r="AF870" s="309"/>
      <c r="AG870" s="309"/>
    </row>
    <row r="871" spans="1:33" ht="15.75" customHeight="1" x14ac:dyDescent="0.25">
      <c r="A871" s="309"/>
      <c r="B871" s="309"/>
      <c r="C871" s="309"/>
      <c r="D871" s="309"/>
      <c r="E871" s="309"/>
      <c r="F871" s="309"/>
      <c r="G871" s="309"/>
      <c r="H871" s="309"/>
      <c r="I871" s="309"/>
      <c r="J871" s="309"/>
      <c r="K871" s="309"/>
      <c r="L871" s="309"/>
      <c r="M871" s="309"/>
      <c r="N871" s="309"/>
      <c r="O871" s="309"/>
      <c r="P871" s="309"/>
      <c r="Q871" s="309"/>
      <c r="R871" s="309"/>
      <c r="S871" s="309"/>
      <c r="T871" s="309"/>
      <c r="U871" s="309"/>
      <c r="V871" s="309"/>
      <c r="W871" s="309"/>
      <c r="X871" s="309"/>
      <c r="Y871" s="309"/>
      <c r="Z871" s="309"/>
      <c r="AA871" s="309"/>
      <c r="AB871" s="309"/>
      <c r="AC871" s="309"/>
      <c r="AD871" s="309"/>
      <c r="AE871" s="309"/>
      <c r="AF871" s="309"/>
      <c r="AG871" s="309"/>
    </row>
    <row r="872" spans="1:33" ht="15.75" customHeight="1" x14ac:dyDescent="0.25">
      <c r="A872" s="309"/>
      <c r="B872" s="309"/>
      <c r="C872" s="309"/>
      <c r="D872" s="309"/>
      <c r="E872" s="309"/>
      <c r="F872" s="309"/>
      <c r="G872" s="309"/>
      <c r="H872" s="309"/>
      <c r="I872" s="309"/>
      <c r="J872" s="309"/>
      <c r="K872" s="309"/>
      <c r="L872" s="309"/>
      <c r="M872" s="309"/>
      <c r="N872" s="309"/>
      <c r="O872" s="309"/>
      <c r="P872" s="309"/>
      <c r="Q872" s="309"/>
      <c r="R872" s="309"/>
      <c r="S872" s="309"/>
      <c r="T872" s="309"/>
      <c r="U872" s="309"/>
      <c r="V872" s="309"/>
      <c r="W872" s="309"/>
      <c r="X872" s="309"/>
      <c r="Y872" s="309"/>
      <c r="Z872" s="309"/>
      <c r="AA872" s="309"/>
      <c r="AB872" s="309"/>
      <c r="AC872" s="309"/>
      <c r="AD872" s="309"/>
      <c r="AE872" s="309"/>
      <c r="AF872" s="309"/>
      <c r="AG872" s="309"/>
    </row>
    <row r="873" spans="1:33" ht="15.75" customHeight="1" x14ac:dyDescent="0.25">
      <c r="A873" s="309"/>
      <c r="B873" s="309"/>
      <c r="C873" s="309"/>
      <c r="D873" s="309"/>
      <c r="E873" s="309"/>
      <c r="F873" s="309"/>
      <c r="G873" s="309"/>
      <c r="H873" s="309"/>
      <c r="I873" s="309"/>
      <c r="J873" s="309"/>
      <c r="K873" s="309"/>
      <c r="L873" s="309"/>
      <c r="M873" s="309"/>
      <c r="N873" s="309"/>
      <c r="O873" s="309"/>
      <c r="P873" s="309"/>
      <c r="Q873" s="309"/>
      <c r="R873" s="309"/>
      <c r="S873" s="309"/>
      <c r="T873" s="309"/>
      <c r="U873" s="309"/>
      <c r="V873" s="309"/>
      <c r="W873" s="309"/>
      <c r="X873" s="309"/>
      <c r="Y873" s="309"/>
      <c r="Z873" s="309"/>
      <c r="AA873" s="309"/>
      <c r="AB873" s="309"/>
      <c r="AC873" s="309"/>
      <c r="AD873" s="309"/>
      <c r="AE873" s="309"/>
      <c r="AF873" s="309"/>
      <c r="AG873" s="309"/>
    </row>
    <row r="874" spans="1:33" ht="15.75" customHeight="1" x14ac:dyDescent="0.25">
      <c r="A874" s="309"/>
      <c r="B874" s="309"/>
      <c r="C874" s="309"/>
      <c r="D874" s="309"/>
      <c r="E874" s="309"/>
      <c r="F874" s="309"/>
      <c r="G874" s="309"/>
      <c r="H874" s="309"/>
      <c r="I874" s="309"/>
      <c r="J874" s="309"/>
      <c r="K874" s="309"/>
      <c r="L874" s="309"/>
      <c r="M874" s="309"/>
      <c r="N874" s="309"/>
      <c r="O874" s="309"/>
      <c r="P874" s="309"/>
      <c r="Q874" s="309"/>
      <c r="R874" s="309"/>
      <c r="S874" s="309"/>
      <c r="T874" s="309"/>
      <c r="U874" s="309"/>
      <c r="V874" s="309"/>
      <c r="W874" s="309"/>
      <c r="X874" s="309"/>
      <c r="Y874" s="309"/>
      <c r="Z874" s="309"/>
      <c r="AA874" s="309"/>
      <c r="AB874" s="309"/>
      <c r="AC874" s="309"/>
      <c r="AD874" s="309"/>
      <c r="AE874" s="309"/>
      <c r="AF874" s="309"/>
      <c r="AG874" s="309"/>
    </row>
    <row r="875" spans="1:33" ht="15.75" customHeight="1" x14ac:dyDescent="0.25">
      <c r="A875" s="309"/>
      <c r="B875" s="309"/>
      <c r="C875" s="309"/>
      <c r="D875" s="309"/>
      <c r="E875" s="309"/>
      <c r="F875" s="309"/>
      <c r="G875" s="309"/>
      <c r="H875" s="309"/>
      <c r="I875" s="309"/>
      <c r="J875" s="309"/>
      <c r="K875" s="309"/>
      <c r="L875" s="309"/>
      <c r="M875" s="309"/>
      <c r="N875" s="309"/>
      <c r="O875" s="309"/>
      <c r="P875" s="309"/>
      <c r="Q875" s="309"/>
      <c r="R875" s="309"/>
      <c r="S875" s="309"/>
      <c r="T875" s="309"/>
      <c r="U875" s="309"/>
      <c r="V875" s="309"/>
      <c r="W875" s="309"/>
      <c r="X875" s="309"/>
      <c r="Y875" s="309"/>
      <c r="Z875" s="309"/>
      <c r="AA875" s="309"/>
      <c r="AB875" s="309"/>
      <c r="AC875" s="309"/>
      <c r="AD875" s="309"/>
      <c r="AE875" s="309"/>
      <c r="AF875" s="309"/>
      <c r="AG875" s="309"/>
    </row>
    <row r="876" spans="1:33" ht="15.75" customHeight="1" x14ac:dyDescent="0.25">
      <c r="A876" s="309"/>
      <c r="B876" s="309"/>
      <c r="C876" s="309"/>
      <c r="D876" s="309"/>
      <c r="E876" s="309"/>
      <c r="F876" s="309"/>
      <c r="G876" s="309"/>
      <c r="H876" s="309"/>
      <c r="I876" s="309"/>
      <c r="J876" s="309"/>
      <c r="K876" s="309"/>
      <c r="L876" s="309"/>
      <c r="M876" s="309"/>
      <c r="N876" s="309"/>
      <c r="O876" s="309"/>
      <c r="P876" s="309"/>
      <c r="Q876" s="309"/>
      <c r="R876" s="309"/>
      <c r="S876" s="309"/>
      <c r="T876" s="309"/>
      <c r="U876" s="309"/>
      <c r="V876" s="309"/>
      <c r="W876" s="309"/>
      <c r="X876" s="309"/>
      <c r="Y876" s="309"/>
      <c r="Z876" s="309"/>
      <c r="AA876" s="309"/>
      <c r="AB876" s="309"/>
      <c r="AC876" s="309"/>
      <c r="AD876" s="309"/>
      <c r="AE876" s="309"/>
      <c r="AF876" s="309"/>
      <c r="AG876" s="309"/>
    </row>
    <row r="877" spans="1:33" ht="15.75" customHeight="1" x14ac:dyDescent="0.25">
      <c r="A877" s="309"/>
      <c r="B877" s="309"/>
      <c r="C877" s="309"/>
      <c r="D877" s="309"/>
      <c r="E877" s="309"/>
      <c r="F877" s="309"/>
      <c r="G877" s="309"/>
      <c r="H877" s="309"/>
      <c r="I877" s="309"/>
      <c r="J877" s="309"/>
      <c r="K877" s="309"/>
      <c r="L877" s="309"/>
      <c r="M877" s="309"/>
      <c r="N877" s="309"/>
      <c r="O877" s="309"/>
      <c r="P877" s="309"/>
      <c r="Q877" s="309"/>
      <c r="R877" s="309"/>
      <c r="S877" s="309"/>
      <c r="T877" s="309"/>
      <c r="U877" s="309"/>
      <c r="V877" s="309"/>
      <c r="W877" s="309"/>
      <c r="X877" s="309"/>
      <c r="Y877" s="309"/>
      <c r="Z877" s="309"/>
      <c r="AA877" s="309"/>
      <c r="AB877" s="309"/>
      <c r="AC877" s="309"/>
      <c r="AD877" s="309"/>
      <c r="AE877" s="309"/>
      <c r="AF877" s="309"/>
      <c r="AG877" s="309"/>
    </row>
    <row r="878" spans="1:33" ht="15.75" customHeight="1" x14ac:dyDescent="0.25">
      <c r="A878" s="309"/>
      <c r="B878" s="309"/>
      <c r="C878" s="309"/>
      <c r="D878" s="309"/>
      <c r="E878" s="309"/>
      <c r="F878" s="309"/>
      <c r="G878" s="309"/>
      <c r="H878" s="309"/>
      <c r="I878" s="309"/>
      <c r="J878" s="309"/>
      <c r="K878" s="309"/>
      <c r="L878" s="309"/>
      <c r="M878" s="309"/>
      <c r="N878" s="309"/>
      <c r="O878" s="309"/>
      <c r="P878" s="309"/>
      <c r="Q878" s="309"/>
      <c r="R878" s="309"/>
      <c r="S878" s="309"/>
      <c r="T878" s="309"/>
      <c r="U878" s="309"/>
      <c r="V878" s="309"/>
      <c r="W878" s="309"/>
      <c r="X878" s="309"/>
      <c r="Y878" s="309"/>
      <c r="Z878" s="309"/>
      <c r="AA878" s="309"/>
      <c r="AB878" s="309"/>
      <c r="AC878" s="309"/>
      <c r="AD878" s="309"/>
      <c r="AE878" s="309"/>
      <c r="AF878" s="309"/>
      <c r="AG878" s="309"/>
    </row>
    <row r="879" spans="1:33" ht="15.75" customHeight="1" x14ac:dyDescent="0.25">
      <c r="A879" s="309"/>
      <c r="B879" s="309"/>
      <c r="C879" s="309"/>
      <c r="D879" s="309"/>
      <c r="E879" s="309"/>
      <c r="F879" s="309"/>
      <c r="G879" s="309"/>
      <c r="H879" s="309"/>
      <c r="I879" s="309"/>
      <c r="J879" s="309"/>
      <c r="K879" s="309"/>
      <c r="L879" s="309"/>
      <c r="M879" s="309"/>
      <c r="N879" s="309"/>
      <c r="O879" s="309"/>
      <c r="P879" s="309"/>
      <c r="Q879" s="309"/>
      <c r="R879" s="309"/>
      <c r="S879" s="309"/>
      <c r="T879" s="309"/>
      <c r="U879" s="309"/>
      <c r="V879" s="309"/>
      <c r="W879" s="309"/>
      <c r="X879" s="309"/>
      <c r="Y879" s="309"/>
      <c r="Z879" s="309"/>
      <c r="AA879" s="309"/>
      <c r="AB879" s="309"/>
      <c r="AC879" s="309"/>
      <c r="AD879" s="309"/>
      <c r="AE879" s="309"/>
      <c r="AF879" s="309"/>
      <c r="AG879" s="309"/>
    </row>
    <row r="880" spans="1:33" ht="15.75" customHeight="1" x14ac:dyDescent="0.25">
      <c r="A880" s="309"/>
      <c r="B880" s="309"/>
      <c r="C880" s="309"/>
      <c r="D880" s="309"/>
      <c r="E880" s="309"/>
      <c r="F880" s="309"/>
      <c r="G880" s="309"/>
      <c r="H880" s="309"/>
      <c r="I880" s="309"/>
      <c r="J880" s="309"/>
      <c r="K880" s="309"/>
      <c r="L880" s="309"/>
      <c r="M880" s="309"/>
      <c r="N880" s="309"/>
      <c r="O880" s="309"/>
      <c r="P880" s="309"/>
      <c r="Q880" s="309"/>
      <c r="R880" s="309"/>
      <c r="S880" s="309"/>
      <c r="T880" s="309"/>
      <c r="U880" s="309"/>
      <c r="V880" s="309"/>
      <c r="W880" s="309"/>
      <c r="X880" s="309"/>
      <c r="Y880" s="309"/>
      <c r="Z880" s="309"/>
      <c r="AA880" s="309"/>
      <c r="AB880" s="309"/>
      <c r="AC880" s="309"/>
      <c r="AD880" s="309"/>
      <c r="AE880" s="309"/>
      <c r="AF880" s="309"/>
      <c r="AG880" s="309"/>
    </row>
    <row r="881" spans="1:33" ht="15.75" customHeight="1" x14ac:dyDescent="0.25">
      <c r="A881" s="309"/>
      <c r="B881" s="309"/>
      <c r="C881" s="309"/>
      <c r="D881" s="309"/>
      <c r="E881" s="309"/>
      <c r="F881" s="309"/>
      <c r="G881" s="309"/>
      <c r="H881" s="309"/>
      <c r="I881" s="309"/>
      <c r="J881" s="309"/>
      <c r="K881" s="309"/>
      <c r="L881" s="309"/>
      <c r="M881" s="309"/>
      <c r="N881" s="309"/>
      <c r="O881" s="309"/>
      <c r="P881" s="309"/>
      <c r="Q881" s="309"/>
      <c r="R881" s="309"/>
      <c r="S881" s="309"/>
      <c r="T881" s="309"/>
      <c r="U881" s="309"/>
      <c r="V881" s="309"/>
      <c r="W881" s="309"/>
      <c r="X881" s="309"/>
      <c r="Y881" s="309"/>
      <c r="Z881" s="309"/>
      <c r="AA881" s="309"/>
      <c r="AB881" s="309"/>
      <c r="AC881" s="309"/>
      <c r="AD881" s="309"/>
      <c r="AE881" s="309"/>
      <c r="AF881" s="309"/>
      <c r="AG881" s="309"/>
    </row>
    <row r="882" spans="1:33" ht="15.75" customHeight="1" x14ac:dyDescent="0.25">
      <c r="A882" s="309"/>
      <c r="B882" s="309"/>
      <c r="C882" s="309"/>
      <c r="D882" s="309"/>
      <c r="E882" s="309"/>
      <c r="F882" s="309"/>
      <c r="G882" s="309"/>
      <c r="H882" s="309"/>
      <c r="I882" s="309"/>
      <c r="J882" s="309"/>
      <c r="K882" s="309"/>
      <c r="L882" s="309"/>
      <c r="M882" s="309"/>
      <c r="N882" s="309"/>
      <c r="O882" s="309"/>
      <c r="P882" s="309"/>
      <c r="Q882" s="309"/>
      <c r="R882" s="309"/>
      <c r="S882" s="309"/>
      <c r="T882" s="309"/>
      <c r="U882" s="309"/>
      <c r="V882" s="309"/>
      <c r="W882" s="309"/>
      <c r="X882" s="309"/>
      <c r="Y882" s="309"/>
      <c r="Z882" s="309"/>
      <c r="AA882" s="309"/>
      <c r="AB882" s="309"/>
      <c r="AC882" s="309"/>
      <c r="AD882" s="309"/>
      <c r="AE882" s="309"/>
      <c r="AF882" s="309"/>
      <c r="AG882" s="309"/>
    </row>
    <row r="883" spans="1:33" ht="15.75" customHeight="1" x14ac:dyDescent="0.25">
      <c r="A883" s="309"/>
      <c r="B883" s="309"/>
      <c r="C883" s="309"/>
      <c r="D883" s="309"/>
      <c r="E883" s="309"/>
      <c r="F883" s="309"/>
      <c r="G883" s="309"/>
      <c r="H883" s="309"/>
      <c r="I883" s="309"/>
      <c r="J883" s="309"/>
      <c r="K883" s="309"/>
      <c r="L883" s="309"/>
      <c r="M883" s="309"/>
      <c r="N883" s="309"/>
      <c r="O883" s="309"/>
      <c r="P883" s="309"/>
      <c r="Q883" s="309"/>
      <c r="R883" s="309"/>
      <c r="S883" s="309"/>
      <c r="T883" s="309"/>
      <c r="U883" s="309"/>
      <c r="V883" s="309"/>
      <c r="W883" s="309"/>
      <c r="X883" s="309"/>
      <c r="Y883" s="309"/>
      <c r="Z883" s="309"/>
      <c r="AA883" s="309"/>
      <c r="AB883" s="309"/>
      <c r="AC883" s="309"/>
      <c r="AD883" s="309"/>
      <c r="AE883" s="309"/>
      <c r="AF883" s="309"/>
      <c r="AG883" s="309"/>
    </row>
    <row r="884" spans="1:33" ht="15.75" customHeight="1" x14ac:dyDescent="0.25">
      <c r="A884" s="309"/>
      <c r="B884" s="309"/>
      <c r="C884" s="309"/>
      <c r="D884" s="309"/>
      <c r="E884" s="309"/>
      <c r="F884" s="309"/>
      <c r="G884" s="309"/>
      <c r="H884" s="309"/>
      <c r="I884" s="309"/>
      <c r="J884" s="309"/>
      <c r="K884" s="309"/>
      <c r="L884" s="309"/>
      <c r="M884" s="309"/>
      <c r="N884" s="309"/>
      <c r="O884" s="309"/>
      <c r="P884" s="309"/>
      <c r="Q884" s="309"/>
      <c r="R884" s="309"/>
      <c r="S884" s="309"/>
      <c r="T884" s="309"/>
      <c r="U884" s="309"/>
      <c r="V884" s="309"/>
      <c r="W884" s="309"/>
      <c r="X884" s="309"/>
      <c r="Y884" s="309"/>
      <c r="Z884" s="309"/>
      <c r="AA884" s="309"/>
      <c r="AB884" s="309"/>
      <c r="AC884" s="309"/>
      <c r="AD884" s="309"/>
      <c r="AE884" s="309"/>
      <c r="AF884" s="309"/>
      <c r="AG884" s="309"/>
    </row>
    <row r="885" spans="1:33" ht="15.75" customHeight="1" x14ac:dyDescent="0.25">
      <c r="A885" s="309"/>
      <c r="B885" s="309"/>
      <c r="C885" s="309"/>
      <c r="D885" s="309"/>
      <c r="E885" s="309"/>
      <c r="F885" s="309"/>
      <c r="G885" s="309"/>
      <c r="H885" s="309"/>
      <c r="I885" s="309"/>
      <c r="J885" s="309"/>
      <c r="K885" s="309"/>
      <c r="L885" s="309"/>
      <c r="M885" s="309"/>
      <c r="N885" s="309"/>
      <c r="O885" s="309"/>
      <c r="P885" s="309"/>
      <c r="Q885" s="309"/>
      <c r="R885" s="309"/>
      <c r="S885" s="309"/>
      <c r="T885" s="309"/>
      <c r="U885" s="309"/>
      <c r="V885" s="309"/>
      <c r="W885" s="309"/>
      <c r="X885" s="309"/>
      <c r="Y885" s="309"/>
      <c r="Z885" s="309"/>
      <c r="AA885" s="309"/>
      <c r="AB885" s="309"/>
      <c r="AC885" s="309"/>
      <c r="AD885" s="309"/>
      <c r="AE885" s="309"/>
      <c r="AF885" s="309"/>
      <c r="AG885" s="309"/>
    </row>
    <row r="886" spans="1:33" ht="15.75" customHeight="1" x14ac:dyDescent="0.25">
      <c r="A886" s="309"/>
      <c r="B886" s="309"/>
      <c r="C886" s="309"/>
      <c r="D886" s="309"/>
      <c r="E886" s="309"/>
      <c r="F886" s="309"/>
      <c r="G886" s="309"/>
      <c r="H886" s="309"/>
      <c r="I886" s="309"/>
      <c r="J886" s="309"/>
      <c r="K886" s="309"/>
      <c r="L886" s="309"/>
      <c r="M886" s="309"/>
      <c r="N886" s="309"/>
      <c r="O886" s="309"/>
      <c r="P886" s="309"/>
      <c r="Q886" s="309"/>
      <c r="R886" s="309"/>
      <c r="S886" s="309"/>
      <c r="T886" s="309"/>
      <c r="U886" s="309"/>
      <c r="V886" s="309"/>
      <c r="W886" s="309"/>
      <c r="X886" s="309"/>
      <c r="Y886" s="309"/>
      <c r="Z886" s="309"/>
      <c r="AA886" s="309"/>
      <c r="AB886" s="309"/>
      <c r="AC886" s="309"/>
      <c r="AD886" s="309"/>
      <c r="AE886" s="309"/>
      <c r="AF886" s="309"/>
      <c r="AG886" s="309"/>
    </row>
    <row r="887" spans="1:33" ht="15.75" customHeight="1" x14ac:dyDescent="0.25">
      <c r="A887" s="309"/>
      <c r="B887" s="309"/>
      <c r="C887" s="309"/>
      <c r="D887" s="309"/>
      <c r="E887" s="309"/>
      <c r="F887" s="309"/>
      <c r="G887" s="309"/>
      <c r="H887" s="309"/>
      <c r="I887" s="309"/>
      <c r="J887" s="309"/>
      <c r="K887" s="309"/>
      <c r="L887" s="309"/>
      <c r="M887" s="309"/>
      <c r="N887" s="309"/>
      <c r="O887" s="309"/>
      <c r="P887" s="309"/>
      <c r="Q887" s="309"/>
      <c r="R887" s="309"/>
      <c r="S887" s="309"/>
      <c r="T887" s="309"/>
      <c r="U887" s="309"/>
      <c r="V887" s="309"/>
      <c r="W887" s="309"/>
      <c r="X887" s="309"/>
      <c r="Y887" s="309"/>
      <c r="Z887" s="309"/>
      <c r="AA887" s="309"/>
      <c r="AB887" s="309"/>
      <c r="AC887" s="309"/>
      <c r="AD887" s="309"/>
      <c r="AE887" s="309"/>
      <c r="AF887" s="309"/>
      <c r="AG887" s="309"/>
    </row>
    <row r="888" spans="1:33" ht="15.75" customHeight="1" x14ac:dyDescent="0.25">
      <c r="A888" s="309"/>
      <c r="B888" s="309"/>
      <c r="C888" s="309"/>
      <c r="D888" s="309"/>
      <c r="E888" s="309"/>
      <c r="F888" s="309"/>
      <c r="G888" s="309"/>
      <c r="H888" s="309"/>
      <c r="I888" s="309"/>
      <c r="J888" s="309"/>
      <c r="K888" s="309"/>
      <c r="L888" s="309"/>
      <c r="M888" s="309"/>
      <c r="N888" s="309"/>
      <c r="O888" s="309"/>
      <c r="P888" s="309"/>
      <c r="Q888" s="309"/>
      <c r="R888" s="309"/>
      <c r="S888" s="309"/>
      <c r="T888" s="309"/>
      <c r="U888" s="309"/>
      <c r="V888" s="309"/>
      <c r="W888" s="309"/>
      <c r="X888" s="309"/>
      <c r="Y888" s="309"/>
      <c r="Z888" s="309"/>
      <c r="AA888" s="309"/>
      <c r="AB888" s="309"/>
      <c r="AC888" s="309"/>
      <c r="AD888" s="309"/>
      <c r="AE888" s="309"/>
      <c r="AF888" s="309"/>
      <c r="AG888" s="309"/>
    </row>
    <row r="889" spans="1:33" ht="15.75" customHeight="1" x14ac:dyDescent="0.25">
      <c r="A889" s="309"/>
      <c r="B889" s="309"/>
      <c r="C889" s="309"/>
      <c r="D889" s="309"/>
      <c r="E889" s="309"/>
      <c r="F889" s="309"/>
      <c r="G889" s="309"/>
      <c r="H889" s="309"/>
      <c r="I889" s="309"/>
      <c r="J889" s="309"/>
      <c r="K889" s="309"/>
      <c r="L889" s="309"/>
      <c r="M889" s="309"/>
      <c r="N889" s="309"/>
      <c r="O889" s="309"/>
      <c r="P889" s="309"/>
      <c r="Q889" s="309"/>
      <c r="R889" s="309"/>
      <c r="S889" s="309"/>
      <c r="T889" s="309"/>
      <c r="U889" s="309"/>
      <c r="V889" s="309"/>
      <c r="W889" s="309"/>
      <c r="X889" s="309"/>
      <c r="Y889" s="309"/>
      <c r="Z889" s="309"/>
      <c r="AA889" s="309"/>
      <c r="AB889" s="309"/>
      <c r="AC889" s="309"/>
      <c r="AD889" s="309"/>
      <c r="AE889" s="309"/>
      <c r="AF889" s="309"/>
      <c r="AG889" s="309"/>
    </row>
    <row r="890" spans="1:33" ht="15.75" customHeight="1" x14ac:dyDescent="0.25">
      <c r="A890" s="309"/>
      <c r="B890" s="309"/>
      <c r="C890" s="309"/>
      <c r="D890" s="309"/>
      <c r="E890" s="309"/>
      <c r="F890" s="309"/>
      <c r="G890" s="309"/>
      <c r="H890" s="309"/>
      <c r="I890" s="309"/>
      <c r="J890" s="309"/>
      <c r="K890" s="309"/>
      <c r="L890" s="309"/>
      <c r="M890" s="309"/>
      <c r="N890" s="309"/>
      <c r="O890" s="309"/>
      <c r="P890" s="309"/>
      <c r="Q890" s="309"/>
      <c r="R890" s="309"/>
      <c r="S890" s="309"/>
      <c r="T890" s="309"/>
      <c r="U890" s="309"/>
      <c r="V890" s="309"/>
      <c r="W890" s="309"/>
      <c r="X890" s="309"/>
      <c r="Y890" s="309"/>
      <c r="Z890" s="309"/>
      <c r="AA890" s="309"/>
      <c r="AB890" s="309"/>
      <c r="AC890" s="309"/>
      <c r="AD890" s="309"/>
      <c r="AE890" s="309"/>
      <c r="AF890" s="309"/>
      <c r="AG890" s="309"/>
    </row>
    <row r="891" spans="1:33" ht="15.75" customHeight="1" x14ac:dyDescent="0.25">
      <c r="A891" s="309"/>
      <c r="B891" s="309"/>
      <c r="C891" s="309"/>
      <c r="D891" s="309"/>
      <c r="E891" s="309"/>
      <c r="F891" s="309"/>
      <c r="G891" s="309"/>
      <c r="H891" s="309"/>
      <c r="I891" s="309"/>
      <c r="J891" s="309"/>
      <c r="K891" s="309"/>
      <c r="L891" s="309"/>
      <c r="M891" s="309"/>
      <c r="N891" s="309"/>
      <c r="O891" s="309"/>
      <c r="P891" s="309"/>
      <c r="Q891" s="309"/>
      <c r="R891" s="309"/>
      <c r="S891" s="309"/>
      <c r="T891" s="309"/>
      <c r="U891" s="309"/>
      <c r="V891" s="309"/>
      <c r="W891" s="309"/>
      <c r="X891" s="309"/>
      <c r="Y891" s="309"/>
      <c r="Z891" s="309"/>
      <c r="AA891" s="309"/>
      <c r="AB891" s="309"/>
      <c r="AC891" s="309"/>
      <c r="AD891" s="309"/>
      <c r="AE891" s="309"/>
      <c r="AF891" s="309"/>
      <c r="AG891" s="309"/>
    </row>
    <row r="892" spans="1:33" ht="15.75" customHeight="1" x14ac:dyDescent="0.25">
      <c r="A892" s="309"/>
      <c r="B892" s="309"/>
      <c r="C892" s="309"/>
      <c r="D892" s="309"/>
      <c r="E892" s="309"/>
      <c r="F892" s="309"/>
      <c r="G892" s="309"/>
      <c r="H892" s="309"/>
      <c r="I892" s="309"/>
      <c r="J892" s="309"/>
      <c r="K892" s="309"/>
      <c r="L892" s="309"/>
      <c r="M892" s="309"/>
      <c r="N892" s="309"/>
      <c r="O892" s="309"/>
      <c r="P892" s="309"/>
      <c r="Q892" s="309"/>
      <c r="R892" s="309"/>
      <c r="S892" s="309"/>
      <c r="T892" s="309"/>
      <c r="U892" s="309"/>
      <c r="V892" s="309"/>
      <c r="W892" s="309"/>
      <c r="X892" s="309"/>
      <c r="Y892" s="309"/>
      <c r="Z892" s="309"/>
      <c r="AA892" s="309"/>
      <c r="AB892" s="309"/>
      <c r="AC892" s="309"/>
      <c r="AD892" s="309"/>
      <c r="AE892" s="309"/>
      <c r="AF892" s="309"/>
      <c r="AG892" s="309"/>
    </row>
    <row r="893" spans="1:33" ht="15.75" customHeight="1" x14ac:dyDescent="0.25">
      <c r="A893" s="309"/>
      <c r="B893" s="309"/>
      <c r="C893" s="309"/>
      <c r="D893" s="309"/>
      <c r="E893" s="309"/>
      <c r="F893" s="309"/>
      <c r="G893" s="309"/>
      <c r="H893" s="309"/>
      <c r="I893" s="309"/>
      <c r="J893" s="309"/>
      <c r="K893" s="309"/>
      <c r="L893" s="309"/>
      <c r="M893" s="309"/>
      <c r="N893" s="309"/>
      <c r="O893" s="309"/>
      <c r="P893" s="309"/>
      <c r="Q893" s="309"/>
      <c r="R893" s="309"/>
      <c r="S893" s="309"/>
      <c r="T893" s="309"/>
      <c r="U893" s="309"/>
      <c r="V893" s="309"/>
      <c r="W893" s="309"/>
      <c r="X893" s="309"/>
      <c r="Y893" s="309"/>
      <c r="Z893" s="309"/>
      <c r="AA893" s="309"/>
      <c r="AB893" s="309"/>
      <c r="AC893" s="309"/>
      <c r="AD893" s="309"/>
      <c r="AE893" s="309"/>
      <c r="AF893" s="309"/>
      <c r="AG893" s="309"/>
    </row>
    <row r="894" spans="1:33" ht="15.75" customHeight="1" x14ac:dyDescent="0.25">
      <c r="A894" s="309"/>
      <c r="B894" s="309"/>
      <c r="C894" s="309"/>
      <c r="D894" s="309"/>
      <c r="E894" s="309"/>
      <c r="F894" s="309"/>
      <c r="G894" s="309"/>
      <c r="H894" s="309"/>
      <c r="I894" s="309"/>
      <c r="J894" s="309"/>
      <c r="K894" s="309"/>
      <c r="L894" s="309"/>
      <c r="M894" s="309"/>
      <c r="N894" s="309"/>
      <c r="O894" s="309"/>
      <c r="P894" s="309"/>
      <c r="Q894" s="309"/>
      <c r="R894" s="309"/>
      <c r="S894" s="309"/>
      <c r="T894" s="309"/>
      <c r="U894" s="309"/>
      <c r="V894" s="309"/>
      <c r="W894" s="309"/>
      <c r="X894" s="309"/>
      <c r="Y894" s="309"/>
      <c r="Z894" s="309"/>
      <c r="AA894" s="309"/>
      <c r="AB894" s="309"/>
      <c r="AC894" s="309"/>
      <c r="AD894" s="309"/>
      <c r="AE894" s="309"/>
      <c r="AF894" s="309"/>
      <c r="AG894" s="309"/>
    </row>
    <row r="895" spans="1:33" ht="15.75" customHeight="1" x14ac:dyDescent="0.25">
      <c r="A895" s="309"/>
      <c r="B895" s="309"/>
      <c r="C895" s="309"/>
      <c r="D895" s="309"/>
      <c r="E895" s="309"/>
      <c r="F895" s="309"/>
      <c r="G895" s="309"/>
      <c r="H895" s="309"/>
      <c r="I895" s="309"/>
      <c r="J895" s="309"/>
      <c r="K895" s="309"/>
      <c r="L895" s="309"/>
      <c r="M895" s="309"/>
      <c r="N895" s="309"/>
      <c r="O895" s="309"/>
      <c r="P895" s="309"/>
      <c r="Q895" s="309"/>
      <c r="R895" s="309"/>
      <c r="S895" s="309"/>
      <c r="T895" s="309"/>
      <c r="U895" s="309"/>
      <c r="V895" s="309"/>
      <c r="W895" s="309"/>
      <c r="X895" s="309"/>
      <c r="Y895" s="309"/>
      <c r="Z895" s="309"/>
      <c r="AA895" s="309"/>
      <c r="AB895" s="309"/>
      <c r="AC895" s="309"/>
      <c r="AD895" s="309"/>
      <c r="AE895" s="309"/>
      <c r="AF895" s="309"/>
      <c r="AG895" s="309"/>
    </row>
    <row r="896" spans="1:33" ht="15.75" customHeight="1" x14ac:dyDescent="0.25">
      <c r="A896" s="309"/>
      <c r="B896" s="309"/>
      <c r="C896" s="309"/>
      <c r="D896" s="309"/>
      <c r="E896" s="309"/>
      <c r="F896" s="309"/>
      <c r="G896" s="309"/>
      <c r="H896" s="309"/>
      <c r="I896" s="309"/>
      <c r="J896" s="309"/>
      <c r="K896" s="309"/>
      <c r="L896" s="309"/>
      <c r="M896" s="309"/>
      <c r="N896" s="309"/>
      <c r="O896" s="309"/>
      <c r="P896" s="309"/>
      <c r="Q896" s="309"/>
      <c r="R896" s="309"/>
      <c r="S896" s="309"/>
      <c r="T896" s="309"/>
      <c r="U896" s="309"/>
      <c r="V896" s="309"/>
      <c r="W896" s="309"/>
      <c r="X896" s="309"/>
      <c r="Y896" s="309"/>
      <c r="Z896" s="309"/>
      <c r="AA896" s="309"/>
      <c r="AB896" s="309"/>
      <c r="AC896" s="309"/>
      <c r="AD896" s="309"/>
      <c r="AE896" s="309"/>
      <c r="AF896" s="309"/>
      <c r="AG896" s="309"/>
    </row>
    <row r="897" spans="1:33" ht="15.75" customHeight="1" x14ac:dyDescent="0.25">
      <c r="A897" s="309"/>
      <c r="B897" s="309"/>
      <c r="C897" s="309"/>
      <c r="D897" s="309"/>
      <c r="E897" s="309"/>
      <c r="F897" s="309"/>
      <c r="G897" s="309"/>
      <c r="H897" s="309"/>
      <c r="I897" s="309"/>
      <c r="J897" s="309"/>
      <c r="K897" s="309"/>
      <c r="L897" s="309"/>
      <c r="M897" s="309"/>
      <c r="N897" s="309"/>
      <c r="O897" s="309"/>
      <c r="P897" s="309"/>
      <c r="Q897" s="309"/>
      <c r="R897" s="309"/>
      <c r="S897" s="309"/>
      <c r="T897" s="309"/>
      <c r="U897" s="309"/>
      <c r="V897" s="309"/>
      <c r="W897" s="309"/>
      <c r="X897" s="309"/>
      <c r="Y897" s="309"/>
      <c r="Z897" s="309"/>
      <c r="AA897" s="309"/>
      <c r="AB897" s="309"/>
      <c r="AC897" s="309"/>
      <c r="AD897" s="309"/>
      <c r="AE897" s="309"/>
      <c r="AF897" s="309"/>
      <c r="AG897" s="309"/>
    </row>
    <row r="898" spans="1:33" ht="15.75" customHeight="1" x14ac:dyDescent="0.25">
      <c r="A898" s="309"/>
      <c r="B898" s="309"/>
      <c r="C898" s="309"/>
      <c r="D898" s="309"/>
      <c r="E898" s="309"/>
      <c r="F898" s="309"/>
      <c r="G898" s="309"/>
      <c r="H898" s="309"/>
      <c r="I898" s="309"/>
      <c r="J898" s="309"/>
      <c r="K898" s="309"/>
      <c r="L898" s="309"/>
      <c r="M898" s="309"/>
      <c r="N898" s="309"/>
      <c r="O898" s="309"/>
      <c r="P898" s="309"/>
      <c r="Q898" s="309"/>
      <c r="R898" s="309"/>
      <c r="S898" s="309"/>
      <c r="T898" s="309"/>
      <c r="U898" s="309"/>
      <c r="V898" s="309"/>
      <c r="W898" s="309"/>
      <c r="X898" s="309"/>
      <c r="Y898" s="309"/>
      <c r="Z898" s="309"/>
      <c r="AA898" s="309"/>
      <c r="AB898" s="309"/>
      <c r="AC898" s="309"/>
      <c r="AD898" s="309"/>
      <c r="AE898" s="309"/>
      <c r="AF898" s="309"/>
      <c r="AG898" s="309"/>
    </row>
    <row r="899" spans="1:33" ht="15.75" customHeight="1" x14ac:dyDescent="0.25">
      <c r="A899" s="309"/>
      <c r="B899" s="309"/>
      <c r="C899" s="309"/>
      <c r="D899" s="309"/>
      <c r="E899" s="309"/>
      <c r="F899" s="309"/>
      <c r="G899" s="309"/>
      <c r="H899" s="309"/>
      <c r="I899" s="309"/>
      <c r="J899" s="309"/>
      <c r="K899" s="309"/>
      <c r="L899" s="309"/>
      <c r="M899" s="309"/>
      <c r="N899" s="309"/>
      <c r="O899" s="309"/>
      <c r="P899" s="309"/>
      <c r="Q899" s="309"/>
      <c r="R899" s="309"/>
      <c r="S899" s="309"/>
      <c r="T899" s="309"/>
      <c r="U899" s="309"/>
      <c r="V899" s="309"/>
      <c r="W899" s="309"/>
      <c r="X899" s="309"/>
      <c r="Y899" s="309"/>
      <c r="Z899" s="309"/>
      <c r="AA899" s="309"/>
      <c r="AB899" s="309"/>
      <c r="AC899" s="309"/>
      <c r="AD899" s="309"/>
      <c r="AE899" s="309"/>
      <c r="AF899" s="309"/>
      <c r="AG899" s="309"/>
    </row>
    <row r="900" spans="1:33" ht="15.75" customHeight="1" x14ac:dyDescent="0.25">
      <c r="A900" s="309"/>
      <c r="B900" s="309"/>
      <c r="C900" s="309"/>
      <c r="D900" s="309"/>
      <c r="E900" s="309"/>
      <c r="F900" s="309"/>
      <c r="G900" s="309"/>
      <c r="H900" s="309"/>
      <c r="I900" s="309"/>
      <c r="J900" s="309"/>
      <c r="K900" s="309"/>
      <c r="L900" s="309"/>
      <c r="M900" s="309"/>
      <c r="N900" s="309"/>
      <c r="O900" s="309"/>
      <c r="P900" s="309"/>
      <c r="Q900" s="309"/>
      <c r="R900" s="309"/>
      <c r="S900" s="309"/>
      <c r="T900" s="309"/>
      <c r="U900" s="309"/>
      <c r="V900" s="309"/>
      <c r="W900" s="309"/>
      <c r="X900" s="309"/>
      <c r="Y900" s="309"/>
      <c r="Z900" s="309"/>
      <c r="AA900" s="309"/>
      <c r="AB900" s="309"/>
      <c r="AC900" s="309"/>
      <c r="AD900" s="309"/>
      <c r="AE900" s="309"/>
      <c r="AF900" s="309"/>
      <c r="AG900" s="309"/>
    </row>
    <row r="901" spans="1:33" ht="15.75" customHeight="1" x14ac:dyDescent="0.25">
      <c r="A901" s="309"/>
      <c r="B901" s="309"/>
      <c r="C901" s="309"/>
      <c r="D901" s="309"/>
      <c r="E901" s="309"/>
      <c r="F901" s="309"/>
      <c r="G901" s="309"/>
      <c r="H901" s="309"/>
      <c r="I901" s="309"/>
      <c r="J901" s="309"/>
      <c r="K901" s="309"/>
      <c r="L901" s="309"/>
      <c r="M901" s="309"/>
      <c r="N901" s="309"/>
      <c r="O901" s="309"/>
      <c r="P901" s="309"/>
      <c r="Q901" s="309"/>
      <c r="R901" s="309"/>
      <c r="S901" s="309"/>
      <c r="T901" s="309"/>
      <c r="U901" s="309"/>
      <c r="V901" s="309"/>
      <c r="W901" s="309"/>
      <c r="X901" s="309"/>
      <c r="Y901" s="309"/>
      <c r="Z901" s="309"/>
      <c r="AA901" s="309"/>
      <c r="AB901" s="309"/>
      <c r="AC901" s="309"/>
      <c r="AD901" s="309"/>
      <c r="AE901" s="309"/>
      <c r="AF901" s="309"/>
      <c r="AG901" s="309"/>
    </row>
    <row r="902" spans="1:33" ht="15.75" customHeight="1" x14ac:dyDescent="0.25">
      <c r="A902" s="309"/>
      <c r="B902" s="309"/>
      <c r="C902" s="309"/>
      <c r="D902" s="309"/>
      <c r="E902" s="309"/>
      <c r="F902" s="309"/>
      <c r="G902" s="309"/>
      <c r="H902" s="309"/>
      <c r="I902" s="309"/>
      <c r="J902" s="309"/>
      <c r="K902" s="309"/>
      <c r="L902" s="309"/>
      <c r="M902" s="309"/>
      <c r="N902" s="309"/>
      <c r="O902" s="309"/>
      <c r="P902" s="309"/>
      <c r="Q902" s="309"/>
      <c r="R902" s="309"/>
      <c r="S902" s="309"/>
      <c r="T902" s="309"/>
      <c r="U902" s="309"/>
      <c r="V902" s="309"/>
      <c r="W902" s="309"/>
      <c r="X902" s="309"/>
      <c r="Y902" s="309"/>
      <c r="Z902" s="309"/>
      <c r="AA902" s="309"/>
      <c r="AB902" s="309"/>
      <c r="AC902" s="309"/>
      <c r="AD902" s="309"/>
      <c r="AE902" s="309"/>
      <c r="AF902" s="309"/>
      <c r="AG902" s="309"/>
    </row>
    <row r="903" spans="1:33" ht="15.75" customHeight="1" x14ac:dyDescent="0.25">
      <c r="A903" s="309"/>
      <c r="B903" s="309"/>
      <c r="C903" s="309"/>
      <c r="D903" s="309"/>
      <c r="E903" s="309"/>
      <c r="F903" s="309"/>
      <c r="G903" s="309"/>
      <c r="H903" s="309"/>
      <c r="I903" s="309"/>
      <c r="J903" s="309"/>
      <c r="K903" s="309"/>
      <c r="L903" s="309"/>
      <c r="M903" s="309"/>
      <c r="N903" s="309"/>
      <c r="O903" s="309"/>
      <c r="P903" s="309"/>
      <c r="Q903" s="309"/>
      <c r="R903" s="309"/>
      <c r="S903" s="309"/>
      <c r="T903" s="309"/>
      <c r="U903" s="309"/>
      <c r="V903" s="309"/>
      <c r="W903" s="309"/>
      <c r="X903" s="309"/>
      <c r="Y903" s="309"/>
      <c r="Z903" s="309"/>
      <c r="AA903" s="309"/>
      <c r="AB903" s="309"/>
      <c r="AC903" s="309"/>
      <c r="AD903" s="309"/>
      <c r="AE903" s="309"/>
      <c r="AF903" s="309"/>
      <c r="AG903" s="309"/>
    </row>
    <row r="904" spans="1:33" ht="15.75" customHeight="1" x14ac:dyDescent="0.25">
      <c r="A904" s="309"/>
      <c r="B904" s="309"/>
      <c r="C904" s="309"/>
      <c r="D904" s="309"/>
      <c r="E904" s="309"/>
      <c r="F904" s="309"/>
      <c r="G904" s="309"/>
      <c r="H904" s="309"/>
      <c r="I904" s="309"/>
      <c r="J904" s="309"/>
      <c r="K904" s="309"/>
      <c r="L904" s="309"/>
      <c r="M904" s="309"/>
      <c r="N904" s="309"/>
      <c r="O904" s="309"/>
      <c r="P904" s="309"/>
      <c r="Q904" s="309"/>
      <c r="R904" s="309"/>
      <c r="S904" s="309"/>
      <c r="T904" s="309"/>
      <c r="U904" s="309"/>
      <c r="V904" s="309"/>
      <c r="W904" s="309"/>
      <c r="X904" s="309"/>
      <c r="Y904" s="309"/>
      <c r="Z904" s="309"/>
      <c r="AA904" s="309"/>
      <c r="AB904" s="309"/>
      <c r="AC904" s="309"/>
      <c r="AD904" s="309"/>
      <c r="AE904" s="309"/>
      <c r="AF904" s="309"/>
      <c r="AG904" s="309"/>
    </row>
    <row r="905" spans="1:33" ht="15.75" customHeight="1" x14ac:dyDescent="0.25">
      <c r="A905" s="309"/>
      <c r="B905" s="309"/>
      <c r="C905" s="309"/>
      <c r="D905" s="309"/>
      <c r="E905" s="309"/>
      <c r="F905" s="309"/>
      <c r="G905" s="309"/>
      <c r="H905" s="309"/>
      <c r="I905" s="309"/>
      <c r="J905" s="309"/>
      <c r="K905" s="309"/>
      <c r="L905" s="309"/>
      <c r="M905" s="309"/>
      <c r="N905" s="309"/>
      <c r="O905" s="309"/>
      <c r="P905" s="309"/>
      <c r="Q905" s="309"/>
      <c r="R905" s="309"/>
      <c r="S905" s="309"/>
      <c r="T905" s="309"/>
      <c r="U905" s="309"/>
      <c r="V905" s="309"/>
      <c r="W905" s="309"/>
      <c r="X905" s="309"/>
      <c r="Y905" s="309"/>
      <c r="Z905" s="309"/>
      <c r="AA905" s="309"/>
      <c r="AB905" s="309"/>
      <c r="AC905" s="309"/>
      <c r="AD905" s="309"/>
      <c r="AE905" s="309"/>
      <c r="AF905" s="309"/>
      <c r="AG905" s="309"/>
    </row>
    <row r="906" spans="1:33" ht="15.75" customHeight="1" x14ac:dyDescent="0.25">
      <c r="A906" s="309"/>
      <c r="B906" s="309"/>
      <c r="C906" s="309"/>
      <c r="D906" s="309"/>
      <c r="E906" s="309"/>
      <c r="F906" s="309"/>
      <c r="G906" s="309"/>
      <c r="H906" s="309"/>
      <c r="I906" s="309"/>
      <c r="J906" s="309"/>
      <c r="K906" s="309"/>
      <c r="L906" s="309"/>
      <c r="M906" s="309"/>
      <c r="N906" s="309"/>
      <c r="O906" s="309"/>
      <c r="P906" s="309"/>
      <c r="Q906" s="309"/>
      <c r="R906" s="309"/>
      <c r="S906" s="309"/>
      <c r="T906" s="309"/>
      <c r="U906" s="309"/>
      <c r="V906" s="309"/>
      <c r="W906" s="309"/>
      <c r="X906" s="309"/>
      <c r="Y906" s="309"/>
      <c r="Z906" s="309"/>
      <c r="AA906" s="309"/>
      <c r="AB906" s="309"/>
      <c r="AC906" s="309"/>
      <c r="AD906" s="309"/>
      <c r="AE906" s="309"/>
      <c r="AF906" s="309"/>
      <c r="AG906" s="309"/>
    </row>
    <row r="907" spans="1:33" ht="15.75" customHeight="1" x14ac:dyDescent="0.25">
      <c r="A907" s="309"/>
      <c r="B907" s="309"/>
      <c r="C907" s="309"/>
      <c r="D907" s="309"/>
      <c r="E907" s="309"/>
      <c r="F907" s="309"/>
      <c r="G907" s="309"/>
      <c r="H907" s="309"/>
      <c r="I907" s="309"/>
      <c r="J907" s="309"/>
      <c r="K907" s="309"/>
      <c r="L907" s="309"/>
      <c r="M907" s="309"/>
      <c r="N907" s="309"/>
      <c r="O907" s="309"/>
      <c r="P907" s="309"/>
      <c r="Q907" s="309"/>
      <c r="R907" s="309"/>
      <c r="S907" s="309"/>
      <c r="T907" s="309"/>
      <c r="U907" s="309"/>
      <c r="V907" s="309"/>
      <c r="W907" s="309"/>
      <c r="X907" s="309"/>
      <c r="Y907" s="309"/>
      <c r="Z907" s="309"/>
      <c r="AA907" s="309"/>
      <c r="AB907" s="309"/>
      <c r="AC907" s="309"/>
      <c r="AD907" s="309"/>
      <c r="AE907" s="309"/>
      <c r="AF907" s="309"/>
      <c r="AG907" s="309"/>
    </row>
    <row r="908" spans="1:33" ht="15.75" customHeight="1" x14ac:dyDescent="0.25">
      <c r="A908" s="309"/>
      <c r="B908" s="309"/>
      <c r="C908" s="309"/>
      <c r="D908" s="309"/>
      <c r="E908" s="309"/>
      <c r="F908" s="309"/>
      <c r="G908" s="309"/>
      <c r="H908" s="309"/>
      <c r="I908" s="309"/>
      <c r="J908" s="309"/>
      <c r="K908" s="309"/>
      <c r="L908" s="309"/>
      <c r="M908" s="309"/>
      <c r="N908" s="309"/>
      <c r="O908" s="309"/>
      <c r="P908" s="309"/>
      <c r="Q908" s="309"/>
      <c r="R908" s="309"/>
      <c r="S908" s="309"/>
      <c r="T908" s="309"/>
      <c r="U908" s="309"/>
      <c r="V908" s="309"/>
      <c r="W908" s="309"/>
      <c r="X908" s="309"/>
      <c r="Y908" s="309"/>
      <c r="Z908" s="309"/>
      <c r="AA908" s="309"/>
      <c r="AB908" s="309"/>
      <c r="AC908" s="309"/>
      <c r="AD908" s="309"/>
      <c r="AE908" s="309"/>
      <c r="AF908" s="309"/>
      <c r="AG908" s="309"/>
    </row>
    <row r="909" spans="1:33" ht="15.75" customHeight="1" x14ac:dyDescent="0.25">
      <c r="A909" s="309"/>
      <c r="B909" s="309"/>
      <c r="C909" s="309"/>
      <c r="D909" s="309"/>
      <c r="E909" s="309"/>
      <c r="F909" s="309"/>
      <c r="G909" s="309"/>
      <c r="H909" s="309"/>
      <c r="I909" s="309"/>
      <c r="J909" s="309"/>
      <c r="K909" s="309"/>
      <c r="L909" s="309"/>
      <c r="M909" s="309"/>
      <c r="N909" s="309"/>
      <c r="O909" s="309"/>
      <c r="P909" s="309"/>
      <c r="Q909" s="309"/>
      <c r="R909" s="309"/>
      <c r="S909" s="309"/>
      <c r="T909" s="309"/>
      <c r="U909" s="309"/>
      <c r="V909" s="309"/>
      <c r="W909" s="309"/>
      <c r="X909" s="309"/>
      <c r="Y909" s="309"/>
      <c r="Z909" s="309"/>
      <c r="AA909" s="309"/>
      <c r="AB909" s="309"/>
      <c r="AC909" s="309"/>
      <c r="AD909" s="309"/>
      <c r="AE909" s="309"/>
      <c r="AF909" s="309"/>
      <c r="AG909" s="309"/>
    </row>
    <row r="910" spans="1:33" ht="15.75" customHeight="1" x14ac:dyDescent="0.25">
      <c r="A910" s="309"/>
      <c r="B910" s="309"/>
      <c r="C910" s="309"/>
      <c r="D910" s="309"/>
      <c r="E910" s="309"/>
      <c r="F910" s="309"/>
      <c r="G910" s="309"/>
      <c r="H910" s="309"/>
      <c r="I910" s="309"/>
      <c r="J910" s="309"/>
      <c r="K910" s="309"/>
      <c r="L910" s="309"/>
      <c r="M910" s="309"/>
      <c r="N910" s="309"/>
      <c r="O910" s="309"/>
      <c r="P910" s="309"/>
      <c r="Q910" s="309"/>
      <c r="R910" s="309"/>
      <c r="S910" s="309"/>
      <c r="T910" s="309"/>
      <c r="U910" s="309"/>
      <c r="V910" s="309"/>
      <c r="W910" s="309"/>
      <c r="X910" s="309"/>
      <c r="Y910" s="309"/>
      <c r="Z910" s="309"/>
      <c r="AA910" s="309"/>
      <c r="AB910" s="309"/>
      <c r="AC910" s="309"/>
      <c r="AD910" s="309"/>
      <c r="AE910" s="309"/>
      <c r="AF910" s="309"/>
      <c r="AG910" s="309"/>
    </row>
    <row r="911" spans="1:33" ht="15.75" customHeight="1" x14ac:dyDescent="0.25">
      <c r="A911" s="309"/>
      <c r="B911" s="309"/>
      <c r="C911" s="309"/>
      <c r="D911" s="309"/>
      <c r="E911" s="309"/>
      <c r="F911" s="309"/>
      <c r="G911" s="309"/>
      <c r="H911" s="309"/>
      <c r="I911" s="309"/>
      <c r="J911" s="309"/>
      <c r="K911" s="309"/>
      <c r="L911" s="309"/>
      <c r="M911" s="309"/>
      <c r="N911" s="309"/>
      <c r="O911" s="309"/>
      <c r="P911" s="309"/>
      <c r="Q911" s="309"/>
      <c r="R911" s="309"/>
      <c r="S911" s="309"/>
      <c r="T911" s="309"/>
      <c r="U911" s="309"/>
      <c r="V911" s="309"/>
      <c r="W911" s="309"/>
      <c r="X911" s="309"/>
      <c r="Y911" s="309"/>
      <c r="Z911" s="309"/>
      <c r="AA911" s="309"/>
      <c r="AB911" s="309"/>
      <c r="AC911" s="309"/>
      <c r="AD911" s="309"/>
      <c r="AE911" s="309"/>
      <c r="AF911" s="309"/>
      <c r="AG911" s="309"/>
    </row>
    <row r="912" spans="1:33" ht="15.75" customHeight="1" x14ac:dyDescent="0.25">
      <c r="A912" s="309"/>
      <c r="B912" s="309"/>
      <c r="C912" s="309"/>
      <c r="D912" s="309"/>
      <c r="E912" s="309"/>
      <c r="F912" s="309"/>
      <c r="G912" s="309"/>
      <c r="H912" s="309"/>
      <c r="I912" s="309"/>
      <c r="J912" s="309"/>
      <c r="K912" s="309"/>
      <c r="L912" s="309"/>
      <c r="M912" s="309"/>
      <c r="N912" s="309"/>
      <c r="O912" s="309"/>
      <c r="P912" s="309"/>
      <c r="Q912" s="309"/>
      <c r="R912" s="309"/>
      <c r="S912" s="309"/>
      <c r="T912" s="309"/>
      <c r="U912" s="309"/>
      <c r="V912" s="309"/>
      <c r="W912" s="309"/>
      <c r="X912" s="309"/>
      <c r="Y912" s="309"/>
      <c r="Z912" s="309"/>
      <c r="AA912" s="309"/>
      <c r="AB912" s="309"/>
      <c r="AC912" s="309"/>
      <c r="AD912" s="309"/>
      <c r="AE912" s="309"/>
      <c r="AF912" s="309"/>
      <c r="AG912" s="309"/>
    </row>
    <row r="913" spans="1:33" ht="15.75" customHeight="1" x14ac:dyDescent="0.25">
      <c r="A913" s="309"/>
      <c r="B913" s="309"/>
      <c r="C913" s="309"/>
      <c r="D913" s="309"/>
      <c r="E913" s="309"/>
      <c r="F913" s="309"/>
      <c r="G913" s="309"/>
      <c r="H913" s="309"/>
      <c r="I913" s="309"/>
      <c r="J913" s="309"/>
      <c r="K913" s="309"/>
      <c r="L913" s="309"/>
      <c r="M913" s="309"/>
      <c r="N913" s="309"/>
      <c r="O913" s="309"/>
      <c r="P913" s="309"/>
      <c r="Q913" s="309"/>
      <c r="R913" s="309"/>
      <c r="S913" s="309"/>
      <c r="T913" s="309"/>
      <c r="U913" s="309"/>
      <c r="V913" s="309"/>
      <c r="W913" s="309"/>
      <c r="X913" s="309"/>
      <c r="Y913" s="309"/>
      <c r="Z913" s="309"/>
      <c r="AA913" s="309"/>
      <c r="AB913" s="309"/>
      <c r="AC913" s="309"/>
      <c r="AD913" s="309"/>
      <c r="AE913" s="309"/>
      <c r="AF913" s="309"/>
      <c r="AG913" s="309"/>
    </row>
    <row r="914" spans="1:33" ht="15.75" customHeight="1" x14ac:dyDescent="0.25">
      <c r="A914" s="309"/>
      <c r="B914" s="309"/>
      <c r="C914" s="309"/>
      <c r="D914" s="309"/>
      <c r="E914" s="309"/>
      <c r="F914" s="309"/>
      <c r="G914" s="309"/>
      <c r="H914" s="309"/>
      <c r="I914" s="309"/>
      <c r="J914" s="309"/>
      <c r="K914" s="309"/>
      <c r="L914" s="309"/>
      <c r="M914" s="309"/>
      <c r="N914" s="309"/>
      <c r="O914" s="309"/>
      <c r="P914" s="309"/>
      <c r="Q914" s="309"/>
      <c r="R914" s="309"/>
      <c r="S914" s="309"/>
      <c r="T914" s="309"/>
      <c r="U914" s="309"/>
      <c r="V914" s="309"/>
      <c r="W914" s="309"/>
      <c r="X914" s="309"/>
      <c r="Y914" s="309"/>
      <c r="Z914" s="309"/>
      <c r="AA914" s="309"/>
      <c r="AB914" s="309"/>
      <c r="AC914" s="309"/>
      <c r="AD914" s="309"/>
      <c r="AE914" s="309"/>
      <c r="AF914" s="309"/>
      <c r="AG914" s="309"/>
    </row>
    <row r="915" spans="1:33" ht="15.75" customHeight="1" x14ac:dyDescent="0.25">
      <c r="A915" s="309"/>
      <c r="B915" s="309"/>
      <c r="C915" s="309"/>
      <c r="D915" s="309"/>
      <c r="E915" s="309"/>
      <c r="F915" s="309"/>
      <c r="G915" s="309"/>
      <c r="H915" s="309"/>
      <c r="I915" s="309"/>
      <c r="J915" s="309"/>
      <c r="K915" s="309"/>
      <c r="L915" s="309"/>
      <c r="M915" s="309"/>
      <c r="N915" s="309"/>
      <c r="O915" s="309"/>
      <c r="P915" s="309"/>
      <c r="Q915" s="309"/>
      <c r="R915" s="309"/>
      <c r="S915" s="309"/>
      <c r="T915" s="309"/>
      <c r="U915" s="309"/>
      <c r="V915" s="309"/>
      <c r="W915" s="309"/>
      <c r="X915" s="309"/>
      <c r="Y915" s="309"/>
      <c r="Z915" s="309"/>
      <c r="AA915" s="309"/>
      <c r="AB915" s="309"/>
      <c r="AC915" s="309"/>
      <c r="AD915" s="309"/>
      <c r="AE915" s="309"/>
      <c r="AF915" s="309"/>
      <c r="AG915" s="309"/>
    </row>
    <row r="916" spans="1:33" ht="15.75" customHeight="1" x14ac:dyDescent="0.25">
      <c r="A916" s="309"/>
      <c r="B916" s="309"/>
      <c r="C916" s="309"/>
      <c r="D916" s="309"/>
      <c r="E916" s="309"/>
      <c r="F916" s="309"/>
      <c r="G916" s="309"/>
      <c r="H916" s="309"/>
      <c r="I916" s="309"/>
      <c r="J916" s="309"/>
      <c r="K916" s="309"/>
      <c r="L916" s="309"/>
      <c r="M916" s="309"/>
      <c r="N916" s="309"/>
      <c r="O916" s="309"/>
      <c r="P916" s="309"/>
      <c r="Q916" s="309"/>
      <c r="R916" s="309"/>
      <c r="S916" s="309"/>
      <c r="T916" s="309"/>
      <c r="U916" s="309"/>
      <c r="V916" s="309"/>
      <c r="W916" s="309"/>
      <c r="X916" s="309"/>
      <c r="Y916" s="309"/>
      <c r="Z916" s="309"/>
      <c r="AA916" s="309"/>
      <c r="AB916" s="309"/>
      <c r="AC916" s="309"/>
      <c r="AD916" s="309"/>
      <c r="AE916" s="309"/>
      <c r="AF916" s="309"/>
      <c r="AG916" s="309"/>
    </row>
    <row r="917" spans="1:33" ht="15.75" customHeight="1" x14ac:dyDescent="0.25">
      <c r="A917" s="309"/>
      <c r="B917" s="309"/>
      <c r="C917" s="309"/>
      <c r="D917" s="309"/>
      <c r="E917" s="309"/>
      <c r="F917" s="309"/>
      <c r="G917" s="309"/>
      <c r="H917" s="309"/>
      <c r="I917" s="309"/>
      <c r="J917" s="309"/>
      <c r="K917" s="309"/>
      <c r="L917" s="309"/>
      <c r="M917" s="309"/>
      <c r="N917" s="309"/>
      <c r="O917" s="309"/>
      <c r="P917" s="309"/>
      <c r="Q917" s="309"/>
      <c r="R917" s="309"/>
      <c r="S917" s="309"/>
      <c r="T917" s="309"/>
      <c r="U917" s="309"/>
      <c r="V917" s="309"/>
      <c r="W917" s="309"/>
      <c r="X917" s="309"/>
      <c r="Y917" s="309"/>
      <c r="Z917" s="309"/>
      <c r="AA917" s="309"/>
      <c r="AB917" s="309"/>
      <c r="AC917" s="309"/>
      <c r="AD917" s="309"/>
      <c r="AE917" s="309"/>
      <c r="AF917" s="309"/>
      <c r="AG917" s="309"/>
    </row>
    <row r="918" spans="1:33" ht="15.75" customHeight="1" x14ac:dyDescent="0.25">
      <c r="A918" s="309"/>
      <c r="B918" s="309"/>
      <c r="C918" s="309"/>
      <c r="D918" s="309"/>
      <c r="E918" s="309"/>
      <c r="F918" s="309"/>
      <c r="G918" s="309"/>
      <c r="H918" s="309"/>
      <c r="I918" s="309"/>
      <c r="J918" s="309"/>
      <c r="K918" s="309"/>
      <c r="L918" s="309"/>
      <c r="M918" s="309"/>
      <c r="N918" s="309"/>
      <c r="O918" s="309"/>
      <c r="P918" s="309"/>
      <c r="Q918" s="309"/>
      <c r="R918" s="309"/>
      <c r="S918" s="309"/>
      <c r="T918" s="309"/>
      <c r="U918" s="309"/>
      <c r="V918" s="309"/>
      <c r="W918" s="309"/>
      <c r="X918" s="309"/>
      <c r="Y918" s="309"/>
      <c r="Z918" s="309"/>
      <c r="AA918" s="309"/>
      <c r="AB918" s="309"/>
      <c r="AC918" s="309"/>
      <c r="AD918" s="309"/>
      <c r="AE918" s="309"/>
      <c r="AF918" s="309"/>
      <c r="AG918" s="309"/>
    </row>
    <row r="919" spans="1:33" ht="15.75" customHeight="1" x14ac:dyDescent="0.25">
      <c r="A919" s="309"/>
      <c r="B919" s="309"/>
      <c r="C919" s="309"/>
      <c r="D919" s="309"/>
      <c r="E919" s="309"/>
      <c r="F919" s="309"/>
      <c r="G919" s="309"/>
      <c r="H919" s="309"/>
      <c r="I919" s="309"/>
      <c r="J919" s="309"/>
      <c r="K919" s="309"/>
      <c r="L919" s="309"/>
      <c r="M919" s="309"/>
      <c r="N919" s="309"/>
      <c r="O919" s="309"/>
      <c r="P919" s="309"/>
      <c r="Q919" s="309"/>
      <c r="R919" s="309"/>
      <c r="S919" s="309"/>
      <c r="T919" s="309"/>
      <c r="U919" s="309"/>
      <c r="V919" s="309"/>
      <c r="W919" s="309"/>
      <c r="X919" s="309"/>
      <c r="Y919" s="309"/>
      <c r="Z919" s="309"/>
      <c r="AA919" s="309"/>
      <c r="AB919" s="309"/>
      <c r="AC919" s="309"/>
      <c r="AD919" s="309"/>
      <c r="AE919" s="309"/>
      <c r="AF919" s="309"/>
      <c r="AG919" s="309"/>
    </row>
    <row r="920" spans="1:33" ht="15.75" customHeight="1" x14ac:dyDescent="0.25">
      <c r="A920" s="309"/>
      <c r="B920" s="309"/>
      <c r="C920" s="309"/>
      <c r="D920" s="309"/>
      <c r="E920" s="309"/>
      <c r="F920" s="309"/>
      <c r="G920" s="309"/>
      <c r="H920" s="309"/>
      <c r="I920" s="309"/>
      <c r="J920" s="309"/>
      <c r="K920" s="309"/>
      <c r="L920" s="309"/>
      <c r="M920" s="309"/>
      <c r="N920" s="309"/>
      <c r="O920" s="309"/>
      <c r="P920" s="309"/>
      <c r="Q920" s="309"/>
      <c r="R920" s="309"/>
      <c r="S920" s="309"/>
      <c r="T920" s="309"/>
      <c r="U920" s="309"/>
      <c r="V920" s="309"/>
      <c r="W920" s="309"/>
      <c r="X920" s="309"/>
      <c r="Y920" s="309"/>
      <c r="Z920" s="309"/>
      <c r="AA920" s="309"/>
      <c r="AB920" s="309"/>
      <c r="AC920" s="309"/>
      <c r="AD920" s="309"/>
      <c r="AE920" s="309"/>
      <c r="AF920" s="309"/>
      <c r="AG920" s="309"/>
    </row>
    <row r="921" spans="1:33" ht="15.75" customHeight="1" x14ac:dyDescent="0.25">
      <c r="A921" s="309"/>
      <c r="B921" s="309"/>
      <c r="C921" s="309"/>
      <c r="D921" s="309"/>
      <c r="E921" s="309"/>
      <c r="F921" s="309"/>
      <c r="G921" s="309"/>
      <c r="H921" s="309"/>
      <c r="I921" s="309"/>
      <c r="J921" s="309"/>
      <c r="K921" s="309"/>
      <c r="L921" s="309"/>
      <c r="M921" s="309"/>
      <c r="N921" s="309"/>
      <c r="O921" s="309"/>
      <c r="P921" s="309"/>
      <c r="Q921" s="309"/>
      <c r="R921" s="309"/>
      <c r="S921" s="309"/>
      <c r="T921" s="309"/>
      <c r="U921" s="309"/>
      <c r="V921" s="309"/>
      <c r="W921" s="309"/>
      <c r="X921" s="309"/>
      <c r="Y921" s="309"/>
      <c r="Z921" s="309"/>
      <c r="AA921" s="309"/>
      <c r="AB921" s="309"/>
      <c r="AC921" s="309"/>
      <c r="AD921" s="309"/>
      <c r="AE921" s="309"/>
      <c r="AF921" s="309"/>
      <c r="AG921" s="309"/>
    </row>
    <row r="922" spans="1:33" ht="15.75" customHeight="1" x14ac:dyDescent="0.25">
      <c r="A922" s="309"/>
      <c r="B922" s="309"/>
      <c r="C922" s="309"/>
      <c r="D922" s="309"/>
      <c r="E922" s="309"/>
      <c r="F922" s="309"/>
      <c r="G922" s="309"/>
      <c r="H922" s="309"/>
      <c r="I922" s="309"/>
      <c r="J922" s="309"/>
      <c r="K922" s="309"/>
      <c r="L922" s="309"/>
      <c r="M922" s="309"/>
      <c r="N922" s="309"/>
      <c r="O922" s="309"/>
      <c r="P922" s="309"/>
      <c r="Q922" s="309"/>
      <c r="R922" s="309"/>
      <c r="S922" s="309"/>
      <c r="T922" s="309"/>
      <c r="U922" s="309"/>
      <c r="V922" s="309"/>
      <c r="W922" s="309"/>
      <c r="X922" s="309"/>
      <c r="Y922" s="309"/>
      <c r="Z922" s="309"/>
      <c r="AA922" s="309"/>
      <c r="AB922" s="309"/>
      <c r="AC922" s="309"/>
      <c r="AD922" s="309"/>
      <c r="AE922" s="309"/>
      <c r="AF922" s="309"/>
      <c r="AG922" s="309"/>
    </row>
    <row r="923" spans="1:33" ht="15.75" customHeight="1" x14ac:dyDescent="0.25">
      <c r="A923" s="309"/>
      <c r="B923" s="309"/>
      <c r="C923" s="309"/>
      <c r="D923" s="309"/>
      <c r="E923" s="309"/>
      <c r="F923" s="309"/>
      <c r="G923" s="309"/>
      <c r="H923" s="309"/>
      <c r="I923" s="309"/>
      <c r="J923" s="309"/>
      <c r="K923" s="309"/>
      <c r="L923" s="309"/>
      <c r="M923" s="309"/>
      <c r="N923" s="309"/>
      <c r="O923" s="309"/>
      <c r="P923" s="309"/>
      <c r="Q923" s="309"/>
      <c r="R923" s="309"/>
      <c r="S923" s="309"/>
      <c r="T923" s="309"/>
      <c r="U923" s="309"/>
      <c r="V923" s="309"/>
      <c r="W923" s="309"/>
      <c r="X923" s="309"/>
      <c r="Y923" s="309"/>
      <c r="Z923" s="309"/>
      <c r="AA923" s="309"/>
      <c r="AB923" s="309"/>
      <c r="AC923" s="309"/>
      <c r="AD923" s="309"/>
      <c r="AE923" s="309"/>
      <c r="AF923" s="309"/>
      <c r="AG923" s="309"/>
    </row>
    <row r="924" spans="1:33" ht="15.75" customHeight="1" x14ac:dyDescent="0.25">
      <c r="A924" s="309"/>
      <c r="B924" s="309"/>
      <c r="C924" s="309"/>
      <c r="D924" s="309"/>
      <c r="E924" s="309"/>
      <c r="F924" s="309"/>
      <c r="G924" s="309"/>
      <c r="H924" s="309"/>
      <c r="I924" s="309"/>
      <c r="J924" s="309"/>
      <c r="K924" s="309"/>
      <c r="L924" s="309"/>
      <c r="M924" s="309"/>
      <c r="N924" s="309"/>
      <c r="O924" s="309"/>
      <c r="P924" s="309"/>
      <c r="Q924" s="309"/>
      <c r="R924" s="309"/>
      <c r="S924" s="309"/>
      <c r="T924" s="309"/>
      <c r="U924" s="309"/>
      <c r="V924" s="309"/>
      <c r="W924" s="309"/>
      <c r="X924" s="309"/>
      <c r="Y924" s="309"/>
      <c r="Z924" s="309"/>
      <c r="AA924" s="309"/>
      <c r="AB924" s="309"/>
      <c r="AC924" s="309"/>
      <c r="AD924" s="309"/>
      <c r="AE924" s="309"/>
      <c r="AF924" s="309"/>
      <c r="AG924" s="309"/>
    </row>
    <row r="925" spans="1:33" ht="15.75" customHeight="1" x14ac:dyDescent="0.25">
      <c r="A925" s="309"/>
      <c r="B925" s="309"/>
      <c r="C925" s="309"/>
      <c r="D925" s="309"/>
      <c r="E925" s="309"/>
      <c r="F925" s="309"/>
      <c r="G925" s="309"/>
      <c r="H925" s="309"/>
      <c r="I925" s="309"/>
      <c r="J925" s="309"/>
      <c r="K925" s="309"/>
      <c r="L925" s="309"/>
      <c r="M925" s="309"/>
      <c r="N925" s="309"/>
      <c r="O925" s="309"/>
      <c r="P925" s="309"/>
      <c r="Q925" s="309"/>
      <c r="R925" s="309"/>
      <c r="S925" s="309"/>
      <c r="T925" s="309"/>
      <c r="U925" s="309"/>
      <c r="V925" s="309"/>
      <c r="W925" s="309"/>
      <c r="X925" s="309"/>
      <c r="Y925" s="309"/>
      <c r="Z925" s="309"/>
      <c r="AA925" s="309"/>
      <c r="AB925" s="309"/>
      <c r="AC925" s="309"/>
      <c r="AD925" s="309"/>
      <c r="AE925" s="309"/>
      <c r="AF925" s="309"/>
      <c r="AG925" s="309"/>
    </row>
    <row r="926" spans="1:33" ht="15.75" customHeight="1" x14ac:dyDescent="0.25">
      <c r="A926" s="309"/>
      <c r="B926" s="309"/>
      <c r="C926" s="309"/>
      <c r="D926" s="309"/>
      <c r="E926" s="309"/>
      <c r="F926" s="309"/>
      <c r="G926" s="309"/>
      <c r="H926" s="309"/>
      <c r="I926" s="309"/>
      <c r="J926" s="309"/>
      <c r="K926" s="309"/>
      <c r="L926" s="309"/>
      <c r="M926" s="309"/>
      <c r="N926" s="309"/>
      <c r="O926" s="309"/>
      <c r="P926" s="309"/>
      <c r="Q926" s="309"/>
      <c r="R926" s="309"/>
      <c r="S926" s="309"/>
      <c r="T926" s="309"/>
      <c r="U926" s="309"/>
      <c r="V926" s="309"/>
      <c r="W926" s="309"/>
      <c r="X926" s="309"/>
      <c r="Y926" s="309"/>
      <c r="Z926" s="309"/>
      <c r="AA926" s="309"/>
      <c r="AB926" s="309"/>
      <c r="AC926" s="309"/>
      <c r="AD926" s="309"/>
      <c r="AE926" s="309"/>
      <c r="AF926" s="309"/>
      <c r="AG926" s="309"/>
    </row>
    <row r="927" spans="1:33" ht="15.75" customHeight="1" x14ac:dyDescent="0.25">
      <c r="A927" s="309"/>
      <c r="B927" s="309"/>
      <c r="C927" s="309"/>
      <c r="D927" s="309"/>
      <c r="E927" s="309"/>
      <c r="F927" s="309"/>
      <c r="G927" s="309"/>
      <c r="H927" s="309"/>
      <c r="I927" s="309"/>
      <c r="J927" s="309"/>
      <c r="K927" s="309"/>
      <c r="L927" s="309"/>
      <c r="M927" s="309"/>
      <c r="N927" s="309"/>
      <c r="O927" s="309"/>
      <c r="P927" s="309"/>
      <c r="Q927" s="309"/>
      <c r="R927" s="309"/>
      <c r="S927" s="309"/>
      <c r="T927" s="309"/>
      <c r="U927" s="309"/>
      <c r="V927" s="309"/>
      <c r="W927" s="309"/>
      <c r="X927" s="309"/>
      <c r="Y927" s="309"/>
      <c r="Z927" s="309"/>
      <c r="AA927" s="309"/>
      <c r="AB927" s="309"/>
      <c r="AC927" s="309"/>
      <c r="AD927" s="309"/>
      <c r="AE927" s="309"/>
      <c r="AF927" s="309"/>
      <c r="AG927" s="309"/>
    </row>
    <row r="928" spans="1:33" ht="15.75" customHeight="1" x14ac:dyDescent="0.25">
      <c r="A928" s="309"/>
      <c r="B928" s="309"/>
      <c r="C928" s="309"/>
      <c r="D928" s="309"/>
      <c r="E928" s="309"/>
      <c r="F928" s="309"/>
      <c r="G928" s="309"/>
      <c r="H928" s="309"/>
      <c r="I928" s="309"/>
      <c r="J928" s="309"/>
      <c r="K928" s="309"/>
      <c r="L928" s="309"/>
      <c r="M928" s="309"/>
      <c r="N928" s="309"/>
      <c r="O928" s="309"/>
      <c r="P928" s="309"/>
      <c r="Q928" s="309"/>
      <c r="R928" s="309"/>
      <c r="S928" s="309"/>
      <c r="T928" s="309"/>
      <c r="U928" s="309"/>
      <c r="V928" s="309"/>
      <c r="W928" s="309"/>
      <c r="X928" s="309"/>
      <c r="Y928" s="309"/>
      <c r="Z928" s="309"/>
      <c r="AA928" s="309"/>
      <c r="AB928" s="309"/>
      <c r="AC928" s="309"/>
      <c r="AD928" s="309"/>
      <c r="AE928" s="309"/>
      <c r="AF928" s="309"/>
      <c r="AG928" s="309"/>
    </row>
    <row r="929" spans="1:33" ht="15.75" customHeight="1" x14ac:dyDescent="0.25">
      <c r="A929" s="309"/>
      <c r="B929" s="309"/>
      <c r="C929" s="309"/>
      <c r="D929" s="309"/>
      <c r="E929" s="309"/>
      <c r="F929" s="309"/>
      <c r="G929" s="309"/>
      <c r="H929" s="309"/>
      <c r="I929" s="309"/>
      <c r="J929" s="309"/>
      <c r="K929" s="309"/>
      <c r="L929" s="309"/>
      <c r="M929" s="309"/>
      <c r="N929" s="309"/>
      <c r="O929" s="309"/>
      <c r="P929" s="309"/>
      <c r="Q929" s="309"/>
      <c r="R929" s="309"/>
      <c r="S929" s="309"/>
      <c r="T929" s="309"/>
      <c r="U929" s="309"/>
      <c r="V929" s="309"/>
      <c r="W929" s="309"/>
      <c r="X929" s="309"/>
      <c r="Y929" s="309"/>
      <c r="Z929" s="309"/>
      <c r="AA929" s="309"/>
      <c r="AB929" s="309"/>
      <c r="AC929" s="309"/>
      <c r="AD929" s="309"/>
      <c r="AE929" s="309"/>
      <c r="AF929" s="309"/>
      <c r="AG929" s="309"/>
    </row>
    <row r="930" spans="1:33" ht="15.75" customHeight="1" x14ac:dyDescent="0.25">
      <c r="A930" s="309"/>
      <c r="B930" s="309"/>
      <c r="C930" s="309"/>
      <c r="D930" s="309"/>
      <c r="E930" s="309"/>
      <c r="F930" s="309"/>
      <c r="G930" s="309"/>
      <c r="H930" s="309"/>
      <c r="I930" s="309"/>
      <c r="J930" s="309"/>
      <c r="K930" s="309"/>
      <c r="L930" s="309"/>
      <c r="M930" s="309"/>
      <c r="N930" s="309"/>
      <c r="O930" s="309"/>
      <c r="P930" s="309"/>
      <c r="Q930" s="309"/>
      <c r="R930" s="309"/>
      <c r="S930" s="309"/>
      <c r="T930" s="309"/>
      <c r="U930" s="309"/>
      <c r="V930" s="309"/>
      <c r="W930" s="309"/>
      <c r="X930" s="309"/>
      <c r="Y930" s="309"/>
      <c r="Z930" s="309"/>
      <c r="AA930" s="309"/>
      <c r="AB930" s="309"/>
      <c r="AC930" s="309"/>
      <c r="AD930" s="309"/>
      <c r="AE930" s="309"/>
      <c r="AF930" s="309"/>
      <c r="AG930" s="309"/>
    </row>
    <row r="931" spans="1:33" ht="15.75" customHeight="1" x14ac:dyDescent="0.25">
      <c r="A931" s="309"/>
      <c r="B931" s="309"/>
      <c r="C931" s="309"/>
      <c r="D931" s="309"/>
      <c r="E931" s="309"/>
      <c r="F931" s="309"/>
      <c r="G931" s="309"/>
      <c r="H931" s="309"/>
      <c r="I931" s="309"/>
      <c r="J931" s="309"/>
      <c r="K931" s="309"/>
      <c r="L931" s="309"/>
      <c r="M931" s="309"/>
      <c r="N931" s="309"/>
      <c r="O931" s="309"/>
      <c r="P931" s="309"/>
      <c r="Q931" s="309"/>
      <c r="R931" s="309"/>
      <c r="S931" s="309"/>
      <c r="T931" s="309"/>
      <c r="U931" s="309"/>
      <c r="V931" s="309"/>
      <c r="W931" s="309"/>
      <c r="X931" s="309"/>
      <c r="Y931" s="309"/>
      <c r="Z931" s="309"/>
      <c r="AA931" s="309"/>
      <c r="AB931" s="309"/>
      <c r="AC931" s="309"/>
      <c r="AD931" s="309"/>
      <c r="AE931" s="309"/>
      <c r="AF931" s="309"/>
      <c r="AG931" s="309"/>
    </row>
    <row r="932" spans="1:33" ht="15.75" customHeight="1" x14ac:dyDescent="0.25">
      <c r="A932" s="309"/>
      <c r="B932" s="309"/>
      <c r="C932" s="309"/>
      <c r="D932" s="309"/>
      <c r="E932" s="309"/>
      <c r="F932" s="309"/>
      <c r="G932" s="309"/>
      <c r="H932" s="309"/>
      <c r="I932" s="309"/>
      <c r="J932" s="309"/>
      <c r="K932" s="309"/>
      <c r="L932" s="309"/>
      <c r="M932" s="309"/>
      <c r="N932" s="309"/>
      <c r="O932" s="309"/>
      <c r="P932" s="309"/>
      <c r="Q932" s="309"/>
      <c r="R932" s="309"/>
      <c r="S932" s="309"/>
      <c r="T932" s="309"/>
      <c r="U932" s="309"/>
      <c r="V932" s="309"/>
      <c r="W932" s="309"/>
      <c r="X932" s="309"/>
      <c r="Y932" s="309"/>
      <c r="Z932" s="309"/>
      <c r="AA932" s="309"/>
      <c r="AB932" s="309"/>
      <c r="AC932" s="309"/>
      <c r="AD932" s="309"/>
      <c r="AE932" s="309"/>
      <c r="AF932" s="309"/>
      <c r="AG932" s="309"/>
    </row>
    <row r="933" spans="1:33" ht="15.75" customHeight="1" x14ac:dyDescent="0.25">
      <c r="A933" s="309"/>
      <c r="B933" s="309"/>
      <c r="C933" s="309"/>
      <c r="D933" s="309"/>
      <c r="E933" s="309"/>
      <c r="F933" s="309"/>
      <c r="G933" s="309"/>
      <c r="H933" s="309"/>
      <c r="I933" s="309"/>
      <c r="J933" s="309"/>
      <c r="K933" s="309"/>
      <c r="L933" s="309"/>
      <c r="M933" s="309"/>
      <c r="N933" s="309"/>
      <c r="O933" s="309"/>
      <c r="P933" s="309"/>
      <c r="Q933" s="309"/>
      <c r="R933" s="309"/>
      <c r="S933" s="309"/>
      <c r="T933" s="309"/>
      <c r="U933" s="309"/>
      <c r="V933" s="309"/>
      <c r="W933" s="309"/>
      <c r="X933" s="309"/>
      <c r="Y933" s="309"/>
      <c r="Z933" s="309"/>
      <c r="AA933" s="309"/>
      <c r="AB933" s="309"/>
      <c r="AC933" s="309"/>
      <c r="AD933" s="309"/>
      <c r="AE933" s="309"/>
      <c r="AF933" s="309"/>
      <c r="AG933" s="309"/>
    </row>
    <row r="934" spans="1:33" ht="15.75" customHeight="1" x14ac:dyDescent="0.25">
      <c r="A934" s="309"/>
      <c r="B934" s="309"/>
      <c r="C934" s="309"/>
      <c r="D934" s="309"/>
      <c r="E934" s="309"/>
      <c r="F934" s="309"/>
      <c r="G934" s="309"/>
      <c r="H934" s="309"/>
      <c r="I934" s="309"/>
      <c r="J934" s="309"/>
      <c r="K934" s="309"/>
      <c r="L934" s="309"/>
      <c r="M934" s="309"/>
      <c r="N934" s="309"/>
      <c r="O934" s="309"/>
      <c r="P934" s="309"/>
      <c r="Q934" s="309"/>
      <c r="R934" s="309"/>
      <c r="S934" s="309"/>
      <c r="T934" s="309"/>
      <c r="U934" s="309"/>
      <c r="V934" s="309"/>
      <c r="W934" s="309"/>
      <c r="X934" s="309"/>
      <c r="Y934" s="309"/>
      <c r="Z934" s="309"/>
      <c r="AA934" s="309"/>
      <c r="AB934" s="309"/>
      <c r="AC934" s="309"/>
      <c r="AD934" s="309"/>
      <c r="AE934" s="309"/>
      <c r="AF934" s="309"/>
      <c r="AG934" s="309"/>
    </row>
    <row r="935" spans="1:33" ht="15.75" customHeight="1" x14ac:dyDescent="0.25">
      <c r="A935" s="309"/>
      <c r="B935" s="309"/>
      <c r="C935" s="309"/>
      <c r="D935" s="309"/>
      <c r="E935" s="309"/>
      <c r="F935" s="309"/>
      <c r="G935" s="309"/>
      <c r="H935" s="309"/>
      <c r="I935" s="309"/>
      <c r="J935" s="309"/>
      <c r="K935" s="309"/>
      <c r="L935" s="309"/>
      <c r="M935" s="309"/>
      <c r="N935" s="309"/>
      <c r="O935" s="309"/>
      <c r="P935" s="309"/>
      <c r="Q935" s="309"/>
      <c r="R935" s="309"/>
      <c r="S935" s="309"/>
      <c r="T935" s="309"/>
      <c r="U935" s="309"/>
      <c r="V935" s="309"/>
      <c r="W935" s="309"/>
      <c r="X935" s="309"/>
      <c r="Y935" s="309"/>
      <c r="Z935" s="309"/>
      <c r="AA935" s="309"/>
      <c r="AB935" s="309"/>
      <c r="AC935" s="309"/>
      <c r="AD935" s="309"/>
      <c r="AE935" s="309"/>
      <c r="AF935" s="309"/>
      <c r="AG935" s="309"/>
    </row>
    <row r="936" spans="1:33" ht="15.75" customHeight="1" x14ac:dyDescent="0.25">
      <c r="A936" s="309"/>
      <c r="B936" s="309"/>
      <c r="C936" s="309"/>
      <c r="D936" s="309"/>
      <c r="E936" s="309"/>
      <c r="F936" s="309"/>
      <c r="G936" s="309"/>
      <c r="H936" s="309"/>
      <c r="I936" s="309"/>
      <c r="J936" s="309"/>
      <c r="K936" s="309"/>
      <c r="L936" s="309"/>
      <c r="M936" s="309"/>
      <c r="N936" s="309"/>
      <c r="O936" s="309"/>
      <c r="P936" s="309"/>
      <c r="Q936" s="309"/>
      <c r="R936" s="309"/>
      <c r="S936" s="309"/>
      <c r="T936" s="309"/>
      <c r="U936" s="309"/>
      <c r="V936" s="309"/>
      <c r="W936" s="309"/>
      <c r="X936" s="309"/>
      <c r="Y936" s="309"/>
      <c r="Z936" s="309"/>
      <c r="AA936" s="309"/>
      <c r="AB936" s="309"/>
      <c r="AC936" s="309"/>
      <c r="AD936" s="309"/>
      <c r="AE936" s="309"/>
      <c r="AF936" s="309"/>
      <c r="AG936" s="309"/>
    </row>
    <row r="937" spans="1:33" ht="15.75" customHeight="1" x14ac:dyDescent="0.25">
      <c r="A937" s="309"/>
      <c r="B937" s="309"/>
      <c r="C937" s="309"/>
      <c r="D937" s="309"/>
      <c r="E937" s="309"/>
      <c r="F937" s="309"/>
      <c r="G937" s="309"/>
      <c r="H937" s="309"/>
      <c r="I937" s="309"/>
      <c r="J937" s="309"/>
      <c r="K937" s="309"/>
      <c r="L937" s="309"/>
      <c r="M937" s="309"/>
      <c r="N937" s="309"/>
      <c r="O937" s="309"/>
      <c r="P937" s="309"/>
      <c r="Q937" s="309"/>
      <c r="R937" s="309"/>
      <c r="S937" s="309"/>
      <c r="T937" s="309"/>
      <c r="U937" s="309"/>
      <c r="V937" s="309"/>
      <c r="W937" s="309"/>
      <c r="X937" s="309"/>
      <c r="Y937" s="309"/>
      <c r="Z937" s="309"/>
      <c r="AA937" s="309"/>
      <c r="AB937" s="309"/>
      <c r="AC937" s="309"/>
      <c r="AD937" s="309"/>
      <c r="AE937" s="309"/>
      <c r="AF937" s="309"/>
      <c r="AG937" s="309"/>
    </row>
    <row r="938" spans="1:33" ht="15.75" customHeight="1" x14ac:dyDescent="0.25">
      <c r="A938" s="309"/>
      <c r="B938" s="309"/>
      <c r="C938" s="309"/>
      <c r="D938" s="309"/>
      <c r="E938" s="309"/>
      <c r="F938" s="309"/>
      <c r="G938" s="309"/>
      <c r="H938" s="309"/>
      <c r="I938" s="309"/>
      <c r="J938" s="309"/>
      <c r="K938" s="309"/>
      <c r="L938" s="309"/>
      <c r="M938" s="309"/>
      <c r="N938" s="309"/>
      <c r="O938" s="309"/>
      <c r="P938" s="309"/>
      <c r="Q938" s="309"/>
      <c r="R938" s="309"/>
      <c r="S938" s="309"/>
      <c r="T938" s="309"/>
      <c r="U938" s="309"/>
      <c r="V938" s="309"/>
      <c r="W938" s="309"/>
      <c r="X938" s="309"/>
      <c r="Y938" s="309"/>
      <c r="Z938" s="309"/>
      <c r="AA938" s="309"/>
      <c r="AB938" s="309"/>
      <c r="AC938" s="309"/>
      <c r="AD938" s="309"/>
      <c r="AE938" s="309"/>
      <c r="AF938" s="309"/>
      <c r="AG938" s="309"/>
    </row>
    <row r="939" spans="1:33" ht="15.75" customHeight="1" x14ac:dyDescent="0.25">
      <c r="A939" s="309"/>
      <c r="B939" s="309"/>
      <c r="C939" s="309"/>
      <c r="D939" s="309"/>
      <c r="E939" s="309"/>
      <c r="F939" s="309"/>
      <c r="G939" s="309"/>
      <c r="H939" s="309"/>
      <c r="I939" s="309"/>
      <c r="J939" s="309"/>
      <c r="K939" s="309"/>
      <c r="L939" s="309"/>
      <c r="M939" s="309"/>
      <c r="N939" s="309"/>
      <c r="O939" s="309"/>
      <c r="P939" s="309"/>
      <c r="Q939" s="309"/>
      <c r="R939" s="309"/>
      <c r="S939" s="309"/>
      <c r="T939" s="309"/>
      <c r="U939" s="309"/>
      <c r="V939" s="309"/>
      <c r="W939" s="309"/>
      <c r="X939" s="309"/>
      <c r="Y939" s="309"/>
      <c r="Z939" s="309"/>
      <c r="AA939" s="309"/>
      <c r="AB939" s="309"/>
      <c r="AC939" s="309"/>
      <c r="AD939" s="309"/>
      <c r="AE939" s="309"/>
      <c r="AF939" s="309"/>
      <c r="AG939" s="309"/>
    </row>
    <row r="940" spans="1:33" ht="15.75" customHeight="1" x14ac:dyDescent="0.25">
      <c r="A940" s="309"/>
      <c r="B940" s="309"/>
      <c r="C940" s="309"/>
      <c r="D940" s="309"/>
      <c r="E940" s="309"/>
      <c r="F940" s="309"/>
      <c r="G940" s="309"/>
      <c r="H940" s="309"/>
      <c r="I940" s="309"/>
      <c r="J940" s="309"/>
      <c r="K940" s="309"/>
      <c r="L940" s="309"/>
      <c r="M940" s="309"/>
      <c r="N940" s="309"/>
      <c r="O940" s="309"/>
      <c r="P940" s="309"/>
      <c r="Q940" s="309"/>
      <c r="R940" s="309"/>
      <c r="S940" s="309"/>
      <c r="T940" s="309"/>
      <c r="U940" s="309"/>
      <c r="V940" s="309"/>
      <c r="W940" s="309"/>
      <c r="X940" s="309"/>
      <c r="Y940" s="309"/>
      <c r="Z940" s="309"/>
      <c r="AA940" s="309"/>
      <c r="AB940" s="309"/>
      <c r="AC940" s="309"/>
      <c r="AD940" s="309"/>
      <c r="AE940" s="309"/>
      <c r="AF940" s="309"/>
      <c r="AG940" s="309"/>
    </row>
    <row r="941" spans="1:33" ht="15.75" customHeight="1" x14ac:dyDescent="0.25">
      <c r="A941" s="309"/>
      <c r="B941" s="309"/>
      <c r="C941" s="309"/>
      <c r="D941" s="309"/>
      <c r="E941" s="309"/>
      <c r="F941" s="309"/>
      <c r="G941" s="309"/>
      <c r="H941" s="309"/>
      <c r="I941" s="309"/>
      <c r="J941" s="309"/>
      <c r="K941" s="309"/>
      <c r="L941" s="309"/>
      <c r="M941" s="309"/>
      <c r="N941" s="309"/>
      <c r="O941" s="309"/>
      <c r="P941" s="309"/>
      <c r="Q941" s="309"/>
      <c r="R941" s="309"/>
      <c r="S941" s="309"/>
      <c r="T941" s="309"/>
      <c r="U941" s="309"/>
      <c r="V941" s="309"/>
      <c r="W941" s="309"/>
      <c r="X941" s="309"/>
      <c r="Y941" s="309"/>
      <c r="Z941" s="309"/>
      <c r="AA941" s="309"/>
      <c r="AB941" s="309"/>
      <c r="AC941" s="309"/>
      <c r="AD941" s="309"/>
      <c r="AE941" s="309"/>
      <c r="AF941" s="309"/>
      <c r="AG941" s="309"/>
    </row>
    <row r="942" spans="1:33" ht="15.75" customHeight="1" x14ac:dyDescent="0.25">
      <c r="A942" s="309"/>
      <c r="B942" s="309"/>
      <c r="C942" s="309"/>
      <c r="D942" s="309"/>
      <c r="E942" s="309"/>
      <c r="F942" s="309"/>
      <c r="G942" s="309"/>
      <c r="H942" s="309"/>
      <c r="I942" s="309"/>
      <c r="J942" s="309"/>
      <c r="K942" s="309"/>
      <c r="L942" s="309"/>
      <c r="M942" s="309"/>
      <c r="N942" s="309"/>
      <c r="O942" s="309"/>
      <c r="P942" s="309"/>
      <c r="Q942" s="309"/>
      <c r="R942" s="309"/>
      <c r="S942" s="309"/>
      <c r="T942" s="309"/>
      <c r="U942" s="309"/>
      <c r="V942" s="309"/>
      <c r="W942" s="309"/>
      <c r="X942" s="309"/>
      <c r="Y942" s="309"/>
      <c r="Z942" s="309"/>
      <c r="AA942" s="309"/>
      <c r="AB942" s="309"/>
      <c r="AC942" s="309"/>
      <c r="AD942" s="309"/>
      <c r="AE942" s="309"/>
      <c r="AF942" s="309"/>
      <c r="AG942" s="309"/>
    </row>
    <row r="943" spans="1:33" ht="15.75" customHeight="1" x14ac:dyDescent="0.25">
      <c r="A943" s="309"/>
      <c r="B943" s="309"/>
      <c r="C943" s="309"/>
      <c r="D943" s="309"/>
      <c r="E943" s="309"/>
      <c r="F943" s="309"/>
      <c r="G943" s="309"/>
      <c r="H943" s="309"/>
      <c r="I943" s="309"/>
      <c r="J943" s="309"/>
      <c r="K943" s="309"/>
      <c r="L943" s="309"/>
      <c r="M943" s="309"/>
      <c r="N943" s="309"/>
      <c r="O943" s="309"/>
      <c r="P943" s="309"/>
      <c r="Q943" s="309"/>
      <c r="R943" s="309"/>
      <c r="S943" s="309"/>
      <c r="T943" s="309"/>
      <c r="U943" s="309"/>
      <c r="V943" s="309"/>
      <c r="W943" s="309"/>
      <c r="X943" s="309"/>
      <c r="Y943" s="309"/>
      <c r="Z943" s="309"/>
      <c r="AA943" s="309"/>
      <c r="AB943" s="309"/>
      <c r="AC943" s="309"/>
      <c r="AD943" s="309"/>
      <c r="AE943" s="309"/>
      <c r="AF943" s="309"/>
      <c r="AG943" s="309"/>
    </row>
    <row r="944" spans="1:33" ht="15.75" customHeight="1" x14ac:dyDescent="0.25">
      <c r="A944" s="309"/>
      <c r="B944" s="309"/>
      <c r="C944" s="309"/>
      <c r="D944" s="309"/>
      <c r="E944" s="309"/>
      <c r="F944" s="309"/>
      <c r="G944" s="309"/>
      <c r="H944" s="309"/>
      <c r="I944" s="309"/>
      <c r="J944" s="309"/>
      <c r="K944" s="309"/>
      <c r="L944" s="309"/>
      <c r="M944" s="309"/>
      <c r="N944" s="309"/>
      <c r="O944" s="309"/>
      <c r="P944" s="309"/>
      <c r="Q944" s="309"/>
      <c r="R944" s="309"/>
      <c r="S944" s="309"/>
      <c r="T944" s="309"/>
      <c r="U944" s="309"/>
      <c r="V944" s="309"/>
      <c r="W944" s="309"/>
      <c r="X944" s="309"/>
      <c r="Y944" s="309"/>
      <c r="Z944" s="309"/>
      <c r="AA944" s="309"/>
      <c r="AB944" s="309"/>
      <c r="AC944" s="309"/>
      <c r="AD944" s="309"/>
      <c r="AE944" s="309"/>
      <c r="AF944" s="309"/>
      <c r="AG944" s="309"/>
    </row>
    <row r="945" spans="1:33" ht="15.75" customHeight="1" x14ac:dyDescent="0.25">
      <c r="A945" s="309"/>
      <c r="B945" s="309"/>
      <c r="C945" s="309"/>
      <c r="D945" s="309"/>
      <c r="E945" s="309"/>
      <c r="F945" s="309"/>
      <c r="G945" s="309"/>
      <c r="H945" s="309"/>
      <c r="I945" s="309"/>
      <c r="J945" s="309"/>
      <c r="K945" s="309"/>
      <c r="L945" s="309"/>
      <c r="M945" s="309"/>
      <c r="N945" s="309"/>
      <c r="O945" s="309"/>
      <c r="P945" s="309"/>
      <c r="Q945" s="309"/>
      <c r="R945" s="309"/>
      <c r="S945" s="309"/>
      <c r="T945" s="309"/>
      <c r="U945" s="309"/>
      <c r="V945" s="309"/>
      <c r="W945" s="309"/>
      <c r="X945" s="309"/>
      <c r="Y945" s="309"/>
      <c r="Z945" s="309"/>
      <c r="AA945" s="309"/>
      <c r="AB945" s="309"/>
      <c r="AC945" s="309"/>
      <c r="AD945" s="309"/>
      <c r="AE945" s="309"/>
      <c r="AF945" s="309"/>
      <c r="AG945" s="309"/>
    </row>
    <row r="946" spans="1:33" ht="15.75" customHeight="1" x14ac:dyDescent="0.25">
      <c r="A946" s="309"/>
      <c r="B946" s="309"/>
      <c r="C946" s="309"/>
      <c r="D946" s="309"/>
      <c r="E946" s="309"/>
      <c r="F946" s="309"/>
      <c r="G946" s="309"/>
      <c r="H946" s="309"/>
      <c r="I946" s="309"/>
      <c r="J946" s="309"/>
      <c r="K946" s="309"/>
      <c r="L946" s="309"/>
      <c r="M946" s="309"/>
      <c r="N946" s="309"/>
      <c r="O946" s="309"/>
      <c r="P946" s="309"/>
      <c r="Q946" s="309"/>
      <c r="R946" s="309"/>
      <c r="S946" s="309"/>
      <c r="T946" s="309"/>
      <c r="U946" s="309"/>
      <c r="V946" s="309"/>
      <c r="W946" s="309"/>
      <c r="X946" s="309"/>
      <c r="Y946" s="309"/>
      <c r="Z946" s="309"/>
      <c r="AA946" s="309"/>
      <c r="AB946" s="309"/>
      <c r="AC946" s="309"/>
      <c r="AD946" s="309"/>
      <c r="AE946" s="309"/>
      <c r="AF946" s="309"/>
      <c r="AG946" s="309"/>
    </row>
    <row r="947" spans="1:33" ht="15.75" customHeight="1" x14ac:dyDescent="0.25">
      <c r="A947" s="309"/>
      <c r="B947" s="309"/>
      <c r="C947" s="309"/>
      <c r="D947" s="309"/>
      <c r="E947" s="309"/>
      <c r="F947" s="309"/>
      <c r="G947" s="309"/>
      <c r="H947" s="309"/>
      <c r="I947" s="309"/>
      <c r="J947" s="309"/>
      <c r="K947" s="309"/>
      <c r="L947" s="309"/>
      <c r="M947" s="309"/>
      <c r="N947" s="309"/>
      <c r="O947" s="309"/>
      <c r="P947" s="309"/>
      <c r="Q947" s="309"/>
      <c r="R947" s="309"/>
      <c r="S947" s="309"/>
      <c r="T947" s="309"/>
      <c r="U947" s="309"/>
      <c r="V947" s="309"/>
      <c r="W947" s="309"/>
      <c r="X947" s="309"/>
      <c r="Y947" s="309"/>
      <c r="Z947" s="309"/>
      <c r="AA947" s="309"/>
      <c r="AB947" s="309"/>
      <c r="AC947" s="309"/>
      <c r="AD947" s="309"/>
      <c r="AE947" s="309"/>
      <c r="AF947" s="309"/>
      <c r="AG947" s="309"/>
    </row>
    <row r="948" spans="1:33" ht="15.75" customHeight="1" x14ac:dyDescent="0.25">
      <c r="A948" s="309"/>
      <c r="B948" s="309"/>
      <c r="C948" s="309"/>
      <c r="D948" s="309"/>
      <c r="E948" s="309"/>
      <c r="F948" s="309"/>
      <c r="G948" s="309"/>
      <c r="H948" s="309"/>
      <c r="I948" s="309"/>
      <c r="J948" s="309"/>
      <c r="K948" s="309"/>
      <c r="L948" s="309"/>
      <c r="M948" s="309"/>
      <c r="N948" s="309"/>
      <c r="O948" s="309"/>
      <c r="P948" s="309"/>
      <c r="Q948" s="309"/>
      <c r="R948" s="309"/>
      <c r="S948" s="309"/>
      <c r="T948" s="309"/>
      <c r="U948" s="309"/>
      <c r="V948" s="309"/>
      <c r="W948" s="309"/>
      <c r="X948" s="309"/>
      <c r="Y948" s="309"/>
      <c r="Z948" s="309"/>
      <c r="AA948" s="309"/>
      <c r="AB948" s="309"/>
      <c r="AC948" s="309"/>
      <c r="AD948" s="309"/>
      <c r="AE948" s="309"/>
      <c r="AF948" s="309"/>
      <c r="AG948" s="309"/>
    </row>
    <row r="949" spans="1:33" ht="15.75" customHeight="1" x14ac:dyDescent="0.25">
      <c r="A949" s="309"/>
      <c r="B949" s="309"/>
      <c r="C949" s="309"/>
      <c r="D949" s="309"/>
      <c r="E949" s="309"/>
      <c r="F949" s="309"/>
      <c r="G949" s="309"/>
      <c r="H949" s="309"/>
      <c r="I949" s="309"/>
      <c r="J949" s="309"/>
      <c r="K949" s="309"/>
      <c r="L949" s="309"/>
      <c r="M949" s="309"/>
      <c r="N949" s="309"/>
      <c r="O949" s="309"/>
      <c r="P949" s="309"/>
      <c r="Q949" s="309"/>
      <c r="R949" s="309"/>
      <c r="S949" s="309"/>
      <c r="T949" s="309"/>
      <c r="U949" s="309"/>
      <c r="V949" s="309"/>
      <c r="W949" s="309"/>
      <c r="X949" s="309"/>
      <c r="Y949" s="309"/>
      <c r="Z949" s="309"/>
      <c r="AA949" s="309"/>
      <c r="AB949" s="309"/>
      <c r="AC949" s="309"/>
      <c r="AD949" s="309"/>
      <c r="AE949" s="309"/>
      <c r="AF949" s="309"/>
      <c r="AG949" s="309"/>
    </row>
    <row r="950" spans="1:33" ht="15.75" customHeight="1" x14ac:dyDescent="0.25">
      <c r="A950" s="309"/>
      <c r="B950" s="309"/>
      <c r="C950" s="309"/>
      <c r="D950" s="309"/>
      <c r="E950" s="309"/>
      <c r="F950" s="309"/>
      <c r="G950" s="309"/>
      <c r="H950" s="309"/>
      <c r="I950" s="309"/>
      <c r="J950" s="309"/>
      <c r="K950" s="309"/>
      <c r="L950" s="309"/>
      <c r="M950" s="309"/>
      <c r="N950" s="309"/>
      <c r="O950" s="309"/>
      <c r="P950" s="309"/>
      <c r="Q950" s="309"/>
      <c r="R950" s="309"/>
      <c r="S950" s="309"/>
      <c r="T950" s="309"/>
      <c r="U950" s="309"/>
      <c r="V950" s="309"/>
      <c r="W950" s="309"/>
      <c r="X950" s="309"/>
      <c r="Y950" s="309"/>
      <c r="Z950" s="309"/>
      <c r="AA950" s="309"/>
      <c r="AB950" s="309"/>
      <c r="AC950" s="309"/>
      <c r="AD950" s="309"/>
      <c r="AE950" s="309"/>
      <c r="AF950" s="309"/>
      <c r="AG950" s="309"/>
    </row>
    <row r="951" spans="1:33" ht="15.75" customHeight="1" x14ac:dyDescent="0.25">
      <c r="A951" s="309"/>
      <c r="B951" s="309"/>
      <c r="C951" s="309"/>
      <c r="D951" s="309"/>
      <c r="E951" s="309"/>
      <c r="F951" s="309"/>
      <c r="G951" s="309"/>
      <c r="H951" s="309"/>
      <c r="I951" s="309"/>
      <c r="J951" s="309"/>
      <c r="K951" s="309"/>
      <c r="L951" s="309"/>
      <c r="M951" s="309"/>
      <c r="N951" s="309"/>
      <c r="O951" s="309"/>
      <c r="P951" s="309"/>
      <c r="Q951" s="309"/>
      <c r="R951" s="309"/>
      <c r="S951" s="309"/>
      <c r="T951" s="309"/>
      <c r="U951" s="309"/>
      <c r="V951" s="309"/>
      <c r="W951" s="309"/>
      <c r="X951" s="309"/>
      <c r="Y951" s="309"/>
      <c r="Z951" s="309"/>
      <c r="AA951" s="309"/>
      <c r="AB951" s="309"/>
      <c r="AC951" s="309"/>
      <c r="AD951" s="309"/>
      <c r="AE951" s="309"/>
      <c r="AF951" s="309"/>
      <c r="AG951" s="309"/>
    </row>
    <row r="952" spans="1:33" ht="15.75" customHeight="1" x14ac:dyDescent="0.25">
      <c r="A952" s="309"/>
      <c r="B952" s="309"/>
      <c r="C952" s="309"/>
      <c r="D952" s="309"/>
      <c r="E952" s="309"/>
      <c r="F952" s="309"/>
      <c r="G952" s="309"/>
      <c r="H952" s="309"/>
      <c r="I952" s="309"/>
      <c r="J952" s="309"/>
      <c r="K952" s="309"/>
      <c r="L952" s="309"/>
      <c r="M952" s="309"/>
      <c r="N952" s="309"/>
      <c r="O952" s="309"/>
      <c r="P952" s="309"/>
      <c r="Q952" s="309"/>
      <c r="R952" s="309"/>
      <c r="S952" s="309"/>
      <c r="T952" s="309"/>
      <c r="U952" s="309"/>
      <c r="V952" s="309"/>
      <c r="W952" s="309"/>
      <c r="X952" s="309"/>
      <c r="Y952" s="309"/>
      <c r="Z952" s="309"/>
      <c r="AA952" s="309"/>
      <c r="AB952" s="309"/>
      <c r="AC952" s="309"/>
      <c r="AD952" s="309"/>
      <c r="AE952" s="309"/>
      <c r="AF952" s="309"/>
      <c r="AG952" s="309"/>
    </row>
    <row r="953" spans="1:33" ht="15.75" customHeight="1" x14ac:dyDescent="0.25">
      <c r="A953" s="309"/>
      <c r="B953" s="309"/>
      <c r="C953" s="309"/>
      <c r="D953" s="309"/>
      <c r="E953" s="309"/>
      <c r="F953" s="309"/>
      <c r="G953" s="309"/>
      <c r="H953" s="309"/>
      <c r="I953" s="309"/>
      <c r="J953" s="309"/>
      <c r="K953" s="309"/>
      <c r="L953" s="309"/>
      <c r="M953" s="309"/>
      <c r="N953" s="309"/>
      <c r="O953" s="309"/>
      <c r="P953" s="309"/>
      <c r="Q953" s="309"/>
      <c r="R953" s="309"/>
      <c r="S953" s="309"/>
      <c r="T953" s="309"/>
      <c r="U953" s="309"/>
      <c r="V953" s="309"/>
      <c r="W953" s="309"/>
      <c r="X953" s="309"/>
      <c r="Y953" s="309"/>
      <c r="Z953" s="309"/>
      <c r="AA953" s="309"/>
      <c r="AB953" s="309"/>
      <c r="AC953" s="309"/>
      <c r="AD953" s="309"/>
      <c r="AE953" s="309"/>
      <c r="AF953" s="309"/>
      <c r="AG953" s="309"/>
    </row>
    <row r="954" spans="1:33" ht="15.75" customHeight="1" x14ac:dyDescent="0.25">
      <c r="A954" s="309"/>
      <c r="B954" s="309"/>
      <c r="C954" s="309"/>
      <c r="D954" s="309"/>
      <c r="E954" s="309"/>
      <c r="F954" s="309"/>
      <c r="G954" s="309"/>
      <c r="H954" s="309"/>
      <c r="I954" s="309"/>
      <c r="J954" s="309"/>
      <c r="K954" s="309"/>
      <c r="L954" s="309"/>
      <c r="M954" s="309"/>
      <c r="N954" s="309"/>
      <c r="O954" s="309"/>
      <c r="P954" s="309"/>
      <c r="Q954" s="309"/>
      <c r="R954" s="309"/>
      <c r="S954" s="309"/>
      <c r="T954" s="309"/>
      <c r="U954" s="309"/>
      <c r="V954" s="309"/>
      <c r="W954" s="309"/>
      <c r="X954" s="309"/>
      <c r="Y954" s="309"/>
      <c r="Z954" s="309"/>
      <c r="AA954" s="309"/>
      <c r="AB954" s="309"/>
      <c r="AC954" s="309"/>
      <c r="AD954" s="309"/>
      <c r="AE954" s="309"/>
      <c r="AF954" s="309"/>
      <c r="AG954" s="309"/>
    </row>
    <row r="955" spans="1:33" ht="15.75" customHeight="1" x14ac:dyDescent="0.25">
      <c r="A955" s="309"/>
      <c r="B955" s="309"/>
      <c r="C955" s="309"/>
      <c r="D955" s="309"/>
      <c r="E955" s="309"/>
      <c r="F955" s="309"/>
      <c r="G955" s="309"/>
      <c r="H955" s="309"/>
      <c r="I955" s="309"/>
      <c r="J955" s="309"/>
      <c r="K955" s="309"/>
      <c r="L955" s="309"/>
      <c r="M955" s="309"/>
      <c r="N955" s="309"/>
      <c r="O955" s="309"/>
      <c r="P955" s="309"/>
      <c r="Q955" s="309"/>
      <c r="R955" s="309"/>
      <c r="S955" s="309"/>
      <c r="T955" s="309"/>
      <c r="U955" s="309"/>
      <c r="V955" s="309"/>
      <c r="W955" s="309"/>
      <c r="X955" s="309"/>
      <c r="Y955" s="309"/>
      <c r="Z955" s="309"/>
      <c r="AA955" s="309"/>
      <c r="AB955" s="309"/>
      <c r="AC955" s="309"/>
      <c r="AD955" s="309"/>
      <c r="AE955" s="309"/>
      <c r="AF955" s="309"/>
      <c r="AG955" s="309"/>
    </row>
    <row r="956" spans="1:33" ht="15.75" customHeight="1" x14ac:dyDescent="0.25">
      <c r="A956" s="309"/>
      <c r="B956" s="309"/>
      <c r="C956" s="309"/>
      <c r="D956" s="309"/>
      <c r="E956" s="309"/>
      <c r="F956" s="309"/>
      <c r="G956" s="309"/>
      <c r="H956" s="309"/>
      <c r="I956" s="309"/>
      <c r="J956" s="309"/>
      <c r="K956" s="309"/>
      <c r="L956" s="309"/>
      <c r="M956" s="309"/>
      <c r="N956" s="309"/>
      <c r="O956" s="309"/>
      <c r="P956" s="309"/>
      <c r="Q956" s="309"/>
      <c r="R956" s="309"/>
      <c r="S956" s="309"/>
      <c r="T956" s="309"/>
      <c r="U956" s="309"/>
      <c r="V956" s="309"/>
      <c r="W956" s="309"/>
      <c r="X956" s="309"/>
      <c r="Y956" s="309"/>
      <c r="Z956" s="309"/>
      <c r="AA956" s="309"/>
      <c r="AB956" s="309"/>
      <c r="AC956" s="309"/>
      <c r="AD956" s="309"/>
      <c r="AE956" s="309"/>
      <c r="AF956" s="309"/>
      <c r="AG956" s="309"/>
    </row>
    <row r="957" spans="1:33" ht="15.75" customHeight="1" x14ac:dyDescent="0.25">
      <c r="A957" s="309"/>
      <c r="B957" s="309"/>
      <c r="C957" s="309"/>
      <c r="D957" s="309"/>
      <c r="E957" s="309"/>
      <c r="F957" s="309"/>
      <c r="G957" s="309"/>
      <c r="H957" s="309"/>
      <c r="I957" s="309"/>
      <c r="J957" s="309"/>
      <c r="K957" s="309"/>
      <c r="L957" s="309"/>
      <c r="M957" s="309"/>
      <c r="N957" s="309"/>
      <c r="O957" s="309"/>
      <c r="P957" s="309"/>
      <c r="Q957" s="309"/>
      <c r="R957" s="309"/>
      <c r="S957" s="309"/>
      <c r="T957" s="309"/>
      <c r="U957" s="309"/>
      <c r="V957" s="309"/>
      <c r="W957" s="309"/>
      <c r="X957" s="309"/>
      <c r="Y957" s="309"/>
      <c r="Z957" s="309"/>
      <c r="AA957" s="309"/>
      <c r="AB957" s="309"/>
      <c r="AC957" s="309"/>
      <c r="AD957" s="309"/>
      <c r="AE957" s="309"/>
      <c r="AF957" s="309"/>
      <c r="AG957" s="309"/>
    </row>
    <row r="958" spans="1:33" ht="15.75" customHeight="1" x14ac:dyDescent="0.25">
      <c r="A958" s="309"/>
      <c r="B958" s="309"/>
      <c r="C958" s="309"/>
      <c r="D958" s="309"/>
      <c r="E958" s="309"/>
      <c r="F958" s="309"/>
      <c r="G958" s="309"/>
      <c r="H958" s="309"/>
      <c r="I958" s="309"/>
      <c r="J958" s="309"/>
      <c r="K958" s="309"/>
      <c r="L958" s="309"/>
      <c r="M958" s="309"/>
      <c r="N958" s="309"/>
      <c r="O958" s="309"/>
      <c r="P958" s="309"/>
      <c r="Q958" s="309"/>
      <c r="R958" s="309"/>
      <c r="S958" s="309"/>
      <c r="T958" s="309"/>
      <c r="U958" s="309"/>
      <c r="V958" s="309"/>
      <c r="W958" s="309"/>
      <c r="X958" s="309"/>
      <c r="Y958" s="309"/>
      <c r="Z958" s="309"/>
      <c r="AA958" s="309"/>
      <c r="AB958" s="309"/>
      <c r="AC958" s="309"/>
      <c r="AD958" s="309"/>
      <c r="AE958" s="309"/>
      <c r="AF958" s="309"/>
      <c r="AG958" s="309"/>
    </row>
    <row r="959" spans="1:33" ht="15.75" customHeight="1" x14ac:dyDescent="0.25">
      <c r="A959" s="309"/>
      <c r="B959" s="309"/>
      <c r="C959" s="309"/>
      <c r="D959" s="309"/>
      <c r="E959" s="309"/>
      <c r="F959" s="309"/>
      <c r="G959" s="309"/>
      <c r="H959" s="309"/>
      <c r="I959" s="309"/>
      <c r="J959" s="309"/>
      <c r="K959" s="309"/>
      <c r="L959" s="309"/>
      <c r="M959" s="309"/>
      <c r="N959" s="309"/>
      <c r="O959" s="309"/>
      <c r="P959" s="309"/>
      <c r="Q959" s="309"/>
      <c r="R959" s="309"/>
      <c r="S959" s="309"/>
      <c r="T959" s="309"/>
      <c r="U959" s="309"/>
      <c r="V959" s="309"/>
      <c r="W959" s="309"/>
      <c r="X959" s="309"/>
      <c r="Y959" s="309"/>
      <c r="Z959" s="309"/>
      <c r="AA959" s="309"/>
      <c r="AB959" s="309"/>
      <c r="AC959" s="309"/>
      <c r="AD959" s="309"/>
      <c r="AE959" s="309"/>
      <c r="AF959" s="309"/>
      <c r="AG959" s="309"/>
    </row>
    <row r="960" spans="1:33" ht="15.75" customHeight="1" x14ac:dyDescent="0.25">
      <c r="A960" s="309"/>
      <c r="B960" s="309"/>
      <c r="C960" s="309"/>
      <c r="D960" s="309"/>
      <c r="E960" s="309"/>
      <c r="F960" s="309"/>
      <c r="G960" s="309"/>
      <c r="H960" s="309"/>
      <c r="I960" s="309"/>
      <c r="J960" s="309"/>
      <c r="K960" s="309"/>
      <c r="L960" s="309"/>
      <c r="M960" s="309"/>
      <c r="N960" s="309"/>
      <c r="O960" s="309"/>
      <c r="P960" s="309"/>
      <c r="Q960" s="309"/>
      <c r="R960" s="309"/>
      <c r="S960" s="309"/>
      <c r="T960" s="309"/>
      <c r="U960" s="309"/>
      <c r="V960" s="309"/>
      <c r="W960" s="309"/>
      <c r="X960" s="309"/>
      <c r="Y960" s="309"/>
      <c r="Z960" s="309"/>
      <c r="AA960" s="309"/>
      <c r="AB960" s="309"/>
      <c r="AC960" s="309"/>
      <c r="AD960" s="309"/>
      <c r="AE960" s="309"/>
      <c r="AF960" s="309"/>
      <c r="AG960" s="309"/>
    </row>
    <row r="961" spans="1:33" ht="15.75" customHeight="1" x14ac:dyDescent="0.25">
      <c r="A961" s="309"/>
      <c r="B961" s="309"/>
      <c r="C961" s="309"/>
      <c r="D961" s="309"/>
      <c r="E961" s="309"/>
      <c r="F961" s="309"/>
      <c r="G961" s="309"/>
      <c r="H961" s="309"/>
      <c r="I961" s="309"/>
      <c r="J961" s="309"/>
      <c r="K961" s="309"/>
      <c r="L961" s="309"/>
      <c r="M961" s="309"/>
      <c r="N961" s="309"/>
      <c r="O961" s="309"/>
      <c r="P961" s="309"/>
      <c r="Q961" s="309"/>
      <c r="R961" s="309"/>
      <c r="S961" s="309"/>
      <c r="T961" s="309"/>
      <c r="U961" s="309"/>
      <c r="V961" s="309"/>
      <c r="W961" s="309"/>
      <c r="X961" s="309"/>
      <c r="Y961" s="309"/>
      <c r="Z961" s="309"/>
      <c r="AA961" s="309"/>
      <c r="AB961" s="309"/>
      <c r="AC961" s="309"/>
      <c r="AD961" s="309"/>
      <c r="AE961" s="309"/>
      <c r="AF961" s="309"/>
      <c r="AG961" s="309"/>
    </row>
    <row r="962" spans="1:33" ht="15.75" customHeight="1" x14ac:dyDescent="0.25">
      <c r="A962" s="309"/>
      <c r="B962" s="309"/>
      <c r="C962" s="309"/>
      <c r="D962" s="309"/>
      <c r="E962" s="309"/>
      <c r="F962" s="309"/>
      <c r="G962" s="309"/>
      <c r="H962" s="309"/>
      <c r="I962" s="309"/>
      <c r="J962" s="309"/>
      <c r="K962" s="309"/>
      <c r="L962" s="309"/>
      <c r="M962" s="309"/>
      <c r="N962" s="309"/>
      <c r="O962" s="309"/>
      <c r="P962" s="309"/>
      <c r="Q962" s="309"/>
      <c r="R962" s="309"/>
      <c r="S962" s="309"/>
      <c r="T962" s="309"/>
      <c r="U962" s="309"/>
      <c r="V962" s="309"/>
      <c r="W962" s="309"/>
      <c r="X962" s="309"/>
      <c r="Y962" s="309"/>
      <c r="Z962" s="309"/>
      <c r="AA962" s="309"/>
      <c r="AB962" s="309"/>
      <c r="AC962" s="309"/>
      <c r="AD962" s="309"/>
      <c r="AE962" s="309"/>
      <c r="AF962" s="309"/>
      <c r="AG962" s="309"/>
    </row>
    <row r="963" spans="1:33" ht="15.75" customHeight="1" x14ac:dyDescent="0.25">
      <c r="A963" s="309"/>
      <c r="B963" s="309"/>
      <c r="C963" s="309"/>
      <c r="D963" s="309"/>
      <c r="E963" s="309"/>
      <c r="F963" s="309"/>
      <c r="G963" s="309"/>
      <c r="H963" s="309"/>
      <c r="I963" s="309"/>
      <c r="J963" s="309"/>
      <c r="K963" s="309"/>
      <c r="L963" s="309"/>
      <c r="M963" s="309"/>
      <c r="N963" s="309"/>
      <c r="O963" s="309"/>
      <c r="P963" s="309"/>
      <c r="Q963" s="309"/>
      <c r="R963" s="309"/>
      <c r="S963" s="309"/>
      <c r="T963" s="309"/>
      <c r="U963" s="309"/>
      <c r="V963" s="309"/>
      <c r="W963" s="309"/>
      <c r="X963" s="309"/>
      <c r="Y963" s="309"/>
      <c r="Z963" s="309"/>
      <c r="AA963" s="309"/>
      <c r="AB963" s="309"/>
      <c r="AC963" s="309"/>
      <c r="AD963" s="309"/>
      <c r="AE963" s="309"/>
      <c r="AF963" s="309"/>
      <c r="AG963" s="309"/>
    </row>
    <row r="964" spans="1:33" ht="15.75" customHeight="1" x14ac:dyDescent="0.25">
      <c r="A964" s="309"/>
      <c r="B964" s="309"/>
      <c r="C964" s="309"/>
      <c r="D964" s="309"/>
      <c r="E964" s="309"/>
      <c r="F964" s="309"/>
      <c r="G964" s="309"/>
      <c r="H964" s="309"/>
      <c r="I964" s="309"/>
      <c r="J964" s="309"/>
      <c r="K964" s="309"/>
      <c r="L964" s="309"/>
      <c r="M964" s="309"/>
      <c r="N964" s="309"/>
      <c r="O964" s="309"/>
      <c r="P964" s="309"/>
      <c r="Q964" s="309"/>
      <c r="R964" s="309"/>
      <c r="S964" s="309"/>
      <c r="T964" s="309"/>
      <c r="U964" s="309"/>
      <c r="V964" s="309"/>
      <c r="W964" s="309"/>
      <c r="X964" s="309"/>
      <c r="Y964" s="309"/>
      <c r="Z964" s="309"/>
      <c r="AA964" s="309"/>
      <c r="AB964" s="309"/>
      <c r="AC964" s="309"/>
      <c r="AD964" s="309"/>
      <c r="AE964" s="309"/>
      <c r="AF964" s="309"/>
      <c r="AG964" s="309"/>
    </row>
    <row r="965" spans="1:33" ht="15.75" customHeight="1" x14ac:dyDescent="0.25">
      <c r="A965" s="309"/>
      <c r="B965" s="309"/>
      <c r="C965" s="309"/>
      <c r="D965" s="309"/>
      <c r="E965" s="309"/>
      <c r="F965" s="309"/>
      <c r="G965" s="309"/>
      <c r="H965" s="309"/>
      <c r="I965" s="309"/>
      <c r="J965" s="309"/>
      <c r="K965" s="309"/>
      <c r="L965" s="309"/>
      <c r="M965" s="309"/>
      <c r="N965" s="309"/>
      <c r="O965" s="309"/>
      <c r="P965" s="309"/>
      <c r="Q965" s="309"/>
      <c r="R965" s="309"/>
      <c r="S965" s="309"/>
      <c r="T965" s="309"/>
      <c r="U965" s="309"/>
      <c r="V965" s="309"/>
      <c r="W965" s="309"/>
      <c r="X965" s="309"/>
      <c r="Y965" s="309"/>
      <c r="Z965" s="309"/>
      <c r="AA965" s="309"/>
      <c r="AB965" s="309"/>
      <c r="AC965" s="309"/>
      <c r="AD965" s="309"/>
      <c r="AE965" s="309"/>
      <c r="AF965" s="309"/>
      <c r="AG965" s="309"/>
    </row>
    <row r="966" spans="1:33" ht="15.75" customHeight="1" x14ac:dyDescent="0.25">
      <c r="A966" s="309"/>
      <c r="B966" s="309"/>
      <c r="C966" s="309"/>
      <c r="D966" s="309"/>
      <c r="E966" s="309"/>
      <c r="F966" s="309"/>
      <c r="G966" s="309"/>
      <c r="H966" s="309"/>
      <c r="I966" s="309"/>
      <c r="J966" s="309"/>
      <c r="K966" s="309"/>
      <c r="L966" s="309"/>
      <c r="M966" s="309"/>
      <c r="N966" s="309"/>
      <c r="O966" s="309"/>
      <c r="P966" s="309"/>
      <c r="Q966" s="309"/>
      <c r="R966" s="309"/>
      <c r="S966" s="309"/>
      <c r="T966" s="309"/>
      <c r="U966" s="309"/>
      <c r="V966" s="309"/>
      <c r="W966" s="309"/>
      <c r="X966" s="309"/>
      <c r="Y966" s="309"/>
      <c r="Z966" s="309"/>
      <c r="AA966" s="309"/>
      <c r="AB966" s="309"/>
      <c r="AC966" s="309"/>
      <c r="AD966" s="309"/>
      <c r="AE966" s="309"/>
      <c r="AF966" s="309"/>
      <c r="AG966" s="309"/>
    </row>
    <row r="967" spans="1:33" ht="15.75" customHeight="1" x14ac:dyDescent="0.25">
      <c r="A967" s="309"/>
      <c r="B967" s="309"/>
      <c r="C967" s="309"/>
      <c r="D967" s="309"/>
      <c r="E967" s="309"/>
      <c r="F967" s="309"/>
      <c r="G967" s="309"/>
      <c r="H967" s="309"/>
      <c r="I967" s="309"/>
      <c r="J967" s="309"/>
      <c r="K967" s="309"/>
      <c r="L967" s="309"/>
      <c r="M967" s="309"/>
      <c r="N967" s="309"/>
      <c r="O967" s="309"/>
      <c r="P967" s="309"/>
      <c r="Q967" s="309"/>
      <c r="R967" s="309"/>
      <c r="S967" s="309"/>
      <c r="T967" s="309"/>
      <c r="U967" s="309"/>
      <c r="V967" s="309"/>
      <c r="W967" s="309"/>
      <c r="X967" s="309"/>
      <c r="Y967" s="309"/>
      <c r="Z967" s="309"/>
      <c r="AA967" s="309"/>
      <c r="AB967" s="309"/>
      <c r="AC967" s="309"/>
      <c r="AD967" s="309"/>
      <c r="AE967" s="309"/>
      <c r="AF967" s="309"/>
      <c r="AG967" s="309"/>
    </row>
    <row r="968" spans="1:33" ht="15.75" customHeight="1" x14ac:dyDescent="0.25">
      <c r="A968" s="309"/>
      <c r="B968" s="309"/>
      <c r="C968" s="309"/>
      <c r="D968" s="309"/>
      <c r="E968" s="309"/>
      <c r="F968" s="309"/>
      <c r="G968" s="309"/>
      <c r="H968" s="309"/>
      <c r="I968" s="309"/>
      <c r="J968" s="309"/>
      <c r="K968" s="309"/>
      <c r="L968" s="309"/>
      <c r="M968" s="309"/>
      <c r="N968" s="309"/>
      <c r="O968" s="309"/>
      <c r="P968" s="309"/>
      <c r="Q968" s="309"/>
      <c r="R968" s="309"/>
      <c r="S968" s="309"/>
      <c r="T968" s="309"/>
      <c r="U968" s="309"/>
      <c r="V968" s="309"/>
      <c r="W968" s="309"/>
      <c r="X968" s="309"/>
      <c r="Y968" s="309"/>
      <c r="Z968" s="309"/>
      <c r="AA968" s="309"/>
      <c r="AB968" s="309"/>
      <c r="AC968" s="309"/>
      <c r="AD968" s="309"/>
      <c r="AE968" s="309"/>
      <c r="AF968" s="309"/>
      <c r="AG968" s="309"/>
    </row>
    <row r="969" spans="1:33" ht="15.75" customHeight="1" x14ac:dyDescent="0.25">
      <c r="A969" s="309"/>
      <c r="B969" s="309"/>
      <c r="C969" s="309"/>
      <c r="D969" s="309"/>
      <c r="E969" s="309"/>
      <c r="F969" s="309"/>
      <c r="G969" s="309"/>
      <c r="H969" s="309"/>
      <c r="I969" s="309"/>
      <c r="J969" s="309"/>
      <c r="K969" s="309"/>
      <c r="L969" s="309"/>
      <c r="M969" s="309"/>
      <c r="N969" s="309"/>
      <c r="O969" s="309"/>
      <c r="P969" s="309"/>
      <c r="Q969" s="309"/>
      <c r="R969" s="309"/>
      <c r="S969" s="309"/>
      <c r="T969" s="309"/>
      <c r="U969" s="309"/>
      <c r="V969" s="309"/>
      <c r="W969" s="309"/>
      <c r="X969" s="309"/>
      <c r="Y969" s="309"/>
      <c r="Z969" s="309"/>
      <c r="AA969" s="309"/>
      <c r="AB969" s="309"/>
      <c r="AC969" s="309"/>
      <c r="AD969" s="309"/>
      <c r="AE969" s="309"/>
      <c r="AF969" s="309"/>
      <c r="AG969" s="309"/>
    </row>
    <row r="970" spans="1:33" ht="15.75" customHeight="1" x14ac:dyDescent="0.25">
      <c r="A970" s="309"/>
      <c r="B970" s="309"/>
      <c r="C970" s="309"/>
      <c r="D970" s="309"/>
      <c r="E970" s="309"/>
      <c r="F970" s="309"/>
      <c r="G970" s="309"/>
      <c r="H970" s="309"/>
      <c r="I970" s="309"/>
      <c r="J970" s="309"/>
      <c r="K970" s="309"/>
      <c r="L970" s="309"/>
      <c r="M970" s="309"/>
      <c r="N970" s="309"/>
      <c r="O970" s="309"/>
      <c r="P970" s="309"/>
      <c r="Q970" s="309"/>
      <c r="R970" s="309"/>
      <c r="S970" s="309"/>
      <c r="T970" s="309"/>
      <c r="U970" s="309"/>
      <c r="V970" s="309"/>
      <c r="W970" s="309"/>
      <c r="X970" s="309"/>
      <c r="Y970" s="309"/>
      <c r="Z970" s="309"/>
      <c r="AA970" s="309"/>
      <c r="AB970" s="309"/>
      <c r="AC970" s="309"/>
      <c r="AD970" s="309"/>
      <c r="AE970" s="309"/>
      <c r="AF970" s="309"/>
      <c r="AG970" s="309"/>
    </row>
    <row r="971" spans="1:33" ht="15.75" customHeight="1" x14ac:dyDescent="0.25">
      <c r="A971" s="309"/>
      <c r="B971" s="309"/>
      <c r="C971" s="309"/>
      <c r="D971" s="309"/>
      <c r="E971" s="309"/>
      <c r="F971" s="309"/>
      <c r="G971" s="309"/>
      <c r="H971" s="309"/>
      <c r="I971" s="309"/>
      <c r="J971" s="309"/>
      <c r="K971" s="309"/>
      <c r="L971" s="309"/>
      <c r="M971" s="309"/>
      <c r="N971" s="309"/>
      <c r="O971" s="309"/>
      <c r="P971" s="309"/>
      <c r="Q971" s="309"/>
      <c r="R971" s="309"/>
      <c r="S971" s="309"/>
      <c r="T971" s="309"/>
      <c r="U971" s="309"/>
      <c r="V971" s="309"/>
      <c r="W971" s="309"/>
      <c r="X971" s="309"/>
      <c r="Y971" s="309"/>
      <c r="Z971" s="309"/>
      <c r="AA971" s="309"/>
      <c r="AB971" s="309"/>
      <c r="AC971" s="309"/>
      <c r="AD971" s="309"/>
      <c r="AE971" s="309"/>
      <c r="AF971" s="309"/>
      <c r="AG971" s="309"/>
    </row>
    <row r="972" spans="1:33" ht="15.75" customHeight="1" x14ac:dyDescent="0.25">
      <c r="A972" s="309"/>
      <c r="B972" s="309"/>
      <c r="C972" s="309"/>
      <c r="D972" s="309"/>
      <c r="E972" s="309"/>
      <c r="F972" s="309"/>
      <c r="G972" s="309"/>
      <c r="H972" s="309"/>
      <c r="I972" s="309"/>
      <c r="J972" s="309"/>
      <c r="K972" s="309"/>
      <c r="L972" s="309"/>
      <c r="M972" s="309"/>
      <c r="N972" s="309"/>
      <c r="O972" s="309"/>
      <c r="P972" s="309"/>
      <c r="Q972" s="309"/>
      <c r="R972" s="309"/>
      <c r="S972" s="309"/>
      <c r="T972" s="309"/>
      <c r="U972" s="309"/>
      <c r="V972" s="309"/>
      <c r="W972" s="309"/>
      <c r="X972" s="309"/>
      <c r="Y972" s="309"/>
      <c r="Z972" s="309"/>
      <c r="AA972" s="309"/>
      <c r="AB972" s="309"/>
      <c r="AC972" s="309"/>
      <c r="AD972" s="309"/>
      <c r="AE972" s="309"/>
      <c r="AF972" s="309"/>
      <c r="AG972" s="309"/>
    </row>
    <row r="973" spans="1:33" ht="15.75" customHeight="1" x14ac:dyDescent="0.25">
      <c r="A973" s="309"/>
      <c r="B973" s="309"/>
      <c r="C973" s="309"/>
      <c r="D973" s="309"/>
      <c r="E973" s="309"/>
      <c r="F973" s="309"/>
      <c r="G973" s="309"/>
      <c r="H973" s="309"/>
      <c r="I973" s="309"/>
      <c r="J973" s="309"/>
      <c r="K973" s="309"/>
      <c r="L973" s="309"/>
      <c r="M973" s="309"/>
      <c r="N973" s="309"/>
      <c r="O973" s="309"/>
      <c r="P973" s="309"/>
      <c r="Q973" s="309"/>
      <c r="R973" s="309"/>
      <c r="S973" s="309"/>
      <c r="T973" s="309"/>
      <c r="U973" s="309"/>
      <c r="V973" s="309"/>
      <c r="W973" s="309"/>
      <c r="X973" s="309"/>
      <c r="Y973" s="309"/>
      <c r="Z973" s="309"/>
      <c r="AA973" s="309"/>
      <c r="AB973" s="309"/>
      <c r="AC973" s="309"/>
      <c r="AD973" s="309"/>
      <c r="AE973" s="309"/>
      <c r="AF973" s="309"/>
      <c r="AG973" s="309"/>
    </row>
    <row r="974" spans="1:33" ht="15.75" customHeight="1" x14ac:dyDescent="0.25">
      <c r="A974" s="309"/>
      <c r="B974" s="309"/>
      <c r="C974" s="309"/>
      <c r="D974" s="309"/>
      <c r="E974" s="309"/>
      <c r="F974" s="309"/>
      <c r="G974" s="309"/>
      <c r="H974" s="309"/>
      <c r="I974" s="309"/>
      <c r="J974" s="309"/>
      <c r="K974" s="309"/>
      <c r="L974" s="309"/>
      <c r="M974" s="309"/>
      <c r="N974" s="309"/>
      <c r="O974" s="309"/>
      <c r="P974" s="309"/>
      <c r="Q974" s="309"/>
      <c r="R974" s="309"/>
      <c r="S974" s="309"/>
      <c r="T974" s="309"/>
      <c r="U974" s="309"/>
      <c r="V974" s="309"/>
      <c r="W974" s="309"/>
      <c r="X974" s="309"/>
      <c r="Y974" s="309"/>
      <c r="Z974" s="309"/>
      <c r="AA974" s="309"/>
      <c r="AB974" s="309"/>
      <c r="AC974" s="309"/>
      <c r="AD974" s="309"/>
      <c r="AE974" s="309"/>
      <c r="AF974" s="309"/>
      <c r="AG974" s="309"/>
    </row>
    <row r="975" spans="1:33" ht="15.75" customHeight="1" x14ac:dyDescent="0.25">
      <c r="A975" s="309"/>
      <c r="B975" s="309"/>
      <c r="C975" s="309"/>
      <c r="D975" s="309"/>
      <c r="E975" s="309"/>
      <c r="F975" s="309"/>
      <c r="G975" s="309"/>
      <c r="H975" s="309"/>
      <c r="I975" s="309"/>
      <c r="J975" s="309"/>
      <c r="K975" s="309"/>
      <c r="L975" s="309"/>
      <c r="M975" s="309"/>
      <c r="N975" s="309"/>
      <c r="O975" s="309"/>
      <c r="P975" s="309"/>
      <c r="Q975" s="309"/>
      <c r="R975" s="309"/>
      <c r="S975" s="309"/>
      <c r="T975" s="309"/>
      <c r="U975" s="309"/>
      <c r="V975" s="309"/>
      <c r="W975" s="309"/>
      <c r="X975" s="309"/>
      <c r="Y975" s="309"/>
      <c r="Z975" s="309"/>
      <c r="AA975" s="309"/>
      <c r="AB975" s="309"/>
      <c r="AC975" s="309"/>
      <c r="AD975" s="309"/>
      <c r="AE975" s="309"/>
      <c r="AF975" s="309"/>
      <c r="AG975" s="309"/>
    </row>
    <row r="976" spans="1:33" ht="15.75" customHeight="1" x14ac:dyDescent="0.25">
      <c r="A976" s="309"/>
      <c r="B976" s="309"/>
      <c r="C976" s="309"/>
      <c r="D976" s="309"/>
      <c r="E976" s="309"/>
      <c r="F976" s="309"/>
      <c r="G976" s="309"/>
      <c r="H976" s="309"/>
      <c r="I976" s="309"/>
      <c r="J976" s="309"/>
      <c r="K976" s="309"/>
      <c r="L976" s="309"/>
      <c r="M976" s="309"/>
      <c r="N976" s="309"/>
      <c r="O976" s="309"/>
      <c r="P976" s="309"/>
      <c r="Q976" s="309"/>
      <c r="R976" s="309"/>
      <c r="S976" s="309"/>
      <c r="T976" s="309"/>
      <c r="U976" s="309"/>
      <c r="V976" s="309"/>
      <c r="W976" s="309"/>
      <c r="X976" s="309"/>
      <c r="Y976" s="309"/>
      <c r="Z976" s="309"/>
      <c r="AA976" s="309"/>
      <c r="AB976" s="309"/>
      <c r="AC976" s="309"/>
      <c r="AD976" s="309"/>
      <c r="AE976" s="309"/>
      <c r="AF976" s="309"/>
      <c r="AG976" s="309"/>
    </row>
    <row r="977" spans="1:33" ht="15.75" customHeight="1" x14ac:dyDescent="0.25">
      <c r="A977" s="309"/>
      <c r="B977" s="309"/>
      <c r="C977" s="309"/>
      <c r="D977" s="309"/>
      <c r="E977" s="309"/>
      <c r="F977" s="309"/>
      <c r="G977" s="309"/>
      <c r="H977" s="309"/>
      <c r="I977" s="309"/>
      <c r="J977" s="309"/>
      <c r="K977" s="309"/>
      <c r="L977" s="309"/>
      <c r="M977" s="309"/>
      <c r="N977" s="309"/>
      <c r="O977" s="309"/>
      <c r="P977" s="309"/>
      <c r="Q977" s="309"/>
      <c r="R977" s="309"/>
      <c r="S977" s="309"/>
      <c r="T977" s="309"/>
      <c r="U977" s="309"/>
      <c r="V977" s="309"/>
      <c r="W977" s="309"/>
      <c r="X977" s="309"/>
      <c r="Y977" s="309"/>
      <c r="Z977" s="309"/>
      <c r="AA977" s="309"/>
      <c r="AB977" s="309"/>
      <c r="AC977" s="309"/>
      <c r="AD977" s="309"/>
      <c r="AE977" s="309"/>
      <c r="AF977" s="309"/>
      <c r="AG977" s="309"/>
    </row>
    <row r="978" spans="1:33" ht="15.75" customHeight="1" x14ac:dyDescent="0.25">
      <c r="A978" s="309"/>
      <c r="B978" s="309"/>
      <c r="C978" s="309"/>
      <c r="D978" s="309"/>
      <c r="E978" s="309"/>
      <c r="F978" s="309"/>
      <c r="G978" s="309"/>
      <c r="H978" s="309"/>
      <c r="I978" s="309"/>
      <c r="J978" s="309"/>
      <c r="K978" s="309"/>
      <c r="L978" s="309"/>
      <c r="M978" s="309"/>
      <c r="N978" s="309"/>
      <c r="O978" s="309"/>
      <c r="P978" s="309"/>
      <c r="Q978" s="309"/>
      <c r="R978" s="309"/>
      <c r="S978" s="309"/>
      <c r="T978" s="309"/>
      <c r="U978" s="309"/>
      <c r="V978" s="309"/>
      <c r="W978" s="309"/>
      <c r="X978" s="309"/>
      <c r="Y978" s="309"/>
      <c r="Z978" s="309"/>
      <c r="AA978" s="309"/>
      <c r="AB978" s="309"/>
      <c r="AC978" s="309"/>
      <c r="AD978" s="309"/>
      <c r="AE978" s="309"/>
      <c r="AF978" s="309"/>
      <c r="AG978" s="309"/>
    </row>
    <row r="979" spans="1:33" ht="15.75" customHeight="1" x14ac:dyDescent="0.25">
      <c r="A979" s="309"/>
      <c r="B979" s="309"/>
      <c r="C979" s="309"/>
      <c r="D979" s="309"/>
      <c r="E979" s="309"/>
      <c r="F979" s="309"/>
      <c r="G979" s="309"/>
      <c r="H979" s="309"/>
      <c r="I979" s="309"/>
      <c r="J979" s="309"/>
      <c r="K979" s="309"/>
      <c r="L979" s="309"/>
      <c r="M979" s="309"/>
      <c r="N979" s="309"/>
      <c r="O979" s="309"/>
      <c r="P979" s="309"/>
      <c r="Q979" s="309"/>
      <c r="R979" s="309"/>
      <c r="S979" s="309"/>
      <c r="T979" s="309"/>
      <c r="U979" s="309"/>
      <c r="V979" s="309"/>
      <c r="W979" s="309"/>
      <c r="X979" s="309"/>
      <c r="Y979" s="309"/>
      <c r="Z979" s="309"/>
      <c r="AA979" s="309"/>
      <c r="AB979" s="309"/>
      <c r="AC979" s="309"/>
      <c r="AD979" s="309"/>
      <c r="AE979" s="309"/>
      <c r="AF979" s="309"/>
      <c r="AG979" s="309"/>
    </row>
    <row r="980" spans="1:33" ht="15.75" customHeight="1" x14ac:dyDescent="0.25">
      <c r="A980" s="309"/>
      <c r="B980" s="309"/>
      <c r="C980" s="309"/>
      <c r="D980" s="309"/>
      <c r="E980" s="309"/>
      <c r="F980" s="309"/>
      <c r="G980" s="309"/>
      <c r="H980" s="309"/>
      <c r="I980" s="309"/>
      <c r="J980" s="309"/>
      <c r="K980" s="309"/>
      <c r="L980" s="309"/>
      <c r="M980" s="309"/>
      <c r="N980" s="309"/>
      <c r="O980" s="309"/>
      <c r="P980" s="309"/>
      <c r="Q980" s="309"/>
      <c r="R980" s="309"/>
      <c r="S980" s="309"/>
      <c r="T980" s="309"/>
      <c r="U980" s="309"/>
      <c r="V980" s="309"/>
      <c r="W980" s="309"/>
      <c r="X980" s="309"/>
      <c r="Y980" s="309"/>
      <c r="Z980" s="309"/>
      <c r="AA980" s="309"/>
      <c r="AB980" s="309"/>
      <c r="AC980" s="309"/>
      <c r="AD980" s="309"/>
      <c r="AE980" s="309"/>
      <c r="AF980" s="309"/>
      <c r="AG980" s="309"/>
    </row>
    <row r="981" spans="1:33" ht="15.75" customHeight="1" x14ac:dyDescent="0.25">
      <c r="A981" s="309"/>
      <c r="B981" s="309"/>
      <c r="C981" s="309"/>
      <c r="D981" s="309"/>
      <c r="E981" s="309"/>
      <c r="F981" s="309"/>
      <c r="G981" s="309"/>
      <c r="H981" s="309"/>
      <c r="I981" s="309"/>
      <c r="J981" s="309"/>
      <c r="K981" s="309"/>
      <c r="L981" s="309"/>
      <c r="M981" s="309"/>
      <c r="N981" s="309"/>
      <c r="O981" s="309"/>
      <c r="P981" s="309"/>
      <c r="Q981" s="309"/>
      <c r="R981" s="309"/>
      <c r="S981" s="309"/>
      <c r="T981" s="309"/>
      <c r="U981" s="309"/>
      <c r="V981" s="309"/>
      <c r="W981" s="309"/>
      <c r="X981" s="309"/>
      <c r="Y981" s="309"/>
      <c r="Z981" s="309"/>
      <c r="AA981" s="309"/>
      <c r="AB981" s="309"/>
      <c r="AC981" s="309"/>
      <c r="AD981" s="309"/>
      <c r="AE981" s="309"/>
      <c r="AF981" s="309"/>
      <c r="AG981" s="309"/>
    </row>
    <row r="982" spans="1:33" ht="15.75" customHeight="1" x14ac:dyDescent="0.25">
      <c r="A982" s="309"/>
      <c r="B982" s="309"/>
      <c r="C982" s="309"/>
      <c r="D982" s="309"/>
      <c r="E982" s="309"/>
      <c r="F982" s="309"/>
      <c r="G982" s="309"/>
      <c r="H982" s="309"/>
      <c r="I982" s="309"/>
      <c r="J982" s="309"/>
      <c r="K982" s="309"/>
      <c r="L982" s="309"/>
      <c r="M982" s="309"/>
      <c r="N982" s="309"/>
      <c r="O982" s="309"/>
      <c r="P982" s="309"/>
      <c r="Q982" s="309"/>
      <c r="R982" s="309"/>
      <c r="S982" s="309"/>
      <c r="T982" s="309"/>
      <c r="U982" s="309"/>
      <c r="V982" s="309"/>
      <c r="W982" s="309"/>
      <c r="X982" s="309"/>
      <c r="Y982" s="309"/>
      <c r="Z982" s="309"/>
      <c r="AA982" s="309"/>
      <c r="AB982" s="309"/>
      <c r="AC982" s="309"/>
      <c r="AD982" s="309"/>
      <c r="AE982" s="309"/>
      <c r="AF982" s="309"/>
      <c r="AG982" s="309"/>
    </row>
    <row r="983" spans="1:33" ht="15.75" customHeight="1" x14ac:dyDescent="0.25">
      <c r="A983" s="309"/>
      <c r="B983" s="309"/>
      <c r="C983" s="309"/>
      <c r="D983" s="309"/>
      <c r="E983" s="309"/>
      <c r="F983" s="309"/>
      <c r="G983" s="309"/>
      <c r="H983" s="309"/>
      <c r="I983" s="309"/>
      <c r="J983" s="309"/>
      <c r="K983" s="309"/>
      <c r="L983" s="309"/>
      <c r="M983" s="309"/>
      <c r="N983" s="309"/>
      <c r="O983" s="309"/>
      <c r="P983" s="309"/>
      <c r="Q983" s="309"/>
      <c r="R983" s="309"/>
      <c r="S983" s="309"/>
      <c r="T983" s="309"/>
      <c r="U983" s="309"/>
      <c r="V983" s="309"/>
      <c r="W983" s="309"/>
      <c r="X983" s="309"/>
      <c r="Y983" s="309"/>
      <c r="Z983" s="309"/>
      <c r="AA983" s="309"/>
      <c r="AB983" s="309"/>
      <c r="AC983" s="309"/>
      <c r="AD983" s="309"/>
      <c r="AE983" s="309"/>
      <c r="AF983" s="309"/>
      <c r="AG983" s="309"/>
    </row>
    <row r="984" spans="1:33" ht="15.75" customHeight="1" x14ac:dyDescent="0.25">
      <c r="A984" s="309"/>
      <c r="B984" s="309"/>
      <c r="C984" s="309"/>
      <c r="D984" s="309"/>
      <c r="E984" s="309"/>
      <c r="F984" s="309"/>
      <c r="G984" s="309"/>
      <c r="H984" s="309"/>
      <c r="I984" s="309"/>
      <c r="J984" s="309"/>
      <c r="K984" s="309"/>
      <c r="L984" s="309"/>
      <c r="M984" s="309"/>
      <c r="N984" s="309"/>
      <c r="O984" s="309"/>
      <c r="P984" s="309"/>
      <c r="Q984" s="309"/>
      <c r="R984" s="309"/>
      <c r="S984" s="309"/>
      <c r="T984" s="309"/>
      <c r="U984" s="309"/>
      <c r="V984" s="309"/>
      <c r="W984" s="309"/>
      <c r="X984" s="309"/>
      <c r="Y984" s="309"/>
      <c r="Z984" s="309"/>
      <c r="AA984" s="309"/>
      <c r="AB984" s="309"/>
      <c r="AC984" s="309"/>
      <c r="AD984" s="309"/>
      <c r="AE984" s="309"/>
      <c r="AF984" s="309"/>
      <c r="AG984" s="309"/>
    </row>
    <row r="985" spans="1:33" ht="15.75" customHeight="1" x14ac:dyDescent="0.25">
      <c r="A985" s="309"/>
      <c r="B985" s="309"/>
      <c r="C985" s="309"/>
      <c r="D985" s="309"/>
      <c r="E985" s="309"/>
      <c r="F985" s="309"/>
      <c r="G985" s="309"/>
      <c r="H985" s="309"/>
      <c r="I985" s="309"/>
      <c r="J985" s="309"/>
      <c r="K985" s="309"/>
      <c r="L985" s="309"/>
      <c r="M985" s="309"/>
      <c r="N985" s="309"/>
      <c r="O985" s="309"/>
      <c r="P985" s="309"/>
      <c r="Q985" s="309"/>
      <c r="R985" s="309"/>
      <c r="S985" s="309"/>
      <c r="T985" s="309"/>
      <c r="U985" s="309"/>
      <c r="V985" s="309"/>
      <c r="W985" s="309"/>
      <c r="X985" s="309"/>
      <c r="Y985" s="309"/>
      <c r="Z985" s="309"/>
      <c r="AA985" s="309"/>
      <c r="AB985" s="309"/>
      <c r="AC985" s="309"/>
      <c r="AD985" s="309"/>
      <c r="AE985" s="309"/>
      <c r="AF985" s="309"/>
      <c r="AG985" s="309"/>
    </row>
    <row r="986" spans="1:33" ht="15.75" customHeight="1" x14ac:dyDescent="0.25">
      <c r="A986" s="309"/>
      <c r="B986" s="309"/>
      <c r="C986" s="309"/>
      <c r="D986" s="309"/>
      <c r="E986" s="309"/>
      <c r="F986" s="309"/>
      <c r="G986" s="309"/>
      <c r="H986" s="309"/>
      <c r="I986" s="309"/>
      <c r="J986" s="309"/>
      <c r="K986" s="309"/>
      <c r="L986" s="309"/>
      <c r="M986" s="309"/>
      <c r="N986" s="309"/>
      <c r="O986" s="309"/>
      <c r="P986" s="309"/>
      <c r="Q986" s="309"/>
      <c r="R986" s="309"/>
      <c r="S986" s="309"/>
      <c r="T986" s="309"/>
      <c r="U986" s="309"/>
      <c r="V986" s="309"/>
      <c r="W986" s="309"/>
      <c r="X986" s="309"/>
      <c r="Y986" s="309"/>
      <c r="Z986" s="309"/>
      <c r="AA986" s="309"/>
      <c r="AB986" s="309"/>
      <c r="AC986" s="309"/>
      <c r="AD986" s="309"/>
      <c r="AE986" s="309"/>
      <c r="AF986" s="309"/>
      <c r="AG986" s="309"/>
    </row>
    <row r="987" spans="1:33" ht="15.75" customHeight="1" x14ac:dyDescent="0.25">
      <c r="A987" s="309"/>
      <c r="B987" s="309"/>
      <c r="C987" s="309"/>
      <c r="D987" s="309"/>
      <c r="E987" s="309"/>
      <c r="F987" s="309"/>
      <c r="G987" s="309"/>
      <c r="H987" s="309"/>
      <c r="I987" s="309"/>
      <c r="J987" s="309"/>
      <c r="K987" s="309"/>
      <c r="L987" s="309"/>
      <c r="M987" s="309"/>
      <c r="N987" s="309"/>
      <c r="O987" s="309"/>
      <c r="P987" s="309"/>
      <c r="Q987" s="309"/>
      <c r="R987" s="309"/>
      <c r="S987" s="309"/>
      <c r="T987" s="309"/>
      <c r="U987" s="309"/>
      <c r="V987" s="309"/>
      <c r="W987" s="309"/>
      <c r="X987" s="309"/>
      <c r="Y987" s="309"/>
      <c r="Z987" s="309"/>
      <c r="AA987" s="309"/>
      <c r="AB987" s="309"/>
      <c r="AC987" s="309"/>
      <c r="AD987" s="309"/>
      <c r="AE987" s="309"/>
      <c r="AF987" s="309"/>
      <c r="AG987" s="309"/>
    </row>
    <row r="988" spans="1:33" ht="15.75" customHeight="1" x14ac:dyDescent="0.25">
      <c r="A988" s="309"/>
      <c r="B988" s="309"/>
      <c r="C988" s="309"/>
      <c r="D988" s="309"/>
      <c r="E988" s="309"/>
      <c r="F988" s="309"/>
      <c r="G988" s="309"/>
      <c r="H988" s="309"/>
      <c r="I988" s="309"/>
      <c r="J988" s="309"/>
      <c r="K988" s="309"/>
      <c r="L988" s="309"/>
      <c r="M988" s="309"/>
      <c r="N988" s="309"/>
      <c r="O988" s="309"/>
      <c r="P988" s="309"/>
      <c r="Q988" s="309"/>
      <c r="R988" s="309"/>
      <c r="S988" s="309"/>
      <c r="T988" s="309"/>
      <c r="U988" s="309"/>
      <c r="V988" s="309"/>
      <c r="W988" s="309"/>
      <c r="X988" s="309"/>
      <c r="Y988" s="309"/>
      <c r="Z988" s="309"/>
      <c r="AA988" s="309"/>
      <c r="AB988" s="309"/>
      <c r="AC988" s="309"/>
      <c r="AD988" s="309"/>
      <c r="AE988" s="309"/>
      <c r="AF988" s="309"/>
      <c r="AG988" s="309"/>
    </row>
    <row r="989" spans="1:33" ht="15.75" customHeight="1" x14ac:dyDescent="0.25">
      <c r="A989" s="309"/>
      <c r="B989" s="309"/>
      <c r="C989" s="309"/>
      <c r="D989" s="309"/>
      <c r="E989" s="309"/>
      <c r="F989" s="309"/>
      <c r="G989" s="309"/>
      <c r="H989" s="309"/>
      <c r="I989" s="309"/>
      <c r="J989" s="309"/>
      <c r="K989" s="309"/>
      <c r="L989" s="309"/>
      <c r="M989" s="309"/>
      <c r="N989" s="309"/>
      <c r="O989" s="309"/>
      <c r="P989" s="309"/>
      <c r="Q989" s="309"/>
      <c r="R989" s="309"/>
      <c r="S989" s="309"/>
      <c r="T989" s="309"/>
      <c r="U989" s="309"/>
      <c r="V989" s="309"/>
      <c r="W989" s="309"/>
      <c r="X989" s="309"/>
      <c r="Y989" s="309"/>
      <c r="Z989" s="309"/>
      <c r="AA989" s="309"/>
      <c r="AB989" s="309"/>
      <c r="AC989" s="309"/>
      <c r="AD989" s="309"/>
      <c r="AE989" s="309"/>
      <c r="AF989" s="309"/>
      <c r="AG989" s="309"/>
    </row>
    <row r="990" spans="1:33" ht="15.75" customHeight="1" x14ac:dyDescent="0.25">
      <c r="A990" s="309"/>
      <c r="B990" s="309"/>
      <c r="C990" s="309"/>
      <c r="D990" s="309"/>
      <c r="E990" s="309"/>
      <c r="F990" s="309"/>
      <c r="G990" s="309"/>
      <c r="H990" s="309"/>
      <c r="I990" s="309"/>
      <c r="J990" s="309"/>
      <c r="K990" s="309"/>
      <c r="L990" s="309"/>
      <c r="M990" s="309"/>
      <c r="N990" s="309"/>
      <c r="O990" s="309"/>
      <c r="P990" s="309"/>
      <c r="Q990" s="309"/>
      <c r="R990" s="309"/>
      <c r="S990" s="309"/>
      <c r="T990" s="309"/>
      <c r="U990" s="309"/>
      <c r="V990" s="309"/>
      <c r="W990" s="309"/>
      <c r="X990" s="309"/>
      <c r="Y990" s="309"/>
      <c r="Z990" s="309"/>
      <c r="AA990" s="309"/>
      <c r="AB990" s="309"/>
      <c r="AC990" s="309"/>
      <c r="AD990" s="309"/>
      <c r="AE990" s="309"/>
      <c r="AF990" s="309"/>
      <c r="AG990" s="309"/>
    </row>
    <row r="991" spans="1:33" ht="15.75" customHeight="1" x14ac:dyDescent="0.25">
      <c r="A991" s="309"/>
      <c r="B991" s="309"/>
      <c r="C991" s="309"/>
      <c r="D991" s="309"/>
      <c r="E991" s="309"/>
      <c r="F991" s="309"/>
      <c r="G991" s="309"/>
      <c r="H991" s="309"/>
      <c r="I991" s="309"/>
      <c r="J991" s="309"/>
      <c r="K991" s="309"/>
      <c r="L991" s="309"/>
      <c r="M991" s="309"/>
      <c r="N991" s="309"/>
      <c r="O991" s="309"/>
      <c r="P991" s="309"/>
      <c r="Q991" s="309"/>
      <c r="R991" s="309"/>
      <c r="S991" s="309"/>
      <c r="T991" s="309"/>
      <c r="U991" s="309"/>
      <c r="V991" s="309"/>
      <c r="W991" s="309"/>
      <c r="X991" s="309"/>
      <c r="Y991" s="309"/>
      <c r="Z991" s="309"/>
      <c r="AA991" s="309"/>
      <c r="AB991" s="309"/>
      <c r="AC991" s="309"/>
      <c r="AD991" s="309"/>
      <c r="AE991" s="309"/>
      <c r="AF991" s="309"/>
      <c r="AG991" s="309"/>
    </row>
    <row r="992" spans="1:33" ht="15.75" customHeight="1" x14ac:dyDescent="0.25">
      <c r="A992" s="309"/>
      <c r="B992" s="309"/>
      <c r="C992" s="309"/>
      <c r="D992" s="309"/>
      <c r="E992" s="309"/>
      <c r="F992" s="309"/>
      <c r="G992" s="309"/>
      <c r="H992" s="309"/>
      <c r="I992" s="309"/>
      <c r="J992" s="309"/>
      <c r="K992" s="309"/>
      <c r="L992" s="309"/>
      <c r="M992" s="309"/>
      <c r="N992" s="309"/>
      <c r="O992" s="309"/>
      <c r="P992" s="309"/>
      <c r="Q992" s="309"/>
      <c r="R992" s="309"/>
      <c r="S992" s="309"/>
      <c r="T992" s="309"/>
      <c r="U992" s="309"/>
      <c r="V992" s="309"/>
      <c r="W992" s="309"/>
      <c r="X992" s="309"/>
      <c r="Y992" s="309"/>
      <c r="Z992" s="309"/>
      <c r="AA992" s="309"/>
      <c r="AB992" s="309"/>
      <c r="AC992" s="309"/>
      <c r="AD992" s="309"/>
      <c r="AE992" s="309"/>
      <c r="AF992" s="309"/>
      <c r="AG992" s="309"/>
    </row>
    <row r="993" spans="1:33" ht="15.75" customHeight="1" x14ac:dyDescent="0.25">
      <c r="A993" s="309"/>
      <c r="B993" s="309"/>
      <c r="C993" s="309"/>
      <c r="D993" s="309"/>
      <c r="E993" s="309"/>
      <c r="F993" s="309"/>
      <c r="G993" s="309"/>
      <c r="H993" s="309"/>
      <c r="I993" s="309"/>
      <c r="J993" s="309"/>
      <c r="K993" s="309"/>
      <c r="L993" s="309"/>
      <c r="M993" s="309"/>
      <c r="N993" s="309"/>
      <c r="O993" s="309"/>
      <c r="P993" s="309"/>
      <c r="Q993" s="309"/>
      <c r="R993" s="309"/>
      <c r="S993" s="309"/>
      <c r="T993" s="309"/>
      <c r="U993" s="309"/>
      <c r="V993" s="309"/>
      <c r="W993" s="309"/>
      <c r="X993" s="309"/>
      <c r="Y993" s="309"/>
      <c r="Z993" s="309"/>
      <c r="AA993" s="309"/>
      <c r="AB993" s="309"/>
      <c r="AC993" s="309"/>
      <c r="AD993" s="309"/>
      <c r="AE993" s="309"/>
      <c r="AF993" s="309"/>
      <c r="AG993" s="309"/>
    </row>
    <row r="994" spans="1:33" ht="15.75" customHeight="1" x14ac:dyDescent="0.25">
      <c r="A994" s="309"/>
      <c r="B994" s="309"/>
      <c r="C994" s="309"/>
      <c r="D994" s="309"/>
      <c r="E994" s="309"/>
      <c r="F994" s="309"/>
      <c r="G994" s="309"/>
      <c r="H994" s="309"/>
      <c r="I994" s="309"/>
      <c r="J994" s="309"/>
      <c r="K994" s="309"/>
      <c r="L994" s="309"/>
      <c r="M994" s="309"/>
      <c r="N994" s="309"/>
      <c r="O994" s="309"/>
      <c r="P994" s="309"/>
      <c r="Q994" s="309"/>
      <c r="R994" s="309"/>
      <c r="S994" s="309"/>
      <c r="T994" s="309"/>
      <c r="U994" s="309"/>
      <c r="V994" s="309"/>
      <c r="W994" s="309"/>
      <c r="X994" s="309"/>
      <c r="Y994" s="309"/>
      <c r="Z994" s="309"/>
      <c r="AA994" s="309"/>
      <c r="AB994" s="309"/>
      <c r="AC994" s="309"/>
      <c r="AD994" s="309"/>
      <c r="AE994" s="309"/>
      <c r="AF994" s="309"/>
      <c r="AG994" s="309"/>
    </row>
    <row r="995" spans="1:33" ht="15.75" customHeight="1" x14ac:dyDescent="0.25">
      <c r="A995" s="309"/>
      <c r="B995" s="309"/>
      <c r="C995" s="309"/>
      <c r="D995" s="309"/>
      <c r="E995" s="309"/>
      <c r="F995" s="309"/>
      <c r="G995" s="309"/>
      <c r="H995" s="309"/>
      <c r="I995" s="309"/>
      <c r="J995" s="309"/>
      <c r="K995" s="309"/>
      <c r="L995" s="309"/>
      <c r="M995" s="309"/>
      <c r="N995" s="309"/>
      <c r="O995" s="309"/>
      <c r="P995" s="309"/>
      <c r="Q995" s="309"/>
      <c r="R995" s="309"/>
      <c r="S995" s="309"/>
      <c r="T995" s="309"/>
      <c r="U995" s="309"/>
      <c r="V995" s="309"/>
      <c r="W995" s="309"/>
      <c r="X995" s="309"/>
      <c r="Y995" s="309"/>
      <c r="Z995" s="309"/>
      <c r="AA995" s="309"/>
      <c r="AB995" s="309"/>
      <c r="AC995" s="309"/>
      <c r="AD995" s="309"/>
      <c r="AE995" s="309"/>
      <c r="AF995" s="309"/>
      <c r="AG995" s="309"/>
    </row>
    <row r="996" spans="1:33" ht="15.75" customHeight="1" x14ac:dyDescent="0.25">
      <c r="A996" s="309"/>
      <c r="B996" s="309"/>
      <c r="C996" s="309"/>
      <c r="D996" s="309"/>
      <c r="E996" s="309"/>
      <c r="F996" s="309"/>
      <c r="G996" s="309"/>
      <c r="H996" s="309"/>
      <c r="I996" s="309"/>
      <c r="J996" s="309"/>
      <c r="K996" s="309"/>
      <c r="L996" s="309"/>
      <c r="M996" s="309"/>
      <c r="N996" s="309"/>
      <c r="O996" s="309"/>
      <c r="P996" s="309"/>
      <c r="Q996" s="309"/>
      <c r="R996" s="309"/>
      <c r="S996" s="309"/>
      <c r="T996" s="309"/>
      <c r="U996" s="309"/>
      <c r="V996" s="309"/>
      <c r="W996" s="309"/>
      <c r="X996" s="309"/>
      <c r="Y996" s="309"/>
      <c r="Z996" s="309"/>
      <c r="AA996" s="309"/>
      <c r="AB996" s="309"/>
      <c r="AC996" s="309"/>
      <c r="AD996" s="309"/>
      <c r="AE996" s="309"/>
      <c r="AF996" s="309"/>
      <c r="AG996" s="309"/>
    </row>
    <row r="997" spans="1:33" ht="15.75" customHeight="1" x14ac:dyDescent="0.25">
      <c r="A997" s="309"/>
      <c r="B997" s="309"/>
      <c r="C997" s="309"/>
      <c r="D997" s="309"/>
      <c r="E997" s="309"/>
      <c r="F997" s="309"/>
      <c r="G997" s="309"/>
      <c r="H997" s="309"/>
      <c r="I997" s="309"/>
      <c r="J997" s="309"/>
      <c r="K997" s="309"/>
      <c r="L997" s="309"/>
      <c r="M997" s="309"/>
      <c r="N997" s="309"/>
      <c r="O997" s="309"/>
      <c r="P997" s="309"/>
      <c r="Q997" s="309"/>
      <c r="R997" s="309"/>
      <c r="S997" s="309"/>
      <c r="T997" s="309"/>
      <c r="U997" s="309"/>
      <c r="V997" s="309"/>
      <c r="W997" s="309"/>
      <c r="X997" s="309"/>
      <c r="Y997" s="309"/>
      <c r="Z997" s="309"/>
      <c r="AA997" s="309"/>
      <c r="AB997" s="309"/>
      <c r="AC997" s="309"/>
      <c r="AD997" s="309"/>
      <c r="AE997" s="309"/>
      <c r="AF997" s="309"/>
      <c r="AG997" s="309"/>
    </row>
    <row r="998" spans="1:33" ht="15.75" customHeight="1" x14ac:dyDescent="0.25">
      <c r="A998" s="309"/>
      <c r="B998" s="309"/>
      <c r="C998" s="309"/>
      <c r="D998" s="309"/>
      <c r="E998" s="309"/>
      <c r="F998" s="309"/>
      <c r="G998" s="309"/>
      <c r="H998" s="309"/>
      <c r="I998" s="309"/>
      <c r="J998" s="309"/>
      <c r="K998" s="309"/>
      <c r="L998" s="309"/>
      <c r="M998" s="309"/>
      <c r="N998" s="309"/>
      <c r="O998" s="309"/>
      <c r="P998" s="309"/>
      <c r="Q998" s="309"/>
      <c r="R998" s="309"/>
      <c r="S998" s="309"/>
      <c r="T998" s="309"/>
      <c r="U998" s="309"/>
      <c r="V998" s="309"/>
      <c r="W998" s="309"/>
      <c r="X998" s="309"/>
      <c r="Y998" s="309"/>
      <c r="Z998" s="309"/>
      <c r="AA998" s="309"/>
      <c r="AB998" s="309"/>
      <c r="AC998" s="309"/>
      <c r="AD998" s="309"/>
      <c r="AE998" s="309"/>
      <c r="AF998" s="309"/>
      <c r="AG998" s="309"/>
    </row>
    <row r="999" spans="1:33" ht="15.75" customHeight="1" x14ac:dyDescent="0.25">
      <c r="A999" s="309"/>
      <c r="B999" s="309"/>
      <c r="C999" s="309"/>
      <c r="D999" s="309"/>
      <c r="E999" s="309"/>
      <c r="F999" s="309"/>
      <c r="G999" s="309"/>
      <c r="H999" s="309"/>
      <c r="I999" s="309"/>
      <c r="J999" s="309"/>
      <c r="K999" s="309"/>
      <c r="L999" s="309"/>
      <c r="M999" s="309"/>
      <c r="N999" s="309"/>
      <c r="O999" s="309"/>
      <c r="P999" s="309"/>
      <c r="Q999" s="309"/>
      <c r="R999" s="309"/>
      <c r="S999" s="309"/>
      <c r="T999" s="309"/>
      <c r="U999" s="309"/>
      <c r="V999" s="309"/>
      <c r="W999" s="309"/>
      <c r="X999" s="309"/>
      <c r="Y999" s="309"/>
      <c r="Z999" s="309"/>
      <c r="AA999" s="309"/>
      <c r="AB999" s="309"/>
      <c r="AC999" s="309"/>
      <c r="AD999" s="309"/>
      <c r="AE999" s="309"/>
      <c r="AF999" s="309"/>
      <c r="AG999" s="309"/>
    </row>
    <row r="1000" spans="1:33" ht="15.75" customHeight="1" x14ac:dyDescent="0.25">
      <c r="A1000" s="309"/>
      <c r="B1000" s="309"/>
      <c r="C1000" s="309"/>
      <c r="D1000" s="309"/>
      <c r="E1000" s="309"/>
      <c r="F1000" s="309"/>
      <c r="G1000" s="309"/>
      <c r="H1000" s="309"/>
      <c r="I1000" s="309"/>
      <c r="J1000" s="309"/>
      <c r="K1000" s="309"/>
      <c r="L1000" s="309"/>
      <c r="M1000" s="309"/>
      <c r="N1000" s="309"/>
      <c r="O1000" s="309"/>
      <c r="P1000" s="309"/>
      <c r="Q1000" s="309"/>
      <c r="R1000" s="309"/>
      <c r="S1000" s="309"/>
      <c r="T1000" s="309"/>
      <c r="U1000" s="309"/>
      <c r="V1000" s="309"/>
      <c r="W1000" s="309"/>
      <c r="X1000" s="309"/>
      <c r="Y1000" s="309"/>
      <c r="Z1000" s="309"/>
      <c r="AA1000" s="309"/>
      <c r="AB1000" s="309"/>
      <c r="AC1000" s="309"/>
      <c r="AD1000" s="309"/>
      <c r="AE1000" s="309"/>
      <c r="AF1000" s="309"/>
      <c r="AG1000" s="309"/>
    </row>
    <row r="1001" spans="1:33" ht="15.75" customHeight="1" x14ac:dyDescent="0.25">
      <c r="A1001" s="309"/>
      <c r="B1001" s="309"/>
      <c r="C1001" s="309"/>
      <c r="D1001" s="309"/>
      <c r="E1001" s="309"/>
      <c r="F1001" s="309"/>
      <c r="G1001" s="309"/>
      <c r="H1001" s="309"/>
      <c r="I1001" s="309"/>
      <c r="J1001" s="309"/>
      <c r="K1001" s="309"/>
      <c r="L1001" s="309"/>
      <c r="M1001" s="309"/>
      <c r="N1001" s="309"/>
      <c r="O1001" s="309"/>
      <c r="P1001" s="309"/>
      <c r="Q1001" s="309"/>
      <c r="R1001" s="309"/>
      <c r="S1001" s="309"/>
      <c r="T1001" s="309"/>
      <c r="U1001" s="309"/>
      <c r="V1001" s="309"/>
      <c r="W1001" s="309"/>
      <c r="X1001" s="309"/>
      <c r="Y1001" s="309"/>
      <c r="Z1001" s="309"/>
      <c r="AA1001" s="309"/>
      <c r="AB1001" s="309"/>
      <c r="AC1001" s="309"/>
      <c r="AD1001" s="309"/>
      <c r="AE1001" s="309"/>
      <c r="AF1001" s="309"/>
      <c r="AG1001" s="309"/>
    </row>
    <row r="1002" spans="1:33" ht="15.75" customHeight="1" x14ac:dyDescent="0.25">
      <c r="A1002" s="309"/>
      <c r="B1002" s="309"/>
      <c r="C1002" s="309"/>
      <c r="D1002" s="309"/>
      <c r="E1002" s="309"/>
      <c r="F1002" s="309"/>
      <c r="G1002" s="309"/>
      <c r="H1002" s="309"/>
      <c r="I1002" s="309"/>
      <c r="J1002" s="309"/>
      <c r="K1002" s="309"/>
      <c r="L1002" s="309"/>
      <c r="M1002" s="309"/>
      <c r="N1002" s="309"/>
      <c r="O1002" s="309"/>
      <c r="P1002" s="309"/>
      <c r="Q1002" s="309"/>
      <c r="R1002" s="309"/>
      <c r="S1002" s="309"/>
      <c r="T1002" s="309"/>
      <c r="U1002" s="309"/>
      <c r="V1002" s="309"/>
      <c r="W1002" s="309"/>
      <c r="X1002" s="309"/>
      <c r="Y1002" s="309"/>
      <c r="Z1002" s="309"/>
      <c r="AA1002" s="309"/>
      <c r="AB1002" s="309"/>
      <c r="AC1002" s="309"/>
      <c r="AD1002" s="309"/>
      <c r="AE1002" s="309"/>
      <c r="AF1002" s="309"/>
      <c r="AG1002" s="309"/>
    </row>
  </sheetData>
  <autoFilter ref="C6:F52" xr:uid="{00000000-0009-0000-0000-000001000000}"/>
  <mergeCells count="4">
    <mergeCell ref="C5:V5"/>
    <mergeCell ref="H6:U6"/>
    <mergeCell ref="T7:T8"/>
    <mergeCell ref="U7:U8"/>
  </mergeCells>
  <pageMargins left="0.511811024" right="0.511811024" top="0.78740157499999996" bottom="0.78740157499999996" header="0" footer="0"/>
  <pageSetup paperSize="9" fitToHeight="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CE80-E0A2-41CB-A8BE-85E583D5AB86}">
  <sheetPr>
    <tabColor rgb="FF1851D6"/>
    <outlinePr summaryBelow="0"/>
    <pageSetUpPr fitToPage="1"/>
  </sheetPr>
  <dimension ref="A1:O422"/>
  <sheetViews>
    <sheetView showGridLines="0" view="pageBreakPreview" zoomScaleNormal="70" zoomScaleSheetLayoutView="100" workbookViewId="0">
      <pane ySplit="3" topLeftCell="A4" activePane="bottomLeft" state="frozen"/>
      <selection pane="bottomLeft" activeCell="G22" sqref="G22"/>
    </sheetView>
  </sheetViews>
  <sheetFormatPr defaultColWidth="2.7109375" defaultRowHeight="12.75" outlineLevelRow="2" x14ac:dyDescent="0.2"/>
  <cols>
    <col min="1" max="1" width="7.85546875" style="263" bestFit="1" customWidth="1"/>
    <col min="2" max="2" width="29.85546875" style="263" customWidth="1"/>
    <col min="3" max="3" width="33.42578125" style="293" bestFit="1" customWidth="1"/>
    <col min="4" max="4" width="104" style="261" bestFit="1" customWidth="1"/>
    <col min="5" max="5" width="16.42578125" style="262" customWidth="1"/>
    <col min="6" max="6" width="17.28515625" style="263" bestFit="1" customWidth="1"/>
    <col min="7" max="7" width="24.42578125" style="264" bestFit="1" customWidth="1"/>
    <col min="8" max="8" width="49.5703125" style="264" customWidth="1"/>
    <col min="9" max="10" width="2.7109375" style="263"/>
    <col min="11" max="11" width="39.140625" style="263" customWidth="1"/>
    <col min="12" max="12" width="33.85546875" style="263" customWidth="1"/>
    <col min="13" max="13" width="25" style="263" bestFit="1" customWidth="1"/>
    <col min="14" max="14" width="28" style="263" customWidth="1"/>
    <col min="15" max="15" width="13.140625" style="263" customWidth="1"/>
    <col min="16" max="16384" width="2.7109375" style="263"/>
  </cols>
  <sheetData>
    <row r="1" spans="1:15" s="249" customFormat="1" ht="28.5" x14ac:dyDescent="0.25">
      <c r="B1" s="245" t="s">
        <v>30</v>
      </c>
      <c r="C1" s="246" t="str">
        <f>'Obra '!D1</f>
        <v>Caio Prado</v>
      </c>
      <c r="D1" s="247"/>
      <c r="E1" s="247"/>
      <c r="F1" s="247"/>
      <c r="G1" s="247"/>
      <c r="H1" s="248"/>
    </row>
    <row r="2" spans="1:15" s="249" customFormat="1" ht="28.5" x14ac:dyDescent="0.25">
      <c r="B2" s="250" t="s">
        <v>31</v>
      </c>
      <c r="C2" s="251" t="str">
        <f>'Obra '!D2</f>
        <v>Indepy</v>
      </c>
      <c r="D2" s="252"/>
      <c r="E2" s="252"/>
      <c r="F2" s="252"/>
      <c r="G2" s="252"/>
      <c r="H2" s="253"/>
    </row>
    <row r="3" spans="1:15" s="249" customFormat="1" ht="29.25" thickBot="1" x14ac:dyDescent="0.3">
      <c r="B3" s="254" t="s">
        <v>32</v>
      </c>
      <c r="C3" s="251" t="str">
        <f>'Obra '!D3</f>
        <v>R00 - Larissa</v>
      </c>
      <c r="D3" s="255"/>
      <c r="E3" s="255"/>
      <c r="F3" s="255"/>
      <c r="G3" s="255"/>
      <c r="H3" s="256"/>
    </row>
    <row r="4" spans="1:15" s="249" customFormat="1" ht="35.25" thickBot="1" x14ac:dyDescent="0.3">
      <c r="B4" s="583" t="s">
        <v>1787</v>
      </c>
      <c r="C4" s="584"/>
      <c r="D4" s="584"/>
      <c r="E4" s="584"/>
      <c r="F4" s="584"/>
      <c r="G4" s="584"/>
      <c r="H4" s="585"/>
      <c r="K4" s="270" t="s">
        <v>3807</v>
      </c>
      <c r="L4" s="270" t="s">
        <v>6662</v>
      </c>
      <c r="M4" s="270" t="s">
        <v>6663</v>
      </c>
      <c r="N4" s="270" t="s">
        <v>6687</v>
      </c>
    </row>
    <row r="5" spans="1:15" s="260" customFormat="1" ht="13.5" thickBot="1" x14ac:dyDescent="0.25">
      <c r="B5" s="268" t="s">
        <v>7</v>
      </c>
      <c r="C5" s="268" t="s">
        <v>6663</v>
      </c>
      <c r="D5" s="268" t="s">
        <v>6662</v>
      </c>
      <c r="E5" s="268" t="s">
        <v>6687</v>
      </c>
      <c r="F5" s="259"/>
      <c r="K5" s="286" t="s">
        <v>6679</v>
      </c>
      <c r="L5" s="286">
        <v>33269.22</v>
      </c>
      <c r="M5" s="286">
        <f>G63</f>
        <v>35885.25</v>
      </c>
      <c r="N5" s="286">
        <f>L5-M5</f>
        <v>-2616.0299999999988</v>
      </c>
      <c r="O5" s="286" t="s">
        <v>2473</v>
      </c>
    </row>
    <row r="6" spans="1:15" ht="25.5" x14ac:dyDescent="0.25">
      <c r="B6" s="411" t="s">
        <v>1788</v>
      </c>
      <c r="C6" s="569">
        <f>SUMPRODUCT($E$26:$E$422,$F$26:$F$422)</f>
        <v>2314968.6100000003</v>
      </c>
      <c r="D6" s="569">
        <f>SUM(D8:D24)</f>
        <v>2316366</v>
      </c>
      <c r="E6" s="569">
        <f>C6-D6</f>
        <v>-1397.3899999996647</v>
      </c>
      <c r="K6" s="286" t="s">
        <v>6645</v>
      </c>
      <c r="L6" s="286">
        <v>44712.77</v>
      </c>
      <c r="M6" s="286">
        <f>G29+G150</f>
        <v>44529.55</v>
      </c>
      <c r="N6" s="286">
        <f t="shared" ref="N6:N27" si="0">L6-M6</f>
        <v>183.21999999999389</v>
      </c>
      <c r="O6" s="286" t="s">
        <v>6846</v>
      </c>
    </row>
    <row r="7" spans="1:15" ht="15.75" x14ac:dyDescent="0.25">
      <c r="A7" s="424">
        <f>C7/'Obra '!E9</f>
        <v>0.27398863425088527</v>
      </c>
      <c r="B7" s="412" t="s">
        <v>1789</v>
      </c>
      <c r="C7" s="570">
        <f>SUMIFS($E$25:$E$422,$D$25:$D$422,"Área: ")</f>
        <v>1901.04</v>
      </c>
      <c r="D7" s="570">
        <v>2440</v>
      </c>
      <c r="E7" s="570">
        <f t="shared" ref="E7:E25" si="1">C7-D7</f>
        <v>-538.96</v>
      </c>
      <c r="F7" s="575"/>
      <c r="K7" s="286" t="s">
        <v>6646</v>
      </c>
      <c r="L7" s="286">
        <v>36307.800000000003</v>
      </c>
      <c r="M7" s="286">
        <f>G71</f>
        <v>4512</v>
      </c>
      <c r="N7" s="286">
        <f t="shared" si="0"/>
        <v>31795.800000000003</v>
      </c>
      <c r="O7" s="286" t="s">
        <v>2473</v>
      </c>
    </row>
    <row r="8" spans="1:15" ht="15.75" x14ac:dyDescent="0.25">
      <c r="B8" s="412" t="s">
        <v>6664</v>
      </c>
      <c r="C8" s="568">
        <f>SUMIFS($G$27:$G$424,$H$27:$H$424,B8)</f>
        <v>0</v>
      </c>
      <c r="D8" s="568"/>
      <c r="E8" s="568">
        <f t="shared" si="1"/>
        <v>0</v>
      </c>
      <c r="F8" s="575"/>
      <c r="K8" s="286" t="s">
        <v>6680</v>
      </c>
      <c r="L8" s="286">
        <v>28163.17</v>
      </c>
      <c r="M8" s="286">
        <f>G49</f>
        <v>15051.5</v>
      </c>
      <c r="N8" s="286">
        <f t="shared" si="0"/>
        <v>13111.669999999998</v>
      </c>
      <c r="O8" s="286" t="s">
        <v>2473</v>
      </c>
    </row>
    <row r="9" spans="1:15" ht="15.75" x14ac:dyDescent="0.25">
      <c r="B9" s="412" t="s">
        <v>2041</v>
      </c>
      <c r="C9" s="568">
        <f>SUMIFS($G$27:$G$424,$H$27:$H$424,B9)</f>
        <v>437800</v>
      </c>
      <c r="D9" s="568">
        <v>592000</v>
      </c>
      <c r="E9" s="568">
        <f t="shared" si="1"/>
        <v>-154200</v>
      </c>
      <c r="K9" s="286" t="s">
        <v>6647</v>
      </c>
      <c r="L9" s="286">
        <v>28156.5</v>
      </c>
      <c r="M9" s="286">
        <f>G56</f>
        <v>21691</v>
      </c>
      <c r="N9" s="286">
        <f t="shared" si="0"/>
        <v>6465.5</v>
      </c>
      <c r="O9" s="286" t="s">
        <v>2473</v>
      </c>
    </row>
    <row r="10" spans="1:15" ht="15.75" x14ac:dyDescent="0.25">
      <c r="B10" s="412" t="s">
        <v>6665</v>
      </c>
      <c r="C10" s="568">
        <f t="shared" ref="C10:C24" si="2">SUMIFS($G$25:$G$422,$H$25:$H$422,B10)</f>
        <v>31227</v>
      </c>
      <c r="D10" s="568">
        <v>193500</v>
      </c>
      <c r="E10" s="568">
        <f t="shared" si="1"/>
        <v>-162273</v>
      </c>
      <c r="K10" s="286" t="s">
        <v>6648</v>
      </c>
      <c r="L10" s="286">
        <v>647007.87</v>
      </c>
      <c r="M10" s="286">
        <f>G102</f>
        <v>484305.69999999995</v>
      </c>
      <c r="N10" s="286">
        <f t="shared" si="0"/>
        <v>162702.17000000004</v>
      </c>
      <c r="O10" s="286" t="s">
        <v>6628</v>
      </c>
    </row>
    <row r="11" spans="1:15" ht="15.75" x14ac:dyDescent="0.25">
      <c r="B11" s="412" t="s">
        <v>6666</v>
      </c>
      <c r="C11" s="568">
        <f t="shared" si="2"/>
        <v>22100</v>
      </c>
      <c r="D11" s="568">
        <v>68500</v>
      </c>
      <c r="E11" s="568">
        <f t="shared" si="1"/>
        <v>-46400</v>
      </c>
      <c r="K11" s="286" t="s">
        <v>6681</v>
      </c>
      <c r="L11" s="286">
        <v>122398.43</v>
      </c>
      <c r="M11" s="286">
        <f>G196</f>
        <v>109546</v>
      </c>
      <c r="N11" s="286">
        <f t="shared" si="0"/>
        <v>12852.429999999993</v>
      </c>
      <c r="O11" s="286" t="s">
        <v>6628</v>
      </c>
    </row>
    <row r="12" spans="1:15" ht="15.75" x14ac:dyDescent="0.25">
      <c r="B12" s="412" t="s">
        <v>2040</v>
      </c>
      <c r="C12" s="568">
        <f t="shared" si="2"/>
        <v>188723.41999999998</v>
      </c>
      <c r="D12" s="568">
        <v>259157</v>
      </c>
      <c r="E12" s="568">
        <f t="shared" si="1"/>
        <v>-70433.580000000016</v>
      </c>
      <c r="K12" s="286" t="s">
        <v>6649</v>
      </c>
      <c r="L12" s="286">
        <v>12509.4</v>
      </c>
      <c r="M12" s="286">
        <f>G142</f>
        <v>41915</v>
      </c>
      <c r="N12" s="286">
        <f t="shared" si="0"/>
        <v>-29405.599999999999</v>
      </c>
      <c r="O12" s="286" t="s">
        <v>6628</v>
      </c>
    </row>
    <row r="13" spans="1:15" ht="15.75" x14ac:dyDescent="0.25">
      <c r="B13" s="412" t="s">
        <v>6667</v>
      </c>
      <c r="C13" s="568">
        <f t="shared" si="2"/>
        <v>0</v>
      </c>
      <c r="D13" s="568"/>
      <c r="E13" s="568">
        <f t="shared" si="1"/>
        <v>0</v>
      </c>
      <c r="K13" s="286" t="s">
        <v>6650</v>
      </c>
      <c r="L13" s="286">
        <v>54317.39</v>
      </c>
      <c r="M13" s="286">
        <f>G159</f>
        <v>95737</v>
      </c>
      <c r="N13" s="286">
        <f t="shared" si="0"/>
        <v>-41419.61</v>
      </c>
      <c r="O13" s="286" t="s">
        <v>6628</v>
      </c>
    </row>
    <row r="14" spans="1:15" ht="15.75" x14ac:dyDescent="0.25">
      <c r="B14" s="412" t="s">
        <v>6668</v>
      </c>
      <c r="C14" s="568">
        <f t="shared" si="2"/>
        <v>0</v>
      </c>
      <c r="D14" s="568"/>
      <c r="E14" s="568">
        <f t="shared" si="1"/>
        <v>0</v>
      </c>
      <c r="K14" s="286" t="s">
        <v>6682</v>
      </c>
      <c r="L14" s="286">
        <v>97543.2</v>
      </c>
      <c r="M14" s="286">
        <f>G180</f>
        <v>104716.02</v>
      </c>
      <c r="N14" s="286">
        <f t="shared" si="0"/>
        <v>-7172.820000000007</v>
      </c>
      <c r="O14" s="286" t="s">
        <v>6628</v>
      </c>
    </row>
    <row r="15" spans="1:15" ht="15.75" x14ac:dyDescent="0.25">
      <c r="B15" s="412" t="s">
        <v>6669</v>
      </c>
      <c r="C15" s="568">
        <f t="shared" si="2"/>
        <v>54256.1</v>
      </c>
      <c r="D15" s="568">
        <v>153000</v>
      </c>
      <c r="E15" s="568">
        <f t="shared" si="1"/>
        <v>-98743.9</v>
      </c>
      <c r="K15" s="286" t="s">
        <v>6651</v>
      </c>
      <c r="L15" s="286">
        <v>59293.89</v>
      </c>
      <c r="M15" s="286">
        <f>G170</f>
        <v>28465</v>
      </c>
      <c r="N15" s="286">
        <f t="shared" si="0"/>
        <v>30828.89</v>
      </c>
      <c r="O15" s="286" t="s">
        <v>6628</v>
      </c>
    </row>
    <row r="16" spans="1:15" ht="15.75" x14ac:dyDescent="0.25">
      <c r="B16" s="412" t="s">
        <v>6670</v>
      </c>
      <c r="C16" s="568">
        <f t="shared" si="2"/>
        <v>150985.5</v>
      </c>
      <c r="D16" s="568">
        <v>15000</v>
      </c>
      <c r="E16" s="568">
        <f t="shared" si="1"/>
        <v>135985.5</v>
      </c>
      <c r="K16" s="286" t="s">
        <v>6652</v>
      </c>
      <c r="L16" s="286">
        <v>34060.589999999997</v>
      </c>
      <c r="M16" s="286">
        <f>G83+G88</f>
        <v>20012</v>
      </c>
      <c r="N16" s="286">
        <f t="shared" si="0"/>
        <v>14048.589999999997</v>
      </c>
      <c r="O16" s="286" t="s">
        <v>6628</v>
      </c>
    </row>
    <row r="17" spans="2:15" ht="15.75" x14ac:dyDescent="0.25">
      <c r="B17" s="412" t="s">
        <v>6671</v>
      </c>
      <c r="C17" s="568">
        <f t="shared" si="2"/>
        <v>282320</v>
      </c>
      <c r="D17" s="568">
        <v>447109</v>
      </c>
      <c r="E17" s="568">
        <f t="shared" si="1"/>
        <v>-164789</v>
      </c>
      <c r="K17" s="286" t="s">
        <v>6653</v>
      </c>
      <c r="L17" s="286">
        <v>91482.27</v>
      </c>
      <c r="M17" s="286">
        <f>G215</f>
        <v>131312</v>
      </c>
      <c r="N17" s="286">
        <f t="shared" si="0"/>
        <v>-39829.729999999996</v>
      </c>
      <c r="O17" s="286" t="s">
        <v>6847</v>
      </c>
    </row>
    <row r="18" spans="2:15" ht="15.75" x14ac:dyDescent="0.25">
      <c r="B18" s="412" t="s">
        <v>6672</v>
      </c>
      <c r="C18" s="568">
        <f t="shared" si="2"/>
        <v>27568</v>
      </c>
      <c r="D18" s="568">
        <v>34000</v>
      </c>
      <c r="E18" s="568">
        <f t="shared" si="1"/>
        <v>-6432</v>
      </c>
      <c r="K18" s="286" t="s">
        <v>6654</v>
      </c>
      <c r="L18" s="286">
        <v>296911.42</v>
      </c>
      <c r="M18" s="286">
        <f>G254</f>
        <v>249569.15</v>
      </c>
      <c r="N18" s="286">
        <f t="shared" si="0"/>
        <v>47342.26999999999</v>
      </c>
      <c r="O18" s="286" t="s">
        <v>6848</v>
      </c>
    </row>
    <row r="19" spans="2:15" ht="15.75" x14ac:dyDescent="0.25">
      <c r="B19" s="412" t="s">
        <v>6673</v>
      </c>
      <c r="C19" s="568">
        <f t="shared" si="2"/>
        <v>474155</v>
      </c>
      <c r="D19" s="568">
        <v>47500</v>
      </c>
      <c r="E19" s="568">
        <f t="shared" si="1"/>
        <v>426655</v>
      </c>
      <c r="K19" s="286" t="s">
        <v>6683</v>
      </c>
      <c r="L19" s="286">
        <v>193649.55</v>
      </c>
      <c r="M19" s="286">
        <f>G286</f>
        <v>159577.25</v>
      </c>
      <c r="N19" s="286">
        <f t="shared" si="0"/>
        <v>34072.299999999988</v>
      </c>
      <c r="O19" s="286" t="s">
        <v>6848</v>
      </c>
    </row>
    <row r="20" spans="2:15" ht="15.75" x14ac:dyDescent="0.25">
      <c r="B20" s="412" t="s">
        <v>6674</v>
      </c>
      <c r="C20" s="568">
        <f t="shared" si="2"/>
        <v>290125.33</v>
      </c>
      <c r="D20" s="568">
        <v>365900</v>
      </c>
      <c r="E20" s="568">
        <f t="shared" si="1"/>
        <v>-75774.669999999984</v>
      </c>
      <c r="K20" s="286" t="s">
        <v>6684</v>
      </c>
      <c r="L20" s="286">
        <v>90815.95</v>
      </c>
      <c r="M20" s="286">
        <f>G336</f>
        <v>65236.6</v>
      </c>
      <c r="N20" s="286">
        <f t="shared" si="0"/>
        <v>25579.35</v>
      </c>
      <c r="O20" s="286" t="s">
        <v>6848</v>
      </c>
    </row>
    <row r="21" spans="2:15" ht="15.75" x14ac:dyDescent="0.25">
      <c r="B21" s="412" t="s">
        <v>6675</v>
      </c>
      <c r="C21" s="568">
        <f t="shared" si="2"/>
        <v>306931.5</v>
      </c>
      <c r="D21" s="568">
        <v>80000</v>
      </c>
      <c r="E21" s="568">
        <f t="shared" si="1"/>
        <v>226931.5</v>
      </c>
      <c r="K21" s="286" t="s">
        <v>6655</v>
      </c>
      <c r="L21" s="286">
        <v>26386.33</v>
      </c>
      <c r="M21" s="286">
        <f>G232+(G240/2)</f>
        <v>16964.5</v>
      </c>
      <c r="N21" s="286">
        <f t="shared" si="0"/>
        <v>9421.8300000000017</v>
      </c>
      <c r="O21" s="286" t="s">
        <v>6848</v>
      </c>
    </row>
    <row r="22" spans="2:15" ht="15.75" x14ac:dyDescent="0.25">
      <c r="B22" s="412" t="s">
        <v>6676</v>
      </c>
      <c r="C22" s="568">
        <f t="shared" si="2"/>
        <v>6974</v>
      </c>
      <c r="D22" s="568">
        <v>25000</v>
      </c>
      <c r="E22" s="568">
        <f t="shared" si="1"/>
        <v>-18026</v>
      </c>
      <c r="K22" s="286" t="s">
        <v>6656</v>
      </c>
      <c r="L22" s="286">
        <v>638467.81999999995</v>
      </c>
      <c r="M22" s="286">
        <f>G306</f>
        <v>342040.2</v>
      </c>
      <c r="N22" s="286">
        <f t="shared" si="0"/>
        <v>296427.61999999994</v>
      </c>
      <c r="O22" s="286" t="s">
        <v>6848</v>
      </c>
    </row>
    <row r="23" spans="2:15" ht="15.75" x14ac:dyDescent="0.25">
      <c r="B23" s="412" t="s">
        <v>6677</v>
      </c>
      <c r="C23" s="568">
        <f t="shared" si="2"/>
        <v>41802.759999999995</v>
      </c>
      <c r="D23" s="568">
        <v>35700</v>
      </c>
      <c r="E23" s="568">
        <f t="shared" si="1"/>
        <v>6102.7599999999948</v>
      </c>
      <c r="K23" s="286" t="s">
        <v>6657</v>
      </c>
      <c r="L23" s="286">
        <v>92288.24</v>
      </c>
      <c r="M23" s="286">
        <f>G366</f>
        <v>83153</v>
      </c>
      <c r="N23" s="286">
        <f t="shared" si="0"/>
        <v>9135.2400000000052</v>
      </c>
      <c r="O23" s="286" t="s">
        <v>6849</v>
      </c>
    </row>
    <row r="24" spans="2:15" ht="15.75" x14ac:dyDescent="0.25">
      <c r="B24" s="412" t="s">
        <v>6678</v>
      </c>
      <c r="C24" s="568">
        <f t="shared" si="2"/>
        <v>0</v>
      </c>
      <c r="D24" s="568"/>
      <c r="E24" s="568">
        <f t="shared" si="1"/>
        <v>0</v>
      </c>
      <c r="K24" s="286" t="s">
        <v>6658</v>
      </c>
      <c r="L24" s="286">
        <v>84806.48</v>
      </c>
      <c r="M24" s="286">
        <f>G409</f>
        <v>28272.5</v>
      </c>
      <c r="N24" s="286">
        <f t="shared" si="0"/>
        <v>56533.979999999996</v>
      </c>
      <c r="O24" s="286" t="s">
        <v>6850</v>
      </c>
    </row>
    <row r="25" spans="2:15" ht="16.5" thickBot="1" x14ac:dyDescent="0.3">
      <c r="B25" s="413" t="s">
        <v>1790</v>
      </c>
      <c r="C25" s="571">
        <f>C6/C7</f>
        <v>1217.737980263435</v>
      </c>
      <c r="D25" s="571">
        <f>D6/D7</f>
        <v>949.33032786885246</v>
      </c>
      <c r="E25" s="571">
        <f t="shared" si="1"/>
        <v>268.40765239458256</v>
      </c>
      <c r="K25" s="286" t="s">
        <v>6685</v>
      </c>
      <c r="L25" s="286">
        <v>21381.21</v>
      </c>
      <c r="M25" s="286">
        <f>G388/2</f>
        <v>1582</v>
      </c>
      <c r="N25" s="286">
        <f t="shared" si="0"/>
        <v>19799.21</v>
      </c>
      <c r="O25" s="286" t="s">
        <v>6850</v>
      </c>
    </row>
    <row r="26" spans="2:15" s="260" customFormat="1" ht="16.5" thickBot="1" x14ac:dyDescent="0.3">
      <c r="B26" s="257"/>
      <c r="C26" s="568"/>
      <c r="D26" s="568"/>
      <c r="E26" s="258"/>
      <c r="F26" s="259"/>
      <c r="G26" s="265"/>
      <c r="H26" s="265"/>
      <c r="K26" s="286" t="s">
        <v>6659</v>
      </c>
      <c r="L26" s="286">
        <v>156236.29999999999</v>
      </c>
      <c r="M26" s="286">
        <f>G402</f>
        <v>24615</v>
      </c>
      <c r="N26" s="286">
        <f t="shared" si="0"/>
        <v>131621.29999999999</v>
      </c>
      <c r="O26" s="286" t="s">
        <v>6850</v>
      </c>
    </row>
    <row r="27" spans="2:15" s="261" customFormat="1" x14ac:dyDescent="0.2">
      <c r="B27" s="266" t="s">
        <v>1791</v>
      </c>
      <c r="C27" s="267" t="s">
        <v>1792</v>
      </c>
      <c r="D27" s="268" t="s">
        <v>0</v>
      </c>
      <c r="E27" s="268" t="s">
        <v>1793</v>
      </c>
      <c r="F27" s="269" t="s">
        <v>1794</v>
      </c>
      <c r="G27" s="270" t="s">
        <v>1795</v>
      </c>
      <c r="H27" s="270" t="s">
        <v>1796</v>
      </c>
      <c r="K27" s="286" t="s">
        <v>6660</v>
      </c>
      <c r="L27" s="286">
        <v>20513.330000000002</v>
      </c>
      <c r="M27" s="286">
        <f>G388/2</f>
        <v>1582</v>
      </c>
      <c r="N27" s="286">
        <f t="shared" si="0"/>
        <v>18931.330000000002</v>
      </c>
      <c r="O27" s="286" t="s">
        <v>6850</v>
      </c>
    </row>
    <row r="28" spans="2:15" s="261" customFormat="1" x14ac:dyDescent="0.2">
      <c r="B28" s="271" t="s">
        <v>2473</v>
      </c>
      <c r="C28" s="272"/>
      <c r="D28" s="273"/>
      <c r="E28" s="274"/>
      <c r="F28" s="275"/>
      <c r="G28" s="276" cm="1">
        <f t="array" ref="G28">_xlfn.IFS(AND(B28&lt;&gt;"",C28="",D28=""),SUMPRODUCT($E$28:$E$422,$F$28:$F$422, --($B$28:$B$422=B28)),AND(C28&lt;&gt;"",F28=""),SUMPRODUCT($E$28:$E$422,$F$28:$F$422,--($C$28:$C$422=C28)),AND(D28,F28)&lt;&gt;0,E28*F28)</f>
        <v>110205.64</v>
      </c>
      <c r="H28" s="276"/>
      <c r="K28" s="286" t="s">
        <v>6661</v>
      </c>
      <c r="L28" s="286">
        <v>11992.15</v>
      </c>
      <c r="M28" s="286">
        <f>G240/2</f>
        <v>6106</v>
      </c>
      <c r="N28" s="286">
        <f>L28-M28</f>
        <v>5886.15</v>
      </c>
      <c r="O28" s="286" t="s">
        <v>6850</v>
      </c>
    </row>
    <row r="29" spans="2:15" s="261" customFormat="1" ht="25.5" outlineLevel="1" x14ac:dyDescent="0.2">
      <c r="B29" s="277" t="str">
        <f t="shared" ref="B29:B74" si="3">B28</f>
        <v>SUBSOLO</v>
      </c>
      <c r="C29" s="278" t="s">
        <v>6615</v>
      </c>
      <c r="D29" s="279" t="s">
        <v>1797</v>
      </c>
      <c r="E29" s="280">
        <f>2.04*2.96</f>
        <v>6.0384000000000002</v>
      </c>
      <c r="F29" s="281"/>
      <c r="G29" s="282" cm="1">
        <f t="array" ref="G29">_xlfn.IFS(AND(B29&lt;&gt;"",C29="",D29=""),SUMPRODUCT($E$26:$E$422,$F$26:$F$422, --($B$26:$B$422=B29)),AND(C29&lt;&gt;"",F29=""),SUMPRODUCT($E$26:$E$422,$F$26:$F$422,--($C$26:$C$422=C29)),AND(D29,F29)&lt;&gt;0,E29*F29)</f>
        <v>20403.5</v>
      </c>
      <c r="H29" s="283">
        <f>G29/E29</f>
        <v>3378.9580021197667</v>
      </c>
      <c r="K29" s="286" t="s">
        <v>6686</v>
      </c>
      <c r="L29" s="286">
        <v>394815.41</v>
      </c>
      <c r="M29" s="286">
        <f>G37+G93+G206+G245+G357+G378+G393</f>
        <v>179896.5</v>
      </c>
      <c r="N29" s="286">
        <f>L29-M29</f>
        <v>214918.90999999997</v>
      </c>
      <c r="O29" s="286" t="s">
        <v>6851</v>
      </c>
    </row>
    <row r="30" spans="2:15" outlineLevel="2" x14ac:dyDescent="0.2">
      <c r="B30" s="277" t="str">
        <f t="shared" si="3"/>
        <v>SUBSOLO</v>
      </c>
      <c r="C30" s="284" t="str">
        <f t="shared" ref="C30:C36" si="4">C29</f>
        <v>APA Funcionários</v>
      </c>
      <c r="D30" s="287" t="s">
        <v>2045</v>
      </c>
      <c r="E30" s="288">
        <v>1</v>
      </c>
      <c r="F30" s="290">
        <v>4199</v>
      </c>
      <c r="G30" s="291" cm="1">
        <f t="array" ref="G30">_xlfn.IFS(AND(B30&lt;&gt;"",C30="",D30=""),SUMPRODUCT($E$26:$E$422,$F$26:$F$422, --($B$26:$B$422=B30)),AND(C30&lt;&gt;"",F30=""),SUMPRODUCT($E$26:$E$422,$F$26:$F$422,--($C$26:$C$422=C30)),AND(D30,F30)&lt;&gt;0,E30*F30)</f>
        <v>4199</v>
      </c>
      <c r="H30" s="286" t="s">
        <v>6669</v>
      </c>
      <c r="K30" s="276" t="s">
        <v>8</v>
      </c>
      <c r="L30" s="276">
        <f>SUM(L5:L29)</f>
        <v>3317486.69</v>
      </c>
      <c r="M30" s="276">
        <f>SUM(M5:M29)</f>
        <v>2296272.7199999997</v>
      </c>
      <c r="N30" s="276">
        <f>L30-M30</f>
        <v>1021213.9700000002</v>
      </c>
    </row>
    <row r="31" spans="2:15" ht="13.5" customHeight="1" outlineLevel="2" x14ac:dyDescent="0.2">
      <c r="B31" s="277" t="str">
        <f t="shared" si="3"/>
        <v>SUBSOLO</v>
      </c>
      <c r="C31" s="284" t="str">
        <f t="shared" si="4"/>
        <v>APA Funcionários</v>
      </c>
      <c r="D31" s="287" t="s">
        <v>6740</v>
      </c>
      <c r="E31" s="288">
        <v>3</v>
      </c>
      <c r="F31" s="290">
        <v>537</v>
      </c>
      <c r="G31" s="291" cm="1">
        <f t="array" ref="G31">_xlfn.IFS(AND(B31&lt;&gt;"",C31="",D31=""),SUMPRODUCT($E$26:$E$422,$F$26:$F$422, --($B$26:$B$422=B31)),AND(C31&lt;&gt;"",F31=""),SUMPRODUCT($E$26:$E$422,$F$26:$F$422,--($C$26:$C$422=C31)),AND(D31,F31)&lt;&gt;0,E31*F31)</f>
        <v>1611</v>
      </c>
      <c r="H31" s="286" t="s">
        <v>2040</v>
      </c>
      <c r="K31" s="263" t="s">
        <v>6852</v>
      </c>
      <c r="L31" s="572"/>
      <c r="M31" s="572">
        <f>G46</f>
        <v>2598.89</v>
      </c>
    </row>
    <row r="32" spans="2:15" ht="13.5" customHeight="1" outlineLevel="2" x14ac:dyDescent="0.2">
      <c r="B32" s="277" t="str">
        <f t="shared" si="3"/>
        <v>SUBSOLO</v>
      </c>
      <c r="C32" s="284" t="str">
        <f t="shared" si="4"/>
        <v>APA Funcionários</v>
      </c>
      <c r="D32" s="287" t="s">
        <v>1799</v>
      </c>
      <c r="E32" s="288">
        <v>3</v>
      </c>
      <c r="F32" s="290">
        <v>3500</v>
      </c>
      <c r="G32" s="291" cm="1">
        <f t="array" ref="G32">_xlfn.IFS(AND(B32&lt;&gt;"",C32="",D32=""),SUMPRODUCT($E$26:$E$422,$F$26:$F$422, --($B$26:$B$422=B32)),AND(C32&lt;&gt;"",F32=""),SUMPRODUCT($E$26:$E$422,$F$26:$F$422,--($C$26:$C$422=C32)),AND(D32,F32)&lt;&gt;0,E32*F32)</f>
        <v>10500</v>
      </c>
      <c r="H32" s="286" t="s">
        <v>2041</v>
      </c>
      <c r="K32" s="263" t="s">
        <v>6853</v>
      </c>
      <c r="M32" s="572">
        <f>G76</f>
        <v>16097</v>
      </c>
    </row>
    <row r="33" spans="2:8" ht="13.5" customHeight="1" outlineLevel="2" x14ac:dyDescent="0.2">
      <c r="B33" s="277" t="str">
        <f t="shared" ref="B33" si="5">B32</f>
        <v>SUBSOLO</v>
      </c>
      <c r="C33" s="284" t="str">
        <f t="shared" si="4"/>
        <v>APA Funcionários</v>
      </c>
      <c r="D33" s="287" t="s">
        <v>7353</v>
      </c>
      <c r="E33" s="288">
        <f>(0.3*2.96)+(0.45*0.6)</f>
        <v>1.1579999999999999</v>
      </c>
      <c r="F33" s="285">
        <v>750</v>
      </c>
      <c r="G33" s="291" cm="1">
        <f t="array" ref="G33">_xlfn.IFS(AND(B33&lt;&gt;"",C33="",D33=""),SUMPRODUCT($E$26:$E$422,$F$26:$F$422, --($B$26:$B$422=B33)),AND(C33&lt;&gt;"",F33=""),SUMPRODUCT($E$26:$E$422,$F$26:$F$422,--($C$26:$C$422=C33)),AND(D33,F33)&lt;&gt;0,E33*F33)</f>
        <v>868.49999999999989</v>
      </c>
      <c r="H33" s="286" t="s">
        <v>6665</v>
      </c>
    </row>
    <row r="34" spans="2:8" ht="13.5" customHeight="1" outlineLevel="2" x14ac:dyDescent="0.2">
      <c r="B34" s="277" t="str">
        <f t="shared" ref="B34" si="6">B33</f>
        <v>SUBSOLO</v>
      </c>
      <c r="C34" s="284" t="str">
        <f t="shared" si="4"/>
        <v>APA Funcionários</v>
      </c>
      <c r="D34" s="287" t="s">
        <v>2050</v>
      </c>
      <c r="E34" s="288">
        <v>1</v>
      </c>
      <c r="F34" s="290">
        <v>1849</v>
      </c>
      <c r="G34" s="291" cm="1">
        <f t="array" ref="G34">_xlfn.IFS(AND(B34&lt;&gt;"",C34="",D34=""),SUMPRODUCT($E$26:$E$422,$F$26:$F$422, --($B$26:$B$422=B34)),AND(C34&lt;&gt;"",F34=""),SUMPRODUCT($E$26:$E$422,$F$26:$F$422,--($C$26:$C$422=C34)),AND(D34,F34)&lt;&gt;0,E34*F34)</f>
        <v>1849</v>
      </c>
      <c r="H34" s="286" t="s">
        <v>6669</v>
      </c>
    </row>
    <row r="35" spans="2:8" ht="13.5" customHeight="1" outlineLevel="2" x14ac:dyDescent="0.2">
      <c r="B35" s="277" t="str">
        <f t="shared" ref="B35" si="7">B34</f>
        <v>SUBSOLO</v>
      </c>
      <c r="C35" s="284" t="str">
        <f t="shared" si="4"/>
        <v>APA Funcionários</v>
      </c>
      <c r="D35" s="287" t="s">
        <v>6712</v>
      </c>
      <c r="E35" s="288">
        <v>1</v>
      </c>
      <c r="F35" s="285">
        <v>56</v>
      </c>
      <c r="G35" s="291" cm="1">
        <f t="array" ref="G35">_xlfn.IFS(AND(B35&lt;&gt;"",C35="",D35=""),SUMPRODUCT($E$26:$E$422,$F$26:$F$422, --($B$26:$B$422=B35)),AND(C35&lt;&gt;"",F35=""),SUMPRODUCT($E$26:$E$422,$F$26:$F$422,--($C$26:$C$422=C35)),AND(D35,F35)&lt;&gt;0,E35*F35)</f>
        <v>56</v>
      </c>
      <c r="H35" s="286" t="s">
        <v>6677</v>
      </c>
    </row>
    <row r="36" spans="2:8" outlineLevel="2" x14ac:dyDescent="0.2">
      <c r="B36" s="277" t="str">
        <f t="shared" si="3"/>
        <v>SUBSOLO</v>
      </c>
      <c r="C36" s="284" t="str">
        <f t="shared" si="4"/>
        <v>APA Funcionários</v>
      </c>
      <c r="D36" s="287" t="s">
        <v>6741</v>
      </c>
      <c r="E36" s="289">
        <v>4</v>
      </c>
      <c r="F36" s="290">
        <v>330</v>
      </c>
      <c r="G36" s="291" cm="1">
        <f t="array" ref="G36">_xlfn.IFS(AND(B36&lt;&gt;"",C36="",D36=""),SUMPRODUCT($E$26:$E$422,$F$26:$F$422, --($B$26:$B$422=B36)),AND(C36&lt;&gt;"",F36=""),SUMPRODUCT($E$26:$E$422,$F$26:$F$422,--($C$26:$C$422=C36)),AND(D36,F36)&lt;&gt;0,E36*F36)</f>
        <v>1320</v>
      </c>
      <c r="H36" s="286" t="s">
        <v>6674</v>
      </c>
    </row>
    <row r="37" spans="2:8" outlineLevel="1" x14ac:dyDescent="0.2">
      <c r="B37" s="277" t="str">
        <f t="shared" si="3"/>
        <v>SUBSOLO</v>
      </c>
      <c r="C37" s="278" t="s">
        <v>6825</v>
      </c>
      <c r="D37" s="279" t="s">
        <v>1797</v>
      </c>
      <c r="E37" s="280">
        <v>34.159999999999997</v>
      </c>
      <c r="F37" s="281"/>
      <c r="G37" s="282" cm="1">
        <f t="array" ref="G37">_xlfn.IFS(AND(B37&lt;&gt;"",C37="",D37=""),SUMPRODUCT($E$26:$E$422,$F$26:$F$422, --($B$26:$B$422=B37)),AND(C37&lt;&gt;"",F37=""),SUMPRODUCT($E$26:$E$422,$F$26:$F$422,--($C$26:$C$422=C37)),AND(D37,F37)&lt;&gt;0,E37*F37)</f>
        <v>10063.5</v>
      </c>
      <c r="H37" s="283">
        <f>G37/E37</f>
        <v>294.5989461358314</v>
      </c>
    </row>
    <row r="38" spans="2:8" outlineLevel="2" x14ac:dyDescent="0.2">
      <c r="B38" s="277" t="str">
        <f t="shared" si="3"/>
        <v>SUBSOLO</v>
      </c>
      <c r="C38" s="292" t="str">
        <f t="shared" ref="C38:C45" si="8">C37</f>
        <v>Circulação elevadores - subsolo</v>
      </c>
      <c r="D38" s="287" t="s">
        <v>2047</v>
      </c>
      <c r="E38" s="288">
        <v>3</v>
      </c>
      <c r="F38" s="285">
        <v>1000</v>
      </c>
      <c r="G38" s="291" cm="1">
        <f t="array" ref="G38">_xlfn.IFS(AND(B38&lt;&gt;"",C38="",D38=""),SUMPRODUCT($E$26:$E$422,$F$26:$F$422, --($B$26:$B$422=B38)),AND(C38&lt;&gt;"",F38=""),SUMPRODUCT($E$26:$E$422,$F$26:$F$422,--($C$26:$C$422=C38)),AND(D38,F38)&lt;&gt;0,E38*F38)</f>
        <v>3000</v>
      </c>
      <c r="H38" s="286" t="s">
        <v>6675</v>
      </c>
    </row>
    <row r="39" spans="2:8" ht="13.5" customHeight="1" outlineLevel="2" x14ac:dyDescent="0.2">
      <c r="B39" s="277" t="str">
        <f t="shared" si="3"/>
        <v>SUBSOLO</v>
      </c>
      <c r="C39" s="292" t="str">
        <f t="shared" si="8"/>
        <v>Circulação elevadores - subsolo</v>
      </c>
      <c r="D39" s="287" t="s">
        <v>6724</v>
      </c>
      <c r="E39" s="288">
        <v>1</v>
      </c>
      <c r="F39" s="285">
        <v>227</v>
      </c>
      <c r="G39" s="291" cm="1">
        <f t="array" ref="G39">_xlfn.IFS(AND(B39&lt;&gt;"",C39="",D39=""),SUMPRODUCT($E$26:$E$422,$F$26:$F$422, --($B$26:$B$422=B39)),AND(C39&lt;&gt;"",F39=""),SUMPRODUCT($E$26:$E$422,$F$26:$F$422,--($C$26:$C$422=C39)),AND(D39,F39)&lt;&gt;0,E39*F39)</f>
        <v>227</v>
      </c>
      <c r="H39" s="286" t="s">
        <v>2040</v>
      </c>
    </row>
    <row r="40" spans="2:8" ht="13.5" customHeight="1" outlineLevel="2" x14ac:dyDescent="0.2">
      <c r="B40" s="277" t="str">
        <f t="shared" si="3"/>
        <v>SUBSOLO</v>
      </c>
      <c r="C40" s="292" t="str">
        <f t="shared" si="8"/>
        <v>Circulação elevadores - subsolo</v>
      </c>
      <c r="D40" s="287" t="s">
        <v>6703</v>
      </c>
      <c r="E40" s="288">
        <v>4</v>
      </c>
      <c r="F40" s="285">
        <v>136</v>
      </c>
      <c r="G40" s="291" cm="1">
        <f t="array" ref="G40">_xlfn.IFS(AND(B40&lt;&gt;"",C40="",D40=""),SUMPRODUCT($E$26:$E$422,$F$26:$F$422, --($B$26:$B$422=B40)),AND(C40&lt;&gt;"",F40=""),SUMPRODUCT($E$26:$E$422,$F$26:$F$422,--($C$26:$C$422=C40)),AND(D40,F40)&lt;&gt;0,E40*F40)</f>
        <v>544</v>
      </c>
      <c r="H40" s="286" t="s">
        <v>2040</v>
      </c>
    </row>
    <row r="41" spans="2:8" ht="13.5" customHeight="1" outlineLevel="2" x14ac:dyDescent="0.2">
      <c r="B41" s="277" t="str">
        <f t="shared" si="3"/>
        <v>SUBSOLO</v>
      </c>
      <c r="C41" s="292" t="str">
        <f t="shared" si="8"/>
        <v>Circulação elevadores - subsolo</v>
      </c>
      <c r="D41" s="287" t="s">
        <v>6712</v>
      </c>
      <c r="E41" s="288">
        <v>1</v>
      </c>
      <c r="F41" s="285">
        <v>56</v>
      </c>
      <c r="G41" s="291" cm="1">
        <f t="array" ref="G41">_xlfn.IFS(AND(B41&lt;&gt;"",C41="",D41=""),SUMPRODUCT($E$26:$E$422,$F$26:$F$422, --($B$26:$B$422=B41)),AND(C41&lt;&gt;"",F41=""),SUMPRODUCT($E$26:$E$422,$F$26:$F$422,--($C$26:$C$422=C41)),AND(D41,F41)&lt;&gt;0,E41*F41)</f>
        <v>56</v>
      </c>
      <c r="H41" s="286" t="s">
        <v>6677</v>
      </c>
    </row>
    <row r="42" spans="2:8" outlineLevel="2" x14ac:dyDescent="0.2">
      <c r="B42" s="277" t="str">
        <f t="shared" si="3"/>
        <v>SUBSOLO</v>
      </c>
      <c r="C42" s="292" t="str">
        <f t="shared" si="8"/>
        <v>Circulação elevadores - subsolo</v>
      </c>
      <c r="D42" s="287" t="s">
        <v>2043</v>
      </c>
      <c r="E42" s="288">
        <v>1</v>
      </c>
      <c r="F42" s="290">
        <v>200</v>
      </c>
      <c r="G42" s="291" cm="1">
        <f t="array" ref="G42">_xlfn.IFS(AND(B42&lt;&gt;"",C42="",D42=""),SUMPRODUCT($E$26:$E$422,$F$26:$F$422, --($B$26:$B$422=B42)),AND(C42&lt;&gt;"",F42=""),SUMPRODUCT($E$26:$E$422,$F$26:$F$422,--($C$26:$C$422=C42)),AND(D42,F42)&lt;&gt;0,E42*F42)</f>
        <v>200</v>
      </c>
      <c r="H42" s="286" t="s">
        <v>2040</v>
      </c>
    </row>
    <row r="43" spans="2:8" ht="13.5" customHeight="1" outlineLevel="2" x14ac:dyDescent="0.2">
      <c r="B43" s="277" t="str">
        <f t="shared" si="3"/>
        <v>SUBSOLO</v>
      </c>
      <c r="C43" s="292" t="str">
        <f t="shared" si="8"/>
        <v>Circulação elevadores - subsolo</v>
      </c>
      <c r="D43" s="287" t="s">
        <v>6641</v>
      </c>
      <c r="E43" s="288">
        <v>10</v>
      </c>
      <c r="F43" s="285">
        <v>50</v>
      </c>
      <c r="G43" s="291" cm="1">
        <f t="array" ref="G43">_xlfn.IFS(AND(B43&lt;&gt;"",C43="",D43=""),SUMPRODUCT($E$26:$E$422,$F$26:$F$422, --($B$26:$B$422=B43)),AND(C43&lt;&gt;"",F43=""),SUMPRODUCT($E$26:$E$422,$F$26:$F$422,--($C$26:$C$422=C43)),AND(D43,F43)&lt;&gt;0,E43*F43)</f>
        <v>500</v>
      </c>
      <c r="H43" s="286" t="s">
        <v>2040</v>
      </c>
    </row>
    <row r="44" spans="2:8" outlineLevel="2" x14ac:dyDescent="0.2">
      <c r="B44" s="277" t="str">
        <f t="shared" si="3"/>
        <v>SUBSOLO</v>
      </c>
      <c r="C44" s="292" t="str">
        <f t="shared" si="8"/>
        <v>Circulação elevadores - subsolo</v>
      </c>
      <c r="D44" s="287" t="s">
        <v>2046</v>
      </c>
      <c r="E44" s="288">
        <v>1</v>
      </c>
      <c r="F44" s="285">
        <v>1500</v>
      </c>
      <c r="G44" s="291" cm="1">
        <f t="array" ref="G44">_xlfn.IFS(AND(B44&lt;&gt;"",C44="",D44=""),SUMPRODUCT($E$26:$E$422,$F$26:$F$422, --($B$26:$B$422=B44)),AND(C44&lt;&gt;"",F44=""),SUMPRODUCT($E$26:$E$422,$F$26:$F$422,--($C$26:$C$422=C44)),AND(D44,F44)&lt;&gt;0,E44*F44)</f>
        <v>1500</v>
      </c>
      <c r="H44" s="286" t="s">
        <v>6675</v>
      </c>
    </row>
    <row r="45" spans="2:8" ht="13.5" customHeight="1" outlineLevel="2" x14ac:dyDescent="0.2">
      <c r="B45" s="277" t="str">
        <f t="shared" si="3"/>
        <v>SUBSOLO</v>
      </c>
      <c r="C45" s="292" t="str">
        <f t="shared" si="8"/>
        <v>Circulação elevadores - subsolo</v>
      </c>
      <c r="D45" s="287" t="s">
        <v>2044</v>
      </c>
      <c r="E45" s="288">
        <v>3</v>
      </c>
      <c r="F45" s="285">
        <v>1345.5</v>
      </c>
      <c r="G45" s="291" cm="1">
        <f t="array" ref="G45">_xlfn.IFS(AND(B45&lt;&gt;"",C45="",D45=""),SUMPRODUCT($E$26:$E$422,$F$26:$F$422, --($B$26:$B$422=B45)),AND(C45&lt;&gt;"",F45=""),SUMPRODUCT($E$26:$E$422,$F$26:$F$422,--($C$26:$C$422=C45)),AND(D45,F45)&lt;&gt;0,E45*F45)</f>
        <v>4036.5</v>
      </c>
      <c r="H45" s="286" t="s">
        <v>6675</v>
      </c>
    </row>
    <row r="46" spans="2:8" s="261" customFormat="1" outlineLevel="1" x14ac:dyDescent="0.2">
      <c r="B46" s="277" t="str">
        <f t="shared" si="3"/>
        <v>SUBSOLO</v>
      </c>
      <c r="C46" s="278" t="s">
        <v>6619</v>
      </c>
      <c r="D46" s="279" t="s">
        <v>1797</v>
      </c>
      <c r="E46" s="280">
        <f>2.83*1.87</f>
        <v>5.2921000000000005</v>
      </c>
      <c r="F46" s="281"/>
      <c r="G46" s="282" cm="1">
        <f t="array" ref="G46">_xlfn.IFS(AND(B46&lt;&gt;"",C46="",D46=""),SUMPRODUCT($E$26:$E$422,$F$26:$F$422, --($B$26:$B$422=B46)),AND(C46&lt;&gt;"",F46=""),SUMPRODUCT($E$26:$E$422,$F$26:$F$422,--($C$26:$C$422=C46)),AND(D46,F46)&lt;&gt;0,E46*F46)</f>
        <v>2598.89</v>
      </c>
      <c r="H46" s="283">
        <f>G46/E46</f>
        <v>491.08860376788039</v>
      </c>
    </row>
    <row r="47" spans="2:8" outlineLevel="2" x14ac:dyDescent="0.2">
      <c r="B47" s="277" t="str">
        <f t="shared" si="3"/>
        <v>SUBSOLO</v>
      </c>
      <c r="C47" s="284" t="str">
        <f>C46</f>
        <v>Depósito de lixo</v>
      </c>
      <c r="D47" s="287" t="s">
        <v>1801</v>
      </c>
      <c r="E47" s="289">
        <v>4</v>
      </c>
      <c r="F47" s="290">
        <v>399.89</v>
      </c>
      <c r="G47" s="291" cm="1">
        <f t="array" ref="G47">_xlfn.IFS(AND(B47&lt;&gt;"",C47="",D47=""),SUMPRODUCT($E$26:$E$422,$F$26:$F$422, --($B$26:$B$422=B47)),AND(C47&lt;&gt;"",F47=""),SUMPRODUCT($E$26:$E$422,$F$26:$F$422,--($C$26:$C$422=C47)),AND(D47,F47)&lt;&gt;0,E47*F47)</f>
        <v>1599.56</v>
      </c>
      <c r="H47" s="286" t="s">
        <v>6677</v>
      </c>
    </row>
    <row r="48" spans="2:8" outlineLevel="2" x14ac:dyDescent="0.2">
      <c r="B48" s="277" t="str">
        <f t="shared" si="3"/>
        <v>SUBSOLO</v>
      </c>
      <c r="C48" s="284" t="str">
        <f>C47</f>
        <v>Depósito de lixo</v>
      </c>
      <c r="D48" s="287" t="s">
        <v>1802</v>
      </c>
      <c r="E48" s="289">
        <v>3</v>
      </c>
      <c r="F48" s="290">
        <v>333.11</v>
      </c>
      <c r="G48" s="291" cm="1">
        <f t="array" ref="G48">_xlfn.IFS(AND(B48&lt;&gt;"",C48="",D48=""),SUMPRODUCT($E$26:$E$422,$F$26:$F$422, --($B$26:$B$422=B48)),AND(C48&lt;&gt;"",F48=""),SUMPRODUCT($E$26:$E$422,$F$26:$F$422,--($C$26:$C$422=C48)),AND(D48,F48)&lt;&gt;0,E48*F48)</f>
        <v>999.33</v>
      </c>
      <c r="H48" s="286" t="s">
        <v>6674</v>
      </c>
    </row>
    <row r="49" spans="2:14" s="261" customFormat="1" outlineLevel="1" x14ac:dyDescent="0.2">
      <c r="B49" s="277" t="str">
        <f t="shared" si="3"/>
        <v>SUBSOLO</v>
      </c>
      <c r="C49" s="278" t="s">
        <v>6620</v>
      </c>
      <c r="D49" s="279" t="s">
        <v>1797</v>
      </c>
      <c r="E49" s="280">
        <f>2.62*2.52</f>
        <v>6.6024000000000003</v>
      </c>
      <c r="F49" s="281"/>
      <c r="G49" s="282" cm="1">
        <f t="array" ref="G49">_xlfn.IFS(AND(B49&lt;&gt;"",C49="",D49=""),SUMPRODUCT($E$26:$E$422,$F$26:$F$422, --($B$26:$B$422=B49)),AND(C49&lt;&gt;"",F49=""),SUMPRODUCT($E$26:$E$422,$F$26:$F$422,--($C$26:$C$422=C49)),AND(D49,F49)&lt;&gt;0,E49*F49)</f>
        <v>15051.5</v>
      </c>
      <c r="H49" s="283">
        <f>G49/E49</f>
        <v>2279.701320731855</v>
      </c>
      <c r="K49" s="263"/>
      <c r="L49" s="263"/>
      <c r="M49" s="263"/>
      <c r="N49" s="263"/>
    </row>
    <row r="50" spans="2:14" outlineLevel="2" x14ac:dyDescent="0.2">
      <c r="B50" s="277" t="str">
        <f t="shared" si="3"/>
        <v>SUBSOLO</v>
      </c>
      <c r="C50" s="284" t="str">
        <f>C49</f>
        <v>Rouparia</v>
      </c>
      <c r="D50" s="287" t="s">
        <v>1798</v>
      </c>
      <c r="E50" s="288">
        <v>2</v>
      </c>
      <c r="F50" s="285">
        <v>1500</v>
      </c>
      <c r="G50" s="291" cm="1">
        <f t="array" ref="G50">_xlfn.IFS(AND(B50&lt;&gt;"",C50="",D50=""),SUMPRODUCT($E$26:$E$422,$F$26:$F$422, --($B$26:$B$422=B50)),AND(C50&lt;&gt;"",F50=""),SUMPRODUCT($E$26:$E$422,$F$26:$F$422,--($C$26:$C$422=C50)),AND(D50,F50)&lt;&gt;0,E50*F50)</f>
        <v>3000</v>
      </c>
      <c r="H50" s="286" t="s">
        <v>2040</v>
      </c>
    </row>
    <row r="51" spans="2:14" outlineLevel="2" x14ac:dyDescent="0.2">
      <c r="B51" s="277" t="str">
        <f t="shared" ref="B51:C51" si="9">B50</f>
        <v>SUBSOLO</v>
      </c>
      <c r="C51" s="284" t="str">
        <f t="shared" si="9"/>
        <v>Rouparia</v>
      </c>
      <c r="D51" s="287" t="s">
        <v>2043</v>
      </c>
      <c r="E51" s="288">
        <v>1</v>
      </c>
      <c r="F51" s="290">
        <v>200</v>
      </c>
      <c r="G51" s="291" cm="1">
        <f t="array" ref="G51">_xlfn.IFS(AND(B51&lt;&gt;"",C51="",D51=""),SUMPRODUCT($E$26:$E$422,$F$26:$F$422, --($B$26:$B$422=B51)),AND(C51&lt;&gt;"",F51=""),SUMPRODUCT($E$26:$E$422,$F$26:$F$422,--($C$26:$C$422=C51)),AND(D51,F51)&lt;&gt;0,E51*F51)</f>
        <v>200</v>
      </c>
      <c r="H51" s="286" t="s">
        <v>2040</v>
      </c>
    </row>
    <row r="52" spans="2:14" ht="13.5" customHeight="1" outlineLevel="2" x14ac:dyDescent="0.2">
      <c r="B52" s="277" t="str">
        <f t="shared" ref="B52:C52" si="10">B51</f>
        <v>SUBSOLO</v>
      </c>
      <c r="C52" s="284" t="str">
        <f t="shared" si="10"/>
        <v>Rouparia</v>
      </c>
      <c r="D52" s="287" t="s">
        <v>7354</v>
      </c>
      <c r="E52" s="288">
        <f>(0.6*0.45)</f>
        <v>0.27</v>
      </c>
      <c r="F52" s="285">
        <v>750</v>
      </c>
      <c r="G52" s="291" cm="1">
        <f t="array" ref="G52">_xlfn.IFS(AND(B52&lt;&gt;"",C52="",D52=""),SUMPRODUCT($E$26:$E$422,$F$26:$F$422, --($B$26:$B$422=B52)),AND(C52&lt;&gt;"",F52=""),SUMPRODUCT($E$26:$E$422,$F$26:$F$422,--($C$26:$C$422=C52)),AND(D52,F52)&lt;&gt;0,E52*F52)</f>
        <v>202.5</v>
      </c>
      <c r="H52" s="286" t="s">
        <v>6665</v>
      </c>
    </row>
    <row r="53" spans="2:14" outlineLevel="2" x14ac:dyDescent="0.2">
      <c r="B53" s="277" t="str">
        <f t="shared" ref="B53:C53" si="11">B52</f>
        <v>SUBSOLO</v>
      </c>
      <c r="C53" s="284" t="str">
        <f t="shared" si="11"/>
        <v>Rouparia</v>
      </c>
      <c r="D53" s="287" t="s">
        <v>6742</v>
      </c>
      <c r="E53" s="288">
        <v>10</v>
      </c>
      <c r="F53" s="290">
        <v>34</v>
      </c>
      <c r="G53" s="291" cm="1">
        <f t="array" ref="G53">_xlfn.IFS(AND(B53&lt;&gt;"",C53="",D53=""),SUMPRODUCT($E$26:$E$422,$F$26:$F$422, --($B$26:$B$422=B53)),AND(C53&lt;&gt;"",F53=""),SUMPRODUCT($E$26:$E$422,$F$26:$F$422,--($C$26:$C$422=C53)),AND(D53,F53)&lt;&gt;0,E53*F53)</f>
        <v>340</v>
      </c>
      <c r="H53" s="286" t="s">
        <v>6677</v>
      </c>
    </row>
    <row r="54" spans="2:14" outlineLevel="2" x14ac:dyDescent="0.2">
      <c r="B54" s="277" t="str">
        <f t="shared" si="3"/>
        <v>SUBSOLO</v>
      </c>
      <c r="C54" s="284" t="str">
        <f>C50</f>
        <v>Rouparia</v>
      </c>
      <c r="D54" s="287" t="s">
        <v>1799</v>
      </c>
      <c r="E54" s="288">
        <v>3</v>
      </c>
      <c r="F54" s="290">
        <v>3500</v>
      </c>
      <c r="G54" s="291" cm="1">
        <f t="array" ref="G54">_xlfn.IFS(AND(B54&lt;&gt;"",C54="",D54=""),SUMPRODUCT($E$26:$E$422,$F$26:$F$422, --($B$26:$B$422=B54)),AND(C54&lt;&gt;"",F54=""),SUMPRODUCT($E$26:$E$422,$F$26:$F$422,--($C$26:$C$422=C54)),AND(D54,F54)&lt;&gt;0,E54*F54)</f>
        <v>10500</v>
      </c>
      <c r="H54" s="286" t="s">
        <v>2041</v>
      </c>
    </row>
    <row r="55" spans="2:14" outlineLevel="2" x14ac:dyDescent="0.2">
      <c r="B55" s="277" t="str">
        <f t="shared" si="3"/>
        <v>SUBSOLO</v>
      </c>
      <c r="C55" s="284" t="str">
        <f>C51</f>
        <v>Rouparia</v>
      </c>
      <c r="D55" s="287" t="s">
        <v>6621</v>
      </c>
      <c r="E55" s="288">
        <v>1</v>
      </c>
      <c r="F55" s="290">
        <v>809</v>
      </c>
      <c r="G55" s="291" cm="1">
        <f t="array" ref="G55">_xlfn.IFS(AND(B55&lt;&gt;"",C55="",D55=""),SUMPRODUCT($E$26:$E$422,$F$26:$F$422, --($B$26:$B$422=B55)),AND(C55&lt;&gt;"",F55=""),SUMPRODUCT($E$26:$E$422,$F$26:$F$422,--($C$26:$C$422=C55)),AND(D55,F55)&lt;&gt;0,E55*F55)</f>
        <v>809</v>
      </c>
      <c r="H55" s="286" t="s">
        <v>6674</v>
      </c>
    </row>
    <row r="56" spans="2:14" s="261" customFormat="1" outlineLevel="1" x14ac:dyDescent="0.2">
      <c r="B56" s="277" t="str">
        <f t="shared" si="3"/>
        <v>SUBSOLO</v>
      </c>
      <c r="C56" s="278" t="s">
        <v>6622</v>
      </c>
      <c r="D56" s="279" t="s">
        <v>1797</v>
      </c>
      <c r="E56" s="280">
        <f>4.33*1.87</f>
        <v>8.0971000000000011</v>
      </c>
      <c r="F56" s="281"/>
      <c r="G56" s="282" cm="1">
        <f t="array" ref="G56">_xlfn.IFS(AND(B56&lt;&gt;"",C56="",D56=""),SUMPRODUCT($E$26:$E$422,$F$26:$F$422, --($B$26:$B$422=B56)),AND(C56&lt;&gt;"",F56=""),SUMPRODUCT($E$26:$E$422,$F$26:$F$422,--($C$26:$C$422=C56)),AND(D56,F56)&lt;&gt;0,E56*F56)</f>
        <v>21691</v>
      </c>
      <c r="H56" s="283">
        <f>G56/E56</f>
        <v>2678.8603327117112</v>
      </c>
    </row>
    <row r="57" spans="2:14" outlineLevel="2" x14ac:dyDescent="0.2">
      <c r="B57" s="277" t="str">
        <f t="shared" si="3"/>
        <v>SUBSOLO</v>
      </c>
      <c r="C57" s="284" t="str">
        <f>C56</f>
        <v>Rouparia 2</v>
      </c>
      <c r="D57" s="287" t="s">
        <v>1798</v>
      </c>
      <c r="E57" s="288">
        <v>2</v>
      </c>
      <c r="F57" s="285">
        <v>1500</v>
      </c>
      <c r="G57" s="291" cm="1">
        <f t="array" ref="G57">_xlfn.IFS(AND(B57&lt;&gt;"",C57="",D57=""),SUMPRODUCT($E$26:$E$422,$F$26:$F$422, --($B$26:$B$422=B57)),AND(C57&lt;&gt;"",F57=""),SUMPRODUCT($E$26:$E$422,$F$26:$F$422,--($C$26:$C$422=C57)),AND(D57,F57)&lt;&gt;0,E57*F57)</f>
        <v>3000</v>
      </c>
      <c r="H57" s="286" t="s">
        <v>2040</v>
      </c>
    </row>
    <row r="58" spans="2:14" outlineLevel="2" x14ac:dyDescent="0.2">
      <c r="B58" s="277" t="str">
        <f t="shared" si="3"/>
        <v>SUBSOLO</v>
      </c>
      <c r="C58" s="284" t="str">
        <f>C57</f>
        <v>Rouparia 2</v>
      </c>
      <c r="D58" s="287" t="s">
        <v>2043</v>
      </c>
      <c r="E58" s="288">
        <v>1</v>
      </c>
      <c r="F58" s="290">
        <v>200</v>
      </c>
      <c r="G58" s="291" cm="1">
        <f t="array" ref="G58">_xlfn.IFS(AND(B58&lt;&gt;"",C58="",D58=""),SUMPRODUCT($E$26:$E$422,$F$26:$F$422, --($B$26:$B$422=B58)),AND(C58&lt;&gt;"",F58=""),SUMPRODUCT($E$26:$E$422,$F$26:$F$422,--($C$26:$C$422=C58)),AND(D58,F58)&lt;&gt;0,E58*F58)</f>
        <v>200</v>
      </c>
      <c r="H58" s="286" t="s">
        <v>2040</v>
      </c>
    </row>
    <row r="59" spans="2:14" ht="13.5" customHeight="1" outlineLevel="2" x14ac:dyDescent="0.2">
      <c r="B59" s="277" t="str">
        <f t="shared" si="3"/>
        <v>SUBSOLO</v>
      </c>
      <c r="C59" s="292" t="str">
        <f>C57</f>
        <v>Rouparia 2</v>
      </c>
      <c r="D59" s="287" t="s">
        <v>6712</v>
      </c>
      <c r="E59" s="288">
        <v>1</v>
      </c>
      <c r="F59" s="285">
        <v>56</v>
      </c>
      <c r="G59" s="291" cm="1">
        <f t="array" ref="G59">_xlfn.IFS(AND(B59&lt;&gt;"",C59="",D59=""),SUMPRODUCT($E$26:$E$422,$F$26:$F$422, --($B$26:$B$422=B59)),AND(C59&lt;&gt;"",F59=""),SUMPRODUCT($E$26:$E$422,$F$26:$F$422,--($C$26:$C$422=C59)),AND(D59,F59)&lt;&gt;0,E59*F59)</f>
        <v>56</v>
      </c>
      <c r="H59" s="286" t="s">
        <v>6677</v>
      </c>
    </row>
    <row r="60" spans="2:14" outlineLevel="2" x14ac:dyDescent="0.2">
      <c r="B60" s="277" t="str">
        <f t="shared" si="3"/>
        <v>SUBSOLO</v>
      </c>
      <c r="C60" s="284" t="str">
        <f>C57</f>
        <v>Rouparia 2</v>
      </c>
      <c r="D60" s="287" t="s">
        <v>1799</v>
      </c>
      <c r="E60" s="288">
        <v>5</v>
      </c>
      <c r="F60" s="290">
        <v>3500</v>
      </c>
      <c r="G60" s="291" cm="1">
        <f t="array" ref="G60">_xlfn.IFS(AND(B60&lt;&gt;"",C60="",D60=""),SUMPRODUCT($E$26:$E$422,$F$26:$F$422, --($B$26:$B$422=B60)),AND(C60&lt;&gt;"",F60=""),SUMPRODUCT($E$26:$E$422,$F$26:$F$422,--($C$26:$C$422=C60)),AND(D60,F60)&lt;&gt;0,E60*F60)</f>
        <v>17500</v>
      </c>
      <c r="H60" s="286" t="s">
        <v>2041</v>
      </c>
    </row>
    <row r="61" spans="2:14" outlineLevel="2" x14ac:dyDescent="0.2">
      <c r="B61" s="277" t="str">
        <f t="shared" si="3"/>
        <v>SUBSOLO</v>
      </c>
      <c r="C61" s="284" t="str">
        <f>C58</f>
        <v>Rouparia 2</v>
      </c>
      <c r="D61" s="287" t="s">
        <v>6616</v>
      </c>
      <c r="E61" s="288">
        <v>1</v>
      </c>
      <c r="F61" s="290">
        <v>745</v>
      </c>
      <c r="G61" s="291" cm="1">
        <f t="array" ref="G61">_xlfn.IFS(AND(B61&lt;&gt;"",C61="",D61=""),SUMPRODUCT($E$26:$E$422,$F$26:$F$422, --($B$26:$B$422=B61)),AND(C61&lt;&gt;"",F61=""),SUMPRODUCT($E$26:$E$422,$F$26:$F$422,--($C$26:$C$422=C61)),AND(D61,F61)&lt;&gt;0,E61*F61)</f>
        <v>745</v>
      </c>
      <c r="H61" s="286" t="s">
        <v>6674</v>
      </c>
    </row>
    <row r="62" spans="2:14" outlineLevel="2" x14ac:dyDescent="0.2">
      <c r="B62" s="277" t="str">
        <f t="shared" si="3"/>
        <v>SUBSOLO</v>
      </c>
      <c r="C62" s="284" t="str">
        <f>C61</f>
        <v>Rouparia 2</v>
      </c>
      <c r="D62" s="287" t="s">
        <v>6623</v>
      </c>
      <c r="E62" s="288">
        <v>1</v>
      </c>
      <c r="F62" s="290">
        <v>190</v>
      </c>
      <c r="G62" s="291" cm="1">
        <f t="array" ref="G62">_xlfn.IFS(AND(B62&lt;&gt;"",C62="",D62=""),SUMPRODUCT($E$26:$E$422,$F$26:$F$422, --($B$26:$B$422=B62)),AND(C62&lt;&gt;"",F62=""),SUMPRODUCT($E$26:$E$422,$F$26:$F$422,--($C$26:$C$422=C62)),AND(D62,F62)&lt;&gt;0,E62*F62)</f>
        <v>190</v>
      </c>
      <c r="H62" s="286" t="s">
        <v>6674</v>
      </c>
    </row>
    <row r="63" spans="2:14" s="261" customFormat="1" outlineLevel="1" x14ac:dyDescent="0.2">
      <c r="B63" s="277" t="str">
        <f t="shared" si="3"/>
        <v>SUBSOLO</v>
      </c>
      <c r="C63" s="278" t="s">
        <v>6624</v>
      </c>
      <c r="D63" s="279" t="s">
        <v>1797</v>
      </c>
      <c r="E63" s="280">
        <f>16.59+30.09+13.89+61.85</f>
        <v>122.42</v>
      </c>
      <c r="F63" s="281"/>
      <c r="G63" s="282" cm="1">
        <f t="array" ref="G63">_xlfn.IFS(AND(B63&lt;&gt;"",C63="",D63=""),SUMPRODUCT($E$26:$E$422,$F$26:$F$422, --($B$26:$B$422=B63)),AND(C63&lt;&gt;"",F63=""),SUMPRODUCT($E$26:$E$422,$F$26:$F$422,--($C$26:$C$422=C63)),AND(D63,F63)&lt;&gt;0,E63*F63)</f>
        <v>35885.25</v>
      </c>
      <c r="H63" s="283">
        <f>G63/E63</f>
        <v>293.13224963241299</v>
      </c>
    </row>
    <row r="64" spans="2:14" outlineLevel="2" x14ac:dyDescent="0.2">
      <c r="B64" s="277" t="str">
        <f t="shared" si="3"/>
        <v>SUBSOLO</v>
      </c>
      <c r="C64" s="284" t="str">
        <f>C63</f>
        <v>Bicicletário</v>
      </c>
      <c r="D64" s="287" t="s">
        <v>6626</v>
      </c>
      <c r="E64" s="288">
        <v>10</v>
      </c>
      <c r="F64" s="290">
        <v>150</v>
      </c>
      <c r="G64" s="291" cm="1">
        <f t="array" ref="G64">_xlfn.IFS(AND(B64&lt;&gt;"",C64="",D64=""),SUMPRODUCT($E$26:$E$422,$F$26:$F$422, --($B$26:$B$422=B64)),AND(C64&lt;&gt;"",F64=""),SUMPRODUCT($E$26:$E$422,$F$26:$F$422,--($C$26:$C$422=C64)),AND(D64,F64)&lt;&gt;0,E64*F64)</f>
        <v>1500</v>
      </c>
      <c r="H64" s="286" t="s">
        <v>2040</v>
      </c>
    </row>
    <row r="65" spans="2:8" outlineLevel="2" x14ac:dyDescent="0.2">
      <c r="B65" s="277" t="str">
        <f t="shared" si="3"/>
        <v>SUBSOLO</v>
      </c>
      <c r="C65" s="284" t="str">
        <f>C64</f>
        <v>Bicicletário</v>
      </c>
      <c r="D65" s="287" t="s">
        <v>6625</v>
      </c>
      <c r="E65" s="288">
        <v>13</v>
      </c>
      <c r="F65" s="290">
        <v>1700</v>
      </c>
      <c r="G65" s="291" cm="1">
        <f t="array" ref="G65">_xlfn.IFS(AND(B65&lt;&gt;"",C65="",D65=""),SUMPRODUCT($E$26:$E$422,$F$26:$F$422, --($B$26:$B$422=B65)),AND(C65&lt;&gt;"",F65=""),SUMPRODUCT($E$26:$E$422,$F$26:$F$422,--($C$26:$C$422=C65)),AND(D65,F65)&lt;&gt;0,E65*F65)</f>
        <v>22100</v>
      </c>
      <c r="H65" s="286" t="s">
        <v>6666</v>
      </c>
    </row>
    <row r="66" spans="2:8" ht="13.5" customHeight="1" outlineLevel="2" x14ac:dyDescent="0.2">
      <c r="B66" s="277" t="str">
        <f t="shared" ref="B66:C66" si="12">B65</f>
        <v>SUBSOLO</v>
      </c>
      <c r="C66" s="284" t="str">
        <f t="shared" si="12"/>
        <v>Bicicletário</v>
      </c>
      <c r="D66" s="287" t="s">
        <v>6712</v>
      </c>
      <c r="E66" s="288">
        <v>1</v>
      </c>
      <c r="F66" s="285">
        <v>56</v>
      </c>
      <c r="G66" s="291" cm="1">
        <f t="array" ref="G66">_xlfn.IFS(AND(B66&lt;&gt;"",C66="",D66=""),SUMPRODUCT($E$26:$E$422,$F$26:$F$422, --($B$26:$B$422=B66)),AND(C66&lt;&gt;"",F66=""),SUMPRODUCT($E$26:$E$422,$F$26:$F$422,--($C$26:$C$422=C66)),AND(D66,F66)&lt;&gt;0,E66*F66)</f>
        <v>56</v>
      </c>
      <c r="H66" s="286" t="s">
        <v>6677</v>
      </c>
    </row>
    <row r="67" spans="2:8" ht="13.5" customHeight="1" outlineLevel="2" x14ac:dyDescent="0.2">
      <c r="B67" s="277" t="str">
        <f t="shared" ref="B67:C67" si="13">B66</f>
        <v>SUBSOLO</v>
      </c>
      <c r="C67" s="284" t="str">
        <f t="shared" si="13"/>
        <v>Bicicletário</v>
      </c>
      <c r="D67" s="287" t="s">
        <v>7354</v>
      </c>
      <c r="E67" s="288">
        <f>+(1.42*0.45)</f>
        <v>0.63900000000000001</v>
      </c>
      <c r="F67" s="285">
        <v>750</v>
      </c>
      <c r="G67" s="291" cm="1">
        <f t="array" ref="G67">_xlfn.IFS(AND(B67&lt;&gt;"",C67="",D67=""),SUMPRODUCT($E$26:$E$422,$F$26:$F$422, --($B$26:$B$422=B67)),AND(C67&lt;&gt;"",F67=""),SUMPRODUCT($E$26:$E$422,$F$26:$F$422,--($C$26:$C$422=C67)),AND(D67,F67)&lt;&gt;0,E67*F67)</f>
        <v>479.25</v>
      </c>
      <c r="H67" s="286" t="s">
        <v>6665</v>
      </c>
    </row>
    <row r="68" spans="2:8" outlineLevel="2" x14ac:dyDescent="0.2">
      <c r="B68" s="277" t="str">
        <f t="shared" ref="B68:C68" si="14">B67</f>
        <v>SUBSOLO</v>
      </c>
      <c r="C68" s="284" t="str">
        <f t="shared" si="14"/>
        <v>Bicicletário</v>
      </c>
      <c r="D68" s="287" t="s">
        <v>1799</v>
      </c>
      <c r="E68" s="289">
        <v>3</v>
      </c>
      <c r="F68" s="290">
        <v>3500</v>
      </c>
      <c r="G68" s="291" cm="1">
        <f t="array" ref="G68">_xlfn.IFS(AND(B68&lt;&gt;"",C68="",D68=""),SUMPRODUCT($E$26:$E$422,$F$26:$F$422, --($B$26:$B$422=B68)),AND(C68&lt;&gt;"",F68=""),SUMPRODUCT($E$26:$E$422,$F$26:$F$422,--($C$26:$C$422=C68)),AND(D68,F68)&lt;&gt;0,E68*F68)</f>
        <v>10500</v>
      </c>
      <c r="H68" s="286" t="s">
        <v>2041</v>
      </c>
    </row>
    <row r="69" spans="2:8" outlineLevel="2" x14ac:dyDescent="0.2">
      <c r="B69" s="277" t="str">
        <f t="shared" ref="B69:C69" si="15">B68</f>
        <v>SUBSOLO</v>
      </c>
      <c r="C69" s="284" t="str">
        <f t="shared" si="15"/>
        <v>Bicicletário</v>
      </c>
      <c r="D69" s="287" t="s">
        <v>2042</v>
      </c>
      <c r="E69" s="289">
        <v>3</v>
      </c>
      <c r="F69" s="290">
        <v>350</v>
      </c>
      <c r="G69" s="291" cm="1">
        <f t="array" ref="G69">_xlfn.IFS(AND(B69&lt;&gt;"",C69="",D69=""),SUMPRODUCT($E$26:$E$422,$F$26:$F$422, --($B$26:$B$422=B69)),AND(C69&lt;&gt;"",F69=""),SUMPRODUCT($E$26:$E$422,$F$26:$F$422,--($C$26:$C$422=C69)),AND(D69,F69)&lt;&gt;0,E69*F69)</f>
        <v>1050</v>
      </c>
      <c r="H69" s="286" t="s">
        <v>2040</v>
      </c>
    </row>
    <row r="70" spans="2:8" outlineLevel="2" x14ac:dyDescent="0.2">
      <c r="B70" s="277" t="str">
        <f t="shared" ref="B70:C70" si="16">B69</f>
        <v>SUBSOLO</v>
      </c>
      <c r="C70" s="284" t="str">
        <f t="shared" si="16"/>
        <v>Bicicletário</v>
      </c>
      <c r="D70" s="287" t="s">
        <v>2043</v>
      </c>
      <c r="E70" s="289">
        <v>1</v>
      </c>
      <c r="F70" s="290">
        <v>200</v>
      </c>
      <c r="G70" s="291" cm="1">
        <f t="array" ref="G70">_xlfn.IFS(AND(B70&lt;&gt;"",C70="",D70=""),SUMPRODUCT($E$26:$E$422,$F$26:$F$422, --($B$26:$B$422=B70)),AND(C70&lt;&gt;"",F70=""),SUMPRODUCT($E$26:$E$422,$F$26:$F$422,--($C$26:$C$422=C70)),AND(D70,F70)&lt;&gt;0,E70*F70)</f>
        <v>200</v>
      </c>
      <c r="H70" s="286" t="s">
        <v>2040</v>
      </c>
    </row>
    <row r="71" spans="2:8" s="261" customFormat="1" ht="17.25" customHeight="1" outlineLevel="1" x14ac:dyDescent="0.2">
      <c r="B71" s="277" t="str">
        <f t="shared" si="3"/>
        <v>SUBSOLO</v>
      </c>
      <c r="C71" s="278" t="s">
        <v>6627</v>
      </c>
      <c r="D71" s="279" t="s">
        <v>1797</v>
      </c>
      <c r="E71" s="280">
        <f>2*2.4*1.6</f>
        <v>7.68</v>
      </c>
      <c r="F71" s="281"/>
      <c r="G71" s="282" cm="1">
        <f t="array" ref="G71">_xlfn.IFS(AND(B71&lt;&gt;"",C71="",D71=""),SUMPRODUCT($E$26:$E$422,$F$26:$F$422, --($B$26:$B$422=B71)),AND(C71&lt;&gt;"",F71=""),SUMPRODUCT($E$26:$E$422,$F$26:$F$422,--($C$26:$C$422=C71)),AND(D71,F71)&lt;&gt;0,E71*F71)</f>
        <v>4512</v>
      </c>
      <c r="H71" s="283">
        <f>G71/E71</f>
        <v>587.5</v>
      </c>
    </row>
    <row r="72" spans="2:8" outlineLevel="2" x14ac:dyDescent="0.2">
      <c r="B72" s="277" t="str">
        <f t="shared" si="3"/>
        <v>SUBSOLO</v>
      </c>
      <c r="C72" s="284" t="str">
        <f>C71</f>
        <v>Vestiário funcionário (x2)</v>
      </c>
      <c r="D72" s="287" t="s">
        <v>1798</v>
      </c>
      <c r="E72" s="288">
        <v>2</v>
      </c>
      <c r="F72" s="285">
        <v>1500</v>
      </c>
      <c r="G72" s="291" cm="1">
        <f t="array" ref="G72">_xlfn.IFS(AND(B72&lt;&gt;"",C72="",D72=""),SUMPRODUCT($E$26:$E$422,$F$26:$F$422, --($B$26:$B$422=B72)),AND(C72&lt;&gt;"",F72=""),SUMPRODUCT($E$26:$E$422,$F$26:$F$422,--($C$26:$C$422=C72)),AND(D72,F72)&lt;&gt;0,E72*F72)</f>
        <v>3000</v>
      </c>
      <c r="H72" s="286" t="s">
        <v>2040</v>
      </c>
    </row>
    <row r="73" spans="2:8" ht="13.5" customHeight="1" outlineLevel="2" x14ac:dyDescent="0.2">
      <c r="B73" s="277" t="str">
        <f t="shared" si="3"/>
        <v>SUBSOLO</v>
      </c>
      <c r="C73" s="292" t="str">
        <f>C71</f>
        <v>Vestiário funcionário (x2)</v>
      </c>
      <c r="D73" s="287" t="s">
        <v>6712</v>
      </c>
      <c r="E73" s="288">
        <v>2</v>
      </c>
      <c r="F73" s="285">
        <v>56</v>
      </c>
      <c r="G73" s="291" cm="1">
        <f t="array" ref="G73">_xlfn.IFS(AND(B73&lt;&gt;"",C73="",D73=""),SUMPRODUCT($E$26:$E$422,$F$26:$F$422, --($B$26:$B$422=B73)),AND(C73&lt;&gt;"",F73=""),SUMPRODUCT($E$26:$E$422,$F$26:$F$422,--($C$26:$C$422=C73)),AND(D73,F73)&lt;&gt;0,E73*F73)</f>
        <v>112</v>
      </c>
      <c r="H73" s="286" t="s">
        <v>6677</v>
      </c>
    </row>
    <row r="74" spans="2:8" outlineLevel="2" x14ac:dyDescent="0.2">
      <c r="B74" s="277" t="str">
        <f t="shared" si="3"/>
        <v>SUBSOLO</v>
      </c>
      <c r="C74" s="284" t="str">
        <f>C72</f>
        <v>Vestiário funcionário (x2)</v>
      </c>
      <c r="D74" s="287" t="s">
        <v>1800</v>
      </c>
      <c r="E74" s="288">
        <v>2</v>
      </c>
      <c r="F74" s="285">
        <v>700</v>
      </c>
      <c r="G74" s="291" cm="1">
        <f t="array" ref="G74">_xlfn.IFS(AND(B74&lt;&gt;"",C74="",D74=""),SUMPRODUCT($E$26:$E$422,$F$26:$F$422, --($B$26:$B$422=B74)),AND(C74&lt;&gt;"",F74=""),SUMPRODUCT($E$26:$E$422,$F$26:$F$422,--($C$26:$C$422=C74)),AND(D74,F74)&lt;&gt;0,E74*F74)</f>
        <v>1400</v>
      </c>
      <c r="H74" s="286" t="s">
        <v>6677</v>
      </c>
    </row>
    <row r="75" spans="2:8" s="261" customFormat="1" x14ac:dyDescent="0.2">
      <c r="B75" s="271" t="s">
        <v>6628</v>
      </c>
      <c r="C75" s="272"/>
      <c r="D75" s="273"/>
      <c r="E75" s="274"/>
      <c r="F75" s="275"/>
      <c r="G75" s="276" cm="1">
        <f t="array" ref="G75">_xlfn.IFS(AND(B75&lt;&gt;"",C75="",D75=""),SUMPRODUCT($E$26:$E$422,$F$26:$F$422, --($B$26:$B$422=B75)),AND(C75&lt;&gt;"",F75=""),SUMPRODUCT($E$26:$E$422,$F$26:$F$422,--($C$26:$C$422=C75)),AND(D75,F75)&lt;&gt;0,E75*F75)</f>
        <v>934983.27</v>
      </c>
      <c r="H75" s="276"/>
    </row>
    <row r="76" spans="2:8" s="261" customFormat="1" outlineLevel="1" x14ac:dyDescent="0.2">
      <c r="B76" s="277" t="str">
        <f t="shared" ref="B76:B106" si="17">B75</f>
        <v>TÉRREO</v>
      </c>
      <c r="C76" s="278" t="s">
        <v>6700</v>
      </c>
      <c r="D76" s="279" t="s">
        <v>1797</v>
      </c>
      <c r="E76" s="280">
        <v>6.45</v>
      </c>
      <c r="F76" s="281"/>
      <c r="G76" s="282" cm="1">
        <f t="array" ref="G76">_xlfn.IFS(AND(B76&lt;&gt;"",C76="",D76=""),SUMPRODUCT($E$26:$E$422,$F$26:$F$422, --($B$26:$B$422=B76)),AND(C76&lt;&gt;"",F76=""),SUMPRODUCT($E$26:$E$422,$F$26:$F$422,--($C$26:$C$422=C76)),AND(D76,F76)&lt;&gt;0,E76*F76)</f>
        <v>16097</v>
      </c>
      <c r="H76" s="283">
        <f>G76/E76</f>
        <v>2495.6589147286822</v>
      </c>
    </row>
    <row r="77" spans="2:8" outlineLevel="2" x14ac:dyDescent="0.2">
      <c r="B77" s="277" t="str">
        <f t="shared" si="17"/>
        <v>TÉRREO</v>
      </c>
      <c r="C77" s="284" t="str">
        <f t="shared" ref="C77:C82" si="18">C76</f>
        <v>Portaria - térreo</v>
      </c>
      <c r="D77" s="287" t="s">
        <v>2046</v>
      </c>
      <c r="E77" s="288">
        <f>ROUNDUP(E76/10,0)</f>
        <v>1</v>
      </c>
      <c r="F77" s="290">
        <v>250</v>
      </c>
      <c r="G77" s="291" cm="1">
        <f t="array" ref="G77">_xlfn.IFS(AND(B77&lt;&gt;"",C77="",D77=""),SUMPRODUCT($E$26:$E$422,$F$26:$F$422, --($B$26:$B$422=B77)),AND(C77&lt;&gt;"",F77=""),SUMPRODUCT($E$26:$E$422,$F$26:$F$422,--($C$26:$C$422=C77)),AND(D77,F77)&lt;&gt;0,E77*F77)</f>
        <v>250</v>
      </c>
      <c r="H77" s="286" t="s">
        <v>6675</v>
      </c>
    </row>
    <row r="78" spans="2:8" ht="13.5" customHeight="1" outlineLevel="2" x14ac:dyDescent="0.2">
      <c r="B78" s="277" t="str">
        <f t="shared" si="17"/>
        <v>TÉRREO</v>
      </c>
      <c r="C78" s="284" t="str">
        <f t="shared" si="18"/>
        <v>Portaria - térreo</v>
      </c>
      <c r="D78" s="287" t="s">
        <v>6699</v>
      </c>
      <c r="E78" s="288">
        <v>1</v>
      </c>
      <c r="F78" s="285">
        <v>565</v>
      </c>
      <c r="G78" s="291" cm="1">
        <f t="array" ref="G78">_xlfn.IFS(AND(B78&lt;&gt;"",C78="",D78=""),SUMPRODUCT($E$26:$E$422,$F$26:$F$422, --($B$26:$B$422=B78)),AND(C78&lt;&gt;"",F78=""),SUMPRODUCT($E$26:$E$422,$F$26:$F$422,--($C$26:$C$422=C78)),AND(D78,F78)&lt;&gt;0,E78*F78)</f>
        <v>565</v>
      </c>
      <c r="H78" s="286" t="s">
        <v>6674</v>
      </c>
    </row>
    <row r="79" spans="2:8" ht="13.5" customHeight="1" outlineLevel="2" x14ac:dyDescent="0.2">
      <c r="B79" s="277" t="str">
        <f t="shared" si="17"/>
        <v>TÉRREO</v>
      </c>
      <c r="C79" s="284" t="str">
        <f t="shared" si="18"/>
        <v>Portaria - térreo</v>
      </c>
      <c r="D79" s="287" t="s">
        <v>6712</v>
      </c>
      <c r="E79" s="288">
        <v>1</v>
      </c>
      <c r="F79" s="285">
        <v>56</v>
      </c>
      <c r="G79" s="291" cm="1">
        <f t="array" ref="G79">_xlfn.IFS(AND(B79&lt;&gt;"",C79="",D79=""),SUMPRODUCT($E$26:$E$422,$F$26:$F$422, --($B$26:$B$422=B79)),AND(C79&lt;&gt;"",F79=""),SUMPRODUCT($E$26:$E$422,$F$26:$F$422,--($C$26:$C$422=C79)),AND(D79,F79)&lt;&gt;0,E79*F79)</f>
        <v>56</v>
      </c>
      <c r="H79" s="286" t="s">
        <v>6677</v>
      </c>
    </row>
    <row r="80" spans="2:8" ht="13.5" customHeight="1" outlineLevel="2" x14ac:dyDescent="0.2">
      <c r="B80" s="277" t="str">
        <f t="shared" si="17"/>
        <v>TÉRREO</v>
      </c>
      <c r="C80" s="284" t="str">
        <f t="shared" si="18"/>
        <v>Portaria - térreo</v>
      </c>
      <c r="D80" s="287" t="s">
        <v>1799</v>
      </c>
      <c r="E80" s="288">
        <v>4</v>
      </c>
      <c r="F80" s="285">
        <v>3500</v>
      </c>
      <c r="G80" s="291" cm="1">
        <f t="array" ref="G80">_xlfn.IFS(AND(B80&lt;&gt;"",C80="",D80=""),SUMPRODUCT($E$26:$E$422,$F$26:$F$422, --($B$26:$B$422=B80)),AND(C80&lt;&gt;"",F80=""),SUMPRODUCT($E$26:$E$422,$F$26:$F$422,--($C$26:$C$422=C80)),AND(D80,F80)&lt;&gt;0,E80*F80)</f>
        <v>14000</v>
      </c>
      <c r="H80" s="286" t="s">
        <v>2041</v>
      </c>
    </row>
    <row r="81" spans="2:8" outlineLevel="2" x14ac:dyDescent="0.2">
      <c r="B81" s="277" t="str">
        <f t="shared" si="17"/>
        <v>TÉRREO</v>
      </c>
      <c r="C81" s="284" t="str">
        <f t="shared" si="18"/>
        <v>Portaria - térreo</v>
      </c>
      <c r="D81" s="287" t="s">
        <v>6722</v>
      </c>
      <c r="E81" s="288">
        <v>2</v>
      </c>
      <c r="F81" s="285">
        <v>538</v>
      </c>
      <c r="G81" s="291" cm="1">
        <f t="array" ref="G81">_xlfn.IFS(AND(B81&lt;&gt;"",C81="",D81=""),SUMPRODUCT($E$26:$E$422,$F$26:$F$422, --($B$26:$B$422=B81)),AND(C81&lt;&gt;"",F81=""),SUMPRODUCT($E$26:$E$422,$F$26:$F$422,--($C$26:$C$422=C81)),AND(D81,F81)&lt;&gt;0,E81*F81)</f>
        <v>1076</v>
      </c>
      <c r="H81" s="286" t="s">
        <v>2040</v>
      </c>
    </row>
    <row r="82" spans="2:8" outlineLevel="2" x14ac:dyDescent="0.2">
      <c r="B82" s="277" t="str">
        <f t="shared" si="17"/>
        <v>TÉRREO</v>
      </c>
      <c r="C82" s="284" t="str">
        <f t="shared" si="18"/>
        <v>Portaria - térreo</v>
      </c>
      <c r="D82" s="287" t="s">
        <v>6641</v>
      </c>
      <c r="E82" s="288">
        <v>3</v>
      </c>
      <c r="F82" s="285">
        <v>50</v>
      </c>
      <c r="G82" s="291" cm="1">
        <f t="array" ref="G82">_xlfn.IFS(AND(B82&lt;&gt;"",C82="",D82=""),SUMPRODUCT($E$26:$E$422,$F$26:$F$422, --($B$26:$B$422=B82)),AND(C82&lt;&gt;"",F82=""),SUMPRODUCT($E$26:$E$422,$F$26:$F$422,--($C$26:$C$422=C82)),AND(D82,F82)&lt;&gt;0,E82*F82)</f>
        <v>150</v>
      </c>
      <c r="H82" s="286" t="s">
        <v>2040</v>
      </c>
    </row>
    <row r="83" spans="2:8" outlineLevel="1" x14ac:dyDescent="0.2">
      <c r="B83" s="277" t="str">
        <f t="shared" si="17"/>
        <v>TÉRREO</v>
      </c>
      <c r="C83" s="278" t="s">
        <v>6701</v>
      </c>
      <c r="D83" s="279" t="s">
        <v>1797</v>
      </c>
      <c r="E83" s="280">
        <v>1.82</v>
      </c>
      <c r="F83" s="281"/>
      <c r="G83" s="282" cm="1">
        <f t="array" ref="G83">_xlfn.IFS(AND(B83&lt;&gt;"",C83="",D83=""),SUMPRODUCT($E$26:$E$422,$F$26:$F$422, --($B$26:$B$422=B83)),AND(C83&lt;&gt;"",F83=""),SUMPRODUCT($E$26:$E$422,$F$26:$F$422,--($C$26:$C$422=C83)),AND(D83,F83)&lt;&gt;0,E83*F83)</f>
        <v>7856</v>
      </c>
      <c r="H83" s="283">
        <f>G83/E83</f>
        <v>4316.4835164835167</v>
      </c>
    </row>
    <row r="84" spans="2:8" outlineLevel="2" x14ac:dyDescent="0.2">
      <c r="B84" s="277" t="str">
        <f t="shared" si="17"/>
        <v>TÉRREO</v>
      </c>
      <c r="C84" s="292" t="str">
        <f>C83</f>
        <v>WC Portaria</v>
      </c>
      <c r="D84" s="287" t="s">
        <v>6641</v>
      </c>
      <c r="E84" s="288">
        <v>2</v>
      </c>
      <c r="F84" s="285">
        <v>50</v>
      </c>
      <c r="G84" s="291" cm="1">
        <f t="array" ref="G84">_xlfn.IFS(AND(B84&lt;&gt;"",C84="",D84=""),SUMPRODUCT($E$26:$E$422,$F$26:$F$422, --($B$26:$B$422=B84)),AND(C84&lt;&gt;"",F84=""),SUMPRODUCT($E$26:$E$422,$F$26:$F$422,--($C$26:$C$422=C84)),AND(D84,F84)&lt;&gt;0,E84*F84)</f>
        <v>100</v>
      </c>
      <c r="H84" s="286" t="s">
        <v>2040</v>
      </c>
    </row>
    <row r="85" spans="2:8" ht="13.5" customHeight="1" outlineLevel="2" x14ac:dyDescent="0.2">
      <c r="B85" s="277" t="str">
        <f t="shared" si="17"/>
        <v>TÉRREO</v>
      </c>
      <c r="C85" s="292" t="str">
        <f>C83</f>
        <v>WC Portaria</v>
      </c>
      <c r="D85" s="287" t="s">
        <v>6712</v>
      </c>
      <c r="E85" s="288">
        <v>1</v>
      </c>
      <c r="F85" s="285">
        <v>56</v>
      </c>
      <c r="G85" s="291" cm="1">
        <f t="array" ref="G85">_xlfn.IFS(AND(B85&lt;&gt;"",C85="",D85=""),SUMPRODUCT($E$26:$E$422,$F$26:$F$422, --($B$26:$B$422=B85)),AND(C85&lt;&gt;"",F85=""),SUMPRODUCT($E$26:$E$422,$F$26:$F$422,--($C$26:$C$422=C85)),AND(D85,F85)&lt;&gt;0,E85*F85)</f>
        <v>56</v>
      </c>
      <c r="H85" s="286" t="s">
        <v>6677</v>
      </c>
    </row>
    <row r="86" spans="2:8" outlineLevel="2" x14ac:dyDescent="0.2">
      <c r="B86" s="277" t="str">
        <f t="shared" si="17"/>
        <v>TÉRREO</v>
      </c>
      <c r="C86" s="292" t="str">
        <f>C84</f>
        <v>WC Portaria</v>
      </c>
      <c r="D86" s="287" t="s">
        <v>1800</v>
      </c>
      <c r="E86" s="288">
        <v>1</v>
      </c>
      <c r="F86" s="285">
        <v>700</v>
      </c>
      <c r="G86" s="291" cm="1">
        <f t="array" ref="G86">_xlfn.IFS(AND(B86&lt;&gt;"",C86="",D86=""),SUMPRODUCT($E$26:$E$422,$F$26:$F$422, --($B$26:$B$422=B86)),AND(C86&lt;&gt;"",F86=""),SUMPRODUCT($E$26:$E$422,$F$26:$F$422,--($C$26:$C$422=C86)),AND(D86,F86)&lt;&gt;0,E86*F86)</f>
        <v>700</v>
      </c>
      <c r="H86" s="286" t="s">
        <v>6677</v>
      </c>
    </row>
    <row r="87" spans="2:8" ht="13.5" customHeight="1" outlineLevel="2" x14ac:dyDescent="0.2">
      <c r="B87" s="277" t="str">
        <f t="shared" si="17"/>
        <v>TÉRREO</v>
      </c>
      <c r="C87" s="292" t="str">
        <f>C86</f>
        <v>WC Portaria</v>
      </c>
      <c r="D87" s="287" t="s">
        <v>1799</v>
      </c>
      <c r="E87" s="288">
        <v>2</v>
      </c>
      <c r="F87" s="285">
        <v>3500</v>
      </c>
      <c r="G87" s="291" cm="1">
        <f t="array" ref="G87">_xlfn.IFS(AND(B87&lt;&gt;"",C87="",D87=""),SUMPRODUCT($E$26:$E$422,$F$26:$F$422, --($B$26:$B$422=B87)),AND(C87&lt;&gt;"",F87=""),SUMPRODUCT($E$26:$E$422,$F$26:$F$422,--($C$26:$C$422=C87)),AND(D87,F87)&lt;&gt;0,E87*F87)</f>
        <v>7000</v>
      </c>
      <c r="H87" s="286" t="s">
        <v>2041</v>
      </c>
    </row>
    <row r="88" spans="2:8" outlineLevel="1" x14ac:dyDescent="0.2">
      <c r="B88" s="277" t="str">
        <f t="shared" si="17"/>
        <v>TÉRREO</v>
      </c>
      <c r="C88" s="278" t="s">
        <v>6895</v>
      </c>
      <c r="D88" s="279" t="s">
        <v>1797</v>
      </c>
      <c r="E88" s="280">
        <v>6.42</v>
      </c>
      <c r="F88" s="281"/>
      <c r="G88" s="282" cm="1">
        <f t="array" ref="G88">_xlfn.IFS(AND(B88&lt;&gt;"",C88="",D88=""),SUMPRODUCT($E$26:$E$422,$F$26:$F$422, --($B$26:$B$422=B88)),AND(C88&lt;&gt;"",F88=""),SUMPRODUCT($E$26:$E$422,$F$26:$F$422,--($C$26:$C$422=C88)),AND(D88,F88)&lt;&gt;0,E88*F88)</f>
        <v>12156</v>
      </c>
      <c r="H88" s="283">
        <f>G88/E88</f>
        <v>1893.4579439252336</v>
      </c>
    </row>
    <row r="89" spans="2:8" outlineLevel="2" x14ac:dyDescent="0.2">
      <c r="B89" s="277" t="str">
        <f t="shared" si="17"/>
        <v>TÉRREO</v>
      </c>
      <c r="C89" s="292" t="str">
        <f>C88</f>
        <v>WC PNE Hall - Térreo (x2)</v>
      </c>
      <c r="D89" s="287" t="s">
        <v>6641</v>
      </c>
      <c r="E89" s="288">
        <v>4</v>
      </c>
      <c r="F89" s="285">
        <v>50</v>
      </c>
      <c r="G89" s="291" cm="1">
        <f t="array" ref="G89">_xlfn.IFS(AND(B89&lt;&gt;"",C89="",D89=""),SUMPRODUCT($E$26:$E$422,$F$26:$F$422, --($B$26:$B$422=B89)),AND(C89&lt;&gt;"",F89=""),SUMPRODUCT($E$26:$E$422,$F$26:$F$422,--($C$26:$C$422=C89)),AND(D89,F89)&lt;&gt;0,E89*F89)</f>
        <v>200</v>
      </c>
      <c r="H89" s="286" t="s">
        <v>2040</v>
      </c>
    </row>
    <row r="90" spans="2:8" ht="13.5" customHeight="1" outlineLevel="2" x14ac:dyDescent="0.2">
      <c r="B90" s="277" t="str">
        <f t="shared" si="17"/>
        <v>TÉRREO</v>
      </c>
      <c r="C90" s="292" t="str">
        <f>C88</f>
        <v>WC PNE Hall - Térreo (x2)</v>
      </c>
      <c r="D90" s="287" t="s">
        <v>6712</v>
      </c>
      <c r="E90" s="288">
        <v>1</v>
      </c>
      <c r="F90" s="285">
        <v>56</v>
      </c>
      <c r="G90" s="291" cm="1">
        <f t="array" ref="G90">_xlfn.IFS(AND(B90&lt;&gt;"",C90="",D90=""),SUMPRODUCT($E$26:$E$422,$F$26:$F$422, --($B$26:$B$422=B90)),AND(C90&lt;&gt;"",F90=""),SUMPRODUCT($E$26:$E$422,$F$26:$F$422,--($C$26:$C$422=C90)),AND(D90,F90)&lt;&gt;0,E90*F90)</f>
        <v>56</v>
      </c>
      <c r="H90" s="286" t="s">
        <v>6677</v>
      </c>
    </row>
    <row r="91" spans="2:8" outlineLevel="2" x14ac:dyDescent="0.2">
      <c r="B91" s="277" t="str">
        <f t="shared" si="17"/>
        <v>TÉRREO</v>
      </c>
      <c r="C91" s="292" t="str">
        <f>C89</f>
        <v>WC PNE Hall - Térreo (x2)</v>
      </c>
      <c r="D91" s="287" t="s">
        <v>1800</v>
      </c>
      <c r="E91" s="288">
        <v>2</v>
      </c>
      <c r="F91" s="285">
        <v>700</v>
      </c>
      <c r="G91" s="291" cm="1">
        <f t="array" ref="G91">_xlfn.IFS(AND(B91&lt;&gt;"",C91="",D91=""),SUMPRODUCT($E$26:$E$422,$F$26:$F$422, --($B$26:$B$422=B91)),AND(C91&lt;&gt;"",F91=""),SUMPRODUCT($E$26:$E$422,$F$26:$F$422,--($C$26:$C$422=C91)),AND(D91,F91)&lt;&gt;0,E91*F91)</f>
        <v>1400</v>
      </c>
      <c r="H91" s="286" t="s">
        <v>6677</v>
      </c>
    </row>
    <row r="92" spans="2:8" ht="13.5" customHeight="1" outlineLevel="2" x14ac:dyDescent="0.2">
      <c r="B92" s="277" t="str">
        <f t="shared" si="17"/>
        <v>TÉRREO</v>
      </c>
      <c r="C92" s="292" t="str">
        <f>C91</f>
        <v>WC PNE Hall - Térreo (x2)</v>
      </c>
      <c r="D92" s="287" t="s">
        <v>1799</v>
      </c>
      <c r="E92" s="288">
        <v>3</v>
      </c>
      <c r="F92" s="285">
        <v>3500</v>
      </c>
      <c r="G92" s="291" cm="1">
        <f t="array" ref="G92">_xlfn.IFS(AND(B92&lt;&gt;"",C92="",D92=""),SUMPRODUCT($E$26:$E$422,$F$26:$F$422, --($B$26:$B$422=B92)),AND(C92&lt;&gt;"",F92=""),SUMPRODUCT($E$26:$E$422,$F$26:$F$422,--($C$26:$C$422=C92)),AND(D92,F92)&lt;&gt;0,E92*F92)</f>
        <v>10500</v>
      </c>
      <c r="H92" s="286" t="s">
        <v>2041</v>
      </c>
    </row>
    <row r="93" spans="2:8" outlineLevel="1" x14ac:dyDescent="0.2">
      <c r="B93" s="277" t="str">
        <f t="shared" si="17"/>
        <v>TÉRREO</v>
      </c>
      <c r="C93" s="278" t="s">
        <v>6702</v>
      </c>
      <c r="D93" s="279" t="s">
        <v>1797</v>
      </c>
      <c r="E93" s="280">
        <v>63.34</v>
      </c>
      <c r="F93" s="281"/>
      <c r="G93" s="282" cm="1">
        <f t="array" ref="G93">_xlfn.IFS(AND(B93&lt;&gt;"",C93="",D93=""),SUMPRODUCT($E$26:$E$422,$F$26:$F$422, --($B$26:$B$422=B93)),AND(C93&lt;&gt;"",F93=""),SUMPRODUCT($E$26:$E$422,$F$26:$F$422,--($C$26:$C$422=C93)),AND(D93,F93)&lt;&gt;0,E93*F93)</f>
        <v>10063.5</v>
      </c>
      <c r="H93" s="283">
        <f>G93/E93</f>
        <v>158.88064414272182</v>
      </c>
    </row>
    <row r="94" spans="2:8" outlineLevel="2" x14ac:dyDescent="0.2">
      <c r="B94" s="277" t="str">
        <f t="shared" si="17"/>
        <v>TÉRREO</v>
      </c>
      <c r="C94" s="292" t="str">
        <f t="shared" ref="C94:C101" si="19">C93</f>
        <v>Circulação elevadores - térreo</v>
      </c>
      <c r="D94" s="287" t="s">
        <v>2047</v>
      </c>
      <c r="E94" s="288">
        <v>3</v>
      </c>
      <c r="F94" s="285">
        <v>1000</v>
      </c>
      <c r="G94" s="291" cm="1">
        <f t="array" ref="G94">_xlfn.IFS(AND(B94&lt;&gt;"",C94="",D94=""),SUMPRODUCT($E$26:$E$422,$F$26:$F$422, --($B$26:$B$422=B94)),AND(C94&lt;&gt;"",F94=""),SUMPRODUCT($E$26:$E$422,$F$26:$F$422,--($C$26:$C$422=C94)),AND(D94,F94)&lt;&gt;0,E94*F94)</f>
        <v>3000</v>
      </c>
      <c r="H94" s="286" t="s">
        <v>6675</v>
      </c>
    </row>
    <row r="95" spans="2:8" ht="13.5" customHeight="1" outlineLevel="2" x14ac:dyDescent="0.2">
      <c r="B95" s="277" t="str">
        <f t="shared" si="17"/>
        <v>TÉRREO</v>
      </c>
      <c r="C95" s="292" t="str">
        <f t="shared" si="19"/>
        <v>Circulação elevadores - térreo</v>
      </c>
      <c r="D95" s="287" t="s">
        <v>6724</v>
      </c>
      <c r="E95" s="288">
        <v>1</v>
      </c>
      <c r="F95" s="285">
        <v>227</v>
      </c>
      <c r="G95" s="291" cm="1">
        <f t="array" ref="G95">_xlfn.IFS(AND(B95&lt;&gt;"",C95="",D95=""),SUMPRODUCT($E$26:$E$422,$F$26:$F$422, --($B$26:$B$422=B95)),AND(C95&lt;&gt;"",F95=""),SUMPRODUCT($E$26:$E$422,$F$26:$F$422,--($C$26:$C$422=C95)),AND(D95,F95)&lt;&gt;0,E95*F95)</f>
        <v>227</v>
      </c>
      <c r="H95" s="286" t="s">
        <v>2040</v>
      </c>
    </row>
    <row r="96" spans="2:8" ht="13.5" customHeight="1" outlineLevel="2" x14ac:dyDescent="0.2">
      <c r="B96" s="277" t="str">
        <f t="shared" si="17"/>
        <v>TÉRREO</v>
      </c>
      <c r="C96" s="292" t="str">
        <f t="shared" si="19"/>
        <v>Circulação elevadores - térreo</v>
      </c>
      <c r="D96" s="287" t="s">
        <v>6703</v>
      </c>
      <c r="E96" s="288">
        <v>4</v>
      </c>
      <c r="F96" s="285">
        <v>136</v>
      </c>
      <c r="G96" s="291" cm="1">
        <f t="array" ref="G96">_xlfn.IFS(AND(B96&lt;&gt;"",C96="",D96=""),SUMPRODUCT($E$26:$E$422,$F$26:$F$422, --($B$26:$B$422=B96)),AND(C96&lt;&gt;"",F96=""),SUMPRODUCT($E$26:$E$422,$F$26:$F$422,--($C$26:$C$422=C96)),AND(D96,F96)&lt;&gt;0,E96*F96)</f>
        <v>544</v>
      </c>
      <c r="H96" s="286" t="s">
        <v>2040</v>
      </c>
    </row>
    <row r="97" spans="2:8" ht="13.5" customHeight="1" outlineLevel="2" x14ac:dyDescent="0.2">
      <c r="B97" s="277" t="str">
        <f t="shared" si="17"/>
        <v>TÉRREO</v>
      </c>
      <c r="C97" s="292" t="str">
        <f t="shared" si="19"/>
        <v>Circulação elevadores - térreo</v>
      </c>
      <c r="D97" s="287" t="s">
        <v>6712</v>
      </c>
      <c r="E97" s="288">
        <v>1</v>
      </c>
      <c r="F97" s="285">
        <v>56</v>
      </c>
      <c r="G97" s="291" cm="1">
        <f t="array" ref="G97">_xlfn.IFS(AND(B97&lt;&gt;"",C97="",D97=""),SUMPRODUCT($E$26:$E$422,$F$26:$F$422, --($B$26:$B$422=B97)),AND(C97&lt;&gt;"",F97=""),SUMPRODUCT($E$26:$E$422,$F$26:$F$422,--($C$26:$C$422=C97)),AND(D97,F97)&lt;&gt;0,E97*F97)</f>
        <v>56</v>
      </c>
      <c r="H97" s="286" t="s">
        <v>6677</v>
      </c>
    </row>
    <row r="98" spans="2:8" outlineLevel="2" x14ac:dyDescent="0.2">
      <c r="B98" s="277" t="str">
        <f t="shared" si="17"/>
        <v>TÉRREO</v>
      </c>
      <c r="C98" s="292" t="str">
        <f t="shared" si="19"/>
        <v>Circulação elevadores - térreo</v>
      </c>
      <c r="D98" s="287" t="s">
        <v>2043</v>
      </c>
      <c r="E98" s="288">
        <v>1</v>
      </c>
      <c r="F98" s="290">
        <v>200</v>
      </c>
      <c r="G98" s="291" cm="1">
        <f t="array" ref="G98">_xlfn.IFS(AND(B98&lt;&gt;"",C98="",D98=""),SUMPRODUCT($E$26:$E$422,$F$26:$F$422, --($B$26:$B$422=B98)),AND(C98&lt;&gt;"",F98=""),SUMPRODUCT($E$26:$E$422,$F$26:$F$422,--($C$26:$C$422=C98)),AND(D98,F98)&lt;&gt;0,E98*F98)</f>
        <v>200</v>
      </c>
      <c r="H98" s="286" t="s">
        <v>2040</v>
      </c>
    </row>
    <row r="99" spans="2:8" ht="13.5" customHeight="1" outlineLevel="2" x14ac:dyDescent="0.2">
      <c r="B99" s="277" t="str">
        <f t="shared" si="17"/>
        <v>TÉRREO</v>
      </c>
      <c r="C99" s="292" t="str">
        <f t="shared" si="19"/>
        <v>Circulação elevadores - térreo</v>
      </c>
      <c r="D99" s="287" t="s">
        <v>6641</v>
      </c>
      <c r="E99" s="288">
        <v>10</v>
      </c>
      <c r="F99" s="285">
        <v>50</v>
      </c>
      <c r="G99" s="291" cm="1">
        <f t="array" ref="G99">_xlfn.IFS(AND(B99&lt;&gt;"",C99="",D99=""),SUMPRODUCT($E$26:$E$422,$F$26:$F$422, --($B$26:$B$422=B99)),AND(C99&lt;&gt;"",F99=""),SUMPRODUCT($E$26:$E$422,$F$26:$F$422,--($C$26:$C$422=C99)),AND(D99,F99)&lt;&gt;0,E99*F99)</f>
        <v>500</v>
      </c>
      <c r="H99" s="286" t="s">
        <v>2040</v>
      </c>
    </row>
    <row r="100" spans="2:8" outlineLevel="2" x14ac:dyDescent="0.2">
      <c r="B100" s="277" t="str">
        <f t="shared" si="17"/>
        <v>TÉRREO</v>
      </c>
      <c r="C100" s="292" t="str">
        <f t="shared" si="19"/>
        <v>Circulação elevadores - térreo</v>
      </c>
      <c r="D100" s="287" t="s">
        <v>2046</v>
      </c>
      <c r="E100" s="288">
        <v>1</v>
      </c>
      <c r="F100" s="285">
        <v>1500</v>
      </c>
      <c r="G100" s="291" cm="1">
        <f t="array" ref="G100">_xlfn.IFS(AND(B100&lt;&gt;"",C100="",D100=""),SUMPRODUCT($E$26:$E$422,$F$26:$F$422, --($B$26:$B$422=B100)),AND(C100&lt;&gt;"",F100=""),SUMPRODUCT($E$26:$E$422,$F$26:$F$422,--($C$26:$C$422=C100)),AND(D100,F100)&lt;&gt;0,E100*F100)</f>
        <v>1500</v>
      </c>
      <c r="H100" s="286" t="s">
        <v>6675</v>
      </c>
    </row>
    <row r="101" spans="2:8" ht="13.5" customHeight="1" outlineLevel="2" x14ac:dyDescent="0.2">
      <c r="B101" s="277" t="str">
        <f t="shared" si="17"/>
        <v>TÉRREO</v>
      </c>
      <c r="C101" s="292" t="str">
        <f t="shared" si="19"/>
        <v>Circulação elevadores - térreo</v>
      </c>
      <c r="D101" s="287" t="s">
        <v>2044</v>
      </c>
      <c r="E101" s="288">
        <v>3</v>
      </c>
      <c r="F101" s="285">
        <v>1345.5</v>
      </c>
      <c r="G101" s="291" cm="1">
        <f t="array" ref="G101">_xlfn.IFS(AND(B101&lt;&gt;"",C101="",D101=""),SUMPRODUCT($E$26:$E$422,$F$26:$F$422, --($B$26:$B$422=B101)),AND(C101&lt;&gt;"",F101=""),SUMPRODUCT($E$26:$E$422,$F$26:$F$422,--($C$26:$C$422=C101)),AND(D101,F101)&lt;&gt;0,E101*F101)</f>
        <v>4036.5</v>
      </c>
      <c r="H101" s="286" t="s">
        <v>6675</v>
      </c>
    </row>
    <row r="102" spans="2:8" ht="13.5" customHeight="1" outlineLevel="1" x14ac:dyDescent="0.2">
      <c r="B102" s="277" t="str">
        <f t="shared" si="17"/>
        <v>TÉRREO</v>
      </c>
      <c r="C102" s="278" t="s">
        <v>6629</v>
      </c>
      <c r="D102" s="279" t="s">
        <v>1797</v>
      </c>
      <c r="E102" s="280">
        <v>141.97999999999999</v>
      </c>
      <c r="F102" s="281"/>
      <c r="G102" s="282" cm="1">
        <f t="array" ref="G102">_xlfn.IFS(AND(B102&lt;&gt;"",C102="",D102=""),SUMPRODUCT($E$26:$E$422,$F$26:$F$422, --($B$26:$B$422=B102)),AND(C102&lt;&gt;"",F102=""),SUMPRODUCT($E$26:$E$422,$F$26:$F$422,--($C$26:$C$422=C102)),AND(D102,F102)&lt;&gt;0,E102*F102)</f>
        <v>484305.69999999995</v>
      </c>
      <c r="H102" s="283">
        <f>G102/E102</f>
        <v>3411.0839554866884</v>
      </c>
    </row>
    <row r="103" spans="2:8" ht="13.5" customHeight="1" outlineLevel="2" x14ac:dyDescent="0.2">
      <c r="B103" s="277" t="str">
        <f t="shared" si="17"/>
        <v>TÉRREO</v>
      </c>
      <c r="C103" s="292" t="str">
        <f>C102</f>
        <v>Hall + Lounge - Térreo</v>
      </c>
      <c r="D103" s="287" t="s">
        <v>6721</v>
      </c>
      <c r="E103" s="288">
        <v>1</v>
      </c>
      <c r="F103" s="285">
        <v>8008</v>
      </c>
      <c r="G103" s="291" cm="1">
        <f t="array" ref="G103">_xlfn.IFS(AND(B103&lt;&gt;"",C103="",D103=""),SUMPRODUCT($E$26:$E$422,$F$26:$F$422, --($B$26:$B$422=B103)),AND(C103&lt;&gt;"",F103=""),SUMPRODUCT($E$26:$E$422,$F$26:$F$422,--($C$26:$C$422=C103)),AND(D103,F103)&lt;&gt;0,E103*F103)</f>
        <v>8008</v>
      </c>
      <c r="H103" s="286" t="s">
        <v>6673</v>
      </c>
    </row>
    <row r="104" spans="2:8" ht="13.5" customHeight="1" outlineLevel="2" x14ac:dyDescent="0.2">
      <c r="B104" s="277" t="str">
        <f t="shared" si="17"/>
        <v>TÉRREO</v>
      </c>
      <c r="C104" s="292" t="str">
        <f>C102</f>
        <v>Hall + Lounge - Térreo</v>
      </c>
      <c r="D104" s="287" t="s">
        <v>6699</v>
      </c>
      <c r="E104" s="288">
        <v>2</v>
      </c>
      <c r="F104" s="285">
        <v>565</v>
      </c>
      <c r="G104" s="291" cm="1">
        <f t="array" ref="G104">_xlfn.IFS(AND(B104&lt;&gt;"",C104="",D104=""),SUMPRODUCT($E$26:$E$422,$F$26:$F$422, --($B$26:$B$422=B104)),AND(C104&lt;&gt;"",F104=""),SUMPRODUCT($E$26:$E$422,$F$26:$F$422,--($C$26:$C$422=C104)),AND(D104,F104)&lt;&gt;0,E104*F104)</f>
        <v>1130</v>
      </c>
      <c r="H104" s="286" t="s">
        <v>6674</v>
      </c>
    </row>
    <row r="105" spans="2:8" ht="13.5" customHeight="1" outlineLevel="2" x14ac:dyDescent="0.2">
      <c r="B105" s="277" t="str">
        <f t="shared" si="17"/>
        <v>TÉRREO</v>
      </c>
      <c r="C105" s="292" t="str">
        <f>C103</f>
        <v>Hall + Lounge - Térreo</v>
      </c>
      <c r="D105" s="287" t="s">
        <v>6636</v>
      </c>
      <c r="E105" s="288">
        <v>2</v>
      </c>
      <c r="F105" s="285">
        <v>3500</v>
      </c>
      <c r="G105" s="291" cm="1">
        <f t="array" ref="G105">_xlfn.IFS(AND(B105&lt;&gt;"",C105="",D105=""),SUMPRODUCT($E$26:$E$422,$F$26:$F$422, --($B$26:$B$422=B105)),AND(C105&lt;&gt;"",F105=""),SUMPRODUCT($E$26:$E$422,$F$26:$F$422,--($C$26:$C$422=C105)),AND(D105,F105)&lt;&gt;0,E105*F105)</f>
        <v>7000</v>
      </c>
      <c r="H105" s="286" t="s">
        <v>6674</v>
      </c>
    </row>
    <row r="106" spans="2:8" ht="13.5" customHeight="1" outlineLevel="2" x14ac:dyDescent="0.2">
      <c r="B106" s="277" t="str">
        <f t="shared" si="17"/>
        <v>TÉRREO</v>
      </c>
      <c r="C106" s="292" t="str">
        <f t="shared" ref="C106:C111" si="20">C105</f>
        <v>Hall + Lounge - Térreo</v>
      </c>
      <c r="D106" s="287" t="s">
        <v>6632</v>
      </c>
      <c r="E106" s="288">
        <v>8</v>
      </c>
      <c r="F106" s="285">
        <v>650</v>
      </c>
      <c r="G106" s="291" cm="1">
        <f t="array" ref="G106">_xlfn.IFS(AND(B106&lt;&gt;"",C106="",D106=""),SUMPRODUCT($E$26:$E$422,$F$26:$F$422, --($B$26:$B$422=B106)),AND(C106&lt;&gt;"",F106=""),SUMPRODUCT($E$26:$E$422,$F$26:$F$422,--($C$26:$C$422=C106)),AND(D106,F106)&lt;&gt;0,E106*F106)</f>
        <v>5200</v>
      </c>
      <c r="H106" s="286" t="s">
        <v>2040</v>
      </c>
    </row>
    <row r="107" spans="2:8" ht="13.5" customHeight="1" outlineLevel="2" x14ac:dyDescent="0.2">
      <c r="B107" s="277" t="str">
        <f t="shared" ref="B107:B138" si="21">B106</f>
        <v>TÉRREO</v>
      </c>
      <c r="C107" s="292" t="str">
        <f t="shared" si="20"/>
        <v>Hall + Lounge - Térreo</v>
      </c>
      <c r="D107" s="287" t="s">
        <v>1799</v>
      </c>
      <c r="E107" s="288">
        <v>21</v>
      </c>
      <c r="F107" s="285">
        <v>3500</v>
      </c>
      <c r="G107" s="291" cm="1">
        <f t="array" ref="G107">_xlfn.IFS(AND(B107&lt;&gt;"",C107="",D107=""),SUMPRODUCT($E$26:$E$422,$F$26:$F$422, --($B$26:$B$422=B107)),AND(C107&lt;&gt;"",F107=""),SUMPRODUCT($E$26:$E$422,$F$26:$F$422,--($C$26:$C$422=C107)),AND(D107,F107)&lt;&gt;0,E107*F107)</f>
        <v>73500</v>
      </c>
      <c r="H107" s="286" t="s">
        <v>2041</v>
      </c>
    </row>
    <row r="108" spans="2:8" outlineLevel="2" x14ac:dyDescent="0.2">
      <c r="B108" s="277" t="str">
        <f t="shared" si="21"/>
        <v>TÉRREO</v>
      </c>
      <c r="C108" s="292" t="str">
        <f t="shared" si="20"/>
        <v>Hall + Lounge - Térreo</v>
      </c>
      <c r="D108" s="287" t="s">
        <v>2047</v>
      </c>
      <c r="E108" s="288">
        <v>18</v>
      </c>
      <c r="F108" s="285">
        <v>1000</v>
      </c>
      <c r="G108" s="291" cm="1">
        <f t="array" ref="G108">_xlfn.IFS(AND(B108&lt;&gt;"",C108="",D108=""),SUMPRODUCT($E$26:$E$422,$F$26:$F$422, --($B$26:$B$422=B108)),AND(C108&lt;&gt;"",F108=""),SUMPRODUCT($E$26:$E$422,$F$26:$F$422,--($C$26:$C$422=C108)),AND(D108,F108)&lt;&gt;0,E108*F108)</f>
        <v>18000</v>
      </c>
      <c r="H108" s="286" t="s">
        <v>6675</v>
      </c>
    </row>
    <row r="109" spans="2:8" outlineLevel="2" x14ac:dyDescent="0.2">
      <c r="B109" s="277" t="str">
        <f t="shared" si="21"/>
        <v>TÉRREO</v>
      </c>
      <c r="C109" s="292" t="str">
        <f t="shared" si="20"/>
        <v>Hall + Lounge - Térreo</v>
      </c>
      <c r="D109" s="287" t="s">
        <v>2046</v>
      </c>
      <c r="E109" s="288">
        <v>20</v>
      </c>
      <c r="F109" s="285">
        <v>1500</v>
      </c>
      <c r="G109" s="291" cm="1">
        <f t="array" ref="G109">_xlfn.IFS(AND(B109&lt;&gt;"",C109="",D109=""),SUMPRODUCT($E$26:$E$422,$F$26:$F$422, --($B$26:$B$422=B109)),AND(C109&lt;&gt;"",F109=""),SUMPRODUCT($E$26:$E$422,$F$26:$F$422,--($C$26:$C$422=C109)),AND(D109,F109)&lt;&gt;0,E109*F109)</f>
        <v>30000</v>
      </c>
      <c r="H109" s="286" t="s">
        <v>6675</v>
      </c>
    </row>
    <row r="110" spans="2:8" ht="13.5" customHeight="1" outlineLevel="2" x14ac:dyDescent="0.2">
      <c r="B110" s="277" t="str">
        <f t="shared" si="21"/>
        <v>TÉRREO</v>
      </c>
      <c r="C110" s="292" t="str">
        <f t="shared" si="20"/>
        <v>Hall + Lounge - Térreo</v>
      </c>
      <c r="D110" s="287" t="s">
        <v>2044</v>
      </c>
      <c r="E110" s="288">
        <v>5</v>
      </c>
      <c r="F110" s="285">
        <v>1345.5</v>
      </c>
      <c r="G110" s="291" cm="1">
        <f t="array" ref="G110">_xlfn.IFS(AND(B110&lt;&gt;"",C110="",D110=""),SUMPRODUCT($E$26:$E$422,$F$26:$F$422, --($B$26:$B$422=B110)),AND(C110&lt;&gt;"",F110=""),SUMPRODUCT($E$26:$E$422,$F$26:$F$422,--($C$26:$C$422=C110)),AND(D110,F110)&lt;&gt;0,E110*F110)</f>
        <v>6727.5</v>
      </c>
      <c r="H110" s="286" t="s">
        <v>6675</v>
      </c>
    </row>
    <row r="111" spans="2:8" ht="13.5" customHeight="1" outlineLevel="2" x14ac:dyDescent="0.2">
      <c r="B111" s="277" t="str">
        <f t="shared" si="21"/>
        <v>TÉRREO</v>
      </c>
      <c r="C111" s="292" t="str">
        <f t="shared" si="20"/>
        <v>Hall + Lounge - Térreo</v>
      </c>
      <c r="D111" s="287" t="s">
        <v>6630</v>
      </c>
      <c r="E111" s="288">
        <v>1</v>
      </c>
      <c r="F111" s="285">
        <v>54749</v>
      </c>
      <c r="G111" s="291" cm="1">
        <f t="array" ref="G111">_xlfn.IFS(AND(B111&lt;&gt;"",C111="",D111=""),SUMPRODUCT($E$26:$E$422,$F$26:$F$422, --($B$26:$B$422=B111)),AND(C111&lt;&gt;"",F111=""),SUMPRODUCT($E$26:$E$422,$F$26:$F$422,--($C$26:$C$422=C111)),AND(D111,F111)&lt;&gt;0,E111*F111)</f>
        <v>54749</v>
      </c>
      <c r="H111" s="286" t="s">
        <v>6673</v>
      </c>
    </row>
    <row r="112" spans="2:8" ht="13.5" customHeight="1" outlineLevel="2" x14ac:dyDescent="0.2">
      <c r="B112" s="277" t="str">
        <f t="shared" si="21"/>
        <v>TÉRREO</v>
      </c>
      <c r="C112" s="292" t="str">
        <f>C110</f>
        <v>Hall + Lounge - Térreo</v>
      </c>
      <c r="D112" s="287" t="s">
        <v>6723</v>
      </c>
      <c r="E112" s="288">
        <v>1</v>
      </c>
      <c r="F112" s="285">
        <v>4289</v>
      </c>
      <c r="G112" s="291" cm="1">
        <f t="array" ref="G112">_xlfn.IFS(AND(B112&lt;&gt;"",C112="",D112=""),SUMPRODUCT($E$26:$E$422,$F$26:$F$422, --($B$26:$B$422=B112)),AND(C112&lt;&gt;"",F112=""),SUMPRODUCT($E$26:$E$422,$F$26:$F$422,--($C$26:$C$422=C112)),AND(D112,F112)&lt;&gt;0,E112*F112)</f>
        <v>4289</v>
      </c>
      <c r="H112" s="286" t="s">
        <v>2040</v>
      </c>
    </row>
    <row r="113" spans="2:8" ht="13.5" customHeight="1" outlineLevel="2" x14ac:dyDescent="0.2">
      <c r="B113" s="277" t="str">
        <f t="shared" si="21"/>
        <v>TÉRREO</v>
      </c>
      <c r="C113" s="292" t="str">
        <f>C111</f>
        <v>Hall + Lounge - Térreo</v>
      </c>
      <c r="D113" s="287" t="s">
        <v>6631</v>
      </c>
      <c r="E113" s="288">
        <v>1</v>
      </c>
      <c r="F113" s="285">
        <v>8000</v>
      </c>
      <c r="G113" s="291" cm="1">
        <f t="array" ref="G113">_xlfn.IFS(AND(B113&lt;&gt;"",C113="",D113=""),SUMPRODUCT($E$26:$E$422,$F$26:$F$422, --($B$26:$B$422=B113)),AND(C113&lt;&gt;"",F113=""),SUMPRODUCT($E$26:$E$422,$F$26:$F$422,--($C$26:$C$422=C113)),AND(D113,F113)&lt;&gt;0,E113*F113)</f>
        <v>8000</v>
      </c>
      <c r="H113" s="286" t="s">
        <v>2040</v>
      </c>
    </row>
    <row r="114" spans="2:8" ht="13.5" customHeight="1" outlineLevel="2" x14ac:dyDescent="0.2">
      <c r="B114" s="277" t="str">
        <f t="shared" si="21"/>
        <v>TÉRREO</v>
      </c>
      <c r="C114" s="292" t="str">
        <f t="shared" ref="C114:C133" si="22">C113</f>
        <v>Hall + Lounge - Térreo</v>
      </c>
      <c r="D114" s="287" t="s">
        <v>6633</v>
      </c>
      <c r="E114" s="288">
        <v>1</v>
      </c>
      <c r="F114" s="285">
        <v>2507</v>
      </c>
      <c r="G114" s="291" cm="1">
        <f t="array" ref="G114">_xlfn.IFS(AND(B114&lt;&gt;"",C114="",D114=""),SUMPRODUCT($E$26:$E$422,$F$26:$F$422, --($B$26:$B$422=B114)),AND(C114&lt;&gt;"",F114=""),SUMPRODUCT($E$26:$E$422,$F$26:$F$422,--($C$26:$C$422=C114)),AND(D114,F114)&lt;&gt;0,E114*F114)</f>
        <v>2507</v>
      </c>
      <c r="H114" s="286" t="s">
        <v>6676</v>
      </c>
    </row>
    <row r="115" spans="2:8" ht="13.5" customHeight="1" outlineLevel="2" x14ac:dyDescent="0.2">
      <c r="B115" s="277" t="str">
        <f t="shared" si="21"/>
        <v>TÉRREO</v>
      </c>
      <c r="C115" s="292" t="str">
        <f t="shared" si="22"/>
        <v>Hall + Lounge - Térreo</v>
      </c>
      <c r="D115" s="287" t="s">
        <v>6637</v>
      </c>
      <c r="E115" s="288">
        <v>4</v>
      </c>
      <c r="F115" s="285">
        <v>2300</v>
      </c>
      <c r="G115" s="291" cm="1">
        <f t="array" ref="G115">_xlfn.IFS(AND(B115&lt;&gt;"",C115="",D115=""),SUMPRODUCT($E$26:$E$422,$F$26:$F$422, --($B$26:$B$422=B115)),AND(C115&lt;&gt;"",F115=""),SUMPRODUCT($E$26:$E$422,$F$26:$F$422,--($C$26:$C$422=C115)),AND(D115,F115)&lt;&gt;0,E115*F115)</f>
        <v>9200</v>
      </c>
      <c r="H115" s="286" t="s">
        <v>6674</v>
      </c>
    </row>
    <row r="116" spans="2:8" ht="13.5" customHeight="1" outlineLevel="2" x14ac:dyDescent="0.2">
      <c r="B116" s="277" t="str">
        <f t="shared" si="21"/>
        <v>TÉRREO</v>
      </c>
      <c r="C116" s="292" t="str">
        <f t="shared" si="22"/>
        <v>Hall + Lounge - Térreo</v>
      </c>
      <c r="D116" s="287" t="s">
        <v>6635</v>
      </c>
      <c r="E116" s="288">
        <v>2</v>
      </c>
      <c r="F116" s="285">
        <v>3200</v>
      </c>
      <c r="G116" s="291" cm="1">
        <f t="array" ref="G116">_xlfn.IFS(AND(B116&lt;&gt;"",C116="",D116=""),SUMPRODUCT($E$26:$E$422,$F$26:$F$422, --($B$26:$B$422=B116)),AND(C116&lt;&gt;"",F116=""),SUMPRODUCT($E$26:$E$422,$F$26:$F$422,--($C$26:$C$422=C116)),AND(D116,F116)&lt;&gt;0,E116*F116)</f>
        <v>6400</v>
      </c>
      <c r="H116" s="286" t="s">
        <v>6673</v>
      </c>
    </row>
    <row r="117" spans="2:8" ht="13.5" customHeight="1" outlineLevel="2" x14ac:dyDescent="0.2">
      <c r="B117" s="277" t="str">
        <f t="shared" si="21"/>
        <v>TÉRREO</v>
      </c>
      <c r="C117" s="292" t="str">
        <f t="shared" si="22"/>
        <v>Hall + Lounge - Térreo</v>
      </c>
      <c r="D117" s="287" t="s">
        <v>6638</v>
      </c>
      <c r="E117" s="288">
        <v>3</v>
      </c>
      <c r="F117" s="285">
        <v>850</v>
      </c>
      <c r="G117" s="291" cm="1">
        <f t="array" ref="G117">_xlfn.IFS(AND(B117&lt;&gt;"",C117="",D117=""),SUMPRODUCT($E$26:$E$422,$F$26:$F$422, --($B$26:$B$422=B117)),AND(C117&lt;&gt;"",F117=""),SUMPRODUCT($E$26:$E$422,$F$26:$F$422,--($C$26:$C$422=C117)),AND(D117,F117)&lt;&gt;0,E117*F117)</f>
        <v>2550</v>
      </c>
      <c r="H117" s="286" t="s">
        <v>2040</v>
      </c>
    </row>
    <row r="118" spans="2:8" outlineLevel="2" x14ac:dyDescent="0.2">
      <c r="B118" s="277" t="str">
        <f t="shared" si="21"/>
        <v>TÉRREO</v>
      </c>
      <c r="C118" s="292" t="str">
        <f t="shared" si="22"/>
        <v>Hall + Lounge - Térreo</v>
      </c>
      <c r="D118" s="287" t="s">
        <v>6705</v>
      </c>
      <c r="E118" s="288">
        <f>2.69*0.6</f>
        <v>1.6139999999999999</v>
      </c>
      <c r="F118" s="285">
        <v>1800</v>
      </c>
      <c r="G118" s="291" cm="1">
        <f t="array" ref="G118">_xlfn.IFS(AND(B118&lt;&gt;"",C118="",D118=""),SUMPRODUCT($E$26:$E$422,$F$26:$F$422, --($B$26:$B$422=B118)),AND(C118&lt;&gt;"",F118=""),SUMPRODUCT($E$26:$E$422,$F$26:$F$422,--($C$26:$C$422=C118)),AND(D118,F118)&lt;&gt;0,E118*F118)</f>
        <v>2905.2</v>
      </c>
      <c r="H118" s="286" t="s">
        <v>6665</v>
      </c>
    </row>
    <row r="119" spans="2:8" outlineLevel="2" x14ac:dyDescent="0.2">
      <c r="B119" s="277" t="str">
        <f t="shared" si="21"/>
        <v>TÉRREO</v>
      </c>
      <c r="C119" s="292" t="str">
        <f t="shared" si="22"/>
        <v>Hall + Lounge - Térreo</v>
      </c>
      <c r="D119" s="287" t="s">
        <v>6639</v>
      </c>
      <c r="E119" s="288">
        <v>8</v>
      </c>
      <c r="F119" s="285">
        <v>700</v>
      </c>
      <c r="G119" s="291" cm="1">
        <f t="array" ref="G119">_xlfn.IFS(AND(B119&lt;&gt;"",C119="",D119=""),SUMPRODUCT($E$26:$E$422,$F$26:$F$422, --($B$26:$B$422=B119)),AND(C119&lt;&gt;"",F119=""),SUMPRODUCT($E$26:$E$422,$F$26:$F$422,--($C$26:$C$422=C119)),AND(D119,F119)&lt;&gt;0,E119*F119)</f>
        <v>5600</v>
      </c>
      <c r="H119" s="286" t="s">
        <v>6674</v>
      </c>
    </row>
    <row r="120" spans="2:8" outlineLevel="2" x14ac:dyDescent="0.2">
      <c r="B120" s="277" t="str">
        <f t="shared" si="21"/>
        <v>TÉRREO</v>
      </c>
      <c r="C120" s="292" t="str">
        <f t="shared" si="22"/>
        <v>Hall + Lounge - Térreo</v>
      </c>
      <c r="D120" s="287" t="s">
        <v>6640</v>
      </c>
      <c r="E120" s="288">
        <v>1</v>
      </c>
      <c r="F120" s="285">
        <v>25200</v>
      </c>
      <c r="G120" s="291" cm="1">
        <f t="array" ref="G120">_xlfn.IFS(AND(B120&lt;&gt;"",C120="",D120=""),SUMPRODUCT($E$26:$E$422,$F$26:$F$422, --($B$26:$B$422=B120)),AND(C120&lt;&gt;"",F120=""),SUMPRODUCT($E$26:$E$422,$F$26:$F$422,--($C$26:$C$422=C120)),AND(D120,F120)&lt;&gt;0,E120*F120)</f>
        <v>25200</v>
      </c>
      <c r="H120" s="286" t="s">
        <v>6673</v>
      </c>
    </row>
    <row r="121" spans="2:8" ht="13.5" customHeight="1" outlineLevel="2" x14ac:dyDescent="0.2">
      <c r="B121" s="277" t="str">
        <f t="shared" si="21"/>
        <v>TÉRREO</v>
      </c>
      <c r="C121" s="292" t="str">
        <f t="shared" si="22"/>
        <v>Hall + Lounge - Térreo</v>
      </c>
      <c r="D121" s="287" t="s">
        <v>6697</v>
      </c>
      <c r="E121" s="288">
        <v>1</v>
      </c>
      <c r="F121" s="285">
        <v>531</v>
      </c>
      <c r="G121" s="291" cm="1">
        <f t="array" ref="G121">_xlfn.IFS(AND(B121&lt;&gt;"",C121="",D121=""),SUMPRODUCT($E$26:$E$422,$F$26:$F$422, --($B$26:$B$422=B121)),AND(C121&lt;&gt;"",F121=""),SUMPRODUCT($E$26:$E$422,$F$26:$F$422,--($C$26:$C$422=C121)),AND(D121,F121)&lt;&gt;0,E121*F121)</f>
        <v>531</v>
      </c>
      <c r="H121" s="286" t="s">
        <v>2040</v>
      </c>
    </row>
    <row r="122" spans="2:8" ht="13.5" customHeight="1" outlineLevel="2" x14ac:dyDescent="0.2">
      <c r="B122" s="277" t="str">
        <f t="shared" si="21"/>
        <v>TÉRREO</v>
      </c>
      <c r="C122" s="292" t="str">
        <f t="shared" si="22"/>
        <v>Hall + Lounge - Térreo</v>
      </c>
      <c r="D122" s="287" t="s">
        <v>6698</v>
      </c>
      <c r="E122" s="288">
        <v>1</v>
      </c>
      <c r="F122" s="285">
        <v>1462</v>
      </c>
      <c r="G122" s="291" cm="1">
        <f t="array" ref="G122">_xlfn.IFS(AND(B122&lt;&gt;"",C122="",D122=""),SUMPRODUCT($E$26:$E$422,$F$26:$F$422, --($B$26:$B$422=B122)),AND(C122&lt;&gt;"",F122=""),SUMPRODUCT($E$26:$E$422,$F$26:$F$422,--($C$26:$C$422=C122)),AND(D122,F122)&lt;&gt;0,E122*F122)</f>
        <v>1462</v>
      </c>
      <c r="H122" s="286" t="s">
        <v>2040</v>
      </c>
    </row>
    <row r="123" spans="2:8" ht="13.5" customHeight="1" outlineLevel="2" x14ac:dyDescent="0.2">
      <c r="B123" s="277" t="str">
        <f t="shared" si="21"/>
        <v>TÉRREO</v>
      </c>
      <c r="C123" s="292" t="str">
        <f t="shared" si="22"/>
        <v>Hall + Lounge - Térreo</v>
      </c>
      <c r="D123" s="287" t="s">
        <v>6641</v>
      </c>
      <c r="E123" s="288">
        <v>38</v>
      </c>
      <c r="F123" s="285">
        <v>50</v>
      </c>
      <c r="G123" s="291" cm="1">
        <f t="array" ref="G123">_xlfn.IFS(AND(B123&lt;&gt;"",C123="",D123=""),SUMPRODUCT($E$26:$E$422,$F$26:$F$422, --($B$26:$B$422=B123)),AND(C123&lt;&gt;"",F123=""),SUMPRODUCT($E$26:$E$422,$F$26:$F$422,--($C$26:$C$422=C123)),AND(D123,F123)&lt;&gt;0,E123*F123)</f>
        <v>1900</v>
      </c>
      <c r="H123" s="286" t="s">
        <v>2040</v>
      </c>
    </row>
    <row r="124" spans="2:8" ht="13.5" customHeight="1" outlineLevel="2" x14ac:dyDescent="0.2">
      <c r="B124" s="277" t="str">
        <f t="shared" si="21"/>
        <v>TÉRREO</v>
      </c>
      <c r="C124" s="292" t="str">
        <f t="shared" si="22"/>
        <v>Hall + Lounge - Térreo</v>
      </c>
      <c r="D124" s="287" t="s">
        <v>6642</v>
      </c>
      <c r="E124" s="288">
        <v>9</v>
      </c>
      <c r="F124" s="285">
        <v>720</v>
      </c>
      <c r="G124" s="291" cm="1">
        <f t="array" ref="G124">_xlfn.IFS(AND(B124&lt;&gt;"",C124="",D124=""),SUMPRODUCT($E$26:$E$422,$F$26:$F$422, --($B$26:$B$422=B124)),AND(C124&lt;&gt;"",F124=""),SUMPRODUCT($E$26:$E$422,$F$26:$F$422,--($C$26:$C$422=C124)),AND(D124,F124)&lt;&gt;0,E124*F124)</f>
        <v>6480</v>
      </c>
      <c r="H124" s="286" t="s">
        <v>2040</v>
      </c>
    </row>
    <row r="125" spans="2:8" ht="13.5" customHeight="1" outlineLevel="2" x14ac:dyDescent="0.2">
      <c r="B125" s="277" t="str">
        <f t="shared" si="21"/>
        <v>TÉRREO</v>
      </c>
      <c r="C125" s="292" t="str">
        <f t="shared" si="22"/>
        <v>Hall + Lounge - Térreo</v>
      </c>
      <c r="D125" s="287" t="s">
        <v>6634</v>
      </c>
      <c r="E125" s="288">
        <v>3</v>
      </c>
      <c r="F125" s="285">
        <v>3446</v>
      </c>
      <c r="G125" s="291" cm="1">
        <f t="array" ref="G125">_xlfn.IFS(AND(B125&lt;&gt;"",C125="",D125=""),SUMPRODUCT($E$26:$E$422,$F$26:$F$422, --($B$26:$B$422=B125)),AND(C125&lt;&gt;"",F125=""),SUMPRODUCT($E$26:$E$422,$F$26:$F$422,--($C$26:$C$422=C125)),AND(D125,F125)&lt;&gt;0,E125*F125)</f>
        <v>10338</v>
      </c>
      <c r="H125" s="286" t="s">
        <v>6672</v>
      </c>
    </row>
    <row r="126" spans="2:8" ht="13.5" customHeight="1" outlineLevel="2" x14ac:dyDescent="0.2">
      <c r="B126" s="277" t="str">
        <f t="shared" si="21"/>
        <v>TÉRREO</v>
      </c>
      <c r="C126" s="292" t="str">
        <f t="shared" si="22"/>
        <v>Hall + Lounge - Térreo</v>
      </c>
      <c r="D126" s="287" t="s">
        <v>6643</v>
      </c>
      <c r="E126" s="288">
        <v>1</v>
      </c>
      <c r="F126" s="285">
        <v>37000</v>
      </c>
      <c r="G126" s="291" cm="1">
        <f t="array" ref="G126">_xlfn.IFS(AND(B126&lt;&gt;"",C126="",D126=""),SUMPRODUCT($E$26:$E$422,$F$26:$F$422, --($B$26:$B$422=B126)),AND(C126&lt;&gt;"",F126=""),SUMPRODUCT($E$26:$E$422,$F$26:$F$422,--($C$26:$C$422=C126)),AND(D126,F126)&lt;&gt;0,E126*F126)</f>
        <v>37000</v>
      </c>
      <c r="H126" s="286" t="s">
        <v>6673</v>
      </c>
    </row>
    <row r="127" spans="2:8" ht="13.5" customHeight="1" outlineLevel="2" x14ac:dyDescent="0.2">
      <c r="B127" s="277" t="str">
        <f t="shared" si="21"/>
        <v>TÉRREO</v>
      </c>
      <c r="C127" s="292" t="str">
        <f t="shared" si="22"/>
        <v>Hall + Lounge - Térreo</v>
      </c>
      <c r="D127" s="287" t="s">
        <v>2048</v>
      </c>
      <c r="E127" s="288">
        <v>1</v>
      </c>
      <c r="F127" s="285">
        <v>3419.1</v>
      </c>
      <c r="G127" s="291" cm="1">
        <f t="array" ref="G127">_xlfn.IFS(AND(B127&lt;&gt;"",C127="",D127=""),SUMPRODUCT($E$26:$E$422,$F$26:$F$422, --($B$26:$B$422=B127)),AND(C127&lt;&gt;"",F127=""),SUMPRODUCT($E$26:$E$422,$F$26:$F$422,--($C$26:$C$422=C127)),AND(D127,F127)&lt;&gt;0,E127*F127)</f>
        <v>3419.1</v>
      </c>
      <c r="H127" s="286" t="s">
        <v>6670</v>
      </c>
    </row>
    <row r="128" spans="2:8" ht="13.5" customHeight="1" outlineLevel="2" x14ac:dyDescent="0.2">
      <c r="B128" s="277" t="str">
        <f t="shared" si="21"/>
        <v>TÉRREO</v>
      </c>
      <c r="C128" s="292" t="str">
        <f t="shared" si="22"/>
        <v>Hall + Lounge - Térreo</v>
      </c>
      <c r="D128" s="287" t="s">
        <v>6644</v>
      </c>
      <c r="E128" s="288">
        <v>4</v>
      </c>
      <c r="F128" s="285">
        <v>4551</v>
      </c>
      <c r="G128" s="291" cm="1">
        <f t="array" ref="G128">_xlfn.IFS(AND(B128&lt;&gt;"",C128="",D128=""),SUMPRODUCT($E$26:$E$422,$F$26:$F$422, --($B$26:$B$422=B128)),AND(C128&lt;&gt;"",F128=""),SUMPRODUCT($E$26:$E$422,$F$26:$F$422,--($C$26:$C$422=C128)),AND(D128,F128)&lt;&gt;0,E128*F128)</f>
        <v>18204</v>
      </c>
      <c r="H128" s="286" t="s">
        <v>6674</v>
      </c>
    </row>
    <row r="129" spans="2:8" ht="13.5" customHeight="1" outlineLevel="2" x14ac:dyDescent="0.2">
      <c r="B129" s="277" t="str">
        <f t="shared" si="21"/>
        <v>TÉRREO</v>
      </c>
      <c r="C129" s="292" t="str">
        <f t="shared" si="22"/>
        <v>Hall + Lounge - Térreo</v>
      </c>
      <c r="D129" s="287" t="s">
        <v>6688</v>
      </c>
      <c r="E129" s="288">
        <v>5</v>
      </c>
      <c r="F129" s="285">
        <v>3264</v>
      </c>
      <c r="G129" s="291" cm="1">
        <f t="array" ref="G129">_xlfn.IFS(AND(B129&lt;&gt;"",C129="",D129=""),SUMPRODUCT($E$26:$E$422,$F$26:$F$422, --($B$26:$B$422=B129)),AND(C129&lt;&gt;"",F129=""),SUMPRODUCT($E$26:$E$422,$F$26:$F$422,--($C$26:$C$422=C129)),AND(D129,F129)&lt;&gt;0,E129*F129)</f>
        <v>16320</v>
      </c>
      <c r="H129" s="286" t="s">
        <v>6674</v>
      </c>
    </row>
    <row r="130" spans="2:8" outlineLevel="2" x14ac:dyDescent="0.2">
      <c r="B130" s="277" t="str">
        <f t="shared" si="21"/>
        <v>TÉRREO</v>
      </c>
      <c r="C130" s="292" t="str">
        <f t="shared" si="22"/>
        <v>Hall + Lounge - Térreo</v>
      </c>
      <c r="D130" s="287" t="s">
        <v>6689</v>
      </c>
      <c r="E130" s="288">
        <v>2</v>
      </c>
      <c r="F130" s="285">
        <v>1171</v>
      </c>
      <c r="G130" s="291" cm="1">
        <f t="array" ref="G130">_xlfn.IFS(AND(B130&lt;&gt;"",C130="",D130=""),SUMPRODUCT($E$26:$E$422,$F$26:$F$422, --($B$26:$B$422=B130)),AND(C130&lt;&gt;"",F130=""),SUMPRODUCT($E$26:$E$422,$F$26:$F$422,--($C$26:$C$422=C130)),AND(D130,F130)&lt;&gt;0,E130*F130)</f>
        <v>2342</v>
      </c>
      <c r="H130" s="286" t="s">
        <v>6674</v>
      </c>
    </row>
    <row r="131" spans="2:8" outlineLevel="2" x14ac:dyDescent="0.2">
      <c r="B131" s="277" t="str">
        <f t="shared" si="21"/>
        <v>TÉRREO</v>
      </c>
      <c r="C131" s="292" t="str">
        <f t="shared" si="22"/>
        <v>Hall + Lounge - Térreo</v>
      </c>
      <c r="D131" s="287" t="s">
        <v>6690</v>
      </c>
      <c r="E131" s="288">
        <v>2</v>
      </c>
      <c r="F131" s="285">
        <v>6000</v>
      </c>
      <c r="G131" s="291" cm="1">
        <f t="array" ref="G131">_xlfn.IFS(AND(B131&lt;&gt;"",C131="",D131=""),SUMPRODUCT($E$26:$E$422,$F$26:$F$422, --($B$26:$B$422=B131)),AND(C131&lt;&gt;"",F131=""),SUMPRODUCT($E$26:$E$422,$F$26:$F$422,--($C$26:$C$422=C131)),AND(D131,F131)&lt;&gt;0,E131*F131)</f>
        <v>12000</v>
      </c>
      <c r="H131" s="286" t="s">
        <v>6673</v>
      </c>
    </row>
    <row r="132" spans="2:8" ht="13.5" customHeight="1" outlineLevel="2" x14ac:dyDescent="0.2">
      <c r="B132" s="277" t="str">
        <f t="shared" si="21"/>
        <v>TÉRREO</v>
      </c>
      <c r="C132" s="292" t="str">
        <f t="shared" si="22"/>
        <v>Hall + Lounge - Térreo</v>
      </c>
      <c r="D132" s="287" t="s">
        <v>6691</v>
      </c>
      <c r="E132" s="288">
        <v>3</v>
      </c>
      <c r="F132" s="285">
        <v>25000</v>
      </c>
      <c r="G132" s="291" cm="1">
        <f t="array" ref="G132">_xlfn.IFS(AND(B132&lt;&gt;"",C132="",D132=""),SUMPRODUCT($E$26:$E$422,$F$26:$F$422, --($B$26:$B$422=B132)),AND(C132&lt;&gt;"",F132=""),SUMPRODUCT($E$26:$E$422,$F$26:$F$422,--($C$26:$C$422=C132)),AND(D132,F132)&lt;&gt;0,E132*F132)</f>
        <v>75000</v>
      </c>
      <c r="H132" s="286" t="s">
        <v>6673</v>
      </c>
    </row>
    <row r="133" spans="2:8" ht="13.5" customHeight="1" outlineLevel="2" x14ac:dyDescent="0.2">
      <c r="B133" s="277" t="str">
        <f t="shared" si="21"/>
        <v>TÉRREO</v>
      </c>
      <c r="C133" s="292" t="str">
        <f t="shared" si="22"/>
        <v>Hall + Lounge - Térreo</v>
      </c>
      <c r="D133" s="287" t="s">
        <v>2043</v>
      </c>
      <c r="E133" s="288">
        <v>3</v>
      </c>
      <c r="F133" s="290">
        <v>200</v>
      </c>
      <c r="G133" s="291" cm="1">
        <f t="array" ref="G133">_xlfn.IFS(AND(B133&lt;&gt;"",C133="",D133=""),SUMPRODUCT($E$26:$E$422,$F$26:$F$422, --($B$26:$B$422=B133)),AND(C133&lt;&gt;"",F133=""),SUMPRODUCT($E$26:$E$422,$F$26:$F$422,--($C$26:$C$422=C133)),AND(D133,F133)&lt;&gt;0,E133*F133)</f>
        <v>600</v>
      </c>
      <c r="H133" s="286" t="s">
        <v>2040</v>
      </c>
    </row>
    <row r="134" spans="2:8" ht="13.5" customHeight="1" outlineLevel="2" x14ac:dyDescent="0.2">
      <c r="B134" s="277" t="str">
        <f t="shared" si="21"/>
        <v>TÉRREO</v>
      </c>
      <c r="C134" s="292" t="str">
        <f>C132</f>
        <v>Hall + Lounge - Térreo</v>
      </c>
      <c r="D134" s="287" t="s">
        <v>6712</v>
      </c>
      <c r="E134" s="288">
        <v>2</v>
      </c>
      <c r="F134" s="285">
        <v>56</v>
      </c>
      <c r="G134" s="291" cm="1">
        <f t="array" ref="G134">_xlfn.IFS(AND(B134&lt;&gt;"",C134="",D134=""),SUMPRODUCT($E$26:$E$422,$F$26:$F$422, --($B$26:$B$422=B134)),AND(C134&lt;&gt;"",F134=""),SUMPRODUCT($E$26:$E$422,$F$26:$F$422,--($C$26:$C$422=C134)),AND(D134,F134)&lt;&gt;0,E134*F134)</f>
        <v>112</v>
      </c>
      <c r="H134" s="286" t="s">
        <v>6677</v>
      </c>
    </row>
    <row r="135" spans="2:8" ht="13.5" customHeight="1" outlineLevel="2" x14ac:dyDescent="0.2">
      <c r="B135" s="277" t="str">
        <f t="shared" si="21"/>
        <v>TÉRREO</v>
      </c>
      <c r="C135" s="292" t="str">
        <f>C133</f>
        <v>Hall + Lounge - Térreo</v>
      </c>
      <c r="D135" s="287" t="s">
        <v>6692</v>
      </c>
      <c r="E135" s="288">
        <v>2</v>
      </c>
      <c r="F135" s="285">
        <v>569.04999999999995</v>
      </c>
      <c r="G135" s="291" cm="1">
        <f t="array" ref="G135">_xlfn.IFS(AND(B135&lt;&gt;"",C135="",D135=""),SUMPRODUCT($E$26:$E$422,$F$26:$F$422, --($B$26:$B$422=B135)),AND(C135&lt;&gt;"",F135=""),SUMPRODUCT($E$26:$E$422,$F$26:$F$422,--($C$26:$C$422=C135)),AND(D135,F135)&lt;&gt;0,E135*F135)</f>
        <v>1138.0999999999999</v>
      </c>
      <c r="H135" s="286" t="s">
        <v>6677</v>
      </c>
    </row>
    <row r="136" spans="2:8" ht="13.5" customHeight="1" outlineLevel="2" x14ac:dyDescent="0.2">
      <c r="B136" s="277" t="str">
        <f t="shared" si="21"/>
        <v>TÉRREO</v>
      </c>
      <c r="C136" s="292" t="str">
        <f t="shared" ref="C136:C141" si="23">C135</f>
        <v>Hall + Lounge - Térreo</v>
      </c>
      <c r="D136" s="287" t="s">
        <v>6693</v>
      </c>
      <c r="E136" s="288">
        <v>1</v>
      </c>
      <c r="F136" s="285">
        <v>200</v>
      </c>
      <c r="G136" s="291" cm="1">
        <f t="array" ref="G136">_xlfn.IFS(AND(B136&lt;&gt;"",C136="",D136=""),SUMPRODUCT($E$26:$E$422,$F$26:$F$422, --($B$26:$B$422=B136)),AND(C136&lt;&gt;"",F136=""),SUMPRODUCT($E$26:$E$422,$F$26:$F$422,--($C$26:$C$422=C136)),AND(D136,F136)&lt;&gt;0,E136*F136)</f>
        <v>200</v>
      </c>
      <c r="H136" s="286" t="s">
        <v>6677</v>
      </c>
    </row>
    <row r="137" spans="2:8" ht="13.5" customHeight="1" outlineLevel="2" x14ac:dyDescent="0.2">
      <c r="B137" s="277" t="str">
        <f t="shared" si="21"/>
        <v>TÉRREO</v>
      </c>
      <c r="C137" s="292" t="str">
        <f t="shared" si="23"/>
        <v>Hall + Lounge - Térreo</v>
      </c>
      <c r="D137" s="287" t="s">
        <v>6694</v>
      </c>
      <c r="E137" s="288">
        <v>2</v>
      </c>
      <c r="F137" s="285">
        <v>420</v>
      </c>
      <c r="G137" s="291" cm="1">
        <f t="array" ref="G137">_xlfn.IFS(AND(B137&lt;&gt;"",C137="",D137=""),SUMPRODUCT($E$26:$E$422,$F$26:$F$422, --($B$26:$B$422=B137)),AND(C137&lt;&gt;"",F137=""),SUMPRODUCT($E$26:$E$422,$F$26:$F$422,--($C$26:$C$422=C137)),AND(D137,F137)&lt;&gt;0,E137*F137)</f>
        <v>840</v>
      </c>
      <c r="H137" s="286" t="s">
        <v>6677</v>
      </c>
    </row>
    <row r="138" spans="2:8" ht="13.5" customHeight="1" outlineLevel="2" x14ac:dyDescent="0.2">
      <c r="B138" s="277" t="str">
        <f t="shared" si="21"/>
        <v>TÉRREO</v>
      </c>
      <c r="C138" s="292" t="str">
        <f t="shared" si="23"/>
        <v>Hall + Lounge - Térreo</v>
      </c>
      <c r="D138" s="287" t="s">
        <v>6695</v>
      </c>
      <c r="E138" s="288">
        <f>(2.89*0.8)+(1.48*0.8)</f>
        <v>3.4960000000000004</v>
      </c>
      <c r="F138" s="285">
        <v>1800</v>
      </c>
      <c r="G138" s="291" cm="1">
        <f t="array" ref="G138">_xlfn.IFS(AND(B138&lt;&gt;"",C138="",D138=""),SUMPRODUCT($E$26:$E$422,$F$26:$F$422, --($B$26:$B$422=B138)),AND(C138&lt;&gt;"",F138=""),SUMPRODUCT($E$26:$E$422,$F$26:$F$422,--($C$26:$C$422=C138)),AND(D138,F138)&lt;&gt;0,E138*F138)</f>
        <v>6292.8000000000011</v>
      </c>
      <c r="H138" s="286" t="s">
        <v>6665</v>
      </c>
    </row>
    <row r="139" spans="2:8" ht="13.5" customHeight="1" outlineLevel="2" x14ac:dyDescent="0.2">
      <c r="B139" s="277" t="str">
        <f t="shared" ref="B139:C172" si="24">B138</f>
        <v>TÉRREO</v>
      </c>
      <c r="C139" s="292" t="str">
        <f t="shared" si="23"/>
        <v>Hall + Lounge - Térreo</v>
      </c>
      <c r="D139" s="287" t="s">
        <v>6696</v>
      </c>
      <c r="E139" s="288">
        <v>3</v>
      </c>
      <c r="F139" s="285">
        <v>3234</v>
      </c>
      <c r="G139" s="291" cm="1">
        <f t="array" ref="G139">_xlfn.IFS(AND(B139&lt;&gt;"",C139="",D139=""),SUMPRODUCT($E$26:$E$422,$F$26:$F$422, --($B$26:$B$422=B139)),AND(C139&lt;&gt;"",F139=""),SUMPRODUCT($E$26:$E$422,$F$26:$F$422,--($C$26:$C$422=C139)),AND(D139,F139)&lt;&gt;0,E139*F139)</f>
        <v>9702</v>
      </c>
      <c r="H139" s="286" t="s">
        <v>6674</v>
      </c>
    </row>
    <row r="140" spans="2:8" ht="13.5" customHeight="1" outlineLevel="2" x14ac:dyDescent="0.2">
      <c r="B140" s="277" t="str">
        <f t="shared" si="24"/>
        <v>TÉRREO</v>
      </c>
      <c r="C140" s="292" t="str">
        <f t="shared" si="23"/>
        <v>Hall + Lounge - Térreo</v>
      </c>
      <c r="D140" s="287" t="s">
        <v>2051</v>
      </c>
      <c r="E140" s="288">
        <v>1</v>
      </c>
      <c r="F140" s="290">
        <v>1959</v>
      </c>
      <c r="G140" s="291" cm="1">
        <f t="array" ref="G140">_xlfn.IFS(AND(B140&lt;&gt;"",C140="",D140=""),SUMPRODUCT($E$26:$E$422,$F$26:$F$422, --($B$26:$B$422=B140)),AND(C140&lt;&gt;"",F140=""),SUMPRODUCT($E$26:$E$422,$F$26:$F$422,--($C$26:$C$422=C140)),AND(D140,F140)&lt;&gt;0,E140*F140)</f>
        <v>1959</v>
      </c>
      <c r="H140" s="286" t="s">
        <v>6669</v>
      </c>
    </row>
    <row r="141" spans="2:8" ht="13.5" customHeight="1" outlineLevel="2" x14ac:dyDescent="0.2">
      <c r="B141" s="277" t="str">
        <f t="shared" si="24"/>
        <v>TÉRREO</v>
      </c>
      <c r="C141" s="292" t="str">
        <f t="shared" si="23"/>
        <v>Hall + Lounge - Térreo</v>
      </c>
      <c r="D141" s="287" t="s">
        <v>2049</v>
      </c>
      <c r="E141" s="288">
        <v>30</v>
      </c>
      <c r="F141" s="285">
        <v>250</v>
      </c>
      <c r="G141" s="291" cm="1">
        <f t="array" ref="G141">_xlfn.IFS(AND(B141&lt;&gt;"",C141="",D141=""),SUMPRODUCT($E$26:$E$422,$F$26:$F$422, --($B$26:$B$422=B141)),AND(C141&lt;&gt;"",F141=""),SUMPRODUCT($E$26:$E$422,$F$26:$F$422,--($C$26:$C$422=C141)),AND(D141,F141)&lt;&gt;0,E141*F141)</f>
        <v>7500</v>
      </c>
      <c r="H141" s="286" t="s">
        <v>6673</v>
      </c>
    </row>
    <row r="142" spans="2:8" outlineLevel="1" x14ac:dyDescent="0.2">
      <c r="B142" s="277" t="str">
        <f t="shared" si="24"/>
        <v>TÉRREO</v>
      </c>
      <c r="C142" s="278" t="s">
        <v>6704</v>
      </c>
      <c r="D142" s="279" t="s">
        <v>1797</v>
      </c>
      <c r="E142" s="280">
        <v>9.81</v>
      </c>
      <c r="F142" s="281"/>
      <c r="G142" s="282" cm="1">
        <f t="array" ref="G142">_xlfn.IFS(AND(B142&lt;&gt;"",C142="",D142=""),SUMPRODUCT($E$26:$E$422,$F$26:$F$422, --($B$26:$B$422=B142)),AND(C142&lt;&gt;"",F142=""),SUMPRODUCT($E$26:$E$422,$F$26:$F$422,--($C$26:$C$422=C142)),AND(D142,F142)&lt;&gt;0,E142*F142)</f>
        <v>41915</v>
      </c>
      <c r="H142" s="283">
        <f>G142/E142</f>
        <v>4272.6809378185526</v>
      </c>
    </row>
    <row r="143" spans="2:8" outlineLevel="2" x14ac:dyDescent="0.2">
      <c r="B143" s="277" t="str">
        <f t="shared" si="24"/>
        <v>TÉRREO</v>
      </c>
      <c r="C143" s="284" t="str">
        <f>C142</f>
        <v>Vending machine</v>
      </c>
      <c r="D143" s="287" t="s">
        <v>6641</v>
      </c>
      <c r="E143" s="288">
        <v>3</v>
      </c>
      <c r="F143" s="285">
        <v>50</v>
      </c>
      <c r="G143" s="291" cm="1">
        <f t="array" ref="G143">_xlfn.IFS(AND(B143&lt;&gt;"",C143="",D143=""),SUMPRODUCT($E$26:$E$422,$F$26:$F$422, --($B$26:$B$422=B143)),AND(C143&lt;&gt;"",F143=""),SUMPRODUCT($E$26:$E$422,$F$26:$F$422,--($C$26:$C$422=C143)),AND(D143,F143)&lt;&gt;0,E143*F143)</f>
        <v>150</v>
      </c>
      <c r="H143" s="286" t="s">
        <v>2040</v>
      </c>
    </row>
    <row r="144" spans="2:8" ht="13.5" customHeight="1" outlineLevel="2" x14ac:dyDescent="0.2">
      <c r="B144" s="277" t="str">
        <f t="shared" si="24"/>
        <v>TÉRREO</v>
      </c>
      <c r="C144" s="284" t="str">
        <f>C143</f>
        <v>Vending machine</v>
      </c>
      <c r="D144" s="287" t="s">
        <v>6708</v>
      </c>
      <c r="E144" s="288">
        <v>1</v>
      </c>
      <c r="F144" s="290">
        <v>18930</v>
      </c>
      <c r="G144" s="291" cm="1">
        <f t="array" ref="G144">_xlfn.IFS(AND(B144&lt;&gt;"",C144="",D144=""),SUMPRODUCT($E$26:$E$422,$F$26:$F$422, --($B$26:$B$422=B144)),AND(C144&lt;&gt;"",F144=""),SUMPRODUCT($E$26:$E$422,$F$26:$F$422,--($C$26:$C$422=C144)),AND(D144,F144)&lt;&gt;0,E144*F144)</f>
        <v>18930</v>
      </c>
      <c r="H144" s="286" t="s">
        <v>6670</v>
      </c>
    </row>
    <row r="145" spans="2:8" ht="13.5" customHeight="1" outlineLevel="2" x14ac:dyDescent="0.2">
      <c r="B145" s="277" t="str">
        <f t="shared" si="24"/>
        <v>TÉRREO</v>
      </c>
      <c r="C145" s="292" t="str">
        <f>C143</f>
        <v>Vending machine</v>
      </c>
      <c r="D145" s="287" t="s">
        <v>6712</v>
      </c>
      <c r="E145" s="288">
        <v>1</v>
      </c>
      <c r="F145" s="285">
        <v>56</v>
      </c>
      <c r="G145" s="291" cm="1">
        <f t="array" ref="G145">_xlfn.IFS(AND(B145&lt;&gt;"",C145="",D145=""),SUMPRODUCT($E$26:$E$422,$F$26:$F$422, --($B$26:$B$422=B145)),AND(C145&lt;&gt;"",F145=""),SUMPRODUCT($E$26:$E$422,$F$26:$F$422,--($C$26:$C$422=C145)),AND(D145,F145)&lt;&gt;0,E145*F145)</f>
        <v>56</v>
      </c>
      <c r="H145" s="286" t="s">
        <v>6677</v>
      </c>
    </row>
    <row r="146" spans="2:8" ht="13.5" customHeight="1" outlineLevel="2" x14ac:dyDescent="0.2">
      <c r="B146" s="277" t="str">
        <f t="shared" si="24"/>
        <v>TÉRREO</v>
      </c>
      <c r="C146" s="284" t="str">
        <f>C144</f>
        <v>Vending machine</v>
      </c>
      <c r="D146" s="287" t="s">
        <v>2043</v>
      </c>
      <c r="E146" s="288">
        <v>3</v>
      </c>
      <c r="F146" s="290">
        <v>200</v>
      </c>
      <c r="G146" s="291" cm="1">
        <f t="array" ref="G146">_xlfn.IFS(AND(B146&lt;&gt;"",C146="",D146=""),SUMPRODUCT($E$26:$E$422,$F$26:$F$422, --($B$26:$B$422=B146)),AND(C146&lt;&gt;"",F146=""),SUMPRODUCT($E$26:$E$422,$F$26:$F$422,--($C$26:$C$422=C146)),AND(D146,F146)&lt;&gt;0,E146*F146)</f>
        <v>600</v>
      </c>
      <c r="H146" s="286" t="s">
        <v>2040</v>
      </c>
    </row>
    <row r="147" spans="2:8" outlineLevel="2" x14ac:dyDescent="0.2">
      <c r="B147" s="277" t="str">
        <f t="shared" si="24"/>
        <v>TÉRREO</v>
      </c>
      <c r="C147" s="284" t="str">
        <f>C146</f>
        <v>Vending machine</v>
      </c>
      <c r="D147" s="287" t="s">
        <v>6706</v>
      </c>
      <c r="E147" s="288">
        <v>1</v>
      </c>
      <c r="F147" s="290">
        <v>4179</v>
      </c>
      <c r="G147" s="291" cm="1">
        <f t="array" ref="G147">_xlfn.IFS(AND(B147&lt;&gt;"",C147="",D147=""),SUMPRODUCT($E$26:$E$422,$F$26:$F$422, --($B$26:$B$422=B147)),AND(C147&lt;&gt;"",F147=""),SUMPRODUCT($E$26:$E$422,$F$26:$F$422,--($C$26:$C$422=C147)),AND(D147,F147)&lt;&gt;0,E147*F147)</f>
        <v>4179</v>
      </c>
      <c r="H147" s="286" t="s">
        <v>6670</v>
      </c>
    </row>
    <row r="148" spans="2:8" outlineLevel="2" x14ac:dyDescent="0.2">
      <c r="B148" s="277" t="str">
        <f t="shared" si="24"/>
        <v>TÉRREO</v>
      </c>
      <c r="C148" s="284" t="str">
        <f>C147</f>
        <v>Vending machine</v>
      </c>
      <c r="D148" s="287" t="s">
        <v>1799</v>
      </c>
      <c r="E148" s="288">
        <v>4</v>
      </c>
      <c r="F148" s="290">
        <v>3500</v>
      </c>
      <c r="G148" s="291" cm="1">
        <f t="array" ref="G148">_xlfn.IFS(AND(B148&lt;&gt;"",C148="",D148=""),SUMPRODUCT($E$26:$E$422,$F$26:$F$422, --($B$26:$B$422=B148)),AND(C148&lt;&gt;"",F148=""),SUMPRODUCT($E$26:$E$422,$F$26:$F$422,--($C$26:$C$422=C148)),AND(D148,F148)&lt;&gt;0,E148*F148)</f>
        <v>14000</v>
      </c>
      <c r="H148" s="286" t="s">
        <v>2041</v>
      </c>
    </row>
    <row r="149" spans="2:8" outlineLevel="2" x14ac:dyDescent="0.2">
      <c r="B149" s="277" t="str">
        <f t="shared" si="24"/>
        <v>TÉRREO</v>
      </c>
      <c r="C149" s="284" t="str">
        <f>C148</f>
        <v>Vending machine</v>
      </c>
      <c r="D149" s="287" t="s">
        <v>2047</v>
      </c>
      <c r="E149" s="288">
        <v>4</v>
      </c>
      <c r="F149" s="285">
        <v>1000</v>
      </c>
      <c r="G149" s="291" cm="1">
        <f t="array" ref="G149">_xlfn.IFS(AND(B149&lt;&gt;"",C149="",D149=""),SUMPRODUCT($E$26:$E$422,$F$26:$F$422, --($B$26:$B$422=B149)),AND(C149&lt;&gt;"",F149=""),SUMPRODUCT($E$26:$E$422,$F$26:$F$422,--($C$26:$C$422=C149)),AND(D149,F149)&lt;&gt;0,E149*F149)</f>
        <v>4000</v>
      </c>
      <c r="H149" s="286" t="s">
        <v>6675</v>
      </c>
    </row>
    <row r="150" spans="2:8" outlineLevel="1" x14ac:dyDescent="0.2">
      <c r="B150" s="277" t="str">
        <f t="shared" si="24"/>
        <v>TÉRREO</v>
      </c>
      <c r="C150" s="278" t="s">
        <v>6707</v>
      </c>
      <c r="D150" s="279" t="s">
        <v>1797</v>
      </c>
      <c r="E150" s="280">
        <v>5.3</v>
      </c>
      <c r="F150" s="281"/>
      <c r="G150" s="282" cm="1">
        <f t="array" ref="G150">_xlfn.IFS(AND(B150&lt;&gt;"",C150="",D150=""),SUMPRODUCT($E$26:$E$422,$F$26:$F$422, --($B$26:$B$422=B150)),AND(C150&lt;&gt;"",F150=""),SUMPRODUCT($E$26:$E$422,$F$26:$F$422,--($C$26:$C$422=C150)),AND(D150,F150)&lt;&gt;0,E150*F150)</f>
        <v>24126.05</v>
      </c>
      <c r="H150" s="283">
        <f>G150/E150</f>
        <v>4552.0849056603774</v>
      </c>
    </row>
    <row r="151" spans="2:8" outlineLevel="2" x14ac:dyDescent="0.2">
      <c r="B151" s="277" t="str">
        <f t="shared" si="24"/>
        <v>TÉRREO</v>
      </c>
      <c r="C151" s="292" t="str">
        <f>C150</f>
        <v>Copa</v>
      </c>
      <c r="D151" s="287" t="s">
        <v>2045</v>
      </c>
      <c r="E151" s="288">
        <v>1</v>
      </c>
      <c r="F151" s="290">
        <v>4199</v>
      </c>
      <c r="G151" s="291" cm="1">
        <f t="array" ref="G151">_xlfn.IFS(AND(B151&lt;&gt;"",C151="",D151=""),SUMPRODUCT($E$26:$E$422,$F$26:$F$422, --($B$26:$B$422=B151)),AND(C151&lt;&gt;"",F151=""),SUMPRODUCT($E$26:$E$422,$F$26:$F$422,--($C$26:$C$422=C151)),AND(D151,F151)&lt;&gt;0,E151*F151)</f>
        <v>4199</v>
      </c>
      <c r="H151" s="286" t="s">
        <v>6669</v>
      </c>
    </row>
    <row r="152" spans="2:8" ht="13.5" customHeight="1" outlineLevel="2" x14ac:dyDescent="0.2">
      <c r="B152" s="277" t="str">
        <f t="shared" ref="B152" si="25">B151</f>
        <v>TÉRREO</v>
      </c>
      <c r="C152" s="292" t="str">
        <f>C151</f>
        <v>Copa</v>
      </c>
      <c r="D152" s="287" t="s">
        <v>2047</v>
      </c>
      <c r="E152" s="288">
        <v>4</v>
      </c>
      <c r="F152" s="285">
        <v>1000</v>
      </c>
      <c r="G152" s="291" cm="1">
        <f t="array" ref="G152">_xlfn.IFS(AND(B152&lt;&gt;"",C152="",D152=""),SUMPRODUCT($E$26:$E$422,$F$26:$F$422, --($B$26:$B$422=B152)),AND(C152&lt;&gt;"",F152=""),SUMPRODUCT($E$26:$E$422,$F$26:$F$422,--($C$26:$C$422=C152)),AND(D152,F152)&lt;&gt;0,E152*F152)</f>
        <v>4000</v>
      </c>
      <c r="H152" s="286" t="s">
        <v>6675</v>
      </c>
    </row>
    <row r="153" spans="2:8" ht="13.5" customHeight="1" outlineLevel="2" x14ac:dyDescent="0.2">
      <c r="B153" s="277" t="str">
        <f t="shared" ref="B153" si="26">B152</f>
        <v>TÉRREO</v>
      </c>
      <c r="C153" s="284" t="str">
        <f t="shared" si="24"/>
        <v>Copa</v>
      </c>
      <c r="D153" s="287" t="s">
        <v>7354</v>
      </c>
      <c r="E153" s="288">
        <f>(0.45*2)</f>
        <v>0.9</v>
      </c>
      <c r="F153" s="285">
        <v>750</v>
      </c>
      <c r="G153" s="291" cm="1">
        <f t="array" ref="G153">_xlfn.IFS(AND(B153&lt;&gt;"",C153="",D153=""),SUMPRODUCT($E$26:$E$422,$F$26:$F$422, --($B$26:$B$422=B153)),AND(C153&lt;&gt;"",F153=""),SUMPRODUCT($E$26:$E$422,$F$26:$F$422,--($C$26:$C$422=C153)),AND(D153,F153)&lt;&gt;0,E153*F153)</f>
        <v>675</v>
      </c>
      <c r="H153" s="286" t="s">
        <v>6665</v>
      </c>
    </row>
    <row r="154" spans="2:8" ht="13.5" customHeight="1" outlineLevel="2" x14ac:dyDescent="0.2">
      <c r="B154" s="277" t="str">
        <f t="shared" ref="B154" si="27">B153</f>
        <v>TÉRREO</v>
      </c>
      <c r="C154" s="292" t="str">
        <f>C151</f>
        <v>Copa</v>
      </c>
      <c r="D154" s="287" t="s">
        <v>6712</v>
      </c>
      <c r="E154" s="288">
        <v>1</v>
      </c>
      <c r="F154" s="285">
        <v>56</v>
      </c>
      <c r="G154" s="291" cm="1">
        <f t="array" ref="G154">_xlfn.IFS(AND(B154&lt;&gt;"",C154="",D154=""),SUMPRODUCT($E$26:$E$422,$F$26:$F$422, --($B$26:$B$422=B154)),AND(C154&lt;&gt;"",F154=""),SUMPRODUCT($E$26:$E$422,$F$26:$F$422,--($C$26:$C$422=C154)),AND(D154,F154)&lt;&gt;0,E154*F154)</f>
        <v>56</v>
      </c>
      <c r="H154" s="286" t="s">
        <v>6677</v>
      </c>
    </row>
    <row r="155" spans="2:8" outlineLevel="2" x14ac:dyDescent="0.2">
      <c r="B155" s="277" t="str">
        <f t="shared" ref="B155" si="28">B154</f>
        <v>TÉRREO</v>
      </c>
      <c r="C155" s="292" t="str">
        <f>C152</f>
        <v>Copa</v>
      </c>
      <c r="D155" s="287" t="s">
        <v>1799</v>
      </c>
      <c r="E155" s="288">
        <v>3</v>
      </c>
      <c r="F155" s="290">
        <v>3500</v>
      </c>
      <c r="G155" s="291" cm="1">
        <f t="array" ref="G155">_xlfn.IFS(AND(B155&lt;&gt;"",C155="",D155=""),SUMPRODUCT($E$26:$E$422,$F$26:$F$422, --($B$26:$B$422=B155)),AND(C155&lt;&gt;"",F155=""),SUMPRODUCT($E$26:$E$422,$F$26:$F$422,--($C$26:$C$422=C155)),AND(D155,F155)&lt;&gt;0,E155*F155)</f>
        <v>10500</v>
      </c>
      <c r="H155" s="286" t="s">
        <v>2041</v>
      </c>
    </row>
    <row r="156" spans="2:8" ht="13.5" customHeight="1" outlineLevel="2" x14ac:dyDescent="0.2">
      <c r="B156" s="277" t="str">
        <f t="shared" ref="B156" si="29">B155</f>
        <v>TÉRREO</v>
      </c>
      <c r="C156" s="292" t="str">
        <f>C155</f>
        <v>Copa</v>
      </c>
      <c r="D156" s="287" t="s">
        <v>6641</v>
      </c>
      <c r="E156" s="288">
        <v>3</v>
      </c>
      <c r="F156" s="285">
        <v>50</v>
      </c>
      <c r="G156" s="291" cm="1">
        <f t="array" ref="G156">_xlfn.IFS(AND(B156&lt;&gt;"",C156="",D156=""),SUMPRODUCT($E$26:$E$422,$F$26:$F$422, --($B$26:$B$422=B156)),AND(C156&lt;&gt;"",F156=""),SUMPRODUCT($E$26:$E$422,$F$26:$F$422,--($C$26:$C$422=C156)),AND(D156,F156)&lt;&gt;0,E156*F156)</f>
        <v>150</v>
      </c>
      <c r="H156" s="286" t="s">
        <v>2040</v>
      </c>
    </row>
    <row r="157" spans="2:8" outlineLevel="2" x14ac:dyDescent="0.2">
      <c r="B157" s="277" t="str">
        <f t="shared" ref="B157" si="30">B156</f>
        <v>TÉRREO</v>
      </c>
      <c r="C157" s="292" t="str">
        <f>C156</f>
        <v>Copa</v>
      </c>
      <c r="D157" s="287" t="s">
        <v>1803</v>
      </c>
      <c r="E157" s="288">
        <v>1</v>
      </c>
      <c r="F157" s="290">
        <v>2697.05</v>
      </c>
      <c r="G157" s="291" cm="1">
        <f t="array" ref="G157">_xlfn.IFS(AND(B157&lt;&gt;"",C157="",D157=""),SUMPRODUCT($E$26:$E$422,$F$26:$F$422, --($B$26:$B$422=B157)),AND(C157&lt;&gt;"",F157=""),SUMPRODUCT($E$26:$E$422,$F$26:$F$422,--($C$26:$C$422=C157)),AND(D157,F157)&lt;&gt;0,E157*F157)</f>
        <v>2697.05</v>
      </c>
      <c r="H157" s="286" t="s">
        <v>6669</v>
      </c>
    </row>
    <row r="158" spans="2:8" ht="13.5" customHeight="1" outlineLevel="2" x14ac:dyDescent="0.2">
      <c r="B158" s="277" t="str">
        <f t="shared" ref="B158" si="31">B157</f>
        <v>TÉRREO</v>
      </c>
      <c r="C158" s="292" t="str">
        <f>C157</f>
        <v>Copa</v>
      </c>
      <c r="D158" s="287" t="s">
        <v>2050</v>
      </c>
      <c r="E158" s="288">
        <v>1</v>
      </c>
      <c r="F158" s="290">
        <v>1849</v>
      </c>
      <c r="G158" s="291" cm="1">
        <f t="array" ref="G158">_xlfn.IFS(AND(B158&lt;&gt;"",C158="",D158=""),SUMPRODUCT($E$26:$E$422,$F$26:$F$422, --($B$26:$B$422=B158)),AND(C158&lt;&gt;"",F158=""),SUMPRODUCT($E$26:$E$422,$F$26:$F$422,--($C$26:$C$422=C158)),AND(D158,F158)&lt;&gt;0,E158*F158)</f>
        <v>1849</v>
      </c>
      <c r="H158" s="286" t="s">
        <v>6669</v>
      </c>
    </row>
    <row r="159" spans="2:8" outlineLevel="1" x14ac:dyDescent="0.2">
      <c r="B159" s="277" t="str">
        <f t="shared" ref="B159" si="32">B158</f>
        <v>TÉRREO</v>
      </c>
      <c r="C159" s="278" t="s">
        <v>6709</v>
      </c>
      <c r="D159" s="279" t="s">
        <v>1797</v>
      </c>
      <c r="E159" s="280">
        <v>13.64</v>
      </c>
      <c r="F159" s="281"/>
      <c r="G159" s="282" cm="1">
        <f t="array" ref="G159">_xlfn.IFS(AND(B159&lt;&gt;"",C159="",D159=""),SUMPRODUCT($E$26:$E$422,$F$26:$F$422, --($B$26:$B$422=B159)),AND(C159&lt;&gt;"",F159=""),SUMPRODUCT($E$26:$E$422,$F$26:$F$422,--($C$26:$C$422=C159)),AND(D159,F159)&lt;&gt;0,E159*F159)</f>
        <v>95737</v>
      </c>
      <c r="H159" s="283">
        <f>G159/E159</f>
        <v>7018.8416422287391</v>
      </c>
    </row>
    <row r="160" spans="2:8" outlineLevel="2" x14ac:dyDescent="0.2">
      <c r="B160" s="277" t="str">
        <f t="shared" si="24"/>
        <v>TÉRREO</v>
      </c>
      <c r="C160" s="284" t="str">
        <f t="shared" ref="C160:C169" si="33">C159</f>
        <v>Lavanderia</v>
      </c>
      <c r="D160" s="287" t="s">
        <v>6710</v>
      </c>
      <c r="E160" s="288">
        <v>3</v>
      </c>
      <c r="F160" s="285">
        <v>356</v>
      </c>
      <c r="G160" s="291" cm="1">
        <f t="array" ref="G160">_xlfn.IFS(AND(B160&lt;&gt;"",C160="",D160=""),SUMPRODUCT($E$26:$E$422,$F$26:$F$422, --($B$26:$B$422=B160)),AND(C160&lt;&gt;"",F160=""),SUMPRODUCT($E$26:$E$422,$F$26:$F$422,--($C$26:$C$422=C160)),AND(D160,F160)&lt;&gt;0,E160*F160)</f>
        <v>1068</v>
      </c>
      <c r="H160" s="286" t="s">
        <v>2040</v>
      </c>
    </row>
    <row r="161" spans="2:8" ht="13.5" customHeight="1" outlineLevel="2" x14ac:dyDescent="0.2">
      <c r="B161" s="277" t="str">
        <f t="shared" si="24"/>
        <v>TÉRREO</v>
      </c>
      <c r="C161" s="284" t="str">
        <f t="shared" si="33"/>
        <v>Lavanderia</v>
      </c>
      <c r="D161" s="287" t="s">
        <v>6927</v>
      </c>
      <c r="E161" s="288">
        <v>3</v>
      </c>
      <c r="F161" s="290">
        <v>23000</v>
      </c>
      <c r="G161" s="291" cm="1">
        <f t="array" ref="G161">_xlfn.IFS(AND(B161&lt;&gt;"",C161="",D161=""),SUMPRODUCT($E$26:$E$422,$F$26:$F$422, --($B$26:$B$422=B161)),AND(C161&lt;&gt;"",F161=""),SUMPRODUCT($E$26:$E$422,$F$26:$F$422,--($C$26:$C$422=C161)),AND(D161,F161)&lt;&gt;0,E161*F161)</f>
        <v>69000</v>
      </c>
      <c r="H161" s="286" t="s">
        <v>6670</v>
      </c>
    </row>
    <row r="162" spans="2:8" ht="13.5" customHeight="1" outlineLevel="2" x14ac:dyDescent="0.2">
      <c r="B162" s="277" t="str">
        <f t="shared" si="24"/>
        <v>TÉRREO</v>
      </c>
      <c r="C162" s="284" t="str">
        <f t="shared" si="33"/>
        <v>Lavanderia</v>
      </c>
      <c r="D162" s="287" t="s">
        <v>2043</v>
      </c>
      <c r="E162" s="288">
        <v>2</v>
      </c>
      <c r="F162" s="290">
        <v>200</v>
      </c>
      <c r="G162" s="291" cm="1">
        <f t="array" ref="G162">_xlfn.IFS(AND(B162&lt;&gt;"",C162="",D162=""),SUMPRODUCT($E$26:$E$422,$F$26:$F$422, --($B$26:$B$422=B162)),AND(C162&lt;&gt;"",F162=""),SUMPRODUCT($E$26:$E$422,$F$26:$F$422,--($C$26:$C$422=C162)),AND(D162,F162)&lt;&gt;0,E162*F162)</f>
        <v>400</v>
      </c>
      <c r="H162" s="286" t="s">
        <v>2040</v>
      </c>
    </row>
    <row r="163" spans="2:8" ht="13.5" customHeight="1" outlineLevel="2" x14ac:dyDescent="0.2">
      <c r="B163" s="277" t="str">
        <f t="shared" ref="B163" si="34">B162</f>
        <v>TÉRREO</v>
      </c>
      <c r="C163" s="284" t="str">
        <f t="shared" si="33"/>
        <v>Lavanderia</v>
      </c>
      <c r="D163" s="287" t="s">
        <v>7354</v>
      </c>
      <c r="E163" s="288">
        <f>(0.6*1.5)</f>
        <v>0.89999999999999991</v>
      </c>
      <c r="F163" s="285">
        <v>750</v>
      </c>
      <c r="G163" s="291" cm="1">
        <f t="array" ref="G163">_xlfn.IFS(AND(B163&lt;&gt;"",C163="",D163=""),SUMPRODUCT($E$26:$E$422,$F$26:$F$422, --($B$26:$B$422=B163)),AND(C163&lt;&gt;"",F163=""),SUMPRODUCT($E$26:$E$422,$F$26:$F$422,--($C$26:$C$422=C163)),AND(D163,F163)&lt;&gt;0,E163*F163)</f>
        <v>674.99999999999989</v>
      </c>
      <c r="H163" s="286" t="s">
        <v>6665</v>
      </c>
    </row>
    <row r="164" spans="2:8" outlineLevel="2" x14ac:dyDescent="0.2">
      <c r="B164" s="277" t="str">
        <f t="shared" ref="B164" si="35">B163</f>
        <v>TÉRREO</v>
      </c>
      <c r="C164" s="284" t="str">
        <f t="shared" si="33"/>
        <v>Lavanderia</v>
      </c>
      <c r="D164" s="287" t="s">
        <v>1799</v>
      </c>
      <c r="E164" s="288">
        <v>4</v>
      </c>
      <c r="F164" s="290">
        <v>3500</v>
      </c>
      <c r="G164" s="291" cm="1">
        <f t="array" ref="G164">_xlfn.IFS(AND(B164&lt;&gt;"",C164="",D164=""),SUMPRODUCT($E$26:$E$422,$F$26:$F$422, --($B$26:$B$422=B164)),AND(C164&lt;&gt;"",F164=""),SUMPRODUCT($E$26:$E$422,$F$26:$F$422,--($C$26:$C$422=C164)),AND(D164,F164)&lt;&gt;0,E164*F164)</f>
        <v>14000</v>
      </c>
      <c r="H164" s="286" t="s">
        <v>2041</v>
      </c>
    </row>
    <row r="165" spans="2:8" outlineLevel="2" x14ac:dyDescent="0.2">
      <c r="B165" s="277" t="str">
        <f t="shared" ref="B165" si="36">B164</f>
        <v>TÉRREO</v>
      </c>
      <c r="C165" s="284" t="str">
        <f t="shared" si="33"/>
        <v>Lavanderia</v>
      </c>
      <c r="D165" s="287" t="s">
        <v>6711</v>
      </c>
      <c r="E165" s="288">
        <v>1</v>
      </c>
      <c r="F165" s="290">
        <v>1200</v>
      </c>
      <c r="G165" s="291" cm="1">
        <f t="array" ref="G165">_xlfn.IFS(AND(B165&lt;&gt;"",C165="",D165=""),SUMPRODUCT($E$26:$E$422,$F$26:$F$422, --($B$26:$B$422=B165)),AND(C165&lt;&gt;"",F165=""),SUMPRODUCT($E$26:$E$422,$F$26:$F$422,--($C$26:$C$422=C165)),AND(D165,F165)&lt;&gt;0,E165*F165)</f>
        <v>1200</v>
      </c>
      <c r="H165" s="286" t="s">
        <v>6677</v>
      </c>
    </row>
    <row r="166" spans="2:8" ht="13.5" customHeight="1" outlineLevel="2" x14ac:dyDescent="0.2">
      <c r="B166" s="277" t="str">
        <f t="shared" si="24"/>
        <v>TÉRREO</v>
      </c>
      <c r="C166" s="284" t="str">
        <f t="shared" si="33"/>
        <v>Lavanderia</v>
      </c>
      <c r="D166" s="287" t="s">
        <v>6712</v>
      </c>
      <c r="E166" s="288">
        <v>2</v>
      </c>
      <c r="F166" s="285">
        <v>56</v>
      </c>
      <c r="G166" s="291" cm="1">
        <f t="array" ref="G166">_xlfn.IFS(AND(B166&lt;&gt;"",C166="",D166=""),SUMPRODUCT($E$26:$E$422,$F$26:$F$422, --($B$26:$B$422=B166)),AND(C166&lt;&gt;"",F166=""),SUMPRODUCT($E$26:$E$422,$F$26:$F$422,--($C$26:$C$422=C166)),AND(D166,F166)&lt;&gt;0,E166*F166)</f>
        <v>112</v>
      </c>
      <c r="H166" s="286" t="s">
        <v>6677</v>
      </c>
    </row>
    <row r="167" spans="2:8" outlineLevel="2" x14ac:dyDescent="0.2">
      <c r="B167" s="277" t="str">
        <f t="shared" si="24"/>
        <v>TÉRREO</v>
      </c>
      <c r="C167" s="284" t="str">
        <f t="shared" si="33"/>
        <v>Lavanderia</v>
      </c>
      <c r="D167" s="287" t="s">
        <v>6713</v>
      </c>
      <c r="E167" s="288">
        <v>1</v>
      </c>
      <c r="F167" s="290">
        <v>3432</v>
      </c>
      <c r="G167" s="291" cm="1">
        <f t="array" ref="G167">_xlfn.IFS(AND(B167&lt;&gt;"",C167="",D167=""),SUMPRODUCT($E$26:$E$422,$F$26:$F$422, --($B$26:$B$422=B167)),AND(C167&lt;&gt;"",F167=""),SUMPRODUCT($E$26:$E$422,$F$26:$F$422,--($C$26:$C$422=C167)),AND(D167,F167)&lt;&gt;0,E167*F167)</f>
        <v>3432</v>
      </c>
      <c r="H167" s="286" t="s">
        <v>6674</v>
      </c>
    </row>
    <row r="168" spans="2:8" outlineLevel="2" x14ac:dyDescent="0.2">
      <c r="B168" s="277" t="str">
        <f t="shared" si="24"/>
        <v>TÉRREO</v>
      </c>
      <c r="C168" s="284" t="str">
        <f t="shared" si="33"/>
        <v>Lavanderia</v>
      </c>
      <c r="D168" s="287" t="s">
        <v>6638</v>
      </c>
      <c r="E168" s="288">
        <v>1</v>
      </c>
      <c r="F168" s="285">
        <v>850</v>
      </c>
      <c r="G168" s="291" cm="1">
        <f t="array" ref="G168">_xlfn.IFS(AND(B168&lt;&gt;"",C168="",D168=""),SUMPRODUCT($E$26:$E$422,$F$26:$F$422, --($B$26:$B$422=B168)),AND(C168&lt;&gt;"",F168=""),SUMPRODUCT($E$26:$E$422,$F$26:$F$422,--($C$26:$C$422=C168)),AND(D168,F168)&lt;&gt;0,E168*F168)</f>
        <v>850</v>
      </c>
      <c r="H168" s="286" t="s">
        <v>2040</v>
      </c>
    </row>
    <row r="169" spans="2:8" outlineLevel="2" x14ac:dyDescent="0.2">
      <c r="B169" s="277" t="str">
        <f t="shared" si="24"/>
        <v>TÉRREO</v>
      </c>
      <c r="C169" s="284" t="str">
        <f t="shared" si="33"/>
        <v>Lavanderia</v>
      </c>
      <c r="D169" s="287" t="s">
        <v>2047</v>
      </c>
      <c r="E169" s="288">
        <v>5</v>
      </c>
      <c r="F169" s="285">
        <v>1000</v>
      </c>
      <c r="G169" s="291" cm="1">
        <f t="array" ref="G169">_xlfn.IFS(AND(B169&lt;&gt;"",C169="",D169=""),SUMPRODUCT($E$26:$E$422,$F$26:$F$422, --($B$26:$B$422=B169)),AND(C169&lt;&gt;"",F169=""),SUMPRODUCT($E$26:$E$422,$F$26:$F$422,--($C$26:$C$422=C169)),AND(D169,F169)&lt;&gt;0,E169*F169)</f>
        <v>5000</v>
      </c>
      <c r="H169" s="286" t="s">
        <v>6675</v>
      </c>
    </row>
    <row r="170" spans="2:8" outlineLevel="1" x14ac:dyDescent="0.2">
      <c r="B170" s="277" t="str">
        <f t="shared" si="24"/>
        <v>TÉRREO</v>
      </c>
      <c r="C170" s="278" t="s">
        <v>6714</v>
      </c>
      <c r="D170" s="279" t="s">
        <v>1797</v>
      </c>
      <c r="E170" s="280">
        <v>10.4</v>
      </c>
      <c r="F170" s="281"/>
      <c r="G170" s="282" cm="1">
        <f t="array" ref="G170">_xlfn.IFS(AND(B170&lt;&gt;"",C170="",D170=""),SUMPRODUCT($E$26:$E$422,$F$26:$F$422, --($B$26:$B$422=B170)),AND(C170&lt;&gt;"",F170=""),SUMPRODUCT($E$26:$E$422,$F$26:$F$422,--($C$26:$C$422=C170)),AND(D170,F170)&lt;&gt;0,E170*F170)</f>
        <v>28465</v>
      </c>
      <c r="H170" s="283">
        <f>G170/E170</f>
        <v>2737.0192307692305</v>
      </c>
    </row>
    <row r="171" spans="2:8" outlineLevel="2" x14ac:dyDescent="0.2">
      <c r="B171" s="277" t="str">
        <f t="shared" si="24"/>
        <v>TÉRREO</v>
      </c>
      <c r="C171" s="284" t="str">
        <f>C170</f>
        <v>Sala de serviço - Lockers</v>
      </c>
      <c r="D171" s="287" t="s">
        <v>6641</v>
      </c>
      <c r="E171" s="288">
        <v>3</v>
      </c>
      <c r="F171" s="285">
        <v>50</v>
      </c>
      <c r="G171" s="291" cm="1">
        <f t="array" ref="G171">_xlfn.IFS(AND(B171&lt;&gt;"",C171="",D171=""),SUMPRODUCT($E$26:$E$422,$F$26:$F$422, --($B$26:$B$422=B171)),AND(C171&lt;&gt;"",F171=""),SUMPRODUCT($E$26:$E$422,$F$26:$F$422,--($C$26:$C$422=C171)),AND(D171,F171)&lt;&gt;0,E171*F171)</f>
        <v>150</v>
      </c>
      <c r="H171" s="286" t="s">
        <v>2040</v>
      </c>
    </row>
    <row r="172" spans="2:8" ht="13.5" customHeight="1" outlineLevel="2" x14ac:dyDescent="0.2">
      <c r="B172" s="277" t="str">
        <f t="shared" si="24"/>
        <v>TÉRREO</v>
      </c>
      <c r="C172" s="284" t="str">
        <f>C170</f>
        <v>Sala de serviço - Lockers</v>
      </c>
      <c r="D172" s="287" t="s">
        <v>6716</v>
      </c>
      <c r="E172" s="288">
        <v>8</v>
      </c>
      <c r="F172" s="285">
        <v>160</v>
      </c>
      <c r="G172" s="291" cm="1">
        <f t="array" ref="G172">_xlfn.IFS(AND(B172&lt;&gt;"",C172="",D172=""),SUMPRODUCT($E$26:$E$422,$F$26:$F$422, --($B$26:$B$422=B172)),AND(C172&lt;&gt;"",F172=""),SUMPRODUCT($E$26:$E$422,$F$26:$F$422,--($C$26:$C$422=C172)),AND(D172,F172)&lt;&gt;0,E172*F172)</f>
        <v>1280</v>
      </c>
      <c r="H172" s="286" t="s">
        <v>6677</v>
      </c>
    </row>
    <row r="173" spans="2:8" ht="13.5" customHeight="1" outlineLevel="2" x14ac:dyDescent="0.2">
      <c r="B173" s="277" t="str">
        <f t="shared" ref="B173:B204" si="37">B172</f>
        <v>TÉRREO</v>
      </c>
      <c r="C173" s="284" t="str">
        <f>C171</f>
        <v>Sala de serviço - Lockers</v>
      </c>
      <c r="D173" s="287" t="s">
        <v>6712</v>
      </c>
      <c r="E173" s="288">
        <v>1</v>
      </c>
      <c r="F173" s="285">
        <v>56</v>
      </c>
      <c r="G173" s="291" cm="1">
        <f t="array" ref="G173">_xlfn.IFS(AND(B173&lt;&gt;"",C173="",D173=""),SUMPRODUCT($E$26:$E$422,$F$26:$F$422, --($B$26:$B$422=B173)),AND(C173&lt;&gt;"",F173=""),SUMPRODUCT($E$26:$E$422,$F$26:$F$422,--($C$26:$C$422=C173)),AND(D173,F173)&lt;&gt;0,E173*F173)</f>
        <v>56</v>
      </c>
      <c r="H173" s="286" t="s">
        <v>6677</v>
      </c>
    </row>
    <row r="174" spans="2:8" ht="13.5" customHeight="1" outlineLevel="2" x14ac:dyDescent="0.2">
      <c r="B174" s="277" t="str">
        <f t="shared" si="37"/>
        <v>TÉRREO</v>
      </c>
      <c r="C174" s="284" t="str">
        <f t="shared" ref="C174:C179" si="38">C173</f>
        <v>Sala de serviço - Lockers</v>
      </c>
      <c r="D174" s="287" t="s">
        <v>2043</v>
      </c>
      <c r="E174" s="288">
        <v>1</v>
      </c>
      <c r="F174" s="290">
        <v>200</v>
      </c>
      <c r="G174" s="291" cm="1">
        <f t="array" ref="G174">_xlfn.IFS(AND(B174&lt;&gt;"",C174="",D174=""),SUMPRODUCT($E$26:$E$422,$F$26:$F$422, --($B$26:$B$422=B174)),AND(C174&lt;&gt;"",F174=""),SUMPRODUCT($E$26:$E$422,$F$26:$F$422,--($C$26:$C$422=C174)),AND(D174,F174)&lt;&gt;0,E174*F174)</f>
        <v>200</v>
      </c>
      <c r="H174" s="286" t="s">
        <v>2040</v>
      </c>
    </row>
    <row r="175" spans="2:8" outlineLevel="2" x14ac:dyDescent="0.2">
      <c r="B175" s="277" t="str">
        <f t="shared" si="37"/>
        <v>TÉRREO</v>
      </c>
      <c r="C175" s="284" t="str">
        <f t="shared" si="38"/>
        <v>Sala de serviço - Lockers</v>
      </c>
      <c r="D175" s="287" t="s">
        <v>6715</v>
      </c>
      <c r="E175" s="288">
        <v>1</v>
      </c>
      <c r="F175" s="285">
        <v>1500</v>
      </c>
      <c r="G175" s="291" cm="1">
        <f t="array" ref="G175">_xlfn.IFS(AND(B175&lt;&gt;"",C175="",D175=""),SUMPRODUCT($E$26:$E$422,$F$26:$F$422, --($B$26:$B$422=B175)),AND(C175&lt;&gt;"",F175=""),SUMPRODUCT($E$26:$E$422,$F$26:$F$422,--($C$26:$C$422=C175)),AND(D175,F175)&lt;&gt;0,E175*F175)</f>
        <v>1500</v>
      </c>
      <c r="H175" s="286" t="s">
        <v>2040</v>
      </c>
    </row>
    <row r="176" spans="2:8" outlineLevel="2" x14ac:dyDescent="0.2">
      <c r="B176" s="277" t="str">
        <f t="shared" si="37"/>
        <v>TÉRREO</v>
      </c>
      <c r="C176" s="284" t="str">
        <f t="shared" si="38"/>
        <v>Sala de serviço - Lockers</v>
      </c>
      <c r="D176" s="287" t="s">
        <v>6706</v>
      </c>
      <c r="E176" s="288">
        <v>1</v>
      </c>
      <c r="F176" s="290">
        <v>4179</v>
      </c>
      <c r="G176" s="291" cm="1">
        <f t="array" ref="G176">_xlfn.IFS(AND(B176&lt;&gt;"",C176="",D176=""),SUMPRODUCT($E$26:$E$422,$F$26:$F$422, --($B$26:$B$422=B176)),AND(C176&lt;&gt;"",F176=""),SUMPRODUCT($E$26:$E$422,$F$26:$F$422,--($C$26:$C$422=C176)),AND(D176,F176)&lt;&gt;0,E176*F176)</f>
        <v>4179</v>
      </c>
      <c r="H176" s="286" t="s">
        <v>6670</v>
      </c>
    </row>
    <row r="177" spans="2:8" ht="13.5" customHeight="1" outlineLevel="2" x14ac:dyDescent="0.2">
      <c r="B177" s="277" t="str">
        <f t="shared" si="37"/>
        <v>TÉRREO</v>
      </c>
      <c r="C177" s="284" t="str">
        <f t="shared" si="38"/>
        <v>Sala de serviço - Lockers</v>
      </c>
      <c r="D177" s="287" t="s">
        <v>6632</v>
      </c>
      <c r="E177" s="288">
        <v>4</v>
      </c>
      <c r="F177" s="285">
        <v>650</v>
      </c>
      <c r="G177" s="291" cm="1">
        <f t="array" ref="G177">_xlfn.IFS(AND(B177&lt;&gt;"",C177="",D177=""),SUMPRODUCT($E$26:$E$422,$F$26:$F$422, --($B$26:$B$422=B177)),AND(C177&lt;&gt;"",F177=""),SUMPRODUCT($E$26:$E$422,$F$26:$F$422,--($C$26:$C$422=C177)),AND(D177,F177)&lt;&gt;0,E177*F177)</f>
        <v>2600</v>
      </c>
      <c r="H177" s="286" t="s">
        <v>6674</v>
      </c>
    </row>
    <row r="178" spans="2:8" outlineLevel="2" x14ac:dyDescent="0.2">
      <c r="B178" s="277" t="str">
        <f t="shared" si="37"/>
        <v>TÉRREO</v>
      </c>
      <c r="C178" s="284" t="str">
        <f t="shared" si="38"/>
        <v>Sala de serviço - Lockers</v>
      </c>
      <c r="D178" s="287" t="s">
        <v>1799</v>
      </c>
      <c r="E178" s="288">
        <v>5</v>
      </c>
      <c r="F178" s="290">
        <v>3500</v>
      </c>
      <c r="G178" s="291" cm="1">
        <f t="array" ref="G178">_xlfn.IFS(AND(B178&lt;&gt;"",C178="",D178=""),SUMPRODUCT($E$26:$E$422,$F$26:$F$422, --($B$26:$B$422=B178)),AND(C178&lt;&gt;"",F178=""),SUMPRODUCT($E$26:$E$422,$F$26:$F$422,--($C$26:$C$422=C178)),AND(D178,F178)&lt;&gt;0,E178*F178)</f>
        <v>17500</v>
      </c>
      <c r="H178" s="286" t="s">
        <v>2041</v>
      </c>
    </row>
    <row r="179" spans="2:8" outlineLevel="2" x14ac:dyDescent="0.2">
      <c r="B179" s="277" t="str">
        <f t="shared" si="37"/>
        <v>TÉRREO</v>
      </c>
      <c r="C179" s="284" t="str">
        <f t="shared" si="38"/>
        <v>Sala de serviço - Lockers</v>
      </c>
      <c r="D179" s="287" t="s">
        <v>2047</v>
      </c>
      <c r="E179" s="288">
        <v>1</v>
      </c>
      <c r="F179" s="285">
        <v>1000</v>
      </c>
      <c r="G179" s="291" cm="1">
        <f t="array" ref="G179">_xlfn.IFS(AND(B179&lt;&gt;"",C179="",D179=""),SUMPRODUCT($E$26:$E$422,$F$26:$F$422, --($B$26:$B$422=B179)),AND(C179&lt;&gt;"",F179=""),SUMPRODUCT($E$26:$E$422,$F$26:$F$422,--($C$26:$C$422=C179)),AND(D179,F179)&lt;&gt;0,E179*F179)</f>
        <v>1000</v>
      </c>
      <c r="H179" s="286" t="s">
        <v>6675</v>
      </c>
    </row>
    <row r="180" spans="2:8" ht="13.5" customHeight="1" outlineLevel="1" x14ac:dyDescent="0.2">
      <c r="B180" s="277" t="str">
        <f t="shared" si="37"/>
        <v>TÉRREO</v>
      </c>
      <c r="C180" s="278" t="s">
        <v>6717</v>
      </c>
      <c r="D180" s="279" t="s">
        <v>1797</v>
      </c>
      <c r="E180" s="280">
        <v>17</v>
      </c>
      <c r="F180" s="281"/>
      <c r="G180" s="282" cm="1">
        <f t="array" ref="G180">_xlfn.IFS(AND(B180&lt;&gt;"",C180="",D180=""),SUMPRODUCT($E$26:$E$422,$F$26:$F$422, --($B$26:$B$422=B180)),AND(C180&lt;&gt;"",F180=""),SUMPRODUCT($E$26:$E$422,$F$26:$F$422,--($C$26:$C$422=C180)),AND(D180,F180)&lt;&gt;0,E180*F180)</f>
        <v>104716.02</v>
      </c>
      <c r="H180" s="283">
        <f>G180/E180</f>
        <v>6159.7658823529418</v>
      </c>
    </row>
    <row r="181" spans="2:8" ht="13.5" customHeight="1" outlineLevel="2" x14ac:dyDescent="0.2">
      <c r="B181" s="277" t="str">
        <f t="shared" si="37"/>
        <v>TÉRREO</v>
      </c>
      <c r="C181" s="292" t="str">
        <f>C180</f>
        <v>Sala de reunião</v>
      </c>
      <c r="D181" s="287" t="s">
        <v>6718</v>
      </c>
      <c r="E181" s="288">
        <v>6</v>
      </c>
      <c r="F181" s="285">
        <v>2921</v>
      </c>
      <c r="G181" s="291" cm="1">
        <f t="array" ref="G181">_xlfn.IFS(AND(B181&lt;&gt;"",C181="",D181=""),SUMPRODUCT($E$26:$E$422,$F$26:$F$422, --($B$26:$B$422=B181)),AND(C181&lt;&gt;"",F181=""),SUMPRODUCT($E$26:$E$422,$F$26:$F$422,--($C$26:$C$422=C181)),AND(D181,F181)&lt;&gt;0,E181*F181)</f>
        <v>17526</v>
      </c>
      <c r="H181" s="286" t="s">
        <v>6674</v>
      </c>
    </row>
    <row r="182" spans="2:8" ht="13.5" customHeight="1" outlineLevel="2" x14ac:dyDescent="0.2">
      <c r="B182" s="277" t="str">
        <f t="shared" si="37"/>
        <v>TÉRREO</v>
      </c>
      <c r="C182" s="292" t="str">
        <f>C181</f>
        <v>Sala de reunião</v>
      </c>
      <c r="D182" s="287" t="s">
        <v>6719</v>
      </c>
      <c r="E182" s="288">
        <v>1</v>
      </c>
      <c r="F182" s="285">
        <v>3544</v>
      </c>
      <c r="G182" s="291" cm="1">
        <f t="array" ref="G182">_xlfn.IFS(AND(B182&lt;&gt;"",C182="",D182=""),SUMPRODUCT($E$26:$E$422,$F$26:$F$422, --($B$26:$B$422=B182)),AND(C182&lt;&gt;"",F182=""),SUMPRODUCT($E$26:$E$422,$F$26:$F$422,--($C$26:$C$422=C182)),AND(D182,F182)&lt;&gt;0,E182*F182)</f>
        <v>3544</v>
      </c>
      <c r="H182" s="286" t="s">
        <v>6674</v>
      </c>
    </row>
    <row r="183" spans="2:8" ht="13.5" customHeight="1" outlineLevel="2" x14ac:dyDescent="0.2">
      <c r="B183" s="277" t="str">
        <f t="shared" si="37"/>
        <v>TÉRREO</v>
      </c>
      <c r="C183" s="292" t="str">
        <f>C182</f>
        <v>Sala de reunião</v>
      </c>
      <c r="D183" s="287" t="s">
        <v>1799</v>
      </c>
      <c r="E183" s="288">
        <v>15</v>
      </c>
      <c r="F183" s="285">
        <v>3500</v>
      </c>
      <c r="G183" s="291" cm="1">
        <f t="array" ref="G183">_xlfn.IFS(AND(B183&lt;&gt;"",C183="",D183=""),SUMPRODUCT($E$26:$E$422,$F$26:$F$422, --($B$26:$B$422=B183)),AND(C183&lt;&gt;"",F183=""),SUMPRODUCT($E$26:$E$422,$F$26:$F$422,--($C$26:$C$422=C183)),AND(D183,F183)&lt;&gt;0,E183*F183)</f>
        <v>52500</v>
      </c>
      <c r="H183" s="286" t="s">
        <v>2041</v>
      </c>
    </row>
    <row r="184" spans="2:8" outlineLevel="2" x14ac:dyDescent="0.2">
      <c r="B184" s="277" t="str">
        <f t="shared" si="37"/>
        <v>TÉRREO</v>
      </c>
      <c r="C184" s="292" t="str">
        <f>C183</f>
        <v>Sala de reunião</v>
      </c>
      <c r="D184" s="287" t="s">
        <v>2047</v>
      </c>
      <c r="E184" s="288">
        <v>6</v>
      </c>
      <c r="F184" s="285">
        <v>1000</v>
      </c>
      <c r="G184" s="291" cm="1">
        <f t="array" ref="G184">_xlfn.IFS(AND(B184&lt;&gt;"",C184="",D184=""),SUMPRODUCT($E$26:$E$422,$F$26:$F$422, --($B$26:$B$422=B184)),AND(C184&lt;&gt;"",F184=""),SUMPRODUCT($E$26:$E$422,$F$26:$F$422,--($C$26:$C$422=C184)),AND(D184,F184)&lt;&gt;0,E184*F184)</f>
        <v>6000</v>
      </c>
      <c r="H184" s="286" t="s">
        <v>6675</v>
      </c>
    </row>
    <row r="185" spans="2:8" outlineLevel="2" x14ac:dyDescent="0.2">
      <c r="B185" s="277" t="str">
        <f t="shared" si="37"/>
        <v>TÉRREO</v>
      </c>
      <c r="C185" s="292" t="str">
        <f>C184</f>
        <v>Sala de reunião</v>
      </c>
      <c r="D185" s="287" t="s">
        <v>2046</v>
      </c>
      <c r="E185" s="288">
        <v>10</v>
      </c>
      <c r="F185" s="285">
        <v>1500</v>
      </c>
      <c r="G185" s="291" cm="1">
        <f t="array" ref="G185">_xlfn.IFS(AND(B185&lt;&gt;"",C185="",D185=""),SUMPRODUCT($E$26:$E$422,$F$26:$F$422, --($B$26:$B$422=B185)),AND(C185&lt;&gt;"",F185=""),SUMPRODUCT($E$26:$E$422,$F$26:$F$422,--($C$26:$C$422=C185)),AND(D185,F185)&lt;&gt;0,E185*F185)</f>
        <v>15000</v>
      </c>
      <c r="H185" s="286" t="s">
        <v>6675</v>
      </c>
    </row>
    <row r="186" spans="2:8" ht="13.5" customHeight="1" outlineLevel="2" x14ac:dyDescent="0.2">
      <c r="B186" s="277" t="str">
        <f t="shared" si="37"/>
        <v>TÉRREO</v>
      </c>
      <c r="C186" s="292" t="str">
        <f>C184</f>
        <v>Sala de reunião</v>
      </c>
      <c r="D186" s="287" t="s">
        <v>6734</v>
      </c>
      <c r="E186" s="288">
        <v>1</v>
      </c>
      <c r="F186" s="290">
        <v>360</v>
      </c>
      <c r="G186" s="291" cm="1">
        <f t="array" ref="G186">_xlfn.IFS(AND(B186&lt;&gt;"",C186="",D186=""),SUMPRODUCT($E$26:$E$422,$F$26:$F$422, --($B$26:$B$422=B186)),AND(C186&lt;&gt;"",F186=""),SUMPRODUCT($E$26:$E$422,$F$26:$F$422,--($C$26:$C$422=C186)),AND(D186,F186)&lt;&gt;0,E186*F186)</f>
        <v>360</v>
      </c>
      <c r="H186" s="286" t="s">
        <v>6669</v>
      </c>
    </row>
    <row r="187" spans="2:8" ht="13.5" customHeight="1" outlineLevel="2" x14ac:dyDescent="0.2">
      <c r="B187" s="277" t="str">
        <f t="shared" si="37"/>
        <v>TÉRREO</v>
      </c>
      <c r="C187" s="292" t="str">
        <f>C184</f>
        <v>Sala de reunião</v>
      </c>
      <c r="D187" s="287" t="s">
        <v>6735</v>
      </c>
      <c r="E187" s="288">
        <v>1</v>
      </c>
      <c r="F187" s="290">
        <v>1349</v>
      </c>
      <c r="G187" s="291" cm="1">
        <f t="array" ref="G187">_xlfn.IFS(AND(B187&lt;&gt;"",C187="",D187=""),SUMPRODUCT($E$26:$E$422,$F$26:$F$422, --($B$26:$B$422=B187)),AND(C187&lt;&gt;"",F187=""),SUMPRODUCT($E$26:$E$422,$F$26:$F$422,--($C$26:$C$422=C187)),AND(D187,F187)&lt;&gt;0,E187*F187)</f>
        <v>1349</v>
      </c>
      <c r="H187" s="286" t="s">
        <v>6677</v>
      </c>
    </row>
    <row r="188" spans="2:8" ht="13.5" customHeight="1" outlineLevel="2" x14ac:dyDescent="0.2">
      <c r="B188" s="277" t="str">
        <f t="shared" si="37"/>
        <v>TÉRREO</v>
      </c>
      <c r="C188" s="292" t="str">
        <f>C185</f>
        <v>Sala de reunião</v>
      </c>
      <c r="D188" s="287" t="s">
        <v>2051</v>
      </c>
      <c r="E188" s="288">
        <v>1</v>
      </c>
      <c r="F188" s="290">
        <v>1959</v>
      </c>
      <c r="G188" s="291" cm="1">
        <f t="array" ref="G188">_xlfn.IFS(AND(B188&lt;&gt;"",C188="",D188=""),SUMPRODUCT($E$26:$E$422,$F$26:$F$422, --($B$26:$B$422=B188)),AND(C188&lt;&gt;"",F188=""),SUMPRODUCT($E$26:$E$422,$F$26:$F$422,--($C$26:$C$422=C188)),AND(D188,F188)&lt;&gt;0,E188*F188)</f>
        <v>1959</v>
      </c>
      <c r="H188" s="286" t="s">
        <v>6669</v>
      </c>
    </row>
    <row r="189" spans="2:8" ht="13.5" customHeight="1" outlineLevel="2" x14ac:dyDescent="0.2">
      <c r="B189" s="277" t="str">
        <f t="shared" si="37"/>
        <v>TÉRREO</v>
      </c>
      <c r="C189" s="292" t="str">
        <f>C188</f>
        <v>Sala de reunião</v>
      </c>
      <c r="D189" s="287" t="s">
        <v>2044</v>
      </c>
      <c r="E189" s="288">
        <v>1</v>
      </c>
      <c r="F189" s="285">
        <v>1345.5</v>
      </c>
      <c r="G189" s="291" cm="1">
        <f t="array" ref="G189">_xlfn.IFS(AND(B189&lt;&gt;"",C189="",D189=""),SUMPRODUCT($E$26:$E$422,$F$26:$F$422, --($B$26:$B$422=B189)),AND(C189&lt;&gt;"",F189=""),SUMPRODUCT($E$26:$E$422,$F$26:$F$422,--($C$26:$C$422=C189)),AND(D189,F189)&lt;&gt;0,E189*F189)</f>
        <v>1345.5</v>
      </c>
      <c r="H189" s="286" t="s">
        <v>6675</v>
      </c>
    </row>
    <row r="190" spans="2:8" ht="13.5" customHeight="1" outlineLevel="2" x14ac:dyDescent="0.2">
      <c r="B190" s="277" t="str">
        <f t="shared" si="37"/>
        <v>TÉRREO</v>
      </c>
      <c r="C190" s="292" t="str">
        <f>C189</f>
        <v>Sala de reunião</v>
      </c>
      <c r="D190" s="287" t="s">
        <v>6732</v>
      </c>
      <c r="E190" s="288">
        <v>1</v>
      </c>
      <c r="F190" s="285">
        <v>450</v>
      </c>
      <c r="G190" s="291" cm="1">
        <f t="array" ref="G190">_xlfn.IFS(AND(B190&lt;&gt;"",C190="",D190=""),SUMPRODUCT($E$26:$E$422,$F$26:$F$422, --($B$26:$B$422=B190)),AND(C190&lt;&gt;"",F190=""),SUMPRODUCT($E$26:$E$422,$F$26:$F$422,--($C$26:$C$422=C190)),AND(D190,F190)&lt;&gt;0,E190*F190)</f>
        <v>450</v>
      </c>
      <c r="H190" s="286" t="s">
        <v>2040</v>
      </c>
    </row>
    <row r="191" spans="2:8" ht="13.5" customHeight="1" outlineLevel="2" x14ac:dyDescent="0.2">
      <c r="B191" s="277" t="str">
        <f t="shared" si="37"/>
        <v>TÉRREO</v>
      </c>
      <c r="C191" s="292" t="str">
        <f>C190</f>
        <v>Sala de reunião</v>
      </c>
      <c r="D191" s="287" t="s">
        <v>6641</v>
      </c>
      <c r="E191" s="288">
        <v>4</v>
      </c>
      <c r="F191" s="285">
        <v>50</v>
      </c>
      <c r="G191" s="291" cm="1">
        <f t="array" ref="G191">_xlfn.IFS(AND(B191&lt;&gt;"",C191="",D191=""),SUMPRODUCT($E$26:$E$422,$F$26:$F$422, --($B$26:$B$422=B191)),AND(C191&lt;&gt;"",F191=""),SUMPRODUCT($E$26:$E$422,$F$26:$F$422,--($C$26:$C$422=C191)),AND(D191,F191)&lt;&gt;0,E191*F191)</f>
        <v>200</v>
      </c>
      <c r="H191" s="286" t="s">
        <v>2040</v>
      </c>
    </row>
    <row r="192" spans="2:8" ht="13.5" customHeight="1" outlineLevel="2" x14ac:dyDescent="0.2">
      <c r="B192" s="277" t="str">
        <f t="shared" si="37"/>
        <v>TÉRREO</v>
      </c>
      <c r="C192" s="292" t="str">
        <f>C191</f>
        <v>Sala de reunião</v>
      </c>
      <c r="D192" s="287" t="s">
        <v>6720</v>
      </c>
      <c r="E192" s="288">
        <v>2</v>
      </c>
      <c r="F192" s="285">
        <v>281.20999999999998</v>
      </c>
      <c r="G192" s="291" cm="1">
        <f t="array" ref="G192">_xlfn.IFS(AND(B192&lt;&gt;"",C192="",D192=""),SUMPRODUCT($E$26:$E$422,$F$26:$F$422, --($B$26:$B$422=B192)),AND(C192&lt;&gt;"",F192=""),SUMPRODUCT($E$26:$E$422,$F$26:$F$422,--($C$26:$C$422=C192)),AND(D192,F192)&lt;&gt;0,E192*F192)</f>
        <v>562.41999999999996</v>
      </c>
      <c r="H192" s="286" t="s">
        <v>2040</v>
      </c>
    </row>
    <row r="193" spans="2:8" ht="13.5" customHeight="1" outlineLevel="2" x14ac:dyDescent="0.2">
      <c r="B193" s="277" t="str">
        <f t="shared" si="37"/>
        <v>TÉRREO</v>
      </c>
      <c r="C193" s="292" t="str">
        <f>C191</f>
        <v>Sala de reunião</v>
      </c>
      <c r="D193" s="287" t="s">
        <v>2048</v>
      </c>
      <c r="E193" s="288">
        <v>1</v>
      </c>
      <c r="F193" s="285">
        <v>3419.1</v>
      </c>
      <c r="G193" s="291" cm="1">
        <f t="array" ref="G193">_xlfn.IFS(AND(B193&lt;&gt;"",C193="",D193=""),SUMPRODUCT($E$26:$E$422,$F$26:$F$422, --($B$26:$B$422=B193)),AND(C193&lt;&gt;"",F193=""),SUMPRODUCT($E$26:$E$422,$F$26:$F$422,--($C$26:$C$422=C193)),AND(D193,F193)&lt;&gt;0,E193*F193)</f>
        <v>3419.1</v>
      </c>
      <c r="H193" s="286" t="s">
        <v>6670</v>
      </c>
    </row>
    <row r="194" spans="2:8" ht="13.5" customHeight="1" outlineLevel="2" x14ac:dyDescent="0.2">
      <c r="B194" s="277" t="str">
        <f t="shared" si="37"/>
        <v>TÉRREO</v>
      </c>
      <c r="C194" s="292" t="str">
        <f>C192</f>
        <v>Sala de reunião</v>
      </c>
      <c r="D194" s="287" t="s">
        <v>6733</v>
      </c>
      <c r="E194" s="288">
        <v>1</v>
      </c>
      <c r="F194" s="285">
        <v>389</v>
      </c>
      <c r="G194" s="291" cm="1">
        <f t="array" ref="G194">_xlfn.IFS(AND(B194&lt;&gt;"",C194="",D194=""),SUMPRODUCT($E$26:$E$422,$F$26:$F$422, --($B$26:$B$422=B194)),AND(C194&lt;&gt;"",F194=""),SUMPRODUCT($E$26:$E$422,$F$26:$F$422,--($C$26:$C$422=C194)),AND(D194,F194)&lt;&gt;0,E194*F194)</f>
        <v>389</v>
      </c>
      <c r="H194" s="286" t="s">
        <v>6670</v>
      </c>
    </row>
    <row r="195" spans="2:8" ht="13.5" customHeight="1" outlineLevel="2" x14ac:dyDescent="0.2">
      <c r="B195" s="277" t="str">
        <f t="shared" si="37"/>
        <v>TÉRREO</v>
      </c>
      <c r="C195" s="292" t="str">
        <f>C194</f>
        <v>Sala de reunião</v>
      </c>
      <c r="D195" s="287" t="s">
        <v>6712</v>
      </c>
      <c r="E195" s="288">
        <v>2</v>
      </c>
      <c r="F195" s="285">
        <v>56</v>
      </c>
      <c r="G195" s="291" cm="1">
        <f t="array" ref="G195">_xlfn.IFS(AND(B195&lt;&gt;"",C195="",D195=""),SUMPRODUCT($E$26:$E$422,$F$26:$F$422, --($B$26:$B$422=B195)),AND(C195&lt;&gt;"",F195=""),SUMPRODUCT($E$26:$E$422,$F$26:$F$422,--($C$26:$C$422=C195)),AND(D195,F195)&lt;&gt;0,E195*F195)</f>
        <v>112</v>
      </c>
      <c r="H195" s="286" t="s">
        <v>6677</v>
      </c>
    </row>
    <row r="196" spans="2:8" ht="13.5" customHeight="1" outlineLevel="1" x14ac:dyDescent="0.2">
      <c r="B196" s="277" t="str">
        <f t="shared" si="37"/>
        <v>TÉRREO</v>
      </c>
      <c r="C196" s="278" t="s">
        <v>6725</v>
      </c>
      <c r="D196" s="279" t="s">
        <v>1797</v>
      </c>
      <c r="E196" s="280">
        <v>86.83</v>
      </c>
      <c r="F196" s="281"/>
      <c r="G196" s="282" cm="1">
        <f t="array" ref="G196">_xlfn.IFS(AND(B196&lt;&gt;"",C196="",D196=""),SUMPRODUCT($E$26:$E$422,$F$26:$F$422, --($B$26:$B$422=B196)),AND(C196&lt;&gt;"",F196=""),SUMPRODUCT($E$26:$E$422,$F$26:$F$422,--($C$26:$C$422=C196)),AND(D196,F196)&lt;&gt;0,E196*F196)</f>
        <v>109546</v>
      </c>
      <c r="H196" s="283">
        <f>G196/E196</f>
        <v>1261.614649314753</v>
      </c>
    </row>
    <row r="197" spans="2:8" ht="13.5" customHeight="1" outlineLevel="2" x14ac:dyDescent="0.2">
      <c r="B197" s="277" t="str">
        <f t="shared" si="37"/>
        <v>TÉRREO</v>
      </c>
      <c r="C197" s="292" t="str">
        <f>C196</f>
        <v>Jardim - Térreo</v>
      </c>
      <c r="D197" s="287" t="s">
        <v>6726</v>
      </c>
      <c r="E197" s="288">
        <v>2</v>
      </c>
      <c r="F197" s="285">
        <v>29000</v>
      </c>
      <c r="G197" s="291" cm="1">
        <f t="array" ref="G197">_xlfn.IFS(AND(B197&lt;&gt;"",C197="",D197=""),SUMPRODUCT($E$26:$E$422,$F$26:$F$422, --($B$26:$B$422=B197)),AND(C197&lt;&gt;"",F197=""),SUMPRODUCT($E$26:$E$422,$F$26:$F$422,--($C$26:$C$422=C197)),AND(D197,F197)&lt;&gt;0,E197*F197)</f>
        <v>58000</v>
      </c>
      <c r="H197" s="286" t="s">
        <v>6673</v>
      </c>
    </row>
    <row r="198" spans="2:8" ht="13.5" customHeight="1" outlineLevel="2" x14ac:dyDescent="0.2">
      <c r="B198" s="277" t="str">
        <f t="shared" si="37"/>
        <v>TÉRREO</v>
      </c>
      <c r="C198" s="292" t="str">
        <f>C196</f>
        <v>Jardim - Térreo</v>
      </c>
      <c r="D198" s="287" t="s">
        <v>6727</v>
      </c>
      <c r="E198" s="288">
        <v>1</v>
      </c>
      <c r="F198" s="285">
        <v>1200</v>
      </c>
      <c r="G198" s="291" cm="1">
        <f t="array" ref="G198">_xlfn.IFS(AND(B198&lt;&gt;"",C198="",D198=""),SUMPRODUCT($E$26:$E$422,$F$26:$F$422, --($B$26:$B$422=B198)),AND(C198&lt;&gt;"",F198=""),SUMPRODUCT($E$26:$E$422,$F$26:$F$422,--($C$26:$C$422=C198)),AND(D198,F198)&lt;&gt;0,E198*F198)</f>
        <v>1200</v>
      </c>
      <c r="H198" s="286" t="s">
        <v>6674</v>
      </c>
    </row>
    <row r="199" spans="2:8" ht="13.5" customHeight="1" outlineLevel="2" x14ac:dyDescent="0.2">
      <c r="B199" s="277" t="str">
        <f t="shared" si="37"/>
        <v>TÉRREO</v>
      </c>
      <c r="C199" s="292" t="str">
        <f>C197</f>
        <v>Jardim - Térreo</v>
      </c>
      <c r="D199" s="287" t="s">
        <v>6728</v>
      </c>
      <c r="E199" s="288">
        <v>5</v>
      </c>
      <c r="F199" s="285">
        <v>3791</v>
      </c>
      <c r="G199" s="291" cm="1">
        <f t="array" ref="G199">_xlfn.IFS(AND(B199&lt;&gt;"",C199="",D199=""),SUMPRODUCT($E$26:$E$422,$F$26:$F$422, --($B$26:$B$422=B199)),AND(C199&lt;&gt;"",F199=""),SUMPRODUCT($E$26:$E$422,$F$26:$F$422,--($C$26:$C$422=C199)),AND(D199,F199)&lt;&gt;0,E199*F199)</f>
        <v>18955</v>
      </c>
      <c r="H199" s="286" t="s">
        <v>2040</v>
      </c>
    </row>
    <row r="200" spans="2:8" ht="13.5" customHeight="1" outlineLevel="2" x14ac:dyDescent="0.2">
      <c r="B200" s="277" t="str">
        <f t="shared" si="37"/>
        <v>TÉRREO</v>
      </c>
      <c r="C200" s="292" t="str">
        <f t="shared" ref="C200:C204" si="39">C199</f>
        <v>Jardim - Térreo</v>
      </c>
      <c r="D200" s="287" t="s">
        <v>6729</v>
      </c>
      <c r="E200" s="288">
        <v>1</v>
      </c>
      <c r="F200" s="285">
        <v>8500</v>
      </c>
      <c r="G200" s="291" cm="1">
        <f t="array" ref="G200">_xlfn.IFS(AND(B200&lt;&gt;"",C200="",D200=""),SUMPRODUCT($E$26:$E$422,$F$26:$F$422, --($B$26:$B$422=B200)),AND(C200&lt;&gt;"",F200=""),SUMPRODUCT($E$26:$E$422,$F$26:$F$422,--($C$26:$C$422=C200)),AND(D200,F200)&lt;&gt;0,E200*F200)</f>
        <v>8500</v>
      </c>
      <c r="H200" s="286" t="s">
        <v>6673</v>
      </c>
    </row>
    <row r="201" spans="2:8" ht="13.5" customHeight="1" outlineLevel="2" x14ac:dyDescent="0.2">
      <c r="B201" s="277" t="str">
        <f t="shared" si="37"/>
        <v>TÉRREO</v>
      </c>
      <c r="C201" s="292" t="str">
        <f t="shared" si="39"/>
        <v>Jardim - Térreo</v>
      </c>
      <c r="D201" s="287" t="s">
        <v>6730</v>
      </c>
      <c r="E201" s="288">
        <v>1</v>
      </c>
      <c r="F201" s="285">
        <v>17575</v>
      </c>
      <c r="G201" s="291" cm="1">
        <f t="array" ref="G201">_xlfn.IFS(AND(B201&lt;&gt;"",C201="",D201=""),SUMPRODUCT($E$26:$E$422,$F$26:$F$422, --($B$26:$B$422=B201)),AND(C201&lt;&gt;"",F201=""),SUMPRODUCT($E$26:$E$422,$F$26:$F$422,--($C$26:$C$422=C201)),AND(D201,F201)&lt;&gt;0,E201*F201)</f>
        <v>17575</v>
      </c>
      <c r="H201" s="286" t="s">
        <v>6674</v>
      </c>
    </row>
    <row r="202" spans="2:8" outlineLevel="2" x14ac:dyDescent="0.2">
      <c r="B202" s="277" t="str">
        <f t="shared" si="37"/>
        <v>TÉRREO</v>
      </c>
      <c r="C202" s="292" t="str">
        <f t="shared" si="39"/>
        <v>Jardim - Térreo</v>
      </c>
      <c r="D202" s="287" t="s">
        <v>2046</v>
      </c>
      <c r="E202" s="288">
        <v>1</v>
      </c>
      <c r="F202" s="285">
        <v>1500</v>
      </c>
      <c r="G202" s="291" cm="1">
        <f t="array" ref="G202">_xlfn.IFS(AND(B202&lt;&gt;"",C202="",D202=""),SUMPRODUCT($E$26:$E$422,$F$26:$F$422, --($B$26:$B$422=B202)),AND(C202&lt;&gt;"",F202=""),SUMPRODUCT($E$26:$E$422,$F$26:$F$422,--($C$26:$C$422=C202)),AND(D202,F202)&lt;&gt;0,E202*F202)</f>
        <v>1500</v>
      </c>
      <c r="H202" s="286" t="s">
        <v>6675</v>
      </c>
    </row>
    <row r="203" spans="2:8" ht="13.5" customHeight="1" outlineLevel="2" x14ac:dyDescent="0.2">
      <c r="B203" s="277" t="str">
        <f t="shared" si="37"/>
        <v>TÉRREO</v>
      </c>
      <c r="C203" s="292" t="str">
        <f t="shared" si="39"/>
        <v>Jardim - Térreo</v>
      </c>
      <c r="D203" s="287" t="s">
        <v>6731</v>
      </c>
      <c r="E203" s="288">
        <v>4</v>
      </c>
      <c r="F203" s="285">
        <v>329</v>
      </c>
      <c r="G203" s="291" cm="1">
        <f t="array" ref="G203">_xlfn.IFS(AND(B203&lt;&gt;"",C203="",D203=""),SUMPRODUCT($E$26:$E$422,$F$26:$F$422, --($B$26:$B$422=B203)),AND(C203&lt;&gt;"",F203=""),SUMPRODUCT($E$26:$E$422,$F$26:$F$422,--($C$26:$C$422=C203)),AND(D203,F203)&lt;&gt;0,E203*F203)</f>
        <v>1316</v>
      </c>
      <c r="H203" s="286" t="s">
        <v>2040</v>
      </c>
    </row>
    <row r="204" spans="2:8" ht="13.5" customHeight="1" outlineLevel="2" x14ac:dyDescent="0.2">
      <c r="B204" s="277" t="str">
        <f t="shared" si="37"/>
        <v>TÉRREO</v>
      </c>
      <c r="C204" s="292" t="str">
        <f t="shared" si="39"/>
        <v>Jardim - Térreo</v>
      </c>
      <c r="D204" s="287" t="s">
        <v>2049</v>
      </c>
      <c r="E204" s="288">
        <v>10</v>
      </c>
      <c r="F204" s="285">
        <v>250</v>
      </c>
      <c r="G204" s="291" cm="1">
        <f t="array" ref="G204">_xlfn.IFS(AND(B204&lt;&gt;"",C204="",D204=""),SUMPRODUCT($E$26:$E$422,$F$26:$F$422, --($B$26:$B$422=B204)),AND(C204&lt;&gt;"",F204=""),SUMPRODUCT($E$26:$E$422,$F$26:$F$422,--($C$26:$C$422=C204)),AND(D204,F204)&lt;&gt;0,E204*F204)</f>
        <v>2500</v>
      </c>
      <c r="H204" s="286" t="s">
        <v>6673</v>
      </c>
    </row>
    <row r="205" spans="2:8" s="261" customFormat="1" ht="19.5" customHeight="1" x14ac:dyDescent="0.2">
      <c r="B205" s="271" t="s">
        <v>6821</v>
      </c>
      <c r="C205" s="272"/>
      <c r="D205" s="273"/>
      <c r="E205" s="274"/>
      <c r="F205" s="275"/>
      <c r="G205" s="276" cm="1">
        <f t="array" ref="G205">_xlfn.IFS(AND(B205&lt;&gt;"",C205="",D205=""),SUMPRODUCT($E$26:$E$422,$F$26:$F$422, --($B$26:$B$422=B205)),AND(C205&lt;&gt;"",F205=""),SUMPRODUCT($E$26:$E$422,$F$26:$F$422,--($C$26:$C$422=C205)),AND(D205,F205)&lt;&gt;0,E205*F205)</f>
        <v>141375.5</v>
      </c>
      <c r="H205" s="276"/>
    </row>
    <row r="206" spans="2:8" outlineLevel="1" x14ac:dyDescent="0.2">
      <c r="B206" s="277" t="str">
        <f t="shared" ref="B206:B230" si="40">B205</f>
        <v>PAV 3</v>
      </c>
      <c r="C206" s="278" t="s">
        <v>6822</v>
      </c>
      <c r="D206" s="279" t="s">
        <v>1797</v>
      </c>
      <c r="E206" s="280">
        <v>50.29</v>
      </c>
      <c r="F206" s="281"/>
      <c r="G206" s="282" cm="1">
        <f t="array" ref="G206">_xlfn.IFS(AND(B206&lt;&gt;"",C206="",D206=""),SUMPRODUCT($E$26:$E$422,$F$26:$F$422, --($B$26:$B$422=B206)),AND(C206&lt;&gt;"",F206=""),SUMPRODUCT($E$26:$E$422,$F$26:$F$422,--($C$26:$C$422=C206)),AND(D206,F206)&lt;&gt;0,E206*F206)</f>
        <v>10063.5</v>
      </c>
      <c r="H206" s="283">
        <f>G206/E206</f>
        <v>200.10936567906145</v>
      </c>
    </row>
    <row r="207" spans="2:8" outlineLevel="2" x14ac:dyDescent="0.2">
      <c r="B207" s="277" t="str">
        <f t="shared" si="40"/>
        <v>PAV 3</v>
      </c>
      <c r="C207" s="292" t="str">
        <f t="shared" ref="C207:C214" si="41">C206</f>
        <v>Circulação elevadores - Pav 3</v>
      </c>
      <c r="D207" s="287" t="s">
        <v>2047</v>
      </c>
      <c r="E207" s="288">
        <v>3</v>
      </c>
      <c r="F207" s="285">
        <v>1000</v>
      </c>
      <c r="G207" s="291" cm="1">
        <f t="array" ref="G207">_xlfn.IFS(AND(B207&lt;&gt;"",C207="",D207=""),SUMPRODUCT($E$26:$E$422,$F$26:$F$422, --($B$26:$B$422=B207)),AND(C207&lt;&gt;"",F207=""),SUMPRODUCT($E$26:$E$422,$F$26:$F$422,--($C$26:$C$422=C207)),AND(D207,F207)&lt;&gt;0,E207*F207)</f>
        <v>3000</v>
      </c>
      <c r="H207" s="286" t="s">
        <v>6675</v>
      </c>
    </row>
    <row r="208" spans="2:8" ht="13.5" customHeight="1" outlineLevel="2" x14ac:dyDescent="0.2">
      <c r="B208" s="277" t="str">
        <f t="shared" si="40"/>
        <v>PAV 3</v>
      </c>
      <c r="C208" s="292" t="str">
        <f t="shared" si="41"/>
        <v>Circulação elevadores - Pav 3</v>
      </c>
      <c r="D208" s="287" t="s">
        <v>6724</v>
      </c>
      <c r="E208" s="288">
        <v>1</v>
      </c>
      <c r="F208" s="285">
        <v>227</v>
      </c>
      <c r="G208" s="291" cm="1">
        <f t="array" ref="G208">_xlfn.IFS(AND(B208&lt;&gt;"",C208="",D208=""),SUMPRODUCT($E$26:$E$422,$F$26:$F$422, --($B$26:$B$422=B208)),AND(C208&lt;&gt;"",F208=""),SUMPRODUCT($E$26:$E$422,$F$26:$F$422,--($C$26:$C$422=C208)),AND(D208,F208)&lt;&gt;0,E208*F208)</f>
        <v>227</v>
      </c>
      <c r="H208" s="286" t="s">
        <v>2040</v>
      </c>
    </row>
    <row r="209" spans="2:8" ht="13.5" customHeight="1" outlineLevel="2" x14ac:dyDescent="0.2">
      <c r="B209" s="277" t="str">
        <f t="shared" si="40"/>
        <v>PAV 3</v>
      </c>
      <c r="C209" s="292" t="str">
        <f t="shared" si="41"/>
        <v>Circulação elevadores - Pav 3</v>
      </c>
      <c r="D209" s="287" t="s">
        <v>6739</v>
      </c>
      <c r="E209" s="288">
        <v>4</v>
      </c>
      <c r="F209" s="285">
        <v>136</v>
      </c>
      <c r="G209" s="291" cm="1">
        <f t="array" ref="G209">_xlfn.IFS(AND(B209&lt;&gt;"",C209="",D209=""),SUMPRODUCT($E$26:$E$422,$F$26:$F$422, --($B$26:$B$422=B209)),AND(C209&lt;&gt;"",F209=""),SUMPRODUCT($E$26:$E$422,$F$26:$F$422,--($C$26:$C$422=C209)),AND(D209,F209)&lt;&gt;0,E209*F209)</f>
        <v>544</v>
      </c>
      <c r="H209" s="286" t="s">
        <v>2040</v>
      </c>
    </row>
    <row r="210" spans="2:8" ht="13.5" customHeight="1" outlineLevel="2" x14ac:dyDescent="0.2">
      <c r="B210" s="277" t="str">
        <f t="shared" si="40"/>
        <v>PAV 3</v>
      </c>
      <c r="C210" s="292" t="str">
        <f t="shared" si="41"/>
        <v>Circulação elevadores - Pav 3</v>
      </c>
      <c r="D210" s="287" t="s">
        <v>6712</v>
      </c>
      <c r="E210" s="288">
        <v>1</v>
      </c>
      <c r="F210" s="285">
        <v>56</v>
      </c>
      <c r="G210" s="291" cm="1">
        <f t="array" ref="G210">_xlfn.IFS(AND(B210&lt;&gt;"",C210="",D210=""),SUMPRODUCT($E$26:$E$422,$F$26:$F$422, --($B$26:$B$422=B210)),AND(C210&lt;&gt;"",F210=""),SUMPRODUCT($E$26:$E$422,$F$26:$F$422,--($C$26:$C$422=C210)),AND(D210,F210)&lt;&gt;0,E210*F210)</f>
        <v>56</v>
      </c>
      <c r="H210" s="286" t="s">
        <v>6677</v>
      </c>
    </row>
    <row r="211" spans="2:8" outlineLevel="2" x14ac:dyDescent="0.2">
      <c r="B211" s="277" t="str">
        <f t="shared" si="40"/>
        <v>PAV 3</v>
      </c>
      <c r="C211" s="292" t="str">
        <f t="shared" si="41"/>
        <v>Circulação elevadores - Pav 3</v>
      </c>
      <c r="D211" s="287" t="s">
        <v>2043</v>
      </c>
      <c r="E211" s="288">
        <v>1</v>
      </c>
      <c r="F211" s="290">
        <v>200</v>
      </c>
      <c r="G211" s="291" cm="1">
        <f t="array" ref="G211">_xlfn.IFS(AND(B211&lt;&gt;"",C211="",D211=""),SUMPRODUCT($E$26:$E$422,$F$26:$F$422, --($B$26:$B$422=B211)),AND(C211&lt;&gt;"",F211=""),SUMPRODUCT($E$26:$E$422,$F$26:$F$422,--($C$26:$C$422=C211)),AND(D211,F211)&lt;&gt;0,E211*F211)</f>
        <v>200</v>
      </c>
      <c r="H211" s="286" t="s">
        <v>2040</v>
      </c>
    </row>
    <row r="212" spans="2:8" ht="13.5" customHeight="1" outlineLevel="2" x14ac:dyDescent="0.2">
      <c r="B212" s="277" t="str">
        <f t="shared" si="40"/>
        <v>PAV 3</v>
      </c>
      <c r="C212" s="292" t="str">
        <f t="shared" si="41"/>
        <v>Circulação elevadores - Pav 3</v>
      </c>
      <c r="D212" s="287" t="s">
        <v>6641</v>
      </c>
      <c r="E212" s="288">
        <v>10</v>
      </c>
      <c r="F212" s="285">
        <v>50</v>
      </c>
      <c r="G212" s="291" cm="1">
        <f t="array" ref="G212">_xlfn.IFS(AND(B212&lt;&gt;"",C212="",D212=""),SUMPRODUCT($E$26:$E$422,$F$26:$F$422, --($B$26:$B$422=B212)),AND(C212&lt;&gt;"",F212=""),SUMPRODUCT($E$26:$E$422,$F$26:$F$422,--($C$26:$C$422=C212)),AND(D212,F212)&lt;&gt;0,E212*F212)</f>
        <v>500</v>
      </c>
      <c r="H212" s="286" t="s">
        <v>2040</v>
      </c>
    </row>
    <row r="213" spans="2:8" outlineLevel="2" x14ac:dyDescent="0.2">
      <c r="B213" s="277" t="str">
        <f t="shared" si="40"/>
        <v>PAV 3</v>
      </c>
      <c r="C213" s="292" t="str">
        <f t="shared" si="41"/>
        <v>Circulação elevadores - Pav 3</v>
      </c>
      <c r="D213" s="287" t="s">
        <v>2046</v>
      </c>
      <c r="E213" s="288">
        <v>1</v>
      </c>
      <c r="F213" s="285">
        <v>1500</v>
      </c>
      <c r="G213" s="291" cm="1">
        <f t="array" ref="G213">_xlfn.IFS(AND(B213&lt;&gt;"",C213="",D213=""),SUMPRODUCT($E$26:$E$422,$F$26:$F$422, --($B$26:$B$422=B213)),AND(C213&lt;&gt;"",F213=""),SUMPRODUCT($E$26:$E$422,$F$26:$F$422,--($C$26:$C$422=C213)),AND(D213,F213)&lt;&gt;0,E213*F213)</f>
        <v>1500</v>
      </c>
      <c r="H213" s="286" t="s">
        <v>6675</v>
      </c>
    </row>
    <row r="214" spans="2:8" ht="13.5" customHeight="1" outlineLevel="2" x14ac:dyDescent="0.2">
      <c r="B214" s="277" t="str">
        <f t="shared" si="40"/>
        <v>PAV 3</v>
      </c>
      <c r="C214" s="292" t="str">
        <f t="shared" si="41"/>
        <v>Circulação elevadores - Pav 3</v>
      </c>
      <c r="D214" s="287" t="s">
        <v>2044</v>
      </c>
      <c r="E214" s="288">
        <v>3</v>
      </c>
      <c r="F214" s="285">
        <v>1345.5</v>
      </c>
      <c r="G214" s="291" cm="1">
        <f t="array" ref="G214">_xlfn.IFS(AND(B214&lt;&gt;"",C214="",D214=""),SUMPRODUCT($E$26:$E$422,$F$26:$F$422, --($B$26:$B$422=B214)),AND(C214&lt;&gt;"",F214=""),SUMPRODUCT($E$26:$E$422,$F$26:$F$422,--($C$26:$C$422=C214)),AND(D214,F214)&lt;&gt;0,E214*F214)</f>
        <v>4036.5</v>
      </c>
      <c r="H214" s="286" t="s">
        <v>6675</v>
      </c>
    </row>
    <row r="215" spans="2:8" ht="13.5" customHeight="1" outlineLevel="1" x14ac:dyDescent="0.2">
      <c r="B215" s="277" t="str">
        <f t="shared" si="40"/>
        <v>PAV 3</v>
      </c>
      <c r="C215" s="278" t="s">
        <v>6823</v>
      </c>
      <c r="D215" s="279" t="s">
        <v>1797</v>
      </c>
      <c r="E215" s="280">
        <v>76.36</v>
      </c>
      <c r="F215" s="281"/>
      <c r="G215" s="282" cm="1">
        <f t="array" ref="G215">_xlfn.IFS(AND(B215&lt;&gt;"",C215="",D215=""),SUMPRODUCT($E$26:$E$422,$F$26:$F$422, --($B$26:$B$422=B215)),AND(C215&lt;&gt;"",F215=""),SUMPRODUCT($E$26:$E$422,$F$26:$F$422,--($C$26:$C$422=C215)),AND(D215,F215)&lt;&gt;0,E215*F215)</f>
        <v>131312</v>
      </c>
      <c r="H215" s="283">
        <f>G215/E215</f>
        <v>1719.6437925615505</v>
      </c>
    </row>
    <row r="216" spans="2:8" ht="13.5" customHeight="1" outlineLevel="2" x14ac:dyDescent="0.2">
      <c r="B216" s="277" t="str">
        <f t="shared" si="40"/>
        <v>PAV 3</v>
      </c>
      <c r="C216" s="292" t="str">
        <f t="shared" ref="C216:C230" si="42">C215</f>
        <v>Galleria Zen - Pav 3</v>
      </c>
      <c r="D216" s="287" t="s">
        <v>6827</v>
      </c>
      <c r="E216" s="288">
        <v>1</v>
      </c>
      <c r="F216" s="285">
        <v>42867</v>
      </c>
      <c r="G216" s="291" cm="1">
        <f t="array" ref="G216">_xlfn.IFS(AND(B216&lt;&gt;"",C216="",D216=""),SUMPRODUCT($E$26:$E$422,$F$26:$F$422, --($B$26:$B$422=B216)),AND(C216&lt;&gt;"",F216=""),SUMPRODUCT($E$26:$E$422,$F$26:$F$422,--($C$26:$C$422=C216)),AND(D216,F216)&lt;&gt;0,E216*F216)</f>
        <v>42867</v>
      </c>
      <c r="H216" s="286" t="s">
        <v>6673</v>
      </c>
    </row>
    <row r="217" spans="2:8" ht="13.5" customHeight="1" outlineLevel="2" x14ac:dyDescent="0.2">
      <c r="B217" s="277" t="str">
        <f t="shared" si="40"/>
        <v>PAV 3</v>
      </c>
      <c r="C217" s="292" t="str">
        <f t="shared" si="42"/>
        <v>Galleria Zen - Pav 3</v>
      </c>
      <c r="D217" s="287" t="s">
        <v>6828</v>
      </c>
      <c r="E217" s="288">
        <v>2</v>
      </c>
      <c r="F217" s="285">
        <v>15000</v>
      </c>
      <c r="G217" s="291" cm="1">
        <f t="array" ref="G217">_xlfn.IFS(AND(B217&lt;&gt;"",C217="",D217=""),SUMPRODUCT($E$26:$E$422,$F$26:$F$422, --($B$26:$B$422=B217)),AND(C217&lt;&gt;"",F217=""),SUMPRODUCT($E$26:$E$422,$F$26:$F$422,--($C$26:$C$422=C217)),AND(D217,F217)&lt;&gt;0,E217*F217)</f>
        <v>30000</v>
      </c>
      <c r="H217" s="286" t="s">
        <v>6673</v>
      </c>
    </row>
    <row r="218" spans="2:8" ht="13.5" customHeight="1" outlineLevel="2" x14ac:dyDescent="0.2">
      <c r="B218" s="277" t="str">
        <f t="shared" si="40"/>
        <v>PAV 3</v>
      </c>
      <c r="C218" s="292" t="str">
        <f t="shared" si="42"/>
        <v>Galleria Zen - Pav 3</v>
      </c>
      <c r="D218" s="287" t="s">
        <v>6830</v>
      </c>
      <c r="E218" s="288">
        <v>1</v>
      </c>
      <c r="F218" s="285">
        <v>12655</v>
      </c>
      <c r="G218" s="291" cm="1">
        <f t="array" ref="G218">_xlfn.IFS(AND(B218&lt;&gt;"",C218="",D218=""),SUMPRODUCT($E$26:$E$422,$F$26:$F$422, --($B$26:$B$422=B218)),AND(C218&lt;&gt;"",F218=""),SUMPRODUCT($E$26:$E$422,$F$26:$F$422,--($C$26:$C$422=C218)),AND(D218,F218)&lt;&gt;0,E218*F218)</f>
        <v>12655</v>
      </c>
      <c r="H218" s="286" t="s">
        <v>6673</v>
      </c>
    </row>
    <row r="219" spans="2:8" ht="13.5" customHeight="1" outlineLevel="2" x14ac:dyDescent="0.2">
      <c r="B219" s="277" t="str">
        <f t="shared" si="40"/>
        <v>PAV 3</v>
      </c>
      <c r="C219" s="292" t="str">
        <f t="shared" si="42"/>
        <v>Galleria Zen - Pav 3</v>
      </c>
      <c r="D219" s="287" t="s">
        <v>6772</v>
      </c>
      <c r="E219" s="288">
        <v>1</v>
      </c>
      <c r="F219" s="285">
        <v>756</v>
      </c>
      <c r="G219" s="291" cm="1">
        <f t="array" ref="G219">_xlfn.IFS(AND(B219&lt;&gt;"",C219="",D219=""),SUMPRODUCT($E$26:$E$422,$F$26:$F$422, --($B$26:$B$422=B219)),AND(C219&lt;&gt;"",F219=""),SUMPRODUCT($E$26:$E$422,$F$26:$F$422,--($C$26:$C$422=C219)),AND(D219,F219)&lt;&gt;0,E219*F219)</f>
        <v>756</v>
      </c>
      <c r="H219" s="286" t="s">
        <v>6674</v>
      </c>
    </row>
    <row r="220" spans="2:8" ht="13.5" customHeight="1" outlineLevel="2" x14ac:dyDescent="0.2">
      <c r="B220" s="277" t="str">
        <f t="shared" si="40"/>
        <v>PAV 3</v>
      </c>
      <c r="C220" s="292" t="str">
        <f t="shared" si="42"/>
        <v>Galleria Zen - Pav 3</v>
      </c>
      <c r="D220" s="287" t="s">
        <v>6807</v>
      </c>
      <c r="E220" s="288">
        <v>4</v>
      </c>
      <c r="F220" s="285">
        <v>250</v>
      </c>
      <c r="G220" s="291" cm="1">
        <f t="array" ref="G220">_xlfn.IFS(AND(B220&lt;&gt;"",C220="",D220=""),SUMPRODUCT($E$26:$E$422,$F$26:$F$422, --($B$26:$B$422=B220)),AND(C220&lt;&gt;"",F220=""),SUMPRODUCT($E$26:$E$422,$F$26:$F$422,--($C$26:$C$422=C220)),AND(D220,F220)&lt;&gt;0,E220*F220)</f>
        <v>1000</v>
      </c>
      <c r="H220" s="286" t="s">
        <v>2040</v>
      </c>
    </row>
    <row r="221" spans="2:8" ht="13.5" customHeight="1" outlineLevel="2" x14ac:dyDescent="0.2">
      <c r="B221" s="277" t="str">
        <f t="shared" si="40"/>
        <v>PAV 3</v>
      </c>
      <c r="C221" s="292" t="str">
        <f t="shared" si="42"/>
        <v>Galleria Zen - Pav 3</v>
      </c>
      <c r="D221" s="287" t="s">
        <v>6814</v>
      </c>
      <c r="E221" s="288">
        <v>5</v>
      </c>
      <c r="F221" s="285">
        <v>325</v>
      </c>
      <c r="G221" s="291" cm="1">
        <f t="array" ref="G221">_xlfn.IFS(AND(B221&lt;&gt;"",C221="",D221=""),SUMPRODUCT($E$26:$E$422,$F$26:$F$422, --($B$26:$B$422=B221)),AND(C221&lt;&gt;"",F221=""),SUMPRODUCT($E$26:$E$422,$F$26:$F$422,--($C$26:$C$422=C221)),AND(D221,F221)&lt;&gt;0,E221*F221)</f>
        <v>1625</v>
      </c>
      <c r="H221" s="286" t="s">
        <v>2040</v>
      </c>
    </row>
    <row r="222" spans="2:8" ht="13.5" customHeight="1" outlineLevel="2" x14ac:dyDescent="0.2">
      <c r="B222" s="277" t="str">
        <f t="shared" si="40"/>
        <v>PAV 3</v>
      </c>
      <c r="C222" s="292" t="str">
        <f t="shared" si="42"/>
        <v>Galleria Zen - Pav 3</v>
      </c>
      <c r="D222" s="287" t="s">
        <v>6815</v>
      </c>
      <c r="E222" s="288">
        <v>2</v>
      </c>
      <c r="F222" s="285">
        <v>1500</v>
      </c>
      <c r="G222" s="291" cm="1">
        <f t="array" ref="G222">_xlfn.IFS(AND(B222&lt;&gt;"",C222="",D222=""),SUMPRODUCT($E$26:$E$422,$F$26:$F$422, --($B$26:$B$422=B222)),AND(C222&lt;&gt;"",F222=""),SUMPRODUCT($E$26:$E$422,$F$26:$F$422,--($C$26:$C$422=C222)),AND(D222,F222)&lt;&gt;0,E222*F222)</f>
        <v>3000</v>
      </c>
      <c r="H222" s="286" t="s">
        <v>6674</v>
      </c>
    </row>
    <row r="223" spans="2:8" outlineLevel="2" x14ac:dyDescent="0.2">
      <c r="B223" s="277" t="str">
        <f t="shared" si="40"/>
        <v>PAV 3</v>
      </c>
      <c r="C223" s="292" t="str">
        <f t="shared" si="42"/>
        <v>Galleria Zen - Pav 3</v>
      </c>
      <c r="D223" s="287" t="s">
        <v>6816</v>
      </c>
      <c r="E223" s="288">
        <v>3</v>
      </c>
      <c r="F223" s="285">
        <v>285</v>
      </c>
      <c r="G223" s="291" cm="1">
        <f t="array" ref="G223">_xlfn.IFS(AND(B223&lt;&gt;"",C223="",D223=""),SUMPRODUCT($E$26:$E$422,$F$26:$F$422, --($B$26:$B$422=B223)),AND(C223&lt;&gt;"",F223=""),SUMPRODUCT($E$26:$E$422,$F$26:$F$422,--($C$26:$C$422=C223)),AND(D223,F223)&lt;&gt;0,E223*F223)</f>
        <v>855</v>
      </c>
      <c r="H223" s="286" t="s">
        <v>6674</v>
      </c>
    </row>
    <row r="224" spans="2:8" outlineLevel="2" x14ac:dyDescent="0.2">
      <c r="B224" s="277" t="str">
        <f t="shared" si="40"/>
        <v>PAV 3</v>
      </c>
      <c r="C224" s="292" t="str">
        <f t="shared" si="42"/>
        <v>Galleria Zen - Pav 3</v>
      </c>
      <c r="D224" s="287" t="s">
        <v>6728</v>
      </c>
      <c r="E224" s="288">
        <v>4</v>
      </c>
      <c r="F224" s="285">
        <v>3791</v>
      </c>
      <c r="G224" s="291" cm="1">
        <f t="array" ref="G224">_xlfn.IFS(AND(B224&lt;&gt;"",C224="",D224=""),SUMPRODUCT($E$26:$E$422,$F$26:$F$422, --($B$26:$B$422=B224)),AND(C224&lt;&gt;"",F224=""),SUMPRODUCT($E$26:$E$422,$F$26:$F$422,--($C$26:$C$422=C224)),AND(D224,F224)&lt;&gt;0,E224*F224)</f>
        <v>15164</v>
      </c>
      <c r="H224" s="286" t="s">
        <v>2040</v>
      </c>
    </row>
    <row r="225" spans="2:8" ht="13.5" customHeight="1" outlineLevel="2" x14ac:dyDescent="0.2">
      <c r="B225" s="277" t="str">
        <f t="shared" si="40"/>
        <v>PAV 3</v>
      </c>
      <c r="C225" s="292" t="str">
        <f t="shared" si="42"/>
        <v>Galleria Zen - Pav 3</v>
      </c>
      <c r="D225" s="287" t="s">
        <v>2043</v>
      </c>
      <c r="E225" s="288">
        <v>1</v>
      </c>
      <c r="F225" s="290">
        <v>200</v>
      </c>
      <c r="G225" s="291" cm="1">
        <f t="array" ref="G225">_xlfn.IFS(AND(B225&lt;&gt;"",C225="",D225=""),SUMPRODUCT($E$26:$E$422,$F$26:$F$422, --($B$26:$B$422=B225)),AND(C225&lt;&gt;"",F225=""),SUMPRODUCT($E$26:$E$422,$F$26:$F$422,--($C$26:$C$422=C225)),AND(D225,F225)&lt;&gt;0,E225*F225)</f>
        <v>200</v>
      </c>
      <c r="H225" s="286" t="s">
        <v>2040</v>
      </c>
    </row>
    <row r="226" spans="2:8" ht="13.5" customHeight="1" outlineLevel="2" x14ac:dyDescent="0.2">
      <c r="B226" s="277" t="str">
        <f t="shared" si="40"/>
        <v>PAV 3</v>
      </c>
      <c r="C226" s="292" t="str">
        <f t="shared" si="42"/>
        <v>Galleria Zen - Pav 3</v>
      </c>
      <c r="D226" s="287" t="s">
        <v>6826</v>
      </c>
      <c r="E226" s="288">
        <v>1</v>
      </c>
      <c r="F226" s="285">
        <v>8010</v>
      </c>
      <c r="G226" s="291" cm="1">
        <f t="array" ref="G226">_xlfn.IFS(AND(B226&lt;&gt;"",C226="",D226=""),SUMPRODUCT($E$26:$E$422,$F$26:$F$422, --($B$26:$B$422=B226)),AND(C226&lt;&gt;"",F226=""),SUMPRODUCT($E$26:$E$422,$F$26:$F$422,--($C$26:$C$422=C226)),AND(D226,F226)&lt;&gt;0,E226*F226)</f>
        <v>8010</v>
      </c>
      <c r="H226" s="286" t="s">
        <v>6675</v>
      </c>
    </row>
    <row r="227" spans="2:8" ht="13.5" customHeight="1" outlineLevel="2" x14ac:dyDescent="0.2">
      <c r="B227" s="277" t="str">
        <f t="shared" si="40"/>
        <v>PAV 3</v>
      </c>
      <c r="C227" s="292" t="str">
        <f t="shared" si="42"/>
        <v>Galleria Zen - Pav 3</v>
      </c>
      <c r="D227" s="287" t="s">
        <v>6829</v>
      </c>
      <c r="E227" s="288">
        <v>2</v>
      </c>
      <c r="F227" s="285">
        <v>250</v>
      </c>
      <c r="G227" s="291" cm="1">
        <f t="array" ref="G227">_xlfn.IFS(AND(B227&lt;&gt;"",C227="",D227=""),SUMPRODUCT($E$26:$E$422,$F$26:$F$422, --($B$26:$B$422=B227)),AND(C227&lt;&gt;"",F227=""),SUMPRODUCT($E$26:$E$422,$F$26:$F$422,--($C$26:$C$422=C227)),AND(D227,F227)&lt;&gt;0,E227*F227)</f>
        <v>500</v>
      </c>
      <c r="H227" s="286" t="s">
        <v>6674</v>
      </c>
    </row>
    <row r="228" spans="2:8" ht="13.5" customHeight="1" outlineLevel="2" x14ac:dyDescent="0.2">
      <c r="B228" s="277" t="str">
        <f t="shared" si="40"/>
        <v>PAV 3</v>
      </c>
      <c r="C228" s="292" t="str">
        <f t="shared" si="42"/>
        <v>Galleria Zen - Pav 3</v>
      </c>
      <c r="D228" s="287" t="s">
        <v>2049</v>
      </c>
      <c r="E228" s="288">
        <v>10</v>
      </c>
      <c r="F228" s="285">
        <v>250</v>
      </c>
      <c r="G228" s="291" cm="1">
        <f t="array" ref="G228">_xlfn.IFS(AND(B228&lt;&gt;"",C228="",D228=""),SUMPRODUCT($E$26:$E$422,$F$26:$F$422, --($B$26:$B$422=B228)),AND(C228&lt;&gt;"",F228=""),SUMPRODUCT($E$26:$E$422,$F$26:$F$422,--($C$26:$C$422=C228)),AND(D228,F228)&lt;&gt;0,E228*F228)</f>
        <v>2500</v>
      </c>
      <c r="H228" s="286" t="s">
        <v>6673</v>
      </c>
    </row>
    <row r="229" spans="2:8" ht="13.5" customHeight="1" outlineLevel="2" x14ac:dyDescent="0.2">
      <c r="B229" s="277" t="str">
        <f t="shared" si="40"/>
        <v>PAV 3</v>
      </c>
      <c r="C229" s="292" t="str">
        <f t="shared" si="42"/>
        <v>Galleria Zen - Pav 3</v>
      </c>
      <c r="D229" s="287" t="s">
        <v>6831</v>
      </c>
      <c r="E229" s="288">
        <v>2</v>
      </c>
      <c r="F229" s="285">
        <v>2590</v>
      </c>
      <c r="G229" s="291" cm="1">
        <f t="array" ref="G229">_xlfn.IFS(AND(B229&lt;&gt;"",C229="",D229=""),SUMPRODUCT($E$26:$E$422,$F$26:$F$422, --($B$26:$B$422=B229)),AND(C229&lt;&gt;"",F229=""),SUMPRODUCT($E$26:$E$422,$F$26:$F$422,--($C$26:$C$422=C229)),AND(D229,F229)&lt;&gt;0,E229*F229)</f>
        <v>5180</v>
      </c>
      <c r="H229" s="286" t="s">
        <v>6674</v>
      </c>
    </row>
    <row r="230" spans="2:8" ht="13.5" customHeight="1" outlineLevel="2" x14ac:dyDescent="0.2">
      <c r="B230" s="277" t="str">
        <f t="shared" si="40"/>
        <v>PAV 3</v>
      </c>
      <c r="C230" s="292" t="str">
        <f t="shared" si="42"/>
        <v>Galleria Zen - Pav 3</v>
      </c>
      <c r="D230" s="287" t="s">
        <v>1799</v>
      </c>
      <c r="E230" s="288">
        <v>2</v>
      </c>
      <c r="F230" s="290">
        <v>3500</v>
      </c>
      <c r="G230" s="291" cm="1">
        <f t="array" ref="G230">_xlfn.IFS(AND(B230&lt;&gt;"",C230="",D230=""),SUMPRODUCT($E$26:$E$422,$F$26:$F$422, --($B$26:$B$422=B230)),AND(C230&lt;&gt;"",F230=""),SUMPRODUCT($E$26:$E$422,$F$26:$F$422,--($C$26:$C$422=C230)),AND(D230,F230)&lt;&gt;0,E230*F230)</f>
        <v>7000</v>
      </c>
      <c r="H230" s="286" t="s">
        <v>2041</v>
      </c>
    </row>
    <row r="231" spans="2:8" s="261" customFormat="1" ht="19.5" customHeight="1" x14ac:dyDescent="0.2">
      <c r="B231" s="271" t="s">
        <v>6802</v>
      </c>
      <c r="C231" s="272"/>
      <c r="D231" s="273"/>
      <c r="E231" s="274"/>
      <c r="F231" s="275"/>
      <c r="G231" s="276" cm="1">
        <f t="array" ref="G231">_xlfn.IFS(AND(B231&lt;&gt;"",C231="",D231=""),SUMPRODUCT($E$26:$E$422,$F$26:$F$422, --($B$26:$B$422=B231)),AND(C231&lt;&gt;"",F231=""),SUMPRODUCT($E$26:$E$422,$F$26:$F$422,--($C$26:$C$422=C231)),AND(D231,F231)&lt;&gt;0,E231*F231)</f>
        <v>848211.69999999984</v>
      </c>
      <c r="H231" s="276"/>
    </row>
    <row r="232" spans="2:8" outlineLevel="1" x14ac:dyDescent="0.2">
      <c r="B232" s="277" t="str">
        <f t="shared" ref="B232:B265" si="43">B231</f>
        <v>LAZER - 13</v>
      </c>
      <c r="C232" s="278" t="s">
        <v>6736</v>
      </c>
      <c r="D232" s="279" t="s">
        <v>1797</v>
      </c>
      <c r="E232" s="280">
        <v>2.4300000000000002</v>
      </c>
      <c r="F232" s="281"/>
      <c r="G232" s="282" cm="1">
        <f t="array" ref="G232">_xlfn.IFS(AND(B232&lt;&gt;"",C232="",D232=""),SUMPRODUCT($E$26:$E$422,$F$26:$F$422, --($B$26:$B$422=B232)),AND(C232&lt;&gt;"",F232=""),SUMPRODUCT($E$26:$E$422,$F$26:$F$422,--($C$26:$C$422=C232)),AND(D232,F232)&lt;&gt;0,E232*F232)</f>
        <v>10858.5</v>
      </c>
      <c r="H232" s="283">
        <f>G232/E232</f>
        <v>4468.5185185185182</v>
      </c>
    </row>
    <row r="233" spans="2:8" outlineLevel="2" x14ac:dyDescent="0.2">
      <c r="B233" s="277" t="str">
        <f t="shared" si="43"/>
        <v>LAZER - 13</v>
      </c>
      <c r="C233" s="292" t="str">
        <f t="shared" ref="C233:C239" si="44">C232</f>
        <v>WC Hall - lazer</v>
      </c>
      <c r="D233" s="287" t="s">
        <v>6642</v>
      </c>
      <c r="E233" s="288">
        <v>2</v>
      </c>
      <c r="F233" s="285">
        <v>720</v>
      </c>
      <c r="G233" s="291" cm="1">
        <f t="array" ref="G233">_xlfn.IFS(AND(B233&lt;&gt;"",C233="",D233=""),SUMPRODUCT($E$26:$E$422,$F$26:$F$422, --($B$26:$B$422=B233)),AND(C233&lt;&gt;"",F233=""),SUMPRODUCT($E$26:$E$422,$F$26:$F$422,--($C$26:$C$422=C233)),AND(D233,F233)&lt;&gt;0,E233*F233)</f>
        <v>1440</v>
      </c>
      <c r="H233" s="286" t="s">
        <v>2040</v>
      </c>
    </row>
    <row r="234" spans="2:8" outlineLevel="2" x14ac:dyDescent="0.2">
      <c r="B234" s="277" t="str">
        <f t="shared" si="43"/>
        <v>LAZER - 13</v>
      </c>
      <c r="C234" s="292" t="str">
        <f t="shared" si="44"/>
        <v>WC Hall - lazer</v>
      </c>
      <c r="D234" s="287" t="s">
        <v>6641</v>
      </c>
      <c r="E234" s="288">
        <v>2</v>
      </c>
      <c r="F234" s="285">
        <v>50</v>
      </c>
      <c r="G234" s="291" cm="1">
        <f t="array" ref="G234">_xlfn.IFS(AND(B234&lt;&gt;"",C234="",D234=""),SUMPRODUCT($E$26:$E$422,$F$26:$F$422, --($B$26:$B$422=B234)),AND(C234&lt;&gt;"",F234=""),SUMPRODUCT($E$26:$E$422,$F$26:$F$422,--($C$26:$C$422=C234)),AND(D234,F234)&lt;&gt;0,E234*F234)</f>
        <v>100</v>
      </c>
      <c r="H234" s="286" t="s">
        <v>2040</v>
      </c>
    </row>
    <row r="235" spans="2:8" ht="13.5" customHeight="1" outlineLevel="2" x14ac:dyDescent="0.2">
      <c r="B235" s="277" t="str">
        <f t="shared" si="43"/>
        <v>LAZER - 13</v>
      </c>
      <c r="C235" s="292" t="str">
        <f t="shared" ref="C235:C238" si="45">C232</f>
        <v>WC Hall - lazer</v>
      </c>
      <c r="D235" s="287" t="s">
        <v>7354</v>
      </c>
      <c r="E235" s="288">
        <f>(0.5*1.5)</f>
        <v>0.75</v>
      </c>
      <c r="F235" s="285">
        <v>750</v>
      </c>
      <c r="G235" s="291" cm="1">
        <f t="array" ref="G235">_xlfn.IFS(AND(B235&lt;&gt;"",C235="",D235=""),SUMPRODUCT($E$26:$E$422,$F$26:$F$422, --($B$26:$B$422=B235)),AND(C235&lt;&gt;"",F235=""),SUMPRODUCT($E$26:$E$422,$F$26:$F$422,--($C$26:$C$422=C235)),AND(D235,F235)&lt;&gt;0,E235*F235)</f>
        <v>562.5</v>
      </c>
      <c r="H235" s="286" t="s">
        <v>6665</v>
      </c>
    </row>
    <row r="236" spans="2:8" outlineLevel="2" x14ac:dyDescent="0.2">
      <c r="B236" s="277" t="str">
        <f t="shared" si="43"/>
        <v>LAZER - 13</v>
      </c>
      <c r="C236" s="292" t="str">
        <f t="shared" si="45"/>
        <v>WC Hall - lazer</v>
      </c>
      <c r="D236" s="287" t="s">
        <v>2047</v>
      </c>
      <c r="E236" s="288">
        <v>1</v>
      </c>
      <c r="F236" s="285">
        <v>1000</v>
      </c>
      <c r="G236" s="291" cm="1">
        <f t="array" ref="G236">_xlfn.IFS(AND(B236&lt;&gt;"",C236="",D236=""),SUMPRODUCT($E$26:$E$422,$F$26:$F$422, --($B$26:$B$422=B236)),AND(C236&lt;&gt;"",F236=""),SUMPRODUCT($E$26:$E$422,$F$26:$F$422,--($C$26:$C$422=C236)),AND(D236,F236)&lt;&gt;0,E236*F236)</f>
        <v>1000</v>
      </c>
      <c r="H236" s="286" t="s">
        <v>6675</v>
      </c>
    </row>
    <row r="237" spans="2:8" ht="13.5" customHeight="1" outlineLevel="2" x14ac:dyDescent="0.2">
      <c r="B237" s="277" t="str">
        <f t="shared" si="43"/>
        <v>LAZER - 13</v>
      </c>
      <c r="C237" s="292" t="str">
        <f t="shared" si="45"/>
        <v>WC Hall - lazer</v>
      </c>
      <c r="D237" s="287" t="s">
        <v>6712</v>
      </c>
      <c r="E237" s="288">
        <v>1</v>
      </c>
      <c r="F237" s="285">
        <v>56</v>
      </c>
      <c r="G237" s="291" cm="1">
        <f t="array" ref="G237">_xlfn.IFS(AND(B237&lt;&gt;"",C237="",D237=""),SUMPRODUCT($E$26:$E$422,$F$26:$F$422, --($B$26:$B$422=B237)),AND(C237&lt;&gt;"",F237=""),SUMPRODUCT($E$26:$E$422,$F$26:$F$422,--($C$26:$C$422=C237)),AND(D237,F237)&lt;&gt;0,E237*F237)</f>
        <v>56</v>
      </c>
      <c r="H237" s="286" t="s">
        <v>6677</v>
      </c>
    </row>
    <row r="238" spans="2:8" outlineLevel="2" x14ac:dyDescent="0.2">
      <c r="B238" s="277" t="str">
        <f t="shared" si="43"/>
        <v>LAZER - 13</v>
      </c>
      <c r="C238" s="292" t="str">
        <f t="shared" si="45"/>
        <v>WC Hall - lazer</v>
      </c>
      <c r="D238" s="287" t="s">
        <v>1800</v>
      </c>
      <c r="E238" s="288">
        <v>1</v>
      </c>
      <c r="F238" s="285">
        <v>700</v>
      </c>
      <c r="G238" s="291" cm="1">
        <f t="array" ref="G238">_xlfn.IFS(AND(B238&lt;&gt;"",C238="",D238=""),SUMPRODUCT($E$26:$E$422,$F$26:$F$422, --($B$26:$B$422=B238)),AND(C238&lt;&gt;"",F238=""),SUMPRODUCT($E$26:$E$422,$F$26:$F$422,--($C$26:$C$422=C238)),AND(D238,F238)&lt;&gt;0,E238*F238)</f>
        <v>700</v>
      </c>
      <c r="H238" s="286" t="s">
        <v>6677</v>
      </c>
    </row>
    <row r="239" spans="2:8" ht="13.5" customHeight="1" outlineLevel="2" x14ac:dyDescent="0.2">
      <c r="B239" s="277" t="str">
        <f t="shared" si="43"/>
        <v>LAZER - 13</v>
      </c>
      <c r="C239" s="292" t="str">
        <f t="shared" si="44"/>
        <v>WC Hall - lazer</v>
      </c>
      <c r="D239" s="287" t="s">
        <v>1799</v>
      </c>
      <c r="E239" s="288">
        <v>2</v>
      </c>
      <c r="F239" s="285">
        <v>3500</v>
      </c>
      <c r="G239" s="291" cm="1">
        <f t="array" ref="G239">_xlfn.IFS(AND(B239&lt;&gt;"",C239="",D239=""),SUMPRODUCT($E$26:$E$422,$F$26:$F$422, --($B$26:$B$422=B239)),AND(C239&lt;&gt;"",F239=""),SUMPRODUCT($E$26:$E$422,$F$26:$F$422,--($C$26:$C$422=C239)),AND(D239,F239)&lt;&gt;0,E239*F239)</f>
        <v>7000</v>
      </c>
      <c r="H239" s="286" t="s">
        <v>2041</v>
      </c>
    </row>
    <row r="240" spans="2:8" outlineLevel="1" x14ac:dyDescent="0.2">
      <c r="B240" s="277" t="str">
        <f t="shared" si="43"/>
        <v>LAZER - 13</v>
      </c>
      <c r="C240" s="278" t="s">
        <v>6737</v>
      </c>
      <c r="D240" s="279" t="s">
        <v>1797</v>
      </c>
      <c r="E240" s="280">
        <v>6.23</v>
      </c>
      <c r="F240" s="281"/>
      <c r="G240" s="282" cm="1">
        <f t="array" ref="G240">_xlfn.IFS(AND(B240&lt;&gt;"",C240="",D240=""),SUMPRODUCT($E$26:$E$422,$F$26:$F$422, --($B$26:$B$422=B240)),AND(C240&lt;&gt;"",F240=""),SUMPRODUCT($E$26:$E$422,$F$26:$F$422,--($C$26:$C$422=C240)),AND(D240,F240)&lt;&gt;0,E240*F240)</f>
        <v>12212</v>
      </c>
      <c r="H240" s="283">
        <f>G240/E240</f>
        <v>1960.1926163723915</v>
      </c>
    </row>
    <row r="241" spans="2:8" outlineLevel="2" x14ac:dyDescent="0.2">
      <c r="B241" s="277" t="str">
        <f t="shared" si="43"/>
        <v>LAZER - 13</v>
      </c>
      <c r="C241" s="292" t="str">
        <f>C240</f>
        <v>WC PNE Hall - lazer (X2)</v>
      </c>
      <c r="D241" s="287" t="s">
        <v>6641</v>
      </c>
      <c r="E241" s="288">
        <v>4</v>
      </c>
      <c r="F241" s="285">
        <v>50</v>
      </c>
      <c r="G241" s="291" cm="1">
        <f t="array" ref="G241">_xlfn.IFS(AND(B241&lt;&gt;"",C241="",D241=""),SUMPRODUCT($E$26:$E$422,$F$26:$F$422, --($B$26:$B$422=B241)),AND(C241&lt;&gt;"",F241=""),SUMPRODUCT($E$26:$E$422,$F$26:$F$422,--($C$26:$C$422=C241)),AND(D241,F241)&lt;&gt;0,E241*F241)</f>
        <v>200</v>
      </c>
      <c r="H241" s="286" t="s">
        <v>2040</v>
      </c>
    </row>
    <row r="242" spans="2:8" ht="13.5" customHeight="1" outlineLevel="2" x14ac:dyDescent="0.2">
      <c r="B242" s="277" t="str">
        <f t="shared" si="43"/>
        <v>LAZER - 13</v>
      </c>
      <c r="C242" s="292" t="str">
        <f>C240</f>
        <v>WC PNE Hall - lazer (X2)</v>
      </c>
      <c r="D242" s="287" t="s">
        <v>6712</v>
      </c>
      <c r="E242" s="288">
        <v>2</v>
      </c>
      <c r="F242" s="285">
        <v>56</v>
      </c>
      <c r="G242" s="291" cm="1">
        <f t="array" ref="G242">_xlfn.IFS(AND(B242&lt;&gt;"",C242="",D242=""),SUMPRODUCT($E$26:$E$422,$F$26:$F$422, --($B$26:$B$422=B242)),AND(C242&lt;&gt;"",F242=""),SUMPRODUCT($E$26:$E$422,$F$26:$F$422,--($C$26:$C$422=C242)),AND(D242,F242)&lt;&gt;0,E242*F242)</f>
        <v>112</v>
      </c>
      <c r="H242" s="286" t="s">
        <v>6677</v>
      </c>
    </row>
    <row r="243" spans="2:8" outlineLevel="2" x14ac:dyDescent="0.2">
      <c r="B243" s="277" t="str">
        <f t="shared" si="43"/>
        <v>LAZER - 13</v>
      </c>
      <c r="C243" s="292" t="str">
        <f>C241</f>
        <v>WC PNE Hall - lazer (X2)</v>
      </c>
      <c r="D243" s="287" t="s">
        <v>1800</v>
      </c>
      <c r="E243" s="288">
        <v>2</v>
      </c>
      <c r="F243" s="285">
        <v>700</v>
      </c>
      <c r="G243" s="291" cm="1">
        <f t="array" ref="G243">_xlfn.IFS(AND(B243&lt;&gt;"",C243="",D243=""),SUMPRODUCT($E$26:$E$422,$F$26:$F$422, --($B$26:$B$422=B243)),AND(C243&lt;&gt;"",F243=""),SUMPRODUCT($E$26:$E$422,$F$26:$F$422,--($C$26:$C$422=C243)),AND(D243,F243)&lt;&gt;0,E243*F243)</f>
        <v>1400</v>
      </c>
      <c r="H243" s="286" t="s">
        <v>6677</v>
      </c>
    </row>
    <row r="244" spans="2:8" ht="13.5" customHeight="1" outlineLevel="2" x14ac:dyDescent="0.2">
      <c r="B244" s="277" t="str">
        <f t="shared" si="43"/>
        <v>LAZER - 13</v>
      </c>
      <c r="C244" s="292" t="str">
        <f>C243</f>
        <v>WC PNE Hall - lazer (X2)</v>
      </c>
      <c r="D244" s="287" t="s">
        <v>1799</v>
      </c>
      <c r="E244" s="288">
        <v>3</v>
      </c>
      <c r="F244" s="285">
        <v>3500</v>
      </c>
      <c r="G244" s="291" cm="1">
        <f t="array" ref="G244">_xlfn.IFS(AND(B244&lt;&gt;"",C244="",D244=""),SUMPRODUCT($E$26:$E$422,$F$26:$F$422, --($B$26:$B$422=B244)),AND(C244&lt;&gt;"",F244=""),SUMPRODUCT($E$26:$E$422,$F$26:$F$422,--($C$26:$C$422=C244)),AND(D244,F244)&lt;&gt;0,E244*F244)</f>
        <v>10500</v>
      </c>
      <c r="H244" s="286" t="s">
        <v>2041</v>
      </c>
    </row>
    <row r="245" spans="2:8" outlineLevel="1" x14ac:dyDescent="0.2">
      <c r="B245" s="277" t="str">
        <f t="shared" si="43"/>
        <v>LAZER - 13</v>
      </c>
      <c r="C245" s="278" t="s">
        <v>6738</v>
      </c>
      <c r="D245" s="279" t="s">
        <v>1797</v>
      </c>
      <c r="E245" s="280">
        <v>19.53</v>
      </c>
      <c r="F245" s="281"/>
      <c r="G245" s="282" cm="1">
        <f t="array" ref="G245">_xlfn.IFS(AND(B245&lt;&gt;"",C245="",D245=""),SUMPRODUCT($E$26:$E$422,$F$26:$F$422, --($B$26:$B$422=B245)),AND(C245&lt;&gt;"",F245=""),SUMPRODUCT($E$26:$E$422,$F$26:$F$422,--($C$26:$C$422=C245)),AND(D245,F245)&lt;&gt;0,E245*F245)</f>
        <v>8718</v>
      </c>
      <c r="H245" s="283">
        <f>G245/E245</f>
        <v>446.3901689708141</v>
      </c>
    </row>
    <row r="246" spans="2:8" outlineLevel="2" x14ac:dyDescent="0.2">
      <c r="B246" s="277" t="str">
        <f t="shared" si="43"/>
        <v>LAZER - 13</v>
      </c>
      <c r="C246" s="292" t="str">
        <f t="shared" ref="C246:C253" si="46">C245</f>
        <v>Circulação elevadores - Lazer</v>
      </c>
      <c r="D246" s="287" t="s">
        <v>2047</v>
      </c>
      <c r="E246" s="288">
        <v>3</v>
      </c>
      <c r="F246" s="285">
        <v>1000</v>
      </c>
      <c r="G246" s="291" cm="1">
        <f t="array" ref="G246">_xlfn.IFS(AND(B246&lt;&gt;"",C246="",D246=""),SUMPRODUCT($E$26:$E$422,$F$26:$F$422, --($B$26:$B$422=B246)),AND(C246&lt;&gt;"",F246=""),SUMPRODUCT($E$26:$E$422,$F$26:$F$422,--($C$26:$C$422=C246)),AND(D246,F246)&lt;&gt;0,E246*F246)</f>
        <v>3000</v>
      </c>
      <c r="H246" s="286" t="s">
        <v>6675</v>
      </c>
    </row>
    <row r="247" spans="2:8" ht="13.5" customHeight="1" outlineLevel="2" x14ac:dyDescent="0.2">
      <c r="B247" s="277" t="str">
        <f t="shared" si="43"/>
        <v>LAZER - 13</v>
      </c>
      <c r="C247" s="292" t="str">
        <f t="shared" si="46"/>
        <v>Circulação elevadores - Lazer</v>
      </c>
      <c r="D247" s="287" t="s">
        <v>6724</v>
      </c>
      <c r="E247" s="288">
        <v>1</v>
      </c>
      <c r="F247" s="285">
        <v>227</v>
      </c>
      <c r="G247" s="291" cm="1">
        <f t="array" ref="G247">_xlfn.IFS(AND(B247&lt;&gt;"",C247="",D247=""),SUMPRODUCT($E$26:$E$422,$F$26:$F$422, --($B$26:$B$422=B247)),AND(C247&lt;&gt;"",F247=""),SUMPRODUCT($E$26:$E$422,$F$26:$F$422,--($C$26:$C$422=C247)),AND(D247,F247)&lt;&gt;0,E247*F247)</f>
        <v>227</v>
      </c>
      <c r="H247" s="286" t="s">
        <v>2040</v>
      </c>
    </row>
    <row r="248" spans="2:8" ht="13.5" customHeight="1" outlineLevel="2" x14ac:dyDescent="0.2">
      <c r="B248" s="277" t="str">
        <f t="shared" si="43"/>
        <v>LAZER - 13</v>
      </c>
      <c r="C248" s="292" t="str">
        <f t="shared" si="46"/>
        <v>Circulação elevadores - Lazer</v>
      </c>
      <c r="D248" s="287" t="s">
        <v>6739</v>
      </c>
      <c r="E248" s="288">
        <v>4</v>
      </c>
      <c r="F248" s="285">
        <v>136</v>
      </c>
      <c r="G248" s="291" cm="1">
        <f t="array" ref="G248">_xlfn.IFS(AND(B248&lt;&gt;"",C248="",D248=""),SUMPRODUCT($E$26:$E$422,$F$26:$F$422, --($B$26:$B$422=B248)),AND(C248&lt;&gt;"",F248=""),SUMPRODUCT($E$26:$E$422,$F$26:$F$422,--($C$26:$C$422=C248)),AND(D248,F248)&lt;&gt;0,E248*F248)</f>
        <v>544</v>
      </c>
      <c r="H248" s="286" t="s">
        <v>2040</v>
      </c>
    </row>
    <row r="249" spans="2:8" ht="13.5" customHeight="1" outlineLevel="2" x14ac:dyDescent="0.2">
      <c r="B249" s="277" t="str">
        <f t="shared" si="43"/>
        <v>LAZER - 13</v>
      </c>
      <c r="C249" s="292" t="str">
        <f t="shared" si="46"/>
        <v>Circulação elevadores - Lazer</v>
      </c>
      <c r="D249" s="287" t="s">
        <v>6712</v>
      </c>
      <c r="E249" s="288">
        <v>1</v>
      </c>
      <c r="F249" s="285">
        <v>56</v>
      </c>
      <c r="G249" s="291" cm="1">
        <f t="array" ref="G249">_xlfn.IFS(AND(B249&lt;&gt;"",C249="",D249=""),SUMPRODUCT($E$26:$E$422,$F$26:$F$422, --($B$26:$B$422=B249)),AND(C249&lt;&gt;"",F249=""),SUMPRODUCT($E$26:$E$422,$F$26:$F$422,--($C$26:$C$422=C249)),AND(D249,F249)&lt;&gt;0,E249*F249)</f>
        <v>56</v>
      </c>
      <c r="H249" s="286" t="s">
        <v>6677</v>
      </c>
    </row>
    <row r="250" spans="2:8" outlineLevel="2" x14ac:dyDescent="0.2">
      <c r="B250" s="277" t="str">
        <f t="shared" si="43"/>
        <v>LAZER - 13</v>
      </c>
      <c r="C250" s="292" t="str">
        <f t="shared" si="46"/>
        <v>Circulação elevadores - Lazer</v>
      </c>
      <c r="D250" s="287" t="s">
        <v>2043</v>
      </c>
      <c r="E250" s="288">
        <v>1</v>
      </c>
      <c r="F250" s="290">
        <v>200</v>
      </c>
      <c r="G250" s="291" cm="1">
        <f t="array" ref="G250">_xlfn.IFS(AND(B250&lt;&gt;"",C250="",D250=""),SUMPRODUCT($E$26:$E$422,$F$26:$F$422, --($B$26:$B$422=B250)),AND(C250&lt;&gt;"",F250=""),SUMPRODUCT($E$26:$E$422,$F$26:$F$422,--($C$26:$C$422=C250)),AND(D250,F250)&lt;&gt;0,E250*F250)</f>
        <v>200</v>
      </c>
      <c r="H250" s="286" t="s">
        <v>2040</v>
      </c>
    </row>
    <row r="251" spans="2:8" ht="13.5" customHeight="1" outlineLevel="2" x14ac:dyDescent="0.2">
      <c r="B251" s="277" t="str">
        <f t="shared" si="43"/>
        <v>LAZER - 13</v>
      </c>
      <c r="C251" s="292" t="str">
        <f t="shared" si="46"/>
        <v>Circulação elevadores - Lazer</v>
      </c>
      <c r="D251" s="287" t="s">
        <v>6641</v>
      </c>
      <c r="E251" s="288">
        <v>10</v>
      </c>
      <c r="F251" s="285">
        <v>50</v>
      </c>
      <c r="G251" s="291" cm="1">
        <f t="array" ref="G251">_xlfn.IFS(AND(B251&lt;&gt;"",C251="",D251=""),SUMPRODUCT($E$26:$E$422,$F$26:$F$422, --($B$26:$B$422=B251)),AND(C251&lt;&gt;"",F251=""),SUMPRODUCT($E$26:$E$422,$F$26:$F$422,--($C$26:$C$422=C251)),AND(D251,F251)&lt;&gt;0,E251*F251)</f>
        <v>500</v>
      </c>
      <c r="H251" s="286" t="s">
        <v>2040</v>
      </c>
    </row>
    <row r="252" spans="2:8" outlineLevel="2" x14ac:dyDescent="0.2">
      <c r="B252" s="277" t="str">
        <f t="shared" si="43"/>
        <v>LAZER - 13</v>
      </c>
      <c r="C252" s="292" t="str">
        <f t="shared" si="46"/>
        <v>Circulação elevadores - Lazer</v>
      </c>
      <c r="D252" s="287" t="s">
        <v>2046</v>
      </c>
      <c r="E252" s="288">
        <v>1</v>
      </c>
      <c r="F252" s="285">
        <v>1500</v>
      </c>
      <c r="G252" s="291" cm="1">
        <f t="array" ref="G252">_xlfn.IFS(AND(B252&lt;&gt;"",C252="",D252=""),SUMPRODUCT($E$26:$E$422,$F$26:$F$422, --($B$26:$B$422=B252)),AND(C252&lt;&gt;"",F252=""),SUMPRODUCT($E$26:$E$422,$F$26:$F$422,--($C$26:$C$422=C252)),AND(D252,F252)&lt;&gt;0,E252*F252)</f>
        <v>1500</v>
      </c>
      <c r="H252" s="286" t="s">
        <v>6675</v>
      </c>
    </row>
    <row r="253" spans="2:8" ht="13.5" customHeight="1" outlineLevel="2" x14ac:dyDescent="0.2">
      <c r="B253" s="277" t="str">
        <f t="shared" si="43"/>
        <v>LAZER - 13</v>
      </c>
      <c r="C253" s="292" t="str">
        <f t="shared" si="46"/>
        <v>Circulação elevadores - Lazer</v>
      </c>
      <c r="D253" s="287" t="s">
        <v>2044</v>
      </c>
      <c r="E253" s="288">
        <v>2</v>
      </c>
      <c r="F253" s="285">
        <v>1345.5</v>
      </c>
      <c r="G253" s="291" cm="1">
        <f t="array" ref="G253">_xlfn.IFS(AND(B253&lt;&gt;"",C253="",D253=""),SUMPRODUCT($E$26:$E$422,$F$26:$F$422, --($B$26:$B$422=B253)),AND(C253&lt;&gt;"",F253=""),SUMPRODUCT($E$26:$E$422,$F$26:$F$422,--($C$26:$C$422=C253)),AND(D253,F253)&lt;&gt;0,E253*F253)</f>
        <v>2691</v>
      </c>
      <c r="H253" s="286" t="s">
        <v>6675</v>
      </c>
    </row>
    <row r="254" spans="2:8" ht="13.5" customHeight="1" outlineLevel="1" x14ac:dyDescent="0.2">
      <c r="B254" s="277" t="str">
        <f t="shared" si="43"/>
        <v>LAZER - 13</v>
      </c>
      <c r="C254" s="278" t="s">
        <v>6743</v>
      </c>
      <c r="D254" s="279" t="s">
        <v>1797</v>
      </c>
      <c r="E254" s="280">
        <v>54.87</v>
      </c>
      <c r="F254" s="281"/>
      <c r="G254" s="282" cm="1">
        <f t="array" ref="G254">_xlfn.IFS(AND(B254&lt;&gt;"",C254="",D254=""),SUMPRODUCT($E$26:$E$422,$F$26:$F$422, --($B$26:$B$422=B254)),AND(C254&lt;&gt;"",F254=""),SUMPRODUCT($E$26:$E$422,$F$26:$F$422,--($C$26:$C$422=C254)),AND(D254,F254)&lt;&gt;0,E254*F254)</f>
        <v>249569.15</v>
      </c>
      <c r="H254" s="283">
        <f>G254/E254</f>
        <v>4548.371605613268</v>
      </c>
    </row>
    <row r="255" spans="2:8" ht="13.5" customHeight="1" outlineLevel="2" x14ac:dyDescent="0.2">
      <c r="B255" s="277" t="str">
        <f t="shared" si="43"/>
        <v>LAZER - 13</v>
      </c>
      <c r="C255" s="292" t="str">
        <f>C254</f>
        <v>Galleria Gourmet</v>
      </c>
      <c r="D255" s="287" t="s">
        <v>6744</v>
      </c>
      <c r="E255" s="288">
        <v>1</v>
      </c>
      <c r="F255" s="285">
        <v>17500</v>
      </c>
      <c r="G255" s="291" cm="1">
        <f t="array" ref="G255">_xlfn.IFS(AND(B255&lt;&gt;"",C255="",D255=""),SUMPRODUCT($E$26:$E$422,$F$26:$F$422, --($B$26:$B$422=B255)),AND(C255&lt;&gt;"",F255=""),SUMPRODUCT($E$26:$E$422,$F$26:$F$422,--($C$26:$C$422=C255)),AND(D255,F255)&lt;&gt;0,E255*F255)</f>
        <v>17500</v>
      </c>
      <c r="H255" s="286" t="s">
        <v>6673</v>
      </c>
    </row>
    <row r="256" spans="2:8" ht="13.5" customHeight="1" outlineLevel="2" x14ac:dyDescent="0.2">
      <c r="B256" s="277" t="str">
        <f t="shared" si="43"/>
        <v>LAZER - 13</v>
      </c>
      <c r="C256" s="292" t="str">
        <f>C254</f>
        <v>Galleria Gourmet</v>
      </c>
      <c r="D256" s="287" t="s">
        <v>6745</v>
      </c>
      <c r="E256" s="288">
        <v>2</v>
      </c>
      <c r="F256" s="285">
        <v>2750</v>
      </c>
      <c r="G256" s="291" cm="1">
        <f t="array" ref="G256">_xlfn.IFS(AND(B256&lt;&gt;"",C256="",D256=""),SUMPRODUCT($E$26:$E$422,$F$26:$F$422, --($B$26:$B$422=B256)),AND(C256&lt;&gt;"",F256=""),SUMPRODUCT($E$26:$E$422,$F$26:$F$422,--($C$26:$C$422=C256)),AND(D256,F256)&lt;&gt;0,E256*F256)</f>
        <v>5500</v>
      </c>
      <c r="H256" s="286" t="s">
        <v>6674</v>
      </c>
    </row>
    <row r="257" spans="2:8" ht="13.5" customHeight="1" outlineLevel="2" x14ac:dyDescent="0.2">
      <c r="B257" s="277" t="str">
        <f t="shared" si="43"/>
        <v>LAZER - 13</v>
      </c>
      <c r="C257" s="292" t="str">
        <f>C255</f>
        <v>Galleria Gourmet</v>
      </c>
      <c r="D257" s="287" t="s">
        <v>6747</v>
      </c>
      <c r="E257" s="288">
        <v>3</v>
      </c>
      <c r="F257" s="285">
        <v>3020</v>
      </c>
      <c r="G257" s="291" cm="1">
        <f t="array" ref="G257">_xlfn.IFS(AND(B257&lt;&gt;"",C257="",D257=""),SUMPRODUCT($E$26:$E$422,$F$26:$F$422, --($B$26:$B$422=B257)),AND(C257&lt;&gt;"",F257=""),SUMPRODUCT($E$26:$E$422,$F$26:$F$422,--($C$26:$C$422=C257)),AND(D257,F257)&lt;&gt;0,E257*F257)</f>
        <v>9060</v>
      </c>
      <c r="H257" s="286" t="s">
        <v>6674</v>
      </c>
    </row>
    <row r="258" spans="2:8" ht="13.5" customHeight="1" outlineLevel="2" x14ac:dyDescent="0.2">
      <c r="B258" s="277" t="str">
        <f t="shared" si="43"/>
        <v>LAZER - 13</v>
      </c>
      <c r="C258" s="292" t="str">
        <f t="shared" ref="C258:C261" si="47">C256</f>
        <v>Galleria Gourmet</v>
      </c>
      <c r="D258" s="287" t="s">
        <v>6748</v>
      </c>
      <c r="E258" s="288">
        <v>1</v>
      </c>
      <c r="F258" s="285">
        <v>1466</v>
      </c>
      <c r="G258" s="291" cm="1">
        <f t="array" ref="G258">_xlfn.IFS(AND(B258&lt;&gt;"",C258="",D258=""),SUMPRODUCT($E$26:$E$422,$F$26:$F$422, --($B$26:$B$422=B258)),AND(C258&lt;&gt;"",F258=""),SUMPRODUCT($E$26:$E$422,$F$26:$F$422,--($C$26:$C$422=C258)),AND(D258,F258)&lt;&gt;0,E258*F258)</f>
        <v>1466</v>
      </c>
      <c r="H258" s="286" t="s">
        <v>2040</v>
      </c>
    </row>
    <row r="259" spans="2:8" ht="13.5" customHeight="1" outlineLevel="2" x14ac:dyDescent="0.2">
      <c r="B259" s="277" t="str">
        <f t="shared" si="43"/>
        <v>LAZER - 13</v>
      </c>
      <c r="C259" s="292" t="str">
        <f t="shared" si="47"/>
        <v>Galleria Gourmet</v>
      </c>
      <c r="D259" s="287" t="s">
        <v>7355</v>
      </c>
      <c r="E259" s="288">
        <f>(0.9*2.5)</f>
        <v>2.25</v>
      </c>
      <c r="F259" s="285">
        <v>750</v>
      </c>
      <c r="G259" s="291" cm="1">
        <f t="array" ref="G259">_xlfn.IFS(AND(B259&lt;&gt;"",C259="",D259=""),SUMPRODUCT($E$26:$E$422,$F$26:$F$422, --($B$26:$B$422=B259)),AND(C259&lt;&gt;"",F259=""),SUMPRODUCT($E$26:$E$422,$F$26:$F$422,--($C$26:$C$422=C259)),AND(D259,F259)&lt;&gt;0,E259*F259)</f>
        <v>1687.5</v>
      </c>
      <c r="H259" s="286" t="s">
        <v>6665</v>
      </c>
    </row>
    <row r="260" spans="2:8" ht="13.5" customHeight="1" outlineLevel="2" x14ac:dyDescent="0.2">
      <c r="B260" s="277" t="str">
        <f t="shared" si="43"/>
        <v>LAZER - 13</v>
      </c>
      <c r="C260" s="292" t="str">
        <f t="shared" si="47"/>
        <v>Galleria Gourmet</v>
      </c>
      <c r="D260" s="287" t="s">
        <v>1799</v>
      </c>
      <c r="E260" s="288">
        <v>21</v>
      </c>
      <c r="F260" s="285">
        <v>3500</v>
      </c>
      <c r="G260" s="291" cm="1">
        <f t="array" ref="G260">_xlfn.IFS(AND(B260&lt;&gt;"",C260="",D260=""),SUMPRODUCT($E$26:$E$422,$F$26:$F$422, --($B$26:$B$422=B260)),AND(C260&lt;&gt;"",F260=""),SUMPRODUCT($E$26:$E$422,$F$26:$F$422,--($C$26:$C$422=C260)),AND(D260,F260)&lt;&gt;0,E260*F260)</f>
        <v>73500</v>
      </c>
      <c r="H260" s="286" t="s">
        <v>2041</v>
      </c>
    </row>
    <row r="261" spans="2:8" outlineLevel="2" x14ac:dyDescent="0.2">
      <c r="B261" s="277" t="str">
        <f t="shared" si="43"/>
        <v>LAZER - 13</v>
      </c>
      <c r="C261" s="292" t="str">
        <f t="shared" si="47"/>
        <v>Galleria Gourmet</v>
      </c>
      <c r="D261" s="287" t="s">
        <v>2047</v>
      </c>
      <c r="E261" s="288">
        <v>10</v>
      </c>
      <c r="F261" s="285">
        <v>1000</v>
      </c>
      <c r="G261" s="291" cm="1">
        <f t="array" ref="G261">_xlfn.IFS(AND(B261&lt;&gt;"",C261="",D261=""),SUMPRODUCT($E$26:$E$422,$F$26:$F$422, --($B$26:$B$422=B261)),AND(C261&lt;&gt;"",F261=""),SUMPRODUCT($E$26:$E$422,$F$26:$F$422,--($C$26:$C$422=C261)),AND(D261,F261)&lt;&gt;0,E261*F261)</f>
        <v>10000</v>
      </c>
      <c r="H261" s="286" t="s">
        <v>6675</v>
      </c>
    </row>
    <row r="262" spans="2:8" outlineLevel="2" x14ac:dyDescent="0.2">
      <c r="B262" s="277" t="str">
        <f t="shared" si="43"/>
        <v>LAZER - 13</v>
      </c>
      <c r="C262" s="292" t="str">
        <f t="shared" ref="C262:C264" si="48">C261</f>
        <v>Galleria Gourmet</v>
      </c>
      <c r="D262" s="287" t="s">
        <v>2046</v>
      </c>
      <c r="E262" s="288">
        <v>10</v>
      </c>
      <c r="F262" s="285">
        <v>1500</v>
      </c>
      <c r="G262" s="291" cm="1">
        <f t="array" ref="G262">_xlfn.IFS(AND(B262&lt;&gt;"",C262="",D262=""),SUMPRODUCT($E$26:$E$422,$F$26:$F$422, --($B$26:$B$422=B262)),AND(C262&lt;&gt;"",F262=""),SUMPRODUCT($E$26:$E$422,$F$26:$F$422,--($C$26:$C$422=C262)),AND(D262,F262)&lt;&gt;0,E262*F262)</f>
        <v>15000</v>
      </c>
      <c r="H262" s="286" t="s">
        <v>6675</v>
      </c>
    </row>
    <row r="263" spans="2:8" ht="13.5" customHeight="1" outlineLevel="2" x14ac:dyDescent="0.2">
      <c r="B263" s="277" t="str">
        <f t="shared" si="43"/>
        <v>LAZER - 13</v>
      </c>
      <c r="C263" s="292" t="str">
        <f t="shared" si="48"/>
        <v>Galleria Gourmet</v>
      </c>
      <c r="D263" s="287" t="s">
        <v>2044</v>
      </c>
      <c r="E263" s="288">
        <v>3</v>
      </c>
      <c r="F263" s="285">
        <v>1345.5</v>
      </c>
      <c r="G263" s="291" cm="1">
        <f t="array" ref="G263">_xlfn.IFS(AND(B263&lt;&gt;"",C263="",D263=""),SUMPRODUCT($E$26:$E$422,$F$26:$F$422, --($B$26:$B$422=B263)),AND(C263&lt;&gt;"",F263=""),SUMPRODUCT($E$26:$E$422,$F$26:$F$422,--($C$26:$C$422=C263)),AND(D263,F263)&lt;&gt;0,E263*F263)</f>
        <v>4036.5</v>
      </c>
      <c r="H263" s="286" t="s">
        <v>6675</v>
      </c>
    </row>
    <row r="264" spans="2:8" ht="13.5" customHeight="1" outlineLevel="2" x14ac:dyDescent="0.2">
      <c r="B264" s="277" t="str">
        <f t="shared" si="43"/>
        <v>LAZER - 13</v>
      </c>
      <c r="C264" s="292" t="str">
        <f t="shared" si="48"/>
        <v>Galleria Gourmet</v>
      </c>
      <c r="D264" s="287" t="s">
        <v>6749</v>
      </c>
      <c r="E264" s="288">
        <v>1</v>
      </c>
      <c r="F264" s="285">
        <v>2249</v>
      </c>
      <c r="G264" s="291" cm="1">
        <f t="array" ref="G264">_xlfn.IFS(AND(B264&lt;&gt;"",C264="",D264=""),SUMPRODUCT($E$26:$E$422,$F$26:$F$422, --($B$26:$B$422=B264)),AND(C264&lt;&gt;"",F264=""),SUMPRODUCT($E$26:$E$422,$F$26:$F$422,--($C$26:$C$422=C264)),AND(D264,F264)&lt;&gt;0,E264*F264)</f>
        <v>2249</v>
      </c>
      <c r="H264" s="286" t="s">
        <v>6669</v>
      </c>
    </row>
    <row r="265" spans="2:8" ht="13.5" customHeight="1" outlineLevel="2" x14ac:dyDescent="0.2">
      <c r="B265" s="277" t="str">
        <f t="shared" si="43"/>
        <v>LAZER - 13</v>
      </c>
      <c r="C265" s="292" t="str">
        <f>C263</f>
        <v>Galleria Gourmet</v>
      </c>
      <c r="D265" s="287" t="s">
        <v>6750</v>
      </c>
      <c r="E265" s="288">
        <v>1</v>
      </c>
      <c r="F265" s="285">
        <v>1300</v>
      </c>
      <c r="G265" s="291" cm="1">
        <f t="array" ref="G265">_xlfn.IFS(AND(B265&lt;&gt;"",C265="",D265=""),SUMPRODUCT($E$26:$E$422,$F$26:$F$422, --($B$26:$B$422=B265)),AND(C265&lt;&gt;"",F265=""),SUMPRODUCT($E$26:$E$422,$F$26:$F$422,--($C$26:$C$422=C265)),AND(D265,F265)&lt;&gt;0,E265*F265)</f>
        <v>1300</v>
      </c>
      <c r="H265" s="286" t="s">
        <v>6669</v>
      </c>
    </row>
    <row r="266" spans="2:8" ht="13.5" customHeight="1" outlineLevel="2" x14ac:dyDescent="0.2">
      <c r="B266" s="277" t="str">
        <f t="shared" ref="B266:B298" si="49">B265</f>
        <v>LAZER - 13</v>
      </c>
      <c r="C266" s="292" t="str">
        <f>C264</f>
        <v>Galleria Gourmet</v>
      </c>
      <c r="D266" s="287" t="s">
        <v>6751</v>
      </c>
      <c r="E266" s="288">
        <v>1</v>
      </c>
      <c r="F266" s="285">
        <v>899</v>
      </c>
      <c r="G266" s="291" cm="1">
        <f t="array" ref="G266">_xlfn.IFS(AND(B266&lt;&gt;"",C266="",D266=""),SUMPRODUCT($E$26:$E$422,$F$26:$F$422, --($B$26:$B$422=B266)),AND(C266&lt;&gt;"",F266=""),SUMPRODUCT($E$26:$E$422,$F$26:$F$422,--($C$26:$C$422=C266)),AND(D266,F266)&lt;&gt;0,E266*F266)</f>
        <v>899</v>
      </c>
      <c r="H266" s="286" t="s">
        <v>6669</v>
      </c>
    </row>
    <row r="267" spans="2:8" ht="13.5" customHeight="1" outlineLevel="2" x14ac:dyDescent="0.2">
      <c r="B267" s="277" t="str">
        <f t="shared" si="49"/>
        <v>LAZER - 13</v>
      </c>
      <c r="C267" s="292" t="str">
        <f t="shared" ref="C267:C285" si="50">C266</f>
        <v>Galleria Gourmet</v>
      </c>
      <c r="D267" s="287" t="s">
        <v>6746</v>
      </c>
      <c r="E267" s="288">
        <v>1</v>
      </c>
      <c r="F267" s="285">
        <v>4167</v>
      </c>
      <c r="G267" s="291" cm="1">
        <f t="array" ref="G267">_xlfn.IFS(AND(B267&lt;&gt;"",C267="",D267=""),SUMPRODUCT($E$26:$E$422,$F$26:$F$422, --($B$26:$B$422=B267)),AND(C267&lt;&gt;"",F267=""),SUMPRODUCT($E$26:$E$422,$F$26:$F$422,--($C$26:$C$422=C267)),AND(D267,F267)&lt;&gt;0,E267*F267)</f>
        <v>4167</v>
      </c>
      <c r="H267" s="286" t="s">
        <v>6676</v>
      </c>
    </row>
    <row r="268" spans="2:8" ht="13.5" customHeight="1" outlineLevel="2" x14ac:dyDescent="0.2">
      <c r="B268" s="277" t="str">
        <f t="shared" si="49"/>
        <v>LAZER - 13</v>
      </c>
      <c r="C268" s="292" t="str">
        <f t="shared" si="50"/>
        <v>Galleria Gourmet</v>
      </c>
      <c r="D268" s="287" t="s">
        <v>6752</v>
      </c>
      <c r="E268" s="288">
        <v>1</v>
      </c>
      <c r="F268" s="285">
        <v>1305</v>
      </c>
      <c r="G268" s="291" cm="1">
        <f t="array" ref="G268">_xlfn.IFS(AND(B268&lt;&gt;"",C268="",D268=""),SUMPRODUCT($E$26:$E$422,$F$26:$F$422, --($B$26:$B$422=B268)),AND(C268&lt;&gt;"",F268=""),SUMPRODUCT($E$26:$E$422,$F$26:$F$422,--($C$26:$C$422=C268)),AND(D268,F268)&lt;&gt;0,E268*F268)</f>
        <v>1305</v>
      </c>
      <c r="H268" s="286" t="s">
        <v>2040</v>
      </c>
    </row>
    <row r="269" spans="2:8" ht="13.5" customHeight="1" outlineLevel="2" x14ac:dyDescent="0.2">
      <c r="B269" s="277" t="str">
        <f t="shared" si="49"/>
        <v>LAZER - 13</v>
      </c>
      <c r="C269" s="292" t="str">
        <f t="shared" si="50"/>
        <v>Galleria Gourmet</v>
      </c>
      <c r="D269" s="287" t="s">
        <v>6753</v>
      </c>
      <c r="E269" s="288">
        <v>4</v>
      </c>
      <c r="F269" s="285">
        <v>98</v>
      </c>
      <c r="G269" s="291" cm="1">
        <f t="array" ref="G269">_xlfn.IFS(AND(B269&lt;&gt;"",C269="",D269=""),SUMPRODUCT($E$26:$E$422,$F$26:$F$422, --($B$26:$B$422=B269)),AND(C269&lt;&gt;"",F269=""),SUMPRODUCT($E$26:$E$422,$F$26:$F$422,--($C$26:$C$422=C269)),AND(D269,F269)&lt;&gt;0,E269*F269)</f>
        <v>392</v>
      </c>
      <c r="H269" s="286" t="s">
        <v>2040</v>
      </c>
    </row>
    <row r="270" spans="2:8" ht="13.5" customHeight="1" outlineLevel="2" x14ac:dyDescent="0.2">
      <c r="B270" s="277" t="str">
        <f t="shared" si="49"/>
        <v>LAZER - 13</v>
      </c>
      <c r="C270" s="292" t="str">
        <f t="shared" si="50"/>
        <v>Galleria Gourmet</v>
      </c>
      <c r="D270" s="287" t="s">
        <v>6754</v>
      </c>
      <c r="E270" s="288">
        <v>1</v>
      </c>
      <c r="F270" s="285">
        <v>510</v>
      </c>
      <c r="G270" s="291" cm="1">
        <f t="array" ref="G270">_xlfn.IFS(AND(B270&lt;&gt;"",C270="",D270=""),SUMPRODUCT($E$26:$E$422,$F$26:$F$422, --($B$26:$B$422=B270)),AND(C270&lt;&gt;"",F270=""),SUMPRODUCT($E$26:$E$422,$F$26:$F$422,--($C$26:$C$422=C270)),AND(D270,F270)&lt;&gt;0,E270*F270)</f>
        <v>510</v>
      </c>
      <c r="H270" s="286" t="s">
        <v>6677</v>
      </c>
    </row>
    <row r="271" spans="2:8" outlineLevel="2" x14ac:dyDescent="0.2">
      <c r="B271" s="277" t="str">
        <f t="shared" si="49"/>
        <v>LAZER - 13</v>
      </c>
      <c r="C271" s="292" t="str">
        <f t="shared" si="50"/>
        <v>Galleria Gourmet</v>
      </c>
      <c r="D271" s="287" t="s">
        <v>6755</v>
      </c>
      <c r="E271" s="288">
        <v>1</v>
      </c>
      <c r="F271" s="285">
        <v>358</v>
      </c>
      <c r="G271" s="291" cm="1">
        <f t="array" ref="G271">_xlfn.IFS(AND(B271&lt;&gt;"",C271="",D271=""),SUMPRODUCT($E$26:$E$422,$F$26:$F$422, --($B$26:$B$422=B271)),AND(C271&lt;&gt;"",F271=""),SUMPRODUCT($E$26:$E$422,$F$26:$F$422,--($C$26:$C$422=C271)),AND(D271,F271)&lt;&gt;0,E271*F271)</f>
        <v>358</v>
      </c>
      <c r="H271" s="286" t="s">
        <v>6677</v>
      </c>
    </row>
    <row r="272" spans="2:8" outlineLevel="2" x14ac:dyDescent="0.2">
      <c r="B272" s="277" t="str">
        <f t="shared" si="49"/>
        <v>LAZER - 13</v>
      </c>
      <c r="C272" s="292" t="str">
        <f t="shared" si="50"/>
        <v>Galleria Gourmet</v>
      </c>
      <c r="D272" s="287" t="s">
        <v>6756</v>
      </c>
      <c r="E272" s="288">
        <v>2</v>
      </c>
      <c r="F272" s="285">
        <v>3200</v>
      </c>
      <c r="G272" s="291" cm="1">
        <f t="array" ref="G272">_xlfn.IFS(AND(B272&lt;&gt;"",C272="",D272=""),SUMPRODUCT($E$26:$E$422,$F$26:$F$422, --($B$26:$B$422=B272)),AND(C272&lt;&gt;"",F272=""),SUMPRODUCT($E$26:$E$422,$F$26:$F$422,--($C$26:$C$422=C272)),AND(D272,F272)&lt;&gt;0,E272*F272)</f>
        <v>6400</v>
      </c>
      <c r="H272" s="286" t="s">
        <v>6674</v>
      </c>
    </row>
    <row r="273" spans="2:8" outlineLevel="2" x14ac:dyDescent="0.2">
      <c r="B273" s="277" t="str">
        <f t="shared" si="49"/>
        <v>LAZER - 13</v>
      </c>
      <c r="C273" s="292" t="str">
        <f t="shared" si="50"/>
        <v>Galleria Gourmet</v>
      </c>
      <c r="D273" s="287" t="s">
        <v>6735</v>
      </c>
      <c r="E273" s="288">
        <v>1</v>
      </c>
      <c r="F273" s="290">
        <v>1349</v>
      </c>
      <c r="G273" s="291" cm="1">
        <f t="array" ref="G273">_xlfn.IFS(AND(B273&lt;&gt;"",C273="",D273=""),SUMPRODUCT($E$26:$E$422,$F$26:$F$422, --($B$26:$B$422=B273)),AND(C273&lt;&gt;"",F273=""),SUMPRODUCT($E$26:$E$422,$F$26:$F$422,--($C$26:$C$422=C273)),AND(D273,F273)&lt;&gt;0,E273*F273)</f>
        <v>1349</v>
      </c>
      <c r="H273" s="286" t="s">
        <v>6677</v>
      </c>
    </row>
    <row r="274" spans="2:8" ht="13.5" customHeight="1" outlineLevel="2" x14ac:dyDescent="0.2">
      <c r="B274" s="277" t="str">
        <f t="shared" si="49"/>
        <v>LAZER - 13</v>
      </c>
      <c r="C274" s="292" t="str">
        <f t="shared" si="50"/>
        <v>Galleria Gourmet</v>
      </c>
      <c r="D274" s="287" t="s">
        <v>2045</v>
      </c>
      <c r="E274" s="288">
        <v>1</v>
      </c>
      <c r="F274" s="290">
        <v>4199</v>
      </c>
      <c r="G274" s="291" cm="1">
        <f t="array" ref="G274">_xlfn.IFS(AND(B274&lt;&gt;"",C274="",D274=""),SUMPRODUCT($E$26:$E$422,$F$26:$F$422, --($B$26:$B$422=B274)),AND(C274&lt;&gt;"",F274=""),SUMPRODUCT($E$26:$E$422,$F$26:$F$422,--($C$26:$C$422=C274)),AND(D274,F274)&lt;&gt;0,E274*F274)</f>
        <v>4199</v>
      </c>
      <c r="H274" s="286" t="s">
        <v>6669</v>
      </c>
    </row>
    <row r="275" spans="2:8" ht="13.5" customHeight="1" outlineLevel="2" x14ac:dyDescent="0.2">
      <c r="B275" s="277" t="str">
        <f t="shared" si="49"/>
        <v>LAZER - 13</v>
      </c>
      <c r="C275" s="292" t="str">
        <f t="shared" si="50"/>
        <v>Galleria Gourmet</v>
      </c>
      <c r="D275" s="287" t="s">
        <v>1803</v>
      </c>
      <c r="E275" s="288">
        <v>1</v>
      </c>
      <c r="F275" s="290">
        <v>2697.05</v>
      </c>
      <c r="G275" s="291" cm="1">
        <f t="array" ref="G275">_xlfn.IFS(AND(B275&lt;&gt;"",C275="",D275=""),SUMPRODUCT($E$26:$E$422,$F$26:$F$422, --($B$26:$B$422=B275)),AND(C275&lt;&gt;"",F275=""),SUMPRODUCT($E$26:$E$422,$F$26:$F$422,--($C$26:$C$422=C275)),AND(D275,F275)&lt;&gt;0,E275*F275)</f>
        <v>2697.05</v>
      </c>
      <c r="H275" s="286" t="s">
        <v>6669</v>
      </c>
    </row>
    <row r="276" spans="2:8" ht="13.5" customHeight="1" outlineLevel="2" x14ac:dyDescent="0.2">
      <c r="B276" s="277" t="str">
        <f t="shared" si="49"/>
        <v>LAZER - 13</v>
      </c>
      <c r="C276" s="292" t="str">
        <f t="shared" si="50"/>
        <v>Galleria Gourmet</v>
      </c>
      <c r="D276" s="287" t="s">
        <v>6641</v>
      </c>
      <c r="E276" s="288">
        <v>10</v>
      </c>
      <c r="F276" s="285">
        <v>50</v>
      </c>
      <c r="G276" s="291" cm="1">
        <f t="array" ref="G276">_xlfn.IFS(AND(B276&lt;&gt;"",C276="",D276=""),SUMPRODUCT($E$26:$E$422,$F$26:$F$422, --($B$26:$B$422=B276)),AND(C276&lt;&gt;"",F276=""),SUMPRODUCT($E$26:$E$422,$F$26:$F$422,--($C$26:$C$422=C276)),AND(D276,F276)&lt;&gt;0,E276*F276)</f>
        <v>500</v>
      </c>
      <c r="H276" s="286" t="s">
        <v>2040</v>
      </c>
    </row>
    <row r="277" spans="2:8" ht="13.5" customHeight="1" outlineLevel="2" x14ac:dyDescent="0.2">
      <c r="B277" s="277" t="str">
        <f t="shared" si="49"/>
        <v>LAZER - 13</v>
      </c>
      <c r="C277" s="292" t="str">
        <f t="shared" si="50"/>
        <v>Galleria Gourmet</v>
      </c>
      <c r="D277" s="287" t="s">
        <v>6757</v>
      </c>
      <c r="E277" s="288">
        <v>4</v>
      </c>
      <c r="F277" s="285">
        <v>1896</v>
      </c>
      <c r="G277" s="291" cm="1">
        <f t="array" ref="G277">_xlfn.IFS(AND(B277&lt;&gt;"",C277="",D277=""),SUMPRODUCT($E$26:$E$422,$F$26:$F$422, --($B$26:$B$422=B277)),AND(C277&lt;&gt;"",F277=""),SUMPRODUCT($E$26:$E$422,$F$26:$F$422,--($C$26:$C$422=C277)),AND(D277,F277)&lt;&gt;0,E277*F277)</f>
        <v>7584</v>
      </c>
      <c r="H277" s="286" t="s">
        <v>6674</v>
      </c>
    </row>
    <row r="278" spans="2:8" ht="13.5" customHeight="1" outlineLevel="2" x14ac:dyDescent="0.2">
      <c r="B278" s="277" t="str">
        <f t="shared" si="49"/>
        <v>LAZER - 13</v>
      </c>
      <c r="C278" s="292" t="str">
        <f t="shared" si="50"/>
        <v>Galleria Gourmet</v>
      </c>
      <c r="D278" s="287" t="s">
        <v>6634</v>
      </c>
      <c r="E278" s="288">
        <v>5</v>
      </c>
      <c r="F278" s="285">
        <v>3446</v>
      </c>
      <c r="G278" s="291" cm="1">
        <f t="array" ref="G278">_xlfn.IFS(AND(B278&lt;&gt;"",C278="",D278=""),SUMPRODUCT($E$26:$E$422,$F$26:$F$422, --($B$26:$B$422=B278)),AND(C278&lt;&gt;"",F278=""),SUMPRODUCT($E$26:$E$422,$F$26:$F$422,--($C$26:$C$422=C278)),AND(D278,F278)&lt;&gt;0,E278*F278)</f>
        <v>17230</v>
      </c>
      <c r="H278" s="286" t="s">
        <v>6672</v>
      </c>
    </row>
    <row r="279" spans="2:8" ht="13.5" customHeight="1" outlineLevel="2" x14ac:dyDescent="0.2">
      <c r="B279" s="277" t="str">
        <f t="shared" si="49"/>
        <v>LAZER - 13</v>
      </c>
      <c r="C279" s="292" t="str">
        <f t="shared" si="50"/>
        <v>Galleria Gourmet</v>
      </c>
      <c r="D279" s="287" t="s">
        <v>6758</v>
      </c>
      <c r="E279" s="288">
        <v>2</v>
      </c>
      <c r="F279" s="285">
        <v>6576</v>
      </c>
      <c r="G279" s="291" cm="1">
        <f t="array" ref="G279">_xlfn.IFS(AND(B279&lt;&gt;"",C279="",D279=""),SUMPRODUCT($E$26:$E$422,$F$26:$F$422, --($B$26:$B$422=B279)),AND(C279&lt;&gt;"",F279=""),SUMPRODUCT($E$26:$E$422,$F$26:$F$422,--($C$26:$C$422=C279)),AND(D279,F279)&lt;&gt;0,E279*F279)</f>
        <v>13152</v>
      </c>
      <c r="H279" s="286" t="s">
        <v>6674</v>
      </c>
    </row>
    <row r="280" spans="2:8" ht="13.5" customHeight="1" outlineLevel="2" x14ac:dyDescent="0.2">
      <c r="B280" s="277" t="str">
        <f t="shared" si="49"/>
        <v>LAZER - 13</v>
      </c>
      <c r="C280" s="292" t="str">
        <f t="shared" si="50"/>
        <v>Galleria Gourmet</v>
      </c>
      <c r="D280" s="287" t="s">
        <v>6759</v>
      </c>
      <c r="E280" s="288">
        <v>2</v>
      </c>
      <c r="F280" s="285">
        <v>14867</v>
      </c>
      <c r="G280" s="291" cm="1">
        <f t="array" ref="G280">_xlfn.IFS(AND(B280&lt;&gt;"",C280="",D280=""),SUMPRODUCT($E$26:$E$422,$F$26:$F$422, --($B$26:$B$422=B280)),AND(C280&lt;&gt;"",F280=""),SUMPRODUCT($E$26:$E$422,$F$26:$F$422,--($C$26:$C$422=C280)),AND(D280,F280)&lt;&gt;0,E280*F280)</f>
        <v>29734</v>
      </c>
      <c r="H280" s="286" t="s">
        <v>6674</v>
      </c>
    </row>
    <row r="281" spans="2:8" ht="13.5" customHeight="1" outlineLevel="2" x14ac:dyDescent="0.2">
      <c r="B281" s="277" t="str">
        <f t="shared" si="49"/>
        <v>LAZER - 13</v>
      </c>
      <c r="C281" s="292" t="str">
        <f t="shared" si="50"/>
        <v>Galleria Gourmet</v>
      </c>
      <c r="D281" s="287" t="s">
        <v>6760</v>
      </c>
      <c r="E281" s="288">
        <v>2</v>
      </c>
      <c r="F281" s="285">
        <v>8000</v>
      </c>
      <c r="G281" s="291" cm="1">
        <f t="array" ref="G281">_xlfn.IFS(AND(B281&lt;&gt;"",C281="",D281=""),SUMPRODUCT($E$26:$E$422,$F$26:$F$422, --($B$26:$B$422=B281)),AND(C281&lt;&gt;"",F281=""),SUMPRODUCT($E$26:$E$422,$F$26:$F$422,--($C$26:$C$422=C281)),AND(D281,F281)&lt;&gt;0,E281*F281)</f>
        <v>16000</v>
      </c>
      <c r="H281" s="286" t="s">
        <v>6673</v>
      </c>
    </row>
    <row r="282" spans="2:8" ht="13.5" customHeight="1" outlineLevel="2" x14ac:dyDescent="0.2">
      <c r="B282" s="277" t="str">
        <f t="shared" si="49"/>
        <v>LAZER - 13</v>
      </c>
      <c r="C282" s="292" t="str">
        <f t="shared" si="50"/>
        <v>Galleria Gourmet</v>
      </c>
      <c r="D282" s="287" t="s">
        <v>2043</v>
      </c>
      <c r="E282" s="288">
        <v>2</v>
      </c>
      <c r="F282" s="290">
        <v>200</v>
      </c>
      <c r="G282" s="291" cm="1">
        <f t="array" ref="G282">_xlfn.IFS(AND(B282&lt;&gt;"",C282="",D282=""),SUMPRODUCT($E$26:$E$422,$F$26:$F$422, --($B$26:$B$422=B282)),AND(C282&lt;&gt;"",F282=""),SUMPRODUCT($E$26:$E$422,$F$26:$F$422,--($C$26:$C$422=C282)),AND(D282,F282)&lt;&gt;0,E282*F282)</f>
        <v>400</v>
      </c>
      <c r="H282" s="286" t="s">
        <v>2040</v>
      </c>
    </row>
    <row r="283" spans="2:8" ht="13.5" customHeight="1" outlineLevel="2" x14ac:dyDescent="0.2">
      <c r="B283" s="277" t="str">
        <f t="shared" si="49"/>
        <v>LAZER - 13</v>
      </c>
      <c r="C283" s="292" t="str">
        <f t="shared" si="50"/>
        <v>Galleria Gourmet</v>
      </c>
      <c r="D283" s="287" t="s">
        <v>6712</v>
      </c>
      <c r="E283" s="288">
        <v>1</v>
      </c>
      <c r="F283" s="285">
        <v>56</v>
      </c>
      <c r="G283" s="291" cm="1">
        <f t="array" ref="G283">_xlfn.IFS(AND(B283&lt;&gt;"",C283="",D283=""),SUMPRODUCT($E$26:$E$422,$F$26:$F$422, --($B$26:$B$422=B283)),AND(C283&lt;&gt;"",F283=""),SUMPRODUCT($E$26:$E$422,$F$26:$F$422,--($C$26:$C$422=C283)),AND(D283,F283)&lt;&gt;0,E283*F283)</f>
        <v>56</v>
      </c>
      <c r="H283" s="286" t="s">
        <v>6677</v>
      </c>
    </row>
    <row r="284" spans="2:8" ht="13.5" customHeight="1" outlineLevel="2" x14ac:dyDescent="0.2">
      <c r="B284" s="277" t="str">
        <f t="shared" si="49"/>
        <v>LAZER - 13</v>
      </c>
      <c r="C284" s="292" t="str">
        <f t="shared" si="50"/>
        <v>Galleria Gourmet</v>
      </c>
      <c r="D284" s="287" t="s">
        <v>6692</v>
      </c>
      <c r="E284" s="288">
        <v>2</v>
      </c>
      <c r="F284" s="285">
        <v>569.04999999999995</v>
      </c>
      <c r="G284" s="291" cm="1">
        <f t="array" ref="G284">_xlfn.IFS(AND(B284&lt;&gt;"",C284="",D284=""),SUMPRODUCT($E$26:$E$422,$F$26:$F$422, --($B$26:$B$422=B284)),AND(C284&lt;&gt;"",F284=""),SUMPRODUCT($E$26:$E$422,$F$26:$F$422,--($C$26:$C$422=C284)),AND(D284,F284)&lt;&gt;0,E284*F284)</f>
        <v>1138.0999999999999</v>
      </c>
      <c r="H284" s="286" t="s">
        <v>6677</v>
      </c>
    </row>
    <row r="285" spans="2:8" ht="13.5" customHeight="1" outlineLevel="2" x14ac:dyDescent="0.2">
      <c r="B285" s="277" t="str">
        <f t="shared" si="49"/>
        <v>LAZER - 13</v>
      </c>
      <c r="C285" s="292" t="str">
        <f t="shared" si="50"/>
        <v>Galleria Gourmet</v>
      </c>
      <c r="D285" s="287" t="s">
        <v>6693</v>
      </c>
      <c r="E285" s="288">
        <v>1</v>
      </c>
      <c r="F285" s="285">
        <v>200</v>
      </c>
      <c r="G285" s="291" cm="1">
        <f t="array" ref="G285">_xlfn.IFS(AND(B285&lt;&gt;"",C285="",D285=""),SUMPRODUCT($E$26:$E$422,$F$26:$F$422, --($B$26:$B$422=B285)),AND(C285&lt;&gt;"",F285=""),SUMPRODUCT($E$26:$E$422,$F$26:$F$422,--($C$26:$C$422=C285)),AND(D285,F285)&lt;&gt;0,E285*F285)</f>
        <v>200</v>
      </c>
      <c r="H285" s="286" t="s">
        <v>6677</v>
      </c>
    </row>
    <row r="286" spans="2:8" ht="13.5" customHeight="1" outlineLevel="1" x14ac:dyDescent="0.2">
      <c r="B286" s="277" t="str">
        <f t="shared" si="49"/>
        <v>LAZER - 13</v>
      </c>
      <c r="C286" s="278" t="s">
        <v>6761</v>
      </c>
      <c r="D286" s="279" t="s">
        <v>1797</v>
      </c>
      <c r="E286" s="280">
        <v>109.64</v>
      </c>
      <c r="F286" s="281"/>
      <c r="G286" s="282" cm="1">
        <f t="array" ref="G286">_xlfn.IFS(AND(B286&lt;&gt;"",C286="",D286=""),SUMPRODUCT($E$26:$E$422,$F$26:$F$422, --($B$26:$B$422=B286)),AND(C286&lt;&gt;"",F286=""),SUMPRODUCT($E$26:$E$422,$F$26:$F$422,--($C$26:$C$422=C286)),AND(D286,F286)&lt;&gt;0,E286*F286)</f>
        <v>159577.25</v>
      </c>
      <c r="H286" s="283">
        <f>G286/E286</f>
        <v>1455.4656147391463</v>
      </c>
    </row>
    <row r="287" spans="2:8" ht="13.5" customHeight="1" outlineLevel="2" x14ac:dyDescent="0.2">
      <c r="B287" s="277" t="str">
        <f t="shared" si="49"/>
        <v>LAZER - 13</v>
      </c>
      <c r="C287" s="292" t="str">
        <f>C286</f>
        <v>Galleria Outdoor</v>
      </c>
      <c r="D287" s="287" t="s">
        <v>6762</v>
      </c>
      <c r="E287" s="288">
        <v>1</v>
      </c>
      <c r="F287" s="285">
        <v>3750</v>
      </c>
      <c r="G287" s="291" cm="1">
        <f t="array" ref="G287">_xlfn.IFS(AND(B287&lt;&gt;"",C287="",D287=""),SUMPRODUCT($E$26:$E$422,$F$26:$F$422, --($B$26:$B$422=B287)),AND(C287&lt;&gt;"",F287=""),SUMPRODUCT($E$26:$E$422,$F$26:$F$422,--($C$26:$C$422=C287)),AND(D287,F287)&lt;&gt;0,E287*F287)</f>
        <v>3750</v>
      </c>
      <c r="H287" s="286" t="s">
        <v>6669</v>
      </c>
    </row>
    <row r="288" spans="2:8" ht="13.5" customHeight="1" outlineLevel="2" x14ac:dyDescent="0.2">
      <c r="B288" s="277" t="str">
        <f t="shared" si="49"/>
        <v>LAZER - 13</v>
      </c>
      <c r="C288" s="292" t="str">
        <f>C286</f>
        <v>Galleria Outdoor</v>
      </c>
      <c r="D288" s="287" t="s">
        <v>6763</v>
      </c>
      <c r="E288" s="288">
        <v>1</v>
      </c>
      <c r="F288" s="285">
        <v>13750</v>
      </c>
      <c r="G288" s="291" cm="1">
        <f t="array" ref="G288">_xlfn.IFS(AND(B288&lt;&gt;"",C288="",D288=""),SUMPRODUCT($E$26:$E$422,$F$26:$F$422, --($B$26:$B$422=B288)),AND(C288&lt;&gt;"",F288=""),SUMPRODUCT($E$26:$E$422,$F$26:$F$422,--($C$26:$C$422=C288)),AND(D288,F288)&lt;&gt;0,E288*F288)</f>
        <v>13750</v>
      </c>
      <c r="H288" s="286" t="s">
        <v>6669</v>
      </c>
    </row>
    <row r="289" spans="2:8" ht="13.5" customHeight="1" outlineLevel="2" x14ac:dyDescent="0.2">
      <c r="B289" s="277" t="str">
        <f t="shared" si="49"/>
        <v>LAZER - 13</v>
      </c>
      <c r="C289" s="292" t="str">
        <f>C286</f>
        <v>Galleria Outdoor</v>
      </c>
      <c r="D289" s="287" t="s">
        <v>6811</v>
      </c>
      <c r="E289" s="288">
        <v>2</v>
      </c>
      <c r="F289" s="285">
        <f>5350+6100+7950</f>
        <v>19400</v>
      </c>
      <c r="G289" s="291" cm="1">
        <f t="array" ref="G289">_xlfn.IFS(AND(B289&lt;&gt;"",C289="",D289=""),SUMPRODUCT($E$26:$E$422,$F$26:$F$422, --($B$26:$B$422=B289)),AND(C289&lt;&gt;"",F289=""),SUMPRODUCT($E$26:$E$422,$F$26:$F$422,--($C$26:$C$422=C289)),AND(D289,F289)&lt;&gt;0,E289*F289)</f>
        <v>38800</v>
      </c>
      <c r="H289" s="286" t="s">
        <v>2041</v>
      </c>
    </row>
    <row r="290" spans="2:8" ht="13.5" customHeight="1" outlineLevel="2" x14ac:dyDescent="0.2">
      <c r="B290" s="277" t="str">
        <f t="shared" si="49"/>
        <v>LAZER - 13</v>
      </c>
      <c r="C290" s="292" t="str">
        <f>C287</f>
        <v>Galleria Outdoor</v>
      </c>
      <c r="D290" s="287" t="s">
        <v>6764</v>
      </c>
      <c r="E290" s="288">
        <f>(1.5*1.5)*2+(2*1.5)</f>
        <v>7.5</v>
      </c>
      <c r="F290" s="285">
        <v>1800</v>
      </c>
      <c r="G290" s="291" cm="1">
        <f t="array" ref="G290">_xlfn.IFS(AND(B290&lt;&gt;"",C290="",D290=""),SUMPRODUCT($E$26:$E$422,$F$26:$F$422, --($B$26:$B$422=B290)),AND(C290&lt;&gt;"",F290=""),SUMPRODUCT($E$26:$E$422,$F$26:$F$422,--($C$26:$C$422=C290)),AND(D290,F290)&lt;&gt;0,E290*F290)</f>
        <v>13500</v>
      </c>
      <c r="H290" s="286" t="s">
        <v>6665</v>
      </c>
    </row>
    <row r="291" spans="2:8" ht="13.5" customHeight="1" outlineLevel="2" x14ac:dyDescent="0.2">
      <c r="B291" s="277" t="str">
        <f t="shared" si="49"/>
        <v>LAZER - 13</v>
      </c>
      <c r="C291" s="292" t="str">
        <f t="shared" ref="C291:C294" si="51">C288</f>
        <v>Galleria Outdoor</v>
      </c>
      <c r="D291" s="287" t="s">
        <v>6765</v>
      </c>
      <c r="E291" s="288">
        <v>3</v>
      </c>
      <c r="F291" s="285">
        <v>565</v>
      </c>
      <c r="G291" s="291" cm="1">
        <f t="array" ref="G291">_xlfn.IFS(AND(B291&lt;&gt;"",C291="",D291=""),SUMPRODUCT($E$26:$E$422,$F$26:$F$422, --($B$26:$B$422=B291)),AND(C291&lt;&gt;"",F291=""),SUMPRODUCT($E$26:$E$422,$F$26:$F$422,--($C$26:$C$422=C291)),AND(D291,F291)&lt;&gt;0,E291*F291)</f>
        <v>1695</v>
      </c>
      <c r="H291" s="286" t="s">
        <v>6674</v>
      </c>
    </row>
    <row r="292" spans="2:8" ht="13.5" customHeight="1" outlineLevel="2" x14ac:dyDescent="0.2">
      <c r="B292" s="277" t="str">
        <f t="shared" si="49"/>
        <v>LAZER - 13</v>
      </c>
      <c r="C292" s="292" t="str">
        <f t="shared" si="51"/>
        <v>Galleria Outdoor</v>
      </c>
      <c r="D292" s="287" t="s">
        <v>7354</v>
      </c>
      <c r="E292" s="288">
        <f>(0.65*1.5)+(2.43+0.65)</f>
        <v>4.0549999999999997</v>
      </c>
      <c r="F292" s="285">
        <v>750</v>
      </c>
      <c r="G292" s="291" cm="1">
        <f t="array" ref="G292">_xlfn.IFS(AND(B292&lt;&gt;"",C292="",D292=""),SUMPRODUCT($E$26:$E$422,$F$26:$F$422, --($B$26:$B$422=B292)),AND(C292&lt;&gt;"",F292=""),SUMPRODUCT($E$26:$E$422,$F$26:$F$422,--($C$26:$C$422=C292)),AND(D292,F292)&lt;&gt;0,E292*F292)</f>
        <v>3041.25</v>
      </c>
      <c r="H292" s="286" t="s">
        <v>6665</v>
      </c>
    </row>
    <row r="293" spans="2:8" ht="13.5" customHeight="1" outlineLevel="2" x14ac:dyDescent="0.2">
      <c r="B293" s="277" t="str">
        <f t="shared" si="49"/>
        <v>LAZER - 13</v>
      </c>
      <c r="C293" s="292" t="str">
        <f t="shared" si="51"/>
        <v>Galleria Outdoor</v>
      </c>
      <c r="D293" s="287" t="s">
        <v>6766</v>
      </c>
      <c r="E293" s="288">
        <v>1</v>
      </c>
      <c r="F293" s="285">
        <v>3500</v>
      </c>
      <c r="G293" s="291" cm="1">
        <f t="array" ref="G293">_xlfn.IFS(AND(B293&lt;&gt;"",C293="",D293=""),SUMPRODUCT($E$26:$E$422,$F$26:$F$422, --($B$26:$B$422=B293)),AND(C293&lt;&gt;"",F293=""),SUMPRODUCT($E$26:$E$422,$F$26:$F$422,--($C$26:$C$422=C293)),AND(D293,F293)&lt;&gt;0,E293*F293)</f>
        <v>3500</v>
      </c>
      <c r="H293" s="286" t="s">
        <v>6669</v>
      </c>
    </row>
    <row r="294" spans="2:8" outlineLevel="2" x14ac:dyDescent="0.2">
      <c r="B294" s="277" t="str">
        <f t="shared" si="49"/>
        <v>LAZER - 13</v>
      </c>
      <c r="C294" s="292" t="str">
        <f t="shared" si="51"/>
        <v>Galleria Outdoor</v>
      </c>
      <c r="D294" s="287" t="s">
        <v>6767</v>
      </c>
      <c r="E294" s="288">
        <v>1</v>
      </c>
      <c r="F294" s="285">
        <v>121</v>
      </c>
      <c r="G294" s="291" cm="1">
        <f t="array" ref="G294">_xlfn.IFS(AND(B294&lt;&gt;"",C294="",D294=""),SUMPRODUCT($E$26:$E$422,$F$26:$F$422, --($B$26:$B$422=B294)),AND(C294&lt;&gt;"",F294=""),SUMPRODUCT($E$26:$E$422,$F$26:$F$422,--($C$26:$C$422=C294)),AND(D294,F294)&lt;&gt;0,E294*F294)</f>
        <v>121</v>
      </c>
      <c r="H294" s="286" t="s">
        <v>2040</v>
      </c>
    </row>
    <row r="295" spans="2:8" outlineLevel="2" x14ac:dyDescent="0.2">
      <c r="B295" s="277" t="str">
        <f t="shared" si="49"/>
        <v>LAZER - 13</v>
      </c>
      <c r="C295" s="292" t="str">
        <f t="shared" ref="C295:C298" si="52">C294</f>
        <v>Galleria Outdoor</v>
      </c>
      <c r="D295" s="287" t="s">
        <v>6768</v>
      </c>
      <c r="E295" s="288">
        <v>1</v>
      </c>
      <c r="F295" s="285">
        <v>5438</v>
      </c>
      <c r="G295" s="291" cm="1">
        <f t="array" ref="G295">_xlfn.IFS(AND(B295&lt;&gt;"",C295="",D295=""),SUMPRODUCT($E$26:$E$422,$F$26:$F$422, --($B$26:$B$422=B295)),AND(C295&lt;&gt;"",F295=""),SUMPRODUCT($E$26:$E$422,$F$26:$F$422,--($C$26:$C$422=C295)),AND(D295,F295)&lt;&gt;0,E295*F295)</f>
        <v>5438</v>
      </c>
      <c r="H295" s="286" t="s">
        <v>6674</v>
      </c>
    </row>
    <row r="296" spans="2:8" ht="13.5" customHeight="1" outlineLevel="2" x14ac:dyDescent="0.2">
      <c r="B296" s="277" t="str">
        <f t="shared" si="49"/>
        <v>LAZER - 13</v>
      </c>
      <c r="C296" s="292" t="str">
        <f t="shared" si="52"/>
        <v>Galleria Outdoor</v>
      </c>
      <c r="D296" s="287" t="s">
        <v>6769</v>
      </c>
      <c r="E296" s="288">
        <v>2</v>
      </c>
      <c r="F296" s="285">
        <v>13810</v>
      </c>
      <c r="G296" s="291" cm="1">
        <f t="array" ref="G296">_xlfn.IFS(AND(B296&lt;&gt;"",C296="",D296=""),SUMPRODUCT($E$26:$E$422,$F$26:$F$422, --($B$26:$B$422=B296)),AND(C296&lt;&gt;"",F296=""),SUMPRODUCT($E$26:$E$422,$F$26:$F$422,--($C$26:$C$422=C296)),AND(D296,F296)&lt;&gt;0,E296*F296)</f>
        <v>27620</v>
      </c>
      <c r="H296" s="286" t="s">
        <v>6673</v>
      </c>
    </row>
    <row r="297" spans="2:8" ht="13.5" customHeight="1" outlineLevel="2" x14ac:dyDescent="0.2">
      <c r="B297" s="277" t="str">
        <f t="shared" si="49"/>
        <v>LAZER - 13</v>
      </c>
      <c r="C297" s="292" t="str">
        <f t="shared" si="52"/>
        <v>Galleria Outdoor</v>
      </c>
      <c r="D297" s="287" t="s">
        <v>6770</v>
      </c>
      <c r="E297" s="288">
        <v>8</v>
      </c>
      <c r="F297" s="285">
        <v>2850</v>
      </c>
      <c r="G297" s="291" cm="1">
        <f t="array" ref="G297">_xlfn.IFS(AND(B297&lt;&gt;"",C297="",D297=""),SUMPRODUCT($E$26:$E$422,$F$26:$F$422, --($B$26:$B$422=B297)),AND(C297&lt;&gt;"",F297=""),SUMPRODUCT($E$26:$E$422,$F$26:$F$422,--($C$26:$C$422=C297)),AND(D297,F297)&lt;&gt;0,E297*F297)</f>
        <v>22800</v>
      </c>
      <c r="H297" s="286" t="s">
        <v>6674</v>
      </c>
    </row>
    <row r="298" spans="2:8" ht="13.5" customHeight="1" outlineLevel="2" x14ac:dyDescent="0.2">
      <c r="B298" s="277" t="str">
        <f t="shared" si="49"/>
        <v>LAZER - 13</v>
      </c>
      <c r="C298" s="292" t="str">
        <f t="shared" si="52"/>
        <v>Galleria Outdoor</v>
      </c>
      <c r="D298" s="287" t="s">
        <v>6712</v>
      </c>
      <c r="E298" s="288">
        <v>1</v>
      </c>
      <c r="F298" s="285">
        <v>56</v>
      </c>
      <c r="G298" s="291" cm="1">
        <f t="array" ref="G298">_xlfn.IFS(AND(B298&lt;&gt;"",C298="",D298=""),SUMPRODUCT($E$26:$E$422,$F$26:$F$422, --($B$26:$B$422=B298)),AND(C298&lt;&gt;"",F298=""),SUMPRODUCT($E$26:$E$422,$F$26:$F$422,--($C$26:$C$422=C298)),AND(D298,F298)&lt;&gt;0,E298*F298)</f>
        <v>56</v>
      </c>
      <c r="H298" s="286" t="s">
        <v>6677</v>
      </c>
    </row>
    <row r="299" spans="2:8" ht="13.5" customHeight="1" outlineLevel="2" x14ac:dyDescent="0.2">
      <c r="B299" s="277" t="str">
        <f t="shared" ref="B299:B329" si="53">B298</f>
        <v>LAZER - 13</v>
      </c>
      <c r="C299" s="292" t="str">
        <f t="shared" ref="C299:C305" si="54">C298</f>
        <v>Galleria Outdoor</v>
      </c>
      <c r="D299" s="287" t="s">
        <v>6771</v>
      </c>
      <c r="E299" s="288">
        <v>1</v>
      </c>
      <c r="F299" s="285">
        <v>3699</v>
      </c>
      <c r="G299" s="291" cm="1">
        <f t="array" ref="G299">_xlfn.IFS(AND(B299&lt;&gt;"",C299="",D299=""),SUMPRODUCT($E$26:$E$422,$F$26:$F$422, --($B$26:$B$422=B299)),AND(C299&lt;&gt;"",F299=""),SUMPRODUCT($E$26:$E$422,$F$26:$F$422,--($C$26:$C$422=C299)),AND(D299,F299)&lt;&gt;0,E299*F299)</f>
        <v>3699</v>
      </c>
      <c r="H299" s="286" t="s">
        <v>6674</v>
      </c>
    </row>
    <row r="300" spans="2:8" ht="13.5" customHeight="1" outlineLevel="2" x14ac:dyDescent="0.2">
      <c r="B300" s="277" t="str">
        <f t="shared" si="53"/>
        <v>LAZER - 13</v>
      </c>
      <c r="C300" s="292" t="str">
        <f t="shared" si="54"/>
        <v>Galleria Outdoor</v>
      </c>
      <c r="D300" s="287" t="s">
        <v>6772</v>
      </c>
      <c r="E300" s="288">
        <v>1</v>
      </c>
      <c r="F300" s="285">
        <v>756</v>
      </c>
      <c r="G300" s="291" cm="1">
        <f t="array" ref="G300">_xlfn.IFS(AND(B300&lt;&gt;"",C300="",D300=""),SUMPRODUCT($E$26:$E$422,$F$26:$F$422, --($B$26:$B$422=B300)),AND(C300&lt;&gt;"",F300=""),SUMPRODUCT($E$26:$E$422,$F$26:$F$422,--($C$26:$C$422=C300)),AND(D300,F300)&lt;&gt;0,E300*F300)</f>
        <v>756</v>
      </c>
      <c r="H300" s="286" t="s">
        <v>6674</v>
      </c>
    </row>
    <row r="301" spans="2:8" ht="13.5" customHeight="1" outlineLevel="2" x14ac:dyDescent="0.2">
      <c r="B301" s="277" t="str">
        <f t="shared" si="53"/>
        <v>LAZER - 13</v>
      </c>
      <c r="C301" s="292" t="str">
        <f t="shared" si="54"/>
        <v>Galleria Outdoor</v>
      </c>
      <c r="D301" s="287" t="s">
        <v>6728</v>
      </c>
      <c r="E301" s="288">
        <v>4</v>
      </c>
      <c r="F301" s="285">
        <v>3791</v>
      </c>
      <c r="G301" s="291" cm="1">
        <f t="array" ref="G301">_xlfn.IFS(AND(B301&lt;&gt;"",C301="",D301=""),SUMPRODUCT($E$26:$E$422,$F$26:$F$422, --($B$26:$B$422=B301)),AND(C301&lt;&gt;"",F301=""),SUMPRODUCT($E$26:$E$422,$F$26:$F$422,--($C$26:$C$422=C301)),AND(D301,F301)&lt;&gt;0,E301*F301)</f>
        <v>15164</v>
      </c>
      <c r="H301" s="286" t="s">
        <v>2040</v>
      </c>
    </row>
    <row r="302" spans="2:8" ht="13.5" customHeight="1" outlineLevel="2" x14ac:dyDescent="0.2">
      <c r="B302" s="277" t="str">
        <f t="shared" si="53"/>
        <v>LAZER - 13</v>
      </c>
      <c r="C302" s="292" t="str">
        <f t="shared" si="54"/>
        <v>Galleria Outdoor</v>
      </c>
      <c r="D302" s="287" t="s">
        <v>6816</v>
      </c>
      <c r="E302" s="288">
        <v>1</v>
      </c>
      <c r="F302" s="285">
        <v>285</v>
      </c>
      <c r="G302" s="291" cm="1">
        <f t="array" ref="G302">_xlfn.IFS(AND(B302&lt;&gt;"",C302="",D302=""),SUMPRODUCT($E$26:$E$422,$F$26:$F$422, --($B$26:$B$422=B302)),AND(C302&lt;&gt;"",F302=""),SUMPRODUCT($E$26:$E$422,$F$26:$F$422,--($C$26:$C$422=C302)),AND(D302,F302)&lt;&gt;0,E302*F302)</f>
        <v>285</v>
      </c>
      <c r="H302" s="286" t="s">
        <v>6674</v>
      </c>
    </row>
    <row r="303" spans="2:8" outlineLevel="2" x14ac:dyDescent="0.2">
      <c r="B303" s="277" t="str">
        <f t="shared" si="53"/>
        <v>LAZER - 13</v>
      </c>
      <c r="C303" s="292" t="str">
        <f t="shared" si="54"/>
        <v>Galleria Outdoor</v>
      </c>
      <c r="D303" s="287" t="s">
        <v>6773</v>
      </c>
      <c r="E303" s="288">
        <v>3</v>
      </c>
      <c r="F303" s="285">
        <v>714</v>
      </c>
      <c r="G303" s="291" cm="1">
        <f t="array" ref="G303">_xlfn.IFS(AND(B303&lt;&gt;"",C303="",D303=""),SUMPRODUCT($E$26:$E$422,$F$26:$F$422, --($B$26:$B$422=B303)),AND(C303&lt;&gt;"",F303=""),SUMPRODUCT($E$26:$E$422,$F$26:$F$422,--($C$26:$C$422=C303)),AND(D303,F303)&lt;&gt;0,E303*F303)</f>
        <v>2142</v>
      </c>
      <c r="H303" s="286" t="s">
        <v>2040</v>
      </c>
    </row>
    <row r="304" spans="2:8" outlineLevel="2" x14ac:dyDescent="0.2">
      <c r="B304" s="277" t="str">
        <f t="shared" si="53"/>
        <v>LAZER - 13</v>
      </c>
      <c r="C304" s="292" t="str">
        <f t="shared" si="54"/>
        <v>Galleria Outdoor</v>
      </c>
      <c r="D304" s="287" t="s">
        <v>6774</v>
      </c>
      <c r="E304" s="288">
        <v>2</v>
      </c>
      <c r="F304" s="285">
        <v>230</v>
      </c>
      <c r="G304" s="291" cm="1">
        <f t="array" ref="G304">_xlfn.IFS(AND(B304&lt;&gt;"",C304="",D304=""),SUMPRODUCT($E$26:$E$422,$F$26:$F$422, --($B$26:$B$422=B304)),AND(C304&lt;&gt;"",F304=""),SUMPRODUCT($E$26:$E$422,$F$26:$F$422,--($C$26:$C$422=C304)),AND(D304,F304)&lt;&gt;0,E304*F304)</f>
        <v>460</v>
      </c>
      <c r="H304" s="286" t="s">
        <v>2040</v>
      </c>
    </row>
    <row r="305" spans="2:8" outlineLevel="2" x14ac:dyDescent="0.2">
      <c r="B305" s="277" t="str">
        <f t="shared" si="53"/>
        <v>LAZER - 13</v>
      </c>
      <c r="C305" s="292" t="str">
        <f t="shared" si="54"/>
        <v>Galleria Outdoor</v>
      </c>
      <c r="D305" s="287" t="s">
        <v>6815</v>
      </c>
      <c r="E305" s="288">
        <v>2</v>
      </c>
      <c r="F305" s="285">
        <v>1500</v>
      </c>
      <c r="G305" s="291" cm="1">
        <f t="array" ref="G305">_xlfn.IFS(AND(B305&lt;&gt;"",C305="",D305=""),SUMPRODUCT($E$26:$E$422,$F$26:$F$422, --($B$26:$B$422=B305)),AND(C305&lt;&gt;"",F305=""),SUMPRODUCT($E$26:$E$422,$F$26:$F$422,--($C$26:$C$422=C305)),AND(D305,F305)&lt;&gt;0,E305*F305)</f>
        <v>3000</v>
      </c>
      <c r="H305" s="286" t="s">
        <v>6674</v>
      </c>
    </row>
    <row r="306" spans="2:8" ht="13.5" customHeight="1" outlineLevel="1" x14ac:dyDescent="0.2">
      <c r="B306" s="277" t="str">
        <f t="shared" si="53"/>
        <v>LAZER - 13</v>
      </c>
      <c r="C306" s="278" t="s">
        <v>6775</v>
      </c>
      <c r="D306" s="279" t="s">
        <v>1797</v>
      </c>
      <c r="E306" s="280">
        <v>110.26</v>
      </c>
      <c r="F306" s="281"/>
      <c r="G306" s="282" cm="1">
        <f t="array" ref="G306">_xlfn.IFS(AND(B306&lt;&gt;"",C306="",D306=""),SUMPRODUCT($E$26:$E$422,$F$26:$F$422, --($B$26:$B$422=B306)),AND(C306&lt;&gt;"",F306=""),SUMPRODUCT($E$26:$E$422,$F$26:$F$422,--($C$26:$C$422=C306)),AND(D306,F306)&lt;&gt;0,E306*F306)</f>
        <v>342040.2</v>
      </c>
      <c r="H306" s="283">
        <f>G306/E306</f>
        <v>3102.1240703791041</v>
      </c>
    </row>
    <row r="307" spans="2:8" ht="13.5" customHeight="1" outlineLevel="2" x14ac:dyDescent="0.2">
      <c r="B307" s="277" t="str">
        <f t="shared" si="53"/>
        <v>LAZER - 13</v>
      </c>
      <c r="C307" s="292" t="str">
        <f>C306</f>
        <v>Galleria Fitness</v>
      </c>
      <c r="D307" s="287" t="s">
        <v>6776</v>
      </c>
      <c r="E307" s="288">
        <v>4</v>
      </c>
      <c r="F307" s="285">
        <v>26500</v>
      </c>
      <c r="G307" s="291" cm="1">
        <f t="array" ref="G307">_xlfn.IFS(AND(B307&lt;&gt;"",C307="",D307=""),SUMPRODUCT($E$26:$E$422,$F$26:$F$422, --($B$26:$B$422=B307)),AND(C307&lt;&gt;"",F307=""),SUMPRODUCT($E$26:$E$422,$F$26:$F$422,--($C$26:$C$422=C307)),AND(D307,F307)&lt;&gt;0,E307*F307)</f>
        <v>106000</v>
      </c>
      <c r="H307" s="286" t="s">
        <v>6671</v>
      </c>
    </row>
    <row r="308" spans="2:8" ht="13.5" customHeight="1" outlineLevel="2" x14ac:dyDescent="0.2">
      <c r="B308" s="277" t="str">
        <f t="shared" si="53"/>
        <v>LAZER - 13</v>
      </c>
      <c r="C308" s="292" t="str">
        <f t="shared" ref="C308:C316" si="55">C306</f>
        <v>Galleria Fitness</v>
      </c>
      <c r="D308" s="287" t="s">
        <v>6777</v>
      </c>
      <c r="E308" s="288">
        <v>1</v>
      </c>
      <c r="F308" s="285">
        <v>14800</v>
      </c>
      <c r="G308" s="291" cm="1">
        <f t="array" ref="G308">_xlfn.IFS(AND(B308&lt;&gt;"",C308="",D308=""),SUMPRODUCT($E$26:$E$422,$F$26:$F$422, --($B$26:$B$422=B308)),AND(C308&lt;&gt;"",F308=""),SUMPRODUCT($E$26:$E$422,$F$26:$F$422,--($C$26:$C$422=C308)),AND(D308,F308)&lt;&gt;0,E308*F308)</f>
        <v>14800</v>
      </c>
      <c r="H308" s="286" t="s">
        <v>6671</v>
      </c>
    </row>
    <row r="309" spans="2:8" ht="13.5" customHeight="1" outlineLevel="2" x14ac:dyDescent="0.2">
      <c r="B309" s="277" t="str">
        <f t="shared" si="53"/>
        <v>LAZER - 13</v>
      </c>
      <c r="C309" s="292" t="str">
        <f t="shared" si="55"/>
        <v>Galleria Fitness</v>
      </c>
      <c r="D309" s="287" t="s">
        <v>6778</v>
      </c>
      <c r="E309" s="288">
        <v>1</v>
      </c>
      <c r="F309" s="285">
        <v>13200</v>
      </c>
      <c r="G309" s="291" cm="1">
        <f t="array" ref="G309">_xlfn.IFS(AND(B309&lt;&gt;"",C309="",D309=""),SUMPRODUCT($E$26:$E$422,$F$26:$F$422, --($B$26:$B$422=B309)),AND(C309&lt;&gt;"",F309=""),SUMPRODUCT($E$26:$E$422,$F$26:$F$422,--($C$26:$C$422=C309)),AND(D309,F309)&lt;&gt;0,E309*F309)</f>
        <v>13200</v>
      </c>
      <c r="H309" s="286" t="s">
        <v>6671</v>
      </c>
    </row>
    <row r="310" spans="2:8" ht="13.5" customHeight="1" outlineLevel="2" x14ac:dyDescent="0.2">
      <c r="B310" s="277" t="str">
        <f t="shared" si="53"/>
        <v>LAZER - 13</v>
      </c>
      <c r="C310" s="292" t="str">
        <f t="shared" si="55"/>
        <v>Galleria Fitness</v>
      </c>
      <c r="D310" s="287" t="s">
        <v>6779</v>
      </c>
      <c r="E310" s="288">
        <v>1</v>
      </c>
      <c r="F310" s="285">
        <v>33000</v>
      </c>
      <c r="G310" s="291" cm="1">
        <f t="array" ref="G310">_xlfn.IFS(AND(B310&lt;&gt;"",C310="",D310=""),SUMPRODUCT($E$26:$E$422,$F$26:$F$422, --($B$26:$B$422=B310)),AND(C310&lt;&gt;"",F310=""),SUMPRODUCT($E$26:$E$422,$F$26:$F$422,--($C$26:$C$422=C310)),AND(D310,F310)&lt;&gt;0,E310*F310)</f>
        <v>33000</v>
      </c>
      <c r="H310" s="286" t="s">
        <v>6671</v>
      </c>
    </row>
    <row r="311" spans="2:8" outlineLevel="2" x14ac:dyDescent="0.2">
      <c r="B311" s="277" t="str">
        <f t="shared" si="53"/>
        <v>LAZER - 13</v>
      </c>
      <c r="C311" s="292" t="str">
        <f t="shared" si="55"/>
        <v>Galleria Fitness</v>
      </c>
      <c r="D311" s="287" t="s">
        <v>6780</v>
      </c>
      <c r="E311" s="288">
        <v>1</v>
      </c>
      <c r="F311" s="285">
        <v>21000</v>
      </c>
      <c r="G311" s="291" cm="1">
        <f t="array" ref="G311">_xlfn.IFS(AND(B311&lt;&gt;"",C311="",D311=""),SUMPRODUCT($E$26:$E$422,$F$26:$F$422, --($B$26:$B$422=B311)),AND(C311&lt;&gt;"",F311=""),SUMPRODUCT($E$26:$E$422,$F$26:$F$422,--($C$26:$C$422=C311)),AND(D311,F311)&lt;&gt;0,E311*F311)</f>
        <v>21000</v>
      </c>
      <c r="H311" s="286" t="s">
        <v>6671</v>
      </c>
    </row>
    <row r="312" spans="2:8" ht="13.5" customHeight="1" outlineLevel="2" x14ac:dyDescent="0.2">
      <c r="B312" s="277" t="str">
        <f t="shared" si="53"/>
        <v>LAZER - 13</v>
      </c>
      <c r="C312" s="292" t="str">
        <f t="shared" si="55"/>
        <v>Galleria Fitness</v>
      </c>
      <c r="D312" s="287" t="s">
        <v>6781</v>
      </c>
      <c r="E312" s="288">
        <v>1</v>
      </c>
      <c r="F312" s="285">
        <v>9800</v>
      </c>
      <c r="G312" s="291" cm="1">
        <f t="array" ref="G312">_xlfn.IFS(AND(B312&lt;&gt;"",C312="",D312=""),SUMPRODUCT($E$26:$E$422,$F$26:$F$422, --($B$26:$B$422=B312)),AND(C312&lt;&gt;"",F312=""),SUMPRODUCT($E$26:$E$422,$F$26:$F$422,--($C$26:$C$422=C312)),AND(D312,F312)&lt;&gt;0,E312*F312)</f>
        <v>9800</v>
      </c>
      <c r="H312" s="286" t="s">
        <v>6671</v>
      </c>
    </row>
    <row r="313" spans="2:8" ht="13.5" customHeight="1" outlineLevel="2" x14ac:dyDescent="0.2">
      <c r="B313" s="277" t="str">
        <f t="shared" si="53"/>
        <v>LAZER - 13</v>
      </c>
      <c r="C313" s="292" t="str">
        <f t="shared" si="55"/>
        <v>Galleria Fitness</v>
      </c>
      <c r="D313" s="287" t="s">
        <v>6782</v>
      </c>
      <c r="E313" s="288">
        <v>1</v>
      </c>
      <c r="F313" s="285">
        <v>10200</v>
      </c>
      <c r="G313" s="291" cm="1">
        <f t="array" ref="G313">_xlfn.IFS(AND(B313&lt;&gt;"",C313="",D313=""),SUMPRODUCT($E$26:$E$422,$F$26:$F$422, --($B$26:$B$422=B313)),AND(C313&lt;&gt;"",F313=""),SUMPRODUCT($E$26:$E$422,$F$26:$F$422,--($C$26:$C$422=C313)),AND(D313,F313)&lt;&gt;0,E313*F313)</f>
        <v>10200</v>
      </c>
      <c r="H313" s="286" t="s">
        <v>6671</v>
      </c>
    </row>
    <row r="314" spans="2:8" ht="13.5" customHeight="1" outlineLevel="2" x14ac:dyDescent="0.2">
      <c r="B314" s="277" t="str">
        <f t="shared" si="53"/>
        <v>LAZER - 13</v>
      </c>
      <c r="C314" s="292" t="str">
        <f t="shared" si="55"/>
        <v>Galleria Fitness</v>
      </c>
      <c r="D314" s="287" t="s">
        <v>6783</v>
      </c>
      <c r="E314" s="288">
        <v>2</v>
      </c>
      <c r="F314" s="285">
        <v>4200</v>
      </c>
      <c r="G314" s="291" cm="1">
        <f t="array" ref="G314">_xlfn.IFS(AND(B314&lt;&gt;"",C314="",D314=""),SUMPRODUCT($E$26:$E$422,$F$26:$F$422, --($B$26:$B$422=B314)),AND(C314&lt;&gt;"",F314=""),SUMPRODUCT($E$26:$E$422,$F$26:$F$422,--($C$26:$C$422=C314)),AND(D314,F314)&lt;&gt;0,E314*F314)</f>
        <v>8400</v>
      </c>
      <c r="H314" s="286" t="s">
        <v>6671</v>
      </c>
    </row>
    <row r="315" spans="2:8" ht="13.5" customHeight="1" outlineLevel="2" x14ac:dyDescent="0.2">
      <c r="B315" s="277" t="str">
        <f t="shared" si="53"/>
        <v>LAZER - 13</v>
      </c>
      <c r="C315" s="292" t="str">
        <f t="shared" si="55"/>
        <v>Galleria Fitness</v>
      </c>
      <c r="D315" s="287" t="s">
        <v>6784</v>
      </c>
      <c r="E315" s="288">
        <v>1</v>
      </c>
      <c r="F315" s="285">
        <v>5800</v>
      </c>
      <c r="G315" s="291" cm="1">
        <f t="array" ref="G315">_xlfn.IFS(AND(B315&lt;&gt;"",C315="",D315=""),SUMPRODUCT($E$26:$E$422,$F$26:$F$422, --($B$26:$B$422=B315)),AND(C315&lt;&gt;"",F315=""),SUMPRODUCT($E$26:$E$422,$F$26:$F$422,--($C$26:$C$422=C315)),AND(D315,F315)&lt;&gt;0,E315*F315)</f>
        <v>5800</v>
      </c>
      <c r="H315" s="286" t="s">
        <v>6671</v>
      </c>
    </row>
    <row r="316" spans="2:8" ht="13.5" customHeight="1" outlineLevel="2" x14ac:dyDescent="0.2">
      <c r="B316" s="277" t="str">
        <f t="shared" si="53"/>
        <v>LAZER - 13</v>
      </c>
      <c r="C316" s="292" t="str">
        <f t="shared" si="55"/>
        <v>Galleria Fitness</v>
      </c>
      <c r="D316" s="287" t="s">
        <v>6785</v>
      </c>
      <c r="E316" s="288">
        <v>1</v>
      </c>
      <c r="F316" s="285">
        <v>12000</v>
      </c>
      <c r="G316" s="291" cm="1">
        <f t="array" ref="G316">_xlfn.IFS(AND(B316&lt;&gt;"",C316="",D316=""),SUMPRODUCT($E$26:$E$422,$F$26:$F$422, --($B$26:$B$422=B316)),AND(C316&lt;&gt;"",F316=""),SUMPRODUCT($E$26:$E$422,$F$26:$F$422,--($C$26:$C$422=C316)),AND(D316,F316)&lt;&gt;0,E316*F316)</f>
        <v>12000</v>
      </c>
      <c r="H316" s="286" t="s">
        <v>6671</v>
      </c>
    </row>
    <row r="317" spans="2:8" ht="13.5" customHeight="1" outlineLevel="2" x14ac:dyDescent="0.2">
      <c r="B317" s="277" t="str">
        <f t="shared" si="53"/>
        <v>LAZER - 13</v>
      </c>
      <c r="C317" s="292" t="str">
        <f t="shared" ref="C317:C335" si="56">C316</f>
        <v>Galleria Fitness</v>
      </c>
      <c r="D317" s="287" t="s">
        <v>6786</v>
      </c>
      <c r="E317" s="288">
        <v>1</v>
      </c>
      <c r="F317" s="285">
        <v>4500</v>
      </c>
      <c r="G317" s="291" cm="1">
        <f t="array" ref="G317">_xlfn.IFS(AND(B317&lt;&gt;"",C317="",D317=""),SUMPRODUCT($E$26:$E$422,$F$26:$F$422, --($B$26:$B$422=B317)),AND(C317&lt;&gt;"",F317=""),SUMPRODUCT($E$26:$E$422,$F$26:$F$422,--($C$26:$C$422=C317)),AND(D317,F317)&lt;&gt;0,E317*F317)</f>
        <v>4500</v>
      </c>
      <c r="H317" s="286" t="s">
        <v>6671</v>
      </c>
    </row>
    <row r="318" spans="2:8" ht="13.5" customHeight="1" outlineLevel="2" x14ac:dyDescent="0.2">
      <c r="B318" s="277" t="str">
        <f t="shared" si="53"/>
        <v>LAZER - 13</v>
      </c>
      <c r="C318" s="292" t="str">
        <f t="shared" si="56"/>
        <v>Galleria Fitness</v>
      </c>
      <c r="D318" s="287" t="s">
        <v>6787</v>
      </c>
      <c r="E318" s="288">
        <v>4</v>
      </c>
      <c r="F318" s="285">
        <v>350</v>
      </c>
      <c r="G318" s="291" cm="1">
        <f t="array" ref="G318">_xlfn.IFS(AND(B318&lt;&gt;"",C318="",D318=""),SUMPRODUCT($E$26:$E$422,$F$26:$F$422, --($B$26:$B$422=B318)),AND(C318&lt;&gt;"",F318=""),SUMPRODUCT($E$26:$E$422,$F$26:$F$422,--($C$26:$C$422=C318)),AND(D318,F318)&lt;&gt;0,E318*F318)</f>
        <v>1400</v>
      </c>
      <c r="H318" s="286" t="s">
        <v>6671</v>
      </c>
    </row>
    <row r="319" spans="2:8" ht="13.5" customHeight="1" outlineLevel="2" x14ac:dyDescent="0.2">
      <c r="B319" s="277" t="str">
        <f t="shared" si="53"/>
        <v>LAZER - 13</v>
      </c>
      <c r="C319" s="292" t="str">
        <f t="shared" si="56"/>
        <v>Galleria Fitness</v>
      </c>
      <c r="D319" s="287" t="s">
        <v>6788</v>
      </c>
      <c r="E319" s="288">
        <v>4</v>
      </c>
      <c r="F319" s="285">
        <v>250</v>
      </c>
      <c r="G319" s="291" cm="1">
        <f t="array" ref="G319">_xlfn.IFS(AND(B319&lt;&gt;"",C319="",D319=""),SUMPRODUCT($E$26:$E$422,$F$26:$F$422, --($B$26:$B$422=B319)),AND(C319&lt;&gt;"",F319=""),SUMPRODUCT($E$26:$E$422,$F$26:$F$422,--($C$26:$C$422=C319)),AND(D319,F319)&lt;&gt;0,E319*F319)</f>
        <v>1000</v>
      </c>
      <c r="H319" s="286" t="s">
        <v>6671</v>
      </c>
    </row>
    <row r="320" spans="2:8" ht="25.5" outlineLevel="2" x14ac:dyDescent="0.2">
      <c r="B320" s="277" t="str">
        <f t="shared" si="53"/>
        <v>LAZER - 13</v>
      </c>
      <c r="C320" s="292" t="str">
        <f t="shared" si="56"/>
        <v>Galleria Fitness</v>
      </c>
      <c r="D320" s="287" t="s">
        <v>6789</v>
      </c>
      <c r="E320" s="288">
        <v>2</v>
      </c>
      <c r="F320" s="285">
        <v>2400</v>
      </c>
      <c r="G320" s="291" cm="1">
        <f t="array" ref="G320">_xlfn.IFS(AND(B320&lt;&gt;"",C320="",D320=""),SUMPRODUCT($E$26:$E$422,$F$26:$F$422, --($B$26:$B$422=B320)),AND(C320&lt;&gt;"",F320=""),SUMPRODUCT($E$26:$E$422,$F$26:$F$422,--($C$26:$C$422=C320)),AND(D320,F320)&lt;&gt;0,E320*F320)</f>
        <v>4800</v>
      </c>
      <c r="H320" s="286" t="s">
        <v>6671</v>
      </c>
    </row>
    <row r="321" spans="2:8" outlineLevel="2" x14ac:dyDescent="0.2">
      <c r="B321" s="277" t="str">
        <f t="shared" si="53"/>
        <v>LAZER - 13</v>
      </c>
      <c r="C321" s="292" t="str">
        <f t="shared" si="56"/>
        <v>Galleria Fitness</v>
      </c>
      <c r="D321" s="287" t="s">
        <v>6790</v>
      </c>
      <c r="E321" s="288">
        <v>2</v>
      </c>
      <c r="F321" s="285">
        <f>4640+3100</f>
        <v>7740</v>
      </c>
      <c r="G321" s="291" cm="1">
        <f t="array" ref="G321">_xlfn.IFS(AND(B321&lt;&gt;"",C321="",D321=""),SUMPRODUCT($E$26:$E$422,$F$26:$F$422, --($B$26:$B$422=B321)),AND(C321&lt;&gt;"",F321=""),SUMPRODUCT($E$26:$E$422,$F$26:$F$422,--($C$26:$C$422=C321)),AND(D321,F321)&lt;&gt;0,E321*F321)</f>
        <v>15480</v>
      </c>
      <c r="H321" s="286" t="s">
        <v>6671</v>
      </c>
    </row>
    <row r="322" spans="2:8" outlineLevel="2" x14ac:dyDescent="0.2">
      <c r="B322" s="277" t="str">
        <f t="shared" si="53"/>
        <v>LAZER - 13</v>
      </c>
      <c r="C322" s="292" t="str">
        <f t="shared" si="56"/>
        <v>Galleria Fitness</v>
      </c>
      <c r="D322" s="287" t="s">
        <v>6791</v>
      </c>
      <c r="E322" s="288">
        <v>1</v>
      </c>
      <c r="F322" s="290">
        <v>4800</v>
      </c>
      <c r="G322" s="291" cm="1">
        <f t="array" ref="G322">_xlfn.IFS(AND(B322&lt;&gt;"",C322="",D322=""),SUMPRODUCT($E$26:$E$422,$F$26:$F$422, --($B$26:$B$422=B322)),AND(C322&lt;&gt;"",F322=""),SUMPRODUCT($E$26:$E$422,$F$26:$F$422,--($C$26:$C$422=C322)),AND(D322,F322)&lt;&gt;0,E322*F322)</f>
        <v>4800</v>
      </c>
      <c r="H322" s="286" t="s">
        <v>6673</v>
      </c>
    </row>
    <row r="323" spans="2:8" ht="13.5" customHeight="1" outlineLevel="2" x14ac:dyDescent="0.2">
      <c r="B323" s="277" t="str">
        <f t="shared" si="53"/>
        <v>LAZER - 13</v>
      </c>
      <c r="C323" s="292" t="str">
        <f t="shared" si="56"/>
        <v>Galleria Fitness</v>
      </c>
      <c r="D323" s="287" t="s">
        <v>1799</v>
      </c>
      <c r="E323" s="288">
        <v>4</v>
      </c>
      <c r="F323" s="290">
        <v>3500</v>
      </c>
      <c r="G323" s="291" cm="1">
        <f t="array" ref="G323">_xlfn.IFS(AND(B323&lt;&gt;"",C323="",D323=""),SUMPRODUCT($E$26:$E$422,$F$26:$F$422, --($B$26:$B$422=B323)),AND(C323&lt;&gt;"",F323=""),SUMPRODUCT($E$26:$E$422,$F$26:$F$422,--($C$26:$C$422=C323)),AND(D323,F323)&lt;&gt;0,E323*F323)</f>
        <v>14000</v>
      </c>
      <c r="H323" s="286" t="s">
        <v>2041</v>
      </c>
    </row>
    <row r="324" spans="2:8" ht="13.5" customHeight="1" outlineLevel="2" x14ac:dyDescent="0.2">
      <c r="B324" s="277" t="str">
        <f t="shared" si="53"/>
        <v>LAZER - 13</v>
      </c>
      <c r="C324" s="292" t="str">
        <f t="shared" si="56"/>
        <v>Galleria Fitness</v>
      </c>
      <c r="D324" s="287" t="s">
        <v>6792</v>
      </c>
      <c r="E324" s="288">
        <v>16</v>
      </c>
      <c r="F324" s="290">
        <v>1200</v>
      </c>
      <c r="G324" s="291" cm="1">
        <f t="array" ref="G324">_xlfn.IFS(AND(B324&lt;&gt;"",C324="",D324=""),SUMPRODUCT($E$26:$E$422,$F$26:$F$422, --($B$26:$B$422=B324)),AND(C324&lt;&gt;"",F324=""),SUMPRODUCT($E$26:$E$422,$F$26:$F$422,--($C$26:$C$422=C324)),AND(D324,F324)&lt;&gt;0,E324*F324)</f>
        <v>19200</v>
      </c>
      <c r="H324" s="286" t="s">
        <v>6677</v>
      </c>
    </row>
    <row r="325" spans="2:8" ht="13.5" customHeight="1" outlineLevel="2" x14ac:dyDescent="0.2">
      <c r="B325" s="277" t="str">
        <f t="shared" si="53"/>
        <v>LAZER - 13</v>
      </c>
      <c r="C325" s="292" t="str">
        <f t="shared" si="56"/>
        <v>Galleria Fitness</v>
      </c>
      <c r="D325" s="287" t="s">
        <v>6793</v>
      </c>
      <c r="E325" s="288">
        <v>20</v>
      </c>
      <c r="F325" s="285">
        <v>157</v>
      </c>
      <c r="G325" s="291" cm="1">
        <f t="array" ref="G325">_xlfn.IFS(AND(B325&lt;&gt;"",C325="",D325=""),SUMPRODUCT($E$26:$E$422,$F$26:$F$422, --($B$26:$B$422=B325)),AND(C325&lt;&gt;"",F325=""),SUMPRODUCT($E$26:$E$422,$F$26:$F$422,--($C$26:$C$422=C325)),AND(D325,F325)&lt;&gt;0,E325*F325)</f>
        <v>3140</v>
      </c>
      <c r="H325" s="286" t="s">
        <v>2040</v>
      </c>
    </row>
    <row r="326" spans="2:8" ht="13.5" customHeight="1" outlineLevel="2" x14ac:dyDescent="0.2">
      <c r="B326" s="277" t="str">
        <f t="shared" si="53"/>
        <v>LAZER - 13</v>
      </c>
      <c r="C326" s="292" t="str">
        <f t="shared" si="56"/>
        <v>Galleria Fitness</v>
      </c>
      <c r="D326" s="287" t="s">
        <v>6794</v>
      </c>
      <c r="E326" s="288">
        <v>2</v>
      </c>
      <c r="F326" s="285">
        <v>2500</v>
      </c>
      <c r="G326" s="291" cm="1">
        <f t="array" ref="G326">_xlfn.IFS(AND(B326&lt;&gt;"",C326="",D326=""),SUMPRODUCT($E$26:$E$422,$F$26:$F$422, --($B$26:$B$422=B326)),AND(C326&lt;&gt;"",F326=""),SUMPRODUCT($E$26:$E$422,$F$26:$F$422,--($C$26:$C$422=C326)),AND(D326,F326)&lt;&gt;0,E326*F326)</f>
        <v>5000</v>
      </c>
      <c r="H326" s="286" t="s">
        <v>2040</v>
      </c>
    </row>
    <row r="327" spans="2:8" ht="13.5" customHeight="1" outlineLevel="2" x14ac:dyDescent="0.2">
      <c r="B327" s="277" t="str">
        <f t="shared" si="53"/>
        <v>LAZER - 13</v>
      </c>
      <c r="C327" s="292" t="str">
        <f t="shared" si="56"/>
        <v>Galleria Fitness</v>
      </c>
      <c r="D327" s="287" t="s">
        <v>2047</v>
      </c>
      <c r="E327" s="288">
        <v>5</v>
      </c>
      <c r="F327" s="285">
        <v>1000</v>
      </c>
      <c r="G327" s="291" cm="1">
        <f t="array" ref="G327">_xlfn.IFS(AND(B327&lt;&gt;"",C327="",D327=""),SUMPRODUCT($E$26:$E$422,$F$26:$F$422, --($B$26:$B$422=B327)),AND(C327&lt;&gt;"",F327=""),SUMPRODUCT($E$26:$E$422,$F$26:$F$422,--($C$26:$C$422=C327)),AND(D327,F327)&lt;&gt;0,E327*F327)</f>
        <v>5000</v>
      </c>
      <c r="H327" s="286" t="s">
        <v>6675</v>
      </c>
    </row>
    <row r="328" spans="2:8" ht="13.5" customHeight="1" outlineLevel="2" x14ac:dyDescent="0.2">
      <c r="B328" s="277" t="str">
        <f t="shared" si="53"/>
        <v>LAZER - 13</v>
      </c>
      <c r="C328" s="292" t="str">
        <f t="shared" si="56"/>
        <v>Galleria Fitness</v>
      </c>
      <c r="D328" s="287" t="s">
        <v>2043</v>
      </c>
      <c r="E328" s="288">
        <v>2</v>
      </c>
      <c r="F328" s="290">
        <v>200</v>
      </c>
      <c r="G328" s="291" cm="1">
        <f t="array" ref="G328">_xlfn.IFS(AND(B328&lt;&gt;"",C328="",D328=""),SUMPRODUCT($E$26:$E$422,$F$26:$F$422, --($B$26:$B$422=B328)),AND(C328&lt;&gt;"",F328=""),SUMPRODUCT($E$26:$E$422,$F$26:$F$422,--($C$26:$C$422=C328)),AND(D328,F328)&lt;&gt;0,E328*F328)</f>
        <v>400</v>
      </c>
      <c r="H328" s="286" t="s">
        <v>2040</v>
      </c>
    </row>
    <row r="329" spans="2:8" ht="13.5" customHeight="1" outlineLevel="2" x14ac:dyDescent="0.2">
      <c r="B329" s="277" t="str">
        <f t="shared" si="53"/>
        <v>LAZER - 13</v>
      </c>
      <c r="C329" s="292" t="str">
        <f t="shared" si="56"/>
        <v>Galleria Fitness</v>
      </c>
      <c r="D329" s="287" t="s">
        <v>6795</v>
      </c>
      <c r="E329" s="288">
        <v>2</v>
      </c>
      <c r="F329" s="285">
        <v>200</v>
      </c>
      <c r="G329" s="291" cm="1">
        <f t="array" ref="G329">_xlfn.IFS(AND(B329&lt;&gt;"",C329="",D329=""),SUMPRODUCT($E$26:$E$422,$F$26:$F$422, --($B$26:$B$422=B329)),AND(C329&lt;&gt;"",F329=""),SUMPRODUCT($E$26:$E$422,$F$26:$F$422,--($C$26:$C$422=C329)),AND(D329,F329)&lt;&gt;0,E329*F329)</f>
        <v>400</v>
      </c>
      <c r="H329" s="286" t="s">
        <v>6670</v>
      </c>
    </row>
    <row r="330" spans="2:8" ht="13.5" customHeight="1" outlineLevel="2" x14ac:dyDescent="0.2">
      <c r="B330" s="277" t="str">
        <f t="shared" ref="B330:B355" si="57">B329</f>
        <v>LAZER - 13</v>
      </c>
      <c r="C330" s="292" t="str">
        <f t="shared" si="56"/>
        <v>Galleria Fitness</v>
      </c>
      <c r="D330" s="287" t="s">
        <v>2048</v>
      </c>
      <c r="E330" s="288">
        <v>2</v>
      </c>
      <c r="F330" s="285">
        <v>3419.1</v>
      </c>
      <c r="G330" s="291" cm="1">
        <f t="array" ref="G330">_xlfn.IFS(AND(B330&lt;&gt;"",C330="",D330=""),SUMPRODUCT($E$26:$E$422,$F$26:$F$422, --($B$26:$B$422=B330)),AND(C330&lt;&gt;"",F330=""),SUMPRODUCT($E$26:$E$422,$F$26:$F$422,--($C$26:$C$422=C330)),AND(D330,F330)&lt;&gt;0,E330*F330)</f>
        <v>6838.2</v>
      </c>
      <c r="H330" s="286" t="s">
        <v>6670</v>
      </c>
    </row>
    <row r="331" spans="2:8" ht="13.5" customHeight="1" outlineLevel="2" x14ac:dyDescent="0.2">
      <c r="B331" s="277" t="str">
        <f t="shared" si="57"/>
        <v>LAZER - 13</v>
      </c>
      <c r="C331" s="292" t="str">
        <f t="shared" si="56"/>
        <v>Galleria Fitness</v>
      </c>
      <c r="D331" s="287" t="s">
        <v>6796</v>
      </c>
      <c r="E331" s="288">
        <v>1</v>
      </c>
      <c r="F331" s="285">
        <v>19800</v>
      </c>
      <c r="G331" s="291" cm="1">
        <f t="array" ref="G331">_xlfn.IFS(AND(B331&lt;&gt;"",C331="",D331=""),SUMPRODUCT($E$26:$E$422,$F$26:$F$422, --($B$26:$B$422=B331)),AND(C331&lt;&gt;"",F331=""),SUMPRODUCT($E$26:$E$422,$F$26:$F$422,--($C$26:$C$422=C331)),AND(D331,F331)&lt;&gt;0,E331*F331)</f>
        <v>19800</v>
      </c>
      <c r="H331" s="286" t="s">
        <v>6671</v>
      </c>
    </row>
    <row r="332" spans="2:8" ht="13.5" customHeight="1" outlineLevel="2" x14ac:dyDescent="0.2">
      <c r="B332" s="277" t="str">
        <f t="shared" si="57"/>
        <v>LAZER - 13</v>
      </c>
      <c r="C332" s="292" t="str">
        <f t="shared" si="56"/>
        <v>Galleria Fitness</v>
      </c>
      <c r="D332" s="287" t="s">
        <v>6797</v>
      </c>
      <c r="E332" s="288">
        <v>1</v>
      </c>
      <c r="F332" s="290">
        <v>1140</v>
      </c>
      <c r="G332" s="291" cm="1">
        <f t="array" ref="G332">_xlfn.IFS(AND(B332&lt;&gt;"",C332="",D332=""),SUMPRODUCT($E$26:$E$422,$F$26:$F$422, --($B$26:$B$422=B332)),AND(C332&lt;&gt;"",F332=""),SUMPRODUCT($E$26:$E$422,$F$26:$F$422,--($C$26:$C$422=C332)),AND(D332,F332)&lt;&gt;0,E332*F332)</f>
        <v>1140</v>
      </c>
      <c r="H332" s="286" t="s">
        <v>6671</v>
      </c>
    </row>
    <row r="333" spans="2:8" ht="13.5" customHeight="1" outlineLevel="2" x14ac:dyDescent="0.2">
      <c r="B333" s="277" t="str">
        <f t="shared" si="57"/>
        <v>LAZER - 13</v>
      </c>
      <c r="C333" s="292" t="str">
        <f t="shared" si="56"/>
        <v>Galleria Fitness</v>
      </c>
      <c r="D333" s="287" t="s">
        <v>6798</v>
      </c>
      <c r="E333" s="288">
        <v>1</v>
      </c>
      <c r="F333" s="285">
        <v>522</v>
      </c>
      <c r="G333" s="291" cm="1">
        <f t="array" ref="G333">_xlfn.IFS(AND(B333&lt;&gt;"",C333="",D333=""),SUMPRODUCT($E$26:$E$422,$F$26:$F$422, --($B$26:$B$422=B333)),AND(C333&lt;&gt;"",F333=""),SUMPRODUCT($E$26:$E$422,$F$26:$F$422,--($C$26:$C$422=C333)),AND(D333,F333)&lt;&gt;0,E333*F333)</f>
        <v>522</v>
      </c>
      <c r="H333" s="286" t="s">
        <v>6669</v>
      </c>
    </row>
    <row r="334" spans="2:8" ht="13.5" customHeight="1" outlineLevel="2" x14ac:dyDescent="0.2">
      <c r="B334" s="277" t="str">
        <f t="shared" si="57"/>
        <v>LAZER - 13</v>
      </c>
      <c r="C334" s="292" t="str">
        <f t="shared" si="56"/>
        <v>Galleria Fitness</v>
      </c>
      <c r="D334" s="287" t="s">
        <v>6799</v>
      </c>
      <c r="E334" s="288">
        <v>1</v>
      </c>
      <c r="F334" s="285">
        <v>120</v>
      </c>
      <c r="G334" s="291" cm="1">
        <f t="array" ref="G334">_xlfn.IFS(AND(B334&lt;&gt;"",C334="",D334=""),SUMPRODUCT($E$26:$E$422,$F$26:$F$422, --($B$26:$B$422=B334)),AND(C334&lt;&gt;"",F334=""),SUMPRODUCT($E$26:$E$422,$F$26:$F$422,--($C$26:$C$422=C334)),AND(D334,F334)&lt;&gt;0,E334*F334)</f>
        <v>120</v>
      </c>
      <c r="H334" s="286" t="s">
        <v>6677</v>
      </c>
    </row>
    <row r="335" spans="2:8" ht="13.5" customHeight="1" outlineLevel="2" x14ac:dyDescent="0.2">
      <c r="B335" s="277" t="str">
        <f t="shared" si="57"/>
        <v>LAZER - 13</v>
      </c>
      <c r="C335" s="292" t="str">
        <f t="shared" si="56"/>
        <v>Galleria Fitness</v>
      </c>
      <c r="D335" s="287" t="s">
        <v>6800</v>
      </c>
      <c r="E335" s="288">
        <v>1</v>
      </c>
      <c r="F335" s="285">
        <v>300</v>
      </c>
      <c r="G335" s="291" cm="1">
        <f t="array" ref="G335">_xlfn.IFS(AND(B335&lt;&gt;"",C335="",D335=""),SUMPRODUCT($E$26:$E$422,$F$26:$F$422, --($B$26:$B$422=B335)),AND(C335&lt;&gt;"",F335=""),SUMPRODUCT($E$26:$E$422,$F$26:$F$422,--($C$26:$C$422=C335)),AND(D335,F335)&lt;&gt;0,E335*F335)</f>
        <v>300</v>
      </c>
      <c r="H335" s="286" t="s">
        <v>6674</v>
      </c>
    </row>
    <row r="336" spans="2:8" outlineLevel="1" x14ac:dyDescent="0.2">
      <c r="B336" s="277" t="str">
        <f t="shared" si="57"/>
        <v>LAZER - 13</v>
      </c>
      <c r="C336" s="278" t="s">
        <v>6801</v>
      </c>
      <c r="D336" s="279" t="s">
        <v>1797</v>
      </c>
      <c r="E336" s="280">
        <v>21</v>
      </c>
      <c r="F336" s="281"/>
      <c r="G336" s="282" cm="1">
        <f t="array" ref="G336">_xlfn.IFS(AND(B336&lt;&gt;"",C336="",D336=""),SUMPRODUCT($E$26:$E$422,$F$26:$F$422, --($B$26:$B$422=B336)),AND(C336&lt;&gt;"",F336=""),SUMPRODUCT($E$26:$E$422,$F$26:$F$422,--($C$26:$C$422=C336)),AND(D336,F336)&lt;&gt;0,E336*F336)</f>
        <v>65236.6</v>
      </c>
      <c r="H336" s="283">
        <f>G336/E336</f>
        <v>3106.5047619047618</v>
      </c>
    </row>
    <row r="337" spans="2:8" outlineLevel="2" x14ac:dyDescent="0.2">
      <c r="B337" s="277" t="str">
        <f t="shared" si="57"/>
        <v>LAZER - 13</v>
      </c>
      <c r="C337" s="284" t="str">
        <f t="shared" ref="C337:C344" si="58">C336</f>
        <v>Coworking</v>
      </c>
      <c r="D337" s="287" t="s">
        <v>6803</v>
      </c>
      <c r="E337" s="288">
        <v>6</v>
      </c>
      <c r="F337" s="290">
        <v>330</v>
      </c>
      <c r="G337" s="291" cm="1">
        <f t="array" ref="G337">_xlfn.IFS(AND(B337&lt;&gt;"",C337="",D337=""),SUMPRODUCT($E$26:$E$422,$F$26:$F$422, --($B$26:$B$422=B337)),AND(C337&lt;&gt;"",F337=""),SUMPRODUCT($E$26:$E$422,$F$26:$F$422,--($C$26:$C$422=C337)),AND(D337,F337)&lt;&gt;0,E337*F337)</f>
        <v>1980</v>
      </c>
      <c r="H337" s="286" t="s">
        <v>2040</v>
      </c>
    </row>
    <row r="338" spans="2:8" outlineLevel="2" x14ac:dyDescent="0.2">
      <c r="B338" s="277" t="str">
        <f t="shared" si="57"/>
        <v>LAZER - 13</v>
      </c>
      <c r="C338" s="284" t="str">
        <f t="shared" si="58"/>
        <v>Coworking</v>
      </c>
      <c r="D338" s="287" t="s">
        <v>6641</v>
      </c>
      <c r="E338" s="288">
        <v>5</v>
      </c>
      <c r="F338" s="285">
        <v>50</v>
      </c>
      <c r="G338" s="291" cm="1">
        <f t="array" ref="G338">_xlfn.IFS(AND(B338&lt;&gt;"",C338="",D338=""),SUMPRODUCT($E$26:$E$422,$F$26:$F$422, --($B$26:$B$422=B338)),AND(C338&lt;&gt;"",F338=""),SUMPRODUCT($E$26:$E$422,$F$26:$F$422,--($C$26:$C$422=C338)),AND(D338,F338)&lt;&gt;0,E338*F338)</f>
        <v>250</v>
      </c>
      <c r="H338" s="286" t="s">
        <v>2040</v>
      </c>
    </row>
    <row r="339" spans="2:8" outlineLevel="2" x14ac:dyDescent="0.2">
      <c r="B339" s="277" t="str">
        <f t="shared" si="57"/>
        <v>LAZER - 13</v>
      </c>
      <c r="C339" s="284" t="str">
        <f t="shared" si="58"/>
        <v>Coworking</v>
      </c>
      <c r="D339" s="287" t="s">
        <v>2051</v>
      </c>
      <c r="E339" s="288">
        <v>1</v>
      </c>
      <c r="F339" s="290">
        <v>1959</v>
      </c>
      <c r="G339" s="291" cm="1">
        <f t="array" ref="G339">_xlfn.IFS(AND(B339&lt;&gt;"",C339="",D339=""),SUMPRODUCT($E$26:$E$422,$F$26:$F$422, --($B$26:$B$422=B339)),AND(C339&lt;&gt;"",F339=""),SUMPRODUCT($E$26:$E$422,$F$26:$F$422,--($C$26:$C$422=C339)),AND(D339,F339)&lt;&gt;0,E339*F339)</f>
        <v>1959</v>
      </c>
      <c r="H339" s="286" t="s">
        <v>6669</v>
      </c>
    </row>
    <row r="340" spans="2:8" ht="13.5" customHeight="1" outlineLevel="2" x14ac:dyDescent="0.2">
      <c r="B340" s="277" t="str">
        <f t="shared" si="57"/>
        <v>LAZER - 13</v>
      </c>
      <c r="C340" s="284" t="str">
        <f t="shared" si="58"/>
        <v>Coworking</v>
      </c>
      <c r="D340" s="287" t="s">
        <v>2044</v>
      </c>
      <c r="E340" s="288">
        <v>1</v>
      </c>
      <c r="F340" s="285">
        <v>1345.5</v>
      </c>
      <c r="G340" s="291" cm="1">
        <f t="array" ref="G340">_xlfn.IFS(AND(B340&lt;&gt;"",C340="",D340=""),SUMPRODUCT($E$26:$E$422,$F$26:$F$422, --($B$26:$B$422=B340)),AND(C340&lt;&gt;"",F340=""),SUMPRODUCT($E$26:$E$422,$F$26:$F$422,--($C$26:$C$422=C340)),AND(D340,F340)&lt;&gt;0,E340*F340)</f>
        <v>1345.5</v>
      </c>
      <c r="H340" s="286" t="s">
        <v>6675</v>
      </c>
    </row>
    <row r="341" spans="2:8" ht="13.5" customHeight="1" outlineLevel="2" x14ac:dyDescent="0.2">
      <c r="B341" s="277" t="str">
        <f t="shared" si="57"/>
        <v>LAZER - 13</v>
      </c>
      <c r="C341" s="284" t="str">
        <f t="shared" si="58"/>
        <v>Coworking</v>
      </c>
      <c r="D341" s="287" t="s">
        <v>2048</v>
      </c>
      <c r="E341" s="288">
        <v>1</v>
      </c>
      <c r="F341" s="285">
        <v>3419.1</v>
      </c>
      <c r="G341" s="291" cm="1">
        <f t="array" ref="G341">_xlfn.IFS(AND(B341&lt;&gt;"",C341="",D341=""),SUMPRODUCT($E$26:$E$422,$F$26:$F$422, --($B$26:$B$422=B341)),AND(C341&lt;&gt;"",F341=""),SUMPRODUCT($E$26:$E$422,$F$26:$F$422,--($C$26:$C$422=C341)),AND(D341,F341)&lt;&gt;0,E341*F341)</f>
        <v>3419.1</v>
      </c>
      <c r="H341" s="286" t="s">
        <v>6670</v>
      </c>
    </row>
    <row r="342" spans="2:8" ht="13.5" customHeight="1" outlineLevel="2" x14ac:dyDescent="0.2">
      <c r="B342" s="277" t="str">
        <f t="shared" si="57"/>
        <v>LAZER - 13</v>
      </c>
      <c r="C342" s="284" t="str">
        <f t="shared" si="58"/>
        <v>Coworking</v>
      </c>
      <c r="D342" s="287" t="s">
        <v>6712</v>
      </c>
      <c r="E342" s="288">
        <v>2</v>
      </c>
      <c r="F342" s="285">
        <v>56</v>
      </c>
      <c r="G342" s="291" cm="1">
        <f t="array" ref="G342">_xlfn.IFS(AND(B342&lt;&gt;"",C342="",D342=""),SUMPRODUCT($E$26:$E$422,$F$26:$F$422, --($B$26:$B$422=B342)),AND(C342&lt;&gt;"",F342=""),SUMPRODUCT($E$26:$E$422,$F$26:$F$422,--($C$26:$C$422=C342)),AND(D342,F342)&lt;&gt;0,E342*F342)</f>
        <v>112</v>
      </c>
      <c r="H342" s="286" t="s">
        <v>6677</v>
      </c>
    </row>
    <row r="343" spans="2:8" outlineLevel="2" x14ac:dyDescent="0.2">
      <c r="B343" s="277" t="str">
        <f t="shared" si="57"/>
        <v>LAZER - 13</v>
      </c>
      <c r="C343" s="292" t="str">
        <f t="shared" si="58"/>
        <v>Coworking</v>
      </c>
      <c r="D343" s="287" t="s">
        <v>1799</v>
      </c>
      <c r="E343" s="288">
        <v>4</v>
      </c>
      <c r="F343" s="290">
        <v>3500</v>
      </c>
      <c r="G343" s="291" cm="1">
        <f t="array" ref="G343">_xlfn.IFS(AND(B343&lt;&gt;"",C343="",D343=""),SUMPRODUCT($E$26:$E$422,$F$26:$F$422, --($B$26:$B$422=B343)),AND(C343&lt;&gt;"",F343=""),SUMPRODUCT($E$26:$E$422,$F$26:$F$422,--($C$26:$C$422=C343)),AND(D343,F343)&lt;&gt;0,E343*F343)</f>
        <v>14000</v>
      </c>
      <c r="H343" s="286" t="s">
        <v>2041</v>
      </c>
    </row>
    <row r="344" spans="2:8" outlineLevel="2" x14ac:dyDescent="0.2">
      <c r="B344" s="277" t="str">
        <f t="shared" si="57"/>
        <v>LAZER - 13</v>
      </c>
      <c r="C344" s="292" t="str">
        <f t="shared" si="58"/>
        <v>Coworking</v>
      </c>
      <c r="D344" s="287" t="s">
        <v>2047</v>
      </c>
      <c r="E344" s="288">
        <v>4</v>
      </c>
      <c r="F344" s="285">
        <v>1000</v>
      </c>
      <c r="G344" s="291" cm="1">
        <f t="array" ref="G344">_xlfn.IFS(AND(B344&lt;&gt;"",C344="",D344=""),SUMPRODUCT($E$26:$E$422,$F$26:$F$422, --($B$26:$B$422=B344)),AND(C344&lt;&gt;"",F344=""),SUMPRODUCT($E$26:$E$422,$F$26:$F$422,--($C$26:$C$422=C344)),AND(D344,F344)&lt;&gt;0,E344*F344)</f>
        <v>4000</v>
      </c>
      <c r="H344" s="286" t="s">
        <v>6675</v>
      </c>
    </row>
    <row r="345" spans="2:8" ht="13.5" customHeight="1" outlineLevel="2" x14ac:dyDescent="0.2">
      <c r="B345" s="277" t="str">
        <f t="shared" si="57"/>
        <v>LAZER - 13</v>
      </c>
      <c r="C345" s="292" t="str">
        <f>C343</f>
        <v>Coworking</v>
      </c>
      <c r="D345" s="287" t="s">
        <v>6718</v>
      </c>
      <c r="E345" s="288">
        <v>6</v>
      </c>
      <c r="F345" s="285">
        <v>2921</v>
      </c>
      <c r="G345" s="291" cm="1">
        <f t="array" ref="G345">_xlfn.IFS(AND(B345&lt;&gt;"",C345="",D345=""),SUMPRODUCT($E$26:$E$422,$F$26:$F$422, --($B$26:$B$422=B345)),AND(C345&lt;&gt;"",F345=""),SUMPRODUCT($E$26:$E$422,$F$26:$F$422,--($C$26:$C$422=C345)),AND(D345,F345)&lt;&gt;0,E345*F345)</f>
        <v>17526</v>
      </c>
      <c r="H345" s="286" t="s">
        <v>6674</v>
      </c>
    </row>
    <row r="346" spans="2:8" ht="13.5" customHeight="1" outlineLevel="2" x14ac:dyDescent="0.2">
      <c r="B346" s="277" t="str">
        <f t="shared" si="57"/>
        <v>LAZER - 13</v>
      </c>
      <c r="C346" s="292" t="str">
        <f>C343</f>
        <v>Coworking</v>
      </c>
      <c r="D346" s="287" t="s">
        <v>6734</v>
      </c>
      <c r="E346" s="288">
        <v>1</v>
      </c>
      <c r="F346" s="290">
        <v>360</v>
      </c>
      <c r="G346" s="291" cm="1">
        <f t="array" ref="G346">_xlfn.IFS(AND(B346&lt;&gt;"",C346="",D346=""),SUMPRODUCT($E$26:$E$422,$F$26:$F$422, --($B$26:$B$422=B346)),AND(C346&lt;&gt;"",F346=""),SUMPRODUCT($E$26:$E$422,$F$26:$F$422,--($C$26:$C$422=C346)),AND(D346,F346)&lt;&gt;0,E346*F346)</f>
        <v>360</v>
      </c>
      <c r="H346" s="286" t="s">
        <v>6669</v>
      </c>
    </row>
    <row r="347" spans="2:8" ht="13.5" customHeight="1" outlineLevel="2" x14ac:dyDescent="0.2">
      <c r="B347" s="277" t="str">
        <f t="shared" si="57"/>
        <v>LAZER - 13</v>
      </c>
      <c r="C347" s="292" t="str">
        <f>C344</f>
        <v>Coworking</v>
      </c>
      <c r="D347" s="287" t="s">
        <v>6735</v>
      </c>
      <c r="E347" s="288">
        <v>1</v>
      </c>
      <c r="F347" s="290">
        <v>1349</v>
      </c>
      <c r="G347" s="291" cm="1">
        <f t="array" ref="G347">_xlfn.IFS(AND(B347&lt;&gt;"",C347="",D347=""),SUMPRODUCT($E$26:$E$422,$F$26:$F$422, --($B$26:$B$422=B347)),AND(C347&lt;&gt;"",F347=""),SUMPRODUCT($E$26:$E$422,$F$26:$F$422,--($C$26:$C$422=C347)),AND(D347,F347)&lt;&gt;0,E347*F347)</f>
        <v>1349</v>
      </c>
      <c r="H347" s="286" t="s">
        <v>6677</v>
      </c>
    </row>
    <row r="348" spans="2:8" ht="13.5" customHeight="1" outlineLevel="2" x14ac:dyDescent="0.2">
      <c r="B348" s="277" t="str">
        <f t="shared" si="57"/>
        <v>LAZER - 13</v>
      </c>
      <c r="C348" s="292" t="str">
        <f>C347</f>
        <v>Coworking</v>
      </c>
      <c r="D348" s="287" t="s">
        <v>6760</v>
      </c>
      <c r="E348" s="288">
        <v>1</v>
      </c>
      <c r="F348" s="285">
        <v>8000</v>
      </c>
      <c r="G348" s="291" cm="1">
        <f t="array" ref="G348">_xlfn.IFS(AND(B348&lt;&gt;"",C348="",D348=""),SUMPRODUCT($E$26:$E$422,$F$26:$F$422, --($B$26:$B$422=B348)),AND(C348&lt;&gt;"",F348=""),SUMPRODUCT($E$26:$E$422,$F$26:$F$422,--($C$26:$C$422=C348)),AND(D348,F348)&lt;&gt;0,E348*F348)</f>
        <v>8000</v>
      </c>
      <c r="H348" s="286" t="s">
        <v>6673</v>
      </c>
    </row>
    <row r="349" spans="2:8" ht="13.5" customHeight="1" outlineLevel="2" x14ac:dyDescent="0.2">
      <c r="B349" s="277" t="str">
        <f t="shared" si="57"/>
        <v>LAZER - 13</v>
      </c>
      <c r="C349" s="292" t="str">
        <f>C348</f>
        <v>Coworking</v>
      </c>
      <c r="D349" s="287" t="s">
        <v>6804</v>
      </c>
      <c r="E349" s="288">
        <v>1</v>
      </c>
      <c r="F349" s="285">
        <v>2157</v>
      </c>
      <c r="G349" s="291" cm="1">
        <f t="array" ref="G349">_xlfn.IFS(AND(B349&lt;&gt;"",C349="",D349=""),SUMPRODUCT($E$26:$E$422,$F$26:$F$422, --($B$26:$B$422=B349)),AND(C349&lt;&gt;"",F349=""),SUMPRODUCT($E$26:$E$422,$F$26:$F$422,--($C$26:$C$422=C349)),AND(D349,F349)&lt;&gt;0,E349*F349)</f>
        <v>2157</v>
      </c>
      <c r="H349" s="286" t="s">
        <v>6674</v>
      </c>
    </row>
    <row r="350" spans="2:8" ht="13.5" customHeight="1" outlineLevel="2" x14ac:dyDescent="0.2">
      <c r="B350" s="277" t="str">
        <f t="shared" si="57"/>
        <v>LAZER - 13</v>
      </c>
      <c r="C350" s="292" t="str">
        <f>C349</f>
        <v>Coworking</v>
      </c>
      <c r="D350" s="287" t="s">
        <v>6805</v>
      </c>
      <c r="E350" s="288">
        <v>1</v>
      </c>
      <c r="F350" s="285">
        <v>850</v>
      </c>
      <c r="G350" s="291" cm="1">
        <f t="array" ref="G350">_xlfn.IFS(AND(B350&lt;&gt;"",C350="",D350=""),SUMPRODUCT($E$26:$E$422,$F$26:$F$422, --($B$26:$B$422=B350)),AND(C350&lt;&gt;"",F350=""),SUMPRODUCT($E$26:$E$422,$F$26:$F$422,--($C$26:$C$422=C350)),AND(D350,F350)&lt;&gt;0,E350*F350)</f>
        <v>850</v>
      </c>
      <c r="H350" s="286" t="s">
        <v>6675</v>
      </c>
    </row>
    <row r="351" spans="2:8" ht="13.5" customHeight="1" outlineLevel="2" x14ac:dyDescent="0.2">
      <c r="B351" s="277" t="str">
        <f t="shared" si="57"/>
        <v>LAZER - 13</v>
      </c>
      <c r="C351" s="292" t="str">
        <f>C350</f>
        <v>Coworking</v>
      </c>
      <c r="D351" s="287" t="s">
        <v>6806</v>
      </c>
      <c r="E351" s="288">
        <v>1</v>
      </c>
      <c r="F351" s="285">
        <v>1208</v>
      </c>
      <c r="G351" s="291" cm="1">
        <f t="array" ref="G351">_xlfn.IFS(AND(B351&lt;&gt;"",C351="",D351=""),SUMPRODUCT($E$26:$E$422,$F$26:$F$422, --($B$26:$B$422=B351)),AND(C351&lt;&gt;"",F351=""),SUMPRODUCT($E$26:$E$422,$F$26:$F$422,--($C$26:$C$422=C351)),AND(D351,F351)&lt;&gt;0,E351*F351)</f>
        <v>1208</v>
      </c>
      <c r="H351" s="286" t="s">
        <v>6674</v>
      </c>
    </row>
    <row r="352" spans="2:8" ht="13.5" customHeight="1" outlineLevel="2" x14ac:dyDescent="0.2">
      <c r="B352" s="277" t="str">
        <f t="shared" si="57"/>
        <v>LAZER - 13</v>
      </c>
      <c r="C352" s="292" t="str">
        <f>C350</f>
        <v>Coworking</v>
      </c>
      <c r="D352" s="287" t="s">
        <v>6807</v>
      </c>
      <c r="E352" s="288">
        <v>1</v>
      </c>
      <c r="F352" s="285">
        <v>250</v>
      </c>
      <c r="G352" s="291" cm="1">
        <f t="array" ref="G352">_xlfn.IFS(AND(B352&lt;&gt;"",C352="",D352=""),SUMPRODUCT($E$26:$E$422,$F$26:$F$422, --($B$26:$B$422=B352)),AND(C352&lt;&gt;"",F352=""),SUMPRODUCT($E$26:$E$422,$F$26:$F$422,--($C$26:$C$422=C352)),AND(D352,F352)&lt;&gt;0,E352*F352)</f>
        <v>250</v>
      </c>
      <c r="H352" s="286" t="s">
        <v>2040</v>
      </c>
    </row>
    <row r="353" spans="2:8" outlineLevel="2" x14ac:dyDescent="0.2">
      <c r="B353" s="277" t="str">
        <f t="shared" si="57"/>
        <v>LAZER - 13</v>
      </c>
      <c r="C353" s="284" t="str">
        <f>C336</f>
        <v>Coworking</v>
      </c>
      <c r="D353" s="287" t="s">
        <v>6808</v>
      </c>
      <c r="E353" s="288">
        <v>1</v>
      </c>
      <c r="F353" s="285">
        <v>2575</v>
      </c>
      <c r="G353" s="291" cm="1">
        <f t="array" ref="G353">_xlfn.IFS(AND(B353&lt;&gt;"",C353="",D353=""),SUMPRODUCT($E$26:$E$422,$F$26:$F$422, --($B$26:$B$422=B353)),AND(C353&lt;&gt;"",F353=""),SUMPRODUCT($E$26:$E$422,$F$26:$F$422,--($C$26:$C$422=C353)),AND(D353,F353)&lt;&gt;0,E353*F353)</f>
        <v>2575</v>
      </c>
      <c r="H353" s="286" t="s">
        <v>6674</v>
      </c>
    </row>
    <row r="354" spans="2:8" ht="13.5" customHeight="1" outlineLevel="2" x14ac:dyDescent="0.2">
      <c r="B354" s="277" t="str">
        <f t="shared" si="57"/>
        <v>LAZER - 13</v>
      </c>
      <c r="C354" s="284" t="str">
        <f>C353</f>
        <v>Coworking</v>
      </c>
      <c r="D354" s="287" t="s">
        <v>6809</v>
      </c>
      <c r="E354" s="288">
        <v>2</v>
      </c>
      <c r="F354" s="290">
        <v>175</v>
      </c>
      <c r="G354" s="291" cm="1">
        <f t="array" ref="G354">_xlfn.IFS(AND(B354&lt;&gt;"",C354="",D354=""),SUMPRODUCT($E$26:$E$422,$F$26:$F$422, --($B$26:$B$422=B354)),AND(C354&lt;&gt;"",F354=""),SUMPRODUCT($E$26:$E$422,$F$26:$F$422,--($C$26:$C$422=C354)),AND(D354,F354)&lt;&gt;0,E354*F354)</f>
        <v>350</v>
      </c>
      <c r="H354" s="286" t="s">
        <v>6674</v>
      </c>
    </row>
    <row r="355" spans="2:8" ht="13.5" customHeight="1" outlineLevel="2" x14ac:dyDescent="0.2">
      <c r="B355" s="277" t="str">
        <f t="shared" si="57"/>
        <v>LAZER - 13</v>
      </c>
      <c r="C355" s="292" t="str">
        <f>C353</f>
        <v>Coworking</v>
      </c>
      <c r="D355" s="287" t="s">
        <v>6810</v>
      </c>
      <c r="E355" s="288">
        <v>1</v>
      </c>
      <c r="F355" s="285">
        <v>3546</v>
      </c>
      <c r="G355" s="291" cm="1">
        <f t="array" ref="G355">_xlfn.IFS(AND(B355&lt;&gt;"",C355="",D355=""),SUMPRODUCT($E$26:$E$422,$F$26:$F$422, --($B$26:$B$422=B355)),AND(C355&lt;&gt;"",F355=""),SUMPRODUCT($E$26:$E$422,$F$26:$F$422,--($C$26:$C$422=C355)),AND(D355,F355)&lt;&gt;0,E355*F355)</f>
        <v>3546</v>
      </c>
      <c r="H355" s="286" t="s">
        <v>6673</v>
      </c>
    </row>
    <row r="356" spans="2:8" s="261" customFormat="1" ht="19.5" customHeight="1" x14ac:dyDescent="0.2">
      <c r="B356" s="271" t="s">
        <v>6812</v>
      </c>
      <c r="C356" s="272"/>
      <c r="D356" s="273"/>
      <c r="E356" s="274"/>
      <c r="F356" s="275"/>
      <c r="G356" s="276" cm="1">
        <f t="array" ref="G356">_xlfn.IFS(AND(B356&lt;&gt;"",C356="",D356=""),SUMPRODUCT($E$26:$E$422,$F$26:$F$422, --($B$26:$B$422=B356)),AND(C356&lt;&gt;"",F356=""),SUMPRODUCT($E$26:$E$422,$F$26:$F$422,--($C$26:$C$422=C356)),AND(D356,F356)&lt;&gt;0,E356*F356)</f>
        <v>91871</v>
      </c>
      <c r="H356" s="276"/>
    </row>
    <row r="357" spans="2:8" outlineLevel="1" x14ac:dyDescent="0.2">
      <c r="B357" s="277" t="str">
        <f t="shared" ref="B357:B376" si="59">B356</f>
        <v>PAV 14</v>
      </c>
      <c r="C357" s="278" t="s">
        <v>6813</v>
      </c>
      <c r="D357" s="279" t="s">
        <v>1797</v>
      </c>
      <c r="E357" s="280">
        <v>31.19</v>
      </c>
      <c r="F357" s="281"/>
      <c r="G357" s="282" cm="1">
        <f t="array" ref="G357">_xlfn.IFS(AND(B357&lt;&gt;"",C357="",D357=""),SUMPRODUCT($E$26:$E$422,$F$26:$F$422, --($B$26:$B$422=B357)),AND(C357&lt;&gt;"",F357=""),SUMPRODUCT($E$26:$E$422,$F$26:$F$422,--($C$26:$C$422=C357)),AND(D357,F357)&lt;&gt;0,E357*F357)</f>
        <v>8718</v>
      </c>
      <c r="H357" s="283">
        <f>G357/E357</f>
        <v>279.51266431548572</v>
      </c>
    </row>
    <row r="358" spans="2:8" outlineLevel="2" x14ac:dyDescent="0.2">
      <c r="B358" s="277" t="str">
        <f t="shared" si="59"/>
        <v>PAV 14</v>
      </c>
      <c r="C358" s="292" t="str">
        <f t="shared" ref="C358:C365" si="60">C357</f>
        <v>Circulação elevadores - Pav 14</v>
      </c>
      <c r="D358" s="287" t="s">
        <v>2047</v>
      </c>
      <c r="E358" s="288">
        <v>3</v>
      </c>
      <c r="F358" s="285">
        <v>1000</v>
      </c>
      <c r="G358" s="291" cm="1">
        <f t="array" ref="G358">_xlfn.IFS(AND(B358&lt;&gt;"",C358="",D358=""),SUMPRODUCT($E$26:$E$422,$F$26:$F$422, --($B$26:$B$422=B358)),AND(C358&lt;&gt;"",F358=""),SUMPRODUCT($E$26:$E$422,$F$26:$F$422,--($C$26:$C$422=C358)),AND(D358,F358)&lt;&gt;0,E358*F358)</f>
        <v>3000</v>
      </c>
      <c r="H358" s="286" t="s">
        <v>6675</v>
      </c>
    </row>
    <row r="359" spans="2:8" ht="13.5" customHeight="1" outlineLevel="2" x14ac:dyDescent="0.2">
      <c r="B359" s="277" t="str">
        <f t="shared" si="59"/>
        <v>PAV 14</v>
      </c>
      <c r="C359" s="292" t="str">
        <f t="shared" si="60"/>
        <v>Circulação elevadores - Pav 14</v>
      </c>
      <c r="D359" s="287" t="s">
        <v>6724</v>
      </c>
      <c r="E359" s="288">
        <v>1</v>
      </c>
      <c r="F359" s="285">
        <v>227</v>
      </c>
      <c r="G359" s="291" cm="1">
        <f t="array" ref="G359">_xlfn.IFS(AND(B359&lt;&gt;"",C359="",D359=""),SUMPRODUCT($E$26:$E$422,$F$26:$F$422, --($B$26:$B$422=B359)),AND(C359&lt;&gt;"",F359=""),SUMPRODUCT($E$26:$E$422,$F$26:$F$422,--($C$26:$C$422=C359)),AND(D359,F359)&lt;&gt;0,E359*F359)</f>
        <v>227</v>
      </c>
      <c r="H359" s="286" t="s">
        <v>2040</v>
      </c>
    </row>
    <row r="360" spans="2:8" ht="13.5" customHeight="1" outlineLevel="2" x14ac:dyDescent="0.2">
      <c r="B360" s="277" t="str">
        <f t="shared" si="59"/>
        <v>PAV 14</v>
      </c>
      <c r="C360" s="292" t="str">
        <f t="shared" si="60"/>
        <v>Circulação elevadores - Pav 14</v>
      </c>
      <c r="D360" s="287" t="s">
        <v>6739</v>
      </c>
      <c r="E360" s="288">
        <v>4</v>
      </c>
      <c r="F360" s="285">
        <v>136</v>
      </c>
      <c r="G360" s="291" cm="1">
        <f t="array" ref="G360">_xlfn.IFS(AND(B360&lt;&gt;"",C360="",D360=""),SUMPRODUCT($E$26:$E$422,$F$26:$F$422, --($B$26:$B$422=B360)),AND(C360&lt;&gt;"",F360=""),SUMPRODUCT($E$26:$E$422,$F$26:$F$422,--($C$26:$C$422=C360)),AND(D360,F360)&lt;&gt;0,E360*F360)</f>
        <v>544</v>
      </c>
      <c r="H360" s="286" t="s">
        <v>2040</v>
      </c>
    </row>
    <row r="361" spans="2:8" ht="13.5" customHeight="1" outlineLevel="2" x14ac:dyDescent="0.2">
      <c r="B361" s="277" t="str">
        <f t="shared" si="59"/>
        <v>PAV 14</v>
      </c>
      <c r="C361" s="292" t="str">
        <f t="shared" si="60"/>
        <v>Circulação elevadores - Pav 14</v>
      </c>
      <c r="D361" s="287" t="s">
        <v>6712</v>
      </c>
      <c r="E361" s="288">
        <v>1</v>
      </c>
      <c r="F361" s="285">
        <v>56</v>
      </c>
      <c r="G361" s="291" cm="1">
        <f t="array" ref="G361">_xlfn.IFS(AND(B361&lt;&gt;"",C361="",D361=""),SUMPRODUCT($E$26:$E$422,$F$26:$F$422, --($B$26:$B$422=B361)),AND(C361&lt;&gt;"",F361=""),SUMPRODUCT($E$26:$E$422,$F$26:$F$422,--($C$26:$C$422=C361)),AND(D361,F361)&lt;&gt;0,E361*F361)</f>
        <v>56</v>
      </c>
      <c r="H361" s="286" t="s">
        <v>6677</v>
      </c>
    </row>
    <row r="362" spans="2:8" outlineLevel="2" x14ac:dyDescent="0.2">
      <c r="B362" s="277" t="str">
        <f t="shared" si="59"/>
        <v>PAV 14</v>
      </c>
      <c r="C362" s="292" t="str">
        <f t="shared" si="60"/>
        <v>Circulação elevadores - Pav 14</v>
      </c>
      <c r="D362" s="287" t="s">
        <v>2043</v>
      </c>
      <c r="E362" s="288">
        <v>1</v>
      </c>
      <c r="F362" s="290">
        <v>200</v>
      </c>
      <c r="G362" s="291" cm="1">
        <f t="array" ref="G362">_xlfn.IFS(AND(B362&lt;&gt;"",C362="",D362=""),SUMPRODUCT($E$26:$E$422,$F$26:$F$422, --($B$26:$B$422=B362)),AND(C362&lt;&gt;"",F362=""),SUMPRODUCT($E$26:$E$422,$F$26:$F$422,--($C$26:$C$422=C362)),AND(D362,F362)&lt;&gt;0,E362*F362)</f>
        <v>200</v>
      </c>
      <c r="H362" s="286" t="s">
        <v>2040</v>
      </c>
    </row>
    <row r="363" spans="2:8" ht="13.5" customHeight="1" outlineLevel="2" x14ac:dyDescent="0.2">
      <c r="B363" s="277" t="str">
        <f t="shared" si="59"/>
        <v>PAV 14</v>
      </c>
      <c r="C363" s="292" t="str">
        <f t="shared" si="60"/>
        <v>Circulação elevadores - Pav 14</v>
      </c>
      <c r="D363" s="287" t="s">
        <v>6641</v>
      </c>
      <c r="E363" s="288">
        <v>10</v>
      </c>
      <c r="F363" s="285">
        <v>50</v>
      </c>
      <c r="G363" s="291" cm="1">
        <f t="array" ref="G363">_xlfn.IFS(AND(B363&lt;&gt;"",C363="",D363=""),SUMPRODUCT($E$26:$E$422,$F$26:$F$422, --($B$26:$B$422=B363)),AND(C363&lt;&gt;"",F363=""),SUMPRODUCT($E$26:$E$422,$F$26:$F$422,--($C$26:$C$422=C363)),AND(D363,F363)&lt;&gt;0,E363*F363)</f>
        <v>500</v>
      </c>
      <c r="H363" s="286" t="s">
        <v>2040</v>
      </c>
    </row>
    <row r="364" spans="2:8" outlineLevel="2" x14ac:dyDescent="0.2">
      <c r="B364" s="277" t="str">
        <f t="shared" si="59"/>
        <v>PAV 14</v>
      </c>
      <c r="C364" s="292" t="str">
        <f t="shared" si="60"/>
        <v>Circulação elevadores - Pav 14</v>
      </c>
      <c r="D364" s="287" t="s">
        <v>2046</v>
      </c>
      <c r="E364" s="288">
        <v>1</v>
      </c>
      <c r="F364" s="285">
        <v>1500</v>
      </c>
      <c r="G364" s="291" cm="1">
        <f t="array" ref="G364">_xlfn.IFS(AND(B364&lt;&gt;"",C364="",D364=""),SUMPRODUCT($E$26:$E$422,$F$26:$F$422, --($B$26:$B$422=B364)),AND(C364&lt;&gt;"",F364=""),SUMPRODUCT($E$26:$E$422,$F$26:$F$422,--($C$26:$C$422=C364)),AND(D364,F364)&lt;&gt;0,E364*F364)</f>
        <v>1500</v>
      </c>
      <c r="H364" s="286" t="s">
        <v>6675</v>
      </c>
    </row>
    <row r="365" spans="2:8" ht="13.5" customHeight="1" outlineLevel="2" x14ac:dyDescent="0.2">
      <c r="B365" s="277" t="str">
        <f t="shared" si="59"/>
        <v>PAV 14</v>
      </c>
      <c r="C365" s="292" t="str">
        <f t="shared" si="60"/>
        <v>Circulação elevadores - Pav 14</v>
      </c>
      <c r="D365" s="287" t="s">
        <v>2044</v>
      </c>
      <c r="E365" s="288">
        <v>2</v>
      </c>
      <c r="F365" s="285">
        <v>1345.5</v>
      </c>
      <c r="G365" s="291" cm="1">
        <f t="array" ref="G365">_xlfn.IFS(AND(B365&lt;&gt;"",C365="",D365=""),SUMPRODUCT($E$26:$E$422,$F$26:$F$422, --($B$26:$B$422=B365)),AND(C365&lt;&gt;"",F365=""),SUMPRODUCT($E$26:$E$422,$F$26:$F$422,--($C$26:$C$422=C365)),AND(D365,F365)&lt;&gt;0,E365*F365)</f>
        <v>2691</v>
      </c>
      <c r="H365" s="286" t="s">
        <v>6675</v>
      </c>
    </row>
    <row r="366" spans="2:8" ht="13.5" customHeight="1" outlineLevel="1" x14ac:dyDescent="0.2">
      <c r="B366" s="277" t="str">
        <f t="shared" si="59"/>
        <v>PAV 14</v>
      </c>
      <c r="C366" s="278" t="s">
        <v>6818</v>
      </c>
      <c r="D366" s="279" t="s">
        <v>1797</v>
      </c>
      <c r="E366" s="280">
        <f>71.48</f>
        <v>71.48</v>
      </c>
      <c r="F366" s="281"/>
      <c r="G366" s="282" cm="1">
        <f t="array" ref="G366">_xlfn.IFS(AND(B366&lt;&gt;"",C366="",D366=""),SUMPRODUCT($E$26:$E$422,$F$26:$F$422, --($B$26:$B$422=B366)),AND(C366&lt;&gt;"",F366=""),SUMPRODUCT($E$26:$E$422,$F$26:$F$422,--($C$26:$C$422=C366)),AND(D366,F366)&lt;&gt;0,E366*F366)</f>
        <v>83153</v>
      </c>
      <c r="H366" s="283">
        <f>G366/E366</f>
        <v>1163.3044208170118</v>
      </c>
    </row>
    <row r="367" spans="2:8" ht="13.5" customHeight="1" outlineLevel="2" x14ac:dyDescent="0.2">
      <c r="B367" s="277" t="str">
        <f t="shared" si="59"/>
        <v>PAV 14</v>
      </c>
      <c r="C367" s="292" t="str">
        <f t="shared" ref="C367:C376" si="61">C366</f>
        <v>Galleria Outdoor - Pav 14</v>
      </c>
      <c r="D367" s="287" t="s">
        <v>6769</v>
      </c>
      <c r="E367" s="288">
        <v>1</v>
      </c>
      <c r="F367" s="285">
        <v>13810</v>
      </c>
      <c r="G367" s="291" cm="1">
        <f t="array" ref="G367">_xlfn.IFS(AND(B367&lt;&gt;"",C367="",D367=""),SUMPRODUCT($E$26:$E$422,$F$26:$F$422, --($B$26:$B$422=B367)),AND(C367&lt;&gt;"",F367=""),SUMPRODUCT($E$26:$E$422,$F$26:$F$422,--($C$26:$C$422=C367)),AND(D367,F367)&lt;&gt;0,E367*F367)</f>
        <v>13810</v>
      </c>
      <c r="H367" s="286" t="s">
        <v>6673</v>
      </c>
    </row>
    <row r="368" spans="2:8" ht="13.5" customHeight="1" outlineLevel="2" x14ac:dyDescent="0.2">
      <c r="B368" s="277" t="str">
        <f t="shared" si="59"/>
        <v>PAV 14</v>
      </c>
      <c r="C368" s="292" t="str">
        <f t="shared" si="61"/>
        <v>Galleria Outdoor - Pav 14</v>
      </c>
      <c r="D368" s="287" t="s">
        <v>6772</v>
      </c>
      <c r="E368" s="288">
        <v>1</v>
      </c>
      <c r="F368" s="285">
        <v>756</v>
      </c>
      <c r="G368" s="291" cm="1">
        <f t="array" ref="G368">_xlfn.IFS(AND(B368&lt;&gt;"",C368="",D368=""),SUMPRODUCT($E$26:$E$422,$F$26:$F$422, --($B$26:$B$422=B368)),AND(C368&lt;&gt;"",F368=""),SUMPRODUCT($E$26:$E$422,$F$26:$F$422,--($C$26:$C$422=C368)),AND(D368,F368)&lt;&gt;0,E368*F368)</f>
        <v>756</v>
      </c>
      <c r="H368" s="286" t="s">
        <v>6674</v>
      </c>
    </row>
    <row r="369" spans="2:8" ht="13.5" customHeight="1" outlineLevel="2" x14ac:dyDescent="0.2">
      <c r="B369" s="277" t="str">
        <f t="shared" si="59"/>
        <v>PAV 14</v>
      </c>
      <c r="C369" s="292" t="str">
        <f t="shared" si="61"/>
        <v>Galleria Outdoor - Pav 14</v>
      </c>
      <c r="D369" s="287" t="s">
        <v>6807</v>
      </c>
      <c r="E369" s="288">
        <v>4</v>
      </c>
      <c r="F369" s="285">
        <v>250</v>
      </c>
      <c r="G369" s="291" cm="1">
        <f t="array" ref="G369">_xlfn.IFS(AND(B369&lt;&gt;"",C369="",D369=""),SUMPRODUCT($E$26:$E$422,$F$26:$F$422, --($B$26:$B$422=B369)),AND(C369&lt;&gt;"",F369=""),SUMPRODUCT($E$26:$E$422,$F$26:$F$422,--($C$26:$C$422=C369)),AND(D369,F369)&lt;&gt;0,E369*F369)</f>
        <v>1000</v>
      </c>
      <c r="H369" s="286" t="s">
        <v>2040</v>
      </c>
    </row>
    <row r="370" spans="2:8" ht="13.5" customHeight="1" outlineLevel="2" x14ac:dyDescent="0.2">
      <c r="B370" s="277" t="str">
        <f t="shared" si="59"/>
        <v>PAV 14</v>
      </c>
      <c r="C370" s="292" t="str">
        <f t="shared" si="61"/>
        <v>Galleria Outdoor - Pav 14</v>
      </c>
      <c r="D370" s="287" t="s">
        <v>6814</v>
      </c>
      <c r="E370" s="288">
        <v>5</v>
      </c>
      <c r="F370" s="285">
        <v>325</v>
      </c>
      <c r="G370" s="291" cm="1">
        <f t="array" ref="G370">_xlfn.IFS(AND(B370&lt;&gt;"",C370="",D370=""),SUMPRODUCT($E$26:$E$422,$F$26:$F$422, --($B$26:$B$422=B370)),AND(C370&lt;&gt;"",F370=""),SUMPRODUCT($E$26:$E$422,$F$26:$F$422,--($C$26:$C$422=C370)),AND(D370,F370)&lt;&gt;0,E370*F370)</f>
        <v>1625</v>
      </c>
      <c r="H370" s="286" t="s">
        <v>2040</v>
      </c>
    </row>
    <row r="371" spans="2:8" ht="13.5" customHeight="1" outlineLevel="2" x14ac:dyDescent="0.2">
      <c r="B371" s="277" t="str">
        <f t="shared" si="59"/>
        <v>PAV 14</v>
      </c>
      <c r="C371" s="292" t="str">
        <f t="shared" si="61"/>
        <v>Galleria Outdoor - Pav 14</v>
      </c>
      <c r="D371" s="287" t="s">
        <v>6815</v>
      </c>
      <c r="E371" s="288">
        <v>2</v>
      </c>
      <c r="F371" s="285">
        <v>1500</v>
      </c>
      <c r="G371" s="291" cm="1">
        <f t="array" ref="G371">_xlfn.IFS(AND(B371&lt;&gt;"",C371="",D371=""),SUMPRODUCT($E$26:$E$422,$F$26:$F$422, --($B$26:$B$422=B371)),AND(C371&lt;&gt;"",F371=""),SUMPRODUCT($E$26:$E$422,$F$26:$F$422,--($C$26:$C$422=C371)),AND(D371,F371)&lt;&gt;0,E371*F371)</f>
        <v>3000</v>
      </c>
      <c r="H371" s="286" t="s">
        <v>6674</v>
      </c>
    </row>
    <row r="372" spans="2:8" outlineLevel="2" x14ac:dyDescent="0.2">
      <c r="B372" s="277" t="str">
        <f t="shared" si="59"/>
        <v>PAV 14</v>
      </c>
      <c r="C372" s="292" t="str">
        <f t="shared" si="61"/>
        <v>Galleria Outdoor - Pav 14</v>
      </c>
      <c r="D372" s="287" t="s">
        <v>6816</v>
      </c>
      <c r="E372" s="288">
        <v>1</v>
      </c>
      <c r="F372" s="285">
        <v>285</v>
      </c>
      <c r="G372" s="291" cm="1">
        <f t="array" ref="G372">_xlfn.IFS(AND(B372&lt;&gt;"",C372="",D372=""),SUMPRODUCT($E$26:$E$422,$F$26:$F$422, --($B$26:$B$422=B372)),AND(C372&lt;&gt;"",F372=""),SUMPRODUCT($E$26:$E$422,$F$26:$F$422,--($C$26:$C$422=C372)),AND(D372,F372)&lt;&gt;0,E372*F372)</f>
        <v>285</v>
      </c>
      <c r="H372" s="286" t="s">
        <v>6674</v>
      </c>
    </row>
    <row r="373" spans="2:8" outlineLevel="2" x14ac:dyDescent="0.2">
      <c r="B373" s="277" t="str">
        <f t="shared" si="59"/>
        <v>PAV 14</v>
      </c>
      <c r="C373" s="292" t="str">
        <f t="shared" si="61"/>
        <v>Galleria Outdoor - Pav 14</v>
      </c>
      <c r="D373" s="287" t="s">
        <v>6728</v>
      </c>
      <c r="E373" s="288">
        <v>4</v>
      </c>
      <c r="F373" s="285">
        <v>3791</v>
      </c>
      <c r="G373" s="291" cm="1">
        <f t="array" ref="G373">_xlfn.IFS(AND(B373&lt;&gt;"",C373="",D373=""),SUMPRODUCT($E$26:$E$422,$F$26:$F$422, --($B$26:$B$422=B373)),AND(C373&lt;&gt;"",F373=""),SUMPRODUCT($E$26:$E$422,$F$26:$F$422,--($C$26:$C$422=C373)),AND(D373,F373)&lt;&gt;0,E373*F373)</f>
        <v>15164</v>
      </c>
      <c r="H373" s="286" t="s">
        <v>2040</v>
      </c>
    </row>
    <row r="374" spans="2:8" ht="13.5" customHeight="1" outlineLevel="2" x14ac:dyDescent="0.2">
      <c r="B374" s="277" t="str">
        <f t="shared" si="59"/>
        <v>PAV 14</v>
      </c>
      <c r="C374" s="292" t="str">
        <f t="shared" si="61"/>
        <v>Galleria Outdoor - Pav 14</v>
      </c>
      <c r="D374" s="287" t="s">
        <v>2043</v>
      </c>
      <c r="E374" s="288">
        <v>1</v>
      </c>
      <c r="F374" s="290">
        <v>200</v>
      </c>
      <c r="G374" s="291" cm="1">
        <f t="array" ref="G374">_xlfn.IFS(AND(B374&lt;&gt;"",C374="",D374=""),SUMPRODUCT($E$26:$E$422,$F$26:$F$422, --($B$26:$B$422=B374)),AND(C374&lt;&gt;"",F374=""),SUMPRODUCT($E$26:$E$422,$F$26:$F$422,--($C$26:$C$422=C374)),AND(D374,F374)&lt;&gt;0,E374*F374)</f>
        <v>200</v>
      </c>
      <c r="H374" s="286" t="s">
        <v>2040</v>
      </c>
    </row>
    <row r="375" spans="2:8" ht="13.5" customHeight="1" outlineLevel="2" x14ac:dyDescent="0.2">
      <c r="B375" s="277" t="str">
        <f t="shared" si="59"/>
        <v>PAV 14</v>
      </c>
      <c r="C375" s="292" t="str">
        <f t="shared" si="61"/>
        <v>Galleria Outdoor - Pav 14</v>
      </c>
      <c r="D375" s="287" t="s">
        <v>6817</v>
      </c>
      <c r="E375" s="288">
        <v>1</v>
      </c>
      <c r="F375" s="285">
        <v>36813</v>
      </c>
      <c r="G375" s="291" cm="1">
        <f t="array" ref="G375">_xlfn.IFS(AND(B375&lt;&gt;"",C375="",D375=""),SUMPRODUCT($E$26:$E$422,$F$26:$F$422, --($B$26:$B$422=B375)),AND(C375&lt;&gt;"",F375=""),SUMPRODUCT($E$26:$E$422,$F$26:$F$422,--($C$26:$C$422=C375)),AND(D375,F375)&lt;&gt;0,E375*F375)</f>
        <v>36813</v>
      </c>
      <c r="H375" s="286" t="s">
        <v>6670</v>
      </c>
    </row>
    <row r="376" spans="2:8" ht="13.5" customHeight="1" outlineLevel="2" x14ac:dyDescent="0.2">
      <c r="B376" s="277" t="str">
        <f t="shared" si="59"/>
        <v>PAV 14</v>
      </c>
      <c r="C376" s="292" t="str">
        <f t="shared" si="61"/>
        <v>Galleria Outdoor - Pav 14</v>
      </c>
      <c r="D376" s="287" t="s">
        <v>1799</v>
      </c>
      <c r="E376" s="288">
        <v>3</v>
      </c>
      <c r="F376" s="290">
        <v>3500</v>
      </c>
      <c r="G376" s="291" cm="1">
        <f t="array" ref="G376">_xlfn.IFS(AND(B376&lt;&gt;"",C376="",D376=""),SUMPRODUCT($E$26:$E$422,$F$26:$F$422, --($B$26:$B$422=B376)),AND(C376&lt;&gt;"",F376=""),SUMPRODUCT($E$26:$E$422,$F$26:$F$422,--($C$26:$C$422=C376)),AND(D376,F376)&lt;&gt;0,E376*F376)</f>
        <v>10500</v>
      </c>
      <c r="H376" s="286" t="s">
        <v>2041</v>
      </c>
    </row>
    <row r="377" spans="2:8" s="261" customFormat="1" ht="19.5" customHeight="1" x14ac:dyDescent="0.2">
      <c r="B377" s="271" t="s">
        <v>6844</v>
      </c>
      <c r="C377" s="272"/>
      <c r="D377" s="273"/>
      <c r="E377" s="274"/>
      <c r="F377" s="275"/>
      <c r="G377" s="276" cm="1">
        <f t="array" ref="G377">_xlfn.IFS(AND(B377&lt;&gt;"",C377="",D377=""),SUMPRODUCT($E$26:$E$422,$F$26:$F$422, --($B$26:$B$422=B377)),AND(C377&lt;&gt;"",F377=""),SUMPRODUCT($E$26:$E$422,$F$26:$F$422,--($C$26:$C$422=C377)),AND(D377,F377)&lt;&gt;0,E377*F377)</f>
        <v>122052</v>
      </c>
      <c r="H377" s="276"/>
    </row>
    <row r="378" spans="2:8" outlineLevel="1" x14ac:dyDescent="0.2">
      <c r="B378" s="277" t="str">
        <f t="shared" ref="B378:B386" si="62">B377</f>
        <v>TIPOS (X14)</v>
      </c>
      <c r="C378" s="278" t="s">
        <v>6845</v>
      </c>
      <c r="D378" s="279" t="s">
        <v>1797</v>
      </c>
      <c r="E378" s="280">
        <v>628</v>
      </c>
      <c r="F378" s="281"/>
      <c r="G378" s="282" cm="1">
        <f t="array" ref="G378">_xlfn.IFS(AND(B378&lt;&gt;"",C378="",D378=""),SUMPRODUCT($E$26:$E$422,$F$26:$F$422, --($B$26:$B$422=B378)),AND(C378&lt;&gt;"",F378=""),SUMPRODUCT($E$26:$E$422,$F$26:$F$422,--($C$26:$C$422=C378)),AND(D378,F378)&lt;&gt;0,E378*F378)</f>
        <v>122052</v>
      </c>
      <c r="H378" s="283">
        <f>G378/E378</f>
        <v>194.35031847133757</v>
      </c>
    </row>
    <row r="379" spans="2:8" outlineLevel="2" x14ac:dyDescent="0.2">
      <c r="B379" s="277" t="str">
        <f t="shared" si="62"/>
        <v>TIPOS (X14)</v>
      </c>
      <c r="C379" s="292" t="str">
        <f t="shared" ref="C379:C386" si="63">C378</f>
        <v>Circulação elevadores - Tipos (x14)</v>
      </c>
      <c r="D379" s="287" t="s">
        <v>2047</v>
      </c>
      <c r="E379" s="288">
        <f>3*14</f>
        <v>42</v>
      </c>
      <c r="F379" s="285">
        <v>1000</v>
      </c>
      <c r="G379" s="291" cm="1">
        <f t="array" ref="G379">_xlfn.IFS(AND(B379&lt;&gt;"",C379="",D379=""),SUMPRODUCT($E$26:$E$422,$F$26:$F$422, --($B$26:$B$422=B379)),AND(C379&lt;&gt;"",F379=""),SUMPRODUCT($E$26:$E$422,$F$26:$F$422,--($C$26:$C$422=C379)),AND(D379,F379)&lt;&gt;0,E379*F379)</f>
        <v>42000</v>
      </c>
      <c r="H379" s="286" t="s">
        <v>6675</v>
      </c>
    </row>
    <row r="380" spans="2:8" ht="13.5" customHeight="1" outlineLevel="2" x14ac:dyDescent="0.2">
      <c r="B380" s="277" t="str">
        <f t="shared" si="62"/>
        <v>TIPOS (X14)</v>
      </c>
      <c r="C380" s="292" t="str">
        <f t="shared" si="63"/>
        <v>Circulação elevadores - Tipos (x14)</v>
      </c>
      <c r="D380" s="287" t="s">
        <v>6724</v>
      </c>
      <c r="E380" s="288">
        <f>14*1</f>
        <v>14</v>
      </c>
      <c r="F380" s="285">
        <v>227</v>
      </c>
      <c r="G380" s="291" cm="1">
        <f t="array" ref="G380">_xlfn.IFS(AND(B380&lt;&gt;"",C380="",D380=""),SUMPRODUCT($E$26:$E$422,$F$26:$F$422, --($B$26:$B$422=B380)),AND(C380&lt;&gt;"",F380=""),SUMPRODUCT($E$26:$E$422,$F$26:$F$422,--($C$26:$C$422=C380)),AND(D380,F380)&lt;&gt;0,E380*F380)</f>
        <v>3178</v>
      </c>
      <c r="H380" s="286" t="s">
        <v>2040</v>
      </c>
    </row>
    <row r="381" spans="2:8" ht="13.5" customHeight="1" outlineLevel="2" x14ac:dyDescent="0.2">
      <c r="B381" s="277" t="str">
        <f t="shared" si="62"/>
        <v>TIPOS (X14)</v>
      </c>
      <c r="C381" s="292" t="str">
        <f t="shared" si="63"/>
        <v>Circulação elevadores - Tipos (x14)</v>
      </c>
      <c r="D381" s="287" t="s">
        <v>6739</v>
      </c>
      <c r="E381" s="288">
        <f>4*14</f>
        <v>56</v>
      </c>
      <c r="F381" s="285">
        <v>136</v>
      </c>
      <c r="G381" s="291" cm="1">
        <f t="array" ref="G381">_xlfn.IFS(AND(B381&lt;&gt;"",C381="",D381=""),SUMPRODUCT($E$26:$E$422,$F$26:$F$422, --($B$26:$B$422=B381)),AND(C381&lt;&gt;"",F381=""),SUMPRODUCT($E$26:$E$422,$F$26:$F$422,--($C$26:$C$422=C381)),AND(D381,F381)&lt;&gt;0,E381*F381)</f>
        <v>7616</v>
      </c>
      <c r="H381" s="286" t="s">
        <v>2040</v>
      </c>
    </row>
    <row r="382" spans="2:8" ht="13.5" customHeight="1" outlineLevel="2" x14ac:dyDescent="0.2">
      <c r="B382" s="277" t="str">
        <f t="shared" si="62"/>
        <v>TIPOS (X14)</v>
      </c>
      <c r="C382" s="292" t="str">
        <f t="shared" si="63"/>
        <v>Circulação elevadores - Tipos (x14)</v>
      </c>
      <c r="D382" s="287" t="s">
        <v>6712</v>
      </c>
      <c r="E382" s="288">
        <f>1*14</f>
        <v>14</v>
      </c>
      <c r="F382" s="285">
        <v>56</v>
      </c>
      <c r="G382" s="291" cm="1">
        <f t="array" ref="G382">_xlfn.IFS(AND(B382&lt;&gt;"",C382="",D382=""),SUMPRODUCT($E$26:$E$422,$F$26:$F$422, --($B$26:$B$422=B382)),AND(C382&lt;&gt;"",F382=""),SUMPRODUCT($E$26:$E$422,$F$26:$F$422,--($C$26:$C$422=C382)),AND(D382,F382)&lt;&gt;0,E382*F382)</f>
        <v>784</v>
      </c>
      <c r="H382" s="286" t="s">
        <v>6677</v>
      </c>
    </row>
    <row r="383" spans="2:8" outlineLevel="2" x14ac:dyDescent="0.2">
      <c r="B383" s="277" t="str">
        <f t="shared" si="62"/>
        <v>TIPOS (X14)</v>
      </c>
      <c r="C383" s="292" t="str">
        <f t="shared" si="63"/>
        <v>Circulação elevadores - Tipos (x14)</v>
      </c>
      <c r="D383" s="287" t="s">
        <v>2043</v>
      </c>
      <c r="E383" s="288">
        <f>1*14</f>
        <v>14</v>
      </c>
      <c r="F383" s="290">
        <v>200</v>
      </c>
      <c r="G383" s="291" cm="1">
        <f t="array" ref="G383">_xlfn.IFS(AND(B383&lt;&gt;"",C383="",D383=""),SUMPRODUCT($E$26:$E$422,$F$26:$F$422, --($B$26:$B$422=B383)),AND(C383&lt;&gt;"",F383=""),SUMPRODUCT($E$26:$E$422,$F$26:$F$422,--($C$26:$C$422=C383)),AND(D383,F383)&lt;&gt;0,E383*F383)</f>
        <v>2800</v>
      </c>
      <c r="H383" s="286" t="s">
        <v>2040</v>
      </c>
    </row>
    <row r="384" spans="2:8" ht="13.5" customHeight="1" outlineLevel="2" x14ac:dyDescent="0.2">
      <c r="B384" s="277" t="str">
        <f t="shared" si="62"/>
        <v>TIPOS (X14)</v>
      </c>
      <c r="C384" s="292" t="str">
        <f t="shared" si="63"/>
        <v>Circulação elevadores - Tipos (x14)</v>
      </c>
      <c r="D384" s="287" t="s">
        <v>6641</v>
      </c>
      <c r="E384" s="288">
        <f>10*14</f>
        <v>140</v>
      </c>
      <c r="F384" s="285">
        <v>50</v>
      </c>
      <c r="G384" s="291" cm="1">
        <f t="array" ref="G384">_xlfn.IFS(AND(B384&lt;&gt;"",C384="",D384=""),SUMPRODUCT($E$26:$E$422,$F$26:$F$422, --($B$26:$B$422=B384)),AND(C384&lt;&gt;"",F384=""),SUMPRODUCT($E$26:$E$422,$F$26:$F$422,--($C$26:$C$422=C384)),AND(D384,F384)&lt;&gt;0,E384*F384)</f>
        <v>7000</v>
      </c>
      <c r="H384" s="286" t="s">
        <v>2040</v>
      </c>
    </row>
    <row r="385" spans="2:8" outlineLevel="2" x14ac:dyDescent="0.2">
      <c r="B385" s="277" t="str">
        <f t="shared" si="62"/>
        <v>TIPOS (X14)</v>
      </c>
      <c r="C385" s="292" t="str">
        <f t="shared" si="63"/>
        <v>Circulação elevadores - Tipos (x14)</v>
      </c>
      <c r="D385" s="287" t="s">
        <v>2046</v>
      </c>
      <c r="E385" s="288">
        <v>14</v>
      </c>
      <c r="F385" s="285">
        <v>1500</v>
      </c>
      <c r="G385" s="291" cm="1">
        <f t="array" ref="G385">_xlfn.IFS(AND(B385&lt;&gt;"",C385="",D385=""),SUMPRODUCT($E$26:$E$422,$F$26:$F$422, --($B$26:$B$422=B385)),AND(C385&lt;&gt;"",F385=""),SUMPRODUCT($E$26:$E$422,$F$26:$F$422,--($C$26:$C$422=C385)),AND(D385,F385)&lt;&gt;0,E385*F385)</f>
        <v>21000</v>
      </c>
      <c r="H385" s="286" t="s">
        <v>6675</v>
      </c>
    </row>
    <row r="386" spans="2:8" ht="13.5" customHeight="1" outlineLevel="2" x14ac:dyDescent="0.2">
      <c r="B386" s="277" t="str">
        <f t="shared" si="62"/>
        <v>TIPOS (X14)</v>
      </c>
      <c r="C386" s="292" t="str">
        <f t="shared" si="63"/>
        <v>Circulação elevadores - Tipos (x14)</v>
      </c>
      <c r="D386" s="287" t="s">
        <v>2044</v>
      </c>
      <c r="E386" s="288">
        <f>2*14</f>
        <v>28</v>
      </c>
      <c r="F386" s="285">
        <v>1345.5</v>
      </c>
      <c r="G386" s="291" cm="1">
        <f t="array" ref="G386">_xlfn.IFS(AND(B386&lt;&gt;"",C386="",D386=""),SUMPRODUCT($E$26:$E$422,$F$26:$F$422, --($B$26:$B$422=B386)),AND(C386&lt;&gt;"",F386=""),SUMPRODUCT($E$26:$E$422,$F$26:$F$422,--($C$26:$C$422=C386)),AND(D386,F386)&lt;&gt;0,E386*F386)</f>
        <v>37674</v>
      </c>
      <c r="H386" s="286" t="s">
        <v>6675</v>
      </c>
    </row>
    <row r="387" spans="2:8" s="261" customFormat="1" ht="19.5" customHeight="1" x14ac:dyDescent="0.2">
      <c r="B387" s="271" t="s">
        <v>6819</v>
      </c>
      <c r="C387" s="272"/>
      <c r="D387" s="273"/>
      <c r="E387" s="274"/>
      <c r="F387" s="275"/>
      <c r="G387" s="276" cm="1">
        <f t="array" ref="G387">_xlfn.IFS(AND(B387&lt;&gt;"",C387="",D387=""),SUMPRODUCT($E$26:$E$422,$F$26:$F$422, --($B$26:$B$422=B387)),AND(C387&lt;&gt;"",F387=""),SUMPRODUCT($E$26:$E$422,$F$26:$F$422,--($C$26:$C$422=C387)),AND(D387,F387)&lt;&gt;0,E387*F387)</f>
        <v>66269.5</v>
      </c>
      <c r="H387" s="276"/>
    </row>
    <row r="388" spans="2:8" outlineLevel="1" x14ac:dyDescent="0.2">
      <c r="B388" s="277" t="str">
        <f t="shared" ref="B388:B422" si="64">B387</f>
        <v>LAZER - 18</v>
      </c>
      <c r="C388" s="278" t="s">
        <v>6820</v>
      </c>
      <c r="D388" s="279" t="s">
        <v>1797</v>
      </c>
      <c r="E388" s="280">
        <v>6.93</v>
      </c>
      <c r="F388" s="281"/>
      <c r="G388" s="282" cm="1">
        <f t="array" ref="G388">_xlfn.IFS(AND(B388&lt;&gt;"",C388="",D388=""),SUMPRODUCT($E$26:$E$422,$F$26:$F$422, --($B$26:$B$422=B388)),AND(C388&lt;&gt;"",F388=""),SUMPRODUCT($E$26:$E$422,$F$26:$F$422,--($C$26:$C$422=C388)),AND(D388,F388)&lt;&gt;0,E388*F388)</f>
        <v>3164</v>
      </c>
      <c r="H388" s="283">
        <f>G388/E388</f>
        <v>456.56565656565658</v>
      </c>
    </row>
    <row r="389" spans="2:8" outlineLevel="2" x14ac:dyDescent="0.2">
      <c r="B389" s="277" t="str">
        <f t="shared" si="64"/>
        <v>LAZER - 18</v>
      </c>
      <c r="C389" s="292" t="str">
        <f>C388</f>
        <v>WC PNE Hall - Lazer 18 (X2)</v>
      </c>
      <c r="D389" s="287" t="s">
        <v>6824</v>
      </c>
      <c r="E389" s="288">
        <v>4</v>
      </c>
      <c r="F389" s="285">
        <v>363</v>
      </c>
      <c r="G389" s="291" cm="1">
        <f t="array" ref="G389">_xlfn.IFS(AND(B389&lt;&gt;"",C389="",D389=""),SUMPRODUCT($E$26:$E$422,$F$26:$F$422, --($B$26:$B$422=B389)),AND(C389&lt;&gt;"",F389=""),SUMPRODUCT($E$26:$E$422,$F$26:$F$422,--($C$26:$C$422=C389)),AND(D389,F389)&lt;&gt;0,E389*F389)</f>
        <v>1452</v>
      </c>
      <c r="H389" s="286" t="s">
        <v>2040</v>
      </c>
    </row>
    <row r="390" spans="2:8" outlineLevel="2" x14ac:dyDescent="0.2">
      <c r="B390" s="277" t="str">
        <f t="shared" si="64"/>
        <v>LAZER - 18</v>
      </c>
      <c r="C390" s="292" t="str">
        <f>C389</f>
        <v>WC PNE Hall - Lazer 18 (X2)</v>
      </c>
      <c r="D390" s="287" t="s">
        <v>6641</v>
      </c>
      <c r="E390" s="288">
        <v>4</v>
      </c>
      <c r="F390" s="285">
        <v>50</v>
      </c>
      <c r="G390" s="291" cm="1">
        <f t="array" ref="G390">_xlfn.IFS(AND(B390&lt;&gt;"",C390="",D390=""),SUMPRODUCT($E$26:$E$422,$F$26:$F$422, --($B$26:$B$422=B390)),AND(C390&lt;&gt;"",F390=""),SUMPRODUCT($E$26:$E$422,$F$26:$F$422,--($C$26:$C$422=C390)),AND(D390,F390)&lt;&gt;0,E390*F390)</f>
        <v>200</v>
      </c>
      <c r="H390" s="286" t="s">
        <v>2040</v>
      </c>
    </row>
    <row r="391" spans="2:8" ht="13.5" customHeight="1" outlineLevel="2" x14ac:dyDescent="0.2">
      <c r="B391" s="277" t="str">
        <f t="shared" si="64"/>
        <v>LAZER - 18</v>
      </c>
      <c r="C391" s="292" t="str">
        <f>C390</f>
        <v>WC PNE Hall - Lazer 18 (X2)</v>
      </c>
      <c r="D391" s="287" t="s">
        <v>6712</v>
      </c>
      <c r="E391" s="288">
        <v>2</v>
      </c>
      <c r="F391" s="285">
        <v>56</v>
      </c>
      <c r="G391" s="291" cm="1">
        <f t="array" ref="G391">_xlfn.IFS(AND(B391&lt;&gt;"",C391="",D391=""),SUMPRODUCT($E$26:$E$422,$F$26:$F$422, --($B$26:$B$422=B391)),AND(C391&lt;&gt;"",F391=""),SUMPRODUCT($E$26:$E$422,$F$26:$F$422,--($C$26:$C$422=C391)),AND(D391,F391)&lt;&gt;0,E391*F391)</f>
        <v>112</v>
      </c>
      <c r="H391" s="286" t="s">
        <v>6677</v>
      </c>
    </row>
    <row r="392" spans="2:8" outlineLevel="2" x14ac:dyDescent="0.2">
      <c r="B392" s="277" t="str">
        <f t="shared" si="64"/>
        <v>LAZER - 18</v>
      </c>
      <c r="C392" s="292" t="str">
        <f>C391</f>
        <v>WC PNE Hall - Lazer 18 (X2)</v>
      </c>
      <c r="D392" s="287" t="s">
        <v>1800</v>
      </c>
      <c r="E392" s="288">
        <v>2</v>
      </c>
      <c r="F392" s="285">
        <v>700</v>
      </c>
      <c r="G392" s="291" cm="1">
        <f t="array" ref="G392">_xlfn.IFS(AND(B392&lt;&gt;"",C392="",D392=""),SUMPRODUCT($E$26:$E$422,$F$26:$F$422, --($B$26:$B$422=B392)),AND(C392&lt;&gt;"",F392=""),SUMPRODUCT($E$26:$E$422,$F$26:$F$422,--($C$26:$C$422=C392)),AND(D392,F392)&lt;&gt;0,E392*F392)</f>
        <v>1400</v>
      </c>
      <c r="H392" s="286" t="s">
        <v>6677</v>
      </c>
    </row>
    <row r="393" spans="2:8" outlineLevel="1" x14ac:dyDescent="0.2">
      <c r="B393" s="277" t="str">
        <f t="shared" si="64"/>
        <v>LAZER - 18</v>
      </c>
      <c r="C393" s="278" t="s">
        <v>6832</v>
      </c>
      <c r="D393" s="279" t="s">
        <v>1797</v>
      </c>
      <c r="E393" s="280">
        <v>10.220000000000001</v>
      </c>
      <c r="F393" s="281"/>
      <c r="G393" s="282" cm="1">
        <f t="array" ref="G393">_xlfn.IFS(AND(B393&lt;&gt;"",C393="",D393=""),SUMPRODUCT($E$26:$E$422,$F$26:$F$422, --($B$26:$B$422=B393)),AND(C393&lt;&gt;"",F393=""),SUMPRODUCT($E$26:$E$422,$F$26:$F$422,--($C$26:$C$422=C393)),AND(D393,F393)&lt;&gt;0,E393*F393)</f>
        <v>10218</v>
      </c>
      <c r="H393" s="283">
        <f>G393/E393</f>
        <v>999.80430528375723</v>
      </c>
    </row>
    <row r="394" spans="2:8" outlineLevel="2" x14ac:dyDescent="0.2">
      <c r="B394" s="277" t="str">
        <f t="shared" si="64"/>
        <v>LAZER - 18</v>
      </c>
      <c r="C394" s="292" t="str">
        <f t="shared" ref="C394:C401" si="65">C393</f>
        <v>Circulação elevadores - Lazer 18</v>
      </c>
      <c r="D394" s="287" t="s">
        <v>2047</v>
      </c>
      <c r="E394" s="288">
        <v>3</v>
      </c>
      <c r="F394" s="285">
        <v>1000</v>
      </c>
      <c r="G394" s="291" cm="1">
        <f t="array" ref="G394">_xlfn.IFS(AND(B394&lt;&gt;"",C394="",D394=""),SUMPRODUCT($E$26:$E$422,$F$26:$F$422, --($B$26:$B$422=B394)),AND(C394&lt;&gt;"",F394=""),SUMPRODUCT($E$26:$E$422,$F$26:$F$422,--($C$26:$C$422=C394)),AND(D394,F394)&lt;&gt;0,E394*F394)</f>
        <v>3000</v>
      </c>
      <c r="H394" s="286" t="s">
        <v>6675</v>
      </c>
    </row>
    <row r="395" spans="2:8" ht="13.5" customHeight="1" outlineLevel="2" x14ac:dyDescent="0.2">
      <c r="B395" s="277" t="str">
        <f t="shared" si="64"/>
        <v>LAZER - 18</v>
      </c>
      <c r="C395" s="292" t="str">
        <f t="shared" si="65"/>
        <v>Circulação elevadores - Lazer 18</v>
      </c>
      <c r="D395" s="287" t="s">
        <v>6724</v>
      </c>
      <c r="E395" s="288">
        <v>1</v>
      </c>
      <c r="F395" s="285">
        <v>227</v>
      </c>
      <c r="G395" s="291" cm="1">
        <f t="array" ref="G395">_xlfn.IFS(AND(B395&lt;&gt;"",C395="",D395=""),SUMPRODUCT($E$26:$E$422,$F$26:$F$422, --($B$26:$B$422=B395)),AND(C395&lt;&gt;"",F395=""),SUMPRODUCT($E$26:$E$422,$F$26:$F$422,--($C$26:$C$422=C395)),AND(D395,F395)&lt;&gt;0,E395*F395)</f>
        <v>227</v>
      </c>
      <c r="H395" s="286" t="s">
        <v>2040</v>
      </c>
    </row>
    <row r="396" spans="2:8" ht="13.5" customHeight="1" outlineLevel="2" x14ac:dyDescent="0.2">
      <c r="B396" s="277" t="str">
        <f t="shared" si="64"/>
        <v>LAZER - 18</v>
      </c>
      <c r="C396" s="292" t="str">
        <f t="shared" si="65"/>
        <v>Circulação elevadores - Lazer 18</v>
      </c>
      <c r="D396" s="287" t="s">
        <v>6739</v>
      </c>
      <c r="E396" s="288">
        <v>4</v>
      </c>
      <c r="F396" s="285">
        <v>136</v>
      </c>
      <c r="G396" s="291" cm="1">
        <f t="array" ref="G396">_xlfn.IFS(AND(B396&lt;&gt;"",C396="",D396=""),SUMPRODUCT($E$26:$E$422,$F$26:$F$422, --($B$26:$B$422=B396)),AND(C396&lt;&gt;"",F396=""),SUMPRODUCT($E$26:$E$422,$F$26:$F$422,--($C$26:$C$422=C396)),AND(D396,F396)&lt;&gt;0,E396*F396)</f>
        <v>544</v>
      </c>
      <c r="H396" s="286" t="s">
        <v>2040</v>
      </c>
    </row>
    <row r="397" spans="2:8" ht="13.5" customHeight="1" outlineLevel="2" x14ac:dyDescent="0.2">
      <c r="B397" s="277" t="str">
        <f t="shared" si="64"/>
        <v>LAZER - 18</v>
      </c>
      <c r="C397" s="292" t="str">
        <f t="shared" si="65"/>
        <v>Circulação elevadores - Lazer 18</v>
      </c>
      <c r="D397" s="287" t="s">
        <v>6712</v>
      </c>
      <c r="E397" s="288">
        <v>1</v>
      </c>
      <c r="F397" s="285">
        <v>56</v>
      </c>
      <c r="G397" s="291" cm="1">
        <f t="array" ref="G397">_xlfn.IFS(AND(B397&lt;&gt;"",C397="",D397=""),SUMPRODUCT($E$26:$E$422,$F$26:$F$422, --($B$26:$B$422=B397)),AND(C397&lt;&gt;"",F397=""),SUMPRODUCT($E$26:$E$422,$F$26:$F$422,--($C$26:$C$422=C397)),AND(D397,F397)&lt;&gt;0,E397*F397)</f>
        <v>56</v>
      </c>
      <c r="H397" s="286" t="s">
        <v>6677</v>
      </c>
    </row>
    <row r="398" spans="2:8" outlineLevel="2" x14ac:dyDescent="0.2">
      <c r="B398" s="277" t="str">
        <f t="shared" si="64"/>
        <v>LAZER - 18</v>
      </c>
      <c r="C398" s="292" t="str">
        <f t="shared" si="65"/>
        <v>Circulação elevadores - Lazer 18</v>
      </c>
      <c r="D398" s="287" t="s">
        <v>2043</v>
      </c>
      <c r="E398" s="288">
        <v>1</v>
      </c>
      <c r="F398" s="290">
        <v>200</v>
      </c>
      <c r="G398" s="291" cm="1">
        <f t="array" ref="G398">_xlfn.IFS(AND(B398&lt;&gt;"",C398="",D398=""),SUMPRODUCT($E$26:$E$422,$F$26:$F$422, --($B$26:$B$422=B398)),AND(C398&lt;&gt;"",F398=""),SUMPRODUCT($E$26:$E$422,$F$26:$F$422,--($C$26:$C$422=C398)),AND(D398,F398)&lt;&gt;0,E398*F398)</f>
        <v>200</v>
      </c>
      <c r="H398" s="286" t="s">
        <v>2040</v>
      </c>
    </row>
    <row r="399" spans="2:8" ht="13.5" customHeight="1" outlineLevel="2" x14ac:dyDescent="0.2">
      <c r="B399" s="277" t="str">
        <f t="shared" si="64"/>
        <v>LAZER - 18</v>
      </c>
      <c r="C399" s="292" t="str">
        <f t="shared" si="65"/>
        <v>Circulação elevadores - Lazer 18</v>
      </c>
      <c r="D399" s="287" t="s">
        <v>6641</v>
      </c>
      <c r="E399" s="288">
        <v>10</v>
      </c>
      <c r="F399" s="285">
        <v>50</v>
      </c>
      <c r="G399" s="291" cm="1">
        <f t="array" ref="G399">_xlfn.IFS(AND(B399&lt;&gt;"",C399="",D399=""),SUMPRODUCT($E$26:$E$422,$F$26:$F$422, --($B$26:$B$422=B399)),AND(C399&lt;&gt;"",F399=""),SUMPRODUCT($E$26:$E$422,$F$26:$F$422,--($C$26:$C$422=C399)),AND(D399,F399)&lt;&gt;0,E399*F399)</f>
        <v>500</v>
      </c>
      <c r="H399" s="286" t="s">
        <v>2040</v>
      </c>
    </row>
    <row r="400" spans="2:8" outlineLevel="2" x14ac:dyDescent="0.2">
      <c r="B400" s="277" t="str">
        <f t="shared" si="64"/>
        <v>LAZER - 18</v>
      </c>
      <c r="C400" s="292" t="str">
        <f t="shared" si="65"/>
        <v>Circulação elevadores - Lazer 18</v>
      </c>
      <c r="D400" s="287" t="s">
        <v>2046</v>
      </c>
      <c r="E400" s="288">
        <v>2</v>
      </c>
      <c r="F400" s="285">
        <v>1500</v>
      </c>
      <c r="G400" s="291" cm="1">
        <f t="array" ref="G400">_xlfn.IFS(AND(B400&lt;&gt;"",C400="",D400=""),SUMPRODUCT($E$26:$E$422,$F$26:$F$422, --($B$26:$B$422=B400)),AND(C400&lt;&gt;"",F400=""),SUMPRODUCT($E$26:$E$422,$F$26:$F$422,--($C$26:$C$422=C400)),AND(D400,F400)&lt;&gt;0,E400*F400)</f>
        <v>3000</v>
      </c>
      <c r="H400" s="286" t="s">
        <v>6675</v>
      </c>
    </row>
    <row r="401" spans="2:8" ht="13.5" customHeight="1" outlineLevel="2" x14ac:dyDescent="0.2">
      <c r="B401" s="277" t="str">
        <f t="shared" si="64"/>
        <v>LAZER - 18</v>
      </c>
      <c r="C401" s="292" t="str">
        <f t="shared" si="65"/>
        <v>Circulação elevadores - Lazer 18</v>
      </c>
      <c r="D401" s="287" t="s">
        <v>2044</v>
      </c>
      <c r="E401" s="288">
        <v>2</v>
      </c>
      <c r="F401" s="285">
        <v>1345.5</v>
      </c>
      <c r="G401" s="291" cm="1">
        <f t="array" ref="G401">_xlfn.IFS(AND(B401&lt;&gt;"",C401="",D401=""),SUMPRODUCT($E$26:$E$422,$F$26:$F$422, --($B$26:$B$422=B401)),AND(C401&lt;&gt;"",F401=""),SUMPRODUCT($E$26:$E$422,$F$26:$F$422,--($C$26:$C$422=C401)),AND(D401,F401)&lt;&gt;0,E401*F401)</f>
        <v>2691</v>
      </c>
      <c r="H401" s="286" t="s">
        <v>6675</v>
      </c>
    </row>
    <row r="402" spans="2:8" ht="13.5" customHeight="1" outlineLevel="1" x14ac:dyDescent="0.2">
      <c r="B402" s="277" t="str">
        <f t="shared" si="64"/>
        <v>LAZER - 18</v>
      </c>
      <c r="C402" s="278" t="s">
        <v>6840</v>
      </c>
      <c r="D402" s="279" t="s">
        <v>1797</v>
      </c>
      <c r="E402" s="280">
        <v>125.73</v>
      </c>
      <c r="F402" s="281"/>
      <c r="G402" s="282" cm="1">
        <f t="array" ref="G402">_xlfn.IFS(AND(B402&lt;&gt;"",C402="",D402=""),SUMPRODUCT($E$26:$E$422,$F$26:$F$422, --($B$26:$B$422=B402)),AND(C402&lt;&gt;"",F402=""),SUMPRODUCT($E$26:$E$422,$F$26:$F$422,--($C$26:$C$422=C402)),AND(D402,F402)&lt;&gt;0,E402*F402)</f>
        <v>24615</v>
      </c>
      <c r="H402" s="283">
        <f>G402/E402</f>
        <v>195.7766642806013</v>
      </c>
    </row>
    <row r="403" spans="2:8" ht="13.5" customHeight="1" outlineLevel="2" x14ac:dyDescent="0.2">
      <c r="B403" s="277" t="str">
        <f t="shared" si="64"/>
        <v>LAZER - 18</v>
      </c>
      <c r="C403" s="292" t="str">
        <f t="shared" ref="C403:C408" si="66">C402</f>
        <v>Piscina - Pav 18</v>
      </c>
      <c r="D403" s="287" t="s">
        <v>2043</v>
      </c>
      <c r="E403" s="288">
        <v>3</v>
      </c>
      <c r="F403" s="290">
        <v>200</v>
      </c>
      <c r="G403" s="291" cm="1">
        <f t="array" ref="G403">_xlfn.IFS(AND(B403&lt;&gt;"",C403="",D403=""),SUMPRODUCT($E$26:$E$422,$F$26:$F$422, --($B$26:$B$422=B403)),AND(C403&lt;&gt;"",F403=""),SUMPRODUCT($E$26:$E$422,$F$26:$F$422,--($C$26:$C$422=C403)),AND(D403,F403)&lt;&gt;0,E403*F403)</f>
        <v>600</v>
      </c>
      <c r="H403" s="286" t="s">
        <v>2040</v>
      </c>
    </row>
    <row r="404" spans="2:8" ht="13.5" customHeight="1" outlineLevel="2" x14ac:dyDescent="0.2">
      <c r="B404" s="277" t="str">
        <f t="shared" si="64"/>
        <v>LAZER - 18</v>
      </c>
      <c r="C404" s="292" t="str">
        <f t="shared" si="66"/>
        <v>Piscina - Pav 18</v>
      </c>
      <c r="D404" s="287" t="s">
        <v>6712</v>
      </c>
      <c r="E404" s="288">
        <v>1</v>
      </c>
      <c r="F404" s="285">
        <v>56</v>
      </c>
      <c r="G404" s="291" cm="1">
        <f t="array" ref="G404">_xlfn.IFS(AND(B404&lt;&gt;"",C404="",D404=""),SUMPRODUCT($E$26:$E$422,$F$26:$F$422, --($B$26:$B$422=B404)),AND(C404&lt;&gt;"",F404=""),SUMPRODUCT($E$26:$E$422,$F$26:$F$422,--($C$26:$C$422=C404)),AND(D404,F404)&lt;&gt;0,E404*F404)</f>
        <v>56</v>
      </c>
      <c r="H404" s="286" t="s">
        <v>6677</v>
      </c>
    </row>
    <row r="405" spans="2:8" ht="13.5" customHeight="1" outlineLevel="2" x14ac:dyDescent="0.2">
      <c r="B405" s="277" t="str">
        <f t="shared" si="64"/>
        <v>LAZER - 18</v>
      </c>
      <c r="C405" s="292" t="str">
        <f t="shared" si="66"/>
        <v>Piscina - Pav 18</v>
      </c>
      <c r="D405" s="287" t="s">
        <v>6728</v>
      </c>
      <c r="E405" s="288">
        <v>3</v>
      </c>
      <c r="F405" s="285">
        <v>3791</v>
      </c>
      <c r="G405" s="291" cm="1">
        <f t="array" ref="G405">_xlfn.IFS(AND(B405&lt;&gt;"",C405="",D405=""),SUMPRODUCT($E$26:$E$422,$F$26:$F$422, --($B$26:$B$422=B405)),AND(C405&lt;&gt;"",F405=""),SUMPRODUCT($E$26:$E$422,$F$26:$F$422,--($C$26:$C$422=C405)),AND(D405,F405)&lt;&gt;0,E405*F405)</f>
        <v>11373</v>
      </c>
      <c r="H405" s="286" t="s">
        <v>2040</v>
      </c>
    </row>
    <row r="406" spans="2:8" ht="13.5" customHeight="1" outlineLevel="2" x14ac:dyDescent="0.2">
      <c r="B406" s="277" t="str">
        <f t="shared" si="64"/>
        <v>LAZER - 18</v>
      </c>
      <c r="C406" s="292" t="str">
        <f t="shared" si="66"/>
        <v>Piscina - Pav 18</v>
      </c>
      <c r="D406" s="287" t="s">
        <v>6816</v>
      </c>
      <c r="E406" s="288">
        <v>3</v>
      </c>
      <c r="F406" s="285">
        <v>285</v>
      </c>
      <c r="G406" s="291" cm="1">
        <f t="array" ref="G406">_xlfn.IFS(AND(B406&lt;&gt;"",C406="",D406=""),SUMPRODUCT($E$26:$E$422,$F$26:$F$422, --($B$26:$B$422=B406)),AND(C406&lt;&gt;"",F406=""),SUMPRODUCT($E$26:$E$422,$F$26:$F$422,--($C$26:$C$422=C406)),AND(D406,F406)&lt;&gt;0,E406*F406)</f>
        <v>855</v>
      </c>
      <c r="H406" s="286" t="s">
        <v>6674</v>
      </c>
    </row>
    <row r="407" spans="2:8" outlineLevel="2" x14ac:dyDescent="0.2">
      <c r="B407" s="277" t="str">
        <f t="shared" si="64"/>
        <v>LAZER - 18</v>
      </c>
      <c r="C407" s="292" t="str">
        <f t="shared" si="66"/>
        <v>Piscina - Pav 18</v>
      </c>
      <c r="D407" s="287" t="s">
        <v>6841</v>
      </c>
      <c r="E407" s="288">
        <v>4</v>
      </c>
      <c r="F407" s="285">
        <v>1279</v>
      </c>
      <c r="G407" s="291" cm="1">
        <f t="array" ref="G407">_xlfn.IFS(AND(B407&lt;&gt;"",C407="",D407=""),SUMPRODUCT($E$26:$E$422,$F$26:$F$422, --($B$26:$B$422=B407)),AND(C407&lt;&gt;"",F407=""),SUMPRODUCT($E$26:$E$422,$F$26:$F$422,--($C$26:$C$422=C407)),AND(D407,F407)&lt;&gt;0,E407*F407)</f>
        <v>5116</v>
      </c>
      <c r="H407" s="286" t="s">
        <v>6674</v>
      </c>
    </row>
    <row r="408" spans="2:8" outlineLevel="2" x14ac:dyDescent="0.2">
      <c r="B408" s="277" t="str">
        <f t="shared" si="64"/>
        <v>LAZER - 18</v>
      </c>
      <c r="C408" s="292" t="str">
        <f t="shared" si="66"/>
        <v>Piscina - Pav 18</v>
      </c>
      <c r="D408" s="287" t="s">
        <v>6842</v>
      </c>
      <c r="E408" s="288">
        <v>5</v>
      </c>
      <c r="F408" s="285">
        <v>1323</v>
      </c>
      <c r="G408" s="291" cm="1">
        <f t="array" ref="G408">_xlfn.IFS(AND(B408&lt;&gt;"",C408="",D408=""),SUMPRODUCT($E$26:$E$422,$F$26:$F$422, --($B$26:$B$422=B408)),AND(C408&lt;&gt;"",F408=""),SUMPRODUCT($E$26:$E$422,$F$26:$F$422,--($C$26:$C$422=C408)),AND(D408,F408)&lt;&gt;0,E408*F408)</f>
        <v>6615</v>
      </c>
      <c r="H408" s="286" t="s">
        <v>6674</v>
      </c>
    </row>
    <row r="409" spans="2:8" outlineLevel="1" x14ac:dyDescent="0.2">
      <c r="B409" s="277" t="str">
        <f t="shared" si="64"/>
        <v>LAZER - 18</v>
      </c>
      <c r="C409" s="278" t="s">
        <v>2484</v>
      </c>
      <c r="D409" s="279" t="s">
        <v>1797</v>
      </c>
      <c r="E409" s="280">
        <v>23.6</v>
      </c>
      <c r="F409" s="281"/>
      <c r="G409" s="282" cm="1">
        <f t="array" ref="G409">_xlfn.IFS(AND(B409&lt;&gt;"",C409="",D409=""),SUMPRODUCT($E$26:$E$422,$F$26:$F$422, --($B$26:$B$422=B409)),AND(C409&lt;&gt;"",F409=""),SUMPRODUCT($E$26:$E$422,$F$26:$F$422,--($C$26:$C$422=C409)),AND(D409,F409)&lt;&gt;0,E409*F409)</f>
        <v>28272.5</v>
      </c>
      <c r="H409" s="283">
        <f>G409/E409</f>
        <v>1197.9872881355932</v>
      </c>
    </row>
    <row r="410" spans="2:8" outlineLevel="2" x14ac:dyDescent="0.2">
      <c r="B410" s="277" t="str">
        <f t="shared" si="64"/>
        <v>LAZER - 18</v>
      </c>
      <c r="C410" s="284" t="str">
        <f t="shared" ref="C410:C422" si="67">C409</f>
        <v>SPA</v>
      </c>
      <c r="D410" s="287" t="s">
        <v>6803</v>
      </c>
      <c r="E410" s="288">
        <v>3</v>
      </c>
      <c r="F410" s="290">
        <v>330</v>
      </c>
      <c r="G410" s="291" cm="1">
        <f t="array" ref="G410">_xlfn.IFS(AND(B410&lt;&gt;"",C410="",D410=""),SUMPRODUCT($E$26:$E$422,$F$26:$F$422, --($B$26:$B$422=B410)),AND(C410&lt;&gt;"",F410=""),SUMPRODUCT($E$26:$E$422,$F$26:$F$422,--($C$26:$C$422=C410)),AND(D410,F410)&lt;&gt;0,E410*F410)</f>
        <v>990</v>
      </c>
      <c r="H410" s="286" t="s">
        <v>2040</v>
      </c>
    </row>
    <row r="411" spans="2:8" outlineLevel="2" x14ac:dyDescent="0.2">
      <c r="B411" s="277" t="str">
        <f t="shared" si="64"/>
        <v>LAZER - 18</v>
      </c>
      <c r="C411" s="284" t="str">
        <f t="shared" si="67"/>
        <v>SPA</v>
      </c>
      <c r="D411" s="287" t="s">
        <v>6641</v>
      </c>
      <c r="E411" s="288">
        <v>5</v>
      </c>
      <c r="F411" s="285">
        <v>50</v>
      </c>
      <c r="G411" s="291" cm="1">
        <f t="array" ref="G411">_xlfn.IFS(AND(B411&lt;&gt;"",C411="",D411=""),SUMPRODUCT($E$26:$E$422,$F$26:$F$422, --($B$26:$B$422=B411)),AND(C411&lt;&gt;"",F411=""),SUMPRODUCT($E$26:$E$422,$F$26:$F$422,--($C$26:$C$422=C411)),AND(D411,F411)&lt;&gt;0,E411*F411)</f>
        <v>250</v>
      </c>
      <c r="H411" s="286" t="s">
        <v>2040</v>
      </c>
    </row>
    <row r="412" spans="2:8" outlineLevel="2" x14ac:dyDescent="0.2">
      <c r="B412" s="277" t="str">
        <f t="shared" si="64"/>
        <v>LAZER - 18</v>
      </c>
      <c r="C412" s="284" t="str">
        <f t="shared" si="67"/>
        <v>SPA</v>
      </c>
      <c r="D412" s="287" t="s">
        <v>2043</v>
      </c>
      <c r="E412" s="288">
        <v>2</v>
      </c>
      <c r="F412" s="290">
        <v>200</v>
      </c>
      <c r="G412" s="291" cm="1">
        <f t="array" ref="G412">_xlfn.IFS(AND(B412&lt;&gt;"",C412="",D412=""),SUMPRODUCT($E$26:$E$422,$F$26:$F$422, --($B$26:$B$422=B412)),AND(C412&lt;&gt;"",F412=""),SUMPRODUCT($E$26:$E$422,$F$26:$F$422,--($C$26:$C$422=C412)),AND(D412,F412)&lt;&gt;0,E412*F412)</f>
        <v>400</v>
      </c>
      <c r="H412" s="286" t="s">
        <v>2040</v>
      </c>
    </row>
    <row r="413" spans="2:8" ht="13.5" customHeight="1" outlineLevel="2" x14ac:dyDescent="0.2">
      <c r="B413" s="277" t="str">
        <f t="shared" si="64"/>
        <v>LAZER - 18</v>
      </c>
      <c r="C413" s="284" t="str">
        <f t="shared" si="67"/>
        <v>SPA</v>
      </c>
      <c r="D413" s="287" t="s">
        <v>7354</v>
      </c>
      <c r="E413" s="288">
        <f>(0.45*1)</f>
        <v>0.45</v>
      </c>
      <c r="F413" s="285">
        <v>750</v>
      </c>
      <c r="G413" s="291" cm="1">
        <f t="array" ref="G413">_xlfn.IFS(AND(B413&lt;&gt;"",C413="",D413=""),SUMPRODUCT($E$26:$E$422,$F$26:$F$422, --($B$26:$B$422=B413)),AND(C413&lt;&gt;"",F413=""),SUMPRODUCT($E$26:$E$422,$F$26:$F$422,--($C$26:$C$422=C413)),AND(D413,F413)&lt;&gt;0,E413*F413)</f>
        <v>337.5</v>
      </c>
      <c r="H413" s="286" t="s">
        <v>6665</v>
      </c>
    </row>
    <row r="414" spans="2:8" ht="13.5" customHeight="1" outlineLevel="2" x14ac:dyDescent="0.2">
      <c r="B414" s="277" t="str">
        <f t="shared" si="64"/>
        <v>LAZER - 18</v>
      </c>
      <c r="C414" s="284" t="str">
        <f t="shared" si="67"/>
        <v>SPA</v>
      </c>
      <c r="D414" s="287" t="s">
        <v>2046</v>
      </c>
      <c r="E414" s="288">
        <v>5</v>
      </c>
      <c r="F414" s="285">
        <v>1500</v>
      </c>
      <c r="G414" s="291" cm="1">
        <f t="array" ref="G414">_xlfn.IFS(AND(B414&lt;&gt;"",C414="",D414=""),SUMPRODUCT($E$26:$E$422,$F$26:$F$422, --($B$26:$B$422=B414)),AND(C414&lt;&gt;"",F414=""),SUMPRODUCT($E$26:$E$422,$F$26:$F$422,--($C$26:$C$422=C414)),AND(D414,F414)&lt;&gt;0,E414*F414)</f>
        <v>7500</v>
      </c>
      <c r="H414" s="286" t="s">
        <v>6675</v>
      </c>
    </row>
    <row r="415" spans="2:8" ht="13.5" customHeight="1" outlineLevel="2" x14ac:dyDescent="0.2">
      <c r="B415" s="277" t="str">
        <f t="shared" si="64"/>
        <v>LAZER - 18</v>
      </c>
      <c r="C415" s="284" t="str">
        <f t="shared" si="67"/>
        <v>SPA</v>
      </c>
      <c r="D415" s="287" t="s">
        <v>6833</v>
      </c>
      <c r="E415" s="288">
        <v>1</v>
      </c>
      <c r="F415" s="285">
        <v>1142</v>
      </c>
      <c r="G415" s="291" cm="1">
        <f t="array" ref="G415">_xlfn.IFS(AND(B415&lt;&gt;"",C415="",D415=""),SUMPRODUCT($E$26:$E$422,$F$26:$F$422, --($B$26:$B$422=B415)),AND(C415&lt;&gt;"",F415=""),SUMPRODUCT($E$26:$E$422,$F$26:$F$422,--($C$26:$C$422=C415)),AND(D415,F415)&lt;&gt;0,E415*F415)</f>
        <v>1142</v>
      </c>
      <c r="H415" s="286" t="s">
        <v>6674</v>
      </c>
    </row>
    <row r="416" spans="2:8" ht="13.5" customHeight="1" outlineLevel="2" x14ac:dyDescent="0.2">
      <c r="B416" s="277" t="str">
        <f t="shared" si="64"/>
        <v>LAZER - 18</v>
      </c>
      <c r="C416" s="284" t="str">
        <f t="shared" si="67"/>
        <v>SPA</v>
      </c>
      <c r="D416" s="287" t="s">
        <v>6826</v>
      </c>
      <c r="E416" s="288">
        <v>1</v>
      </c>
      <c r="F416" s="285">
        <v>8010</v>
      </c>
      <c r="G416" s="291" cm="1">
        <f t="array" ref="G416">_xlfn.IFS(AND(B416&lt;&gt;"",C416="",D416=""),SUMPRODUCT($E$26:$E$422,$F$26:$F$422, --($B$26:$B$422=B416)),AND(C416&lt;&gt;"",F416=""),SUMPRODUCT($E$26:$E$422,$F$26:$F$422,--($C$26:$C$422=C416)),AND(D416,F416)&lt;&gt;0,E416*F416)</f>
        <v>8010</v>
      </c>
      <c r="H416" s="286" t="s">
        <v>6675</v>
      </c>
    </row>
    <row r="417" spans="2:8" outlineLevel="2" x14ac:dyDescent="0.2">
      <c r="B417" s="277" t="str">
        <f t="shared" si="64"/>
        <v>LAZER - 18</v>
      </c>
      <c r="C417" s="284" t="str">
        <f t="shared" si="67"/>
        <v>SPA</v>
      </c>
      <c r="D417" s="287" t="s">
        <v>6834</v>
      </c>
      <c r="E417" s="288">
        <v>1</v>
      </c>
      <c r="F417" s="290">
        <v>3239</v>
      </c>
      <c r="G417" s="291" cm="1">
        <f t="array" ref="G417">_xlfn.IFS(AND(B417&lt;&gt;"",C417="",D417=""),SUMPRODUCT($E$26:$E$422,$F$26:$F$422, --($B$26:$B$422=B417)),AND(C417&lt;&gt;"",F417=""),SUMPRODUCT($E$26:$E$422,$F$26:$F$422,--($C$26:$C$422=C417)),AND(D417,F417)&lt;&gt;0,E417*F417)</f>
        <v>3239</v>
      </c>
      <c r="H417" s="286" t="s">
        <v>6674</v>
      </c>
    </row>
    <row r="418" spans="2:8" outlineLevel="2" x14ac:dyDescent="0.2">
      <c r="B418" s="277" t="str">
        <f t="shared" si="64"/>
        <v>LAZER - 18</v>
      </c>
      <c r="C418" s="284" t="str">
        <f t="shared" si="67"/>
        <v>SPA</v>
      </c>
      <c r="D418" s="287" t="s">
        <v>6807</v>
      </c>
      <c r="E418" s="288">
        <v>2</v>
      </c>
      <c r="F418" s="285">
        <v>250</v>
      </c>
      <c r="G418" s="291" cm="1">
        <f t="array" ref="G418">_xlfn.IFS(AND(B418&lt;&gt;"",C418="",D418=""),SUMPRODUCT($E$26:$E$422,$F$26:$F$422, --($B$26:$B$422=B418)),AND(C418&lt;&gt;"",F418=""),SUMPRODUCT($E$26:$E$422,$F$26:$F$422,--($C$26:$C$422=C418)),AND(D418,F418)&lt;&gt;0,E418*F418)</f>
        <v>500</v>
      </c>
      <c r="H418" s="286" t="s">
        <v>2040</v>
      </c>
    </row>
    <row r="419" spans="2:8" ht="13.5" customHeight="1" outlineLevel="2" x14ac:dyDescent="0.2">
      <c r="B419" s="277" t="str">
        <f t="shared" si="64"/>
        <v>LAZER - 18</v>
      </c>
      <c r="C419" s="284" t="str">
        <f t="shared" si="67"/>
        <v>SPA</v>
      </c>
      <c r="D419" s="287" t="s">
        <v>6835</v>
      </c>
      <c r="E419" s="288">
        <v>1</v>
      </c>
      <c r="F419" s="285">
        <v>3580</v>
      </c>
      <c r="G419" s="291" cm="1">
        <f t="array" ref="G419">_xlfn.IFS(AND(B419&lt;&gt;"",C419="",D419=""),SUMPRODUCT($E$26:$E$422,$F$26:$F$422, --($B$26:$B$422=B419)),AND(C419&lt;&gt;"",F419=""),SUMPRODUCT($E$26:$E$422,$F$26:$F$422,--($C$26:$C$422=C419)),AND(D419,F419)&lt;&gt;0,E419*F419)</f>
        <v>3580</v>
      </c>
      <c r="H419" s="286" t="s">
        <v>6674</v>
      </c>
    </row>
    <row r="420" spans="2:8" ht="13.5" customHeight="1" outlineLevel="2" x14ac:dyDescent="0.2">
      <c r="B420" s="277" t="str">
        <f t="shared" si="64"/>
        <v>LAZER - 18</v>
      </c>
      <c r="C420" s="284" t="str">
        <f t="shared" si="67"/>
        <v>SPA</v>
      </c>
      <c r="D420" s="287" t="s">
        <v>6836</v>
      </c>
      <c r="E420" s="288">
        <v>1</v>
      </c>
      <c r="F420" s="290">
        <v>2024</v>
      </c>
      <c r="G420" s="291" cm="1">
        <f t="array" ref="G420">_xlfn.IFS(AND(B420&lt;&gt;"",C420="",D420=""),SUMPRODUCT($E$26:$E$422,$F$26:$F$422, --($B$26:$B$422=B420)),AND(C420&lt;&gt;"",F420=""),SUMPRODUCT($E$26:$E$422,$F$26:$F$422,--($C$26:$C$422=C420)),AND(D420,F420)&lt;&gt;0,E420*F420)</f>
        <v>2024</v>
      </c>
      <c r="H420" s="286" t="s">
        <v>6674</v>
      </c>
    </row>
    <row r="421" spans="2:8" ht="13.5" customHeight="1" outlineLevel="2" x14ac:dyDescent="0.2">
      <c r="B421" s="277" t="str">
        <f t="shared" si="64"/>
        <v>LAZER - 18</v>
      </c>
      <c r="C421" s="284" t="str">
        <f t="shared" si="67"/>
        <v>SPA</v>
      </c>
      <c r="D421" s="287" t="s">
        <v>6837</v>
      </c>
      <c r="E421" s="288">
        <v>1</v>
      </c>
      <c r="F421" s="290">
        <v>50</v>
      </c>
      <c r="G421" s="291" cm="1">
        <f t="array" ref="G421">_xlfn.IFS(AND(B421&lt;&gt;"",C421="",D421=""),SUMPRODUCT($E$26:$E$422,$F$26:$F$422, --($B$26:$B$422=B421)),AND(C421&lt;&gt;"",F421=""),SUMPRODUCT($E$26:$E$422,$F$26:$F$422,--($C$26:$C$422=C421)),AND(D421,F421)&lt;&gt;0,E421*F421)</f>
        <v>50</v>
      </c>
      <c r="H421" s="286" t="s">
        <v>6676</v>
      </c>
    </row>
    <row r="422" spans="2:8" ht="13.5" customHeight="1" outlineLevel="2" x14ac:dyDescent="0.2">
      <c r="B422" s="277" t="str">
        <f t="shared" si="64"/>
        <v>LAZER - 18</v>
      </c>
      <c r="C422" s="284" t="str">
        <f t="shared" si="67"/>
        <v>SPA</v>
      </c>
      <c r="D422" s="287" t="s">
        <v>6838</v>
      </c>
      <c r="E422" s="288">
        <v>1</v>
      </c>
      <c r="F422" s="285">
        <v>250</v>
      </c>
      <c r="G422" s="291" cm="1">
        <f t="array" ref="G422">_xlfn.IFS(AND(B422&lt;&gt;"",C422="",D422=""),SUMPRODUCT($E$26:$E$422,$F$26:$F$422, --($B$26:$B$422=B422)),AND(C422&lt;&gt;"",F422=""),SUMPRODUCT($E$26:$E$422,$F$26:$F$422,--($C$26:$C$422=C422)),AND(D422,F422)&lt;&gt;0,E422*F422)</f>
        <v>250</v>
      </c>
      <c r="H422" s="286" t="s">
        <v>6676</v>
      </c>
    </row>
  </sheetData>
  <autoFilter ref="B27:H422" xr:uid="{55BECE80-E0A2-41CB-A8BE-85E583D5AB86}">
    <sortState xmlns:xlrd2="http://schemas.microsoft.com/office/spreadsheetml/2017/richdata2" ref="B28:H422">
      <sortCondition ref="H27:H422"/>
    </sortState>
  </autoFilter>
  <dataConsolidate/>
  <mergeCells count="1">
    <mergeCell ref="B4:H4"/>
  </mergeCells>
  <conditionalFormatting sqref="E6:E25">
    <cfRule type="cellIs" dxfId="3961" priority="1" operator="lessThan">
      <formula>0</formula>
    </cfRule>
    <cfRule type="cellIs" dxfId="3960" priority="2" operator="greaterThan">
      <formula>0</formula>
    </cfRule>
  </conditionalFormatting>
  <dataValidations count="1">
    <dataValidation type="list" allowBlank="1" showInputMessage="1" showErrorMessage="1" sqref="H389:H392 H47:H48 H103:H141 H94:H101 H160:H169 H379:H386 H72:H74 H143:H149 H171:H179 H181:H195 H57:H62 H246:H253 H241:H244 H307:H335 H64:H70 H287:H305 H255:H285 H337:H355 H358:H365 H394:H401 H233:H239 H207:H214 H38:H45 H403:H408 H84:H87 H89:H92 H50:H55 H30:H36 H77:H82 H197:H204 H216:H230 H151:H158 H367:H376 H410:H422" xr:uid="{2D975987-9739-4A42-9F36-472704EFAEC7}">
      <formula1>$B$8:$B$24</formula1>
    </dataValidation>
  </dataValidations>
  <pageMargins left="0.511811024" right="0.511811024" top="0.78740157499999996" bottom="0.78740157499999996" header="0.31496062000000002" footer="0.31496062000000002"/>
  <pageSetup paperSize="9" scale="10" fitToWidth="0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32DA-CC3F-4BB6-8F0F-52FE329E9E1B}">
  <sheetPr>
    <tabColor rgb="FF1851D6"/>
    <outlinePr summaryBelow="0"/>
    <pageSetUpPr fitToPage="1"/>
  </sheetPr>
  <dimension ref="A1:O155"/>
  <sheetViews>
    <sheetView showGridLines="0" view="pageBreakPreview" zoomScale="85" zoomScaleNormal="70" zoomScaleSheetLayoutView="85" workbookViewId="0">
      <pane ySplit="3" topLeftCell="A136" activePane="bottomLeft" state="frozen"/>
      <selection pane="bottomLeft" activeCell="D161" sqref="D161"/>
    </sheetView>
  </sheetViews>
  <sheetFormatPr defaultColWidth="2.7109375" defaultRowHeight="12.75" outlineLevelRow="2" x14ac:dyDescent="0.2"/>
  <cols>
    <col min="1" max="1" width="7.85546875" style="263" bestFit="1" customWidth="1"/>
    <col min="2" max="2" width="29.85546875" style="263" customWidth="1"/>
    <col min="3" max="3" width="33.42578125" style="293" bestFit="1" customWidth="1"/>
    <col min="4" max="4" width="104" style="261" bestFit="1" customWidth="1"/>
    <col min="5" max="5" width="16.42578125" style="262" customWidth="1"/>
    <col min="6" max="6" width="17.28515625" style="263" bestFit="1" customWidth="1"/>
    <col min="7" max="7" width="24.42578125" style="264" bestFit="1" customWidth="1"/>
    <col min="8" max="8" width="49.5703125" style="264" customWidth="1"/>
    <col min="9" max="10" width="2.7109375" style="263"/>
    <col min="11" max="11" width="39.140625" style="263" customWidth="1"/>
    <col min="12" max="12" width="33.85546875" style="263" customWidth="1"/>
    <col min="13" max="13" width="25" style="263" bestFit="1" customWidth="1"/>
    <col min="14" max="14" width="28" style="263" customWidth="1"/>
    <col min="15" max="15" width="13.140625" style="263" customWidth="1"/>
    <col min="16" max="16384" width="2.7109375" style="263"/>
  </cols>
  <sheetData>
    <row r="1" spans="1:15" s="249" customFormat="1" ht="28.5" x14ac:dyDescent="0.25">
      <c r="B1" s="245" t="s">
        <v>30</v>
      </c>
      <c r="C1" s="246" t="str">
        <f>'Obra '!D1</f>
        <v>Caio Prado</v>
      </c>
      <c r="D1" s="247"/>
      <c r="E1" s="247"/>
      <c r="F1" s="247"/>
      <c r="G1" s="247"/>
      <c r="H1" s="248"/>
    </row>
    <row r="2" spans="1:15" s="249" customFormat="1" ht="28.5" x14ac:dyDescent="0.25">
      <c r="B2" s="250" t="s">
        <v>31</v>
      </c>
      <c r="C2" s="251" t="str">
        <f>'Obra '!D2</f>
        <v>Indepy</v>
      </c>
      <c r="D2" s="252"/>
      <c r="E2" s="252"/>
      <c r="F2" s="252"/>
      <c r="G2" s="252"/>
      <c r="H2" s="253"/>
    </row>
    <row r="3" spans="1:15" s="249" customFormat="1" ht="29.25" thickBot="1" x14ac:dyDescent="0.3">
      <c r="B3" s="254" t="s">
        <v>32</v>
      </c>
      <c r="C3" s="251" t="str">
        <f>'Obra '!D3</f>
        <v>R00 - Larissa</v>
      </c>
      <c r="D3" s="255"/>
      <c r="E3" s="255"/>
      <c r="F3" s="255"/>
      <c r="G3" s="255"/>
      <c r="H3" s="256"/>
    </row>
    <row r="4" spans="1:15" s="249" customFormat="1" ht="35.25" thickBot="1" x14ac:dyDescent="0.3">
      <c r="B4" s="583" t="s">
        <v>1787</v>
      </c>
      <c r="C4" s="584"/>
      <c r="D4" s="584"/>
      <c r="E4" s="584"/>
      <c r="F4" s="584"/>
      <c r="G4" s="584"/>
      <c r="H4" s="585"/>
      <c r="K4" s="270" t="s">
        <v>3807</v>
      </c>
      <c r="L4" s="270" t="s">
        <v>6662</v>
      </c>
      <c r="M4" s="270" t="s">
        <v>6663</v>
      </c>
      <c r="N4" s="270" t="s">
        <v>6687</v>
      </c>
    </row>
    <row r="5" spans="1:15" s="260" customFormat="1" ht="13.5" thickBot="1" x14ac:dyDescent="0.25">
      <c r="B5" s="268" t="s">
        <v>7</v>
      </c>
      <c r="C5" s="268" t="s">
        <v>6663</v>
      </c>
      <c r="D5" s="268" t="s">
        <v>6662</v>
      </c>
      <c r="E5" s="268" t="s">
        <v>6687</v>
      </c>
      <c r="F5" s="259"/>
      <c r="K5" s="286" t="s">
        <v>6679</v>
      </c>
      <c r="L5" s="286">
        <v>33269.22</v>
      </c>
      <c r="M5" s="286">
        <f>G38</f>
        <v>7039.2388709300003</v>
      </c>
      <c r="N5" s="286">
        <f>L5-M5</f>
        <v>26229.981129070002</v>
      </c>
      <c r="O5" s="286" t="s">
        <v>2473</v>
      </c>
    </row>
    <row r="6" spans="1:15" ht="25.5" x14ac:dyDescent="0.25">
      <c r="B6" s="411" t="s">
        <v>1788</v>
      </c>
      <c r="C6" s="569">
        <f>SUMPRODUCT($E$26:$E$155,$F$26:$F$155)</f>
        <v>307821.59294335288</v>
      </c>
      <c r="D6" s="569">
        <f>SUM(D8:D24)</f>
        <v>920145.68</v>
      </c>
      <c r="E6" s="569">
        <f>C6-D6</f>
        <v>-612324.08705664717</v>
      </c>
      <c r="K6" s="286" t="s">
        <v>6645</v>
      </c>
      <c r="L6" s="286">
        <v>44712.77</v>
      </c>
      <c r="M6" s="286">
        <f>G29</f>
        <v>11998.717031840004</v>
      </c>
      <c r="N6" s="286">
        <f t="shared" ref="N6:N27" si="0">L6-M6</f>
        <v>32714.052968159995</v>
      </c>
      <c r="O6" s="286" t="s">
        <v>6846</v>
      </c>
    </row>
    <row r="7" spans="1:15" ht="15.75" x14ac:dyDescent="0.25">
      <c r="A7" s="424">
        <f>C7/'Obra '!E9</f>
        <v>0.26921086880385792</v>
      </c>
      <c r="B7" s="412" t="s">
        <v>1789</v>
      </c>
      <c r="C7" s="570">
        <f>SUMIFS($E$25:$E$155,$D$25:$D$155,"Área: ")</f>
        <v>1867.8899999999996</v>
      </c>
      <c r="D7" s="570">
        <v>2440</v>
      </c>
      <c r="E7" s="570">
        <f t="shared" ref="E7:E25" si="1">C7-D7</f>
        <v>-572.11000000000035</v>
      </c>
      <c r="K7" s="286" t="s">
        <v>6646</v>
      </c>
      <c r="L7" s="286">
        <v>36307.800000000003</v>
      </c>
      <c r="M7" s="286">
        <f>G42</f>
        <v>11998.717031840004</v>
      </c>
      <c r="N7" s="286">
        <f t="shared" si="0"/>
        <v>24309.082968160001</v>
      </c>
      <c r="O7" s="286" t="s">
        <v>2473</v>
      </c>
    </row>
    <row r="8" spans="1:15" ht="15.75" x14ac:dyDescent="0.25">
      <c r="B8" s="412" t="s">
        <v>6664</v>
      </c>
      <c r="C8" s="568">
        <f>SUMIFS($G$27:$G$157,$H$27:$H$157,B8)</f>
        <v>307821.59294335288</v>
      </c>
      <c r="D8" s="568">
        <v>920145.68</v>
      </c>
      <c r="E8" s="568">
        <f t="shared" si="1"/>
        <v>-612324.08705664717</v>
      </c>
      <c r="K8" s="286" t="s">
        <v>6680</v>
      </c>
      <c r="L8" s="286">
        <v>28163.17</v>
      </c>
      <c r="M8" s="286"/>
      <c r="N8" s="286">
        <f t="shared" si="0"/>
        <v>28163.17</v>
      </c>
      <c r="O8" s="286" t="s">
        <v>2473</v>
      </c>
    </row>
    <row r="9" spans="1:15" ht="15.75" x14ac:dyDescent="0.25">
      <c r="B9" s="412" t="s">
        <v>2041</v>
      </c>
      <c r="C9" s="568">
        <f>SUMIFS($G$27:$G$157,$H$27:$H$157,B9)</f>
        <v>0</v>
      </c>
      <c r="D9" s="568"/>
      <c r="E9" s="568">
        <f t="shared" si="1"/>
        <v>0</v>
      </c>
      <c r="K9" s="286" t="s">
        <v>6647</v>
      </c>
      <c r="L9" s="286">
        <v>28156.5</v>
      </c>
      <c r="M9" s="286"/>
      <c r="N9" s="286">
        <f t="shared" si="0"/>
        <v>28156.5</v>
      </c>
      <c r="O9" s="286" t="s">
        <v>2473</v>
      </c>
    </row>
    <row r="10" spans="1:15" ht="15.75" x14ac:dyDescent="0.25">
      <c r="B10" s="412" t="s">
        <v>6665</v>
      </c>
      <c r="C10" s="568">
        <f t="shared" ref="C10:C24" si="2">SUMIFS($G$25:$G$155,$H$25:$H$155,B10)</f>
        <v>0</v>
      </c>
      <c r="D10" s="568"/>
      <c r="E10" s="568">
        <f t="shared" si="1"/>
        <v>0</v>
      </c>
      <c r="K10" s="286" t="s">
        <v>6648</v>
      </c>
      <c r="L10" s="286">
        <v>647007.87</v>
      </c>
      <c r="M10" s="286">
        <f>G61</f>
        <v>28159.121004710003</v>
      </c>
      <c r="N10" s="286">
        <f t="shared" si="0"/>
        <v>618848.74899529002</v>
      </c>
      <c r="O10" s="286" t="s">
        <v>6628</v>
      </c>
    </row>
    <row r="11" spans="1:15" ht="15.75" x14ac:dyDescent="0.25">
      <c r="B11" s="412" t="s">
        <v>6666</v>
      </c>
      <c r="C11" s="568">
        <f t="shared" si="2"/>
        <v>0</v>
      </c>
      <c r="D11" s="568"/>
      <c r="E11" s="568">
        <f t="shared" si="1"/>
        <v>0</v>
      </c>
      <c r="K11" s="286" t="s">
        <v>6681</v>
      </c>
      <c r="L11" s="286">
        <v>122398.43</v>
      </c>
      <c r="M11" s="286">
        <f>G82</f>
        <v>14610.96615437</v>
      </c>
      <c r="N11" s="286">
        <f t="shared" si="0"/>
        <v>107787.46384562999</v>
      </c>
      <c r="O11" s="286" t="s">
        <v>6628</v>
      </c>
    </row>
    <row r="12" spans="1:15" ht="15.75" x14ac:dyDescent="0.25">
      <c r="B12" s="412" t="s">
        <v>2040</v>
      </c>
      <c r="C12" s="568">
        <f t="shared" si="2"/>
        <v>0</v>
      </c>
      <c r="D12" s="568"/>
      <c r="E12" s="568">
        <f t="shared" si="1"/>
        <v>0</v>
      </c>
      <c r="K12" s="286" t="s">
        <v>6649</v>
      </c>
      <c r="L12" s="286">
        <v>12509.4</v>
      </c>
      <c r="M12" s="286">
        <f>G67</f>
        <v>256.50206999999995</v>
      </c>
      <c r="N12" s="286">
        <f t="shared" si="0"/>
        <v>12252.897929999999</v>
      </c>
      <c r="O12" s="286" t="s">
        <v>6628</v>
      </c>
    </row>
    <row r="13" spans="1:15" ht="15.75" x14ac:dyDescent="0.25">
      <c r="B13" s="412" t="s">
        <v>6667</v>
      </c>
      <c r="C13" s="568">
        <f t="shared" si="2"/>
        <v>0</v>
      </c>
      <c r="D13" s="568"/>
      <c r="E13" s="568">
        <f t="shared" si="1"/>
        <v>0</v>
      </c>
      <c r="K13" s="286" t="s">
        <v>6650</v>
      </c>
      <c r="L13" s="286">
        <v>54317.39</v>
      </c>
      <c r="M13" s="286">
        <f>G69</f>
        <v>1896.8973580200004</v>
      </c>
      <c r="N13" s="286">
        <f t="shared" si="0"/>
        <v>52420.492641979996</v>
      </c>
      <c r="O13" s="286" t="s">
        <v>6628</v>
      </c>
    </row>
    <row r="14" spans="1:15" ht="15.75" x14ac:dyDescent="0.25">
      <c r="B14" s="412" t="s">
        <v>6668</v>
      </c>
      <c r="C14" s="568">
        <f t="shared" si="2"/>
        <v>0</v>
      </c>
      <c r="D14" s="568"/>
      <c r="E14" s="568">
        <f t="shared" si="1"/>
        <v>0</v>
      </c>
      <c r="K14" s="286" t="s">
        <v>6682</v>
      </c>
      <c r="L14" s="286">
        <v>97543.2</v>
      </c>
      <c r="M14" s="286">
        <f>G78</f>
        <v>10817.725980614458</v>
      </c>
      <c r="N14" s="286">
        <f t="shared" si="0"/>
        <v>86725.47401938554</v>
      </c>
      <c r="O14" s="286" t="s">
        <v>6628</v>
      </c>
    </row>
    <row r="15" spans="1:15" ht="15.75" x14ac:dyDescent="0.25">
      <c r="B15" s="412" t="s">
        <v>6669</v>
      </c>
      <c r="C15" s="568">
        <f t="shared" si="2"/>
        <v>0</v>
      </c>
      <c r="D15" s="568"/>
      <c r="E15" s="568">
        <f t="shared" si="1"/>
        <v>0</v>
      </c>
      <c r="K15" s="286" t="s">
        <v>6651</v>
      </c>
      <c r="L15" s="286">
        <v>59293.89</v>
      </c>
      <c r="M15" s="286">
        <f>G74</f>
        <v>2321.9746586159026</v>
      </c>
      <c r="N15" s="286">
        <f t="shared" si="0"/>
        <v>56971.915341384098</v>
      </c>
      <c r="O15" s="286" t="s">
        <v>6628</v>
      </c>
    </row>
    <row r="16" spans="1:15" ht="15.75" x14ac:dyDescent="0.25">
      <c r="B16" s="412" t="s">
        <v>6670</v>
      </c>
      <c r="C16" s="568">
        <f t="shared" si="2"/>
        <v>0</v>
      </c>
      <c r="D16" s="568"/>
      <c r="E16" s="568">
        <f t="shared" si="1"/>
        <v>0</v>
      </c>
      <c r="K16" s="286" t="s">
        <v>6652</v>
      </c>
      <c r="L16" s="286">
        <v>34060.589999999997</v>
      </c>
      <c r="M16" s="286">
        <f>+G54</f>
        <v>1664.9369676060007</v>
      </c>
      <c r="N16" s="286">
        <f t="shared" si="0"/>
        <v>32395.653032393995</v>
      </c>
      <c r="O16" s="286" t="s">
        <v>6628</v>
      </c>
    </row>
    <row r="17" spans="2:15" ht="15.75" x14ac:dyDescent="0.25">
      <c r="B17" s="412" t="s">
        <v>6671</v>
      </c>
      <c r="C17" s="568">
        <f t="shared" si="2"/>
        <v>0</v>
      </c>
      <c r="D17" s="568"/>
      <c r="E17" s="568">
        <f t="shared" si="1"/>
        <v>0</v>
      </c>
      <c r="K17" s="286" t="s">
        <v>6653</v>
      </c>
      <c r="L17" s="286">
        <v>91482.27</v>
      </c>
      <c r="M17" s="286">
        <f>G91</f>
        <v>14942.430240000002</v>
      </c>
      <c r="N17" s="286">
        <f t="shared" si="0"/>
        <v>76539.839760000003</v>
      </c>
      <c r="O17" s="286" t="s">
        <v>6847</v>
      </c>
    </row>
    <row r="18" spans="2:15" ht="15.75" x14ac:dyDescent="0.25">
      <c r="B18" s="412" t="s">
        <v>6672</v>
      </c>
      <c r="C18" s="568">
        <f t="shared" si="2"/>
        <v>0</v>
      </c>
      <c r="D18" s="568"/>
      <c r="E18" s="568">
        <f t="shared" si="1"/>
        <v>0</v>
      </c>
      <c r="K18" s="286" t="s">
        <v>6654</v>
      </c>
      <c r="L18" s="286">
        <v>296911.42</v>
      </c>
      <c r="M18" s="286">
        <f>G110</f>
        <v>14083.682559190001</v>
      </c>
      <c r="N18" s="286">
        <f t="shared" si="0"/>
        <v>282827.73744080996</v>
      </c>
      <c r="O18" s="286" t="s">
        <v>6848</v>
      </c>
    </row>
    <row r="19" spans="2:15" ht="15.75" x14ac:dyDescent="0.25">
      <c r="B19" s="412" t="s">
        <v>6673</v>
      </c>
      <c r="C19" s="568">
        <f t="shared" si="2"/>
        <v>0</v>
      </c>
      <c r="D19" s="568"/>
      <c r="E19" s="568">
        <f t="shared" si="1"/>
        <v>0</v>
      </c>
      <c r="K19" s="286" t="s">
        <v>6683</v>
      </c>
      <c r="L19" s="286">
        <v>193649.55</v>
      </c>
      <c r="M19" s="286">
        <f>G114</f>
        <v>-2832.9879600000008</v>
      </c>
      <c r="N19" s="286">
        <f t="shared" si="0"/>
        <v>196482.53795999999</v>
      </c>
      <c r="O19" s="286" t="s">
        <v>6848</v>
      </c>
    </row>
    <row r="20" spans="2:15" ht="15.75" x14ac:dyDescent="0.25">
      <c r="B20" s="412" t="s">
        <v>6674</v>
      </c>
      <c r="C20" s="568">
        <f t="shared" si="2"/>
        <v>0</v>
      </c>
      <c r="D20" s="568"/>
      <c r="E20" s="568">
        <f t="shared" si="1"/>
        <v>0</v>
      </c>
      <c r="K20" s="286" t="s">
        <v>6684</v>
      </c>
      <c r="L20" s="286">
        <v>90815.95</v>
      </c>
      <c r="M20" s="286">
        <f>G121</f>
        <v>3994.9043307524998</v>
      </c>
      <c r="N20" s="286">
        <f t="shared" si="0"/>
        <v>86821.045669247498</v>
      </c>
      <c r="O20" s="286" t="s">
        <v>6848</v>
      </c>
    </row>
    <row r="21" spans="2:15" ht="15.75" x14ac:dyDescent="0.25">
      <c r="B21" s="412" t="s">
        <v>6675</v>
      </c>
      <c r="C21" s="568">
        <f t="shared" si="2"/>
        <v>0</v>
      </c>
      <c r="D21" s="568"/>
      <c r="E21" s="568">
        <f t="shared" si="1"/>
        <v>0</v>
      </c>
      <c r="K21" s="286" t="s">
        <v>6655</v>
      </c>
      <c r="L21" s="286">
        <v>26386.33</v>
      </c>
      <c r="M21" s="286">
        <f>G95+(G103/2)</f>
        <v>7661.3087294830029</v>
      </c>
      <c r="N21" s="286">
        <f t="shared" si="0"/>
        <v>18725.021270516998</v>
      </c>
      <c r="O21" s="286" t="s">
        <v>6848</v>
      </c>
    </row>
    <row r="22" spans="2:15" ht="15.75" x14ac:dyDescent="0.25">
      <c r="B22" s="412" t="s">
        <v>6676</v>
      </c>
      <c r="C22" s="568">
        <f t="shared" si="2"/>
        <v>0</v>
      </c>
      <c r="D22" s="568"/>
      <c r="E22" s="568">
        <f t="shared" si="1"/>
        <v>0</v>
      </c>
      <c r="K22" s="286" t="s">
        <v>6656</v>
      </c>
      <c r="L22" s="286">
        <v>638467.81999999995</v>
      </c>
      <c r="M22" s="286">
        <f>G117</f>
        <v>37038.94266700001</v>
      </c>
      <c r="N22" s="286">
        <f t="shared" si="0"/>
        <v>601428.87733299995</v>
      </c>
      <c r="O22" s="286" t="s">
        <v>6848</v>
      </c>
    </row>
    <row r="23" spans="2:15" ht="15.75" x14ac:dyDescent="0.25">
      <c r="B23" s="412" t="s">
        <v>6677</v>
      </c>
      <c r="C23" s="568">
        <f t="shared" si="2"/>
        <v>0</v>
      </c>
      <c r="D23" s="568"/>
      <c r="E23" s="568">
        <f t="shared" si="1"/>
        <v>0</v>
      </c>
      <c r="K23" s="286" t="s">
        <v>6657</v>
      </c>
      <c r="L23" s="286">
        <v>92288.24</v>
      </c>
      <c r="M23" s="286">
        <f>G130</f>
        <v>13987.492320000001</v>
      </c>
      <c r="N23" s="286">
        <f t="shared" si="0"/>
        <v>78300.74768</v>
      </c>
      <c r="O23" s="286" t="s">
        <v>6849</v>
      </c>
    </row>
    <row r="24" spans="2:15" ht="15.75" x14ac:dyDescent="0.25">
      <c r="B24" s="412" t="s">
        <v>6678</v>
      </c>
      <c r="C24" s="568">
        <f t="shared" si="2"/>
        <v>0</v>
      </c>
      <c r="D24" s="568"/>
      <c r="E24" s="568">
        <f t="shared" si="1"/>
        <v>0</v>
      </c>
      <c r="K24" s="286" t="s">
        <v>6658</v>
      </c>
      <c r="L24" s="286">
        <v>84806.48</v>
      </c>
      <c r="M24" s="286">
        <f>G153</f>
        <v>8328.4289073899999</v>
      </c>
      <c r="N24" s="286">
        <f t="shared" si="0"/>
        <v>76478.051092609996</v>
      </c>
      <c r="O24" s="286" t="s">
        <v>6850</v>
      </c>
    </row>
    <row r="25" spans="2:15" ht="16.5" thickBot="1" x14ac:dyDescent="0.3">
      <c r="B25" s="413" t="s">
        <v>1790</v>
      </c>
      <c r="C25" s="571">
        <f>C6/C7</f>
        <v>164.79642427731449</v>
      </c>
      <c r="D25" s="571">
        <f>D6/D7</f>
        <v>377.10888524590166</v>
      </c>
      <c r="E25" s="571">
        <f t="shared" si="1"/>
        <v>-212.31246096858717</v>
      </c>
      <c r="K25" s="286" t="s">
        <v>6685</v>
      </c>
      <c r="L25" s="286">
        <v>21381.21</v>
      </c>
      <c r="M25" s="286">
        <f>G143/2</f>
        <v>1434.0907613400002</v>
      </c>
      <c r="N25" s="286">
        <f t="shared" si="0"/>
        <v>19947.119238659998</v>
      </c>
      <c r="O25" s="286" t="s">
        <v>6850</v>
      </c>
    </row>
    <row r="26" spans="2:15" s="260" customFormat="1" ht="16.5" thickBot="1" x14ac:dyDescent="0.3">
      <c r="B26" s="257"/>
      <c r="C26" s="568"/>
      <c r="D26" s="568"/>
      <c r="E26" s="258"/>
      <c r="F26" s="259"/>
      <c r="G26" s="265"/>
      <c r="H26" s="265"/>
      <c r="K26" s="286" t="s">
        <v>6659</v>
      </c>
      <c r="L26" s="286">
        <v>156236.29999999999</v>
      </c>
      <c r="M26" s="286">
        <f>G150</f>
        <v>81612.314875000011</v>
      </c>
      <c r="N26" s="286">
        <f t="shared" si="0"/>
        <v>74623.985124999977</v>
      </c>
      <c r="O26" s="286" t="s">
        <v>6850</v>
      </c>
    </row>
    <row r="27" spans="2:15" s="261" customFormat="1" x14ac:dyDescent="0.2">
      <c r="B27" s="266" t="s">
        <v>1791</v>
      </c>
      <c r="C27" s="267" t="s">
        <v>1792</v>
      </c>
      <c r="D27" s="268" t="s">
        <v>0</v>
      </c>
      <c r="E27" s="268" t="s">
        <v>1793</v>
      </c>
      <c r="F27" s="269" t="s">
        <v>1794</v>
      </c>
      <c r="G27" s="270" t="s">
        <v>1795</v>
      </c>
      <c r="H27" s="270" t="s">
        <v>1796</v>
      </c>
      <c r="K27" s="286" t="s">
        <v>6660</v>
      </c>
      <c r="L27" s="286">
        <v>20513.330000000002</v>
      </c>
      <c r="M27" s="286">
        <f>G143/2</f>
        <v>1434.0907613400002</v>
      </c>
      <c r="N27" s="286">
        <f t="shared" si="0"/>
        <v>19079.23923866</v>
      </c>
      <c r="O27" s="286" t="s">
        <v>6850</v>
      </c>
    </row>
    <row r="28" spans="2:15" s="261" customFormat="1" x14ac:dyDescent="0.2">
      <c r="B28" s="271" t="s">
        <v>2473</v>
      </c>
      <c r="C28" s="272"/>
      <c r="D28" s="273"/>
      <c r="E28" s="274"/>
      <c r="F28" s="275"/>
      <c r="G28" s="276" cm="1">
        <f t="array" ref="G28">_xlfn.IFS(AND(B28&lt;&gt;"",C28="",D28=""),SUMPRODUCT($E$28:$E$155,$F$28:$F$155, --($B$28:$B$155=B28)),AND(C28&lt;&gt;"",F28=""),SUMPRODUCT($E$28:$E$155,$F$28:$F$155,--($C$28:$C$155=C28)),AND(D28,F28)&lt;&gt;0,E28*F28)</f>
        <v>31871.878834930008</v>
      </c>
      <c r="H28" s="276"/>
      <c r="K28" s="286" t="s">
        <v>6661</v>
      </c>
      <c r="L28" s="286">
        <v>11992.15</v>
      </c>
      <c r="M28" s="286">
        <f>G103/2</f>
        <v>651.5122471000002</v>
      </c>
      <c r="N28" s="286">
        <f>L28-M28</f>
        <v>11340.6377529</v>
      </c>
      <c r="O28" s="286" t="s">
        <v>6850</v>
      </c>
    </row>
    <row r="29" spans="2:15" s="261" customFormat="1" ht="25.5" outlineLevel="1" x14ac:dyDescent="0.2">
      <c r="B29" s="277" t="str">
        <f t="shared" ref="B29:C33" si="3">B28</f>
        <v>SUBSOLO</v>
      </c>
      <c r="C29" s="278" t="s">
        <v>6889</v>
      </c>
      <c r="D29" s="279" t="s">
        <v>1797</v>
      </c>
      <c r="E29" s="280">
        <f>2.4*1.6</f>
        <v>3.84</v>
      </c>
      <c r="F29" s="281"/>
      <c r="G29" s="282" cm="1">
        <f t="array" ref="G29">_xlfn.IFS(AND(B29&lt;&gt;"",C29="",D29=""),SUMPRODUCT($E$26:$E$155,$F$26:$F$155, --($B$26:$B$155=B29)),AND(C29&lt;&gt;"",F29=""),SUMPRODUCT($E$26:$E$155,$F$26:$F$155,--($C$26:$C$155=C29)),AND(D29,F29)&lt;&gt;0,E29*F29)</f>
        <v>11998.717031840004</v>
      </c>
      <c r="H29" s="283">
        <f>G29/E29</f>
        <v>3124.6658937083344</v>
      </c>
      <c r="K29" s="286" t="s">
        <v>6686</v>
      </c>
      <c r="L29" s="286">
        <v>394815.41</v>
      </c>
      <c r="M29" s="286">
        <f>G34+G58+G87+G106+G126+G134+G146</f>
        <v>30406.3995367975</v>
      </c>
      <c r="N29" s="286">
        <f>L29-M29</f>
        <v>364409.01046320249</v>
      </c>
      <c r="O29" s="286" t="s">
        <v>6851</v>
      </c>
    </row>
    <row r="30" spans="2:15" outlineLevel="2" x14ac:dyDescent="0.2">
      <c r="B30" s="277" t="str">
        <f t="shared" si="3"/>
        <v>SUBSOLO</v>
      </c>
      <c r="C30" s="284" t="str">
        <f>C29</f>
        <v>Vestiário funcionário 1</v>
      </c>
      <c r="D30" s="287" t="s">
        <v>6890</v>
      </c>
      <c r="E30" s="288">
        <f>20-E33</f>
        <v>14</v>
      </c>
      <c r="F30" s="290">
        <f>CPU!$H$1401-Ger_Executivo!$M$338</f>
        <v>628.42954900000018</v>
      </c>
      <c r="G30" s="291" cm="1">
        <f t="array" ref="G30">_xlfn.IFS(AND(B30&lt;&gt;"",C30="",D30=""),SUMPRODUCT($E$26:$E$155,$F$26:$F$155, --($B$26:$B$155=B30)),AND(C30&lt;&gt;"",F30=""),SUMPRODUCT($E$26:$E$155,$F$26:$F$155,--($C$26:$C$155=C30)),AND(D30,F30)&lt;&gt;0,E30*F30)</f>
        <v>8798.0136860000021</v>
      </c>
      <c r="H30" s="286" t="s">
        <v>6664</v>
      </c>
      <c r="K30" s="276" t="s">
        <v>8</v>
      </c>
      <c r="L30" s="276">
        <f>SUM(L5:L29)</f>
        <v>3317486.69</v>
      </c>
      <c r="M30" s="276">
        <f>SUM(M5:M29)</f>
        <v>303507.40710393939</v>
      </c>
      <c r="N30" s="276">
        <f>L30-M30</f>
        <v>3013979.2828960605</v>
      </c>
    </row>
    <row r="31" spans="2:15" ht="13.5" customHeight="1" outlineLevel="2" x14ac:dyDescent="0.2">
      <c r="B31" s="277" t="str">
        <f t="shared" si="3"/>
        <v>SUBSOLO</v>
      </c>
      <c r="C31" s="284" t="str">
        <f t="shared" si="3"/>
        <v>Vestiário funcionário 1</v>
      </c>
      <c r="D31" s="287" t="s">
        <v>6892</v>
      </c>
      <c r="E31" s="288">
        <f>E29</f>
        <v>3.84</v>
      </c>
      <c r="F31" s="290">
        <f>CPU!$H$1401-Ger_Executivo!$M$309</f>
        <v>586.4100000000002</v>
      </c>
      <c r="G31" s="291" cm="1">
        <f t="array" ref="G31">_xlfn.IFS(AND(B31&lt;&gt;"",C31="",D31=""),SUMPRODUCT($E$26:$E$155,$F$26:$F$155, --($B$26:$B$155=B31)),AND(C31&lt;&gt;"",F31=""),SUMPRODUCT($E$26:$E$155,$F$26:$F$155,--($C$26:$C$155=C31)),AND(D31,F31)&lt;&gt;0,E31*F31)</f>
        <v>2251.8144000000007</v>
      </c>
      <c r="H31" s="286" t="s">
        <v>6664</v>
      </c>
      <c r="K31" s="263" t="s">
        <v>6852</v>
      </c>
      <c r="L31" s="572"/>
      <c r="M31" s="572"/>
    </row>
    <row r="32" spans="2:15" ht="13.5" customHeight="1" outlineLevel="2" x14ac:dyDescent="0.2">
      <c r="B32" s="277" t="str">
        <f t="shared" ref="B32" si="4">B31</f>
        <v>SUBSOLO</v>
      </c>
      <c r="C32" s="284" t="str">
        <f t="shared" si="3"/>
        <v>Vestiário funcionário 1</v>
      </c>
      <c r="D32" s="287" t="s">
        <v>6884</v>
      </c>
      <c r="E32" s="288">
        <f>E29</f>
        <v>3.84</v>
      </c>
      <c r="F32" s="285">
        <f>CPU!$H$2252-Ger_Executivo!$M$338</f>
        <v>-0.90842399999999657</v>
      </c>
      <c r="G32" s="291" cm="1">
        <f t="array" ref="G32">_xlfn.IFS(AND(B32&lt;&gt;"",C32="",D32=""),SUMPRODUCT($E$26:$E$155,$F$26:$F$155, --($B$26:$B$155=B32)),AND(C32&lt;&gt;"",F32=""),SUMPRODUCT($E$26:$E$155,$F$26:$F$155,--($C$26:$C$155=C32)),AND(D32,F32)&lt;&gt;0,E32*F32)</f>
        <v>-3.4883481599999868</v>
      </c>
      <c r="H32" s="286" t="s">
        <v>6664</v>
      </c>
      <c r="K32" s="263" t="s">
        <v>6853</v>
      </c>
      <c r="M32" s="572">
        <f>G48</f>
        <v>168.64814999999996</v>
      </c>
    </row>
    <row r="33" spans="2:8" ht="13.5" customHeight="1" outlineLevel="2" x14ac:dyDescent="0.2">
      <c r="B33" s="277" t="str">
        <f t="shared" ref="B33" si="5">B32</f>
        <v>SUBSOLO</v>
      </c>
      <c r="C33" s="284" t="str">
        <f t="shared" si="3"/>
        <v>Vestiário funcionário 1</v>
      </c>
      <c r="D33" s="287" t="s">
        <v>6893</v>
      </c>
      <c r="E33" s="288">
        <f>10*0.6</f>
        <v>6</v>
      </c>
      <c r="F33" s="290">
        <f>CPU!$H$1396-Ger_Executivo!$M$338</f>
        <v>158.72954900000005</v>
      </c>
      <c r="G33" s="291" cm="1">
        <f t="array" ref="G33">_xlfn.IFS(AND(B33&lt;&gt;"",C33="",D33=""),SUMPRODUCT($E$26:$E$155,$F$26:$F$155, --($B$26:$B$155=B33)),AND(C33&lt;&gt;"",F33=""),SUMPRODUCT($E$26:$E$155,$F$26:$F$155,--($C$26:$C$155=C33)),AND(D33,F33)&lt;&gt;0,E33*F33)</f>
        <v>952.37729400000035</v>
      </c>
      <c r="H33" s="286" t="s">
        <v>6664</v>
      </c>
    </row>
    <row r="34" spans="2:8" outlineLevel="1" x14ac:dyDescent="0.2">
      <c r="B34" s="277" t="str">
        <f t="shared" ref="B34" si="6">B33</f>
        <v>SUBSOLO</v>
      </c>
      <c r="C34" s="278" t="s">
        <v>6825</v>
      </c>
      <c r="D34" s="279" t="s">
        <v>1797</v>
      </c>
      <c r="E34" s="280">
        <v>34.159999999999997</v>
      </c>
      <c r="F34" s="281"/>
      <c r="G34" s="282" cm="1">
        <f t="array" ref="G34">_xlfn.IFS(AND(B34&lt;&gt;"",C34="",D34=""),SUMPRODUCT($E$26:$E$155,$F$26:$F$155, --($B$26:$B$155=B34)),AND(C34&lt;&gt;"",F34=""),SUMPRODUCT($E$26:$E$155,$F$26:$F$155,--($C$26:$C$155=C34)),AND(D34,F34)&lt;&gt;0,E34*F34)</f>
        <v>835.20590031999996</v>
      </c>
      <c r="H34" s="283">
        <f>G34/E34</f>
        <v>24.449821437939111</v>
      </c>
    </row>
    <row r="35" spans="2:8" outlineLevel="2" x14ac:dyDescent="0.2">
      <c r="B35" s="277" t="str">
        <f t="shared" ref="B35" si="7">B34</f>
        <v>SUBSOLO</v>
      </c>
      <c r="C35" s="292" t="str">
        <f>C34</f>
        <v>Circulação elevadores - subsolo</v>
      </c>
      <c r="D35" s="287" t="s">
        <v>6854</v>
      </c>
      <c r="E35" s="288">
        <f>E34</f>
        <v>34.159999999999997</v>
      </c>
      <c r="F35" s="285">
        <f>CPU!$H$1885-Ger_Executivo!$M$308</f>
        <v>26.146999999999991</v>
      </c>
      <c r="G35" s="291" cm="1">
        <f t="array" ref="G35">_xlfn.IFS(AND(B35&lt;&gt;"",C35="",D35=""),SUMPRODUCT($E$26:$E$155,$F$26:$F$155, --($B$26:$B$155=B35)),AND(C35&lt;&gt;"",F35=""),SUMPRODUCT($E$26:$E$155,$F$26:$F$155,--($C$26:$C$155=C35)),AND(D35,F35)&lt;&gt;0,E35*F35)</f>
        <v>893.18151999999964</v>
      </c>
      <c r="H35" s="286" t="s">
        <v>6664</v>
      </c>
    </row>
    <row r="36" spans="2:8" outlineLevel="2" x14ac:dyDescent="0.2">
      <c r="B36" s="277" t="str">
        <f t="shared" ref="B36" si="8">B35</f>
        <v>SUBSOLO</v>
      </c>
      <c r="C36" s="292" t="str">
        <f t="shared" ref="C36" si="9">C35</f>
        <v>Circulação elevadores - subsolo</v>
      </c>
      <c r="D36" s="287" t="s">
        <v>6860</v>
      </c>
      <c r="E36" s="288">
        <v>29.66</v>
      </c>
      <c r="F36" s="285">
        <f>CPU!$H$2252-Ger_Executivo!$M$338</f>
        <v>-0.90842399999999657</v>
      </c>
      <c r="G36" s="291" cm="1">
        <f t="array" ref="G36">_xlfn.IFS(AND(B36&lt;&gt;"",C36="",D36=""),SUMPRODUCT($E$26:$E$155,$F$26:$F$155, --($B$26:$B$155=B36)),AND(C36&lt;&gt;"",F36=""),SUMPRODUCT($E$26:$E$155,$F$26:$F$155,--($C$26:$C$155=C36)),AND(D36,F36)&lt;&gt;0,E36*F36)</f>
        <v>-26.943855839999898</v>
      </c>
      <c r="H36" s="286" t="s">
        <v>6664</v>
      </c>
    </row>
    <row r="37" spans="2:8" ht="13.5" customHeight="1" outlineLevel="2" x14ac:dyDescent="0.2">
      <c r="B37" s="277" t="str">
        <f t="shared" ref="B37" si="10">B36</f>
        <v>SUBSOLO</v>
      </c>
      <c r="C37" s="292" t="str">
        <f t="shared" ref="C37" si="11">C36</f>
        <v>Circulação elevadores - subsolo</v>
      </c>
      <c r="D37" s="287" t="s">
        <v>6884</v>
      </c>
      <c r="E37" s="288">
        <f>E35</f>
        <v>34.159999999999997</v>
      </c>
      <c r="F37" s="285">
        <f>CPU!$H$2252-Ger_Executivo!$M$338</f>
        <v>-0.90842399999999657</v>
      </c>
      <c r="G37" s="291" cm="1">
        <f t="array" ref="G37">_xlfn.IFS(AND(B37&lt;&gt;"",C37="",D37=""),SUMPRODUCT($E$26:$E$155,$F$26:$F$155, --($B$26:$B$155=B37)),AND(C37&lt;&gt;"",F37=""),SUMPRODUCT($E$26:$E$155,$F$26:$F$155,--($C$26:$C$155=C37)),AND(D37,F37)&lt;&gt;0,E37*F37)</f>
        <v>-31.031763839999879</v>
      </c>
      <c r="H37" s="286" t="s">
        <v>6664</v>
      </c>
    </row>
    <row r="38" spans="2:8" s="261" customFormat="1" outlineLevel="1" x14ac:dyDescent="0.2">
      <c r="B38" s="277" t="str">
        <f t="shared" ref="B38" si="12">B37</f>
        <v>SUBSOLO</v>
      </c>
      <c r="C38" s="278" t="s">
        <v>6624</v>
      </c>
      <c r="D38" s="279" t="s">
        <v>1797</v>
      </c>
      <c r="E38" s="280">
        <f>16.59+30.09+13.89+61.85</f>
        <v>122.42</v>
      </c>
      <c r="F38" s="281"/>
      <c r="G38" s="282" cm="1">
        <f t="array" ref="G38">_xlfn.IFS(AND(B38&lt;&gt;"",C38="",D38=""),SUMPRODUCT($E$26:$E$155,$F$26:$F$155, --($B$26:$B$155=B38)),AND(C38&lt;&gt;"",F38=""),SUMPRODUCT($E$26:$E$155,$F$26:$F$155,--($C$26:$C$155=C38)),AND(D38,F38)&lt;&gt;0,E38*F38)</f>
        <v>7039.2388709300003</v>
      </c>
      <c r="H38" s="283">
        <f>G38/E38</f>
        <v>57.500725951070088</v>
      </c>
    </row>
    <row r="39" spans="2:8" ht="25.5" outlineLevel="2" x14ac:dyDescent="0.2">
      <c r="B39" s="277" t="str">
        <f t="shared" ref="B39" si="13">B38</f>
        <v>SUBSOLO</v>
      </c>
      <c r="C39" s="284" t="str">
        <f>C38</f>
        <v>Bicicletário</v>
      </c>
      <c r="D39" s="287" t="s">
        <v>241</v>
      </c>
      <c r="E39" s="288">
        <f>E38</f>
        <v>122.42</v>
      </c>
      <c r="F39" s="285">
        <f>CPU!$H$1775-Ger_Executivo!$M$308</f>
        <v>-11.141500000000008</v>
      </c>
      <c r="G39" s="291" cm="1">
        <f t="array" ref="G39">_xlfn.IFS(AND(B39&lt;&gt;"",C39="",D39=""),SUMPRODUCT($E$26:$E$155,$F$26:$F$155, --($B$26:$B$155=B39)),AND(C39&lt;&gt;"",F39=""),SUMPRODUCT($E$26:$E$155,$F$26:$F$155,--($C$26:$C$155=C39)),AND(D39,F39)&lt;&gt;0,E39*F39)</f>
        <v>-1363.942430000001</v>
      </c>
      <c r="H39" s="286" t="s">
        <v>6664</v>
      </c>
    </row>
    <row r="40" spans="2:8" ht="25.5" outlineLevel="2" x14ac:dyDescent="0.2">
      <c r="B40" s="277" t="str">
        <f t="shared" ref="B40" si="14">B39</f>
        <v>SUBSOLO</v>
      </c>
      <c r="C40" s="284" t="str">
        <f t="shared" ref="C40" si="15">C39</f>
        <v>Bicicletário</v>
      </c>
      <c r="D40" s="287" t="s">
        <v>6885</v>
      </c>
      <c r="E40" s="289">
        <v>60.23</v>
      </c>
      <c r="F40" s="285">
        <f>CPU!$H$1775-Ger_Executivo!M338</f>
        <v>124.47704900000002</v>
      </c>
      <c r="G40" s="291" cm="1">
        <f t="array" ref="G40">_xlfn.IFS(AND(B40&lt;&gt;"",C40="",D40=""),SUMPRODUCT($E$26:$E$155,$F$26:$F$155, --($B$26:$B$155=B40)),AND(C40&lt;&gt;"",F40=""),SUMPRODUCT($E$26:$E$155,$F$26:$F$155,--($C$26:$C$155=C40)),AND(D40,F40)&lt;&gt;0,E40*F40)</f>
        <v>7497.2526612700012</v>
      </c>
      <c r="H40" s="286" t="s">
        <v>6664</v>
      </c>
    </row>
    <row r="41" spans="2:8" outlineLevel="2" x14ac:dyDescent="0.2">
      <c r="B41" s="277" t="str">
        <f t="shared" ref="B41" si="16">B40</f>
        <v>SUBSOLO</v>
      </c>
      <c r="C41" s="284" t="str">
        <f t="shared" ref="C41" si="17">C40</f>
        <v>Bicicletário</v>
      </c>
      <c r="D41" s="287" t="s">
        <v>6886</v>
      </c>
      <c r="E41" s="289">
        <v>35.159999999999997</v>
      </c>
      <c r="F41" s="290">
        <f>CPU!H2243-Ger_Executivo!M338</f>
        <v>25.765888499999996</v>
      </c>
      <c r="G41" s="291" cm="1">
        <f t="array" ref="G41">_xlfn.IFS(AND(B41&lt;&gt;"",C41="",D41=""),SUMPRODUCT($E$26:$E$155,$F$26:$F$155, --($B$26:$B$155=B41)),AND(C41&lt;&gt;"",F41=""),SUMPRODUCT($E$26:$E$155,$F$26:$F$155,--($C$26:$C$155=C41)),AND(D41,F41)&lt;&gt;0,E41*F41)</f>
        <v>905.9286396599997</v>
      </c>
      <c r="H41" s="286" t="s">
        <v>6664</v>
      </c>
    </row>
    <row r="42" spans="2:8" s="261" customFormat="1" ht="17.25" customHeight="1" outlineLevel="1" x14ac:dyDescent="0.2">
      <c r="B42" s="277" t="str">
        <f t="shared" ref="B42" si="18">B41</f>
        <v>SUBSOLO</v>
      </c>
      <c r="C42" s="278" t="s">
        <v>6888</v>
      </c>
      <c r="D42" s="279" t="s">
        <v>1797</v>
      </c>
      <c r="E42" s="280">
        <f>2.4*1.6</f>
        <v>3.84</v>
      </c>
      <c r="F42" s="281"/>
      <c r="G42" s="282" cm="1">
        <f t="array" ref="G42">_xlfn.IFS(AND(B42&lt;&gt;"",C42="",D42=""),SUMPRODUCT($E$26:$E$155,$F$26:$F$155, --($B$26:$B$155=B42)),AND(C42&lt;&gt;"",F42=""),SUMPRODUCT($E$26:$E$155,$F$26:$F$155,--($C$26:$C$155=C42)),AND(D42,F42)&lt;&gt;0,E42*F42)</f>
        <v>11998.717031840004</v>
      </c>
      <c r="H42" s="283">
        <f>G42/E42</f>
        <v>3124.6658937083344</v>
      </c>
    </row>
    <row r="43" spans="2:8" outlineLevel="2" x14ac:dyDescent="0.2">
      <c r="B43" s="277" t="str">
        <f t="shared" ref="B43" si="19">B42</f>
        <v>SUBSOLO</v>
      </c>
      <c r="C43" s="284" t="str">
        <f>C42</f>
        <v>Vestiário funcionário 2</v>
      </c>
      <c r="D43" s="287" t="s">
        <v>6890</v>
      </c>
      <c r="E43" s="288">
        <f>20-E46</f>
        <v>14</v>
      </c>
      <c r="F43" s="290">
        <f>CPU!$H$1401-Ger_Executivo!$M$338</f>
        <v>628.42954900000018</v>
      </c>
      <c r="G43" s="291" cm="1">
        <f t="array" ref="G43">_xlfn.IFS(AND(B43&lt;&gt;"",C43="",D43=""),SUMPRODUCT($E$26:$E$155,$F$26:$F$155, --($B$26:$B$155=B43)),AND(C43&lt;&gt;"",F43=""),SUMPRODUCT($E$26:$E$155,$F$26:$F$155,--($C$26:$C$155=C43)),AND(D43,F43)&lt;&gt;0,E43*F43)</f>
        <v>8798.0136860000021</v>
      </c>
      <c r="H43" s="286" t="s">
        <v>6664</v>
      </c>
    </row>
    <row r="44" spans="2:8" ht="13.5" customHeight="1" outlineLevel="2" x14ac:dyDescent="0.2">
      <c r="B44" s="277" t="str">
        <f t="shared" ref="B44" si="20">B43</f>
        <v>SUBSOLO</v>
      </c>
      <c r="C44" s="292" t="str">
        <f>C42</f>
        <v>Vestiário funcionário 2</v>
      </c>
      <c r="D44" s="287" t="s">
        <v>6892</v>
      </c>
      <c r="E44" s="288">
        <f>E42</f>
        <v>3.84</v>
      </c>
      <c r="F44" s="290">
        <f>CPU!$H$1401-Ger_Executivo!$M$309</f>
        <v>586.4100000000002</v>
      </c>
      <c r="G44" s="291" cm="1">
        <f t="array" ref="G44">_xlfn.IFS(AND(B44&lt;&gt;"",C44="",D44=""),SUMPRODUCT($E$26:$E$155,$F$26:$F$155, --($B$26:$B$155=B44)),AND(C44&lt;&gt;"",F44=""),SUMPRODUCT($E$26:$E$155,$F$26:$F$155,--($C$26:$C$155=C44)),AND(D44,F44)&lt;&gt;0,E44*F44)</f>
        <v>2251.8144000000007</v>
      </c>
      <c r="H44" s="286" t="s">
        <v>6664</v>
      </c>
    </row>
    <row r="45" spans="2:8" outlineLevel="2" x14ac:dyDescent="0.2">
      <c r="B45" s="277" t="str">
        <f t="shared" ref="B45" si="21">B44</f>
        <v>SUBSOLO</v>
      </c>
      <c r="C45" s="284" t="str">
        <f>C43</f>
        <v>Vestiário funcionário 2</v>
      </c>
      <c r="D45" s="287" t="s">
        <v>6870</v>
      </c>
      <c r="E45" s="288">
        <f>E42</f>
        <v>3.84</v>
      </c>
      <c r="F45" s="285">
        <f>CPU!$H$2252-Ger_Executivo!$M$338</f>
        <v>-0.90842399999999657</v>
      </c>
      <c r="G45" s="291" cm="1">
        <f t="array" ref="G45">_xlfn.IFS(AND(B45&lt;&gt;"",C45="",D45=""),SUMPRODUCT($E$26:$E$155,$F$26:$F$155, --($B$26:$B$155=B45)),AND(C45&lt;&gt;"",F45=""),SUMPRODUCT($E$26:$E$155,$F$26:$F$155,--($C$26:$C$155=C45)),AND(D45,F45)&lt;&gt;0,E45*F45)</f>
        <v>-3.4883481599999868</v>
      </c>
      <c r="H45" s="286" t="s">
        <v>6664</v>
      </c>
    </row>
    <row r="46" spans="2:8" ht="13.5" customHeight="1" outlineLevel="2" x14ac:dyDescent="0.2">
      <c r="B46" s="277" t="str">
        <f t="shared" ref="B46" si="22">B45</f>
        <v>SUBSOLO</v>
      </c>
      <c r="C46" s="284" t="str">
        <f t="shared" ref="C46" si="23">C45</f>
        <v>Vestiário funcionário 2</v>
      </c>
      <c r="D46" s="287" t="s">
        <v>6893</v>
      </c>
      <c r="E46" s="288">
        <f>10*0.6</f>
        <v>6</v>
      </c>
      <c r="F46" s="290">
        <f>CPU!$H$1396-Ger_Executivo!$M$338</f>
        <v>158.72954900000005</v>
      </c>
      <c r="G46" s="291" cm="1">
        <f t="array" ref="G46">_xlfn.IFS(AND(B46&lt;&gt;"",C46="",D46=""),SUMPRODUCT($E$26:$E$155,$F$26:$F$155, --($B$26:$B$155=B46)),AND(C46&lt;&gt;"",F46=""),SUMPRODUCT($E$26:$E$155,$F$26:$F$155,--($C$26:$C$155=C46)),AND(D46,F46)&lt;&gt;0,E46*F46)</f>
        <v>952.37729400000035</v>
      </c>
      <c r="H46" s="286" t="s">
        <v>6664</v>
      </c>
    </row>
    <row r="47" spans="2:8" s="261" customFormat="1" x14ac:dyDescent="0.2">
      <c r="B47" s="271" t="s">
        <v>6628</v>
      </c>
      <c r="C47" s="272"/>
      <c r="D47" s="273"/>
      <c r="E47" s="274"/>
      <c r="F47" s="275"/>
      <c r="G47" s="276" cm="1">
        <f t="array" ref="G47">_xlfn.IFS(AND(B47&lt;&gt;"",C47="",D47=""),SUMPRODUCT($E$26:$E$155,$F$26:$F$155, --($B$26:$B$155=B47)),AND(C47&lt;&gt;"",F47=""),SUMPRODUCT($E$26:$E$155,$F$26:$F$155,--($C$26:$C$155=C47)),AND(D47,F47)&lt;&gt;0,E47*F47)</f>
        <v>70504.187229942356</v>
      </c>
      <c r="H47" s="276"/>
    </row>
    <row r="48" spans="2:8" s="261" customFormat="1" outlineLevel="1" x14ac:dyDescent="0.2">
      <c r="B48" s="277" t="str">
        <f>B47</f>
        <v>TÉRREO</v>
      </c>
      <c r="C48" s="278" t="s">
        <v>6700</v>
      </c>
      <c r="D48" s="279" t="s">
        <v>1797</v>
      </c>
      <c r="E48" s="280">
        <v>6.45</v>
      </c>
      <c r="F48" s="281"/>
      <c r="G48" s="282" cm="1">
        <f t="array" ref="G48">_xlfn.IFS(AND(B48&lt;&gt;"",C48="",D48=""),SUMPRODUCT($E$26:$E$155,$F$26:$F$155, --($B$26:$B$155=B48)),AND(C48&lt;&gt;"",F48=""),SUMPRODUCT($E$26:$E$155,$F$26:$F$155,--($C$26:$C$155=C48)),AND(D48,F48)&lt;&gt;0,E48*F48)</f>
        <v>168.64814999999996</v>
      </c>
      <c r="H48" s="283">
        <f>G48/E48</f>
        <v>26.146999999999991</v>
      </c>
    </row>
    <row r="49" spans="2:8" outlineLevel="2" x14ac:dyDescent="0.2">
      <c r="B49" s="277" t="str">
        <f t="shared" ref="B49:B85" si="24">B48</f>
        <v>TÉRREO</v>
      </c>
      <c r="C49" s="284" t="str">
        <f>C48</f>
        <v>Portaria - térreo</v>
      </c>
      <c r="D49" s="287" t="s">
        <v>6854</v>
      </c>
      <c r="E49" s="288">
        <f>E48</f>
        <v>6.45</v>
      </c>
      <c r="F49" s="285">
        <f>CPU!$H$1885-Ger_Executivo!$M$308</f>
        <v>26.146999999999991</v>
      </c>
      <c r="G49" s="291" cm="1">
        <f t="array" ref="G49">_xlfn.IFS(AND(B49&lt;&gt;"",C49="",D49=""),SUMPRODUCT($E$26:$E$155,$F$26:$F$155, --($B$26:$B$155=B49)),AND(C49&lt;&gt;"",F49=""),SUMPRODUCT($E$26:$E$155,$F$26:$F$155,--($C$26:$C$155=C49)),AND(D49,F49)&lt;&gt;0,E49*F49)</f>
        <v>168.64814999999996</v>
      </c>
      <c r="H49" s="286" t="s">
        <v>6664</v>
      </c>
    </row>
    <row r="50" spans="2:8" outlineLevel="1" x14ac:dyDescent="0.2">
      <c r="B50" s="277" t="str">
        <f t="shared" si="24"/>
        <v>TÉRREO</v>
      </c>
      <c r="C50" s="278" t="s">
        <v>6896</v>
      </c>
      <c r="D50" s="279" t="s">
        <v>1797</v>
      </c>
      <c r="E50" s="280">
        <f>6.42/2</f>
        <v>3.21</v>
      </c>
      <c r="F50" s="281"/>
      <c r="G50" s="282" cm="1">
        <f t="array" ref="G50">_xlfn.IFS(AND(B50&lt;&gt;"",C50="",D50=""),SUMPRODUCT($E$26:$E$155,$F$26:$F$155, --($B$26:$B$155=B50)),AND(C50&lt;&gt;"",F50=""),SUMPRODUCT($E$26:$E$155,$F$26:$F$155,--($C$26:$C$155=C50)),AND(D50,F50)&lt;&gt;0,E50*F50)</f>
        <v>1992.5793238560004</v>
      </c>
      <c r="H50" s="283">
        <f>G50/E50</f>
        <v>620.74122238504685</v>
      </c>
    </row>
    <row r="51" spans="2:8" ht="13.5" customHeight="1" outlineLevel="2" x14ac:dyDescent="0.2">
      <c r="B51" s="277" t="str">
        <f t="shared" si="24"/>
        <v>TÉRREO</v>
      </c>
      <c r="C51" s="292" t="str">
        <f>C50</f>
        <v>WC PNE Hall - Térreo 1</v>
      </c>
      <c r="D51" s="287" t="s">
        <v>6900</v>
      </c>
      <c r="E51" s="288">
        <f>E50</f>
        <v>3.21</v>
      </c>
      <c r="F51" s="285">
        <f>CPU!$H$2252-Ger_Executivo!$M$338</f>
        <v>-0.90842399999999657</v>
      </c>
      <c r="G51" s="291" cm="1">
        <f t="array" ref="G51">_xlfn.IFS(AND(B51&lt;&gt;"",C51="",D51=""),SUMPRODUCT($E$26:$E$155,$F$26:$F$155, --($B$26:$B$155=B51)),AND(C51&lt;&gt;"",F51=""),SUMPRODUCT($E$26:$E$155,$F$26:$F$155,--($C$26:$C$155=C51)),AND(D51,F51)&lt;&gt;0,E51*F51)</f>
        <v>-2.916041039999989</v>
      </c>
      <c r="H51" s="286" t="s">
        <v>6664</v>
      </c>
    </row>
    <row r="52" spans="2:8" outlineLevel="2" x14ac:dyDescent="0.2">
      <c r="B52" s="277" t="str">
        <f t="shared" si="24"/>
        <v>TÉRREO</v>
      </c>
      <c r="C52" s="292" t="str">
        <f t="shared" ref="C52:C53" si="25">C51</f>
        <v>WC PNE Hall - Térreo 1</v>
      </c>
      <c r="D52" s="287" t="s">
        <v>6898</v>
      </c>
      <c r="E52" s="288">
        <f>19-E53</f>
        <v>13.152000000000001</v>
      </c>
      <c r="F52" s="285">
        <f>CPU!H1381-Ger_Executivo!$M$338</f>
        <v>152.12954900000003</v>
      </c>
      <c r="G52" s="291" cm="1">
        <f t="array" ref="G52">_xlfn.IFS(AND(B52&lt;&gt;"",C52="",D52=""),SUMPRODUCT($E$26:$E$155,$F$26:$F$155, --($B$26:$B$155=B52)),AND(C52&lt;&gt;"",F52=""),SUMPRODUCT($E$26:$E$155,$F$26:$F$155,--($C$26:$C$155=C52)),AND(D52,F52)&lt;&gt;0,E52*F52)</f>
        <v>2000.8078284480005</v>
      </c>
      <c r="H52" s="286" t="s">
        <v>6664</v>
      </c>
    </row>
    <row r="53" spans="2:8" ht="13.5" customHeight="1" outlineLevel="2" x14ac:dyDescent="0.2">
      <c r="B53" s="277" t="str">
        <f t="shared" si="24"/>
        <v>TÉRREO</v>
      </c>
      <c r="C53" s="292" t="str">
        <f t="shared" si="25"/>
        <v>WC PNE Hall - Térreo 1</v>
      </c>
      <c r="D53" s="287" t="s">
        <v>6860</v>
      </c>
      <c r="E53" s="288">
        <f>7.31*0.8</f>
        <v>5.8479999999999999</v>
      </c>
      <c r="F53" s="285">
        <f>CPU!$H$2252-Ger_Executivo!$M$338</f>
        <v>-0.90842399999999657</v>
      </c>
      <c r="G53" s="291" cm="1">
        <f t="array" ref="G53">_xlfn.IFS(AND(B53&lt;&gt;"",C53="",D53=""),SUMPRODUCT($E$26:$E$155,$F$26:$F$155, --($B$26:$B$155=B53)),AND(C53&lt;&gt;"",F53=""),SUMPRODUCT($E$26:$E$155,$F$26:$F$155,--($C$26:$C$155=C53)),AND(D53,F53)&lt;&gt;0,E53*F53)</f>
        <v>-5.3124635519999801</v>
      </c>
      <c r="H53" s="286" t="s">
        <v>6664</v>
      </c>
    </row>
    <row r="54" spans="2:8" outlineLevel="1" x14ac:dyDescent="0.2">
      <c r="B54" s="277" t="str">
        <f t="shared" si="24"/>
        <v>TÉRREO</v>
      </c>
      <c r="C54" s="278" t="s">
        <v>6897</v>
      </c>
      <c r="D54" s="279" t="s">
        <v>1797</v>
      </c>
      <c r="E54" s="280">
        <f>6.42/2</f>
        <v>3.21</v>
      </c>
      <c r="F54" s="281"/>
      <c r="G54" s="282" cm="1">
        <f t="array" ref="G54">_xlfn.IFS(AND(B54&lt;&gt;"",C54="",D54=""),SUMPRODUCT($E$26:$E$155,$F$26:$F$155, --($B$26:$B$155=B54)),AND(C54&lt;&gt;"",F54=""),SUMPRODUCT($E$26:$E$155,$F$26:$F$155,--($C$26:$C$155=C54)),AND(D54,F54)&lt;&gt;0,E54*F54)</f>
        <v>1664.9369676060007</v>
      </c>
      <c r="H54" s="283">
        <f>G54/E54</f>
        <v>518.67195252523391</v>
      </c>
    </row>
    <row r="55" spans="2:8" ht="13.5" customHeight="1" outlineLevel="2" x14ac:dyDescent="0.2">
      <c r="B55" s="277" t="str">
        <f t="shared" si="24"/>
        <v>TÉRREO</v>
      </c>
      <c r="C55" s="292" t="str">
        <f>C54</f>
        <v>WC PNE Hall - Térreo 2</v>
      </c>
      <c r="D55" s="287" t="s">
        <v>6903</v>
      </c>
      <c r="E55" s="288">
        <f>E54</f>
        <v>3.21</v>
      </c>
      <c r="F55" s="285">
        <f>CPU!H$2240-Ger_Executivo!$M$338</f>
        <v>-5.1365489999999987</v>
      </c>
      <c r="G55" s="291" cm="1">
        <f t="array" ref="G55">_xlfn.IFS(AND(B55&lt;&gt;"",C55="",D55=""),SUMPRODUCT($E$26:$E$155,$F$26:$F$155, --($B$26:$B$155=B55)),AND(C55&lt;&gt;"",F55=""),SUMPRODUCT($E$26:$E$155,$F$26:$F$155,--($C$26:$C$155=C55)),AND(D55,F55)&lt;&gt;0,E55*F55)</f>
        <v>-16.488322289999996</v>
      </c>
      <c r="H55" s="286" t="s">
        <v>6664</v>
      </c>
    </row>
    <row r="56" spans="2:8" outlineLevel="2" x14ac:dyDescent="0.2">
      <c r="B56" s="277" t="str">
        <f t="shared" si="24"/>
        <v>TÉRREO</v>
      </c>
      <c r="C56" s="292" t="str">
        <f t="shared" ref="C56:C57" si="26">C55</f>
        <v>WC PNE Hall - Térreo 2</v>
      </c>
      <c r="D56" s="287" t="s">
        <v>6904</v>
      </c>
      <c r="E56" s="288">
        <f>19-E57</f>
        <v>13.152000000000001</v>
      </c>
      <c r="F56" s="285">
        <f>CPU!H1376-Ger_Executivo!$M$338</f>
        <v>130.12954900000005</v>
      </c>
      <c r="G56" s="291" cm="1">
        <f t="array" ref="G56">_xlfn.IFS(AND(B56&lt;&gt;"",C56="",D56=""),SUMPRODUCT($E$26:$E$155,$F$26:$F$155, --($B$26:$B$155=B56)),AND(C56&lt;&gt;"",F56=""),SUMPRODUCT($E$26:$E$155,$F$26:$F$155,--($C$26:$C$155=C56)),AND(D56,F56)&lt;&gt;0,E56*F56)</f>
        <v>1711.4638284480009</v>
      </c>
      <c r="H56" s="286" t="s">
        <v>6664</v>
      </c>
    </row>
    <row r="57" spans="2:8" ht="13.5" customHeight="1" outlineLevel="2" x14ac:dyDescent="0.2">
      <c r="B57" s="277" t="str">
        <f t="shared" si="24"/>
        <v>TÉRREO</v>
      </c>
      <c r="C57" s="292" t="str">
        <f t="shared" si="26"/>
        <v>WC PNE Hall - Térreo 2</v>
      </c>
      <c r="D57" s="287" t="s">
        <v>6902</v>
      </c>
      <c r="E57" s="288">
        <f>7.31*0.8</f>
        <v>5.8479999999999999</v>
      </c>
      <c r="F57" s="285">
        <f>CPU!H$2240-Ger_Executivo!$M$338</f>
        <v>-5.1365489999999987</v>
      </c>
      <c r="G57" s="291" cm="1">
        <f t="array" ref="G57">_xlfn.IFS(AND(B57&lt;&gt;"",C57="",D57=""),SUMPRODUCT($E$26:$E$155,$F$26:$F$155, --($B$26:$B$155=B57)),AND(C57&lt;&gt;"",F57=""),SUMPRODUCT($E$26:$E$155,$F$26:$F$155,--($C$26:$C$155=C57)),AND(D57,F57)&lt;&gt;0,E57*F57)</f>
        <v>-30.038538551999991</v>
      </c>
      <c r="H57" s="286" t="s">
        <v>6664</v>
      </c>
    </row>
    <row r="58" spans="2:8" outlineLevel="1" x14ac:dyDescent="0.2">
      <c r="B58" s="277" t="str">
        <f t="shared" si="24"/>
        <v>TÉRREO</v>
      </c>
      <c r="C58" s="278" t="s">
        <v>6702</v>
      </c>
      <c r="D58" s="279" t="s">
        <v>1797</v>
      </c>
      <c r="E58" s="280">
        <v>63.34</v>
      </c>
      <c r="F58" s="281"/>
      <c r="G58" s="282" cm="1">
        <f t="array" ref="G58">_xlfn.IFS(AND(B58&lt;&gt;"",C58="",D58=""),SUMPRODUCT($E$26:$E$155,$F$26:$F$155, --($B$26:$B$155=B58)),AND(C58&lt;&gt;"",F58=""),SUMPRODUCT($E$26:$E$155,$F$26:$F$155,--($C$26:$C$155=C58)),AND(D58,F58)&lt;&gt;0,E58*F58)</f>
        <v>8614.8355621500014</v>
      </c>
      <c r="H58" s="283">
        <f>G58/E58</f>
        <v>136.00940262314495</v>
      </c>
    </row>
    <row r="59" spans="2:8" outlineLevel="2" x14ac:dyDescent="0.2">
      <c r="B59" s="277" t="str">
        <f t="shared" si="24"/>
        <v>TÉRREO</v>
      </c>
      <c r="C59" s="292" t="str">
        <f>C58</f>
        <v>Circulação elevadores - térreo</v>
      </c>
      <c r="D59" s="287" t="s">
        <v>6854</v>
      </c>
      <c r="E59" s="288">
        <f>E58-E60</f>
        <v>27.990000000000002</v>
      </c>
      <c r="F59" s="285">
        <f>CPU!$H$1885-Ger_Executivo!$M$308</f>
        <v>26.146999999999991</v>
      </c>
      <c r="G59" s="291" cm="1">
        <f t="array" ref="G59">_xlfn.IFS(AND(B59&lt;&gt;"",C59="",D59=""),SUMPRODUCT($E$26:$E$155,$F$26:$F$155, --($B$26:$B$155=B59)),AND(C59&lt;&gt;"",F59=""),SUMPRODUCT($E$26:$E$155,$F$26:$F$155,--($C$26:$C$155=C59)),AND(D59,F59)&lt;&gt;0,E59*F59)</f>
        <v>731.85452999999984</v>
      </c>
      <c r="H59" s="286" t="s">
        <v>6664</v>
      </c>
    </row>
    <row r="60" spans="2:8" ht="13.5" customHeight="1" outlineLevel="2" x14ac:dyDescent="0.2">
      <c r="B60" s="277" t="str">
        <f t="shared" si="24"/>
        <v>TÉRREO</v>
      </c>
      <c r="C60" s="292" t="str">
        <f>C58</f>
        <v>Circulação elevadores - térreo</v>
      </c>
      <c r="D60" s="287" t="s">
        <v>6859</v>
      </c>
      <c r="E60" s="288">
        <v>35.35</v>
      </c>
      <c r="F60" s="285">
        <f>CPU!$H$1470-Ger_Executivo!$M$338</f>
        <v>222.99804900000004</v>
      </c>
      <c r="G60" s="291" cm="1">
        <f t="array" ref="G60">_xlfn.IFS(AND(B60&lt;&gt;"",C60="",D60=""),SUMPRODUCT($E$26:$E$155,$F$26:$F$155, --($B$26:$B$155=B60)),AND(C60&lt;&gt;"",F60=""),SUMPRODUCT($E$26:$E$155,$F$26:$F$155,--($C$26:$C$155=C60)),AND(D60,F60)&lt;&gt;0,E60*F60)</f>
        <v>7882.9810321500017</v>
      </c>
      <c r="H60" s="286" t="s">
        <v>6664</v>
      </c>
    </row>
    <row r="61" spans="2:8" ht="13.5" customHeight="1" outlineLevel="1" x14ac:dyDescent="0.2">
      <c r="B61" s="277" t="str">
        <f t="shared" si="24"/>
        <v>TÉRREO</v>
      </c>
      <c r="C61" s="278" t="s">
        <v>6629</v>
      </c>
      <c r="D61" s="279" t="s">
        <v>1797</v>
      </c>
      <c r="E61" s="280">
        <v>141.97999999999999</v>
      </c>
      <c r="F61" s="281"/>
      <c r="G61" s="282" cm="1">
        <f t="array" ref="G61">_xlfn.IFS(AND(B61&lt;&gt;"",C61="",D61=""),SUMPRODUCT($E$26:$E$155,$F$26:$F$155, --($B$26:$B$155=B61)),AND(C61&lt;&gt;"",F61=""),SUMPRODUCT($E$26:$E$155,$F$26:$F$155,--($C$26:$C$155=C61)),AND(D61,F61)&lt;&gt;0,E61*F61)</f>
        <v>28159.121004710003</v>
      </c>
      <c r="H61" s="283">
        <f>G61/E61</f>
        <v>198.33160307585578</v>
      </c>
    </row>
    <row r="62" spans="2:8" ht="13.5" customHeight="1" outlineLevel="2" x14ac:dyDescent="0.2">
      <c r="B62" s="277" t="str">
        <f t="shared" si="24"/>
        <v>TÉRREO</v>
      </c>
      <c r="C62" s="292" t="str">
        <f>C61</f>
        <v>Hall + Lounge - Térreo</v>
      </c>
      <c r="D62" s="287" t="s">
        <v>6854</v>
      </c>
      <c r="E62" s="288">
        <f>E61-E63</f>
        <v>114.07999999999998</v>
      </c>
      <c r="F62" s="285">
        <f>CPU!$H$1885-Ger_Executivo!$M$308</f>
        <v>26.146999999999991</v>
      </c>
      <c r="G62" s="291" cm="1">
        <f t="array" ref="G62">_xlfn.IFS(AND(B62&lt;&gt;"",C62="",D62=""),SUMPRODUCT($E$26:$E$155,$F$26:$F$155, --($B$26:$B$155=B62)),AND(C62&lt;&gt;"",F62=""),SUMPRODUCT($E$26:$E$155,$F$26:$F$155,--($C$26:$C$155=C62)),AND(D62,F62)&lt;&gt;0,E62*F62)</f>
        <v>2982.8497599999987</v>
      </c>
      <c r="H62" s="286" t="s">
        <v>6664</v>
      </c>
    </row>
    <row r="63" spans="2:8" ht="13.5" customHeight="1" outlineLevel="2" x14ac:dyDescent="0.2">
      <c r="B63" s="277" t="str">
        <f t="shared" si="24"/>
        <v>TÉRREO</v>
      </c>
      <c r="C63" s="292" t="str">
        <f>C61</f>
        <v>Hall + Lounge - Térreo</v>
      </c>
      <c r="D63" s="287" t="s">
        <v>6856</v>
      </c>
      <c r="E63" s="288">
        <v>27.9</v>
      </c>
      <c r="F63" s="285">
        <f>CPU!$H$1880-Ger_Executivo!$M$308</f>
        <v>16.510999999999996</v>
      </c>
      <c r="G63" s="291" cm="1">
        <f t="array" ref="G63">_xlfn.IFS(AND(B63&lt;&gt;"",C63="",D63=""),SUMPRODUCT($E$26:$E$155,$F$26:$F$155, --($B$26:$B$155=B63)),AND(C63&lt;&gt;"",F63=""),SUMPRODUCT($E$26:$E$155,$F$26:$F$155,--($C$26:$C$155=C63)),AND(D63,F63)&lt;&gt;0,E63*F63)</f>
        <v>460.65689999999984</v>
      </c>
      <c r="H63" s="286" t="s">
        <v>6664</v>
      </c>
    </row>
    <row r="64" spans="2:8" ht="13.5" customHeight="1" outlineLevel="2" x14ac:dyDescent="0.2">
      <c r="B64" s="277" t="str">
        <f t="shared" si="24"/>
        <v>TÉRREO</v>
      </c>
      <c r="C64" s="292" t="str">
        <f>C62</f>
        <v>Hall + Lounge - Térreo</v>
      </c>
      <c r="D64" s="287" t="s">
        <v>6858</v>
      </c>
      <c r="E64" s="288">
        <v>62.51</v>
      </c>
      <c r="F64" s="285">
        <f>CPU!$H$1559-Ger_Executivo!$M$289</f>
        <v>120.379256</v>
      </c>
      <c r="G64" s="291" cm="1">
        <f t="array" ref="G64">_xlfn.IFS(AND(B64&lt;&gt;"",C64="",D64=""),SUMPRODUCT($E$26:$E$155,$F$26:$F$155, --($B$26:$B$155=B64)),AND(C64&lt;&gt;"",F64=""),SUMPRODUCT($E$26:$E$155,$F$26:$F$155,--($C$26:$C$155=C64)),AND(D64,F64)&lt;&gt;0,E64*F64)</f>
        <v>7524.9072925599994</v>
      </c>
      <c r="H64" s="286" t="s">
        <v>6664</v>
      </c>
    </row>
    <row r="65" spans="2:8" ht="13.5" customHeight="1" outlineLevel="2" x14ac:dyDescent="0.2">
      <c r="B65" s="277" t="str">
        <f t="shared" si="24"/>
        <v>TÉRREO</v>
      </c>
      <c r="C65" s="292" t="str">
        <f t="shared" ref="C65:C66" si="27">C64</f>
        <v>Hall + Lounge - Térreo</v>
      </c>
      <c r="D65" s="287" t="s">
        <v>6859</v>
      </c>
      <c r="E65" s="288">
        <f>50.6+18.63+8.04</f>
        <v>77.27000000000001</v>
      </c>
      <c r="F65" s="285">
        <f>CPU!$H$1470-Ger_Executivo!$M$338</f>
        <v>222.99804900000004</v>
      </c>
      <c r="G65" s="291" cm="1">
        <f t="array" ref="G65">_xlfn.IFS(AND(B65&lt;&gt;"",C65="",D65=""),SUMPRODUCT($E$26:$E$155,$F$26:$F$155, --($B$26:$B$155=B65)),AND(C65&lt;&gt;"",F65=""),SUMPRODUCT($E$26:$E$155,$F$26:$F$155,--($C$26:$C$155=C65)),AND(D65,F65)&lt;&gt;0,E65*F65)</f>
        <v>17231.059246230005</v>
      </c>
      <c r="H65" s="286" t="s">
        <v>6664</v>
      </c>
    </row>
    <row r="66" spans="2:8" ht="13.5" customHeight="1" outlineLevel="2" x14ac:dyDescent="0.2">
      <c r="B66" s="277" t="str">
        <f t="shared" si="24"/>
        <v>TÉRREO</v>
      </c>
      <c r="C66" s="292" t="str">
        <f t="shared" si="27"/>
        <v>Hall + Lounge - Térreo</v>
      </c>
      <c r="D66" s="287" t="s">
        <v>6860</v>
      </c>
      <c r="E66" s="288">
        <f>6.56+37.86</f>
        <v>44.42</v>
      </c>
      <c r="F66" s="285">
        <f>CPU!$H$2252-Ger_Executivo!$M$338</f>
        <v>-0.90842399999999657</v>
      </c>
      <c r="G66" s="291" cm="1">
        <f t="array" ref="G66">_xlfn.IFS(AND(B66&lt;&gt;"",C66="",D66=""),SUMPRODUCT($E$26:$E$155,$F$26:$F$155, --($B$26:$B$155=B66)),AND(C66&lt;&gt;"",F66=""),SUMPRODUCT($E$26:$E$155,$F$26:$F$155,--($C$26:$C$155=C66)),AND(D66,F66)&lt;&gt;0,E66*F66)</f>
        <v>-40.352194079999848</v>
      </c>
      <c r="H66" s="286" t="s">
        <v>6664</v>
      </c>
    </row>
    <row r="67" spans="2:8" outlineLevel="1" x14ac:dyDescent="0.2">
      <c r="B67" s="277" t="str">
        <f t="shared" si="24"/>
        <v>TÉRREO</v>
      </c>
      <c r="C67" s="278" t="s">
        <v>6704</v>
      </c>
      <c r="D67" s="279" t="s">
        <v>1797</v>
      </c>
      <c r="E67" s="280">
        <v>9.81</v>
      </c>
      <c r="F67" s="281"/>
      <c r="G67" s="282" cm="1">
        <f t="array" ref="G67">_xlfn.IFS(AND(B67&lt;&gt;"",C67="",D67=""),SUMPRODUCT($E$26:$E$155,$F$26:$F$155, --($B$26:$B$155=B67)),AND(C67&lt;&gt;"",F67=""),SUMPRODUCT($E$26:$E$155,$F$26:$F$155,--($C$26:$C$155=C67)),AND(D67,F67)&lt;&gt;0,E67*F67)</f>
        <v>256.50206999999995</v>
      </c>
      <c r="H67" s="283">
        <f>G67/E67</f>
        <v>26.146999999999995</v>
      </c>
    </row>
    <row r="68" spans="2:8" outlineLevel="2" x14ac:dyDescent="0.2">
      <c r="B68" s="277" t="str">
        <f t="shared" si="24"/>
        <v>TÉRREO</v>
      </c>
      <c r="C68" s="284" t="str">
        <f>C67</f>
        <v>Vending machine</v>
      </c>
      <c r="D68" s="287" t="s">
        <v>6854</v>
      </c>
      <c r="E68" s="288">
        <f>E67</f>
        <v>9.81</v>
      </c>
      <c r="F68" s="285">
        <f>CPU!$H$1885-Ger_Executivo!$M$308</f>
        <v>26.146999999999991</v>
      </c>
      <c r="G68" s="291" cm="1">
        <f t="array" ref="G68">_xlfn.IFS(AND(B68&lt;&gt;"",C68="",D68=""),SUMPRODUCT($E$26:$E$155,$F$26:$F$155, --($B$26:$B$155=B68)),AND(C68&lt;&gt;"",F68=""),SUMPRODUCT($E$26:$E$155,$F$26:$F$155,--($C$26:$C$155=C68)),AND(D68,F68)&lt;&gt;0,E68*F68)</f>
        <v>256.50206999999995</v>
      </c>
      <c r="H68" s="286" t="s">
        <v>6664</v>
      </c>
    </row>
    <row r="69" spans="2:8" outlineLevel="1" x14ac:dyDescent="0.2">
      <c r="B69" s="277" t="str">
        <f t="shared" si="24"/>
        <v>TÉRREO</v>
      </c>
      <c r="C69" s="278" t="s">
        <v>6709</v>
      </c>
      <c r="D69" s="279" t="s">
        <v>1797</v>
      </c>
      <c r="E69" s="280">
        <v>13.64</v>
      </c>
      <c r="F69" s="281"/>
      <c r="G69" s="282" cm="1">
        <f t="array" ref="G69">_xlfn.IFS(AND(B69&lt;&gt;"",C69="",D69=""),SUMPRODUCT($E$26:$E$155,$F$26:$F$155, --($B$26:$B$155=B69)),AND(C69&lt;&gt;"",F69=""),SUMPRODUCT($E$26:$E$155,$F$26:$F$155,--($C$26:$C$155=C69)),AND(D69,F69)&lt;&gt;0,E69*F69)</f>
        <v>1896.8973580200004</v>
      </c>
      <c r="H69" s="283">
        <f>G69/E69</f>
        <v>139.06872126246336</v>
      </c>
    </row>
    <row r="70" spans="2:8" ht="13.5" customHeight="1" outlineLevel="2" x14ac:dyDescent="0.2">
      <c r="B70" s="277" t="str">
        <f t="shared" si="24"/>
        <v>TÉRREO</v>
      </c>
      <c r="C70" s="284" t="str">
        <f>C69</f>
        <v>Lavanderia</v>
      </c>
      <c r="D70" s="287" t="s">
        <v>6866</v>
      </c>
      <c r="E70" s="288">
        <f>E69*0.2</f>
        <v>2.7280000000000002</v>
      </c>
      <c r="F70" s="285">
        <f>CPU!$H$1361-Ger_Executivo!$M$308</f>
        <v>92.611999999999995</v>
      </c>
      <c r="G70" s="291" cm="1">
        <f t="array" ref="G70">_xlfn.IFS(AND(B70&lt;&gt;"",C70="",D70=""),SUMPRODUCT($E$26:$E$155,$F$26:$F$155, --($B$26:$B$155=B70)),AND(C70&lt;&gt;"",F70=""),SUMPRODUCT($E$26:$E$155,$F$26:$F$155,--($C$26:$C$155=C70)),AND(D70,F70)&lt;&gt;0,E70*F70)</f>
        <v>252.64553599999999</v>
      </c>
      <c r="H70" s="286" t="s">
        <v>6664</v>
      </c>
    </row>
    <row r="71" spans="2:8" outlineLevel="2" x14ac:dyDescent="0.2">
      <c r="B71" s="277" t="str">
        <f t="shared" si="24"/>
        <v>TÉRREO</v>
      </c>
      <c r="C71" s="284" t="str">
        <f t="shared" ref="C71" si="28">C70</f>
        <v>Lavanderia</v>
      </c>
      <c r="D71" s="287" t="s">
        <v>6860</v>
      </c>
      <c r="E71" s="288">
        <v>50.59</v>
      </c>
      <c r="F71" s="285">
        <f>CPU!$H$2252-Ger_Executivo!$M$338</f>
        <v>-0.90842399999999657</v>
      </c>
      <c r="G71" s="291" cm="1">
        <f t="array" ref="G71">_xlfn.IFS(AND(B71&lt;&gt;"",C71="",D71=""),SUMPRODUCT($E$26:$E$155,$F$26:$F$155, --($B$26:$B$155=B71)),AND(C71&lt;&gt;"",F71=""),SUMPRODUCT($E$26:$E$155,$F$26:$F$155,--($C$26:$C$155=C71)),AND(D71,F71)&lt;&gt;0,E71*F71)</f>
        <v>-45.957170159999826</v>
      </c>
      <c r="H71" s="286" t="s">
        <v>6664</v>
      </c>
    </row>
    <row r="72" spans="2:8" outlineLevel="2" x14ac:dyDescent="0.2">
      <c r="B72" s="277" t="str">
        <f t="shared" si="24"/>
        <v>TÉRREO</v>
      </c>
      <c r="C72" s="284" t="str">
        <f t="shared" ref="C72" si="29">C71</f>
        <v>Lavanderia</v>
      </c>
      <c r="D72" s="287" t="s">
        <v>6867</v>
      </c>
      <c r="E72" s="288">
        <v>7.46</v>
      </c>
      <c r="F72" s="285">
        <f>CPU!$H$1361-Ger_Executivo!M338</f>
        <v>228.23054900000002</v>
      </c>
      <c r="G72" s="291" cm="1">
        <f t="array" ref="G72">_xlfn.IFS(AND(B72&lt;&gt;"",C72="",D72=""),SUMPRODUCT($E$26:$E$155,$F$26:$F$155, --($B$26:$B$155=B72)),AND(C72&lt;&gt;"",F72=""),SUMPRODUCT($E$26:$E$155,$F$26:$F$155,--($C$26:$C$155=C72)),AND(D72,F72)&lt;&gt;0,E72*F72)</f>
        <v>1702.5998955400003</v>
      </c>
      <c r="H72" s="286" t="s">
        <v>6664</v>
      </c>
    </row>
    <row r="73" spans="2:8" ht="13.5" customHeight="1" outlineLevel="2" x14ac:dyDescent="0.2">
      <c r="B73" s="277" t="str">
        <f t="shared" si="24"/>
        <v>TÉRREO</v>
      </c>
      <c r="C73" s="284" t="str">
        <f t="shared" ref="C73" si="30">C72</f>
        <v>Lavanderia</v>
      </c>
      <c r="D73" s="287" t="s">
        <v>6868</v>
      </c>
      <c r="E73" s="288">
        <f>E69</f>
        <v>13.64</v>
      </c>
      <c r="F73" s="285">
        <f>CPU!$H$2252-Ger_Executivo!$M$338</f>
        <v>-0.90842399999999657</v>
      </c>
      <c r="G73" s="291" cm="1">
        <f t="array" ref="G73">_xlfn.IFS(AND(B73&lt;&gt;"",C73="",D73=""),SUMPRODUCT($E$26:$E$155,$F$26:$F$155, --($B$26:$B$155=B73)),AND(C73&lt;&gt;"",F73=""),SUMPRODUCT($E$26:$E$155,$F$26:$F$155,--($C$26:$C$155=C73)),AND(D73,F73)&lt;&gt;0,E73*F73)</f>
        <v>-12.390903359999953</v>
      </c>
      <c r="H73" s="286" t="s">
        <v>6664</v>
      </c>
    </row>
    <row r="74" spans="2:8" outlineLevel="1" x14ac:dyDescent="0.2">
      <c r="B74" s="277" t="str">
        <f t="shared" si="24"/>
        <v>TÉRREO</v>
      </c>
      <c r="C74" s="278" t="s">
        <v>6714</v>
      </c>
      <c r="D74" s="279" t="s">
        <v>1797</v>
      </c>
      <c r="E74" s="280">
        <v>10.4</v>
      </c>
      <c r="F74" s="281"/>
      <c r="G74" s="282" cm="1">
        <f t="array" ref="G74">_xlfn.IFS(AND(B74&lt;&gt;"",C74="",D74=""),SUMPRODUCT($E$26:$E$155,$F$26:$F$155, --($B$26:$B$155=B74)),AND(C74&lt;&gt;"",F74=""),SUMPRODUCT($E$26:$E$155,$F$26:$F$155,--($C$26:$C$155=C74)),AND(D74,F74)&lt;&gt;0,E74*F74)</f>
        <v>2321.9746586159026</v>
      </c>
      <c r="H74" s="283">
        <f>G74/E74</f>
        <v>223.26679409768295</v>
      </c>
    </row>
    <row r="75" spans="2:8" outlineLevel="2" x14ac:dyDescent="0.2">
      <c r="B75" s="277" t="str">
        <f t="shared" si="24"/>
        <v>TÉRREO</v>
      </c>
      <c r="C75" s="284" t="str">
        <f>C74</f>
        <v>Sala de serviço - Lockers</v>
      </c>
      <c r="D75" s="287" t="s">
        <v>1766</v>
      </c>
      <c r="E75" s="288">
        <f>E74</f>
        <v>10.4</v>
      </c>
      <c r="F75" s="285">
        <f>CPU!$H$1759-Ger_Executivo!$M$308</f>
        <v>188.01925903614452</v>
      </c>
      <c r="G75" s="291" cm="1">
        <f t="array" ref="G75">_xlfn.IFS(AND(B75&lt;&gt;"",C75="",D75=""),SUMPRODUCT($E$26:$E$155,$F$26:$F$155, --($B$26:$B$155=B75)),AND(C75&lt;&gt;"",F75=""),SUMPRODUCT($E$26:$E$155,$F$26:$F$155,--($C$26:$C$155=C75)),AND(D75,F75)&lt;&gt;0,E75*F75)</f>
        <v>1955.400293975903</v>
      </c>
      <c r="H75" s="286" t="s">
        <v>6664</v>
      </c>
    </row>
    <row r="76" spans="2:8" outlineLevel="2" x14ac:dyDescent="0.2">
      <c r="B76" s="277" t="str">
        <f t="shared" si="24"/>
        <v>TÉRREO</v>
      </c>
      <c r="C76" s="284" t="str">
        <f t="shared" ref="C76:C77" si="31">C75</f>
        <v>Sala de serviço - Lockers</v>
      </c>
      <c r="D76" s="287" t="s">
        <v>6869</v>
      </c>
      <c r="E76" s="288">
        <v>22.24</v>
      </c>
      <c r="F76" s="285">
        <f>CPU!$H$2249-Ger_Executivo!$M$338</f>
        <v>11.230832249999999</v>
      </c>
      <c r="G76" s="291" cm="1">
        <f t="array" ref="G76">_xlfn.IFS(AND(B76&lt;&gt;"",C76="",D76=""),SUMPRODUCT($E$26:$E$155,$F$26:$F$155, --($B$26:$B$155=B76)),AND(C76&lt;&gt;"",F76=""),SUMPRODUCT($E$26:$E$155,$F$26:$F$155,--($C$26:$C$155=C76)),AND(D76,F76)&lt;&gt;0,E76*F76)</f>
        <v>249.77370923999996</v>
      </c>
      <c r="H76" s="286" t="s">
        <v>6664</v>
      </c>
    </row>
    <row r="77" spans="2:8" ht="18" customHeight="1" outlineLevel="2" x14ac:dyDescent="0.2">
      <c r="B77" s="277" t="str">
        <f t="shared" si="24"/>
        <v>TÉRREO</v>
      </c>
      <c r="C77" s="284" t="str">
        <f t="shared" si="31"/>
        <v>Sala de serviço - Lockers</v>
      </c>
      <c r="D77" s="287" t="s">
        <v>6870</v>
      </c>
      <c r="E77" s="288">
        <f>E74</f>
        <v>10.4</v>
      </c>
      <c r="F77" s="285">
        <f>CPU!$H$2249-Ger_Executivo!$M$338</f>
        <v>11.230832249999999</v>
      </c>
      <c r="G77" s="291" cm="1">
        <f t="array" ref="G77">_xlfn.IFS(AND(B77&lt;&gt;"",C77="",D77=""),SUMPRODUCT($E$26:$E$155,$F$26:$F$155, --($B$26:$B$155=B77)),AND(C77&lt;&gt;"",F77=""),SUMPRODUCT($E$26:$E$155,$F$26:$F$155,--($C$26:$C$155=C77)),AND(D77,F77)&lt;&gt;0,E77*F77)</f>
        <v>116.8006554</v>
      </c>
      <c r="H77" s="286" t="s">
        <v>6664</v>
      </c>
    </row>
    <row r="78" spans="2:8" ht="13.5" customHeight="1" outlineLevel="1" x14ac:dyDescent="0.2">
      <c r="B78" s="277" t="str">
        <f t="shared" si="24"/>
        <v>TÉRREO</v>
      </c>
      <c r="C78" s="278" t="s">
        <v>6717</v>
      </c>
      <c r="D78" s="279" t="s">
        <v>1797</v>
      </c>
      <c r="E78" s="280">
        <v>17</v>
      </c>
      <c r="F78" s="281"/>
      <c r="G78" s="282" cm="1">
        <f t="array" ref="G78">_xlfn.IFS(AND(B78&lt;&gt;"",C78="",D78=""),SUMPRODUCT($E$26:$E$155,$F$26:$F$155, --($B$26:$B$155=B78)),AND(C78&lt;&gt;"",F78=""),SUMPRODUCT($E$26:$E$155,$F$26:$F$155,--($C$26:$C$155=C78)),AND(D78,F78)&lt;&gt;0,E78*F78)</f>
        <v>10817.725980614458</v>
      </c>
      <c r="H78" s="283">
        <f>G78/E78</f>
        <v>636.33682238908568</v>
      </c>
    </row>
    <row r="79" spans="2:8" ht="13.5" customHeight="1" outlineLevel="2" x14ac:dyDescent="0.2">
      <c r="B79" s="277" t="str">
        <f t="shared" si="24"/>
        <v>TÉRREO</v>
      </c>
      <c r="C79" s="292" t="str">
        <f>C78</f>
        <v>Sala de reunião</v>
      </c>
      <c r="D79" s="287" t="s">
        <v>1766</v>
      </c>
      <c r="E79" s="288">
        <f>E78</f>
        <v>17</v>
      </c>
      <c r="F79" s="285">
        <f>CPU!$H$1759-Ger_Executivo!$M$308</f>
        <v>188.01925903614452</v>
      </c>
      <c r="G79" s="291" cm="1">
        <f t="array" ref="G79">_xlfn.IFS(AND(B79&lt;&gt;"",C79="",D79=""),SUMPRODUCT($E$26:$E$155,$F$26:$F$155, --($B$26:$B$155=B79)),AND(C79&lt;&gt;"",F79=""),SUMPRODUCT($E$26:$E$155,$F$26:$F$155,--($C$26:$C$155=C79)),AND(D79,F79)&lt;&gt;0,E79*F79)</f>
        <v>3196.3274036144567</v>
      </c>
      <c r="H79" s="286" t="s">
        <v>6664</v>
      </c>
    </row>
    <row r="80" spans="2:8" ht="13.5" customHeight="1" outlineLevel="2" x14ac:dyDescent="0.2">
      <c r="B80" s="277" t="str">
        <f t="shared" si="24"/>
        <v>TÉRREO</v>
      </c>
      <c r="C80" s="292" t="str">
        <f>C79</f>
        <v>Sala de reunião</v>
      </c>
      <c r="D80" s="287" t="s">
        <v>6858</v>
      </c>
      <c r="E80" s="288">
        <f>E78</f>
        <v>17</v>
      </c>
      <c r="F80" s="285">
        <f>CPU!$H$1559-Ger_Executivo!$M$289</f>
        <v>120.379256</v>
      </c>
      <c r="G80" s="291" cm="1">
        <f t="array" ref="G80">_xlfn.IFS(AND(B80&lt;&gt;"",C80="",D80=""),SUMPRODUCT($E$26:$E$155,$F$26:$F$155, --($B$26:$B$155=B80)),AND(C80&lt;&gt;"",F80=""),SUMPRODUCT($E$26:$E$155,$F$26:$F$155,--($C$26:$C$155=C80)),AND(D80,F80)&lt;&gt;0,E80*F80)</f>
        <v>2046.4473519999999</v>
      </c>
      <c r="H80" s="286" t="s">
        <v>6664</v>
      </c>
    </row>
    <row r="81" spans="2:8" outlineLevel="2" x14ac:dyDescent="0.2">
      <c r="B81" s="277" t="str">
        <f t="shared" si="24"/>
        <v>TÉRREO</v>
      </c>
      <c r="C81" s="292" t="str">
        <f t="shared" ref="C81" si="32">C80</f>
        <v>Sala de reunião</v>
      </c>
      <c r="D81" s="287" t="s">
        <v>6859</v>
      </c>
      <c r="E81" s="288">
        <v>25</v>
      </c>
      <c r="F81" s="285">
        <f>CPU!$H$1470-Ger_Executivo!$M$338</f>
        <v>222.99804900000004</v>
      </c>
      <c r="G81" s="291" cm="1">
        <f t="array" ref="G81">_xlfn.IFS(AND(B81&lt;&gt;"",C81="",D81=""),SUMPRODUCT($E$26:$E$155,$F$26:$F$155, --($B$26:$B$155=B81)),AND(C81&lt;&gt;"",F81=""),SUMPRODUCT($E$26:$E$155,$F$26:$F$155,--($C$26:$C$155=C81)),AND(D81,F81)&lt;&gt;0,E81*F81)</f>
        <v>5574.9512250000007</v>
      </c>
      <c r="H81" s="286" t="s">
        <v>6664</v>
      </c>
    </row>
    <row r="82" spans="2:8" ht="13.5" customHeight="1" outlineLevel="1" x14ac:dyDescent="0.2">
      <c r="B82" s="277" t="str">
        <f t="shared" si="24"/>
        <v>TÉRREO</v>
      </c>
      <c r="C82" s="278" t="s">
        <v>6725</v>
      </c>
      <c r="D82" s="279" t="s">
        <v>1797</v>
      </c>
      <c r="E82" s="280">
        <v>86.83</v>
      </c>
      <c r="F82" s="281"/>
      <c r="G82" s="282" cm="1">
        <f t="array" ref="G82">_xlfn.IFS(AND(B82&lt;&gt;"",C82="",D82=""),SUMPRODUCT($E$26:$E$155,$F$26:$F$155, --($B$26:$B$155=B82)),AND(C82&lt;&gt;"",F82=""),SUMPRODUCT($E$26:$E$155,$F$26:$F$155,--($C$26:$C$155=C82)),AND(D82,F82)&lt;&gt;0,E82*F82)</f>
        <v>14610.96615437</v>
      </c>
      <c r="H82" s="283">
        <f>G82/E82</f>
        <v>168.27094500023034</v>
      </c>
    </row>
    <row r="83" spans="2:8" ht="13.5" customHeight="1" outlineLevel="2" x14ac:dyDescent="0.2">
      <c r="B83" s="277" t="str">
        <f t="shared" si="24"/>
        <v>TÉRREO</v>
      </c>
      <c r="C83" s="292" t="str">
        <f>C82</f>
        <v>Jardim - Térreo</v>
      </c>
      <c r="D83" s="287" t="s">
        <v>6858</v>
      </c>
      <c r="E83" s="288">
        <v>37.44</v>
      </c>
      <c r="F83" s="285">
        <f>CPU!$H$1559-Ger_Executivo!$M$289</f>
        <v>120.379256</v>
      </c>
      <c r="G83" s="291" cm="1">
        <f t="array" ref="G83">_xlfn.IFS(AND(B83&lt;&gt;"",C83="",D83=""),SUMPRODUCT($E$26:$E$155,$F$26:$F$155, --($B$26:$B$155=B83)),AND(C83&lt;&gt;"",F83=""),SUMPRODUCT($E$26:$E$155,$F$26:$F$155,--($C$26:$C$155=C83)),AND(D83,F83)&lt;&gt;0,E83*F83)</f>
        <v>4506.9993446399994</v>
      </c>
      <c r="H83" s="286" t="s">
        <v>6664</v>
      </c>
    </row>
    <row r="84" spans="2:8" ht="13.5" customHeight="1" outlineLevel="2" x14ac:dyDescent="0.2">
      <c r="B84" s="277" t="str">
        <f t="shared" si="24"/>
        <v>TÉRREO</v>
      </c>
      <c r="C84" s="292" t="str">
        <f t="shared" ref="C84:C85" si="33">C83</f>
        <v>Jardim - Térreo</v>
      </c>
      <c r="D84" s="287" t="s">
        <v>6862</v>
      </c>
      <c r="E84" s="288">
        <v>51.49</v>
      </c>
      <c r="F84" s="285">
        <f>CPU!H$2497-Ger_Executivo!$M$338</f>
        <v>196.45604900000004</v>
      </c>
      <c r="G84" s="291" cm="1">
        <f t="array" ref="G84">_xlfn.IFS(AND(B84&lt;&gt;"",C84="",D84=""),SUMPRODUCT($E$26:$E$155,$F$26:$F$155, --($B$26:$B$155=B84)),AND(C84&lt;&gt;"",F84=""),SUMPRODUCT($E$26:$E$155,$F$26:$F$155,--($C$26:$C$155=C84)),AND(D84,F84)&lt;&gt;0,E84*F84)</f>
        <v>10115.521963010002</v>
      </c>
      <c r="H84" s="286" t="s">
        <v>6664</v>
      </c>
    </row>
    <row r="85" spans="2:8" ht="13.5" customHeight="1" outlineLevel="2" x14ac:dyDescent="0.2">
      <c r="B85" s="277" t="str">
        <f t="shared" si="24"/>
        <v>TÉRREO</v>
      </c>
      <c r="C85" s="292" t="str">
        <f t="shared" si="33"/>
        <v>Jardim - Térreo</v>
      </c>
      <c r="D85" s="287" t="s">
        <v>6860</v>
      </c>
      <c r="E85" s="288">
        <f>4.24*3</f>
        <v>12.72</v>
      </c>
      <c r="F85" s="285">
        <f>CPU!$H$2252-Ger_Executivo!$M$338</f>
        <v>-0.90842399999999657</v>
      </c>
      <c r="G85" s="291" cm="1">
        <f t="array" ref="G85">_xlfn.IFS(AND(B85&lt;&gt;"",C85="",D85=""),SUMPRODUCT($E$26:$E$155,$F$26:$F$155, --($B$26:$B$155=B85)),AND(C85&lt;&gt;"",F85=""),SUMPRODUCT($E$26:$E$155,$F$26:$F$155,--($C$26:$C$155=C85)),AND(D85,F85)&lt;&gt;0,E85*F85)</f>
        <v>-11.555153279999956</v>
      </c>
      <c r="H85" s="286" t="s">
        <v>6664</v>
      </c>
    </row>
    <row r="86" spans="2:8" s="261" customFormat="1" ht="19.5" customHeight="1" x14ac:dyDescent="0.2">
      <c r="B86" s="271" t="s">
        <v>6821</v>
      </c>
      <c r="C86" s="272"/>
      <c r="D86" s="273"/>
      <c r="E86" s="274"/>
      <c r="F86" s="275"/>
      <c r="G86" s="276" cm="1">
        <f t="array" ref="G86">_xlfn.IFS(AND(B86&lt;&gt;"",C86="",D86=""),SUMPRODUCT($E$26:$E$155,$F$26:$F$155, --($B$26:$B$155=B86)),AND(C86&lt;&gt;"",F86=""),SUMPRODUCT($E$26:$E$155,$F$26:$F$155,--($C$26:$C$155=C86)),AND(D86,F86)&lt;&gt;0,E86*F86)</f>
        <v>17382.916878094999</v>
      </c>
      <c r="H86" s="276"/>
    </row>
    <row r="87" spans="2:8" outlineLevel="1" x14ac:dyDescent="0.2">
      <c r="B87" s="277" t="str">
        <f>B86</f>
        <v>PAV 3</v>
      </c>
      <c r="C87" s="278" t="s">
        <v>6822</v>
      </c>
      <c r="D87" s="279" t="s">
        <v>1797</v>
      </c>
      <c r="E87" s="280">
        <v>50.29</v>
      </c>
      <c r="F87" s="281"/>
      <c r="G87" s="282" cm="1">
        <f t="array" ref="G87">_xlfn.IFS(AND(B87&lt;&gt;"",C87="",D87=""),SUMPRODUCT($E$26:$E$155,$F$26:$F$155, --($B$26:$B$155=B87)),AND(C87&lt;&gt;"",F87=""),SUMPRODUCT($E$26:$E$155,$F$26:$F$155,--($C$26:$C$155=C87)),AND(D87,F87)&lt;&gt;0,E87*F87)</f>
        <v>2440.4866380949993</v>
      </c>
      <c r="H87" s="283">
        <f>G87/E87</f>
        <v>48.528268802843492</v>
      </c>
    </row>
    <row r="88" spans="2:8" outlineLevel="2" x14ac:dyDescent="0.2">
      <c r="B88" s="277" t="str">
        <f t="shared" ref="B88:C93" si="34">B87</f>
        <v>PAV 3</v>
      </c>
      <c r="C88" s="292" t="str">
        <f>C87</f>
        <v>Circulação elevadores - Pav 3</v>
      </c>
      <c r="D88" s="287" t="s">
        <v>6854</v>
      </c>
      <c r="E88" s="288">
        <f>E87</f>
        <v>50.29</v>
      </c>
      <c r="F88" s="285">
        <f>CPU!$H$1885-Ger_Executivo!$M$308</f>
        <v>26.146999999999991</v>
      </c>
      <c r="G88" s="291" cm="1">
        <f t="array" ref="G88">_xlfn.IFS(AND(B88&lt;&gt;"",C88="",D88=""),SUMPRODUCT($E$26:$E$155,$F$26:$F$155, --($B$26:$B$155=B88)),AND(C88&lt;&gt;"",F88=""),SUMPRODUCT($E$26:$E$155,$F$26:$F$155,--($C$26:$C$155=C88)),AND(D88,F88)&lt;&gt;0,E88*F88)</f>
        <v>1314.9326299999996</v>
      </c>
      <c r="H88" s="286" t="s">
        <v>6664</v>
      </c>
    </row>
    <row r="89" spans="2:8" ht="13.5" customHeight="1" outlineLevel="2" x14ac:dyDescent="0.2">
      <c r="B89" s="277" t="str">
        <f t="shared" ref="B89" si="35">B88</f>
        <v>PAV 3</v>
      </c>
      <c r="C89" s="292" t="str">
        <f t="shared" si="34"/>
        <v>Circulação elevadores - Pav 3</v>
      </c>
      <c r="D89" s="287" t="s">
        <v>6869</v>
      </c>
      <c r="E89" s="288">
        <v>49.93</v>
      </c>
      <c r="F89" s="285">
        <f>CPU!$H$2249-Ger_Executivo!$M$338</f>
        <v>11.230832249999999</v>
      </c>
      <c r="G89" s="291" cm="1">
        <f t="array" ref="G89">_xlfn.IFS(AND(B89&lt;&gt;"",C89="",D89=""),SUMPRODUCT($E$26:$E$155,$F$26:$F$155, --($B$26:$B$155=B89)),AND(C89&lt;&gt;"",F89=""),SUMPRODUCT($E$26:$E$155,$F$26:$F$155,--($C$26:$C$155=C89)),AND(D89,F89)&lt;&gt;0,E89*F89)</f>
        <v>560.75545424249992</v>
      </c>
      <c r="H89" s="286" t="s">
        <v>6664</v>
      </c>
    </row>
    <row r="90" spans="2:8" ht="13.5" customHeight="1" outlineLevel="2" x14ac:dyDescent="0.2">
      <c r="B90" s="277" t="str">
        <f t="shared" ref="B90" si="36">B89</f>
        <v>PAV 3</v>
      </c>
      <c r="C90" s="292" t="str">
        <f t="shared" si="34"/>
        <v>Circulação elevadores - Pav 3</v>
      </c>
      <c r="D90" s="287" t="s">
        <v>6870</v>
      </c>
      <c r="E90" s="288">
        <f>E88</f>
        <v>50.29</v>
      </c>
      <c r="F90" s="285">
        <f>CPU!$H$2249-Ger_Executivo!$M$338</f>
        <v>11.230832249999999</v>
      </c>
      <c r="G90" s="291" cm="1">
        <f t="array" ref="G90">_xlfn.IFS(AND(B90&lt;&gt;"",C90="",D90=""),SUMPRODUCT($E$26:$E$155,$F$26:$F$155, --($B$26:$B$155=B90)),AND(C90&lt;&gt;"",F90=""),SUMPRODUCT($E$26:$E$155,$F$26:$F$155,--($C$26:$C$155=C90)),AND(D90,F90)&lt;&gt;0,E90*F90)</f>
        <v>564.79855385249994</v>
      </c>
      <c r="H90" s="286" t="s">
        <v>6664</v>
      </c>
    </row>
    <row r="91" spans="2:8" ht="13.5" customHeight="1" outlineLevel="1" x14ac:dyDescent="0.2">
      <c r="B91" s="277" t="str">
        <f t="shared" ref="B91" si="37">B90</f>
        <v>PAV 3</v>
      </c>
      <c r="C91" s="278" t="s">
        <v>6823</v>
      </c>
      <c r="D91" s="279" t="s">
        <v>1797</v>
      </c>
      <c r="E91" s="280">
        <v>76.36</v>
      </c>
      <c r="F91" s="281"/>
      <c r="G91" s="282" cm="1">
        <f t="array" ref="G91">_xlfn.IFS(AND(B91&lt;&gt;"",C91="",D91=""),SUMPRODUCT($E$26:$E$155,$F$26:$F$155, --($B$26:$B$155=B91)),AND(C91&lt;&gt;"",F91=""),SUMPRODUCT($E$26:$E$155,$F$26:$F$155,--($C$26:$C$155=C91)),AND(D91,F91)&lt;&gt;0,E91*F91)</f>
        <v>14942.430240000002</v>
      </c>
      <c r="H91" s="283">
        <f>G91/E91</f>
        <v>195.68400000000003</v>
      </c>
    </row>
    <row r="92" spans="2:8" ht="13.5" customHeight="1" outlineLevel="2" x14ac:dyDescent="0.2">
      <c r="B92" s="277" t="str">
        <f t="shared" ref="B92" si="38">B91</f>
        <v>PAV 3</v>
      </c>
      <c r="C92" s="292" t="str">
        <f>C91</f>
        <v>Galleria Zen - Pav 3</v>
      </c>
      <c r="D92" s="287" t="s">
        <v>6862</v>
      </c>
      <c r="E92" s="288">
        <f>E91/2</f>
        <v>38.18</v>
      </c>
      <c r="F92" s="285">
        <f>CPU!H$2497-Ger_Executivo!M$410</f>
        <v>171.25800000000004</v>
      </c>
      <c r="G92" s="291" cm="1">
        <f t="array" ref="G92">_xlfn.IFS(AND(B92&lt;&gt;"",C92="",D92=""),SUMPRODUCT($E$26:$E$155,$F$26:$F$155, --($B$26:$B$155=B92)),AND(C92&lt;&gt;"",F92=""),SUMPRODUCT($E$26:$E$155,$F$26:$F$155,--($C$26:$C$155=C92)),AND(D92,F92)&lt;&gt;0,E92*F92)</f>
        <v>6538.6304400000017</v>
      </c>
      <c r="H92" s="286" t="s">
        <v>6664</v>
      </c>
    </row>
    <row r="93" spans="2:8" ht="13.5" customHeight="1" outlineLevel="2" x14ac:dyDescent="0.2">
      <c r="B93" s="277" t="str">
        <f t="shared" ref="B93" si="39">B92</f>
        <v>PAV 3</v>
      </c>
      <c r="C93" s="292" t="str">
        <f t="shared" si="34"/>
        <v>Galleria Zen - Pav 3</v>
      </c>
      <c r="D93" s="287" t="s">
        <v>6906</v>
      </c>
      <c r="E93" s="288">
        <f>E91/2</f>
        <v>38.18</v>
      </c>
      <c r="F93" s="285">
        <f>CPU!H$1875-Ger_Executivo!M$309</f>
        <v>220.10999999999996</v>
      </c>
      <c r="G93" s="291" cm="1">
        <f t="array" ref="G93">_xlfn.IFS(AND(B93&lt;&gt;"",C93="",D93=""),SUMPRODUCT($E$26:$E$155,$F$26:$F$155, --($B$26:$B$155=B93)),AND(C93&lt;&gt;"",F93=""),SUMPRODUCT($E$26:$E$155,$F$26:$F$155,--($C$26:$C$155=C93)),AND(D93,F93)&lt;&gt;0,E93*F93)</f>
        <v>8403.7997999999989</v>
      </c>
      <c r="H93" s="286" t="s">
        <v>6664</v>
      </c>
    </row>
    <row r="94" spans="2:8" s="261" customFormat="1" ht="19.5" customHeight="1" x14ac:dyDescent="0.2">
      <c r="B94" s="271" t="s">
        <v>6802</v>
      </c>
      <c r="C94" s="272"/>
      <c r="D94" s="273"/>
      <c r="E94" s="274"/>
      <c r="F94" s="275"/>
      <c r="G94" s="276" cm="1">
        <f t="array" ref="G94">_xlfn.IFS(AND(B94&lt;&gt;"",C94="",D94=""),SUMPRODUCT($E$26:$E$155,$F$26:$F$155, --($B$26:$B$155=B94)),AND(C94&lt;&gt;"",F94=""),SUMPRODUCT($E$26:$E$155,$F$26:$F$155,--($C$26:$C$155=C94)),AND(D94,F94)&lt;&gt;0,E94*F94)</f>
        <v>62803.387863971133</v>
      </c>
      <c r="H94" s="276"/>
    </row>
    <row r="95" spans="2:8" outlineLevel="1" x14ac:dyDescent="0.2">
      <c r="B95" s="277" t="str">
        <f>B94</f>
        <v>LAZER - 13</v>
      </c>
      <c r="C95" s="278" t="s">
        <v>6736</v>
      </c>
      <c r="D95" s="279" t="s">
        <v>1797</v>
      </c>
      <c r="E95" s="280">
        <v>2.4300000000000002</v>
      </c>
      <c r="F95" s="281"/>
      <c r="G95" s="282" cm="1">
        <f t="array" ref="G95">_xlfn.IFS(AND(B95&lt;&gt;"",C95="",D95=""),SUMPRODUCT($E$26:$E$155,$F$26:$F$155, --($B$26:$B$155=B95)),AND(C95&lt;&gt;"",F95=""),SUMPRODUCT($E$26:$E$155,$F$26:$F$155,--($C$26:$C$155=C95)),AND(D95,F95)&lt;&gt;0,E95*F95)</f>
        <v>7009.7964823830025</v>
      </c>
      <c r="H95" s="283">
        <f>G95/E95</f>
        <v>2884.6899104456797</v>
      </c>
    </row>
    <row r="96" spans="2:8" outlineLevel="2" x14ac:dyDescent="0.2">
      <c r="B96" s="277" t="str">
        <f t="shared" ref="B96:C109" si="40">B95</f>
        <v>LAZER - 13</v>
      </c>
      <c r="C96" s="292" t="str">
        <f>C95</f>
        <v>WC Hall - lazer</v>
      </c>
      <c r="D96" s="287" t="s">
        <v>6914</v>
      </c>
      <c r="E96" s="288">
        <f>17.74-E98</f>
        <v>13.456</v>
      </c>
      <c r="F96" s="290">
        <f>CPU!H1421-Ger_Executivo!$M$338</f>
        <v>517.53054900000018</v>
      </c>
      <c r="G96" s="291" cm="1">
        <f t="array" ref="G96">_xlfn.IFS(AND(B96&lt;&gt;"",C96="",D96=""),SUMPRODUCT($E$26:$E$155,$F$26:$F$155, --($B$26:$B$155=B96)),AND(C96&lt;&gt;"",F96=""),SUMPRODUCT($E$26:$E$155,$F$26:$F$155,--($C$26:$C$155=C96)),AND(D96,F96)&lt;&gt;0,E96*F96)</f>
        <v>6963.8910673440023</v>
      </c>
      <c r="H96" s="286" t="s">
        <v>6664</v>
      </c>
    </row>
    <row r="97" spans="2:8" outlineLevel="2" x14ac:dyDescent="0.2">
      <c r="B97" s="277" t="str">
        <f t="shared" ref="B97:C97" si="41">B96</f>
        <v>LAZER - 13</v>
      </c>
      <c r="C97" s="292" t="str">
        <f t="shared" si="41"/>
        <v>WC Hall - lazer</v>
      </c>
      <c r="D97" s="287" t="s">
        <v>6870</v>
      </c>
      <c r="E97" s="288">
        <f>E95</f>
        <v>2.4300000000000002</v>
      </c>
      <c r="F97" s="285">
        <f>CPU!$H$2252-Ger_Executivo!$M$338</f>
        <v>-0.90842399999999657</v>
      </c>
      <c r="G97" s="291" cm="1">
        <f t="array" ref="G97">_xlfn.IFS(AND(B97&lt;&gt;"",C97="",D97=""),SUMPRODUCT($E$26:$E$155,$F$26:$F$155, --($B$26:$B$155=B97)),AND(C97&lt;&gt;"",F97=""),SUMPRODUCT($E$26:$E$155,$F$26:$F$155,--($C$26:$C$155=C97)),AND(D97,F97)&lt;&gt;0,E97*F97)</f>
        <v>-2.2074703199999917</v>
      </c>
      <c r="H97" s="286" t="s">
        <v>6664</v>
      </c>
    </row>
    <row r="98" spans="2:8" ht="13.5" customHeight="1" outlineLevel="2" x14ac:dyDescent="0.2">
      <c r="B98" s="277" t="str">
        <f t="shared" ref="B98:C98" si="42">B97</f>
        <v>LAZER - 13</v>
      </c>
      <c r="C98" s="292" t="str">
        <f t="shared" si="42"/>
        <v>WC Hall - lazer</v>
      </c>
      <c r="D98" s="287" t="s">
        <v>6869</v>
      </c>
      <c r="E98" s="288">
        <f>7.14*0.6</f>
        <v>4.2839999999999998</v>
      </c>
      <c r="F98" s="285">
        <f>CPU!$H$2249-Ger_Executivo!$M$338</f>
        <v>11.230832249999999</v>
      </c>
      <c r="G98" s="291" cm="1">
        <f t="array" ref="G98">_xlfn.IFS(AND(B98&lt;&gt;"",C98="",D98=""),SUMPRODUCT($E$26:$E$155,$F$26:$F$155, --($B$26:$B$155=B98)),AND(C98&lt;&gt;"",F98=""),SUMPRODUCT($E$26:$E$155,$F$26:$F$155,--($C$26:$C$155=C98)),AND(D98,F98)&lt;&gt;0,E98*F98)</f>
        <v>48.112885358999996</v>
      </c>
      <c r="H98" s="286" t="s">
        <v>6664</v>
      </c>
    </row>
    <row r="99" spans="2:8" outlineLevel="1" x14ac:dyDescent="0.2">
      <c r="B99" s="277" t="str">
        <f t="shared" ref="B99:B102" si="43">B98</f>
        <v>LAZER - 13</v>
      </c>
      <c r="C99" s="278" t="s">
        <v>6911</v>
      </c>
      <c r="D99" s="279" t="s">
        <v>1797</v>
      </c>
      <c r="E99" s="280">
        <f>6.23/2</f>
        <v>3.1150000000000002</v>
      </c>
      <c r="F99" s="281"/>
      <c r="G99" s="282" cm="1">
        <f t="array" ref="G99">_xlfn.IFS(AND(B99&lt;&gt;"",C99="",D99=""),SUMPRODUCT($E$26:$E$155,$F$26:$F$155, --($B$26:$B$155=B99)),AND(C99&lt;&gt;"",F99=""),SUMPRODUCT($E$26:$E$155,$F$26:$F$155,--($C$26:$C$155=C99)),AND(D99,F99)&lt;&gt;0,E99*F99)</f>
        <v>862.53747073312525</v>
      </c>
      <c r="H99" s="283">
        <f>G99/E99</f>
        <v>276.89806444081063</v>
      </c>
    </row>
    <row r="100" spans="2:8" outlineLevel="2" x14ac:dyDescent="0.2">
      <c r="B100" s="277" t="str">
        <f t="shared" si="43"/>
        <v>LAZER - 13</v>
      </c>
      <c r="C100" s="292" t="str">
        <f>C99</f>
        <v>WC PNE Hall - lazer 1</v>
      </c>
      <c r="D100" s="287" t="s">
        <v>6917</v>
      </c>
      <c r="E100" s="288">
        <v>4.2300000000000004</v>
      </c>
      <c r="F100" s="290">
        <f>CPU!H$1391-Ger_Executivo!$M$338</f>
        <v>124.62954900000005</v>
      </c>
      <c r="G100" s="291" cm="1">
        <f t="array" ref="G100">_xlfn.IFS(AND(B100&lt;&gt;"",C100="",D100=""),SUMPRODUCT($E$26:$E$155,$F$26:$F$155, --($B$26:$B$155=B100)),AND(C100&lt;&gt;"",F100=""),SUMPRODUCT($E$26:$E$155,$F$26:$F$155,--($C$26:$C$155=C100)),AND(D100,F100)&lt;&gt;0,E100*F100)</f>
        <v>527.18299227000023</v>
      </c>
      <c r="H100" s="286" t="s">
        <v>6664</v>
      </c>
    </row>
    <row r="101" spans="2:8" outlineLevel="2" x14ac:dyDescent="0.2">
      <c r="B101" s="277" t="str">
        <f t="shared" si="43"/>
        <v>LAZER - 13</v>
      </c>
      <c r="C101" s="292" t="str">
        <f>C100</f>
        <v>WC PNE Hall - lazer 1</v>
      </c>
      <c r="D101" s="287" t="s">
        <v>6915</v>
      </c>
      <c r="E101" s="288">
        <f>E99</f>
        <v>3.1150000000000002</v>
      </c>
      <c r="F101" s="285">
        <f>CPU!H$2237-Ger_Executivo!$M$338</f>
        <v>17.757716625</v>
      </c>
      <c r="G101" s="291" cm="1">
        <f t="array" ref="G101">_xlfn.IFS(AND(B101&lt;&gt;"",C101="",D101=""),SUMPRODUCT($E$26:$E$155,$F$26:$F$155, --($B$26:$B$155=B101)),AND(C101&lt;&gt;"",F101=""),SUMPRODUCT($E$26:$E$155,$F$26:$F$155,--($C$26:$C$155=C101)),AND(D101,F101)&lt;&gt;0,E101*F101)</f>
        <v>55.315287286875005</v>
      </c>
      <c r="H101" s="286" t="s">
        <v>6664</v>
      </c>
    </row>
    <row r="102" spans="2:8" ht="13.5" customHeight="1" outlineLevel="2" x14ac:dyDescent="0.2">
      <c r="B102" s="277" t="str">
        <f t="shared" si="43"/>
        <v>LAZER - 13</v>
      </c>
      <c r="C102" s="292" t="str">
        <f>C101</f>
        <v>WC PNE Hall - lazer 1</v>
      </c>
      <c r="D102" s="287" t="s">
        <v>6919</v>
      </c>
      <c r="E102" s="288">
        <f>20-E100</f>
        <v>15.77</v>
      </c>
      <c r="F102" s="285">
        <f>CPU!H$2237-Ger_Executivo!$M$338</f>
        <v>17.757716625</v>
      </c>
      <c r="G102" s="291" cm="1">
        <f t="array" ref="G102">_xlfn.IFS(AND(B102&lt;&gt;"",C102="",D102=""),SUMPRODUCT($E$26:$E$155,$F$26:$F$155, --($B$26:$B$155=B102)),AND(C102&lt;&gt;"",F102=""),SUMPRODUCT($E$26:$E$155,$F$26:$F$155,--($C$26:$C$155=C102)),AND(D102,F102)&lt;&gt;0,E102*F102)</f>
        <v>280.03919117624997</v>
      </c>
      <c r="H102" s="286" t="s">
        <v>6664</v>
      </c>
    </row>
    <row r="103" spans="2:8" outlineLevel="1" x14ac:dyDescent="0.2">
      <c r="B103" s="277" t="str">
        <f t="shared" ref="B103" si="44">B102</f>
        <v>LAZER - 13</v>
      </c>
      <c r="C103" s="278" t="s">
        <v>6912</v>
      </c>
      <c r="D103" s="279" t="s">
        <v>1797</v>
      </c>
      <c r="E103" s="280">
        <f>6.23/2</f>
        <v>3.1150000000000002</v>
      </c>
      <c r="F103" s="281"/>
      <c r="G103" s="282" cm="1">
        <f t="array" ref="G103">_xlfn.IFS(AND(B103&lt;&gt;"",C103="",D103=""),SUMPRODUCT($E$26:$E$155,$F$26:$F$155, --($B$26:$B$155=B103)),AND(C103&lt;&gt;"",F103=""),SUMPRODUCT($E$26:$E$155,$F$26:$F$155,--($C$26:$C$155=C103)),AND(D103,F103)&lt;&gt;0,E103*F103)</f>
        <v>1303.0244942000004</v>
      </c>
      <c r="H103" s="283">
        <f>G103/E103</f>
        <v>418.30641868378819</v>
      </c>
    </row>
    <row r="104" spans="2:8" outlineLevel="2" x14ac:dyDescent="0.2">
      <c r="B104" s="277" t="str">
        <f t="shared" ref="B104:B105" si="45">B103</f>
        <v>LAZER - 13</v>
      </c>
      <c r="C104" s="292" t="str">
        <f>C103</f>
        <v>WC PNE Hall - lazer academia</v>
      </c>
      <c r="D104" s="287" t="s">
        <v>6920</v>
      </c>
      <c r="E104" s="288">
        <f>16.85-E105</f>
        <v>12.650000000000002</v>
      </c>
      <c r="F104" s="285">
        <f>CPU!H1386-Ger_Executivo!M271</f>
        <v>103.3075</v>
      </c>
      <c r="G104" s="291" cm="1">
        <f t="array" ref="G104">_xlfn.IFS(AND(B104&lt;&gt;"",C104="",D104=""),SUMPRODUCT($E$26:$E$155,$F$26:$F$155, --($B$26:$B$155=B104)),AND(C104&lt;&gt;"",F104=""),SUMPRODUCT($E$26:$E$155,$F$26:$F$155,--($C$26:$C$155=C104)),AND(D104,F104)&lt;&gt;0,E104*F104)</f>
        <v>1306.8398750000003</v>
      </c>
      <c r="H104" s="286" t="s">
        <v>6664</v>
      </c>
    </row>
    <row r="105" spans="2:8" ht="13.5" customHeight="1" outlineLevel="2" x14ac:dyDescent="0.2">
      <c r="B105" s="277" t="str">
        <f t="shared" si="45"/>
        <v>LAZER - 13</v>
      </c>
      <c r="C105" s="292" t="str">
        <f>C104</f>
        <v>WC PNE Hall - lazer academia</v>
      </c>
      <c r="D105" s="287" t="s">
        <v>6860</v>
      </c>
      <c r="E105" s="288">
        <f>7*0.6</f>
        <v>4.2</v>
      </c>
      <c r="F105" s="285">
        <f>CPU!$H$2252-Ger_Executivo!$M$338</f>
        <v>-0.90842399999999657</v>
      </c>
      <c r="G105" s="291" cm="1">
        <f t="array" ref="G105">_xlfn.IFS(AND(B105&lt;&gt;"",C105="",D105=""),SUMPRODUCT($E$26:$E$155,$F$26:$F$155, --($B$26:$B$155=B105)),AND(C105&lt;&gt;"",F105=""),SUMPRODUCT($E$26:$E$155,$F$26:$F$155,--($C$26:$C$155=C105)),AND(D105,F105)&lt;&gt;0,E105*F105)</f>
        <v>-3.8153807999999856</v>
      </c>
      <c r="H105" s="286" t="s">
        <v>6664</v>
      </c>
    </row>
    <row r="106" spans="2:8" outlineLevel="1" x14ac:dyDescent="0.2">
      <c r="B106" s="277" t="str">
        <f t="shared" ref="B106" si="46">B105</f>
        <v>LAZER - 13</v>
      </c>
      <c r="C106" s="278" t="s">
        <v>6738</v>
      </c>
      <c r="D106" s="279" t="s">
        <v>1797</v>
      </c>
      <c r="E106" s="280">
        <v>19.53</v>
      </c>
      <c r="F106" s="281"/>
      <c r="G106" s="282" cm="1">
        <f t="array" ref="G106">_xlfn.IFS(AND(B106&lt;&gt;"",C106="",D106=""),SUMPRODUCT($E$26:$E$155,$F$26:$F$155, --($B$26:$B$155=B106)),AND(C106&lt;&gt;"",F106=""),SUMPRODUCT($E$26:$E$155,$F$26:$F$155,--($C$26:$C$155=C106)),AND(D106,F106)&lt;&gt;0,E106*F106)</f>
        <v>1343.4878197124999</v>
      </c>
      <c r="H106" s="283">
        <f>G106/E106</f>
        <v>68.790978991935475</v>
      </c>
    </row>
    <row r="107" spans="2:8" outlineLevel="2" x14ac:dyDescent="0.2">
      <c r="B107" s="277" t="str">
        <f t="shared" ref="B107" si="47">B106</f>
        <v>LAZER - 13</v>
      </c>
      <c r="C107" s="292" t="str">
        <f>C106</f>
        <v>Circulação elevadores - Lazer</v>
      </c>
      <c r="D107" s="287" t="s">
        <v>6854</v>
      </c>
      <c r="E107" s="288">
        <f>E106</f>
        <v>19.53</v>
      </c>
      <c r="F107" s="285">
        <f>CPU!$H$1885-Ger_Executivo!$M$308</f>
        <v>26.146999999999991</v>
      </c>
      <c r="G107" s="291" cm="1">
        <f t="array" ref="G107">_xlfn.IFS(AND(B107&lt;&gt;"",C107="",D107=""),SUMPRODUCT($E$26:$E$155,$F$26:$F$155, --($B$26:$B$155=B107)),AND(C107&lt;&gt;"",F107=""),SUMPRODUCT($E$26:$E$155,$F$26:$F$155,--($C$26:$C$155=C107)),AND(D107,F107)&lt;&gt;0,E107*F107)</f>
        <v>510.65090999999984</v>
      </c>
      <c r="H107" s="286" t="s">
        <v>6664</v>
      </c>
    </row>
    <row r="108" spans="2:8" ht="13.5" customHeight="1" outlineLevel="2" x14ac:dyDescent="0.2">
      <c r="B108" s="277" t="str">
        <f t="shared" ref="B108" si="48">B107</f>
        <v>LAZER - 13</v>
      </c>
      <c r="C108" s="292" t="str">
        <f t="shared" si="40"/>
        <v>Circulação elevadores - Lazer</v>
      </c>
      <c r="D108" s="287" t="s">
        <v>6919</v>
      </c>
      <c r="E108" s="288">
        <v>27.37</v>
      </c>
      <c r="F108" s="285">
        <f>CPU!H$2237-Ger_Executivo!$M$338</f>
        <v>17.757716625</v>
      </c>
      <c r="G108" s="291" cm="1">
        <f t="array" ref="G108">_xlfn.IFS(AND(B108&lt;&gt;"",C108="",D108=""),SUMPRODUCT($E$26:$E$155,$F$26:$F$155, --($B$26:$B$155=B108)),AND(C108&lt;&gt;"",F108=""),SUMPRODUCT($E$26:$E$155,$F$26:$F$155,--($C$26:$C$155=C108)),AND(D108,F108)&lt;&gt;0,E108*F108)</f>
        <v>486.02870402625001</v>
      </c>
      <c r="H108" s="286" t="s">
        <v>6664</v>
      </c>
    </row>
    <row r="109" spans="2:8" ht="13.5" customHeight="1" outlineLevel="2" x14ac:dyDescent="0.2">
      <c r="B109" s="277" t="str">
        <f t="shared" ref="B109" si="49">B108</f>
        <v>LAZER - 13</v>
      </c>
      <c r="C109" s="292" t="str">
        <f t="shared" si="40"/>
        <v>Circulação elevadores - Lazer</v>
      </c>
      <c r="D109" s="287" t="s">
        <v>6915</v>
      </c>
      <c r="E109" s="288">
        <f>E107</f>
        <v>19.53</v>
      </c>
      <c r="F109" s="285">
        <f>CPU!H$2237-Ger_Executivo!$M$338</f>
        <v>17.757716625</v>
      </c>
      <c r="G109" s="291" cm="1">
        <f t="array" ref="G109">_xlfn.IFS(AND(B109&lt;&gt;"",C109="",D109=""),SUMPRODUCT($E$26:$E$155,$F$26:$F$155, --($B$26:$B$155=B109)),AND(C109&lt;&gt;"",F109=""),SUMPRODUCT($E$26:$E$155,$F$26:$F$155,--($C$26:$C$155=C109)),AND(D109,F109)&lt;&gt;0,E109*F109)</f>
        <v>346.80820568625001</v>
      </c>
      <c r="H109" s="286" t="s">
        <v>6664</v>
      </c>
    </row>
    <row r="110" spans="2:8" ht="13.5" customHeight="1" outlineLevel="1" x14ac:dyDescent="0.2">
      <c r="B110" s="277" t="str">
        <f t="shared" ref="B110" si="50">B109</f>
        <v>LAZER - 13</v>
      </c>
      <c r="C110" s="278" t="s">
        <v>6743</v>
      </c>
      <c r="D110" s="279" t="s">
        <v>1797</v>
      </c>
      <c r="E110" s="280">
        <v>54.87</v>
      </c>
      <c r="F110" s="281"/>
      <c r="G110" s="282" cm="1">
        <f t="array" ref="G110">_xlfn.IFS(AND(B110&lt;&gt;"",C110="",D110=""),SUMPRODUCT($E$26:$E$155,$F$26:$F$155, --($B$26:$B$155=B110)),AND(C110&lt;&gt;"",F110=""),SUMPRODUCT($E$26:$E$155,$F$26:$F$155,--($C$26:$C$155=C110)),AND(D110,F110)&lt;&gt;0,E110*F110)</f>
        <v>14083.682559190001</v>
      </c>
      <c r="H110" s="283">
        <f>G110/E110</f>
        <v>256.67363876781485</v>
      </c>
    </row>
    <row r="111" spans="2:8" ht="13.5" customHeight="1" outlineLevel="2" x14ac:dyDescent="0.2">
      <c r="B111" s="277" t="str">
        <f t="shared" ref="B111" si="51">B110</f>
        <v>LAZER - 13</v>
      </c>
      <c r="C111" s="292" t="str">
        <f>C110</f>
        <v>Galleria Gourmet</v>
      </c>
      <c r="D111" s="287" t="s">
        <v>6858</v>
      </c>
      <c r="E111" s="288">
        <v>23.73</v>
      </c>
      <c r="F111" s="285">
        <f>CPU!$H$1559-Ger_Executivo!$M$289</f>
        <v>120.379256</v>
      </c>
      <c r="G111" s="291" cm="1">
        <f t="array" ref="G111">_xlfn.IFS(AND(B111&lt;&gt;"",C111="",D111=""),SUMPRODUCT($E$26:$E$155,$F$26:$F$155, --($B$26:$B$155=B111)),AND(C111&lt;&gt;"",F111=""),SUMPRODUCT($E$26:$E$155,$F$26:$F$155,--($C$26:$C$155=C111)),AND(D111,F111)&lt;&gt;0,E111*F111)</f>
        <v>2856.5997448799999</v>
      </c>
      <c r="H111" s="286" t="s">
        <v>6664</v>
      </c>
    </row>
    <row r="112" spans="2:8" ht="13.5" customHeight="1" outlineLevel="2" x14ac:dyDescent="0.2">
      <c r="B112" s="277" t="str">
        <f t="shared" ref="B112" si="52">B111</f>
        <v>LAZER - 13</v>
      </c>
      <c r="C112" s="292" t="str">
        <f t="shared" ref="C112:C113" si="53">C111</f>
        <v>Galleria Gourmet</v>
      </c>
      <c r="D112" s="287" t="s">
        <v>6859</v>
      </c>
      <c r="E112" s="288">
        <v>29.21</v>
      </c>
      <c r="F112" s="285">
        <f>CPU!$H$1470-Ger_Executivo!$M$338</f>
        <v>222.99804900000004</v>
      </c>
      <c r="G112" s="291" cm="1">
        <f t="array" ref="G112">_xlfn.IFS(AND(B112&lt;&gt;"",C112="",D112=""),SUMPRODUCT($E$26:$E$155,$F$26:$F$155, --($B$26:$B$155=B112)),AND(C112&lt;&gt;"",F112=""),SUMPRODUCT($E$26:$E$155,$F$26:$F$155,--($C$26:$C$155=C112)),AND(D112,F112)&lt;&gt;0,E112*F112)</f>
        <v>6513.7730112900017</v>
      </c>
      <c r="H112" s="286" t="s">
        <v>6664</v>
      </c>
    </row>
    <row r="113" spans="2:8" ht="13.5" customHeight="1" outlineLevel="2" x14ac:dyDescent="0.2">
      <c r="B113" s="277" t="str">
        <f t="shared" ref="B113" si="54">B112</f>
        <v>LAZER - 13</v>
      </c>
      <c r="C113" s="292" t="str">
        <f t="shared" si="53"/>
        <v>Galleria Gourmet</v>
      </c>
      <c r="D113" s="287" t="s">
        <v>1765</v>
      </c>
      <c r="E113" s="288">
        <v>35.979999999999997</v>
      </c>
      <c r="F113" s="285">
        <f>CPU!$H$2018-Ger_Executivo!$M$338</f>
        <v>130.99804900000001</v>
      </c>
      <c r="G113" s="291" cm="1">
        <f t="array" ref="G113">_xlfn.IFS(AND(B113&lt;&gt;"",C113="",D113=""),SUMPRODUCT($E$26:$E$155,$F$26:$F$155, --($B$26:$B$155=B113)),AND(C113&lt;&gt;"",F113=""),SUMPRODUCT($E$26:$E$155,$F$26:$F$155,--($C$26:$C$155=C113)),AND(D113,F113)&lt;&gt;0,E113*F113)</f>
        <v>4713.3098030199999</v>
      </c>
      <c r="H113" s="286" t="s">
        <v>6664</v>
      </c>
    </row>
    <row r="114" spans="2:8" ht="13.5" customHeight="1" outlineLevel="1" x14ac:dyDescent="0.2">
      <c r="B114" s="277" t="str">
        <f t="shared" ref="B114" si="55">B113</f>
        <v>LAZER - 13</v>
      </c>
      <c r="C114" s="278" t="s">
        <v>6761</v>
      </c>
      <c r="D114" s="279" t="s">
        <v>1797</v>
      </c>
      <c r="E114" s="280">
        <v>109.64</v>
      </c>
      <c r="F114" s="281"/>
      <c r="G114" s="282" cm="1">
        <f t="array" ref="G114">_xlfn.IFS(AND(B114&lt;&gt;"",C114="",D114=""),SUMPRODUCT($E$26:$E$155,$F$26:$F$155, --($B$26:$B$155=B114)),AND(C114&lt;&gt;"",F114=""),SUMPRODUCT($E$26:$E$155,$F$26:$F$155,--($C$26:$C$155=C114)),AND(D114,F114)&lt;&gt;0,E114*F114)</f>
        <v>-2832.9879600000008</v>
      </c>
      <c r="H114" s="283">
        <f>G114/E114</f>
        <v>-25.839000000000009</v>
      </c>
    </row>
    <row r="115" spans="2:8" ht="13.5" customHeight="1" outlineLevel="2" x14ac:dyDescent="0.2">
      <c r="B115" s="277" t="str">
        <f t="shared" ref="B115" si="56">B114</f>
        <v>LAZER - 13</v>
      </c>
      <c r="C115" s="292" t="str">
        <f>C114</f>
        <v>Galleria Outdoor</v>
      </c>
      <c r="D115" s="287" t="s">
        <v>6872</v>
      </c>
      <c r="E115" s="288">
        <f>E114*0.5</f>
        <v>54.82</v>
      </c>
      <c r="F115" s="285">
        <f>CPU!H1957-Ger_Executivo!$M$308</f>
        <v>-34.089000000000013</v>
      </c>
      <c r="G115" s="291" cm="1">
        <f t="array" ref="G115">_xlfn.IFS(AND(B115&lt;&gt;"",C115="",D115=""),SUMPRODUCT($E$26:$E$155,$F$26:$F$155, --($B$26:$B$155=B115)),AND(C115&lt;&gt;"",F115=""),SUMPRODUCT($E$26:$E$155,$F$26:$F$155,--($C$26:$C$155=C115)),AND(D115,F115)&lt;&gt;0,E115*F115)</f>
        <v>-1868.7589800000007</v>
      </c>
      <c r="H115" s="286" t="s">
        <v>6664</v>
      </c>
    </row>
    <row r="116" spans="2:8" ht="13.5" customHeight="1" outlineLevel="2" x14ac:dyDescent="0.2">
      <c r="B116" s="277" t="str">
        <f t="shared" ref="B116" si="57">B115</f>
        <v>LAZER - 13</v>
      </c>
      <c r="C116" s="292" t="str">
        <f>C114</f>
        <v>Galleria Outdoor</v>
      </c>
      <c r="D116" s="287" t="s">
        <v>6874</v>
      </c>
      <c r="E116" s="288">
        <f>E114*0.5</f>
        <v>54.82</v>
      </c>
      <c r="F116" s="285">
        <f>CPU!H1952-Ger_Executivo!$M$308</f>
        <v>-17.588999999999999</v>
      </c>
      <c r="G116" s="291" cm="1">
        <f t="array" ref="G116">_xlfn.IFS(AND(B116&lt;&gt;"",C116="",D116=""),SUMPRODUCT($E$26:$E$155,$F$26:$F$155, --($B$26:$B$155=B116)),AND(C116&lt;&gt;"",F116=""),SUMPRODUCT($E$26:$E$155,$F$26:$F$155,--($C$26:$C$155=C116)),AND(D116,F116)&lt;&gt;0,E116*F116)</f>
        <v>-964.22897999999998</v>
      </c>
      <c r="H116" s="286" t="s">
        <v>6664</v>
      </c>
    </row>
    <row r="117" spans="2:8" ht="13.5" customHeight="1" outlineLevel="1" x14ac:dyDescent="0.2">
      <c r="B117" s="277" t="str">
        <f t="shared" ref="B117" si="58">B116</f>
        <v>LAZER - 13</v>
      </c>
      <c r="C117" s="278" t="s">
        <v>6775</v>
      </c>
      <c r="D117" s="279" t="s">
        <v>1797</v>
      </c>
      <c r="E117" s="280">
        <v>110.26</v>
      </c>
      <c r="F117" s="281"/>
      <c r="G117" s="282" cm="1">
        <f t="array" ref="G117">_xlfn.IFS(AND(B117&lt;&gt;"",C117="",D117=""),SUMPRODUCT($E$26:$E$155,$F$26:$F$155, --($B$26:$B$155=B117)),AND(C117&lt;&gt;"",F117=""),SUMPRODUCT($E$26:$E$155,$F$26:$F$155,--($C$26:$C$155=C117)),AND(D117,F117)&lt;&gt;0,E117*F117)</f>
        <v>37038.94266700001</v>
      </c>
      <c r="H117" s="283">
        <f>G117/E117</f>
        <v>335.92365923272274</v>
      </c>
    </row>
    <row r="118" spans="2:8" ht="13.5" customHeight="1" outlineLevel="2" x14ac:dyDescent="0.2">
      <c r="B118" s="277" t="str">
        <f t="shared" ref="B118" si="59">B117</f>
        <v>LAZER - 13</v>
      </c>
      <c r="C118" s="292" t="str">
        <f>C117</f>
        <v>Galleria Fitness</v>
      </c>
      <c r="D118" s="287" t="s">
        <v>6876</v>
      </c>
      <c r="E118" s="288">
        <f>E117-11.52</f>
        <v>98.740000000000009</v>
      </c>
      <c r="F118" s="285">
        <f>CPU!H1950-Ger_Executivo!M315</f>
        <v>279.65000000000009</v>
      </c>
      <c r="G118" s="291" cm="1">
        <f t="array" ref="G118">_xlfn.IFS(AND(B118&lt;&gt;"",C118="",D118=""),SUMPRODUCT($E$26:$E$155,$F$26:$F$155, --($B$26:$B$155=B118)),AND(C118&lt;&gt;"",F118=""),SUMPRODUCT($E$26:$E$155,$F$26:$F$155,--($C$26:$C$155=C118)),AND(D118,F118)&lt;&gt;0,E118*F118)</f>
        <v>27612.641000000011</v>
      </c>
      <c r="H118" s="286" t="s">
        <v>6664</v>
      </c>
    </row>
    <row r="119" spans="2:8" ht="13.5" customHeight="1" outlineLevel="2" x14ac:dyDescent="0.2">
      <c r="B119" s="277" t="str">
        <f t="shared" ref="B119" si="60">B118</f>
        <v>LAZER - 13</v>
      </c>
      <c r="C119" s="292" t="str">
        <f>C117</f>
        <v>Galleria Fitness</v>
      </c>
      <c r="D119" s="287" t="s">
        <v>6859</v>
      </c>
      <c r="E119" s="288">
        <v>42</v>
      </c>
      <c r="F119" s="285">
        <f>CPU!$H$1470-Ger_Executivo!$M$338</f>
        <v>222.99804900000004</v>
      </c>
      <c r="G119" s="291" cm="1">
        <f t="array" ref="G119">_xlfn.IFS(AND(B119&lt;&gt;"",C119="",D119=""),SUMPRODUCT($E$26:$E$155,$F$26:$F$155, --($B$26:$B$155=B119)),AND(C119&lt;&gt;"",F119=""),SUMPRODUCT($E$26:$E$155,$F$26:$F$155,--($C$26:$C$155=C119)),AND(D119,F119)&lt;&gt;0,E119*F119)</f>
        <v>9365.9180580000011</v>
      </c>
      <c r="H119" s="286" t="s">
        <v>6664</v>
      </c>
    </row>
    <row r="120" spans="2:8" ht="13.5" customHeight="1" outlineLevel="2" x14ac:dyDescent="0.2">
      <c r="B120" s="277" t="str">
        <f t="shared" ref="B120" si="61">B119</f>
        <v>LAZER - 13</v>
      </c>
      <c r="C120" s="292" t="str">
        <f t="shared" ref="C120" si="62">C118</f>
        <v>Galleria Fitness</v>
      </c>
      <c r="D120" s="287" t="s">
        <v>6877</v>
      </c>
      <c r="E120" s="288">
        <v>59</v>
      </c>
      <c r="F120" s="285">
        <f>CPU!$H$2246-Ger_Executivo!$M$338</f>
        <v>1.0234510000000014</v>
      </c>
      <c r="G120" s="291" cm="1">
        <f t="array" ref="G120">_xlfn.IFS(AND(B120&lt;&gt;"",C120="",D120=""),SUMPRODUCT($E$26:$E$155,$F$26:$F$155, --($B$26:$B$155=B120)),AND(C120&lt;&gt;"",F120=""),SUMPRODUCT($E$26:$E$155,$F$26:$F$155,--($C$26:$C$155=C120)),AND(D120,F120)&lt;&gt;0,E120*F120)</f>
        <v>60.383609000000085</v>
      </c>
      <c r="H120" s="286" t="s">
        <v>6664</v>
      </c>
    </row>
    <row r="121" spans="2:8" outlineLevel="1" x14ac:dyDescent="0.2">
      <c r="B121" s="277" t="str">
        <f t="shared" ref="B121" si="63">B120</f>
        <v>LAZER - 13</v>
      </c>
      <c r="C121" s="278" t="s">
        <v>6801</v>
      </c>
      <c r="D121" s="279" t="s">
        <v>1797</v>
      </c>
      <c r="E121" s="280">
        <v>21</v>
      </c>
      <c r="F121" s="281"/>
      <c r="G121" s="282" cm="1">
        <f t="array" ref="G121">_xlfn.IFS(AND(B121&lt;&gt;"",C121="",D121=""),SUMPRODUCT($E$26:$E$155,$F$26:$F$155, --($B$26:$B$155=B121)),AND(C121&lt;&gt;"",F121=""),SUMPRODUCT($E$26:$E$155,$F$26:$F$155,--($C$26:$C$155=C121)),AND(D121,F121)&lt;&gt;0,E121*F121)</f>
        <v>3994.9043307524998</v>
      </c>
      <c r="H121" s="283">
        <f>G121/E121</f>
        <v>190.23353955964285</v>
      </c>
    </row>
    <row r="122" spans="2:8" outlineLevel="2" x14ac:dyDescent="0.2">
      <c r="B122" s="277" t="str">
        <f t="shared" ref="B122" si="64">B121</f>
        <v>LAZER - 13</v>
      </c>
      <c r="C122" s="284" t="str">
        <f t="shared" ref="C122:C124" si="65">C121</f>
        <v>Coworking</v>
      </c>
      <c r="D122" s="287" t="s">
        <v>1765</v>
      </c>
      <c r="E122" s="288">
        <f>E121</f>
        <v>21</v>
      </c>
      <c r="F122" s="285">
        <f>CPU!$H$2018-Ger_Executivo!$M$338</f>
        <v>130.99804900000001</v>
      </c>
      <c r="G122" s="291" cm="1">
        <f t="array" ref="G122">_xlfn.IFS(AND(B122&lt;&gt;"",C122="",D122=""),SUMPRODUCT($E$26:$E$155,$F$26:$F$155, --($B$26:$B$155=B122)),AND(C122&lt;&gt;"",F122=""),SUMPRODUCT($E$26:$E$155,$F$26:$F$155,--($C$26:$C$155=C122)),AND(D122,F122)&lt;&gt;0,E122*F122)</f>
        <v>2750.9590290000001</v>
      </c>
      <c r="H122" s="286" t="s">
        <v>6664</v>
      </c>
    </row>
    <row r="123" spans="2:8" outlineLevel="2" x14ac:dyDescent="0.2">
      <c r="B123" s="277" t="str">
        <f t="shared" ref="B123" si="66">B122</f>
        <v>LAZER - 13</v>
      </c>
      <c r="C123" s="284" t="str">
        <f t="shared" si="65"/>
        <v>Coworking</v>
      </c>
      <c r="D123" s="287" t="s">
        <v>6869</v>
      </c>
      <c r="E123" s="288">
        <v>14.69</v>
      </c>
      <c r="F123" s="285">
        <f>CPU!$H$2249-Ger_Executivo!$M$338</f>
        <v>11.230832249999999</v>
      </c>
      <c r="G123" s="291" cm="1">
        <f t="array" ref="G123">_xlfn.IFS(AND(B123&lt;&gt;"",C123="",D123=""),SUMPRODUCT($E$26:$E$155,$F$26:$F$155, --($B$26:$B$155=B123)),AND(C123&lt;&gt;"",F123=""),SUMPRODUCT($E$26:$E$155,$F$26:$F$155,--($C$26:$C$155=C123)),AND(D123,F123)&lt;&gt;0,E123*F123)</f>
        <v>164.98092575249999</v>
      </c>
      <c r="H123" s="286" t="s">
        <v>6664</v>
      </c>
    </row>
    <row r="124" spans="2:8" outlineLevel="2" x14ac:dyDescent="0.2">
      <c r="B124" s="277" t="str">
        <f t="shared" ref="B124" si="67">B123</f>
        <v>LAZER - 13</v>
      </c>
      <c r="C124" s="284" t="str">
        <f t="shared" si="65"/>
        <v>Coworking</v>
      </c>
      <c r="D124" s="287" t="s">
        <v>6909</v>
      </c>
      <c r="E124" s="288">
        <f>E122</f>
        <v>21</v>
      </c>
      <c r="F124" s="285">
        <f>CPU!H1555-Ger_Executivo!M289</f>
        <v>51.379255999999998</v>
      </c>
      <c r="G124" s="291" cm="1">
        <f t="array" ref="G124">_xlfn.IFS(AND(B124&lt;&gt;"",C124="",D124=""),SUMPRODUCT($E$26:$E$155,$F$26:$F$155, --($B$26:$B$155=B124)),AND(C124&lt;&gt;"",F124=""),SUMPRODUCT($E$26:$E$155,$F$26:$F$155,--($C$26:$C$155=C124)),AND(D124,F124)&lt;&gt;0,E124*F124)</f>
        <v>1078.9643759999999</v>
      </c>
      <c r="H124" s="286" t="s">
        <v>6664</v>
      </c>
    </row>
    <row r="125" spans="2:8" s="261" customFormat="1" ht="19.5" customHeight="1" x14ac:dyDescent="0.2">
      <c r="B125" s="271" t="s">
        <v>6812</v>
      </c>
      <c r="C125" s="272"/>
      <c r="D125" s="273"/>
      <c r="E125" s="274"/>
      <c r="F125" s="275"/>
      <c r="G125" s="276" cm="1">
        <f t="array" ref="G125">_xlfn.IFS(AND(B125&lt;&gt;"",C125="",D125=""),SUMPRODUCT($E$26:$E$155,$F$26:$F$155, --($B$26:$B$155=B125)),AND(C125&lt;&gt;"",F125=""),SUMPRODUCT($E$26:$E$155,$F$26:$F$155,--($C$26:$C$155=C125)),AND(D125,F125)&lt;&gt;0,E125*F125)</f>
        <v>15714.062362119999</v>
      </c>
      <c r="H125" s="276"/>
    </row>
    <row r="126" spans="2:8" outlineLevel="1" x14ac:dyDescent="0.2">
      <c r="B126" s="277" t="str">
        <f>B125</f>
        <v>PAV 14</v>
      </c>
      <c r="C126" s="278" t="s">
        <v>6813</v>
      </c>
      <c r="D126" s="279" t="s">
        <v>1797</v>
      </c>
      <c r="E126" s="280">
        <v>31.19</v>
      </c>
      <c r="F126" s="281"/>
      <c r="G126" s="282" cm="1">
        <f t="array" ref="G126">_xlfn.IFS(AND(B126&lt;&gt;"",C126="",D126=""),SUMPRODUCT($E$26:$E$155,$F$26:$F$155, --($B$26:$B$155=B126)),AND(C126&lt;&gt;"",F126=""),SUMPRODUCT($E$26:$E$155,$F$26:$F$155,--($C$26:$C$155=C126)),AND(D126,F126)&lt;&gt;0,E126*F126)</f>
        <v>1726.5700421199995</v>
      </c>
      <c r="H126" s="283">
        <f>G126/E126</f>
        <v>55.356525877524831</v>
      </c>
    </row>
    <row r="127" spans="2:8" outlineLevel="2" x14ac:dyDescent="0.2">
      <c r="B127" s="277" t="str">
        <f t="shared" ref="B127:B132" si="68">B126</f>
        <v>PAV 14</v>
      </c>
      <c r="C127" s="292" t="str">
        <f>C126</f>
        <v>Circulação elevadores - Pav 14</v>
      </c>
      <c r="D127" s="287" t="s">
        <v>6854</v>
      </c>
      <c r="E127" s="288">
        <f>E126</f>
        <v>31.19</v>
      </c>
      <c r="F127" s="285">
        <f>CPU!$H$1885-Ger_Executivo!$M$308</f>
        <v>26.146999999999991</v>
      </c>
      <c r="G127" s="291" cm="1">
        <f t="array" ref="G127">_xlfn.IFS(AND(B127&lt;&gt;"",C127="",D127=""),SUMPRODUCT($E$26:$E$155,$F$26:$F$155, --($B$26:$B$155=B127)),AND(C127&lt;&gt;"",F127=""),SUMPRODUCT($E$26:$E$155,$F$26:$F$155,--($C$26:$C$155=C127)),AND(D127,F127)&lt;&gt;0,E127*F127)</f>
        <v>815.52492999999981</v>
      </c>
      <c r="H127" s="286" t="s">
        <v>6664</v>
      </c>
    </row>
    <row r="128" spans="2:8" ht="13.5" customHeight="1" outlineLevel="2" x14ac:dyDescent="0.2">
      <c r="B128" s="277" t="str">
        <f t="shared" si="68"/>
        <v>PAV 14</v>
      </c>
      <c r="C128" s="292" t="str">
        <f t="shared" ref="C128:C132" si="69">C127</f>
        <v>Circulação elevadores - Pav 14</v>
      </c>
      <c r="D128" s="287" t="s">
        <v>6869</v>
      </c>
      <c r="E128" s="288">
        <v>49.93</v>
      </c>
      <c r="F128" s="285">
        <f>CPU!$H$2249-Ger_Executivo!$M$338</f>
        <v>11.230832249999999</v>
      </c>
      <c r="G128" s="291" cm="1">
        <f t="array" ref="G128">_xlfn.IFS(AND(B128&lt;&gt;"",C128="",D128=""),SUMPRODUCT($E$26:$E$155,$F$26:$F$155, --($B$26:$B$155=B128)),AND(C128&lt;&gt;"",F128=""),SUMPRODUCT($E$26:$E$155,$F$26:$F$155,--($C$26:$C$155=C128)),AND(D128,F128)&lt;&gt;0,E128*F128)</f>
        <v>560.75545424249992</v>
      </c>
      <c r="H128" s="286" t="s">
        <v>6664</v>
      </c>
    </row>
    <row r="129" spans="2:8" ht="13.5" customHeight="1" outlineLevel="2" x14ac:dyDescent="0.2">
      <c r="B129" s="277" t="str">
        <f t="shared" si="68"/>
        <v>PAV 14</v>
      </c>
      <c r="C129" s="292" t="str">
        <f t="shared" si="69"/>
        <v>Circulação elevadores - Pav 14</v>
      </c>
      <c r="D129" s="287" t="s">
        <v>6870</v>
      </c>
      <c r="E129" s="288">
        <f>E127</f>
        <v>31.19</v>
      </c>
      <c r="F129" s="285">
        <f>CPU!$H$2249-Ger_Executivo!$M$338</f>
        <v>11.230832249999999</v>
      </c>
      <c r="G129" s="291" cm="1">
        <f t="array" ref="G129">_xlfn.IFS(AND(B129&lt;&gt;"",C129="",D129=""),SUMPRODUCT($E$26:$E$155,$F$26:$F$155, --($B$26:$B$155=B129)),AND(C129&lt;&gt;"",F129=""),SUMPRODUCT($E$26:$E$155,$F$26:$F$155,--($C$26:$C$155=C129)),AND(D129,F129)&lt;&gt;0,E129*F129)</f>
        <v>350.28965787749996</v>
      </c>
      <c r="H129" s="286" t="s">
        <v>6664</v>
      </c>
    </row>
    <row r="130" spans="2:8" ht="13.5" customHeight="1" outlineLevel="1" x14ac:dyDescent="0.2">
      <c r="B130" s="277" t="str">
        <f t="shared" si="68"/>
        <v>PAV 14</v>
      </c>
      <c r="C130" s="278" t="s">
        <v>6818</v>
      </c>
      <c r="D130" s="279" t="s">
        <v>1797</v>
      </c>
      <c r="E130" s="280">
        <f>71.48</f>
        <v>71.48</v>
      </c>
      <c r="F130" s="281"/>
      <c r="G130" s="282" cm="1">
        <f t="array" ref="G130">_xlfn.IFS(AND(B130&lt;&gt;"",C130="",D130=""),SUMPRODUCT($E$26:$E$155,$F$26:$F$155, --($B$26:$B$155=B130)),AND(C130&lt;&gt;"",F130=""),SUMPRODUCT($E$26:$E$155,$F$26:$F$155,--($C$26:$C$155=C130)),AND(D130,F130)&lt;&gt;0,E130*F130)</f>
        <v>13987.492320000001</v>
      </c>
      <c r="H130" s="283">
        <f>G130/E130</f>
        <v>195.684</v>
      </c>
    </row>
    <row r="131" spans="2:8" ht="13.5" customHeight="1" outlineLevel="2" x14ac:dyDescent="0.2">
      <c r="B131" s="277" t="str">
        <f t="shared" si="68"/>
        <v>PAV 14</v>
      </c>
      <c r="C131" s="292" t="str">
        <f>C130</f>
        <v>Galleria Outdoor - Pav 14</v>
      </c>
      <c r="D131" s="287" t="s">
        <v>6862</v>
      </c>
      <c r="E131" s="288">
        <f>E130/2</f>
        <v>35.74</v>
      </c>
      <c r="F131" s="285">
        <f>CPU!H$2497-Ger_Executivo!M$410</f>
        <v>171.25800000000004</v>
      </c>
      <c r="G131" s="291" cm="1">
        <f t="array" ref="G131">_xlfn.IFS(AND(B131&lt;&gt;"",C131="",D131=""),SUMPRODUCT($E$26:$E$155,$F$26:$F$155, --($B$26:$B$155=B131)),AND(C131&lt;&gt;"",F131=""),SUMPRODUCT($E$26:$E$155,$F$26:$F$155,--($C$26:$C$155=C131)),AND(D131,F131)&lt;&gt;0,E131*F131)</f>
        <v>6120.7609200000015</v>
      </c>
      <c r="H131" s="286" t="s">
        <v>6664</v>
      </c>
    </row>
    <row r="132" spans="2:8" ht="13.5" customHeight="1" outlineLevel="2" x14ac:dyDescent="0.2">
      <c r="B132" s="277" t="str">
        <f t="shared" si="68"/>
        <v>PAV 14</v>
      </c>
      <c r="C132" s="292" t="str">
        <f t="shared" si="69"/>
        <v>Galleria Outdoor - Pav 14</v>
      </c>
      <c r="D132" s="287" t="s">
        <v>6906</v>
      </c>
      <c r="E132" s="288">
        <f>E130/2</f>
        <v>35.74</v>
      </c>
      <c r="F132" s="285">
        <f>CPU!H$1875-Ger_Executivo!M$309</f>
        <v>220.10999999999996</v>
      </c>
      <c r="G132" s="291" cm="1">
        <f t="array" ref="G132">_xlfn.IFS(AND(B132&lt;&gt;"",C132="",D132=""),SUMPRODUCT($E$26:$E$155,$F$26:$F$155, --($B$26:$B$155=B132)),AND(C132&lt;&gt;"",F132=""),SUMPRODUCT($E$26:$E$155,$F$26:$F$155,--($C$26:$C$155=C132)),AND(D132,F132)&lt;&gt;0,E132*F132)</f>
        <v>7866.7313999999988</v>
      </c>
      <c r="H132" s="286" t="s">
        <v>6664</v>
      </c>
    </row>
    <row r="133" spans="2:8" s="261" customFormat="1" ht="19.5" customHeight="1" x14ac:dyDescent="0.2">
      <c r="B133" s="271" t="s">
        <v>6844</v>
      </c>
      <c r="C133" s="272"/>
      <c r="D133" s="273"/>
      <c r="E133" s="274"/>
      <c r="F133" s="275"/>
      <c r="G133" s="276" cm="1">
        <f t="array" ref="G133">_xlfn.IFS(AND(B133&lt;&gt;"",C133="",D133=""),SUMPRODUCT($E$26:$E$155,$F$26:$F$155, --($B$26:$B$155=B133)),AND(C133&lt;&gt;"",F133=""),SUMPRODUCT($E$26:$E$155,$F$26:$F$155,--($C$26:$C$155=C133)),AND(D133,F133)&lt;&gt;0,E133*F133)</f>
        <v>15214.81918352</v>
      </c>
      <c r="H133" s="276"/>
    </row>
    <row r="134" spans="2:8" outlineLevel="1" x14ac:dyDescent="0.2">
      <c r="B134" s="277" t="str">
        <f>B133</f>
        <v>TIPOS (X14)</v>
      </c>
      <c r="C134" s="278" t="s">
        <v>6845</v>
      </c>
      <c r="D134" s="279" t="s">
        <v>1797</v>
      </c>
      <c r="E134" s="280">
        <v>628</v>
      </c>
      <c r="F134" s="281"/>
      <c r="G134" s="282" cm="1">
        <f t="array" ref="G134">_xlfn.IFS(AND(B134&lt;&gt;"",C134="",D134=""),SUMPRODUCT($E$26:$E$155,$F$26:$F$155, --($B$26:$B$155=B134)),AND(C134&lt;&gt;"",F134=""),SUMPRODUCT($E$26:$E$155,$F$26:$F$155,--($C$26:$C$155=C134)),AND(D134,F134)&lt;&gt;0,E134*F134)</f>
        <v>15214.81918352</v>
      </c>
      <c r="H134" s="283">
        <f>G134/E134</f>
        <v>24.227419082038217</v>
      </c>
    </row>
    <row r="135" spans="2:8" outlineLevel="2" x14ac:dyDescent="0.2">
      <c r="B135" s="277" t="str">
        <f t="shared" ref="B135:C137" si="70">B134</f>
        <v>TIPOS (X14)</v>
      </c>
      <c r="C135" s="292" t="str">
        <f>C134</f>
        <v>Circulação elevadores - Tipos (x14)</v>
      </c>
      <c r="D135" s="287" t="s">
        <v>6854</v>
      </c>
      <c r="E135" s="288">
        <f>E134</f>
        <v>628</v>
      </c>
      <c r="F135" s="285">
        <f>CPU!$H$1885-Ger_Executivo!$M$308</f>
        <v>26.146999999999991</v>
      </c>
      <c r="G135" s="291" cm="1">
        <f t="array" ref="G135">_xlfn.IFS(AND(B135&lt;&gt;"",C135="",D135=""),SUMPRODUCT($E$26:$E$155,$F$26:$F$155, --($B$26:$B$155=B135)),AND(C135&lt;&gt;"",F135=""),SUMPRODUCT($E$26:$E$155,$F$26:$F$155,--($C$26:$C$155=C135)),AND(D135,F135)&lt;&gt;0,E135*F135)</f>
        <v>16420.315999999995</v>
      </c>
      <c r="H135" s="286" t="s">
        <v>6664</v>
      </c>
    </row>
    <row r="136" spans="2:8" ht="13.5" customHeight="1" outlineLevel="2" x14ac:dyDescent="0.2">
      <c r="B136" s="277" t="str">
        <f t="shared" si="70"/>
        <v>TIPOS (X14)</v>
      </c>
      <c r="C136" s="292" t="str">
        <f t="shared" si="70"/>
        <v>Circulação elevadores - Tipos (x14)</v>
      </c>
      <c r="D136" s="287" t="s">
        <v>6860</v>
      </c>
      <c r="E136" s="288">
        <f>49.93*14</f>
        <v>699.02</v>
      </c>
      <c r="F136" s="285">
        <f>CPU!$H$2252-Ger_Executivo!$M$338</f>
        <v>-0.90842399999999657</v>
      </c>
      <c r="G136" s="291" cm="1">
        <f t="array" ref="G136">_xlfn.IFS(AND(B136&lt;&gt;"",C136="",D136=""),SUMPRODUCT($E$26:$E$155,$F$26:$F$155, --($B$26:$B$155=B136)),AND(C136&lt;&gt;"",F136=""),SUMPRODUCT($E$26:$E$155,$F$26:$F$155,--($C$26:$C$155=C136)),AND(D136,F136)&lt;&gt;0,E136*F136)</f>
        <v>-635.00654447999761</v>
      </c>
      <c r="H136" s="286" t="s">
        <v>6664</v>
      </c>
    </row>
    <row r="137" spans="2:8" ht="13.5" customHeight="1" outlineLevel="2" x14ac:dyDescent="0.2">
      <c r="B137" s="277" t="str">
        <f t="shared" si="70"/>
        <v>TIPOS (X14)</v>
      </c>
      <c r="C137" s="292" t="str">
        <f t="shared" si="70"/>
        <v>Circulação elevadores - Tipos (x14)</v>
      </c>
      <c r="D137" s="287" t="s">
        <v>6900</v>
      </c>
      <c r="E137" s="288">
        <f>E135</f>
        <v>628</v>
      </c>
      <c r="F137" s="285">
        <f>CPU!$H$2252-Ger_Executivo!$M$338</f>
        <v>-0.90842399999999657</v>
      </c>
      <c r="G137" s="291" cm="1">
        <f t="array" ref="G137">_xlfn.IFS(AND(B137&lt;&gt;"",C137="",D137=""),SUMPRODUCT($E$26:$E$155,$F$26:$F$155, --($B$26:$B$155=B137)),AND(C137&lt;&gt;"",F137=""),SUMPRODUCT($E$26:$E$155,$F$26:$F$155,--($C$26:$C$155=C137)),AND(D137,F137)&lt;&gt;0,E137*F137)</f>
        <v>-570.49027199999784</v>
      </c>
      <c r="H137" s="286" t="s">
        <v>6664</v>
      </c>
    </row>
    <row r="138" spans="2:8" s="261" customFormat="1" ht="19.5" customHeight="1" x14ac:dyDescent="0.2">
      <c r="B138" s="271" t="s">
        <v>6819</v>
      </c>
      <c r="C138" s="272"/>
      <c r="D138" s="273"/>
      <c r="E138" s="274"/>
      <c r="F138" s="275"/>
      <c r="G138" s="276" cm="1">
        <f t="array" ref="G138">_xlfn.IFS(AND(B138&lt;&gt;"",C138="",D138=""),SUMPRODUCT($E$26:$E$155,$F$26:$F$155, --($B$26:$B$155=B138)),AND(C138&lt;&gt;"",F138=""),SUMPRODUCT($E$26:$E$155,$F$26:$F$155,--($C$26:$C$155=C138)),AND(D138,F138)&lt;&gt;0,E138*F138)</f>
        <v>94330.340590774387</v>
      </c>
      <c r="H138" s="276"/>
    </row>
    <row r="139" spans="2:8" outlineLevel="1" x14ac:dyDescent="0.2">
      <c r="B139" s="277" t="str">
        <f>B138</f>
        <v>LAZER - 18</v>
      </c>
      <c r="C139" s="278" t="s">
        <v>6922</v>
      </c>
      <c r="D139" s="279" t="s">
        <v>1797</v>
      </c>
      <c r="E139" s="280">
        <f>6.93/2</f>
        <v>3.4649999999999999</v>
      </c>
      <c r="F139" s="281"/>
      <c r="G139" s="282" cm="1">
        <f t="array" ref="G139">_xlfn.IFS(AND(B139&lt;&gt;"",C139="",D139=""),SUMPRODUCT($E$26:$E$155,$F$26:$F$155, --($B$26:$B$155=B139)),AND(C139&lt;&gt;"",F139=""),SUMPRODUCT($E$26:$E$155,$F$26:$F$155,--($C$26:$C$155=C139)),AND(D139,F139)&lt;&gt;0,E139*F139)</f>
        <v>1290.420894824375</v>
      </c>
      <c r="H139" s="283">
        <f>G139/E139</f>
        <v>372.41584266215727</v>
      </c>
    </row>
    <row r="140" spans="2:8" outlineLevel="2" x14ac:dyDescent="0.2">
      <c r="B140" s="277" t="str">
        <f t="shared" ref="B140:B144" si="71">B139</f>
        <v>LAZER - 18</v>
      </c>
      <c r="C140" s="292" t="str">
        <f>C139</f>
        <v>WC PNE Hall - Lazer 18</v>
      </c>
      <c r="D140" s="287" t="s">
        <v>6924</v>
      </c>
      <c r="E140" s="288">
        <v>5.32</v>
      </c>
      <c r="F140" s="290">
        <f>CPU!H1356-Ger_Executivo!M271</f>
        <v>168.4085</v>
      </c>
      <c r="G140" s="291" cm="1">
        <f t="array" ref="G140">_xlfn.IFS(AND(B140&lt;&gt;"",C140="",D140=""),SUMPRODUCT($E$26:$E$155,$F$26:$F$155, --($B$26:$B$155=B140)),AND(C140&lt;&gt;"",F140=""),SUMPRODUCT($E$26:$E$155,$F$26:$F$155,--($C$26:$C$155=C140)),AND(D140,F140)&lt;&gt;0,E140*F140)</f>
        <v>895.93322000000012</v>
      </c>
      <c r="H140" s="286" t="s">
        <v>6664</v>
      </c>
    </row>
    <row r="141" spans="2:8" outlineLevel="2" x14ac:dyDescent="0.2">
      <c r="B141" s="277" t="str">
        <f t="shared" si="71"/>
        <v>LAZER - 18</v>
      </c>
      <c r="C141" s="292" t="str">
        <f t="shared" ref="C141" si="72">C140</f>
        <v>WC PNE Hall - Lazer 18</v>
      </c>
      <c r="D141" s="287" t="s">
        <v>6915</v>
      </c>
      <c r="E141" s="288">
        <f>E139</f>
        <v>3.4649999999999999</v>
      </c>
      <c r="F141" s="285">
        <f>CPU!H$2237-Ger_Executivo!$M$338</f>
        <v>17.757716625</v>
      </c>
      <c r="G141" s="291" cm="1">
        <f t="array" ref="G141">_xlfn.IFS(AND(B141&lt;&gt;"",C141="",D141=""),SUMPRODUCT($E$26:$E$155,$F$26:$F$155, --($B$26:$B$155=B141)),AND(C141&lt;&gt;"",F141=""),SUMPRODUCT($E$26:$E$155,$F$26:$F$155,--($C$26:$C$155=C141)),AND(D141,F141)&lt;&gt;0,E141*F141)</f>
        <v>61.530488105624997</v>
      </c>
      <c r="H141" s="286" t="s">
        <v>6664</v>
      </c>
    </row>
    <row r="142" spans="2:8" ht="13.5" customHeight="1" outlineLevel="2" x14ac:dyDescent="0.2">
      <c r="B142" s="277" t="str">
        <f t="shared" si="71"/>
        <v>LAZER - 18</v>
      </c>
      <c r="C142" s="292" t="str">
        <f t="shared" ref="C142" si="73">C141</f>
        <v>WC PNE Hall - Lazer 18</v>
      </c>
      <c r="D142" s="287" t="s">
        <v>6919</v>
      </c>
      <c r="E142" s="288">
        <v>18.75</v>
      </c>
      <c r="F142" s="285">
        <f>CPU!H$2237-Ger_Executivo!$M$338</f>
        <v>17.757716625</v>
      </c>
      <c r="G142" s="291" cm="1">
        <f t="array" ref="G142">_xlfn.IFS(AND(B142&lt;&gt;"",C142="",D142=""),SUMPRODUCT($E$26:$E$155,$F$26:$F$155, --($B$26:$B$155=B142)),AND(C142&lt;&gt;"",F142=""),SUMPRODUCT($E$26:$E$155,$F$26:$F$155,--($C$26:$C$155=C142)),AND(D142,F142)&lt;&gt;0,E142*F142)</f>
        <v>332.95718671874999</v>
      </c>
      <c r="H142" s="286" t="s">
        <v>6664</v>
      </c>
    </row>
    <row r="143" spans="2:8" outlineLevel="1" x14ac:dyDescent="0.2">
      <c r="B143" s="277" t="str">
        <f t="shared" si="71"/>
        <v>LAZER - 18</v>
      </c>
      <c r="C143" s="278" t="s">
        <v>6923</v>
      </c>
      <c r="D143" s="279" t="s">
        <v>1797</v>
      </c>
      <c r="E143" s="280">
        <f>6.93/2</f>
        <v>3.4649999999999999</v>
      </c>
      <c r="F143" s="281"/>
      <c r="G143" s="282" cm="1">
        <f t="array" ref="G143">_xlfn.IFS(AND(B143&lt;&gt;"",C143="",D143=""),SUMPRODUCT($E$26:$E$155,$F$26:$F$155, --($B$26:$B$155=B143)),AND(C143&lt;&gt;"",F143=""),SUMPRODUCT($E$26:$E$155,$F$26:$F$155,--($C$26:$C$155=C143)),AND(D143,F143)&lt;&gt;0,E143*F143)</f>
        <v>2868.1815226800004</v>
      </c>
      <c r="H143" s="283">
        <f>G143/E143</f>
        <v>827.7580152034634</v>
      </c>
    </row>
    <row r="144" spans="2:8" outlineLevel="2" x14ac:dyDescent="0.2">
      <c r="B144" s="277" t="str">
        <f t="shared" si="71"/>
        <v>LAZER - 18</v>
      </c>
      <c r="C144" s="292" t="str">
        <f>C143</f>
        <v>WC PNE Hall - Lazer 18 piscina</v>
      </c>
      <c r="D144" s="287" t="s">
        <v>6925</v>
      </c>
      <c r="E144" s="288">
        <v>4.9800000000000004</v>
      </c>
      <c r="F144" s="290">
        <f>CPU!H1351-Ger_Executivo!M274</f>
        <v>708.13250000000005</v>
      </c>
      <c r="G144" s="291" cm="1">
        <f t="array" ref="G144">_xlfn.IFS(AND(B144&lt;&gt;"",C144="",D144=""),SUMPRODUCT($E$26:$E$155,$F$26:$F$155, --($B$26:$B$155=B144)),AND(C144&lt;&gt;"",F144=""),SUMPRODUCT($E$26:$E$155,$F$26:$F$155,--($C$26:$C$155=C144)),AND(D144,F144)&lt;&gt;0,E144*F144)</f>
        <v>3526.4998500000006</v>
      </c>
      <c r="H144" s="286" t="s">
        <v>6664</v>
      </c>
    </row>
    <row r="145" spans="2:8" ht="13.5" customHeight="1" outlineLevel="2" x14ac:dyDescent="0.2">
      <c r="B145" s="277" t="str">
        <f t="shared" ref="B145:B155" si="74">B144</f>
        <v>LAZER - 18</v>
      </c>
      <c r="C145" s="292" t="str">
        <f>C144</f>
        <v>WC PNE Hall - Lazer 18 piscina</v>
      </c>
      <c r="D145" s="287" t="s">
        <v>6860</v>
      </c>
      <c r="E145" s="288">
        <v>10.84</v>
      </c>
      <c r="F145" s="285">
        <f>CPU!$H$2252-Ger_Executivo!M271</f>
        <v>-60.730473000000011</v>
      </c>
      <c r="G145" s="291" cm="1">
        <f t="array" ref="G145">_xlfn.IFS(AND(B145&lt;&gt;"",C145="",D145=""),SUMPRODUCT($E$26:$E$155,$F$26:$F$155, --($B$26:$B$155=B145)),AND(C145&lt;&gt;"",F145=""),SUMPRODUCT($E$26:$E$155,$F$26:$F$155,--($C$26:$C$155=C145)),AND(D145,F145)&lt;&gt;0,E145*F145)</f>
        <v>-658.31832732000009</v>
      </c>
      <c r="H145" s="286" t="s">
        <v>6664</v>
      </c>
    </row>
    <row r="146" spans="2:8" outlineLevel="1" x14ac:dyDescent="0.2">
      <c r="B146" s="277" t="str">
        <f t="shared" si="74"/>
        <v>LAZER - 18</v>
      </c>
      <c r="C146" s="278" t="s">
        <v>6832</v>
      </c>
      <c r="D146" s="279" t="s">
        <v>1797</v>
      </c>
      <c r="E146" s="280">
        <v>10.220000000000001</v>
      </c>
      <c r="F146" s="281"/>
      <c r="G146" s="282" cm="1">
        <f t="array" ref="G146">_xlfn.IFS(AND(B146&lt;&gt;"",C146="",D146=""),SUMPRODUCT($E$26:$E$155,$F$26:$F$155, --($B$26:$B$155=B146)),AND(C146&lt;&gt;"",F146=""),SUMPRODUCT($E$26:$E$155,$F$26:$F$155,--($C$26:$C$155=C146)),AND(D146,F146)&lt;&gt;0,E146*F146)</f>
        <v>230.99439088000003</v>
      </c>
      <c r="H146" s="283">
        <f>G146/E146</f>
        <v>22.602190888454015</v>
      </c>
    </row>
    <row r="147" spans="2:8" outlineLevel="2" x14ac:dyDescent="0.2">
      <c r="B147" s="277" t="str">
        <f t="shared" si="74"/>
        <v>LAZER - 18</v>
      </c>
      <c r="C147" s="292" t="str">
        <f>C146</f>
        <v>Circulação elevadores - Lazer 18</v>
      </c>
      <c r="D147" s="287" t="s">
        <v>6854</v>
      </c>
      <c r="E147" s="288">
        <f>E146</f>
        <v>10.220000000000001</v>
      </c>
      <c r="F147" s="285">
        <f>CPU!$H$1885-Ger_Executivo!$M$308</f>
        <v>26.146999999999991</v>
      </c>
      <c r="G147" s="291" cm="1">
        <f t="array" ref="G147">_xlfn.IFS(AND(B147&lt;&gt;"",C147="",D147=""),SUMPRODUCT($E$26:$E$155,$F$26:$F$155, --($B$26:$B$155=B147)),AND(C147&lt;&gt;"",F147=""),SUMPRODUCT($E$26:$E$155,$F$26:$F$155,--($C$26:$C$155=C147)),AND(D147,F147)&lt;&gt;0,E147*F147)</f>
        <v>267.22233999999992</v>
      </c>
      <c r="H147" s="286" t="s">
        <v>6664</v>
      </c>
    </row>
    <row r="148" spans="2:8" ht="13.5" customHeight="1" outlineLevel="2" x14ac:dyDescent="0.2">
      <c r="B148" s="277" t="str">
        <f t="shared" si="74"/>
        <v>LAZER - 18</v>
      </c>
      <c r="C148" s="292" t="str">
        <f t="shared" ref="C148:C149" si="75">C147</f>
        <v>Circulação elevadores - Lazer 18</v>
      </c>
      <c r="D148" s="287" t="s">
        <v>6860</v>
      </c>
      <c r="E148" s="288">
        <v>29.66</v>
      </c>
      <c r="F148" s="285">
        <f>CPU!$H$2252-Ger_Executivo!$M$338</f>
        <v>-0.90842399999999657</v>
      </c>
      <c r="G148" s="291" cm="1">
        <f t="array" ref="G148">_xlfn.IFS(AND(B148&lt;&gt;"",C148="",D148=""),SUMPRODUCT($E$26:$E$155,$F$26:$F$155, --($B$26:$B$155=B148)),AND(C148&lt;&gt;"",F148=""),SUMPRODUCT($E$26:$E$155,$F$26:$F$155,--($C$26:$C$155=C148)),AND(D148,F148)&lt;&gt;0,E148*F148)</f>
        <v>-26.943855839999898</v>
      </c>
      <c r="H148" s="286" t="s">
        <v>6664</v>
      </c>
    </row>
    <row r="149" spans="2:8" ht="13.5" customHeight="1" outlineLevel="2" x14ac:dyDescent="0.2">
      <c r="B149" s="277" t="str">
        <f t="shared" si="74"/>
        <v>LAZER - 18</v>
      </c>
      <c r="C149" s="292" t="str">
        <f t="shared" si="75"/>
        <v>Circulação elevadores - Lazer 18</v>
      </c>
      <c r="D149" s="287" t="s">
        <v>6900</v>
      </c>
      <c r="E149" s="288">
        <f>E147</f>
        <v>10.220000000000001</v>
      </c>
      <c r="F149" s="285">
        <f>CPU!$H$2252-Ger_Executivo!$M$338</f>
        <v>-0.90842399999999657</v>
      </c>
      <c r="G149" s="291" cm="1">
        <f t="array" ref="G149">_xlfn.IFS(AND(B149&lt;&gt;"",C149="",D149=""),SUMPRODUCT($E$26:$E$155,$F$26:$F$155, --($B$26:$B$155=B149)),AND(C149&lt;&gt;"",F149=""),SUMPRODUCT($E$26:$E$155,$F$26:$F$155,--($C$26:$C$155=C149)),AND(D149,F149)&lt;&gt;0,E149*F149)</f>
        <v>-9.2840932799999649</v>
      </c>
      <c r="H149" s="286" t="s">
        <v>6664</v>
      </c>
    </row>
    <row r="150" spans="2:8" ht="13.5" customHeight="1" outlineLevel="1" x14ac:dyDescent="0.2">
      <c r="B150" s="277" t="str">
        <f t="shared" si="74"/>
        <v>LAZER - 18</v>
      </c>
      <c r="C150" s="278" t="s">
        <v>6840</v>
      </c>
      <c r="D150" s="279" t="s">
        <v>1797</v>
      </c>
      <c r="E150" s="280">
        <v>125.73</v>
      </c>
      <c r="F150" s="281"/>
      <c r="G150" s="282" cm="1">
        <f t="array" ref="G150">_xlfn.IFS(AND(B150&lt;&gt;"",C150="",D150=""),SUMPRODUCT($E$26:$E$155,$F$26:$F$155, --($B$26:$B$155=B150)),AND(C150&lt;&gt;"",F150=""),SUMPRODUCT($E$26:$E$155,$F$26:$F$155,--($C$26:$C$155=C150)),AND(D150,F150)&lt;&gt;0,E150*F150)</f>
        <v>81612.314875000011</v>
      </c>
      <c r="H150" s="283">
        <f>G150/E150</f>
        <v>649.10772985763151</v>
      </c>
    </row>
    <row r="151" spans="2:8" ht="13.5" customHeight="1" outlineLevel="2" x14ac:dyDescent="0.2">
      <c r="B151" s="277" t="str">
        <f t="shared" si="74"/>
        <v>LAZER - 18</v>
      </c>
      <c r="C151" s="292" t="str">
        <f>C150</f>
        <v>Piscina - Pav 18</v>
      </c>
      <c r="D151" s="287" t="s">
        <v>6881</v>
      </c>
      <c r="E151" s="288">
        <v>45.61</v>
      </c>
      <c r="F151" s="285">
        <f>CPU!H1779-Ger_Executivo!M310</f>
        <v>759.21250000000009</v>
      </c>
      <c r="G151" s="291" cm="1">
        <f t="array" ref="G151">_xlfn.IFS(AND(B151&lt;&gt;"",C151="",D151=""),SUMPRODUCT($E$26:$E$155,$F$26:$F$155, --($B$26:$B$155=B151)),AND(C151&lt;&gt;"",F151=""),SUMPRODUCT($E$26:$E$155,$F$26:$F$155,--($C$26:$C$155=C151)),AND(D151,F151)&lt;&gt;0,E151*F151)</f>
        <v>34627.682125000007</v>
      </c>
      <c r="H151" s="286" t="s">
        <v>6664</v>
      </c>
    </row>
    <row r="152" spans="2:8" ht="13.5" customHeight="1" outlineLevel="2" x14ac:dyDescent="0.2">
      <c r="B152" s="277" t="str">
        <f t="shared" si="74"/>
        <v>LAZER - 18</v>
      </c>
      <c r="C152" s="292" t="str">
        <f>C150</f>
        <v>Piscina - Pav 18</v>
      </c>
      <c r="D152" s="287" t="s">
        <v>6883</v>
      </c>
      <c r="E152" s="288">
        <f>Ger_Executivo!L311</f>
        <v>143.55000000000001</v>
      </c>
      <c r="F152" s="285">
        <f>CPU!H1910-Ger_Executivo!M311</f>
        <v>327.30499999999995</v>
      </c>
      <c r="G152" s="291" cm="1">
        <f t="array" ref="G152">_xlfn.IFS(AND(B152&lt;&gt;"",C152="",D152=""),SUMPRODUCT($E$26:$E$155,$F$26:$F$155, --($B$26:$B$155=B152)),AND(C152&lt;&gt;"",F152=""),SUMPRODUCT($E$26:$E$155,$F$26:$F$155,--($C$26:$C$155=C152)),AND(D152,F152)&lt;&gt;0,E152*F152)</f>
        <v>46984.632749999997</v>
      </c>
      <c r="H152" s="286" t="s">
        <v>6664</v>
      </c>
    </row>
    <row r="153" spans="2:8" outlineLevel="1" x14ac:dyDescent="0.2">
      <c r="B153" s="277" t="str">
        <f t="shared" si="74"/>
        <v>LAZER - 18</v>
      </c>
      <c r="C153" s="278" t="s">
        <v>2484</v>
      </c>
      <c r="D153" s="279" t="s">
        <v>1797</v>
      </c>
      <c r="E153" s="280">
        <v>23.6</v>
      </c>
      <c r="F153" s="281"/>
      <c r="G153" s="282" cm="1">
        <f t="array" ref="G153">_xlfn.IFS(AND(B153&lt;&gt;"",C153="",D153=""),SUMPRODUCT($E$26:$E$155,$F$26:$F$155, --($B$26:$B$155=B153)),AND(C153&lt;&gt;"",F153=""),SUMPRODUCT($E$26:$E$155,$F$26:$F$155,--($C$26:$C$155=C153)),AND(D153,F153)&lt;&gt;0,E153*F153)</f>
        <v>8328.4289073899999</v>
      </c>
      <c r="H153" s="283">
        <f>G153/E153</f>
        <v>352.89952997415253</v>
      </c>
    </row>
    <row r="154" spans="2:8" outlineLevel="2" x14ac:dyDescent="0.2">
      <c r="B154" s="277" t="str">
        <f t="shared" si="74"/>
        <v>LAZER - 18</v>
      </c>
      <c r="C154" s="284" t="str">
        <f t="shared" ref="C154:C155" si="76">C153</f>
        <v>SPA</v>
      </c>
      <c r="D154" s="287" t="s">
        <v>6879</v>
      </c>
      <c r="E154" s="288">
        <v>53.11</v>
      </c>
      <c r="F154" s="285">
        <f>CPU!$H$1885-Ger_Executivo!M338</f>
        <v>161.76554900000002</v>
      </c>
      <c r="G154" s="291" cm="1">
        <f t="array" ref="G154">_xlfn.IFS(AND(B154&lt;&gt;"",C154="",D154=""),SUMPRODUCT($E$26:$E$155,$F$26:$F$155, --($B$26:$B$155=B154)),AND(C154&lt;&gt;"",F154=""),SUMPRODUCT($E$26:$E$155,$F$26:$F$155,--($C$26:$C$155=C154)),AND(D154,F154)&lt;&gt;0,E154*F154)</f>
        <v>8591.3683073900011</v>
      </c>
      <c r="H154" s="286" t="s">
        <v>6664</v>
      </c>
    </row>
    <row r="155" spans="2:8" ht="25.5" outlineLevel="2" x14ac:dyDescent="0.2">
      <c r="B155" s="277" t="str">
        <f t="shared" si="74"/>
        <v>LAZER - 18</v>
      </c>
      <c r="C155" s="284" t="str">
        <f t="shared" si="76"/>
        <v>SPA</v>
      </c>
      <c r="D155" s="287" t="s">
        <v>241</v>
      </c>
      <c r="E155" s="288">
        <f>E153</f>
        <v>23.6</v>
      </c>
      <c r="F155" s="285">
        <f>CPU!$H$1775-Ger_Executivo!$M$308</f>
        <v>-11.141500000000008</v>
      </c>
      <c r="G155" s="291" cm="1">
        <f t="array" ref="G155">_xlfn.IFS(AND(B155&lt;&gt;"",C155="",D155=""),SUMPRODUCT($E$26:$E$155,$F$26:$F$155, --($B$26:$B$155=B155)),AND(C155&lt;&gt;"",F155=""),SUMPRODUCT($E$26:$E$155,$F$26:$F$155,--($C$26:$C$155=C155)),AND(D155,F155)&lt;&gt;0,E155*F155)</f>
        <v>-262.93940000000021</v>
      </c>
      <c r="H155" s="286" t="s">
        <v>6664</v>
      </c>
    </row>
  </sheetData>
  <autoFilter ref="B27:H155" xr:uid="{55BECE80-E0A2-41CB-A8BE-85E583D5AB86}"/>
  <dataConsolidate/>
  <mergeCells count="1">
    <mergeCell ref="B4:H4"/>
  </mergeCells>
  <conditionalFormatting sqref="E6:E25">
    <cfRule type="cellIs" dxfId="6173" priority="1" operator="lessThan">
      <formula>0</formula>
    </cfRule>
    <cfRule type="cellIs" dxfId="6172" priority="2" operator="greaterThan">
      <formula>0</formula>
    </cfRule>
  </conditionalFormatting>
  <dataValidations disablePrompts="1" count="1">
    <dataValidation type="list" allowBlank="1" showInputMessage="1" showErrorMessage="1" sqref="H140:H142 H39:H41 H51:H53 H111:H113 H75:H77 H62:H66 H68 H127:H129 H43:H46 H83:H85 H70:H73 H55:H57 H122:H124 H115:H116 H49 H107:H109 H92:H93 H144:H145 H154:H155 H135:H137 H118:H120 H59:H60 H151:H152 H35:H37 H88:H90 H30:H33 H79:H81 H96:H98 H100:H102 H104:H105 H131:H132 H147:H149" xr:uid="{91536ADA-BAE5-4253-A861-C1B0487F11EB}">
      <formula1>$B$8:$B$24</formula1>
    </dataValidation>
  </dataValidations>
  <pageMargins left="0.511811024" right="0.511811024" top="0.78740157499999996" bottom="0.78740157499999996" header="0.31496062000000002" footer="0.31496062000000002"/>
  <pageSetup paperSize="9" scale="21" fitToWidth="0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DCDE-6CCB-4DC4-BEBE-208BA351CEDE}">
  <sheetPr>
    <tabColor rgb="FF1851D6"/>
    <outlinePr summaryBelow="0"/>
    <pageSetUpPr fitToPage="1"/>
  </sheetPr>
  <dimension ref="A1:H55"/>
  <sheetViews>
    <sheetView showGridLines="0" view="pageBreakPreview" zoomScale="85" zoomScaleNormal="70" zoomScaleSheetLayoutView="85" workbookViewId="0">
      <pane ySplit="3" topLeftCell="A4" activePane="bottomLeft" state="frozen"/>
      <selection pane="bottomLeft" activeCell="G23" sqref="G23"/>
    </sheetView>
  </sheetViews>
  <sheetFormatPr defaultColWidth="2.7109375" defaultRowHeight="12.75" x14ac:dyDescent="0.2"/>
  <cols>
    <col min="1" max="1" width="7.85546875" style="263" bestFit="1" customWidth="1"/>
    <col min="2" max="2" width="29.85546875" style="263" customWidth="1"/>
    <col min="3" max="3" width="33.42578125" style="293" bestFit="1" customWidth="1"/>
    <col min="4" max="4" width="104" style="261" bestFit="1" customWidth="1"/>
    <col min="5" max="5" width="16.42578125" style="262" customWidth="1"/>
    <col min="6" max="6" width="17.28515625" style="263" bestFit="1" customWidth="1"/>
    <col min="7" max="7" width="24.42578125" style="264" bestFit="1" customWidth="1"/>
    <col min="8" max="8" width="49.5703125" style="264" customWidth="1"/>
    <col min="9" max="16384" width="2.7109375" style="263"/>
  </cols>
  <sheetData>
    <row r="1" spans="1:8" s="249" customFormat="1" ht="28.5" x14ac:dyDescent="0.25">
      <c r="B1" s="245" t="s">
        <v>30</v>
      </c>
      <c r="C1" s="246" t="str">
        <f>'Obra '!D1</f>
        <v>Caio Prado</v>
      </c>
      <c r="D1" s="247"/>
      <c r="E1" s="247"/>
      <c r="F1" s="247"/>
      <c r="G1" s="247"/>
      <c r="H1" s="248"/>
    </row>
    <row r="2" spans="1:8" s="249" customFormat="1" ht="28.5" x14ac:dyDescent="0.25">
      <c r="B2" s="250" t="s">
        <v>31</v>
      </c>
      <c r="C2" s="251" t="str">
        <f>'Obra '!D2</f>
        <v>Indepy</v>
      </c>
      <c r="D2" s="252"/>
      <c r="E2" s="252"/>
      <c r="F2" s="252"/>
      <c r="G2" s="252"/>
      <c r="H2" s="253"/>
    </row>
    <row r="3" spans="1:8" s="249" customFormat="1" ht="29.25" thickBot="1" x14ac:dyDescent="0.3">
      <c r="B3" s="254" t="s">
        <v>32</v>
      </c>
      <c r="C3" s="251" t="str">
        <f>'Obra '!D3</f>
        <v>R00 - Larissa</v>
      </c>
      <c r="D3" s="255"/>
      <c r="E3" s="255"/>
      <c r="F3" s="255"/>
      <c r="G3" s="255"/>
      <c r="H3" s="256"/>
    </row>
    <row r="4" spans="1:8" s="249" customFormat="1" ht="35.25" thickBot="1" x14ac:dyDescent="0.3">
      <c r="B4" s="583" t="s">
        <v>1787</v>
      </c>
      <c r="C4" s="584"/>
      <c r="D4" s="584"/>
      <c r="E4" s="584"/>
      <c r="F4" s="584"/>
      <c r="G4" s="584"/>
      <c r="H4" s="585"/>
    </row>
    <row r="5" spans="1:8" s="260" customFormat="1" ht="13.5" thickBot="1" x14ac:dyDescent="0.25">
      <c r="B5" s="268" t="s">
        <v>7</v>
      </c>
      <c r="C5" s="268" t="s">
        <v>6663</v>
      </c>
      <c r="D5" s="268" t="s">
        <v>6662</v>
      </c>
      <c r="E5" s="268" t="s">
        <v>6687</v>
      </c>
      <c r="F5" s="259"/>
    </row>
    <row r="6" spans="1:8" ht="15.75" x14ac:dyDescent="0.25">
      <c r="B6" s="411" t="s">
        <v>1788</v>
      </c>
      <c r="C6" s="569">
        <f>MOBILIÁRIO!C6+REVESTIMENTOS!C6</f>
        <v>2622790.202943353</v>
      </c>
      <c r="D6" s="569">
        <f>SUM(D8:D24)</f>
        <v>3500986.68</v>
      </c>
      <c r="E6" s="569">
        <f>C6-D6</f>
        <v>-878196.47705664719</v>
      </c>
    </row>
    <row r="7" spans="1:8" ht="15.75" x14ac:dyDescent="0.25">
      <c r="A7" s="424">
        <f>C7/'Obra '!E9</f>
        <v>0.54319950305474318</v>
      </c>
      <c r="B7" s="412" t="s">
        <v>1789</v>
      </c>
      <c r="C7" s="570">
        <f>MOBILIÁRIO!C7+REVESTIMENTOS!C7</f>
        <v>3768.9299999999994</v>
      </c>
      <c r="D7" s="570">
        <v>2440</v>
      </c>
      <c r="E7" s="570">
        <f t="shared" ref="E7:E25" si="0">C7-D7</f>
        <v>1328.9299999999994</v>
      </c>
    </row>
    <row r="8" spans="1:8" ht="15.75" x14ac:dyDescent="0.25">
      <c r="B8" s="412" t="s">
        <v>6664</v>
      </c>
      <c r="C8" s="568">
        <f>MOBILIÁRIO!C8+REVESTIMENTOS!C8</f>
        <v>307821.59294335288</v>
      </c>
      <c r="D8" s="568">
        <v>920145.68</v>
      </c>
      <c r="E8" s="568">
        <f t="shared" si="0"/>
        <v>-612324.08705664717</v>
      </c>
    </row>
    <row r="9" spans="1:8" ht="15.75" x14ac:dyDescent="0.25">
      <c r="B9" s="412" t="s">
        <v>2041</v>
      </c>
      <c r="C9" s="568">
        <f>MOBILIÁRIO!C9+REVESTIMENTOS!C9</f>
        <v>437800</v>
      </c>
      <c r="D9" s="568">
        <v>592000</v>
      </c>
      <c r="E9" s="568">
        <f t="shared" si="0"/>
        <v>-154200</v>
      </c>
    </row>
    <row r="10" spans="1:8" ht="15.75" x14ac:dyDescent="0.25">
      <c r="B10" s="412" t="s">
        <v>6665</v>
      </c>
      <c r="C10" s="568">
        <f>MOBILIÁRIO!C10+REVESTIMENTOS!C10</f>
        <v>31227</v>
      </c>
      <c r="D10" s="568">
        <v>193500</v>
      </c>
      <c r="E10" s="568">
        <f t="shared" si="0"/>
        <v>-162273</v>
      </c>
    </row>
    <row r="11" spans="1:8" ht="15.75" x14ac:dyDescent="0.25">
      <c r="B11" s="412" t="s">
        <v>6666</v>
      </c>
      <c r="C11" s="568">
        <f>MOBILIÁRIO!C11+REVESTIMENTOS!C11</f>
        <v>22100</v>
      </c>
      <c r="D11" s="568">
        <v>68500</v>
      </c>
      <c r="E11" s="568">
        <f t="shared" si="0"/>
        <v>-46400</v>
      </c>
    </row>
    <row r="12" spans="1:8" ht="15.75" x14ac:dyDescent="0.25">
      <c r="B12" s="412" t="s">
        <v>2040</v>
      </c>
      <c r="C12" s="568">
        <f>MOBILIÁRIO!C12+REVESTIMENTOS!C12</f>
        <v>188723.41999999998</v>
      </c>
      <c r="D12" s="568">
        <v>259157</v>
      </c>
      <c r="E12" s="568">
        <f t="shared" si="0"/>
        <v>-70433.580000000016</v>
      </c>
    </row>
    <row r="13" spans="1:8" ht="15.75" x14ac:dyDescent="0.25">
      <c r="B13" s="412" t="s">
        <v>6667</v>
      </c>
      <c r="C13" s="568"/>
      <c r="D13" s="568">
        <v>58475</v>
      </c>
      <c r="E13" s="568">
        <f t="shared" si="0"/>
        <v>-58475</v>
      </c>
    </row>
    <row r="14" spans="1:8" ht="15.75" x14ac:dyDescent="0.25">
      <c r="B14" s="412" t="s">
        <v>6668</v>
      </c>
      <c r="C14" s="568"/>
      <c r="D14" s="568">
        <v>56000</v>
      </c>
      <c r="E14" s="568">
        <f t="shared" si="0"/>
        <v>-56000</v>
      </c>
    </row>
    <row r="15" spans="1:8" ht="15.75" x14ac:dyDescent="0.25">
      <c r="B15" s="412" t="s">
        <v>6669</v>
      </c>
      <c r="C15" s="568">
        <f>MOBILIÁRIO!C15+REVESTIMENTOS!C15</f>
        <v>54256.1</v>
      </c>
      <c r="D15" s="568">
        <v>153000</v>
      </c>
      <c r="E15" s="568">
        <f t="shared" si="0"/>
        <v>-98743.9</v>
      </c>
    </row>
    <row r="16" spans="1:8" ht="15.75" x14ac:dyDescent="0.25">
      <c r="B16" s="412" t="s">
        <v>6670</v>
      </c>
      <c r="C16" s="568">
        <f>MOBILIÁRIO!C16+REVESTIMENTOS!C16</f>
        <v>150985.5</v>
      </c>
      <c r="D16" s="568">
        <v>15000</v>
      </c>
      <c r="E16" s="568">
        <f t="shared" si="0"/>
        <v>135985.5</v>
      </c>
    </row>
    <row r="17" spans="2:6" ht="15.75" x14ac:dyDescent="0.25">
      <c r="B17" s="412" t="s">
        <v>6671</v>
      </c>
      <c r="C17" s="568">
        <f>MOBILIÁRIO!C17+REVESTIMENTOS!C17</f>
        <v>282320</v>
      </c>
      <c r="D17" s="568">
        <v>447109</v>
      </c>
      <c r="E17" s="568">
        <f t="shared" si="0"/>
        <v>-164789</v>
      </c>
    </row>
    <row r="18" spans="2:6" ht="15.75" x14ac:dyDescent="0.25">
      <c r="B18" s="412" t="s">
        <v>6672</v>
      </c>
      <c r="C18" s="568">
        <f>MOBILIÁRIO!C18+REVESTIMENTOS!C18</f>
        <v>27568</v>
      </c>
      <c r="D18" s="568">
        <v>34000</v>
      </c>
      <c r="E18" s="568">
        <f t="shared" si="0"/>
        <v>-6432</v>
      </c>
    </row>
    <row r="19" spans="2:6" ht="15.75" x14ac:dyDescent="0.25">
      <c r="B19" s="412" t="s">
        <v>6673</v>
      </c>
      <c r="C19" s="568">
        <f>MOBILIÁRIO!C19+REVESTIMENTOS!C19</f>
        <v>474155</v>
      </c>
      <c r="D19" s="568">
        <v>47500</v>
      </c>
      <c r="E19" s="568">
        <f t="shared" si="0"/>
        <v>426655</v>
      </c>
    </row>
    <row r="20" spans="2:6" ht="15.75" x14ac:dyDescent="0.25">
      <c r="B20" s="412" t="s">
        <v>6674</v>
      </c>
      <c r="C20" s="568">
        <f>MOBILIÁRIO!C20+REVESTIMENTOS!C20</f>
        <v>290125.33</v>
      </c>
      <c r="D20" s="568">
        <v>365900</v>
      </c>
      <c r="E20" s="568">
        <f t="shared" si="0"/>
        <v>-75774.669999999984</v>
      </c>
    </row>
    <row r="21" spans="2:6" ht="15.75" x14ac:dyDescent="0.25">
      <c r="B21" s="412" t="s">
        <v>6675</v>
      </c>
      <c r="C21" s="568">
        <f>MOBILIÁRIO!C21+REVESTIMENTOS!C21</f>
        <v>306931.5</v>
      </c>
      <c r="D21" s="568">
        <v>80000</v>
      </c>
      <c r="E21" s="568">
        <f t="shared" si="0"/>
        <v>226931.5</v>
      </c>
    </row>
    <row r="22" spans="2:6" ht="15.75" x14ac:dyDescent="0.25">
      <c r="B22" s="412" t="s">
        <v>6676</v>
      </c>
      <c r="C22" s="568">
        <f>MOBILIÁRIO!C22+REVESTIMENTOS!C22</f>
        <v>6974</v>
      </c>
      <c r="D22" s="568">
        <v>25000</v>
      </c>
      <c r="E22" s="568">
        <f t="shared" si="0"/>
        <v>-18026</v>
      </c>
    </row>
    <row r="23" spans="2:6" ht="15.75" x14ac:dyDescent="0.25">
      <c r="B23" s="412" t="s">
        <v>6677</v>
      </c>
      <c r="C23" s="568">
        <f>MOBILIÁRIO!C23+REVESTIMENTOS!C23</f>
        <v>41802.759999999995</v>
      </c>
      <c r="D23" s="568">
        <v>35700</v>
      </c>
      <c r="E23" s="568">
        <f t="shared" si="0"/>
        <v>6102.7599999999948</v>
      </c>
    </row>
    <row r="24" spans="2:6" ht="15.75" x14ac:dyDescent="0.25">
      <c r="B24" s="412" t="s">
        <v>6678</v>
      </c>
      <c r="C24" s="568">
        <f>MOBILIÁRIO!C24+REVESTIMENTOS!C24</f>
        <v>0</v>
      </c>
      <c r="D24" s="568">
        <v>150000</v>
      </c>
      <c r="E24" s="568">
        <f t="shared" si="0"/>
        <v>-150000</v>
      </c>
    </row>
    <row r="25" spans="2:6" ht="16.5" thickBot="1" x14ac:dyDescent="0.3">
      <c r="B25" s="413" t="s">
        <v>1790</v>
      </c>
      <c r="C25" s="571">
        <f>MOBILIÁRIO!C25+REVESTIMENTOS!C25</f>
        <v>1382.5344045407496</v>
      </c>
      <c r="D25" s="571">
        <f>D6/D7</f>
        <v>1434.8306065573772</v>
      </c>
      <c r="E25" s="571">
        <f t="shared" si="0"/>
        <v>-52.296202016627603</v>
      </c>
    </row>
    <row r="26" spans="2:6" ht="13.5" thickBot="1" x14ac:dyDescent="0.25"/>
    <row r="27" spans="2:6" ht="15" x14ac:dyDescent="0.25">
      <c r="B27" s="270" t="s">
        <v>3807</v>
      </c>
      <c r="C27" s="270" t="s">
        <v>6662</v>
      </c>
      <c r="D27" s="270" t="s">
        <v>6663</v>
      </c>
      <c r="E27" s="270" t="s">
        <v>6687</v>
      </c>
      <c r="F27" s="249"/>
    </row>
    <row r="28" spans="2:6" x14ac:dyDescent="0.2">
      <c r="B28" s="286" t="s">
        <v>6679</v>
      </c>
      <c r="C28" s="286">
        <v>33269.22</v>
      </c>
      <c r="D28" s="286">
        <f>MOBILIÁRIO!M5+REVESTIMENTOS!M5</f>
        <v>42924.488870929999</v>
      </c>
      <c r="E28" s="286">
        <f>C28-D28</f>
        <v>-9655.2688709299982</v>
      </c>
      <c r="F28" s="286" t="s">
        <v>2473</v>
      </c>
    </row>
    <row r="29" spans="2:6" ht="25.5" x14ac:dyDescent="0.2">
      <c r="B29" s="286" t="s">
        <v>6645</v>
      </c>
      <c r="C29" s="286">
        <v>44712.77</v>
      </c>
      <c r="D29" s="286">
        <f>MOBILIÁRIO!M6+REVESTIMENTOS!M6</f>
        <v>56528.267031840005</v>
      </c>
      <c r="E29" s="286">
        <f t="shared" ref="E29:E50" si="1">C29-D29</f>
        <v>-11815.497031840008</v>
      </c>
      <c r="F29" s="286" t="s">
        <v>6846</v>
      </c>
    </row>
    <row r="30" spans="2:6" x14ac:dyDescent="0.2">
      <c r="B30" s="286" t="s">
        <v>6646</v>
      </c>
      <c r="C30" s="286">
        <v>36307.800000000003</v>
      </c>
      <c r="D30" s="286">
        <f>MOBILIÁRIO!M7+REVESTIMENTOS!M7</f>
        <v>16510.717031840002</v>
      </c>
      <c r="E30" s="286">
        <f t="shared" si="1"/>
        <v>19797.082968160001</v>
      </c>
      <c r="F30" s="286" t="s">
        <v>2473</v>
      </c>
    </row>
    <row r="31" spans="2:6" x14ac:dyDescent="0.2">
      <c r="B31" s="286" t="s">
        <v>6680</v>
      </c>
      <c r="C31" s="286">
        <v>28163.17</v>
      </c>
      <c r="D31" s="286">
        <f>MOBILIÁRIO!M8+REVESTIMENTOS!M8</f>
        <v>15051.5</v>
      </c>
      <c r="E31" s="286">
        <f t="shared" si="1"/>
        <v>13111.669999999998</v>
      </c>
      <c r="F31" s="286" t="s">
        <v>2473</v>
      </c>
    </row>
    <row r="32" spans="2:6" x14ac:dyDescent="0.2">
      <c r="B32" s="286" t="s">
        <v>6647</v>
      </c>
      <c r="C32" s="286">
        <v>28156.5</v>
      </c>
      <c r="D32" s="286">
        <f>MOBILIÁRIO!M9+REVESTIMENTOS!M9</f>
        <v>21691</v>
      </c>
      <c r="E32" s="286">
        <f t="shared" si="1"/>
        <v>6465.5</v>
      </c>
      <c r="F32" s="286" t="s">
        <v>2473</v>
      </c>
    </row>
    <row r="33" spans="2:6" x14ac:dyDescent="0.2">
      <c r="B33" s="286" t="s">
        <v>6648</v>
      </c>
      <c r="C33" s="286">
        <v>647007.87</v>
      </c>
      <c r="D33" s="286">
        <f>MOBILIÁRIO!M10+REVESTIMENTOS!M10</f>
        <v>512464.82100470993</v>
      </c>
      <c r="E33" s="286">
        <f t="shared" si="1"/>
        <v>134543.04899529007</v>
      </c>
      <c r="F33" s="286" t="s">
        <v>6628</v>
      </c>
    </row>
    <row r="34" spans="2:6" x14ac:dyDescent="0.2">
      <c r="B34" s="286" t="s">
        <v>6681</v>
      </c>
      <c r="C34" s="286">
        <v>122398.43</v>
      </c>
      <c r="D34" s="286">
        <f>MOBILIÁRIO!M11+REVESTIMENTOS!M11</f>
        <v>124156.96615437001</v>
      </c>
      <c r="E34" s="286">
        <f t="shared" si="1"/>
        <v>-1758.5361543700128</v>
      </c>
      <c r="F34" s="286" t="s">
        <v>6628</v>
      </c>
    </row>
    <row r="35" spans="2:6" x14ac:dyDescent="0.2">
      <c r="B35" s="286" t="s">
        <v>6649</v>
      </c>
      <c r="C35" s="286">
        <v>12509.4</v>
      </c>
      <c r="D35" s="286">
        <f>MOBILIÁRIO!M12+REVESTIMENTOS!M12</f>
        <v>42171.502070000002</v>
      </c>
      <c r="E35" s="286">
        <f t="shared" si="1"/>
        <v>-29662.102070000001</v>
      </c>
      <c r="F35" s="286" t="s">
        <v>6628</v>
      </c>
    </row>
    <row r="36" spans="2:6" x14ac:dyDescent="0.2">
      <c r="B36" s="286" t="s">
        <v>6650</v>
      </c>
      <c r="C36" s="286">
        <v>54317.39</v>
      </c>
      <c r="D36" s="286">
        <f>MOBILIÁRIO!M13+REVESTIMENTOS!M13</f>
        <v>97633.897358019996</v>
      </c>
      <c r="E36" s="286">
        <f t="shared" si="1"/>
        <v>-43316.507358019997</v>
      </c>
      <c r="F36" s="286" t="s">
        <v>6628</v>
      </c>
    </row>
    <row r="37" spans="2:6" x14ac:dyDescent="0.2">
      <c r="B37" s="286" t="s">
        <v>6682</v>
      </c>
      <c r="C37" s="286">
        <v>97543.2</v>
      </c>
      <c r="D37" s="286">
        <f>MOBILIÁRIO!M14+REVESTIMENTOS!M14</f>
        <v>115533.74598061446</v>
      </c>
      <c r="E37" s="286">
        <f t="shared" si="1"/>
        <v>-17990.545980614464</v>
      </c>
      <c r="F37" s="286" t="s">
        <v>6628</v>
      </c>
    </row>
    <row r="38" spans="2:6" x14ac:dyDescent="0.2">
      <c r="B38" s="286" t="s">
        <v>6651</v>
      </c>
      <c r="C38" s="286">
        <v>59293.89</v>
      </c>
      <c r="D38" s="286">
        <f>MOBILIÁRIO!M15+REVESTIMENTOS!M15</f>
        <v>30786.974658615902</v>
      </c>
      <c r="E38" s="286">
        <f t="shared" si="1"/>
        <v>28506.915341384098</v>
      </c>
      <c r="F38" s="286" t="s">
        <v>6628</v>
      </c>
    </row>
    <row r="39" spans="2:6" x14ac:dyDescent="0.2">
      <c r="B39" s="286" t="s">
        <v>6652</v>
      </c>
      <c r="C39" s="286">
        <v>34060.589999999997</v>
      </c>
      <c r="D39" s="286">
        <f>MOBILIÁRIO!M16+REVESTIMENTOS!M16</f>
        <v>21676.936967606001</v>
      </c>
      <c r="E39" s="286">
        <f t="shared" si="1"/>
        <v>12383.653032393995</v>
      </c>
      <c r="F39" s="286" t="s">
        <v>6628</v>
      </c>
    </row>
    <row r="40" spans="2:6" x14ac:dyDescent="0.2">
      <c r="B40" s="286" t="s">
        <v>6653</v>
      </c>
      <c r="C40" s="286">
        <v>91482.27</v>
      </c>
      <c r="D40" s="286">
        <f>MOBILIÁRIO!M17+REVESTIMENTOS!M17</f>
        <v>146254.43024000002</v>
      </c>
      <c r="E40" s="286">
        <f t="shared" si="1"/>
        <v>-54772.160240000012</v>
      </c>
      <c r="F40" s="286" t="s">
        <v>6847</v>
      </c>
    </row>
    <row r="41" spans="2:6" x14ac:dyDescent="0.2">
      <c r="B41" s="286" t="s">
        <v>6654</v>
      </c>
      <c r="C41" s="286">
        <v>296911.42</v>
      </c>
      <c r="D41" s="286">
        <f>MOBILIÁRIO!M18+REVESTIMENTOS!M18</f>
        <v>263652.83255918999</v>
      </c>
      <c r="E41" s="286">
        <f t="shared" si="1"/>
        <v>33258.587440809992</v>
      </c>
      <c r="F41" s="286" t="s">
        <v>6848</v>
      </c>
    </row>
    <row r="42" spans="2:6" x14ac:dyDescent="0.2">
      <c r="B42" s="286" t="s">
        <v>6683</v>
      </c>
      <c r="C42" s="286">
        <v>193649.55</v>
      </c>
      <c r="D42" s="286">
        <f>MOBILIÁRIO!M19+REVESTIMENTOS!M19</f>
        <v>156744.26204</v>
      </c>
      <c r="E42" s="286">
        <f t="shared" si="1"/>
        <v>36905.287959999987</v>
      </c>
      <c r="F42" s="286" t="s">
        <v>6848</v>
      </c>
    </row>
    <row r="43" spans="2:6" x14ac:dyDescent="0.2">
      <c r="B43" s="286" t="s">
        <v>6684</v>
      </c>
      <c r="C43" s="286">
        <v>90815.95</v>
      </c>
      <c r="D43" s="286">
        <f>MOBILIÁRIO!M20+REVESTIMENTOS!M20</f>
        <v>69231.504330752505</v>
      </c>
      <c r="E43" s="286">
        <f t="shared" si="1"/>
        <v>21584.445669247492</v>
      </c>
      <c r="F43" s="286" t="s">
        <v>6848</v>
      </c>
    </row>
    <row r="44" spans="2:6" x14ac:dyDescent="0.2">
      <c r="B44" s="286" t="s">
        <v>6655</v>
      </c>
      <c r="C44" s="286">
        <v>26386.33</v>
      </c>
      <c r="D44" s="286">
        <f>MOBILIÁRIO!M21+REVESTIMENTOS!M21</f>
        <v>24625.808729483004</v>
      </c>
      <c r="E44" s="286">
        <f t="shared" si="1"/>
        <v>1760.5212705169979</v>
      </c>
      <c r="F44" s="286" t="s">
        <v>6848</v>
      </c>
    </row>
    <row r="45" spans="2:6" x14ac:dyDescent="0.2">
      <c r="B45" s="286" t="s">
        <v>6656</v>
      </c>
      <c r="C45" s="286">
        <v>638467.81999999995</v>
      </c>
      <c r="D45" s="286">
        <f>MOBILIÁRIO!M22+REVESTIMENTOS!M22</f>
        <v>379079.14266700001</v>
      </c>
      <c r="E45" s="286">
        <f t="shared" si="1"/>
        <v>259388.67733299994</v>
      </c>
      <c r="F45" s="286" t="s">
        <v>6848</v>
      </c>
    </row>
    <row r="46" spans="2:6" x14ac:dyDescent="0.2">
      <c r="B46" s="286" t="s">
        <v>6657</v>
      </c>
      <c r="C46" s="286">
        <v>92288.24</v>
      </c>
      <c r="D46" s="286">
        <f>MOBILIÁRIO!M23+REVESTIMENTOS!M23</f>
        <v>97140.492320000005</v>
      </c>
      <c r="E46" s="286">
        <f t="shared" si="1"/>
        <v>-4852.2523199999996</v>
      </c>
      <c r="F46" s="286" t="s">
        <v>6849</v>
      </c>
    </row>
    <row r="47" spans="2:6" x14ac:dyDescent="0.2">
      <c r="B47" s="286" t="s">
        <v>6658</v>
      </c>
      <c r="C47" s="286">
        <v>84806.48</v>
      </c>
      <c r="D47" s="286">
        <f>MOBILIÁRIO!M24+REVESTIMENTOS!M24</f>
        <v>36600.92890739</v>
      </c>
      <c r="E47" s="286">
        <f t="shared" si="1"/>
        <v>48205.551092609996</v>
      </c>
      <c r="F47" s="286" t="s">
        <v>6850</v>
      </c>
    </row>
    <row r="48" spans="2:6" x14ac:dyDescent="0.2">
      <c r="B48" s="286" t="s">
        <v>6685</v>
      </c>
      <c r="C48" s="286">
        <v>21381.21</v>
      </c>
      <c r="D48" s="286">
        <f>MOBILIÁRIO!M25+REVESTIMENTOS!M25</f>
        <v>3016.0907613400004</v>
      </c>
      <c r="E48" s="286">
        <f t="shared" si="1"/>
        <v>18365.119238659998</v>
      </c>
      <c r="F48" s="286" t="s">
        <v>6850</v>
      </c>
    </row>
    <row r="49" spans="2:6" x14ac:dyDescent="0.2">
      <c r="B49" s="286" t="s">
        <v>6659</v>
      </c>
      <c r="C49" s="286">
        <v>156236.29999999999</v>
      </c>
      <c r="D49" s="286">
        <f>MOBILIÁRIO!M26+REVESTIMENTOS!M26</f>
        <v>106227.31487500001</v>
      </c>
      <c r="E49" s="286">
        <f t="shared" si="1"/>
        <v>50008.985124999977</v>
      </c>
      <c r="F49" s="286" t="s">
        <v>6850</v>
      </c>
    </row>
    <row r="50" spans="2:6" x14ac:dyDescent="0.2">
      <c r="B50" s="286" t="s">
        <v>6660</v>
      </c>
      <c r="C50" s="286">
        <v>20513.330000000002</v>
      </c>
      <c r="D50" s="286">
        <f>MOBILIÁRIO!M27+REVESTIMENTOS!M27</f>
        <v>3016.0907613400004</v>
      </c>
      <c r="E50" s="286">
        <f t="shared" si="1"/>
        <v>17497.23923866</v>
      </c>
      <c r="F50" s="286" t="s">
        <v>6850</v>
      </c>
    </row>
    <row r="51" spans="2:6" x14ac:dyDescent="0.2">
      <c r="B51" s="286" t="s">
        <v>6661</v>
      </c>
      <c r="C51" s="286">
        <v>11992.15</v>
      </c>
      <c r="D51" s="286">
        <f>MOBILIÁRIO!M28+REVESTIMENTOS!M28</f>
        <v>6757.5122471000004</v>
      </c>
      <c r="E51" s="286">
        <f>C51-D51</f>
        <v>5234.6377528999992</v>
      </c>
      <c r="F51" s="286" t="s">
        <v>6850</v>
      </c>
    </row>
    <row r="52" spans="2:6" ht="25.5" x14ac:dyDescent="0.2">
      <c r="B52" s="286" t="s">
        <v>6686</v>
      </c>
      <c r="C52" s="286">
        <v>394815.41</v>
      </c>
      <c r="D52" s="286">
        <f>MOBILIÁRIO!M29+REVESTIMENTOS!M29</f>
        <v>210302.89953679749</v>
      </c>
      <c r="E52" s="286">
        <f>C52-D52</f>
        <v>184512.51046320249</v>
      </c>
      <c r="F52" s="286" t="s">
        <v>6851</v>
      </c>
    </row>
    <row r="53" spans="2:6" x14ac:dyDescent="0.2">
      <c r="B53" s="276" t="s">
        <v>8</v>
      </c>
      <c r="C53" s="276">
        <f>SUM(C28:C52)</f>
        <v>3317486.69</v>
      </c>
      <c r="D53" s="276">
        <f>MOBILIÁRIO!M30+REVESTIMENTOS!M30</f>
        <v>2599780.1271039392</v>
      </c>
      <c r="E53" s="276">
        <f>C53-D53</f>
        <v>717706.56289606076</v>
      </c>
    </row>
    <row r="54" spans="2:6" x14ac:dyDescent="0.2">
      <c r="B54" s="263" t="s">
        <v>6852</v>
      </c>
      <c r="C54" s="572"/>
      <c r="D54" s="572">
        <f>MOBILIÁRIO!M31+REVESTIMENTOS!M31</f>
        <v>2598.89</v>
      </c>
      <c r="E54" s="263"/>
    </row>
    <row r="55" spans="2:6" x14ac:dyDescent="0.2">
      <c r="B55" s="263" t="s">
        <v>6853</v>
      </c>
      <c r="C55" s="263"/>
      <c r="D55" s="263">
        <f>MOBILIÁRIO!M32+REVESTIMENTOS!M32</f>
        <v>16265.648149999999</v>
      </c>
      <c r="E55" s="263"/>
    </row>
  </sheetData>
  <dataConsolidate/>
  <mergeCells count="1">
    <mergeCell ref="B4:H4"/>
  </mergeCells>
  <conditionalFormatting sqref="E1:E26 E56:E1048576">
    <cfRule type="cellIs" dxfId="3959" priority="1" operator="lessThan">
      <formula>0</formula>
    </cfRule>
    <cfRule type="cellIs" dxfId="395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56" fitToWidth="0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767A7-4899-40CE-BEBB-A6A921F6AE6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7</vt:i4>
      </vt:variant>
    </vt:vector>
  </HeadingPairs>
  <TitlesOfParts>
    <vt:vector size="20" baseType="lpstr">
      <vt:lpstr>PROJETOS</vt:lpstr>
      <vt:lpstr>Obra </vt:lpstr>
      <vt:lpstr>EAP Análise</vt:lpstr>
      <vt:lpstr>CPU</vt:lpstr>
      <vt:lpstr>Insumos</vt:lpstr>
      <vt:lpstr>Ger_Executivo</vt:lpstr>
      <vt:lpstr>ARQUITETURA</vt:lpstr>
      <vt:lpstr>IMPERMEABILIZAÇÃO</vt:lpstr>
      <vt:lpstr>Equipamentos Especiais</vt:lpstr>
      <vt:lpstr>LOUÇAS E METAIS</vt:lpstr>
      <vt:lpstr>MOBILIÁRIO</vt:lpstr>
      <vt:lpstr>REVESTIMENTOS</vt:lpstr>
      <vt:lpstr>TOTAL</vt:lpstr>
      <vt:lpstr>MOBILIÁRIO!Area_de_impressao</vt:lpstr>
      <vt:lpstr>'Obra '!Area_de_impressao</vt:lpstr>
      <vt:lpstr>REVESTIMENTOS!Area_de_impressao</vt:lpstr>
      <vt:lpstr>TOTAL!Area_de_impressao</vt:lpstr>
      <vt:lpstr>MOBILIÁRIO!Print_Area</vt:lpstr>
      <vt:lpstr>REVESTIMENTOS!Print_Area</vt:lpstr>
      <vt:lpstr>TOTAL!Print_Area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Furlan</dc:creator>
  <cp:lastModifiedBy>Larissa Oliveira</cp:lastModifiedBy>
  <cp:lastPrinted>2024-02-16T20:24:40Z</cp:lastPrinted>
  <dcterms:created xsi:type="dcterms:W3CDTF">2011-02-08T17:53:57Z</dcterms:created>
  <dcterms:modified xsi:type="dcterms:W3CDTF">2026-02-24T18:09:42Z</dcterms:modified>
</cp:coreProperties>
</file>